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autoCompressPictures="0" defaultThemeVersion="124226"/>
  <mc:AlternateContent xmlns:mc="http://schemas.openxmlformats.org/markup-compatibility/2006">
    <mc:Choice Requires="x15">
      <x15ac:absPath xmlns:x15ac="http://schemas.microsoft.com/office/spreadsheetml/2010/11/ac" url="https://texasedu-my.sharepoint.com/personal/amy_maynard-harrison_tea_texas_gov/Documents/Documents/Drupal/June 2022/"/>
    </mc:Choice>
  </mc:AlternateContent>
  <xr:revisionPtr revIDLastSave="0" documentId="8_{B598363C-FA83-41BD-A090-BEA42AB6FF27}" xr6:coauthVersionLast="47" xr6:coauthVersionMax="47" xr10:uidLastSave="{00000000-0000-0000-0000-000000000000}"/>
  <bookViews>
    <workbookView xWindow="-110" yWindow="-110" windowWidth="19420" windowHeight="10420" firstSheet="2" activeTab="2" xr2:uid="{00000000-000D-0000-FFFF-FFFF00000000}"/>
  </bookViews>
  <sheets>
    <sheet name="TAC 61.1004" sheetId="90" state="hidden" r:id="rId1"/>
    <sheet name="Validation" sheetId="88" state="hidden" r:id="rId2"/>
    <sheet name="Version 4.1 - June 2022" sheetId="73" r:id="rId3"/>
    <sheet name="Estimates" sheetId="16" r:id="rId4"/>
    <sheet name="HB 1525 State Aid" sheetId="62" r:id="rId5"/>
    <sheet name="Prior Law State Aid" sheetId="26" r:id="rId6"/>
    <sheet name="ADA Projection " sheetId="51" r:id="rId7"/>
    <sheet name="Payment Calculator" sheetId="58" r:id="rId8"/>
    <sheet name="INITIAL EST" sheetId="74" state="hidden" r:id="rId9"/>
    <sheet name="INT EST PY" sheetId="75" state="hidden" r:id="rId10"/>
    <sheet name="CASH FLOW" sheetId="86" state="hidden" r:id="rId11"/>
    <sheet name="DPE" sheetId="89" state="hidden" r:id="rId12"/>
    <sheet name="FTG" sheetId="76" state="hidden" r:id="rId13"/>
    <sheet name="DATA" sheetId="20" state="hidden" r:id="rId14"/>
  </sheets>
  <definedNames>
    <definedName name="CASH_FLOW" localSheetId="11">DPE!$B:$KO</definedName>
    <definedName name="CASH_FLOW" localSheetId="0">'TAC 61.1004'!$B:$L</definedName>
    <definedName name="CASH_FLOW">'CASH FLOW'!$B:$KO</definedName>
    <definedName name="DPE">DPE!$B:$KI</definedName>
    <definedName name="FTG">FTG!$A:$M</definedName>
    <definedName name="INITIAL_EST">'INITIAL EST'!$B:$JC</definedName>
    <definedName name="INITIAL_EST_PY">'INT EST PY'!$1:$1048576</definedName>
    <definedName name="_xlnm.Print_Area" localSheetId="6">'ADA Projection '!$A$2:$R$46</definedName>
    <definedName name="_xlnm.Print_Area" localSheetId="4">'HB 1525 State Aid'!$A$1:$F$146</definedName>
    <definedName name="_xlnm.Print_Area" localSheetId="7">'Payment Calculator'!$A$3:$N$35</definedName>
    <definedName name="_xlnm.Print_Area" localSheetId="5">'Prior Law State Aid'!$A$1:$F$99</definedName>
    <definedName name="_xlnm.Print_Area" localSheetId="1">Validation!$A$1:$F$146</definedName>
    <definedName name="_xlnm.Print_Area" localSheetId="2">'Version 4.1 - June 2022'!$A$1:$B$66</definedName>
    <definedName name="_xlnm.Print_Titles" localSheetId="6">'ADA Projection '!$3:$3</definedName>
    <definedName name="_xlnm.Print_Titles" localSheetId="4">'HB 1525 State Aid'!$1:$3</definedName>
    <definedName name="_xlnm.Print_Titles" localSheetId="7">'Payment Calculator'!$2:$2</definedName>
    <definedName name="_xlnm.Print_Titles" localSheetId="5">'Prior Law State Aid'!$1:$3</definedName>
    <definedName name="_xlnm.Print_Titles" localSheetId="1">Validation!$1:$3</definedName>
    <definedName name="_xlnm.Print_Titles" localSheetId="2">'Version 4.1 - June 2022'!$1:$2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43" i="62" l="1"/>
  <c r="E43" i="62"/>
  <c r="E8" i="62"/>
  <c r="E66" i="62"/>
  <c r="H120" i="90"/>
  <c r="I120" i="90" s="1"/>
  <c r="H3" i="90"/>
  <c r="I3" i="90" s="1"/>
  <c r="H52" i="90"/>
  <c r="I52" i="90" s="1"/>
  <c r="H124" i="90"/>
  <c r="I124" i="90" s="1"/>
  <c r="H50" i="90"/>
  <c r="I50" i="90" s="1"/>
  <c r="H77" i="90"/>
  <c r="I77" i="90" s="1"/>
  <c r="H36" i="90"/>
  <c r="I36" i="90" s="1"/>
  <c r="H164" i="90"/>
  <c r="I164" i="90" s="1"/>
  <c r="H135" i="90"/>
  <c r="I135" i="90" s="1"/>
  <c r="H37" i="90"/>
  <c r="I37" i="90" s="1"/>
  <c r="H46" i="90"/>
  <c r="I46" i="90" s="1"/>
  <c r="H62" i="90"/>
  <c r="I62" i="90" s="1"/>
  <c r="H42" i="90"/>
  <c r="I42" i="90" s="1"/>
  <c r="H122" i="90"/>
  <c r="I122" i="90" s="1"/>
  <c r="H65" i="90"/>
  <c r="I65" i="90" s="1"/>
  <c r="H58" i="90"/>
  <c r="I58" i="90" s="1"/>
  <c r="H111" i="90"/>
  <c r="I111" i="90" s="1"/>
  <c r="H165" i="90"/>
  <c r="I165" i="90" s="1"/>
  <c r="H8" i="90"/>
  <c r="I8" i="90" s="1"/>
  <c r="H39" i="90"/>
  <c r="I39" i="90" s="1"/>
  <c r="H126" i="90"/>
  <c r="I126" i="90" s="1"/>
  <c r="H172" i="90"/>
  <c r="I172" i="90" s="1"/>
  <c r="H32" i="90"/>
  <c r="I32" i="90" s="1"/>
  <c r="H93" i="90"/>
  <c r="I93" i="90" s="1"/>
  <c r="H30" i="90"/>
  <c r="I30" i="90" s="1"/>
  <c r="H34" i="90"/>
  <c r="I34" i="90" s="1"/>
  <c r="H100" i="90"/>
  <c r="I100" i="90" s="1"/>
  <c r="H33" i="90"/>
  <c r="I33" i="90" s="1"/>
  <c r="H115" i="90"/>
  <c r="I115" i="90" s="1"/>
  <c r="H104" i="90"/>
  <c r="I104" i="90" s="1"/>
  <c r="H130" i="90"/>
  <c r="I130" i="90" s="1"/>
  <c r="H9" i="90"/>
  <c r="I9" i="90" s="1"/>
  <c r="H105" i="90"/>
  <c r="I105" i="90" s="1"/>
  <c r="H110" i="90"/>
  <c r="I110" i="90" s="1"/>
  <c r="H141" i="90"/>
  <c r="I141" i="90" s="1"/>
  <c r="H51" i="90"/>
  <c r="I51" i="90" s="1"/>
  <c r="H71" i="90"/>
  <c r="I71" i="90" s="1"/>
  <c r="H60" i="90"/>
  <c r="I60" i="90" s="1"/>
  <c r="H70" i="90"/>
  <c r="I70" i="90" s="1"/>
  <c r="H23" i="90"/>
  <c r="I23" i="90" s="1"/>
  <c r="H95" i="90"/>
  <c r="I95" i="90" s="1"/>
  <c r="H53" i="90"/>
  <c r="I53" i="90" s="1"/>
  <c r="H4" i="90"/>
  <c r="I4" i="90" s="1"/>
  <c r="H64" i="90"/>
  <c r="I64" i="90" s="1"/>
  <c r="H139" i="90"/>
  <c r="I139" i="90" s="1"/>
  <c r="H149" i="90"/>
  <c r="I149" i="90" s="1"/>
  <c r="H127" i="90"/>
  <c r="I127" i="90" s="1"/>
  <c r="H55" i="90"/>
  <c r="I55" i="90" s="1"/>
  <c r="H118" i="90"/>
  <c r="I118" i="90" s="1"/>
  <c r="H143" i="90"/>
  <c r="I143" i="90" s="1"/>
  <c r="H157" i="90"/>
  <c r="I157" i="90" s="1"/>
  <c r="H87" i="90"/>
  <c r="I87" i="90" s="1"/>
  <c r="H134" i="90"/>
  <c r="I134" i="90" s="1"/>
  <c r="H43" i="90"/>
  <c r="I43" i="90" s="1"/>
  <c r="H128" i="90"/>
  <c r="I128" i="90" s="1"/>
  <c r="H67" i="90"/>
  <c r="I67" i="90" s="1"/>
  <c r="H106" i="90"/>
  <c r="I106" i="90" s="1"/>
  <c r="H79" i="90"/>
  <c r="I79" i="90" s="1"/>
  <c r="H59" i="90"/>
  <c r="I59" i="90" s="1"/>
  <c r="H114" i="90"/>
  <c r="I114" i="90" s="1"/>
  <c r="H49" i="90"/>
  <c r="I49" i="90" s="1"/>
  <c r="H166" i="90"/>
  <c r="I166" i="90" s="1"/>
  <c r="H83" i="90"/>
  <c r="I83" i="90" s="1"/>
  <c r="H40" i="90"/>
  <c r="I40" i="90" s="1"/>
  <c r="H97" i="90"/>
  <c r="I97" i="90" s="1"/>
  <c r="H186" i="90"/>
  <c r="I186" i="90" s="1"/>
  <c r="H76" i="90"/>
  <c r="I76" i="90" s="1"/>
  <c r="H35" i="90"/>
  <c r="I35" i="90" s="1"/>
  <c r="H163" i="90"/>
  <c r="I163" i="90" s="1"/>
  <c r="H103" i="90"/>
  <c r="I103" i="90" s="1"/>
  <c r="H19" i="90"/>
  <c r="I19" i="90" s="1"/>
  <c r="H66" i="90"/>
  <c r="I66" i="90" s="1"/>
  <c r="H54" i="90"/>
  <c r="I54" i="90" s="1"/>
  <c r="H150" i="90"/>
  <c r="I150" i="90" s="1"/>
  <c r="H161" i="90"/>
  <c r="I161" i="90" s="1"/>
  <c r="H183" i="90"/>
  <c r="I183" i="90" s="1"/>
  <c r="H27" i="90"/>
  <c r="I27" i="90" s="1"/>
  <c r="H156" i="90"/>
  <c r="I156" i="90" s="1"/>
  <c r="H185" i="90"/>
  <c r="I185" i="90" s="1"/>
  <c r="H7" i="90"/>
  <c r="I7" i="90" s="1"/>
  <c r="H16" i="90"/>
  <c r="I16" i="90" s="1"/>
  <c r="H129" i="90"/>
  <c r="I129" i="90" s="1"/>
  <c r="H136" i="90"/>
  <c r="I136" i="90" s="1"/>
  <c r="H113" i="90"/>
  <c r="I113" i="90" s="1"/>
  <c r="H78" i="90"/>
  <c r="I78" i="90" s="1"/>
  <c r="H121" i="90"/>
  <c r="I121" i="90" s="1"/>
  <c r="H68" i="90"/>
  <c r="I68" i="90" s="1"/>
  <c r="H147" i="90"/>
  <c r="I147" i="90" s="1"/>
  <c r="H148" i="90"/>
  <c r="I148" i="90" s="1"/>
  <c r="H69" i="90"/>
  <c r="I69" i="90" s="1"/>
  <c r="H29" i="90"/>
  <c r="I29" i="90" s="1"/>
  <c r="H74" i="90"/>
  <c r="I74" i="90" s="1"/>
  <c r="H75" i="90"/>
  <c r="I75" i="90" s="1"/>
  <c r="H176" i="90"/>
  <c r="I176" i="90" s="1"/>
  <c r="H155" i="90"/>
  <c r="I155" i="90" s="1"/>
  <c r="H25" i="90"/>
  <c r="I25" i="90" s="1"/>
  <c r="H182" i="90"/>
  <c r="I182" i="90" s="1"/>
  <c r="H116" i="90"/>
  <c r="I116" i="90" s="1"/>
  <c r="H101" i="90"/>
  <c r="I101" i="90" s="1"/>
  <c r="H47" i="90"/>
  <c r="I47" i="90" s="1"/>
  <c r="H22" i="90"/>
  <c r="I22" i="90" s="1"/>
  <c r="H56" i="90"/>
  <c r="I56" i="90" s="1"/>
  <c r="H5" i="90"/>
  <c r="I5" i="90" s="1"/>
  <c r="H24" i="90"/>
  <c r="I24" i="90" s="1"/>
  <c r="H41" i="90"/>
  <c r="I41" i="90" s="1"/>
  <c r="H177" i="90"/>
  <c r="I177" i="90" s="1"/>
  <c r="H99" i="90"/>
  <c r="I99" i="90" s="1"/>
  <c r="H138" i="90"/>
  <c r="I138" i="90" s="1"/>
  <c r="H45" i="90"/>
  <c r="I45" i="90" s="1"/>
  <c r="H20" i="90"/>
  <c r="I20" i="90" s="1"/>
  <c r="H13" i="90"/>
  <c r="I13" i="90" s="1"/>
  <c r="H12" i="90"/>
  <c r="I12" i="90" s="1"/>
  <c r="H102" i="90"/>
  <c r="I102" i="90" s="1"/>
  <c r="H178" i="90"/>
  <c r="I178" i="90" s="1"/>
  <c r="H174" i="90"/>
  <c r="I174" i="90" s="1"/>
  <c r="H10" i="90"/>
  <c r="I10" i="90" s="1"/>
  <c r="H117" i="90"/>
  <c r="I117" i="90" s="1"/>
  <c r="H94" i="90"/>
  <c r="I94" i="90" s="1"/>
  <c r="H14" i="90"/>
  <c r="I14" i="90" s="1"/>
  <c r="H86" i="90"/>
  <c r="I86" i="90" s="1"/>
  <c r="H170" i="90"/>
  <c r="I170" i="90" s="1"/>
  <c r="H96" i="90"/>
  <c r="I96" i="90" s="1"/>
  <c r="H175" i="90"/>
  <c r="I175" i="90" s="1"/>
  <c r="H92" i="90"/>
  <c r="I92" i="90" s="1"/>
  <c r="H38" i="90"/>
  <c r="I38" i="90" s="1"/>
  <c r="H98" i="90"/>
  <c r="I98" i="90" s="1"/>
  <c r="H15" i="90"/>
  <c r="I15" i="90" s="1"/>
  <c r="H11" i="90"/>
  <c r="I11" i="90" s="1"/>
  <c r="H61" i="90"/>
  <c r="I61" i="90" s="1"/>
  <c r="H142" i="90"/>
  <c r="I142" i="90" s="1"/>
  <c r="H123" i="90"/>
  <c r="I123" i="90" s="1"/>
  <c r="H18" i="90"/>
  <c r="I18" i="90" s="1"/>
  <c r="H179" i="90"/>
  <c r="I179" i="90" s="1"/>
  <c r="H91" i="90"/>
  <c r="I91" i="90" s="1"/>
  <c r="H63" i="90"/>
  <c r="I63" i="90" s="1"/>
  <c r="H26" i="90"/>
  <c r="I26" i="90" s="1"/>
  <c r="H107" i="90"/>
  <c r="I107" i="90" s="1"/>
  <c r="H90" i="90"/>
  <c r="I90" i="90" s="1"/>
  <c r="H84" i="90"/>
  <c r="I84" i="90" s="1"/>
  <c r="H169" i="90"/>
  <c r="I169" i="90" s="1"/>
  <c r="H152" i="90"/>
  <c r="I152" i="90" s="1"/>
  <c r="H173" i="90"/>
  <c r="I173" i="90" s="1"/>
  <c r="H158" i="90"/>
  <c r="I158" i="90" s="1"/>
  <c r="H140" i="90"/>
  <c r="I140" i="90" s="1"/>
  <c r="H6" i="90"/>
  <c r="I6" i="90" s="1"/>
  <c r="H119" i="90"/>
  <c r="I119" i="90" s="1"/>
  <c r="H81" i="90"/>
  <c r="I81" i="90" s="1"/>
  <c r="H88" i="90"/>
  <c r="I88" i="90" s="1"/>
  <c r="H82" i="90"/>
  <c r="I82" i="90" s="1"/>
  <c r="H109" i="90"/>
  <c r="I109" i="90" s="1"/>
  <c r="H167" i="90"/>
  <c r="I167" i="90" s="1"/>
  <c r="H146" i="90"/>
  <c r="I146" i="90" s="1"/>
  <c r="H125" i="90"/>
  <c r="I125" i="90" s="1"/>
  <c r="H80" i="90"/>
  <c r="I80" i="90" s="1"/>
  <c r="H160" i="90"/>
  <c r="I160" i="90" s="1"/>
  <c r="H28" i="90"/>
  <c r="I28" i="90" s="1"/>
  <c r="H171" i="90"/>
  <c r="I171" i="90" s="1"/>
  <c r="H85" i="90"/>
  <c r="I85" i="90" s="1"/>
  <c r="H17" i="90"/>
  <c r="I17" i="90" s="1"/>
  <c r="H137" i="90"/>
  <c r="I137" i="90" s="1"/>
  <c r="H145" i="90"/>
  <c r="I145" i="90" s="1"/>
  <c r="H131" i="90"/>
  <c r="I131" i="90" s="1"/>
  <c r="H133" i="90"/>
  <c r="I133" i="90" s="1"/>
  <c r="H73" i="90"/>
  <c r="I73" i="90" s="1"/>
  <c r="H180" i="90"/>
  <c r="I180" i="90" s="1"/>
  <c r="H132" i="90"/>
  <c r="I132" i="90" s="1"/>
  <c r="H72" i="90"/>
  <c r="I72" i="90" s="1"/>
  <c r="H162" i="90"/>
  <c r="I162" i="90" s="1"/>
  <c r="H184" i="90"/>
  <c r="I184" i="90" s="1"/>
  <c r="H151" i="90"/>
  <c r="I151" i="90" s="1"/>
  <c r="H168" i="90"/>
  <c r="I168" i="90" s="1"/>
  <c r="H31" i="90"/>
  <c r="I31" i="90" s="1"/>
  <c r="H108" i="90"/>
  <c r="I108" i="90" s="1"/>
  <c r="H144" i="90"/>
  <c r="I144" i="90" s="1"/>
  <c r="H21" i="90"/>
  <c r="I21" i="90" s="1"/>
  <c r="H154" i="90"/>
  <c r="I154" i="90" s="1"/>
  <c r="H112" i="90"/>
  <c r="I112" i="90" s="1"/>
  <c r="H181" i="90"/>
  <c r="I181" i="90" s="1"/>
  <c r="H48" i="90"/>
  <c r="I48" i="90" s="1"/>
  <c r="H57" i="90"/>
  <c r="I57" i="90" s="1"/>
  <c r="H153" i="90"/>
  <c r="I153" i="90" s="1"/>
  <c r="H159" i="90"/>
  <c r="I159" i="90" s="1"/>
  <c r="H89" i="90"/>
  <c r="I89" i="90" s="1"/>
  <c r="H187" i="90"/>
  <c r="I187" i="90" s="1"/>
  <c r="H44" i="90"/>
  <c r="I44" i="90" s="1"/>
  <c r="F15" i="62"/>
  <c r="D79" i="62"/>
  <c r="D17" i="62"/>
  <c r="F67" i="88"/>
  <c r="F68" i="88"/>
  <c r="F67" i="62"/>
  <c r="F68" i="62" s="1"/>
  <c r="F141" i="62"/>
  <c r="F127" i="62"/>
  <c r="F119" i="62"/>
  <c r="F118" i="62"/>
  <c r="F116" i="62"/>
  <c r="F114" i="62"/>
  <c r="F113" i="62"/>
  <c r="F112" i="62"/>
  <c r="F111" i="62"/>
  <c r="F107" i="62"/>
  <c r="F106" i="62"/>
  <c r="F105" i="62"/>
  <c r="F71" i="62"/>
  <c r="F70" i="62"/>
  <c r="F69" i="62"/>
  <c r="F64" i="62"/>
  <c r="F63" i="62"/>
  <c r="F60" i="62"/>
  <c r="F59" i="62"/>
  <c r="F58" i="62"/>
  <c r="F57" i="62"/>
  <c r="F56" i="62"/>
  <c r="E57" i="62"/>
  <c r="F53" i="62"/>
  <c r="F52" i="62"/>
  <c r="F51" i="62"/>
  <c r="F50" i="62"/>
  <c r="F49" i="62"/>
  <c r="F47" i="62"/>
  <c r="F46" i="62"/>
  <c r="F44" i="62"/>
  <c r="F41" i="62"/>
  <c r="F40" i="62"/>
  <c r="F39" i="62"/>
  <c r="F37" i="62"/>
  <c r="F34" i="62"/>
  <c r="F33" i="62"/>
  <c r="F32" i="62"/>
  <c r="F28" i="62"/>
  <c r="F27" i="62"/>
  <c r="F26" i="62"/>
  <c r="F25" i="62"/>
  <c r="F23" i="62"/>
  <c r="F22" i="62"/>
  <c r="F21" i="62"/>
  <c r="F20" i="62"/>
  <c r="F19" i="62"/>
  <c r="F14" i="62"/>
  <c r="F13" i="62"/>
  <c r="F12" i="62"/>
  <c r="F10" i="62"/>
  <c r="F9" i="62"/>
  <c r="F8" i="62"/>
  <c r="F7" i="62"/>
  <c r="F6" i="62"/>
  <c r="E15" i="62"/>
  <c r="E14" i="62"/>
  <c r="E13" i="62"/>
  <c r="E12" i="62"/>
  <c r="E10" i="62"/>
  <c r="E9" i="62"/>
  <c r="E7" i="62"/>
  <c r="E6" i="62"/>
  <c r="F4" i="62"/>
  <c r="HD189" i="89"/>
  <c r="G127" i="88"/>
  <c r="E127" i="62"/>
  <c r="E127" i="88"/>
  <c r="E67" i="62"/>
  <c r="E67" i="88"/>
  <c r="E66" i="88"/>
  <c r="G146" i="88"/>
  <c r="G145" i="88"/>
  <c r="G144" i="88"/>
  <c r="G142" i="88"/>
  <c r="E141" i="88"/>
  <c r="F141" i="88" s="1"/>
  <c r="G129" i="88"/>
  <c r="G124" i="88"/>
  <c r="G123" i="88"/>
  <c r="G121" i="88"/>
  <c r="C120" i="88"/>
  <c r="E119" i="88"/>
  <c r="F119" i="88" s="1"/>
  <c r="E118" i="88"/>
  <c r="F118" i="88" s="1"/>
  <c r="G117" i="88"/>
  <c r="E116" i="88"/>
  <c r="F116" i="88" s="1"/>
  <c r="C116" i="88"/>
  <c r="G115" i="88"/>
  <c r="E114" i="88"/>
  <c r="F114" i="88" s="1"/>
  <c r="E113" i="88"/>
  <c r="F113" i="88" s="1"/>
  <c r="E112" i="88"/>
  <c r="F112" i="88" s="1"/>
  <c r="E111" i="88"/>
  <c r="F111" i="88" s="1"/>
  <c r="G108" i="88"/>
  <c r="E107" i="88"/>
  <c r="F107" i="88" s="1"/>
  <c r="E106" i="88"/>
  <c r="F106" i="88" s="1"/>
  <c r="E105" i="88"/>
  <c r="F105" i="88" s="1"/>
  <c r="G104" i="88"/>
  <c r="G102" i="88"/>
  <c r="G100" i="88"/>
  <c r="G99" i="88"/>
  <c r="G98" i="88"/>
  <c r="G97" i="88"/>
  <c r="G95" i="88"/>
  <c r="G94" i="88"/>
  <c r="G93" i="88"/>
  <c r="G92" i="88"/>
  <c r="G91" i="88"/>
  <c r="G89" i="88"/>
  <c r="G88" i="88"/>
  <c r="G81" i="88"/>
  <c r="G80" i="88"/>
  <c r="G79" i="88"/>
  <c r="G77" i="88"/>
  <c r="G76" i="88"/>
  <c r="F74" i="88"/>
  <c r="D74" i="88"/>
  <c r="F73" i="88"/>
  <c r="D73" i="88"/>
  <c r="F72" i="88"/>
  <c r="D72" i="88"/>
  <c r="E71" i="88"/>
  <c r="F71" i="88" s="1"/>
  <c r="C71" i="88"/>
  <c r="D71" i="88" s="1"/>
  <c r="E70" i="88"/>
  <c r="F70" i="88" s="1"/>
  <c r="C70" i="88"/>
  <c r="D70" i="88" s="1"/>
  <c r="E69" i="88"/>
  <c r="F69" i="88" s="1"/>
  <c r="C69" i="88"/>
  <c r="D69" i="88" s="1"/>
  <c r="D67" i="88"/>
  <c r="D66" i="88"/>
  <c r="F65" i="88"/>
  <c r="D65" i="88"/>
  <c r="E64" i="88"/>
  <c r="F64" i="88" s="1"/>
  <c r="C64" i="88"/>
  <c r="D64" i="88" s="1"/>
  <c r="E63" i="88"/>
  <c r="F63" i="88" s="1"/>
  <c r="C63" i="88"/>
  <c r="D63" i="88" s="1"/>
  <c r="G61" i="88"/>
  <c r="E60" i="88"/>
  <c r="F60" i="88" s="1"/>
  <c r="D60" i="88"/>
  <c r="C60" i="88"/>
  <c r="E59" i="88"/>
  <c r="F59" i="88" s="1"/>
  <c r="D59" i="88"/>
  <c r="C59" i="88"/>
  <c r="E58" i="88"/>
  <c r="D58" i="88"/>
  <c r="C58" i="88"/>
  <c r="C100" i="88" s="1"/>
  <c r="E57" i="88"/>
  <c r="F57" i="88" s="1"/>
  <c r="C57" i="88"/>
  <c r="C93" i="88" s="1"/>
  <c r="E56" i="88"/>
  <c r="D56" i="88"/>
  <c r="D92" i="88" s="1"/>
  <c r="C56" i="88"/>
  <c r="C92" i="88" s="1"/>
  <c r="G55" i="88"/>
  <c r="G54" i="88"/>
  <c r="E53" i="88"/>
  <c r="F53" i="88" s="1"/>
  <c r="E52" i="88"/>
  <c r="F52" i="88" s="1"/>
  <c r="E51" i="88"/>
  <c r="F51" i="88" s="1"/>
  <c r="E50" i="88"/>
  <c r="F50" i="88" s="1"/>
  <c r="E49" i="88"/>
  <c r="E47" i="88"/>
  <c r="F47" i="88" s="1"/>
  <c r="E46" i="88"/>
  <c r="D46" i="88"/>
  <c r="C46" i="88"/>
  <c r="C89" i="88" s="1"/>
  <c r="G45" i="88"/>
  <c r="E44" i="88"/>
  <c r="E98" i="88" s="1"/>
  <c r="D44" i="88"/>
  <c r="D98" i="88" s="1"/>
  <c r="C44" i="88"/>
  <c r="C98" i="88" s="1"/>
  <c r="C43" i="88"/>
  <c r="C97" i="88" s="1"/>
  <c r="G42" i="88"/>
  <c r="E41" i="88"/>
  <c r="F41" i="88" s="1"/>
  <c r="D41" i="88"/>
  <c r="E40" i="88"/>
  <c r="F40" i="88" s="1"/>
  <c r="D40" i="88"/>
  <c r="E39" i="88"/>
  <c r="D39" i="88"/>
  <c r="E37" i="88"/>
  <c r="D37" i="88"/>
  <c r="D80" i="88" s="1"/>
  <c r="C37" i="88"/>
  <c r="C80" i="88" s="1"/>
  <c r="G35" i="88"/>
  <c r="E34" i="88"/>
  <c r="F34" i="88" s="1"/>
  <c r="D34" i="88"/>
  <c r="C34" i="88"/>
  <c r="E33" i="88"/>
  <c r="F33" i="88" s="1"/>
  <c r="D33" i="88"/>
  <c r="C33" i="88"/>
  <c r="E32" i="88"/>
  <c r="F32" i="88" s="1"/>
  <c r="D32" i="88"/>
  <c r="C32" i="88"/>
  <c r="G30" i="88"/>
  <c r="E28" i="88"/>
  <c r="F28" i="88" s="1"/>
  <c r="D28" i="88"/>
  <c r="C28" i="88"/>
  <c r="E27" i="88"/>
  <c r="F27" i="88" s="1"/>
  <c r="D27" i="88"/>
  <c r="C27" i="88"/>
  <c r="E26" i="88"/>
  <c r="F26" i="88" s="1"/>
  <c r="D26" i="88"/>
  <c r="C26" i="88"/>
  <c r="E25" i="88"/>
  <c r="F25" i="88" s="1"/>
  <c r="D25" i="88"/>
  <c r="C25" i="88"/>
  <c r="F24" i="88"/>
  <c r="D24" i="88"/>
  <c r="C24" i="88"/>
  <c r="E23" i="88"/>
  <c r="F23" i="88" s="1"/>
  <c r="D23" i="88"/>
  <c r="C23" i="88"/>
  <c r="E22" i="88"/>
  <c r="F22" i="88" s="1"/>
  <c r="D22" i="88"/>
  <c r="C22" i="88"/>
  <c r="E21" i="88"/>
  <c r="F21" i="88" s="1"/>
  <c r="D21" i="88"/>
  <c r="C21" i="88"/>
  <c r="E20" i="88"/>
  <c r="F20" i="88" s="1"/>
  <c r="D20" i="88"/>
  <c r="C20" i="88"/>
  <c r="E19" i="88"/>
  <c r="F19" i="88" s="1"/>
  <c r="D19" i="88"/>
  <c r="C19" i="88"/>
  <c r="G17" i="88"/>
  <c r="G16" i="88"/>
  <c r="E15" i="88"/>
  <c r="D15" i="88"/>
  <c r="D81" i="88" s="1"/>
  <c r="C15" i="88"/>
  <c r="C81" i="88" s="1"/>
  <c r="E14" i="88"/>
  <c r="D14" i="88"/>
  <c r="D82" i="88" s="1"/>
  <c r="C14" i="88"/>
  <c r="C82" i="88" s="1"/>
  <c r="E13" i="88"/>
  <c r="F13" i="88" s="1"/>
  <c r="D13" i="88"/>
  <c r="C13" i="88"/>
  <c r="E12" i="88"/>
  <c r="F12" i="88" s="1"/>
  <c r="D12" i="88"/>
  <c r="C12" i="88"/>
  <c r="F11" i="88"/>
  <c r="D11" i="88"/>
  <c r="E10" i="88"/>
  <c r="F10" i="88" s="1"/>
  <c r="D10" i="88"/>
  <c r="C10" i="88"/>
  <c r="E9" i="88"/>
  <c r="F9" i="88" s="1"/>
  <c r="D9" i="88"/>
  <c r="C9" i="88"/>
  <c r="E8" i="88"/>
  <c r="F8" i="88" s="1"/>
  <c r="D8" i="88"/>
  <c r="C8" i="88"/>
  <c r="E7" i="88"/>
  <c r="F7" i="88" s="1"/>
  <c r="D7" i="88"/>
  <c r="C7" i="88"/>
  <c r="E6" i="88"/>
  <c r="D6" i="88"/>
  <c r="C6" i="88"/>
  <c r="E4" i="88"/>
  <c r="D4" i="88"/>
  <c r="D116" i="88" s="1"/>
  <c r="C4" i="88"/>
  <c r="A3" i="88"/>
  <c r="C119" i="88" s="1"/>
  <c r="F30" i="88" l="1"/>
  <c r="E17" i="62"/>
  <c r="E79" i="62" s="1"/>
  <c r="F17" i="62"/>
  <c r="F79" i="62" s="1"/>
  <c r="F30" i="62"/>
  <c r="E17" i="88"/>
  <c r="E79" i="88" s="1"/>
  <c r="E30" i="88"/>
  <c r="E83" i="88" s="1"/>
  <c r="J127" i="88"/>
  <c r="J98" i="88"/>
  <c r="F127" i="88"/>
  <c r="D36" i="88"/>
  <c r="D95" i="88" s="1"/>
  <c r="D30" i="88"/>
  <c r="D83" i="88" s="1"/>
  <c r="D17" i="88"/>
  <c r="D79" i="88" s="1"/>
  <c r="E68" i="88"/>
  <c r="D35" i="88"/>
  <c r="E92" i="88"/>
  <c r="J92" i="88" s="1"/>
  <c r="F66" i="88"/>
  <c r="F102" i="88" s="1"/>
  <c r="E100" i="88"/>
  <c r="J100" i="88" s="1"/>
  <c r="E82" i="88"/>
  <c r="E89" i="88"/>
  <c r="J89" i="88" s="1"/>
  <c r="E80" i="88"/>
  <c r="J80" i="88" s="1"/>
  <c r="E81" i="88"/>
  <c r="J81" i="88" s="1"/>
  <c r="C117" i="88"/>
  <c r="F46" i="88"/>
  <c r="C16" i="88"/>
  <c r="C45" i="88" s="1"/>
  <c r="C77" i="88" s="1"/>
  <c r="F44" i="88"/>
  <c r="F98" i="88" s="1"/>
  <c r="F14" i="88"/>
  <c r="E16" i="88"/>
  <c r="J16" i="88" s="1"/>
  <c r="C145" i="88"/>
  <c r="E42" i="88"/>
  <c r="J42" i="88" s="1"/>
  <c r="D108" i="88"/>
  <c r="F6" i="88"/>
  <c r="D42" i="88"/>
  <c r="D91" i="88"/>
  <c r="D94" i="88" s="1"/>
  <c r="E43" i="88"/>
  <c r="F15" i="88"/>
  <c r="F39" i="88"/>
  <c r="F42" i="88" s="1"/>
  <c r="D100" i="88"/>
  <c r="F117" i="88"/>
  <c r="F4" i="88"/>
  <c r="F145" i="88" s="1"/>
  <c r="D16" i="88"/>
  <c r="D45" i="88" s="1"/>
  <c r="D77" i="88" s="1"/>
  <c r="C30" i="88"/>
  <c r="C83" i="88" s="1"/>
  <c r="C36" i="88"/>
  <c r="C95" i="88" s="1"/>
  <c r="E36" i="88"/>
  <c r="E95" i="88" s="1"/>
  <c r="J95" i="88" s="1"/>
  <c r="E54" i="88"/>
  <c r="J54" i="88" s="1"/>
  <c r="F36" i="88"/>
  <c r="F35" i="88"/>
  <c r="C99" i="88"/>
  <c r="F115" i="88"/>
  <c r="C35" i="88"/>
  <c r="D89" i="88"/>
  <c r="E103" i="88"/>
  <c r="F103" i="88" s="1"/>
  <c r="C118" i="88"/>
  <c r="E35" i="88"/>
  <c r="J35" i="88" s="1"/>
  <c r="A2" i="88"/>
  <c r="D29" i="88"/>
  <c r="F49" i="88"/>
  <c r="F54" i="88" s="1"/>
  <c r="F56" i="88"/>
  <c r="F58" i="88"/>
  <c r="C84" i="88"/>
  <c r="D111" i="88"/>
  <c r="D113" i="88"/>
  <c r="D118" i="88"/>
  <c r="D120" i="88"/>
  <c r="E29" i="88"/>
  <c r="E55" i="88"/>
  <c r="D84" i="88"/>
  <c r="D86" i="88"/>
  <c r="C108" i="88"/>
  <c r="E115" i="88"/>
  <c r="J115" i="88" s="1"/>
  <c r="C133" i="88"/>
  <c r="C29" i="88"/>
  <c r="C17" i="88"/>
  <c r="C79" i="88" s="1"/>
  <c r="F29" i="88"/>
  <c r="F37" i="88"/>
  <c r="E84" i="88"/>
  <c r="F84" i="88" s="1"/>
  <c r="E93" i="88"/>
  <c r="D102" i="88"/>
  <c r="D106" i="88"/>
  <c r="D117" i="88"/>
  <c r="D97" i="88"/>
  <c r="D99" i="88" s="1"/>
  <c r="E102" i="88"/>
  <c r="E108" i="88"/>
  <c r="J108" i="88" s="1"/>
  <c r="E117" i="88"/>
  <c r="J117" i="88" s="1"/>
  <c r="D112" i="88"/>
  <c r="D114" i="88"/>
  <c r="D119" i="88"/>
  <c r="D145" i="88"/>
  <c r="E145" i="88"/>
  <c r="J145" i="88" s="1"/>
  <c r="D105" i="88"/>
  <c r="D107" i="88"/>
  <c r="F17" i="88" l="1"/>
  <c r="F79" i="88" s="1"/>
  <c r="D85" i="88"/>
  <c r="D87" i="88" s="1"/>
  <c r="D76" i="88" s="1"/>
  <c r="E97" i="88"/>
  <c r="E99" i="88" s="1"/>
  <c r="J99" i="88" s="1"/>
  <c r="F83" i="88"/>
  <c r="F100" i="88"/>
  <c r="F95" i="88"/>
  <c r="F80" i="88"/>
  <c r="F82" i="88"/>
  <c r="F92" i="88"/>
  <c r="F81" i="88"/>
  <c r="F89" i="88"/>
  <c r="C85" i="88"/>
  <c r="F43" i="88"/>
  <c r="F97" i="88" s="1"/>
  <c r="F99" i="88" s="1"/>
  <c r="E45" i="88"/>
  <c r="J45" i="88" s="1"/>
  <c r="F16" i="88"/>
  <c r="F45" i="88" s="1"/>
  <c r="F77" i="88" s="1"/>
  <c r="F108" i="88"/>
  <c r="F93" i="88"/>
  <c r="J93" i="88"/>
  <c r="J17" i="88"/>
  <c r="E91" i="88"/>
  <c r="J55" i="88"/>
  <c r="D133" i="88"/>
  <c r="C135" i="88"/>
  <c r="F55" i="88"/>
  <c r="F91" i="88" s="1"/>
  <c r="J102" i="88"/>
  <c r="E104" i="88"/>
  <c r="J104" i="88" s="1"/>
  <c r="D115" i="88"/>
  <c r="F104" i="88"/>
  <c r="J30" i="88"/>
  <c r="J97" i="88" l="1"/>
  <c r="F85" i="88"/>
  <c r="F94" i="88"/>
  <c r="E77" i="88"/>
  <c r="J77" i="88" s="1"/>
  <c r="D88" i="88"/>
  <c r="D121" i="88" s="1"/>
  <c r="E133" i="88"/>
  <c r="D135" i="88"/>
  <c r="J91" i="88"/>
  <c r="E94" i="88"/>
  <c r="J94" i="88" s="1"/>
  <c r="E85" i="88"/>
  <c r="J79" i="88"/>
  <c r="B67" i="16"/>
  <c r="C112" i="88" s="1"/>
  <c r="E71" i="62"/>
  <c r="HD189" i="86"/>
  <c r="E68" i="62"/>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2" i="20"/>
  <c r="E141" i="62"/>
  <c r="E112" i="62"/>
  <c r="F23" i="20"/>
  <c r="F24" i="20"/>
  <c r="F25" i="20"/>
  <c r="F26" i="20"/>
  <c r="F27" i="20"/>
  <c r="F28" i="20"/>
  <c r="F3" i="20"/>
  <c r="F29" i="20"/>
  <c r="F30" i="20"/>
  <c r="F31" i="20"/>
  <c r="F32" i="20"/>
  <c r="F33" i="20"/>
  <c r="F34" i="20"/>
  <c r="F35" i="20"/>
  <c r="F36" i="20"/>
  <c r="F37" i="20"/>
  <c r="F38" i="20"/>
  <c r="F39" i="20"/>
  <c r="F40" i="20"/>
  <c r="F41" i="20"/>
  <c r="F42" i="20"/>
  <c r="F43" i="20"/>
  <c r="F44" i="20"/>
  <c r="F45" i="20"/>
  <c r="F46" i="20"/>
  <c r="F4" i="20"/>
  <c r="F5" i="20"/>
  <c r="F6" i="20"/>
  <c r="F7" i="20"/>
  <c r="F8" i="20"/>
  <c r="F47" i="20"/>
  <c r="F48" i="20"/>
  <c r="F49" i="20"/>
  <c r="F50" i="20"/>
  <c r="F51" i="20"/>
  <c r="F52" i="20"/>
  <c r="F53" i="20"/>
  <c r="F54" i="20"/>
  <c r="F9"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10" i="20"/>
  <c r="F82" i="20"/>
  <c r="F83" i="20"/>
  <c r="F84" i="20"/>
  <c r="F85" i="20"/>
  <c r="F86" i="20"/>
  <c r="F87" i="20"/>
  <c r="F88" i="20"/>
  <c r="F89" i="20"/>
  <c r="F90" i="20"/>
  <c r="F91" i="20"/>
  <c r="F11" i="20"/>
  <c r="F92" i="20"/>
  <c r="F93" i="20"/>
  <c r="F94" i="20"/>
  <c r="F95" i="20"/>
  <c r="F96" i="20"/>
  <c r="F97" i="20"/>
  <c r="F98" i="20"/>
  <c r="B57" i="16" s="1"/>
  <c r="F99" i="20"/>
  <c r="F100" i="20"/>
  <c r="F101" i="20"/>
  <c r="F102" i="20"/>
  <c r="F103" i="20"/>
  <c r="F104" i="20"/>
  <c r="F12"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3" i="20"/>
  <c r="F14" i="20"/>
  <c r="F15" i="20"/>
  <c r="F16" i="20"/>
  <c r="F17" i="20"/>
  <c r="F18" i="20"/>
  <c r="F129" i="20"/>
  <c r="F19" i="20"/>
  <c r="F130" i="20"/>
  <c r="F131" i="20"/>
  <c r="F132" i="20"/>
  <c r="F133" i="20"/>
  <c r="F134" i="20"/>
  <c r="F135" i="20"/>
  <c r="F20" i="20"/>
  <c r="F136" i="20"/>
  <c r="F137" i="20"/>
  <c r="F138" i="20"/>
  <c r="F139" i="20"/>
  <c r="F140" i="20"/>
  <c r="F141" i="20"/>
  <c r="F142" i="20"/>
  <c r="F21"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22" i="20"/>
  <c r="F182" i="20"/>
  <c r="F183" i="20"/>
  <c r="F184" i="20"/>
  <c r="F185" i="20"/>
  <c r="F186" i="20"/>
  <c r="F187" i="20"/>
  <c r="F188" i="20"/>
  <c r="F2" i="20"/>
  <c r="A2" i="16"/>
  <c r="B50" i="16"/>
  <c r="C49" i="88" s="1"/>
  <c r="B23" i="51"/>
  <c r="D49" i="88" l="1"/>
  <c r="D61" i="88"/>
  <c r="F133" i="88"/>
  <c r="F135" i="88" s="1"/>
  <c r="E135" i="88"/>
  <c r="D128" i="88"/>
  <c r="C128" i="88"/>
  <c r="C129" i="88" s="1"/>
  <c r="C22" i="51"/>
  <c r="C21" i="51"/>
  <c r="D21" i="51" s="1"/>
  <c r="E21" i="51" s="1"/>
  <c r="F21" i="51" s="1"/>
  <c r="G21" i="51" s="1"/>
  <c r="C20" i="51"/>
  <c r="D20" i="51" s="1"/>
  <c r="C19" i="51"/>
  <c r="D19" i="51" s="1"/>
  <c r="E19" i="51" s="1"/>
  <c r="F19" i="51" s="1"/>
  <c r="G19" i="51" s="1"/>
  <c r="H19" i="51" s="1"/>
  <c r="C18" i="51"/>
  <c r="D18" i="51" s="1"/>
  <c r="E18" i="51" s="1"/>
  <c r="F18" i="51" s="1"/>
  <c r="G18" i="51" s="1"/>
  <c r="C17" i="51"/>
  <c r="D17" i="51" s="1"/>
  <c r="E17" i="51" s="1"/>
  <c r="F17" i="51" s="1"/>
  <c r="G17" i="51" s="1"/>
  <c r="C16" i="51"/>
  <c r="D16" i="51" s="1"/>
  <c r="E16" i="51" s="1"/>
  <c r="F16" i="51" s="1"/>
  <c r="G16" i="51" s="1"/>
  <c r="C15" i="51"/>
  <c r="D15" i="51" s="1"/>
  <c r="E15" i="51" s="1"/>
  <c r="F15" i="51" s="1"/>
  <c r="G15" i="51" s="1"/>
  <c r="C14" i="51"/>
  <c r="D14" i="51" s="1"/>
  <c r="E14" i="51" s="1"/>
  <c r="F14" i="51" s="1"/>
  <c r="D41" i="62"/>
  <c r="D40" i="62"/>
  <c r="D39" i="62"/>
  <c r="E119" i="62"/>
  <c r="E118" i="62"/>
  <c r="E116" i="62"/>
  <c r="E114" i="62"/>
  <c r="E113" i="62"/>
  <c r="E111" i="62"/>
  <c r="E107" i="62"/>
  <c r="E106" i="62"/>
  <c r="E105" i="62"/>
  <c r="E70" i="62"/>
  <c r="E69" i="62"/>
  <c r="E64" i="62"/>
  <c r="E63" i="62"/>
  <c r="C71" i="62"/>
  <c r="C70" i="62"/>
  <c r="C69" i="62"/>
  <c r="C64" i="62"/>
  <c r="C63" i="62"/>
  <c r="E60" i="62"/>
  <c r="E59" i="62"/>
  <c r="E58" i="62"/>
  <c r="C60" i="62"/>
  <c r="C59" i="62"/>
  <c r="C58" i="62"/>
  <c r="E56" i="62"/>
  <c r="C56" i="62"/>
  <c r="E53" i="62"/>
  <c r="E52" i="62"/>
  <c r="E51" i="62"/>
  <c r="E50" i="62"/>
  <c r="E49" i="62"/>
  <c r="E47" i="62"/>
  <c r="E46" i="62"/>
  <c r="C46" i="62"/>
  <c r="E44" i="62"/>
  <c r="E39" i="62"/>
  <c r="E41" i="62"/>
  <c r="E40" i="62"/>
  <c r="C44" i="62"/>
  <c r="C43" i="62"/>
  <c r="E37" i="62"/>
  <c r="E34" i="62"/>
  <c r="E33" i="62"/>
  <c r="E32" i="62"/>
  <c r="C37" i="62"/>
  <c r="C34" i="62"/>
  <c r="C33" i="62"/>
  <c r="C32" i="62"/>
  <c r="E28" i="62"/>
  <c r="E27" i="62"/>
  <c r="E26" i="62"/>
  <c r="E25" i="62"/>
  <c r="E23" i="62"/>
  <c r="E22" i="62"/>
  <c r="E21" i="62"/>
  <c r="E20" i="62"/>
  <c r="E19" i="62"/>
  <c r="C28" i="62"/>
  <c r="C27" i="62"/>
  <c r="C26" i="62"/>
  <c r="C25" i="62"/>
  <c r="C24" i="62"/>
  <c r="C23" i="62"/>
  <c r="C22" i="62"/>
  <c r="C21" i="62"/>
  <c r="C20" i="62"/>
  <c r="C19" i="62"/>
  <c r="E4" i="62"/>
  <c r="D58" i="62"/>
  <c r="D44" i="62"/>
  <c r="E30" i="62" l="1"/>
  <c r="D123" i="88"/>
  <c r="D124" i="88"/>
  <c r="D129" i="88"/>
  <c r="E128" i="88"/>
  <c r="E117" i="62"/>
  <c r="C35" i="62"/>
  <c r="E54" i="62"/>
  <c r="E35" i="62"/>
  <c r="D22" i="51"/>
  <c r="E22" i="51" s="1"/>
  <c r="H16" i="51"/>
  <c r="H21" i="51"/>
  <c r="E20" i="51"/>
  <c r="F20" i="51" s="1"/>
  <c r="G20" i="51" s="1"/>
  <c r="H17" i="51"/>
  <c r="H15" i="51"/>
  <c r="H18" i="51"/>
  <c r="G14" i="51"/>
  <c r="H14" i="51" s="1"/>
  <c r="D125" i="88" l="1"/>
  <c r="E129" i="88"/>
  <c r="E142" i="88" s="1"/>
  <c r="F128" i="88"/>
  <c r="F129" i="88" s="1"/>
  <c r="F142" i="88" s="1"/>
  <c r="F22" i="51"/>
  <c r="H20" i="51"/>
  <c r="D7" i="51"/>
  <c r="J129" i="88" l="1"/>
  <c r="D139" i="88"/>
  <c r="G22" i="51"/>
  <c r="B55" i="16"/>
  <c r="D47" i="88" s="1"/>
  <c r="B11" i="16"/>
  <c r="D57" i="88" s="1"/>
  <c r="D93" i="88" s="1"/>
  <c r="D4" i="62"/>
  <c r="D6" i="62"/>
  <c r="D7" i="62"/>
  <c r="D8" i="62"/>
  <c r="D9" i="62"/>
  <c r="D10" i="62"/>
  <c r="D11" i="62"/>
  <c r="D12" i="62"/>
  <c r="D13" i="62"/>
  <c r="D14" i="62"/>
  <c r="D15" i="62"/>
  <c r="D19" i="62"/>
  <c r="D20" i="62"/>
  <c r="D21" i="62"/>
  <c r="D22" i="62"/>
  <c r="D23" i="62"/>
  <c r="D24" i="62"/>
  <c r="D25" i="62"/>
  <c r="D26" i="62"/>
  <c r="D27" i="62"/>
  <c r="D28" i="62"/>
  <c r="D32" i="62"/>
  <c r="D33" i="62"/>
  <c r="D34" i="62"/>
  <c r="D37" i="62"/>
  <c r="D55" i="26"/>
  <c r="E55" i="26" s="1"/>
  <c r="F55" i="26" s="1"/>
  <c r="D56" i="26"/>
  <c r="E56" i="26" s="1"/>
  <c r="F56" i="26" s="1"/>
  <c r="D57" i="26"/>
  <c r="E57" i="26" s="1"/>
  <c r="F57" i="26" s="1"/>
  <c r="C11" i="51"/>
  <c r="C23" i="51" s="1"/>
  <c r="D47" i="62" l="1"/>
  <c r="D57" i="62"/>
  <c r="H22" i="51"/>
  <c r="D102" i="62"/>
  <c r="D11" i="51" l="1"/>
  <c r="C10" i="58"/>
  <c r="B10" i="58"/>
  <c r="D23" i="51" l="1"/>
  <c r="E11" i="51"/>
  <c r="E23" i="51"/>
  <c r="C9" i="58" l="1"/>
  <c r="B9" i="58"/>
  <c r="B61" i="16"/>
  <c r="C107" i="88" s="1"/>
  <c r="A3" i="62"/>
  <c r="E84" i="62" l="1"/>
  <c r="F103" i="62"/>
  <c r="E103" i="62"/>
  <c r="F84" i="62"/>
  <c r="C107" i="62"/>
  <c r="C84" i="62"/>
  <c r="B59" i="16"/>
  <c r="C105" i="88" s="1"/>
  <c r="B54" i="16"/>
  <c r="C53" i="88" s="1"/>
  <c r="D53" i="88" s="1"/>
  <c r="C5" i="16"/>
  <c r="D60" i="62"/>
  <c r="D59" i="62"/>
  <c r="D46" i="62" l="1"/>
  <c r="D35" i="62" s="1"/>
  <c r="C128" i="62"/>
  <c r="D43" i="26" l="1"/>
  <c r="E43" i="26"/>
  <c r="F43" i="26" s="1"/>
  <c r="A2" i="62"/>
  <c r="C120" i="62"/>
  <c r="C116" i="62"/>
  <c r="D71" i="62"/>
  <c r="D70" i="62"/>
  <c r="D69" i="62"/>
  <c r="D63" i="62"/>
  <c r="C57" i="62"/>
  <c r="C15" i="62"/>
  <c r="C14" i="62"/>
  <c r="C13" i="62"/>
  <c r="C12" i="62"/>
  <c r="C10" i="62"/>
  <c r="C9" i="62"/>
  <c r="C8" i="62"/>
  <c r="C7" i="62"/>
  <c r="C6" i="62"/>
  <c r="C4" i="62"/>
  <c r="C17" i="62" l="1"/>
  <c r="C79" i="62" s="1"/>
  <c r="C117" i="62"/>
  <c r="C112" i="62"/>
  <c r="B69" i="16"/>
  <c r="C114" i="88" s="1"/>
  <c r="B68" i="16"/>
  <c r="C113" i="88" s="1"/>
  <c r="B66" i="16"/>
  <c r="C111" i="88" s="1"/>
  <c r="B64" i="16"/>
  <c r="B63" i="16"/>
  <c r="B62" i="16"/>
  <c r="C106" i="88" s="1"/>
  <c r="B60" i="16"/>
  <c r="B56" i="16"/>
  <c r="B53" i="16"/>
  <c r="C52" i="88" s="1"/>
  <c r="D52" i="88" s="1"/>
  <c r="B52" i="16"/>
  <c r="C51" i="88" s="1"/>
  <c r="D51" i="88" s="1"/>
  <c r="B51" i="16"/>
  <c r="C50" i="88" s="1"/>
  <c r="D50" i="88" l="1"/>
  <c r="C54" i="88"/>
  <c r="C55" i="88"/>
  <c r="C91" i="88" s="1"/>
  <c r="C94" i="88" s="1"/>
  <c r="C115" i="88"/>
  <c r="C106" i="62"/>
  <c r="C111" i="62"/>
  <c r="C113" i="62"/>
  <c r="C114" i="62"/>
  <c r="D66" i="62"/>
  <c r="D54" i="88" l="1"/>
  <c r="D55" i="88"/>
  <c r="E102" i="62"/>
  <c r="C105" i="62"/>
  <c r="F66" i="62" l="1"/>
  <c r="F102" i="62" l="1"/>
  <c r="C43" i="26" l="1"/>
  <c r="D64" i="62" l="1"/>
  <c r="D65" i="62"/>
  <c r="D67" i="62"/>
  <c r="D72" i="62"/>
  <c r="D73" i="62"/>
  <c r="D74" i="62"/>
  <c r="C53" i="62"/>
  <c r="D53" i="62" s="1"/>
  <c r="C52" i="62"/>
  <c r="D52" i="62" s="1"/>
  <c r="C51" i="62"/>
  <c r="D51" i="62" s="1"/>
  <c r="C49" i="62"/>
  <c r="D112" i="62" l="1"/>
  <c r="D111" i="62"/>
  <c r="D117" i="62"/>
  <c r="D49" i="62"/>
  <c r="D107" i="62"/>
  <c r="D106" i="62"/>
  <c r="D89" i="62"/>
  <c r="F74" i="62"/>
  <c r="F73" i="62"/>
  <c r="C50" i="62"/>
  <c r="D50" i="62" s="1"/>
  <c r="D120" i="62"/>
  <c r="D105" i="62"/>
  <c r="D119" i="62"/>
  <c r="D118" i="62"/>
  <c r="D116" i="62"/>
  <c r="F65" i="62"/>
  <c r="D128" i="62"/>
  <c r="E128" i="62" s="1"/>
  <c r="E129" i="62" s="1"/>
  <c r="E142" i="62" s="1"/>
  <c r="C54" i="62" l="1"/>
  <c r="D54" i="62"/>
  <c r="E55" i="62"/>
  <c r="F128" i="62"/>
  <c r="D145" i="62"/>
  <c r="D97" i="62" s="1"/>
  <c r="D42" i="62" s="1"/>
  <c r="A3" i="26" l="1"/>
  <c r="C4" i="26" l="1"/>
  <c r="D4" i="26" s="1"/>
  <c r="C98" i="26"/>
  <c r="C23" i="26"/>
  <c r="E4" i="26"/>
  <c r="F44" i="26"/>
  <c r="E44" i="26"/>
  <c r="D44" i="26"/>
  <c r="C44" i="26"/>
  <c r="C42" i="26"/>
  <c r="D42" i="26" s="1"/>
  <c r="E42" i="26" s="1"/>
  <c r="F42" i="26" s="1"/>
  <c r="C66" i="26"/>
  <c r="D66" i="26" s="1"/>
  <c r="E66" i="26" s="1"/>
  <c r="F66" i="26" s="1"/>
  <c r="C82" i="26"/>
  <c r="D82" i="26" s="1"/>
  <c r="E82" i="26" s="1"/>
  <c r="F82" i="26" s="1"/>
  <c r="C27" i="26"/>
  <c r="C24" i="26"/>
  <c r="C22" i="26"/>
  <c r="C21" i="26"/>
  <c r="C81" i="26"/>
  <c r="D81" i="26" s="1"/>
  <c r="E81" i="26" s="1"/>
  <c r="F81" i="26" s="1"/>
  <c r="C25" i="26"/>
  <c r="C78" i="26"/>
  <c r="D78" i="26" s="1"/>
  <c r="E78" i="26" s="1"/>
  <c r="F78" i="26" s="1"/>
  <c r="C30" i="26"/>
  <c r="C29" i="26"/>
  <c r="C28" i="26"/>
  <c r="F41" i="26"/>
  <c r="E41" i="26"/>
  <c r="D41" i="26"/>
  <c r="F46" i="26"/>
  <c r="E45" i="26"/>
  <c r="E46" i="26"/>
  <c r="F45" i="26"/>
  <c r="D46" i="26"/>
  <c r="D45" i="26"/>
  <c r="C15" i="26"/>
  <c r="D15" i="26" s="1"/>
  <c r="E15" i="26" s="1"/>
  <c r="F15" i="26" s="1"/>
  <c r="C9" i="26"/>
  <c r="D9" i="26" s="1"/>
  <c r="E9" i="26" s="1"/>
  <c r="F9" i="26" s="1"/>
  <c r="C10" i="26"/>
  <c r="D10" i="26" s="1"/>
  <c r="E10" i="26" s="1"/>
  <c r="F10" i="26" s="1"/>
  <c r="C8" i="26"/>
  <c r="D8" i="26" s="1"/>
  <c r="C12" i="26"/>
  <c r="D12" i="26" s="1"/>
  <c r="E12" i="26" s="1"/>
  <c r="F12" i="26" s="1"/>
  <c r="C16" i="26"/>
  <c r="D16" i="26" s="1"/>
  <c r="E16" i="26" s="1"/>
  <c r="F16" i="26" s="1"/>
  <c r="C11" i="26"/>
  <c r="D11" i="26" s="1"/>
  <c r="E11" i="26" s="1"/>
  <c r="F11" i="26" s="1"/>
  <c r="C17" i="26"/>
  <c r="D17" i="26" s="1"/>
  <c r="E17" i="26" s="1"/>
  <c r="F17" i="26" s="1"/>
  <c r="D13" i="26"/>
  <c r="E13" i="26" s="1"/>
  <c r="F13" i="26" s="1"/>
  <c r="C14" i="26"/>
  <c r="D14" i="26" s="1"/>
  <c r="E14" i="26" s="1"/>
  <c r="F14" i="26" s="1"/>
  <c r="C39" i="26"/>
  <c r="D39" i="26" s="1"/>
  <c r="E39" i="26" s="1"/>
  <c r="F39" i="26" s="1"/>
  <c r="C33" i="26"/>
  <c r="D33" i="26" s="1"/>
  <c r="E33" i="26" s="1"/>
  <c r="F33" i="26" s="1"/>
  <c r="A2" i="26"/>
  <c r="C6" i="26"/>
  <c r="D6" i="26" s="1"/>
  <c r="C50" i="26"/>
  <c r="D50" i="26" s="1"/>
  <c r="E50" i="26" s="1"/>
  <c r="F50" i="26" s="1"/>
  <c r="C51" i="26"/>
  <c r="D51" i="26" s="1"/>
  <c r="E51" i="26" s="1"/>
  <c r="F51" i="26" s="1"/>
  <c r="C45" i="26"/>
  <c r="C53" i="26"/>
  <c r="D53" i="26" s="1"/>
  <c r="E53" i="26" s="1"/>
  <c r="F53" i="26" s="1"/>
  <c r="C38" i="26"/>
  <c r="D38" i="26" s="1"/>
  <c r="C37" i="26"/>
  <c r="D37" i="26" s="1"/>
  <c r="E37" i="26" s="1"/>
  <c r="C52" i="26"/>
  <c r="D52" i="26" s="1"/>
  <c r="E52" i="26" s="1"/>
  <c r="F52" i="26" s="1"/>
  <c r="C49" i="26"/>
  <c r="D49" i="26" s="1"/>
  <c r="E49" i="26" s="1"/>
  <c r="F49" i="26" s="1"/>
  <c r="C35" i="26"/>
  <c r="D35" i="26" s="1"/>
  <c r="C5" i="26"/>
  <c r="C80" i="26"/>
  <c r="D80" i="26" s="1"/>
  <c r="C54" i="26"/>
  <c r="D54" i="26" s="1"/>
  <c r="C40" i="26"/>
  <c r="D40" i="26" s="1"/>
  <c r="E40" i="26" s="1"/>
  <c r="F40" i="26" s="1"/>
  <c r="C48" i="26"/>
  <c r="D48" i="26" s="1"/>
  <c r="E48" i="26" s="1"/>
  <c r="F48" i="26" s="1"/>
  <c r="C34" i="26"/>
  <c r="D34" i="26" s="1"/>
  <c r="E34" i="26" s="1"/>
  <c r="F34" i="26" s="1"/>
  <c r="C46" i="26"/>
  <c r="C41" i="26"/>
  <c r="D114" i="62"/>
  <c r="D113" i="62"/>
  <c r="D98" i="26" l="1"/>
  <c r="E98" i="26" s="1"/>
  <c r="E131" i="88" s="1"/>
  <c r="C99" i="26"/>
  <c r="C132" i="88" s="1"/>
  <c r="C134" i="88" s="1"/>
  <c r="C136" i="88" s="1"/>
  <c r="C137" i="88" s="1"/>
  <c r="D5" i="26"/>
  <c r="E5" i="26" s="1"/>
  <c r="F5" i="26" s="1"/>
  <c r="D91" i="26"/>
  <c r="E54" i="26"/>
  <c r="F54" i="26" s="1"/>
  <c r="D92" i="26"/>
  <c r="D69" i="26"/>
  <c r="D72" i="26"/>
  <c r="D70" i="26"/>
  <c r="E35" i="26"/>
  <c r="E80" i="26"/>
  <c r="F80" i="26" s="1"/>
  <c r="D95" i="26"/>
  <c r="E6" i="26"/>
  <c r="F6" i="26" s="1"/>
  <c r="E8" i="26"/>
  <c r="D18" i="26"/>
  <c r="D36" i="26" s="1"/>
  <c r="D59" i="26" s="1"/>
  <c r="D19" i="26"/>
  <c r="D61" i="26" s="1"/>
  <c r="E38" i="26"/>
  <c r="F38" i="26" s="1"/>
  <c r="D74" i="26"/>
  <c r="F37" i="26"/>
  <c r="E62" i="26"/>
  <c r="E63" i="26"/>
  <c r="E64" i="26"/>
  <c r="E77" i="26"/>
  <c r="E75" i="26"/>
  <c r="D63" i="26"/>
  <c r="D77" i="26"/>
  <c r="D64" i="26"/>
  <c r="D62" i="26"/>
  <c r="D75" i="26"/>
  <c r="B70" i="16"/>
  <c r="D100" i="62"/>
  <c r="F98" i="26" l="1"/>
  <c r="F131" i="88" s="1"/>
  <c r="E131" i="62"/>
  <c r="E74" i="26"/>
  <c r="E76" i="26" s="1"/>
  <c r="E95" i="26"/>
  <c r="E70" i="26"/>
  <c r="F35" i="26"/>
  <c r="F70" i="26" s="1"/>
  <c r="D71" i="26"/>
  <c r="D93" i="26"/>
  <c r="D76" i="26"/>
  <c r="E91" i="26"/>
  <c r="F8" i="26"/>
  <c r="E19" i="26"/>
  <c r="E61" i="26" s="1"/>
  <c r="E18" i="26"/>
  <c r="E36" i="26" s="1"/>
  <c r="E59" i="26" s="1"/>
  <c r="F4" i="26"/>
  <c r="F74" i="26" s="1"/>
  <c r="E92" i="26"/>
  <c r="E69" i="26"/>
  <c r="E72" i="26"/>
  <c r="F75" i="26"/>
  <c r="F131" i="62" l="1"/>
  <c r="F76" i="26"/>
  <c r="E71" i="26"/>
  <c r="E93" i="26"/>
  <c r="F92" i="26"/>
  <c r="F95" i="26"/>
  <c r="F91" i="26"/>
  <c r="F72" i="26"/>
  <c r="F69" i="26"/>
  <c r="F71" i="26" s="1"/>
  <c r="C100" i="62"/>
  <c r="D56" i="62"/>
  <c r="D92" i="62" s="1"/>
  <c r="F93" i="26" l="1"/>
  <c r="D21" i="26"/>
  <c r="E21" i="26" s="1"/>
  <c r="D22" i="26"/>
  <c r="E22" i="26" s="1"/>
  <c r="F22" i="26" s="1"/>
  <c r="D23" i="26"/>
  <c r="E23" i="26" s="1"/>
  <c r="F23" i="26" s="1"/>
  <c r="D24" i="26"/>
  <c r="D25" i="26"/>
  <c r="E25" i="26" s="1"/>
  <c r="F25" i="26" s="1"/>
  <c r="D26" i="26"/>
  <c r="E26" i="26" s="1"/>
  <c r="F26" i="26" s="1"/>
  <c r="D27" i="26"/>
  <c r="E27" i="26" s="1"/>
  <c r="F27" i="26" s="1"/>
  <c r="D28" i="26"/>
  <c r="E28" i="26" s="1"/>
  <c r="F28" i="26" s="1"/>
  <c r="D29" i="26"/>
  <c r="D30" i="26"/>
  <c r="E30" i="26" s="1"/>
  <c r="F30" i="26" s="1"/>
  <c r="C92" i="62"/>
  <c r="D98" i="62"/>
  <c r="C91" i="26"/>
  <c r="E29" i="62"/>
  <c r="C7" i="58"/>
  <c r="B7" i="58"/>
  <c r="C6" i="51"/>
  <c r="D6" i="51" s="1"/>
  <c r="C7" i="51"/>
  <c r="B8" i="51"/>
  <c r="B10" i="51" s="1"/>
  <c r="C9" i="51"/>
  <c r="D9" i="51" s="1"/>
  <c r="E9" i="51" s="1"/>
  <c r="F9" i="51" s="1"/>
  <c r="G9" i="51" s="1"/>
  <c r="C12" i="51"/>
  <c r="D12" i="51" s="1"/>
  <c r="C24" i="51"/>
  <c r="D24" i="51" s="1"/>
  <c r="C26" i="51"/>
  <c r="D26" i="51" s="1"/>
  <c r="E26" i="51" s="1"/>
  <c r="F26" i="51" s="1"/>
  <c r="G26" i="51" s="1"/>
  <c r="C46" i="51"/>
  <c r="D46" i="51" s="1"/>
  <c r="E46" i="51" s="1"/>
  <c r="F46" i="51" s="1"/>
  <c r="C35" i="51"/>
  <c r="D35" i="51" s="1"/>
  <c r="E35" i="51" s="1"/>
  <c r="C36" i="51"/>
  <c r="D36" i="51" s="1"/>
  <c r="E36" i="51" s="1"/>
  <c r="F36" i="51" s="1"/>
  <c r="G36" i="51" s="1"/>
  <c r="C37" i="51"/>
  <c r="D37" i="51" s="1"/>
  <c r="E37" i="51" s="1"/>
  <c r="F37" i="51" s="1"/>
  <c r="G37" i="51" s="1"/>
  <c r="C38" i="51"/>
  <c r="D38" i="51" s="1"/>
  <c r="E38" i="51" s="1"/>
  <c r="F38" i="51" s="1"/>
  <c r="G38" i="51" s="1"/>
  <c r="C39" i="51"/>
  <c r="D39" i="51" s="1"/>
  <c r="C40" i="51"/>
  <c r="C41" i="51"/>
  <c r="D41" i="51" s="1"/>
  <c r="E41" i="51" s="1"/>
  <c r="C42" i="51"/>
  <c r="D42" i="51" s="1"/>
  <c r="E42" i="51" s="1"/>
  <c r="F42" i="51" s="1"/>
  <c r="G42" i="51" s="1"/>
  <c r="C43" i="51"/>
  <c r="D43" i="51" s="1"/>
  <c r="C34" i="51"/>
  <c r="D34" i="51" s="1"/>
  <c r="C30" i="51"/>
  <c r="C31" i="51"/>
  <c r="D31" i="51" s="1"/>
  <c r="E31" i="51" s="1"/>
  <c r="F31" i="51" s="1"/>
  <c r="G31" i="51" s="1"/>
  <c r="C29" i="51"/>
  <c r="D29" i="51" s="1"/>
  <c r="C27" i="51"/>
  <c r="D27" i="51" s="1"/>
  <c r="C25" i="51"/>
  <c r="D25" i="51" s="1"/>
  <c r="E25" i="51" s="1"/>
  <c r="F25" i="51" s="1"/>
  <c r="G25" i="51" s="1"/>
  <c r="B44" i="51"/>
  <c r="B32" i="51"/>
  <c r="C13" i="51"/>
  <c r="D13" i="51" s="1"/>
  <c r="E13" i="51" s="1"/>
  <c r="F13" i="51" s="1"/>
  <c r="G13" i="51" s="1"/>
  <c r="D32" i="26" l="1"/>
  <c r="D65" i="26" s="1"/>
  <c r="E29" i="26"/>
  <c r="F29" i="26" s="1"/>
  <c r="F21" i="26"/>
  <c r="D31" i="26"/>
  <c r="E24" i="26"/>
  <c r="F24" i="26" s="1"/>
  <c r="C133" i="62"/>
  <c r="D133" i="62" s="1"/>
  <c r="E133" i="62" s="1"/>
  <c r="C119" i="62"/>
  <c r="C118" i="62"/>
  <c r="B11" i="58"/>
  <c r="C11" i="58"/>
  <c r="C129" i="62"/>
  <c r="C32" i="51"/>
  <c r="C8" i="51"/>
  <c r="C10" i="51" s="1"/>
  <c r="B45" i="51"/>
  <c r="C108" i="62"/>
  <c r="C69" i="26"/>
  <c r="C98" i="62"/>
  <c r="C70" i="26"/>
  <c r="C81" i="62"/>
  <c r="C63" i="26"/>
  <c r="C64" i="26"/>
  <c r="C80" i="62"/>
  <c r="C16" i="62" s="1"/>
  <c r="C62" i="26"/>
  <c r="E27" i="51"/>
  <c r="F27" i="51" s="1"/>
  <c r="G27" i="51" s="1"/>
  <c r="E39" i="51"/>
  <c r="F39" i="51" s="1"/>
  <c r="G39" i="51" s="1"/>
  <c r="D8" i="51"/>
  <c r="D10" i="51" s="1"/>
  <c r="E34" i="51"/>
  <c r="E24" i="51"/>
  <c r="F24" i="51" s="1"/>
  <c r="G24" i="51" s="1"/>
  <c r="E7" i="51"/>
  <c r="F7" i="51" s="1"/>
  <c r="G7" i="51" s="1"/>
  <c r="G46" i="51"/>
  <c r="H46" i="51" s="1"/>
  <c r="E12" i="51"/>
  <c r="F12" i="51" s="1"/>
  <c r="G12" i="51" s="1"/>
  <c r="H38" i="51"/>
  <c r="E43" i="51"/>
  <c r="F43" i="51" s="1"/>
  <c r="G43" i="51" s="1"/>
  <c r="H42" i="51"/>
  <c r="F35" i="51"/>
  <c r="G35" i="51" s="1"/>
  <c r="H9" i="51"/>
  <c r="F41" i="51"/>
  <c r="G41" i="51" s="1"/>
  <c r="H25" i="51"/>
  <c r="H37" i="51"/>
  <c r="D30" i="51"/>
  <c r="E30" i="51" s="1"/>
  <c r="F30" i="51" s="1"/>
  <c r="G30" i="51" s="1"/>
  <c r="D40" i="51"/>
  <c r="E40" i="51" s="1"/>
  <c r="F40" i="51" s="1"/>
  <c r="G40" i="51" s="1"/>
  <c r="H31" i="51"/>
  <c r="E29" i="51"/>
  <c r="E6" i="51"/>
  <c r="H13" i="51"/>
  <c r="H26" i="51"/>
  <c r="C44" i="51"/>
  <c r="H36" i="51"/>
  <c r="D129" i="62"/>
  <c r="C84" i="26"/>
  <c r="D84" i="26" s="1"/>
  <c r="E84" i="26" s="1"/>
  <c r="F84" i="26" s="1"/>
  <c r="D108" i="62"/>
  <c r="C145" i="62"/>
  <c r="C36" i="62"/>
  <c r="C95" i="62" s="1"/>
  <c r="C29" i="62"/>
  <c r="D29" i="62"/>
  <c r="D36" i="62" s="1"/>
  <c r="D81" i="62"/>
  <c r="C95" i="26"/>
  <c r="C74" i="26"/>
  <c r="C72" i="26"/>
  <c r="C31" i="26"/>
  <c r="C83" i="26"/>
  <c r="D83" i="26" s="1"/>
  <c r="E83" i="26" s="1"/>
  <c r="F83" i="26" s="1"/>
  <c r="C77" i="26"/>
  <c r="C75" i="26"/>
  <c r="C32" i="26"/>
  <c r="C65" i="26" s="1"/>
  <c r="C45" i="62" l="1"/>
  <c r="C77" i="62" s="1"/>
  <c r="C89" i="62"/>
  <c r="C45" i="51"/>
  <c r="D67" i="26"/>
  <c r="D85" i="26" s="1"/>
  <c r="E31" i="26"/>
  <c r="E32" i="26"/>
  <c r="E65" i="26" s="1"/>
  <c r="F32" i="26"/>
  <c r="F65" i="26" s="1"/>
  <c r="F31" i="26"/>
  <c r="D84" i="62"/>
  <c r="D80" i="62" s="1"/>
  <c r="H41" i="51"/>
  <c r="F129" i="62"/>
  <c r="F142" i="62" s="1"/>
  <c r="F108" i="62"/>
  <c r="E92" i="62"/>
  <c r="F63" i="26"/>
  <c r="E81" i="62"/>
  <c r="F117" i="62"/>
  <c r="F29" i="62" s="1"/>
  <c r="E36" i="62"/>
  <c r="E98" i="62"/>
  <c r="E16" i="62"/>
  <c r="F100" i="62"/>
  <c r="E100" i="62"/>
  <c r="E108" i="62"/>
  <c r="F64" i="26"/>
  <c r="F62" i="26"/>
  <c r="E80" i="62"/>
  <c r="E145" i="62"/>
  <c r="H39" i="51"/>
  <c r="H27" i="51"/>
  <c r="H12" i="51"/>
  <c r="C19" i="26"/>
  <c r="C61" i="26" s="1"/>
  <c r="C67" i="26" s="1"/>
  <c r="C86" i="88" s="1"/>
  <c r="C18" i="26"/>
  <c r="E135" i="62"/>
  <c r="C135" i="62"/>
  <c r="H43" i="51"/>
  <c r="H35" i="51"/>
  <c r="D32" i="51"/>
  <c r="H24" i="51"/>
  <c r="E8" i="51"/>
  <c r="E10" i="51" s="1"/>
  <c r="F6" i="51"/>
  <c r="H40" i="51"/>
  <c r="D44" i="51"/>
  <c r="H30" i="51"/>
  <c r="E44" i="51"/>
  <c r="F34" i="51"/>
  <c r="E32" i="51"/>
  <c r="F29" i="51"/>
  <c r="F11" i="51"/>
  <c r="H7" i="51"/>
  <c r="D99" i="62"/>
  <c r="C71" i="26"/>
  <c r="C92" i="26"/>
  <c r="D95" i="62"/>
  <c r="C76" i="26"/>
  <c r="F23" i="51" l="1"/>
  <c r="G11" i="51"/>
  <c r="C87" i="88"/>
  <c r="C76" i="88" s="1"/>
  <c r="E89" i="62"/>
  <c r="D16" i="62"/>
  <c r="D45" i="62" s="1"/>
  <c r="D77" i="62" s="1"/>
  <c r="F35" i="62"/>
  <c r="E95" i="62"/>
  <c r="F54" i="62"/>
  <c r="F77" i="26"/>
  <c r="F36" i="62"/>
  <c r="F95" i="62" s="1"/>
  <c r="F16" i="62"/>
  <c r="E67" i="26"/>
  <c r="E86" i="88" s="1"/>
  <c r="F18" i="26"/>
  <c r="F36" i="26" s="1"/>
  <c r="F59" i="26" s="1"/>
  <c r="F19" i="26"/>
  <c r="F61" i="26" s="1"/>
  <c r="D91" i="62"/>
  <c r="C36" i="26"/>
  <c r="C59" i="26" s="1"/>
  <c r="C85" i="26" s="1"/>
  <c r="F92" i="62"/>
  <c r="F80" i="62"/>
  <c r="F98" i="62"/>
  <c r="F81" i="62"/>
  <c r="E91" i="62"/>
  <c r="F145" i="62"/>
  <c r="E45" i="51"/>
  <c r="C86" i="62"/>
  <c r="D135" i="62"/>
  <c r="D45" i="51"/>
  <c r="G23" i="51"/>
  <c r="F44" i="51"/>
  <c r="G34" i="51"/>
  <c r="G29" i="51"/>
  <c r="G32" i="51" s="1"/>
  <c r="F32" i="51"/>
  <c r="G6" i="51"/>
  <c r="G8" i="51" s="1"/>
  <c r="G10" i="51" s="1"/>
  <c r="F8" i="51"/>
  <c r="F10" i="51" s="1"/>
  <c r="C93" i="26"/>
  <c r="C88" i="88" l="1"/>
  <c r="C121" i="88" s="1"/>
  <c r="E87" i="88"/>
  <c r="E76" i="88" s="1"/>
  <c r="E85" i="26"/>
  <c r="E93" i="62"/>
  <c r="F89" i="62"/>
  <c r="H11" i="51"/>
  <c r="H23" i="51"/>
  <c r="E86" i="62"/>
  <c r="F67" i="26"/>
  <c r="F86" i="88" s="1"/>
  <c r="F55" i="62"/>
  <c r="F91" i="62" s="1"/>
  <c r="C87" i="26"/>
  <c r="D87" i="26" s="1"/>
  <c r="H10" i="51"/>
  <c r="F45" i="51"/>
  <c r="H6" i="51"/>
  <c r="H8" i="51"/>
  <c r="H32" i="51"/>
  <c r="F133" i="62"/>
  <c r="G44" i="51"/>
  <c r="H44" i="51" s="1"/>
  <c r="H34" i="51"/>
  <c r="H29" i="51"/>
  <c r="E88" i="88" l="1"/>
  <c r="J88" i="88" s="1"/>
  <c r="F87" i="88"/>
  <c r="F76" i="88" s="1"/>
  <c r="C61" i="88"/>
  <c r="J76" i="88"/>
  <c r="F93" i="62"/>
  <c r="F85" i="26"/>
  <c r="E87" i="26"/>
  <c r="C88" i="26"/>
  <c r="F135" i="62"/>
  <c r="G45" i="51"/>
  <c r="H45" i="51" s="1"/>
  <c r="F88" i="88" l="1"/>
  <c r="F121" i="88" s="1"/>
  <c r="F61" i="88" s="1"/>
  <c r="E121" i="88"/>
  <c r="J121" i="88" s="1"/>
  <c r="C124" i="88"/>
  <c r="C123" i="88"/>
  <c r="C89" i="26"/>
  <c r="C94" i="26" s="1"/>
  <c r="C131" i="88" s="1"/>
  <c r="D88" i="26"/>
  <c r="F87" i="26"/>
  <c r="E61" i="88" l="1"/>
  <c r="J61" i="88" s="1"/>
  <c r="C125" i="88"/>
  <c r="C139" i="88" s="1"/>
  <c r="C140" i="88" s="1"/>
  <c r="C142" i="88" s="1"/>
  <c r="C146" i="88" s="1"/>
  <c r="C144" i="88" s="1"/>
  <c r="F124" i="88"/>
  <c r="F123" i="88"/>
  <c r="C131" i="62"/>
  <c r="C97" i="26"/>
  <c r="C96" i="26"/>
  <c r="E88" i="26"/>
  <c r="D89" i="26"/>
  <c r="E124" i="88" l="1"/>
  <c r="J124" i="88" s="1"/>
  <c r="E123" i="88"/>
  <c r="J123" i="88" s="1"/>
  <c r="F125" i="88"/>
  <c r="F139" i="88" s="1"/>
  <c r="C82" i="62"/>
  <c r="D97" i="26"/>
  <c r="D99" i="26" s="1"/>
  <c r="D132" i="88" s="1"/>
  <c r="D134" i="88" s="1"/>
  <c r="D136" i="88" s="1"/>
  <c r="D137" i="88" s="1"/>
  <c r="D140" i="88" s="1"/>
  <c r="D142" i="88" s="1"/>
  <c r="D146" i="88" s="1"/>
  <c r="D144" i="88" s="1"/>
  <c r="D94" i="26"/>
  <c r="D131" i="88" s="1"/>
  <c r="F88" i="26"/>
  <c r="E89" i="26"/>
  <c r="C132" i="62"/>
  <c r="C134" i="62" s="1"/>
  <c r="C136" i="62" s="1"/>
  <c r="C137" i="62" s="1"/>
  <c r="E125" i="88" l="1"/>
  <c r="E139" i="88" s="1"/>
  <c r="D132" i="62"/>
  <c r="D134" i="62" s="1"/>
  <c r="D136" i="62" s="1"/>
  <c r="D137" i="62" s="1"/>
  <c r="F89" i="26"/>
  <c r="E97" i="26"/>
  <c r="E99" i="26" s="1"/>
  <c r="E132" i="88" s="1"/>
  <c r="E134" i="88" s="1"/>
  <c r="E136" i="88" s="1"/>
  <c r="E137" i="88" s="1"/>
  <c r="E94" i="26"/>
  <c r="D96" i="26"/>
  <c r="D131" i="62"/>
  <c r="E140" i="88" l="1"/>
  <c r="E132" i="62"/>
  <c r="E134" i="62" s="1"/>
  <c r="E136" i="62" s="1"/>
  <c r="E137" i="62" s="1"/>
  <c r="E82" i="62"/>
  <c r="F94" i="26"/>
  <c r="F96" i="26" s="1"/>
  <c r="F97" i="26"/>
  <c r="F99" i="26" s="1"/>
  <c r="F132" i="88" s="1"/>
  <c r="F134" i="88" s="1"/>
  <c r="F136" i="88" s="1"/>
  <c r="F137" i="88" s="1"/>
  <c r="F140" i="88" s="1"/>
  <c r="E96" i="26"/>
  <c r="F146" i="88" l="1"/>
  <c r="F144" i="88" s="1"/>
  <c r="J142" i="88"/>
  <c r="F132" i="62"/>
  <c r="F134" i="62" s="1"/>
  <c r="F136" i="62" s="1"/>
  <c r="F137" i="62" s="1"/>
  <c r="E94" i="62"/>
  <c r="E146" i="88" l="1"/>
  <c r="J146" i="88" s="1"/>
  <c r="F115" i="62"/>
  <c r="E144" i="88" l="1"/>
  <c r="J144" i="88" s="1"/>
  <c r="E83" i="62" l="1"/>
  <c r="D82" i="62" l="1"/>
  <c r="D55" i="62"/>
  <c r="D30" i="62" l="1"/>
  <c r="D83" i="62" s="1"/>
  <c r="D115" i="62"/>
  <c r="C55" i="62"/>
  <c r="C91" i="62" s="1"/>
  <c r="F86" i="62"/>
  <c r="D86" i="62"/>
  <c r="C30" i="62"/>
  <c r="C83" i="62" s="1"/>
  <c r="D93" i="62"/>
  <c r="C93" i="62"/>
  <c r="E42" i="62"/>
  <c r="E45" i="62" s="1"/>
  <c r="E97" i="62"/>
  <c r="F42" i="62"/>
  <c r="F45" i="62" s="1"/>
  <c r="F77" i="62" s="1"/>
  <c r="F104" i="62"/>
  <c r="F97" i="62"/>
  <c r="F99" i="62" s="1"/>
  <c r="E104" i="62"/>
  <c r="D85" i="62" l="1"/>
  <c r="D87" i="62" s="1"/>
  <c r="D76" i="62" s="1"/>
  <c r="E99" i="62"/>
  <c r="C85" i="62"/>
  <c r="C87" i="62" s="1"/>
  <c r="E77" i="62"/>
  <c r="C76" i="62" l="1"/>
  <c r="D88" i="62"/>
  <c r="C88" i="62"/>
  <c r="C94" i="62"/>
  <c r="D94" i="62"/>
  <c r="D121" i="62" l="1"/>
  <c r="D61" i="62" s="1"/>
  <c r="D123" i="62" s="1"/>
  <c r="D124" i="62" l="1"/>
  <c r="D125" i="62" s="1"/>
  <c r="D139" i="62" s="1"/>
  <c r="D140" i="62" s="1"/>
  <c r="D142" i="62" s="1"/>
  <c r="D146" i="62" s="1"/>
  <c r="D144" i="62" s="1"/>
  <c r="C97" i="62"/>
  <c r="C99" i="62" s="1"/>
  <c r="C115" i="62"/>
  <c r="F82" i="62"/>
  <c r="F83" i="62"/>
  <c r="F94" i="62"/>
  <c r="E115" i="62"/>
  <c r="C121" i="62" l="1"/>
  <c r="C61" i="62" s="1"/>
  <c r="C124" i="62" s="1"/>
  <c r="F85" i="62"/>
  <c r="C123" i="62" l="1"/>
  <c r="C125" i="62" s="1"/>
  <c r="C139" i="62" s="1"/>
  <c r="C140" i="62" s="1"/>
  <c r="C142" i="62" s="1"/>
  <c r="C146" i="62" s="1"/>
  <c r="C144" i="62" s="1"/>
  <c r="E85" i="62"/>
  <c r="F87" i="62"/>
  <c r="F76" i="62" s="1"/>
  <c r="F88" i="62" l="1"/>
  <c r="F121" i="62" s="1"/>
  <c r="F61" i="62" s="1"/>
  <c r="E87" i="62"/>
  <c r="E88" i="62" s="1"/>
  <c r="E76" i="62" l="1"/>
  <c r="F124" i="62"/>
  <c r="F123" i="62"/>
  <c r="E121" i="62" l="1"/>
  <c r="E61" i="62" s="1"/>
  <c r="F125" i="62"/>
  <c r="F139" i="62" s="1"/>
  <c r="F140" i="62" s="1"/>
  <c r="F146" i="62" l="1"/>
  <c r="F144" i="62" s="1"/>
  <c r="E123" i="62"/>
  <c r="E124" i="62"/>
  <c r="E125" i="62" l="1"/>
  <c r="E139" i="62" l="1"/>
  <c r="E140" i="62" s="1"/>
  <c r="E146" i="62" l="1"/>
  <c r="E144"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I1" authorId="0" shapeId="0" xr:uid="{96410936-0177-43A8-99C2-794EF2FF4A5B}">
      <text>
        <r>
          <rPr>
            <b/>
            <sz val="9"/>
            <color indexed="81"/>
            <rFont val="Tahoma"/>
            <family val="2"/>
          </rPr>
          <t>Highlighted Charter Schools Regular and Special Ed Allotments adjusted based on TAC 61.1004</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C1" authorId="0" shapeId="0" xr:uid="{55D7432C-E79B-4B7B-B0B3-8E08E17C479F}">
      <text>
        <r>
          <rPr>
            <sz val="9"/>
            <color indexed="81"/>
            <rFont val="Tahoma"/>
            <family val="2"/>
          </rPr>
          <t xml:space="preserve">Published Summary of Finance for June or July. Charter district payments effective September based on these prior year estimates or revised estimates submitted in the FSP Estimate Data Report by August 1 deadline (no late submissions accepted). 
</t>
        </r>
      </text>
    </comment>
    <comment ref="D1" authorId="0" shapeId="0" xr:uid="{7D75A637-FCDF-4215-ADEE-768CAC231655}">
      <text>
        <r>
          <rPr>
            <sz val="9"/>
            <color indexed="81"/>
            <rFont val="Tahoma"/>
            <family val="2"/>
          </rPr>
          <t>The Revised Estimates, No Data Entry column provides the September 10 SOF estimate forecast of FSP based on the charter district's entry of data in the Estimates worksheet.</t>
        </r>
      </text>
    </comment>
    <comment ref="C2" authorId="0" shapeId="0" xr:uid="{1405D67B-06B6-49A7-97B5-515D18621741}">
      <text>
        <r>
          <rPr>
            <sz val="9"/>
            <color indexed="81"/>
            <rFont val="Tahoma"/>
            <family val="2"/>
          </rPr>
          <t xml:space="preserve">Published Summary of Finance for June or July. Charter district payments effective September based on these prior year estimates or revised estimates submitted in the FSP Estimate Data Report by August 1 deadline (no late submissions accepted). 
</t>
        </r>
      </text>
    </comment>
    <comment ref="D2" authorId="0" shapeId="0" xr:uid="{515EA412-EC46-4E70-86F4-C360038DC57A}">
      <text>
        <r>
          <rPr>
            <sz val="9"/>
            <color indexed="81"/>
            <rFont val="Tahoma"/>
            <family val="2"/>
          </rPr>
          <t xml:space="preserve">The FSP Estimates SOF column produces a view of the September 10 SOF and potential new basis for payments if the FSP Estimate Data Report is submitted and approved.    </t>
        </r>
      </text>
    </comment>
    <comment ref="E63" authorId="0" shapeId="0" xr:uid="{73F974EE-CE9E-450B-8B8D-6290CBCE1993}">
      <text>
        <r>
          <rPr>
            <sz val="12"/>
            <color indexed="81"/>
            <rFont val="Tahoma"/>
            <family val="2"/>
          </rPr>
          <t xml:space="preserve">To reconcile with Foundation Monthly "Cash Flow" Summary of Finance publications, ensure to update Column E's Funding Component rows, with the latest values from the Summary of Finance report.
</t>
        </r>
      </text>
    </comment>
    <comment ref="E69" authorId="0" shapeId="0" xr:uid="{1B81A141-5B9E-4609-8A05-258416453DD3}">
      <text>
        <r>
          <rPr>
            <b/>
            <sz val="9"/>
            <color indexed="81"/>
            <rFont val="Tahoma"/>
            <family val="2"/>
          </rPr>
          <t>Update based on latest SOF</t>
        </r>
      </text>
    </comment>
    <comment ref="E70" authorId="0" shapeId="0" xr:uid="{EDD33867-019B-4E80-8A4B-6A582BAE7435}">
      <text>
        <r>
          <rPr>
            <b/>
            <sz val="9"/>
            <color indexed="81"/>
            <rFont val="Tahoma"/>
            <family val="2"/>
          </rPr>
          <t>Update based on latest SOF</t>
        </r>
      </text>
    </comment>
    <comment ref="E71" authorId="0" shapeId="0" xr:uid="{56AA7352-F058-4D9F-88EA-D0C3757DA4F2}">
      <text>
        <r>
          <rPr>
            <b/>
            <sz val="9"/>
            <color indexed="81"/>
            <rFont val="Tahoma"/>
            <family val="2"/>
          </rPr>
          <t>Update based on latest SOF</t>
        </r>
      </text>
    </comment>
    <comment ref="E72" authorId="0" shapeId="0" xr:uid="{3E2597F6-C99C-48D7-8754-645215DD007E}">
      <text>
        <r>
          <rPr>
            <b/>
            <sz val="9"/>
            <color indexed="81"/>
            <rFont val="Tahoma"/>
            <family val="2"/>
          </rPr>
          <t xml:space="preserve">Edit based on latest SOF.
</t>
        </r>
        <r>
          <rPr>
            <sz val="9"/>
            <color indexed="81"/>
            <rFont val="Tahoma"/>
            <family val="2"/>
          </rPr>
          <t xml:space="preserve">
</t>
        </r>
      </text>
    </comment>
    <comment ref="E84" authorId="0" shapeId="0" xr:uid="{0D034BCF-97AE-45C7-A373-0302A1979FD3}">
      <text>
        <r>
          <rPr>
            <b/>
            <sz val="9"/>
            <color indexed="81"/>
            <rFont val="Tahoma"/>
            <family val="2"/>
          </rPr>
          <t>Update based on latest SOF</t>
        </r>
        <r>
          <rPr>
            <sz val="9"/>
            <color indexed="81"/>
            <rFont val="Tahoma"/>
            <family val="2"/>
          </rPr>
          <t xml:space="preserve">
</t>
        </r>
      </text>
    </comment>
    <comment ref="E103" authorId="0" shapeId="0" xr:uid="{3C4785AB-825E-4659-9944-1E12393C2358}">
      <text>
        <r>
          <rPr>
            <b/>
            <sz val="9"/>
            <color indexed="81"/>
            <rFont val="Tahoma"/>
            <family val="2"/>
          </rPr>
          <t>Updated based on latest SOF</t>
        </r>
        <r>
          <rPr>
            <sz val="9"/>
            <color indexed="81"/>
            <rFont val="Tahoma"/>
            <family val="2"/>
          </rPr>
          <t xml:space="preserve">
</t>
        </r>
      </text>
    </comment>
    <comment ref="E105" authorId="0" shapeId="0" xr:uid="{DE49F4B3-CE24-4DDF-85BE-8F6A4FD7FD48}">
      <text>
        <r>
          <rPr>
            <b/>
            <sz val="9"/>
            <color indexed="81"/>
            <rFont val="Tahoma"/>
            <family val="2"/>
          </rPr>
          <t>Update Based on latest SOF</t>
        </r>
        <r>
          <rPr>
            <sz val="9"/>
            <color indexed="81"/>
            <rFont val="Tahoma"/>
            <family val="2"/>
          </rPr>
          <t xml:space="preserve">
</t>
        </r>
      </text>
    </comment>
    <comment ref="E106" authorId="0" shapeId="0" xr:uid="{4CE64E2A-AE3E-4BA7-9A0A-35CFEEA91BCD}">
      <text>
        <r>
          <rPr>
            <b/>
            <sz val="9"/>
            <color indexed="81"/>
            <rFont val="Tahoma"/>
            <family val="2"/>
          </rPr>
          <t>Update Based on latest SOF</t>
        </r>
        <r>
          <rPr>
            <sz val="9"/>
            <color indexed="81"/>
            <rFont val="Tahoma"/>
            <family val="2"/>
          </rPr>
          <t xml:space="preserve">
</t>
        </r>
      </text>
    </comment>
    <comment ref="E107" authorId="0" shapeId="0" xr:uid="{32E3A123-1F52-42E3-80BF-4F1D140F14D7}">
      <text>
        <r>
          <rPr>
            <b/>
            <sz val="9"/>
            <color indexed="81"/>
            <rFont val="Tahoma"/>
            <family val="2"/>
          </rPr>
          <t>Update Based on latest SOF</t>
        </r>
        <r>
          <rPr>
            <sz val="9"/>
            <color indexed="81"/>
            <rFont val="Tahoma"/>
            <family val="2"/>
          </rPr>
          <t xml:space="preserve">
</t>
        </r>
      </text>
    </comment>
    <comment ref="E111" authorId="0" shapeId="0" xr:uid="{657CF21E-89B2-4F8F-98F2-7A837D37579B}">
      <text>
        <r>
          <rPr>
            <b/>
            <sz val="9"/>
            <color indexed="81"/>
            <rFont val="Tahoma"/>
            <family val="2"/>
          </rPr>
          <t>Update Based on latest SOF</t>
        </r>
        <r>
          <rPr>
            <sz val="9"/>
            <color indexed="81"/>
            <rFont val="Tahoma"/>
            <family val="2"/>
          </rPr>
          <t xml:space="preserve">
</t>
        </r>
      </text>
    </comment>
    <comment ref="E113" authorId="0" shapeId="0" xr:uid="{42595A98-0E8F-450C-8E5E-8F4DCB9AA9BC}">
      <text>
        <r>
          <rPr>
            <b/>
            <sz val="9"/>
            <color indexed="81"/>
            <rFont val="Tahoma"/>
            <family val="2"/>
          </rPr>
          <t>Update Based on latest SOF</t>
        </r>
        <r>
          <rPr>
            <sz val="9"/>
            <color indexed="81"/>
            <rFont val="Tahoma"/>
            <family val="2"/>
          </rPr>
          <t xml:space="preserve">
</t>
        </r>
      </text>
    </comment>
    <comment ref="E114" authorId="0" shapeId="0" xr:uid="{F5F0EEDC-7FE8-4353-B884-FEBECB1B4FCA}">
      <text>
        <r>
          <rPr>
            <b/>
            <sz val="9"/>
            <color indexed="81"/>
            <rFont val="Tahoma"/>
            <family val="2"/>
          </rPr>
          <t>Update Based on latest SOF</t>
        </r>
        <r>
          <rPr>
            <sz val="9"/>
            <color indexed="81"/>
            <rFont val="Tahoma"/>
            <family val="2"/>
          </rPr>
          <t xml:space="preserve">
</t>
        </r>
      </text>
    </comment>
    <comment ref="E116" authorId="0" shapeId="0" xr:uid="{95B8ECE6-E7A0-4DFE-8BBC-6C5F8138B971}">
      <text>
        <r>
          <rPr>
            <b/>
            <sz val="9"/>
            <color indexed="81"/>
            <rFont val="Tahoma"/>
            <family val="2"/>
          </rPr>
          <t>Update Based on latest SOF</t>
        </r>
        <r>
          <rPr>
            <sz val="9"/>
            <color indexed="81"/>
            <rFont val="Tahoma"/>
            <family val="2"/>
          </rPr>
          <t xml:space="preserve">
</t>
        </r>
      </text>
    </comment>
    <comment ref="E118" authorId="0" shapeId="0" xr:uid="{5E4F34D0-1D36-421D-88C7-F9BCA3E09EFD}">
      <text>
        <r>
          <rPr>
            <b/>
            <sz val="9"/>
            <color indexed="81"/>
            <rFont val="Tahoma"/>
            <family val="2"/>
          </rPr>
          <t>Update Based on latest SOF</t>
        </r>
        <r>
          <rPr>
            <sz val="9"/>
            <color indexed="81"/>
            <rFont val="Tahoma"/>
            <family val="2"/>
          </rPr>
          <t xml:space="preserve">
</t>
        </r>
      </text>
    </comment>
    <comment ref="E119" authorId="0" shapeId="0" xr:uid="{ACFD4B00-2CC2-4B90-8E66-7760AE1E4E03}">
      <text>
        <r>
          <rPr>
            <b/>
            <sz val="9"/>
            <color indexed="81"/>
            <rFont val="Tahoma"/>
            <family val="2"/>
          </rPr>
          <t>Update Based on latest SOF</t>
        </r>
        <r>
          <rPr>
            <sz val="9"/>
            <color indexed="81"/>
            <rFont val="Tahoma"/>
            <family val="2"/>
          </rPr>
          <t xml:space="preserve">
</t>
        </r>
      </text>
    </comment>
    <comment ref="A145" authorId="0" shapeId="0" xr:uid="{E334563A-89E2-4E9C-B84E-CB62C28D6840}">
      <text>
        <r>
          <rPr>
            <sz val="10"/>
            <color indexed="81"/>
            <rFont val="Verdana"/>
            <family val="2"/>
          </rPr>
          <t>The Available School Fund (ASF) serves as a finance method for the Foundation School Program (FSP). This source of revenue helps pay the state’s FSP payments to districts. ASF payments are based on a district’s prior year average daily attendance (ADA), see line 60. The payment rate per ADA (the distribution rate), see line 61, is adopted each year by the State Board of Education. Payments from the Available School Fund (per capita) are made monthly on a per ADA basis (except in January and February, when payments are based on a set percentage if funds are available to be distributed. The amount per ADA paid each month is not known until that month.</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C1" authorId="0" shapeId="0" xr:uid="{90AB7BF0-057F-4431-B304-1CBC7E9DDCBB}">
      <text>
        <r>
          <rPr>
            <sz val="9"/>
            <color indexed="81"/>
            <rFont val="Tahoma"/>
            <family val="2"/>
          </rPr>
          <t xml:space="preserve">Published Summary of Finance for June or July. Charter district payments effective September based on these prior year estimates or revised estimates submitted in the FSP Estimate Data Report by August 1 deadline (no late submissions accepted). 
</t>
        </r>
      </text>
    </comment>
    <comment ref="D1" authorId="0" shapeId="0" xr:uid="{99A2C561-7418-4A2D-A0AD-1A4113C1D8EE}">
      <text>
        <r>
          <rPr>
            <sz val="9"/>
            <color indexed="81"/>
            <rFont val="Tahoma"/>
            <family val="2"/>
          </rPr>
          <t>The Revised Estimates, No Data Entry column provides the September 10 SOF estimate forecast of FSP based on the charter district's entry of data in the Estimates worksheet.</t>
        </r>
      </text>
    </comment>
    <comment ref="C2" authorId="0" shapeId="0" xr:uid="{9B1C2EE5-D051-444E-A7C9-92F4CF46F4FB}">
      <text>
        <r>
          <rPr>
            <sz val="9"/>
            <color indexed="81"/>
            <rFont val="Tahoma"/>
            <family val="2"/>
          </rPr>
          <t xml:space="preserve">Published Summary of Finance for June or July. Charter district payments effective September based on these prior year estimates or revised estimates submitted in the FSP Estimate Data Report by August 1 deadline (no late submissions accepted). 
</t>
        </r>
      </text>
    </comment>
    <comment ref="D2" authorId="0" shapeId="0" xr:uid="{445228B5-3F7D-4C61-BDB2-F1C44A631119}">
      <text>
        <r>
          <rPr>
            <sz val="9"/>
            <color indexed="81"/>
            <rFont val="Tahoma"/>
            <family val="2"/>
          </rPr>
          <t xml:space="preserve">The FSP Estimates SOF column produces a view of the September 10 SOF and potential new basis for payments if the FSP Estimate Data Report is submitted and approved.    </t>
        </r>
      </text>
    </comment>
    <comment ref="E63" authorId="0" shapeId="0" xr:uid="{175D7B64-5813-4C84-A2F1-3192EC8C563C}">
      <text>
        <r>
          <rPr>
            <sz val="12"/>
            <color indexed="81"/>
            <rFont val="Tahoma"/>
            <family val="2"/>
          </rPr>
          <t xml:space="preserve">To reconcile with Foundation Monthly "Cash Flow" Summary of Finance publications, ensure to update Column E's Funding Component rows, with the latest values from the Summary of Finance report.
</t>
        </r>
      </text>
    </comment>
    <comment ref="E69" authorId="0" shapeId="0" xr:uid="{8C361499-1534-4404-99E3-32B4CBFD2C5B}">
      <text>
        <r>
          <rPr>
            <b/>
            <sz val="9"/>
            <color indexed="81"/>
            <rFont val="Tahoma"/>
            <family val="2"/>
          </rPr>
          <t>Update based on latest SOF</t>
        </r>
      </text>
    </comment>
    <comment ref="F69" authorId="0" shapeId="0" xr:uid="{0B2FFF93-B35F-4DB1-85C8-CE73130630DD}">
      <text>
        <r>
          <rPr>
            <b/>
            <sz val="9"/>
            <color indexed="81"/>
            <rFont val="Tahoma"/>
            <family val="2"/>
          </rPr>
          <t>Update based on latest SOF</t>
        </r>
      </text>
    </comment>
    <comment ref="E70" authorId="0" shapeId="0" xr:uid="{0096BBE3-D3EE-4A08-AF11-9F161BF97851}">
      <text>
        <r>
          <rPr>
            <b/>
            <sz val="9"/>
            <color indexed="81"/>
            <rFont val="Tahoma"/>
            <family val="2"/>
          </rPr>
          <t>Update based on latest SOF</t>
        </r>
      </text>
    </comment>
    <comment ref="F70" authorId="0" shapeId="0" xr:uid="{DB3B05BB-AC3F-45F4-A337-FF15840182A2}">
      <text>
        <r>
          <rPr>
            <b/>
            <sz val="9"/>
            <color indexed="81"/>
            <rFont val="Tahoma"/>
            <family val="2"/>
          </rPr>
          <t>Update based on latest SOF</t>
        </r>
      </text>
    </comment>
    <comment ref="E71" authorId="0" shapeId="0" xr:uid="{CB5B868F-D0DA-4624-9AE1-29877608F7AD}">
      <text>
        <r>
          <rPr>
            <b/>
            <sz val="9"/>
            <color indexed="81"/>
            <rFont val="Tahoma"/>
            <family val="2"/>
          </rPr>
          <t>Update based on latest SOF</t>
        </r>
      </text>
    </comment>
    <comment ref="F71" authorId="0" shapeId="0" xr:uid="{563FCADB-D2A3-4986-9FE7-8905CC448CE1}">
      <text>
        <r>
          <rPr>
            <b/>
            <sz val="9"/>
            <color indexed="81"/>
            <rFont val="Tahoma"/>
            <family val="2"/>
          </rPr>
          <t>Update based on latest SOF</t>
        </r>
      </text>
    </comment>
    <comment ref="E72" authorId="0" shapeId="0" xr:uid="{E482211F-38E1-4A8E-8D40-65067C14D977}">
      <text>
        <r>
          <rPr>
            <b/>
            <sz val="9"/>
            <color indexed="81"/>
            <rFont val="Tahoma"/>
            <family val="2"/>
          </rPr>
          <t xml:space="preserve">Edit based on latest SOF.
</t>
        </r>
        <r>
          <rPr>
            <sz val="9"/>
            <color indexed="81"/>
            <rFont val="Tahoma"/>
            <family val="2"/>
          </rPr>
          <t xml:space="preserve">
</t>
        </r>
      </text>
    </comment>
    <comment ref="F72" authorId="0" shapeId="0" xr:uid="{1D8ED4A0-5595-4F37-98A3-411BF228AB14}">
      <text>
        <r>
          <rPr>
            <b/>
            <sz val="9"/>
            <color indexed="81"/>
            <rFont val="Tahoma"/>
            <family val="2"/>
          </rPr>
          <t xml:space="preserve">Edit based on latest SOF.
</t>
        </r>
        <r>
          <rPr>
            <sz val="9"/>
            <color indexed="81"/>
            <rFont val="Tahoma"/>
            <family val="2"/>
          </rPr>
          <t xml:space="preserve">
</t>
        </r>
      </text>
    </comment>
    <comment ref="E84" authorId="0" shapeId="0" xr:uid="{F195FE64-9C4A-4EB2-BD6E-8CB53B566631}">
      <text>
        <r>
          <rPr>
            <b/>
            <sz val="9"/>
            <color indexed="81"/>
            <rFont val="Tahoma"/>
            <family val="2"/>
          </rPr>
          <t>Update based on latest SOF</t>
        </r>
        <r>
          <rPr>
            <sz val="9"/>
            <color indexed="81"/>
            <rFont val="Tahoma"/>
            <family val="2"/>
          </rPr>
          <t xml:space="preserve">
</t>
        </r>
      </text>
    </comment>
    <comment ref="F84" authorId="0" shapeId="0" xr:uid="{A1FBBD02-1ED3-4068-BDB8-DDCBB2B809C9}">
      <text>
        <r>
          <rPr>
            <b/>
            <sz val="9"/>
            <color indexed="81"/>
            <rFont val="Tahoma"/>
            <family val="2"/>
          </rPr>
          <t>Update based on latest SOF</t>
        </r>
        <r>
          <rPr>
            <sz val="9"/>
            <color indexed="81"/>
            <rFont val="Tahoma"/>
            <family val="2"/>
          </rPr>
          <t xml:space="preserve">
</t>
        </r>
      </text>
    </comment>
    <comment ref="E103" authorId="0" shapeId="0" xr:uid="{74134BE3-BA8C-4617-B14B-4F0A529C6ABE}">
      <text>
        <r>
          <rPr>
            <b/>
            <sz val="9"/>
            <color indexed="81"/>
            <rFont val="Tahoma"/>
            <family val="2"/>
          </rPr>
          <t>Updated based on latest SOF</t>
        </r>
        <r>
          <rPr>
            <sz val="9"/>
            <color indexed="81"/>
            <rFont val="Tahoma"/>
            <family val="2"/>
          </rPr>
          <t xml:space="preserve">
</t>
        </r>
      </text>
    </comment>
    <comment ref="F103" authorId="0" shapeId="0" xr:uid="{206CCAA1-49A2-4252-8199-C4EBCD40CF30}">
      <text>
        <r>
          <rPr>
            <b/>
            <sz val="9"/>
            <color indexed="81"/>
            <rFont val="Tahoma"/>
            <family val="2"/>
          </rPr>
          <t>Updated based on latest SOF</t>
        </r>
        <r>
          <rPr>
            <sz val="9"/>
            <color indexed="81"/>
            <rFont val="Tahoma"/>
            <family val="2"/>
          </rPr>
          <t xml:space="preserve">
</t>
        </r>
      </text>
    </comment>
    <comment ref="E105" authorId="0" shapeId="0" xr:uid="{28CDECAA-4915-49AD-B87C-2BA15BC2A34A}">
      <text>
        <r>
          <rPr>
            <b/>
            <sz val="9"/>
            <color indexed="81"/>
            <rFont val="Tahoma"/>
            <family val="2"/>
          </rPr>
          <t>Update Based on latest SOF</t>
        </r>
        <r>
          <rPr>
            <sz val="9"/>
            <color indexed="81"/>
            <rFont val="Tahoma"/>
            <family val="2"/>
          </rPr>
          <t xml:space="preserve">
</t>
        </r>
      </text>
    </comment>
    <comment ref="F105" authorId="0" shapeId="0" xr:uid="{B8274CA3-2486-4FDF-9990-19D78B5B6805}">
      <text>
        <r>
          <rPr>
            <b/>
            <sz val="9"/>
            <color indexed="81"/>
            <rFont val="Tahoma"/>
            <family val="2"/>
          </rPr>
          <t>Update Based on latest SOF</t>
        </r>
        <r>
          <rPr>
            <sz val="9"/>
            <color indexed="81"/>
            <rFont val="Tahoma"/>
            <family val="2"/>
          </rPr>
          <t xml:space="preserve">
</t>
        </r>
      </text>
    </comment>
    <comment ref="E106" authorId="0" shapeId="0" xr:uid="{AFDB735C-2A86-40C8-99A1-F0D84A0BB804}">
      <text>
        <r>
          <rPr>
            <b/>
            <sz val="9"/>
            <color indexed="81"/>
            <rFont val="Tahoma"/>
            <family val="2"/>
          </rPr>
          <t>Update Based on latest SOF</t>
        </r>
        <r>
          <rPr>
            <sz val="9"/>
            <color indexed="81"/>
            <rFont val="Tahoma"/>
            <family val="2"/>
          </rPr>
          <t xml:space="preserve">
</t>
        </r>
      </text>
    </comment>
    <comment ref="F106" authorId="0" shapeId="0" xr:uid="{1DC4F55F-42E8-4DEF-94FD-E227B99E7D04}">
      <text>
        <r>
          <rPr>
            <b/>
            <sz val="9"/>
            <color indexed="81"/>
            <rFont val="Tahoma"/>
            <family val="2"/>
          </rPr>
          <t>Update Based on latest SOF</t>
        </r>
        <r>
          <rPr>
            <sz val="9"/>
            <color indexed="81"/>
            <rFont val="Tahoma"/>
            <family val="2"/>
          </rPr>
          <t xml:space="preserve">
</t>
        </r>
      </text>
    </comment>
    <comment ref="E107" authorId="0" shapeId="0" xr:uid="{94EA90B2-0B95-4410-985C-5F3E8D24B895}">
      <text>
        <r>
          <rPr>
            <b/>
            <sz val="9"/>
            <color indexed="81"/>
            <rFont val="Tahoma"/>
            <family val="2"/>
          </rPr>
          <t>Update Based on latest SOF</t>
        </r>
        <r>
          <rPr>
            <sz val="9"/>
            <color indexed="81"/>
            <rFont val="Tahoma"/>
            <family val="2"/>
          </rPr>
          <t xml:space="preserve">
</t>
        </r>
      </text>
    </comment>
    <comment ref="F107" authorId="0" shapeId="0" xr:uid="{16F9E7ED-21DA-49A3-BEB6-1735C5AEAED2}">
      <text>
        <r>
          <rPr>
            <b/>
            <sz val="9"/>
            <color indexed="81"/>
            <rFont val="Tahoma"/>
            <family val="2"/>
          </rPr>
          <t>Update Based on latest SOF</t>
        </r>
        <r>
          <rPr>
            <sz val="9"/>
            <color indexed="81"/>
            <rFont val="Tahoma"/>
            <family val="2"/>
          </rPr>
          <t xml:space="preserve">
</t>
        </r>
      </text>
    </comment>
    <comment ref="E111" authorId="0" shapeId="0" xr:uid="{FD76BB4D-B6E4-4C0C-8DFC-C29A61CE2180}">
      <text>
        <r>
          <rPr>
            <b/>
            <sz val="9"/>
            <color indexed="81"/>
            <rFont val="Tahoma"/>
            <family val="2"/>
          </rPr>
          <t>Update Based on latest SOF</t>
        </r>
        <r>
          <rPr>
            <sz val="9"/>
            <color indexed="81"/>
            <rFont val="Tahoma"/>
            <family val="2"/>
          </rPr>
          <t xml:space="preserve">
</t>
        </r>
      </text>
    </comment>
    <comment ref="F111" authorId="0" shapeId="0" xr:uid="{0A5CD550-67ED-4B04-B2BB-11D87A516FA8}">
      <text>
        <r>
          <rPr>
            <b/>
            <sz val="9"/>
            <color indexed="81"/>
            <rFont val="Tahoma"/>
            <family val="2"/>
          </rPr>
          <t>Update Based on latest SOF</t>
        </r>
        <r>
          <rPr>
            <sz val="9"/>
            <color indexed="81"/>
            <rFont val="Tahoma"/>
            <family val="2"/>
          </rPr>
          <t xml:space="preserve">
</t>
        </r>
      </text>
    </comment>
    <comment ref="E112" authorId="0" shapeId="0" xr:uid="{B73238AB-90EE-41FE-A496-EE932712EB6F}">
      <text>
        <r>
          <rPr>
            <b/>
            <sz val="9"/>
            <color indexed="81"/>
            <rFont val="Tahoma"/>
            <family val="2"/>
          </rPr>
          <t>update based on latest SOF</t>
        </r>
        <r>
          <rPr>
            <sz val="9"/>
            <color indexed="81"/>
            <rFont val="Tahoma"/>
            <family val="2"/>
          </rPr>
          <t xml:space="preserve">
</t>
        </r>
      </text>
    </comment>
    <comment ref="F112" authorId="0" shapeId="0" xr:uid="{20B94014-717F-4EDB-AC75-445D289D0F68}">
      <text>
        <r>
          <rPr>
            <b/>
            <sz val="9"/>
            <color indexed="81"/>
            <rFont val="Tahoma"/>
            <family val="2"/>
          </rPr>
          <t>Update based on latest SOF</t>
        </r>
        <r>
          <rPr>
            <sz val="9"/>
            <color indexed="81"/>
            <rFont val="Tahoma"/>
            <family val="2"/>
          </rPr>
          <t xml:space="preserve">
</t>
        </r>
      </text>
    </comment>
    <comment ref="E113" authorId="0" shapeId="0" xr:uid="{0691424D-C737-4698-9686-CFBA78BE7C7D}">
      <text>
        <r>
          <rPr>
            <b/>
            <sz val="9"/>
            <color indexed="81"/>
            <rFont val="Tahoma"/>
            <family val="2"/>
          </rPr>
          <t>Update Based on latest SOF</t>
        </r>
        <r>
          <rPr>
            <sz val="9"/>
            <color indexed="81"/>
            <rFont val="Tahoma"/>
            <family val="2"/>
          </rPr>
          <t xml:space="preserve">
</t>
        </r>
      </text>
    </comment>
    <comment ref="F113" authorId="0" shapeId="0" xr:uid="{628273FC-3A7C-4F5F-AA56-332BFBA70931}">
      <text>
        <r>
          <rPr>
            <b/>
            <sz val="9"/>
            <color indexed="81"/>
            <rFont val="Tahoma"/>
            <family val="2"/>
          </rPr>
          <t>Update Based on latest SOF</t>
        </r>
        <r>
          <rPr>
            <sz val="9"/>
            <color indexed="81"/>
            <rFont val="Tahoma"/>
            <family val="2"/>
          </rPr>
          <t xml:space="preserve">
</t>
        </r>
      </text>
    </comment>
    <comment ref="E114" authorId="0" shapeId="0" xr:uid="{037E356B-7C85-41DF-BBD3-0EFC1D4740E2}">
      <text>
        <r>
          <rPr>
            <b/>
            <sz val="9"/>
            <color indexed="81"/>
            <rFont val="Tahoma"/>
            <family val="2"/>
          </rPr>
          <t>Update Based on latest SOF</t>
        </r>
        <r>
          <rPr>
            <sz val="9"/>
            <color indexed="81"/>
            <rFont val="Tahoma"/>
            <family val="2"/>
          </rPr>
          <t xml:space="preserve">
</t>
        </r>
      </text>
    </comment>
    <comment ref="F114" authorId="0" shapeId="0" xr:uid="{A26D7CC7-F30D-4D07-A270-47B4C14BA5B3}">
      <text>
        <r>
          <rPr>
            <b/>
            <sz val="9"/>
            <color indexed="81"/>
            <rFont val="Tahoma"/>
            <family val="2"/>
          </rPr>
          <t>Update Based on latest SOF</t>
        </r>
        <r>
          <rPr>
            <sz val="9"/>
            <color indexed="81"/>
            <rFont val="Tahoma"/>
            <family val="2"/>
          </rPr>
          <t xml:space="preserve">
</t>
        </r>
      </text>
    </comment>
    <comment ref="E116" authorId="0" shapeId="0" xr:uid="{4A53D8CD-982B-40FB-9F69-7EC571088CC6}">
      <text>
        <r>
          <rPr>
            <b/>
            <sz val="9"/>
            <color indexed="81"/>
            <rFont val="Tahoma"/>
            <family val="2"/>
          </rPr>
          <t>Update Based on latest SOF</t>
        </r>
        <r>
          <rPr>
            <sz val="9"/>
            <color indexed="81"/>
            <rFont val="Tahoma"/>
            <family val="2"/>
          </rPr>
          <t xml:space="preserve">
</t>
        </r>
      </text>
    </comment>
    <comment ref="F116" authorId="0" shapeId="0" xr:uid="{2B252E1B-A009-44C1-9E0F-7879E39B6057}">
      <text>
        <r>
          <rPr>
            <b/>
            <sz val="9"/>
            <color indexed="81"/>
            <rFont val="Tahoma"/>
            <family val="2"/>
          </rPr>
          <t>Update Based on latest SOF</t>
        </r>
        <r>
          <rPr>
            <sz val="9"/>
            <color indexed="81"/>
            <rFont val="Tahoma"/>
            <family val="2"/>
          </rPr>
          <t xml:space="preserve">
</t>
        </r>
      </text>
    </comment>
    <comment ref="E118" authorId="0" shapeId="0" xr:uid="{BE0546C8-759A-4CDA-8036-DDF34C3C2D04}">
      <text>
        <r>
          <rPr>
            <b/>
            <sz val="9"/>
            <color indexed="81"/>
            <rFont val="Tahoma"/>
            <family val="2"/>
          </rPr>
          <t>Update Based on latest SOF</t>
        </r>
        <r>
          <rPr>
            <sz val="9"/>
            <color indexed="81"/>
            <rFont val="Tahoma"/>
            <family val="2"/>
          </rPr>
          <t xml:space="preserve">
</t>
        </r>
      </text>
    </comment>
    <comment ref="F118" authorId="0" shapeId="0" xr:uid="{1F3607CE-C846-45A4-9C26-1E0B2D65A50D}">
      <text>
        <r>
          <rPr>
            <b/>
            <sz val="9"/>
            <color indexed="81"/>
            <rFont val="Tahoma"/>
            <family val="2"/>
          </rPr>
          <t>Update Based on latest SOF</t>
        </r>
        <r>
          <rPr>
            <sz val="9"/>
            <color indexed="81"/>
            <rFont val="Tahoma"/>
            <family val="2"/>
          </rPr>
          <t xml:space="preserve">
</t>
        </r>
      </text>
    </comment>
    <comment ref="E119" authorId="0" shapeId="0" xr:uid="{0212B1A2-4B39-4071-9F6C-35A06EEEBE8D}">
      <text>
        <r>
          <rPr>
            <b/>
            <sz val="9"/>
            <color indexed="81"/>
            <rFont val="Tahoma"/>
            <family val="2"/>
          </rPr>
          <t>Update Based on latest SOF</t>
        </r>
        <r>
          <rPr>
            <sz val="9"/>
            <color indexed="81"/>
            <rFont val="Tahoma"/>
            <family val="2"/>
          </rPr>
          <t xml:space="preserve">
</t>
        </r>
      </text>
    </comment>
    <comment ref="F119" authorId="0" shapeId="0" xr:uid="{35F98DEF-25CF-4FD8-B1B4-9F7276E79DC6}">
      <text>
        <r>
          <rPr>
            <b/>
            <sz val="9"/>
            <color indexed="81"/>
            <rFont val="Tahoma"/>
            <family val="2"/>
          </rPr>
          <t>Update Based on latest SOF</t>
        </r>
        <r>
          <rPr>
            <sz val="9"/>
            <color indexed="81"/>
            <rFont val="Tahoma"/>
            <family val="2"/>
          </rPr>
          <t xml:space="preserve">
</t>
        </r>
      </text>
    </comment>
    <comment ref="E127" authorId="0" shapeId="0" xr:uid="{E31C8FD7-9962-44CA-B434-912BE001A867}">
      <text>
        <r>
          <rPr>
            <b/>
            <sz val="9"/>
            <color indexed="81"/>
            <rFont val="Tahoma"/>
            <family val="2"/>
          </rPr>
          <t>Update based on latest SOF:</t>
        </r>
        <r>
          <rPr>
            <sz val="9"/>
            <color indexed="81"/>
            <rFont val="Tahoma"/>
            <family val="2"/>
          </rPr>
          <t xml:space="preserve">
</t>
        </r>
      </text>
    </comment>
    <comment ref="F127" authorId="0" shapeId="0" xr:uid="{2026FDE3-26AB-4EE8-A03C-1ABDF8A51DE2}">
      <text>
        <r>
          <rPr>
            <b/>
            <sz val="9"/>
            <color indexed="81"/>
            <rFont val="Tahoma"/>
            <family val="2"/>
          </rPr>
          <t>Update based on latest SOF</t>
        </r>
        <r>
          <rPr>
            <sz val="9"/>
            <color indexed="81"/>
            <rFont val="Tahoma"/>
            <family val="2"/>
          </rPr>
          <t xml:space="preserve">
</t>
        </r>
      </text>
    </comment>
    <comment ref="A145" authorId="0" shapeId="0" xr:uid="{120257F9-EA3E-41BE-A900-BBD663412139}">
      <text>
        <r>
          <rPr>
            <sz val="10"/>
            <color indexed="81"/>
            <rFont val="Verdana"/>
            <family val="2"/>
          </rPr>
          <t>The Available School Fund (ASF) serves as a finance method for the Foundation School Program (FSP). This source of revenue helps pay the state’s FSP payments to districts. ASF payments are based on a district’s prior year average daily attendance (ADA), see line 60. The payment rate per ADA (the distribution rate), see line 61, is adopted each year by the State Board of Education. Payments from the Available School Fund (per capita) are made monthly on a per ADA basis (except in January and February, when payments are based on a set percentage if funds are available to be distributed. The amount per ADA paid each month is not known until that month.</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D37" authorId="0" shapeId="0" xr:uid="{CBB150AA-FF34-4282-8539-EC93A8B3568C}">
      <text>
        <r>
          <rPr>
            <b/>
            <sz val="9"/>
            <color indexed="81"/>
            <rFont val="Tahoma"/>
            <family val="2"/>
          </rPr>
          <t>Ensure Estimates tab provides the Gifted and Talented enrollment</t>
        </r>
        <r>
          <rPr>
            <sz val="9"/>
            <color indexed="81"/>
            <rFont val="Tahoma"/>
            <family val="2"/>
          </rPr>
          <t xml:space="preserve">
</t>
        </r>
      </text>
    </comment>
  </commentList>
</comments>
</file>

<file path=xl/sharedStrings.xml><?xml version="1.0" encoding="utf-8"?>
<sst xmlns="http://schemas.openxmlformats.org/spreadsheetml/2006/main" count="4508" uniqueCount="978">
  <si>
    <t>WESTLAKE ACADEMY CHARTER SCHOOL</t>
  </si>
  <si>
    <t>ORENDA CHARTER SCHOOL</t>
  </si>
  <si>
    <t>MEYERPARK ELEMENTARY</t>
  </si>
  <si>
    <t>TEXAS PREPARATORY SCHOOL</t>
  </si>
  <si>
    <t>EHRHART SCHOOL</t>
  </si>
  <si>
    <t>WACO CHARTER SCHOOL</t>
  </si>
  <si>
    <t>CROSSTIMBERS ACADEMY</t>
  </si>
  <si>
    <t>GEORGE I SANCHEZ CHARTER</t>
  </si>
  <si>
    <t>AMIGOS POR VIDA-FRIENDS FOR LIFE PUBLIC CHARTER SC</t>
  </si>
  <si>
    <t>HOUSTON HEIGHTS HIGH SCHOOL</t>
  </si>
  <si>
    <t>HOUSTON GATEWAY ACADEMY, INC.</t>
  </si>
  <si>
    <t>OTHER PROGRAMS</t>
  </si>
  <si>
    <t>CALVIN NELMS CHARTER SCHOOLS</t>
  </si>
  <si>
    <t>SOUTHWEST SCHOOL</t>
  </si>
  <si>
    <t>ACCELERATED INTERMEDIATE ACADEMY</t>
  </si>
  <si>
    <t>SCHOOL OF SCIENCE AND TECHNOLOGY</t>
  </si>
  <si>
    <t>HARMONY SCIENCE ACAD (SAN ANTONIO)</t>
  </si>
  <si>
    <t>PEGASUS SCHOOL OF LIBERAL ARTS AND SCIENCES</t>
  </si>
  <si>
    <t>LIFE SCHOOL</t>
  </si>
  <si>
    <t>NOVA ACADEMY (OAK CLIFF)</t>
  </si>
  <si>
    <t>ACADEMY OF DALLAS</t>
  </si>
  <si>
    <t>TRINITY BASIN PREPARATORY</t>
  </si>
  <si>
    <t>NOVA ACADEMY (SOUTHEAST)</t>
  </si>
  <si>
    <t>EVOLUTION ACADEMY</t>
  </si>
  <si>
    <t>ST ANTHONY SCHOOL</t>
  </si>
  <si>
    <t>EL PASO ACADEMY</t>
  </si>
  <si>
    <t>HARMONY SCIENCE ACAD (EL PASO)</t>
  </si>
  <si>
    <t>ODYSSEY ACADEMY, THE</t>
  </si>
  <si>
    <t>EAST TEXAS CHARTER SCHOOLS</t>
  </si>
  <si>
    <t>TWO DIMENSIONS PREPARATORY ACADEMY</t>
  </si>
  <si>
    <t>COMQUEST ACADEMY</t>
  </si>
  <si>
    <t>HARMONY SCIENCE ACADEMY</t>
  </si>
  <si>
    <t>BEATRICE MAYES INSTITUTE CHARTER SCHOOL</t>
  </si>
  <si>
    <t>DRAW ACADEMY</t>
  </si>
  <si>
    <t>KATHERINE ANNE PORTER SCHOOL</t>
  </si>
  <si>
    <t>CHARTER NAME</t>
  </si>
  <si>
    <t>RICHARD MILBURN ALTER HIGH SCHOOL (KILLEEN)</t>
  </si>
  <si>
    <t>POR VIDA ACADEMY</t>
  </si>
  <si>
    <t>BEXAR COUNTY ACADEMY</t>
  </si>
  <si>
    <t>SOUTHWEST PREPARATORY SCHOOL</t>
  </si>
  <si>
    <t>POSITIVE SOLUTIONS CHARTER SCHOOL</t>
  </si>
  <si>
    <t>BRAZOS SCHOOL FOR INQUIRY &amp; CREATIVITY</t>
  </si>
  <si>
    <t>TRINITY CHARTER SCHOOL</t>
  </si>
  <si>
    <t>UNIVERSAL ACADEMY</t>
  </si>
  <si>
    <t>JEAN MASSIEU ACADEMY</t>
  </si>
  <si>
    <t>A+ ACADEMY</t>
  </si>
  <si>
    <t>INSPIRED VISION ACADEMY</t>
  </si>
  <si>
    <t>GATEWAY CHARTER ACADEMY</t>
  </si>
  <si>
    <t>EDUCATION CENTER INTERNATIONAL ACADEMY</t>
  </si>
  <si>
    <t>GOLDEN RULE CHARTER SCHOOL</t>
  </si>
  <si>
    <t>WAXAHACHIE FAITH FAMILY ACADEMY</t>
  </si>
  <si>
    <t>SER-NINOS CHARTER SCHOOL</t>
  </si>
  <si>
    <t>ACADEMY OF ACCELERATED LEARNING, INC</t>
  </si>
  <si>
    <t>ALIEF MONTESSORI COMMUNITY SCHOOL</t>
  </si>
  <si>
    <t>PINEYWOODS COMMUNITY ACADEMY</t>
  </si>
  <si>
    <t>ST MARY'S ACADEMY CHARTER SCHOOL</t>
  </si>
  <si>
    <t>GEORGE GERVIN ACADEMY</t>
  </si>
  <si>
    <t>SCHOOL OF EXCELLENCE IN EDUCATION</t>
  </si>
  <si>
    <t>BROOKS ACADEMY OF SCIENCE AND ENGINEERING</t>
  </si>
  <si>
    <t>LA ACADEMIA DE ESTRELLAS</t>
  </si>
  <si>
    <t>HARMONY SCHOOL OF EXCELLENCE</t>
  </si>
  <si>
    <t>CDN</t>
  </si>
  <si>
    <t>LIGHTHOUSE CHARTER SCHOOL</t>
  </si>
  <si>
    <t>EAST FORT WORTH MONTESSORI ACADEMY</t>
  </si>
  <si>
    <t>LA FE PREPARATORY SCHOOL</t>
  </si>
  <si>
    <t>AMBASSADORS PREPARATORY ACADEMY</t>
  </si>
  <si>
    <t>YES</t>
  </si>
  <si>
    <t>NO</t>
  </si>
  <si>
    <t>AUSTIN DISCOVERY SCHOOL</t>
  </si>
  <si>
    <t>CORPUS CHRISTI MONTESSORI SCHOOL</t>
  </si>
  <si>
    <t>Regular Program ADA</t>
  </si>
  <si>
    <t>TEXAS SERENITY ACADEMY</t>
  </si>
  <si>
    <t>PANOLA CHARTER SCHOOL</t>
  </si>
  <si>
    <t>BIG SPRINGS CHARTER SCHOOL</t>
  </si>
  <si>
    <t>CUMBERLAND ACADEMY</t>
  </si>
  <si>
    <t>BRAZOS RIVER CHARTER SCHOOL</t>
  </si>
  <si>
    <t>TREETOPS SCHOOL INTERNATIONAL</t>
  </si>
  <si>
    <t>ARLINGTON CLASSICS ACADEMY</t>
  </si>
  <si>
    <t>FORT WORTH ACADEMY OF FINE ARTS</t>
  </si>
  <si>
    <t>NYOS CHARTER SCHOOL</t>
  </si>
  <si>
    <t>TEXAS EMPOWERMENT ACADEMY</t>
  </si>
  <si>
    <t>CEDARS INTERNATIONAL ACADEMY</t>
  </si>
  <si>
    <t>RANCH ACADEMY</t>
  </si>
  <si>
    <t>RAVEN SCHOOL</t>
  </si>
  <si>
    <t>WINFREE ACADEMY CHARTER SCHOOLS</t>
  </si>
  <si>
    <t>BURNHAM WOOD CHARTER SCHOOL DISTRICT</t>
  </si>
  <si>
    <t>UNIVERSITY OF TEXAS UNIVERSITY CHARTER SCHOOL</t>
  </si>
  <si>
    <t>HARMONY SCIENCE ACADEMY (AUSTIN)</t>
  </si>
  <si>
    <t>UNIVERSITY OF TEXAS ELEMENTARY CHARTER SCHOOL</t>
  </si>
  <si>
    <t>VANGUARD ACADEMY</t>
  </si>
  <si>
    <t>RISE ACADEMY</t>
  </si>
  <si>
    <t>MIDLAND ACADEMY CHARTER SCHOOL</t>
  </si>
  <si>
    <t>ARISTOI CLASSICAL ACADEMY</t>
  </si>
  <si>
    <t>CHAPARRAL STAR ACADEMY</t>
  </si>
  <si>
    <t>DR M L GARZA-GONZALEZ CHARTER SCHOOL</t>
  </si>
  <si>
    <t>HENRY FORD ACADEMY ALAMEDA SCHOOL FOR ART + DESIGN</t>
  </si>
  <si>
    <t>IDEA PUBLIC SCHOOLS</t>
  </si>
  <si>
    <t>MERIDIAN WORLD SCHOOL LLC</t>
  </si>
  <si>
    <t>PREMIER HIGH SCHOOLS</t>
  </si>
  <si>
    <t>PROMISE COMMUNITY SCHOOL</t>
  </si>
  <si>
    <t>SEASHORE CHARTER SCHOOLS</t>
  </si>
  <si>
    <t>TEXAS LEADERSHIP</t>
  </si>
  <si>
    <t>YES PREP PUBLIC SCHOOLS INC</t>
  </si>
  <si>
    <t>% of Unpaid Balance</t>
  </si>
  <si>
    <t>September</t>
  </si>
  <si>
    <t>October</t>
  </si>
  <si>
    <t>November</t>
  </si>
  <si>
    <t>December</t>
  </si>
  <si>
    <t>January</t>
  </si>
  <si>
    <t>February</t>
  </si>
  <si>
    <t>March</t>
  </si>
  <si>
    <t>April</t>
  </si>
  <si>
    <t>May</t>
  </si>
  <si>
    <t>June</t>
  </si>
  <si>
    <t>July</t>
  </si>
  <si>
    <t>August</t>
  </si>
  <si>
    <t>UME PREPARATORY ACADEMY</t>
  </si>
  <si>
    <t>LEGACY PREPARATORY</t>
  </si>
  <si>
    <t>EXCELLENCE IN LEADERSHIP ACADEMY</t>
  </si>
  <si>
    <t>UT TYLER INNOVATION ACADEMY</t>
  </si>
  <si>
    <t>AUSTIN ACHIEVE PUBLIC SCHOOLS</t>
  </si>
  <si>
    <t>SOF_RUN_ID</t>
  </si>
  <si>
    <t>DISTRICT_ID</t>
  </si>
  <si>
    <t>SCHOOLYEAR</t>
  </si>
  <si>
    <t>ABA</t>
  </si>
  <si>
    <t>ACTIVE_MILITARY_ADA</t>
  </si>
  <si>
    <t>ADA_ADJ_TOT_REFINED</t>
  </si>
  <si>
    <t>ADA_REG_PGM</t>
  </si>
  <si>
    <t>ADA_REG_PGM_ACTUAL</t>
  </si>
  <si>
    <t>ADA_TOT_REFINED</t>
  </si>
  <si>
    <t>ADDL_AID_FED_IMPACT</t>
  </si>
  <si>
    <t>ADJ_ALLOT</t>
  </si>
  <si>
    <t>APPLY_ASATR_TO_COO_FLAG</t>
  </si>
  <si>
    <t>ASATR_ADDL_AID</t>
  </si>
  <si>
    <t>ASATR_REDUC_EXCESS</t>
  </si>
  <si>
    <t>ASF_ADA</t>
  </si>
  <si>
    <t>ASF_ADJ_TO_DATE_AMT</t>
  </si>
  <si>
    <t>ASF_ALLOT</t>
  </si>
  <si>
    <t>ASF_RATE</t>
  </si>
  <si>
    <t>ASF_SFSF</t>
  </si>
  <si>
    <t>ASF_YTD_PAYMENTS</t>
  </si>
  <si>
    <t>BIL_ADA</t>
  </si>
  <si>
    <t>BIL_ALLOT</t>
  </si>
  <si>
    <t>BIL_BLOCK_GRANT</t>
  </si>
  <si>
    <t>BIL_SETASIDE_P2</t>
  </si>
  <si>
    <t>BUDGET_BALANCED_AMT</t>
  </si>
  <si>
    <t>CEI</t>
  </si>
  <si>
    <t>CEI_ADJ</t>
  </si>
  <si>
    <t>CH313_TAX_CREDIT</t>
  </si>
  <si>
    <t>CH41_FLAG</t>
  </si>
  <si>
    <t>CH41_PARTNER_GAIN</t>
  </si>
  <si>
    <t>CODT215</t>
  </si>
  <si>
    <t>CODT231</t>
  </si>
  <si>
    <t>CPTD_PROPERTY_VALUE</t>
  </si>
  <si>
    <t>CREDRECAP</t>
  </si>
  <si>
    <t>DISTRICT_BA</t>
  </si>
  <si>
    <t>DISTRICT_FSP_TYPE</t>
  </si>
  <si>
    <t>DISTRICT_NAME</t>
  </si>
  <si>
    <t>DRATE3</t>
  </si>
  <si>
    <t>EARLY_GRAD_ALLOT</t>
  </si>
  <si>
    <t>EDA_ELIG_DEBT_SVC_AMT</t>
  </si>
  <si>
    <t>EDA_LOCAL_SHARE</t>
  </si>
  <si>
    <t>EDA_STATE_SHARE</t>
  </si>
  <si>
    <t>FINCOST</t>
  </si>
  <si>
    <t>FINL3</t>
  </si>
  <si>
    <t>FLAG_300SQMI</t>
  </si>
  <si>
    <t>FLAG_30MI</t>
  </si>
  <si>
    <t>FSF_ADJ_TO_DATE_AMT</t>
  </si>
  <si>
    <t>FSF_ALLOT_ADJ</t>
  </si>
  <si>
    <t>FSF_ALLOT_TOT</t>
  </si>
  <si>
    <t>FSF_YTD_PAYMENTS</t>
  </si>
  <si>
    <t>FSP_TOT_RECEIPTS</t>
  </si>
  <si>
    <t>FT_STAFF_CNT</t>
  </si>
  <si>
    <t>GT_ALLOT</t>
  </si>
  <si>
    <t>GT_BLOCK_GRANT</t>
  </si>
  <si>
    <t>GT_ENROLL</t>
  </si>
  <si>
    <t>GT_SETASIDE_P2</t>
  </si>
  <si>
    <t>GYA_COST</t>
  </si>
  <si>
    <t>HHB1</t>
  </si>
  <si>
    <t>HIGH_SCHOOL_ADA</t>
  </si>
  <si>
    <t>HIGH_SCHOOL_ALLOT</t>
  </si>
  <si>
    <t>HIGHEST_GRADE</t>
  </si>
  <si>
    <t>IFA_BOND_LEASE_STATE</t>
  </si>
  <si>
    <t>IFA_BOND_LOCAL</t>
  </si>
  <si>
    <t>IFA_BOND_STATE</t>
  </si>
  <si>
    <t>IFA_BOND_STATE_LOCAL</t>
  </si>
  <si>
    <t>IFA_LEASE_PURCH_LOCAL</t>
  </si>
  <si>
    <t>IFA_LEASE_PURCH_STATE</t>
  </si>
  <si>
    <t>MDA</t>
  </si>
  <si>
    <t>MIDFLAG</t>
  </si>
  <si>
    <t>MIGRANT_DIST_FLAG</t>
  </si>
  <si>
    <t>MO_COLL_LV1</t>
  </si>
  <si>
    <t>MO_COLL_LV2</t>
  </si>
  <si>
    <t>MO_COLL_LV3</t>
  </si>
  <si>
    <t>MO_COLL_RATE_AVG</t>
  </si>
  <si>
    <t>MO_RATE_COMPR</t>
  </si>
  <si>
    <t>MO_RATE_LV2</t>
  </si>
  <si>
    <t>MULT</t>
  </si>
  <si>
    <t>NIFA_ADA</t>
  </si>
  <si>
    <t>NIFA_ALLOT</t>
  </si>
  <si>
    <t>OEYP_ALLOCATION</t>
  </si>
  <si>
    <t>OP3_RECAP_AMT_LV1</t>
  </si>
  <si>
    <t>OP3_RECAP_AMT_LV3</t>
  </si>
  <si>
    <t>OP4_RECAP_AMT_LV1</t>
  </si>
  <si>
    <t>OTHER_ADJUSTMENT</t>
  </si>
  <si>
    <t>OTHER_PROGRAMS_AMOUNT</t>
  </si>
  <si>
    <t>PAY_ADA</t>
  </si>
  <si>
    <t>PAYMENT_CLASS_CD</t>
  </si>
  <si>
    <t>PEG_ADA</t>
  </si>
  <si>
    <t>PEG_ALLOT</t>
  </si>
  <si>
    <t>PFTAX</t>
  </si>
  <si>
    <t>PRE_K_K_GRANT</t>
  </si>
  <si>
    <t>PROCESSING_FLAG</t>
  </si>
  <si>
    <t>PRS_FTE</t>
  </si>
  <si>
    <t>PT_STAFF_CNT</t>
  </si>
  <si>
    <t>PY1_ADA_TOT_REFINED</t>
  </si>
  <si>
    <t>PY1_DPV_LOCAL</t>
  </si>
  <si>
    <t>PY1_IS_COLL</t>
  </si>
  <si>
    <t>PY1_MO_COLL_LOCAL</t>
  </si>
  <si>
    <t>PY1_MO_RATE_ADOPT</t>
  </si>
  <si>
    <t>PY1_TAX_LEVY_TOT</t>
  </si>
  <si>
    <t>PY1_TAX_TIF_PAYMENT</t>
  </si>
  <si>
    <t>PY2_DPV_ADJ_15K</t>
  </si>
  <si>
    <t>RECAPTURE</t>
  </si>
  <si>
    <t>REG_PGM_ADJ_FACTOR</t>
  </si>
  <si>
    <t>REG_PGM_ALLOT</t>
  </si>
  <si>
    <t>RIDER71_AMT</t>
  </si>
  <si>
    <t>SALARY_ALLOT_CNT</t>
  </si>
  <si>
    <t>SCE_ALLOT</t>
  </si>
  <si>
    <t>SCE_BLOCK_GRANT</t>
  </si>
  <si>
    <t>SCE_ENROLL</t>
  </si>
  <si>
    <t>SCE_MILITARY_ALLOT</t>
  </si>
  <si>
    <t>SCE_PRS_ALLOT</t>
  </si>
  <si>
    <t>SCE_SETASIDE_P2</t>
  </si>
  <si>
    <t>SDA</t>
  </si>
  <si>
    <t>SEC_30_83_TOT_ALLOT</t>
  </si>
  <si>
    <t>SPECED_BLOCK_GRANT</t>
  </si>
  <si>
    <t>SPECED_ECI_SETASIDE_P2</t>
  </si>
  <si>
    <t>SPECED_EYS_ALLOT</t>
  </si>
  <si>
    <t>SPECED_EYS_HOMEBOUND_FTE</t>
  </si>
  <si>
    <t>SPECED_EYS_HOSPITAL_FTE</t>
  </si>
  <si>
    <t>SPECED_EYS_OFF_CAMP_FTE</t>
  </si>
  <si>
    <t>SPECED_EYS_RES_CT_FTE</t>
  </si>
  <si>
    <t>SPECED_EYS_RESOURCE_FTE</t>
  </si>
  <si>
    <t>SPECED_EYS_SELF_CONT_SV_FTE</t>
  </si>
  <si>
    <t>SPECED_EYS_SELF_CONTAIN_FTE</t>
  </si>
  <si>
    <t>SPECED_EYS_SPEECH_FTE</t>
  </si>
  <si>
    <t>SPECED_EYS_ST_SCHOOL_FTE</t>
  </si>
  <si>
    <t>SPECED_EYS_VAC_FTE</t>
  </si>
  <si>
    <t>SPECED_EYS_WEIGHTED_FTE</t>
  </si>
  <si>
    <t>SPECED_HOMEBOUND_FTE</t>
  </si>
  <si>
    <t>SPECED_HOSPITAL_FTE</t>
  </si>
  <si>
    <t>SPECED_MAINSTREAM_ADA</t>
  </si>
  <si>
    <t>SPECED_MAINSTREAM_ALLOT</t>
  </si>
  <si>
    <t>SPECED_NONPUB_ALLOT</t>
  </si>
  <si>
    <t>SPECED_NONPUB_FTE</t>
  </si>
  <si>
    <t>SPECED_OFF_CAMP_FTE</t>
  </si>
  <si>
    <t>SPECED_REG_ALLOT</t>
  </si>
  <si>
    <t>SPECED_RES_CT_ALLOT</t>
  </si>
  <si>
    <t>SPECED_RES_CT_FTE</t>
  </si>
  <si>
    <t>SPECED_RESOURCE_FTE</t>
  </si>
  <si>
    <t>SPECED_SELF_CONT_SV_FTE</t>
  </si>
  <si>
    <t>SPECED_SELF_CONTAIN_FTE</t>
  </si>
  <si>
    <t>SPECED_SPEECH_FTE</t>
  </si>
  <si>
    <t>SPECED_ST_SCHOOL_ALLOT</t>
  </si>
  <si>
    <t>SPECED_ST_SCHOOL_FTE</t>
  </si>
  <si>
    <t>SPECED_SUM_TOT_FTE</t>
  </si>
  <si>
    <t>SPECED_VAC_FTE</t>
  </si>
  <si>
    <t>SPECED_WEIGHTED_TOT_FTE</t>
  </si>
  <si>
    <t>STAFF_ALLOT</t>
  </si>
  <si>
    <t>SUPER_ASF</t>
  </si>
  <si>
    <t>SUPP_TIF_PAYMENT</t>
  </si>
  <si>
    <t>TECH_ADJ_ALLOT</t>
  </si>
  <si>
    <t>TECH_ALLOT</t>
  </si>
  <si>
    <t>TECH_SETASIDE_P2</t>
  </si>
  <si>
    <t>TIER_I_ALLOT_P2</t>
  </si>
  <si>
    <t>TIER_I_LOCAL_SHARE</t>
  </si>
  <si>
    <t>TIER_I_TOT_COST_P2</t>
  </si>
  <si>
    <t>TIER_II_ABA_ADJ</t>
  </si>
  <si>
    <t>TIER_II_AID_LV1</t>
  </si>
  <si>
    <t>TIER_II_AID_LV2</t>
  </si>
  <si>
    <t>TIER_II_AID_LV3</t>
  </si>
  <si>
    <t>TIER_II_DTR_LV2</t>
  </si>
  <si>
    <t>TIER_II_DTR_LV3</t>
  </si>
  <si>
    <t>TIER_II_LOCAL_REV_LV2</t>
  </si>
  <si>
    <t>TIER_II_LOCAL_REV_LV3</t>
  </si>
  <si>
    <t>TIER_II_WADA</t>
  </si>
  <si>
    <t>TOT_STATE_AID</t>
  </si>
  <si>
    <t>TOT_TAX_COLLECTION</t>
  </si>
  <si>
    <t>TRANS_PRIVATE_ALLOT</t>
  </si>
  <si>
    <t>TRANS_REG_ALLOT</t>
  </si>
  <si>
    <t>TRANS_SPECED_ALLOT</t>
  </si>
  <si>
    <t>TRANS_TOT_ALLOT</t>
  </si>
  <si>
    <t>TRANS_TOT_REGULAR_ALLOT</t>
  </si>
  <si>
    <t>TRANS_VOCED_ALLOT</t>
  </si>
  <si>
    <t>TRS_CVR_MBR_AMT</t>
  </si>
  <si>
    <t>TSBVI_ADA</t>
  </si>
  <si>
    <t>TSBVI_FOUNDATION_AMT</t>
  </si>
  <si>
    <t>TSD_ADA</t>
  </si>
  <si>
    <t>TSD_FOUNDATION_AMT</t>
  </si>
  <si>
    <t>TUITION_PAID</t>
  </si>
  <si>
    <t>VOCED_ADV_ALLOT</t>
  </si>
  <si>
    <t>VOCED_ADV_FTE</t>
  </si>
  <si>
    <t>VOCED_ALLOT</t>
  </si>
  <si>
    <t>VOCED_BLOCK_GRANT</t>
  </si>
  <si>
    <t>VOCED_FTE</t>
  </si>
  <si>
    <t>VOCED_SETASIDE_P2</t>
  </si>
  <si>
    <t>VSN_ADA</t>
  </si>
  <si>
    <t>VSN_ENROLL</t>
  </si>
  <si>
    <t>WADA_REDUCTION</t>
  </si>
  <si>
    <t>WINDHAM_APPROP</t>
  </si>
  <si>
    <t>Y05_MO_RATE_ADOPT</t>
  </si>
  <si>
    <t>Y10_HB1_REV_PER_WADA</t>
  </si>
  <si>
    <t>Y09_EDSAL_ALLOT</t>
  </si>
  <si>
    <t>Y10_NIFA_ALLOT</t>
  </si>
  <si>
    <t>Y10_TRANS_ALLOT</t>
  </si>
  <si>
    <t>N</t>
  </si>
  <si>
    <t>PRIORITY CHARTER SCHOOLS</t>
  </si>
  <si>
    <t>SCHOOL OF SCIENCE AND TECHNOLOGY DISCOVERY</t>
  </si>
  <si>
    <t>BASIS TEXAS</t>
  </si>
  <si>
    <t>GREAT HEARTS TEXAS</t>
  </si>
  <si>
    <t>ELEANOR KOLITZ HEBREW LANGUAGE ACADEMY</t>
  </si>
  <si>
    <t>ARROW ACADEMY</t>
  </si>
  <si>
    <t>IMAGINE INTERNATIONAL ACADEMY OF NORTH TEXAS</t>
  </si>
  <si>
    <t>TEXANS CAN ACADEMIES</t>
  </si>
  <si>
    <t>LUMIN EDUCATION</t>
  </si>
  <si>
    <t>ADVANTAGE ACADEMY</t>
  </si>
  <si>
    <t>NOVA ACADEMY</t>
  </si>
  <si>
    <t>ACADEMY FOR ACADEMIC EXCELLENCE</t>
  </si>
  <si>
    <t>EVOLUTION ACADEMY CHARTER SCHOOL</t>
  </si>
  <si>
    <t>RICHLAND COLLEGIATE HIGH SCHOOL</t>
  </si>
  <si>
    <t>CITYSCAPE SCHOOLS</t>
  </si>
  <si>
    <t>MANARA ACADEMY</t>
  </si>
  <si>
    <t>VILLAGE TECH SCHOOLS</t>
  </si>
  <si>
    <t>INTERNATIONAL LEADERSHIP OF TEXAS (ILT)</t>
  </si>
  <si>
    <t>NORTH TEXAS COLLEGIATE ACADEMY</t>
  </si>
  <si>
    <t>LEADERSHIP PREP SCHOOL</t>
  </si>
  <si>
    <t>COMPASS ACADEMY CHARTER SCHOOL</t>
  </si>
  <si>
    <t>UTPB STEM ACADEMY</t>
  </si>
  <si>
    <t>PASO DEL NORTE ACADEMY CHARTER DISTRICT</t>
  </si>
  <si>
    <t>VISTA DEL FUTURO CHARTER SCHOOL</t>
  </si>
  <si>
    <t>EL PASO LEADERSHIP ACADEMY</t>
  </si>
  <si>
    <t>ERATH EXCELS ACADEMY INC</t>
  </si>
  <si>
    <t>ODYSSEY ACADEMY INC</t>
  </si>
  <si>
    <t>ACADEMY OF ACCELERATED LEARNING INC</t>
  </si>
  <si>
    <t>EXCEL ACADEMY</t>
  </si>
  <si>
    <t>THE VARNETT PUBLIC SCHOOL</t>
  </si>
  <si>
    <t>AMIGOS POR VIDA-FRIENDS FOR LIFE PUB CHTR SCH</t>
  </si>
  <si>
    <t>HOUSTON GATEWAY ACADEMY INC</t>
  </si>
  <si>
    <t>STEP CHARTER SCHOOL</t>
  </si>
  <si>
    <t>THE RHODES SCHOOL</t>
  </si>
  <si>
    <t>HARMONY SCHOOL OF SCIENCE - HOUSTON</t>
  </si>
  <si>
    <t>THE LAWSON ACADEMY</t>
  </si>
  <si>
    <t>THE PRO-VISION ACADEMY</t>
  </si>
  <si>
    <t>HORIZON MONTESSORI PUBLIC SCHOOLS</t>
  </si>
  <si>
    <t>MIDVALLEY ACADEMY CHARTER DISTRICT</t>
  </si>
  <si>
    <t>TEKOA ACADEMY OF ACCELERATED STUDIES STEM SCHOOL</t>
  </si>
  <si>
    <t>BOB HOPE SCHOOL</t>
  </si>
  <si>
    <t>SOUTH PLAINS ACADEMY CHARTER DISTRICT</t>
  </si>
  <si>
    <t>RAPOPORT ACADEMY PUBLIC SCHOOL</t>
  </si>
  <si>
    <t>HARMONY SCIENCE ACAD (WACO)</t>
  </si>
  <si>
    <t>STEPHEN F AUSTIN STATE UNIVERSITY CHARTER SCHOOL</t>
  </si>
  <si>
    <t>TEXAS SCHOOL OF THE ARTS</t>
  </si>
  <si>
    <t>CHAPEL HILL ACADEMY</t>
  </si>
  <si>
    <t>NEWMAN INTERNATIONAL ACADEMY OF ARLINGTON</t>
  </si>
  <si>
    <t>TEXAS COLLEGE PREPARATORY ACADEMIES</t>
  </si>
  <si>
    <t>WAYSIDE SCHOOLS</t>
  </si>
  <si>
    <t>MONTESSORI FOR ALL</t>
  </si>
  <si>
    <t>THE EXCEL CENTER (FOR ADULTS)</t>
  </si>
  <si>
    <t>GATEWAY ACADEMY CHARTER DISTRICT</t>
  </si>
  <si>
    <t>% of Annual Allotment</t>
  </si>
  <si>
    <t>BETA ACADEMY</t>
  </si>
  <si>
    <t>KI CHARTER ACADEMY</t>
  </si>
  <si>
    <t>HIGH POINT ACADEMY</t>
  </si>
  <si>
    <t>DR. M.L. GARZA-GONZALEZ CHARTER SCHOOL</t>
  </si>
  <si>
    <t>HARMONY SCIENCE ACAD (HOUSTON)</t>
  </si>
  <si>
    <t>HARMONY SCIENCE ACAD (AUSTIN)</t>
  </si>
  <si>
    <t>KIPP AUSTIN PUBLIC SCHOOLS</t>
  </si>
  <si>
    <t>MERIDIAN WORLD SCHOOL</t>
  </si>
  <si>
    <t>RHODES SCHOOL, THE</t>
  </si>
  <si>
    <t>ST MARYS ACADEMY CHARTER SCHOOL</t>
  </si>
  <si>
    <t>TEKOA ACADEMY OF ACCELERATED STUDIES S.T.E.M. SCH.</t>
  </si>
  <si>
    <t>VARNETT PUBLIC SCHOOL, THE</t>
  </si>
  <si>
    <t>YES PREP PUBLIC SCHOOLS, INC.</t>
  </si>
  <si>
    <t>% Remaining</t>
  </si>
  <si>
    <t>Settle-Up</t>
  </si>
  <si>
    <t>UPLIFT EDUCATION</t>
  </si>
  <si>
    <t>A+ UNLIMITED POTENTIAL</t>
  </si>
  <si>
    <t>PIONEER TECHNOLOGY &amp; ARTS ACADEMY</t>
  </si>
  <si>
    <t>TRIVIUM ACADEMY</t>
  </si>
  <si>
    <t>SAM HOUSTON STATE UNIVERSITY CHARTER SCHOOL</t>
  </si>
  <si>
    <t>HERITAGE ACADEMY</t>
  </si>
  <si>
    <t>Attendance Data</t>
  </si>
  <si>
    <t>Days in Membership</t>
  </si>
  <si>
    <t>Total Days Absent</t>
  </si>
  <si>
    <t>Total Days Present</t>
  </si>
  <si>
    <t>Total Ineligible Days</t>
  </si>
  <si>
    <t>Total Eligible Days</t>
  </si>
  <si>
    <t>Total Refined ADA</t>
  </si>
  <si>
    <t>Special Ed. Mainstream Eligible Days (Code 40)</t>
  </si>
  <si>
    <t>Special Ed. Mainstream Refined ADA</t>
  </si>
  <si>
    <t>Pregnancy Related Services (PRS) Eligible Days</t>
  </si>
  <si>
    <t>Pregnancy Related Services FTE</t>
  </si>
  <si>
    <t>Total CATE FTE</t>
  </si>
  <si>
    <t>Special Education Data</t>
  </si>
  <si>
    <t>00 Speech Therapy FTE</t>
  </si>
  <si>
    <t>01 Homebound FTE</t>
  </si>
  <si>
    <t>02 Hospital FTE</t>
  </si>
  <si>
    <t>08 Vocational Class FTE</t>
  </si>
  <si>
    <t>30 State School FTE</t>
  </si>
  <si>
    <t>41-42 Resource Room FTE</t>
  </si>
  <si>
    <t>43-44 Mild/Mod/Severe FTE</t>
  </si>
  <si>
    <t>45 Full Time Early Childhood FTE</t>
  </si>
  <si>
    <t>81-89 Residential Care &amp; Treatment FTE</t>
  </si>
  <si>
    <t>91-98 Off Home Campus FTE</t>
  </si>
  <si>
    <t>Total Special Education FTE</t>
  </si>
  <si>
    <t>Attendance Percentage</t>
  </si>
  <si>
    <t>Total Foundation School Fund (FSF)</t>
  </si>
  <si>
    <t>A. W. BROWN LEADERSHIP ACADEMY</t>
  </si>
  <si>
    <t>COMPASS ROSE ACADEMY</t>
  </si>
  <si>
    <t>GOODWATER MONTESSORI SCHOOL</t>
  </si>
  <si>
    <t>SOUTHWEST SCHOOLS</t>
  </si>
  <si>
    <t>TIER II</t>
  </si>
  <si>
    <t>CALC_FORM_CD</t>
  </si>
  <si>
    <t>NET_MO_LOCAL_REV</t>
  </si>
  <si>
    <t>FSF_ALLOT_BEFORE_42_2518</t>
  </si>
  <si>
    <t>NET_MO_REV_TOT</t>
  </si>
  <si>
    <t>PY2_DPV_ADJ</t>
  </si>
  <si>
    <t>PY1_MO_COLL_FRZ</t>
  </si>
  <si>
    <t>PY1_MO_COLL_TOT</t>
  </si>
  <si>
    <t>JUBILEE ACADEMIES</t>
  </si>
  <si>
    <t>A W BROWN LEADERSHIP ACADEMY</t>
  </si>
  <si>
    <t>DPV_ADJ_DECLINE</t>
  </si>
  <si>
    <t>STATE_AID_INCR_DECLINE</t>
  </si>
  <si>
    <t>RECAP_DECR_DECLINE</t>
  </si>
  <si>
    <t>DPV_DECLINE_AMT</t>
  </si>
  <si>
    <t>DPV_DECLINE_AMT_ADJ</t>
  </si>
  <si>
    <t>DPV_DECLINE_PCT_5K</t>
  </si>
  <si>
    <t>DPV_DECLINE_PCT_15K</t>
  </si>
  <si>
    <t>STATE_CHART_FACIL_UNADJ</t>
  </si>
  <si>
    <t>AVG_IS_RATE_CHART_CAP</t>
  </si>
  <si>
    <t>FACIL_ALLOT_CHART</t>
  </si>
  <si>
    <t>BRIDGEWAY PREPARATORY ACADEMY</t>
  </si>
  <si>
    <t>ETOILE ACADEMY CHARTER SCHOOL</t>
  </si>
  <si>
    <t>INSPIRE ACADEMIES</t>
  </si>
  <si>
    <t>LEGACY SCHOOL OF SPORT SCIENCES</t>
  </si>
  <si>
    <t>LONE STAR LANGUAGE ACADEMY</t>
  </si>
  <si>
    <t>MEADOWLAND CHARTER DISTRICT</t>
  </si>
  <si>
    <t>NEW FRONTIERS PUBLIC SCHOOLS, INC.</t>
  </si>
  <si>
    <t>PROMESA PUBLIC SCHOOLS</t>
  </si>
  <si>
    <t>RAUL YZAGUIRRE SCHOOLS FOR SUCCESS</t>
  </si>
  <si>
    <t>VALOR PUBLIC SCHOOLS</t>
  </si>
  <si>
    <t>YELLOWSTONE COLLEGE PREPARATORY</t>
  </si>
  <si>
    <t>Foundation School Fund Remaining Balance</t>
  </si>
  <si>
    <t>REGULAR PROGRAM ADA</t>
  </si>
  <si>
    <t>TIER I ALLOTMENTS</t>
  </si>
  <si>
    <t>ASF</t>
  </si>
  <si>
    <t>FSF</t>
  </si>
  <si>
    <t>SPECIAL EDUCATION FTEs</t>
  </si>
  <si>
    <t>EXTENDED YEAR SERVICES (EYS) SPECIAL EDUCATION FTEs</t>
  </si>
  <si>
    <t>NEW FRONTIERS PUBLIC SCHOOLS INC</t>
  </si>
  <si>
    <t>BROOKS ACADEMIES OF TEXAS</t>
  </si>
  <si>
    <t>PROMESA ACADEMY CHARTER SCHOOL</t>
  </si>
  <si>
    <t>NOVA ACADEMY SOUTHEAST</t>
  </si>
  <si>
    <t>INTERNATIONAL LEADERSHIP OF TEXAS (ILTEXAS)</t>
  </si>
  <si>
    <t>BLOOM ACADEMY CHARTER SCHOOL</t>
  </si>
  <si>
    <t>REVE PREPARATORY CHARTER SCHOOL</t>
  </si>
  <si>
    <t>TRIUMPH PUBLIC HIGH SCHOOLS-RIO GRANDE VALLEY</t>
  </si>
  <si>
    <t>LAKE GRANBURY ACADEMY CHARTER SCHOOL</t>
  </si>
  <si>
    <t>UT TYLER UNIVERSITY ACADEMY</t>
  </si>
  <si>
    <t>KIPP TEXAS PUBLIC SCHOOLS</t>
  </si>
  <si>
    <t>TRIUMPH PUBLIC HIGH SCHOOLS-LAREDO</t>
  </si>
  <si>
    <t>TRIUMPH PUBLIC HIGH SCHOOLS-EL PASO</t>
  </si>
  <si>
    <t>TRIUMPH PUBLIC HIGH SCHOOLS-LUBBOCK</t>
  </si>
  <si>
    <t>TIER TWO</t>
  </si>
  <si>
    <t>TIER ONE SUBCHAPTER B AND C ALLOTMENTS:</t>
  </si>
  <si>
    <t>TIER ONE SUBCHAPTER D ALLOTMENTS:</t>
  </si>
  <si>
    <t>WEIGHTED SCE COUNT</t>
  </si>
  <si>
    <t xml:space="preserve">M&amp;O Revenue Per ADA Before HB3 </t>
  </si>
  <si>
    <t>Charter Schools Facilities Funding (12.106(d))</t>
  </si>
  <si>
    <t>Transportation Allotment</t>
  </si>
  <si>
    <t>Regular Program Allotment</t>
  </si>
  <si>
    <t xml:space="preserve">Special Education Adjusted Allotment </t>
  </si>
  <si>
    <t xml:space="preserve">Compensatory Education Allotment </t>
  </si>
  <si>
    <t>Bilingual Education Allotment</t>
  </si>
  <si>
    <t>Tier II Level 1</t>
  </si>
  <si>
    <t>Tier II Level 2</t>
  </si>
  <si>
    <t xml:space="preserve">Career and Technology Allotment </t>
  </si>
  <si>
    <t xml:space="preserve">High School Allotment </t>
  </si>
  <si>
    <t xml:space="preserve">Charter Schools Facilities Funding </t>
  </si>
  <si>
    <t>School Safety Allotment</t>
  </si>
  <si>
    <t>New Instructional Facility Allotment</t>
  </si>
  <si>
    <t>Bloom Academy Charter School</t>
  </si>
  <si>
    <t xml:space="preserve">Rêve Preparatory Charter School </t>
  </si>
  <si>
    <t>SB1882_TOT_AID</t>
  </si>
  <si>
    <t>SMALL_MID_ALLOT</t>
  </si>
  <si>
    <t>DYSLEXIA_ALLOT</t>
  </si>
  <si>
    <t>EARLY_ED_ALLOT</t>
  </si>
  <si>
    <t>FAST_GROWTH_ALLOT</t>
  </si>
  <si>
    <t>SAFETY_ALLOT</t>
  </si>
  <si>
    <t>COLLEGE_PREP_REIMB</t>
  </si>
  <si>
    <t>CERT_EXAM_REIMB</t>
  </si>
  <si>
    <t>CCMR_OUTCOMES_ALLOT</t>
  </si>
  <si>
    <t>TCHR_INCENTIVE_ALLOT</t>
  </si>
  <si>
    <t>MENTOR_ALLOT</t>
  </si>
  <si>
    <t>DROPOUT_ALLOT</t>
  </si>
  <si>
    <t>TIER_I_MO_TAX_RATE</t>
  </si>
  <si>
    <t>MAX_COMPR_RATE</t>
  </si>
  <si>
    <t>TIER_I_STATE_SHARE</t>
  </si>
  <si>
    <t>TIER_II_ENT_LV3</t>
  </si>
  <si>
    <t>FORM_TRANS_GRANT</t>
  </si>
  <si>
    <t>EWTG</t>
  </si>
  <si>
    <t>INTEREST_REFUNDS_48271</t>
  </si>
  <si>
    <t>TIER_1_STU_CNT</t>
  </si>
  <si>
    <t>TIER_2_STU_CNT</t>
  </si>
  <si>
    <t>TIER_3_STU_CNT</t>
  </si>
  <si>
    <t>TIER_4_STU_CNT</t>
  </si>
  <si>
    <t>TIER_5_STU_CNT</t>
  </si>
  <si>
    <t>TOT_TIER_STU_CNT</t>
  </si>
  <si>
    <t>SCE_RES_FAC_NON_ENROLL</t>
  </si>
  <si>
    <t>BIL_LEP_DUAL_ADA</t>
  </si>
  <si>
    <t>BIL_NONLEP_DUAL_ADA</t>
  </si>
  <si>
    <t>DYSLEXIA_ENROLL</t>
  </si>
  <si>
    <t>EARLY_ED_ADA</t>
  </si>
  <si>
    <t>DROPOUT_ADA</t>
  </si>
  <si>
    <t>BIL_TOT_ADA</t>
  </si>
  <si>
    <t>RES_FAC_ADA</t>
  </si>
  <si>
    <t>CCMR_ECODIS_ENROLL</t>
  </si>
  <si>
    <t>CCMR_NONECODIS_ENROLL</t>
  </si>
  <si>
    <t>CCMR_SPED_ENROLL</t>
  </si>
  <si>
    <t>CCMR_OUTCOMES_ENROLL</t>
  </si>
  <si>
    <t>DROPOUT_RES_ADA</t>
  </si>
  <si>
    <t>BILINGUAL_ADA</t>
  </si>
  <si>
    <t>BILINGUAL_ALLOT</t>
  </si>
  <si>
    <t>RES_FAC_ALLOT</t>
  </si>
  <si>
    <t>CCMR_ECODIS_ALLOT</t>
  </si>
  <si>
    <t>CCMR_NONECODIS_ALLOT</t>
  </si>
  <si>
    <t>CCMR_SPED_ALLOT</t>
  </si>
  <si>
    <t>SM_MID_SPED</t>
  </si>
  <si>
    <t>BIL_LEP_DUAL_ALLOT</t>
  </si>
  <si>
    <t>BIL_NONLEP_DUAL_ALLOT</t>
  </si>
  <si>
    <t>DROPOUT_RES_ALLOT</t>
  </si>
  <si>
    <t>SCE_RES_FAC_NON_ALLOT</t>
  </si>
  <si>
    <t>BETTY M CONDRA SCHOOL FOR EDUCATION INNOVATION</t>
  </si>
  <si>
    <t xml:space="preserve">PROMESA ACADEMY CHARTER SCHOOL </t>
  </si>
  <si>
    <t>SAN ANTONIO PREPARATORY CHARTER SCHOOL</t>
  </si>
  <si>
    <t>THE GATHERING PLACE</t>
  </si>
  <si>
    <t>ELEVATE COLLEGIATE CHARTER SCHOOL</t>
  </si>
  <si>
    <t>HOUSTON CLASSICAL CHARTER SCHOOL</t>
  </si>
  <si>
    <t>PL_TOT_MOREV</t>
  </si>
  <si>
    <t>PL_REV_PADA</t>
  </si>
  <si>
    <t>PL_STATE_AVG_MOREV</t>
  </si>
  <si>
    <t>PL_REV103</t>
  </si>
  <si>
    <t>PL_STATE_AVG128</t>
  </si>
  <si>
    <t>PL_REV_PP</t>
  </si>
  <si>
    <t>PL_TOT_MOREV_HH</t>
  </si>
  <si>
    <t>PL_REV_PP_D1</t>
  </si>
  <si>
    <t>HH_TARGET_REV</t>
  </si>
  <si>
    <t>CL_MOREV</t>
  </si>
  <si>
    <t>Pregnancy Related FTEs</t>
  </si>
  <si>
    <t xml:space="preserve">Tier 5 Census Block </t>
  </si>
  <si>
    <t xml:space="preserve">Tier 1 Census Block </t>
  </si>
  <si>
    <t>Mainstream ADA</t>
  </si>
  <si>
    <t>Advanced Career &amp; Technology Education Students</t>
  </si>
  <si>
    <t>Bilingual ADA</t>
  </si>
  <si>
    <t>Homebound (Code 01)</t>
  </si>
  <si>
    <t>Hospital Class (Code 02)</t>
  </si>
  <si>
    <t>Speech Therapy (Code 00)</t>
  </si>
  <si>
    <t>VAC (Code 08)</t>
  </si>
  <si>
    <t>Residential Care &amp; Treatment (Code 81-89)</t>
  </si>
  <si>
    <t>EYS Homebound (Code 01)</t>
  </si>
  <si>
    <t>EYS Hospital Class (Code 02)</t>
  </si>
  <si>
    <t>EYS Speech Therapy (Code 00)</t>
  </si>
  <si>
    <t>EYS VAC (Code 08)</t>
  </si>
  <si>
    <t>EYS Residential Care &amp; Treatment (Code 81-89)</t>
  </si>
  <si>
    <t xml:space="preserve">FUNDING COMPONENTS </t>
  </si>
  <si>
    <t>Tier 1 Census Block - 0.2250 weight</t>
  </si>
  <si>
    <t>Tier 2 Census Block - 0.2375 weight</t>
  </si>
  <si>
    <t>Tier 3 Census Block - 0.2500 weight</t>
  </si>
  <si>
    <t>Tier 4 Census Block - 0.2625 weight</t>
  </si>
  <si>
    <t>Tier 5 Census Block - 0.2750 weight</t>
  </si>
  <si>
    <t>Transportation Allotment Total</t>
  </si>
  <si>
    <t>Transportation Allotment Detail:</t>
  </si>
  <si>
    <t>Enter Six-Digit CDN in Cell B1</t>
  </si>
  <si>
    <t>Resource Room (Code 41 &amp; 42)</t>
  </si>
  <si>
    <t>Self-Contained Mild/Mod/Sev (Code 43 &amp; 44)</t>
  </si>
  <si>
    <t>Full-Time Early Childhood (Code 45)</t>
  </si>
  <si>
    <t>Off-Home Campus (Code 91-98)</t>
  </si>
  <si>
    <t>State Schools (Code 30)</t>
  </si>
  <si>
    <t>Refined Average Daily Attendance (ADA)</t>
  </si>
  <si>
    <t>SPECIAL EDUCATION FTE</t>
  </si>
  <si>
    <t>SPECIAL EDUCATION WEIGHTED FTE</t>
  </si>
  <si>
    <t xml:space="preserve"> EYS SPECIAL EDUCATION FTE</t>
  </si>
  <si>
    <t>EYS SPECIAL EDUCATION WEIGHTED FTE</t>
  </si>
  <si>
    <t>EYS Resource Room (Code 41 &amp; 42)</t>
  </si>
  <si>
    <t>EYS Self-Contained Mild/Mod/Sev (Code 43 &amp; 44)</t>
  </si>
  <si>
    <t>EYS Full-Time Early Childhood (Code 45)</t>
  </si>
  <si>
    <t>EYS Off-Home Campus (Code 91-98)</t>
  </si>
  <si>
    <t>EYS State Schools (Code 30)</t>
  </si>
  <si>
    <t>Bilingual/ESL (LEP only)</t>
  </si>
  <si>
    <t>Bilingual LEP Dual Language</t>
  </si>
  <si>
    <t>Bilingual Non LEP Dual Language</t>
  </si>
  <si>
    <t>Per Capita Rate</t>
  </si>
  <si>
    <t xml:space="preserve">District Basic Allotment (DBA) </t>
  </si>
  <si>
    <t xml:space="preserve">Small &amp; Mid-Size Charter Allotment </t>
  </si>
  <si>
    <t>District Tax Rate Level 1 (DTR1)</t>
  </si>
  <si>
    <t>District Tax Rate Level 2 (DTR2)</t>
  </si>
  <si>
    <t>Interest &amp; Sinking Rate</t>
  </si>
  <si>
    <t>EDA Guaranteed Yield (GY)</t>
  </si>
  <si>
    <t>Level 1 Entitlement</t>
  </si>
  <si>
    <t>Level 2 Entitlement</t>
  </si>
  <si>
    <t>Weight</t>
  </si>
  <si>
    <t xml:space="preserve">Prior Year Refined ADA </t>
  </si>
  <si>
    <t>Rate</t>
  </si>
  <si>
    <t>State Compensatory Education Enrollment (Highest Six-Month Average)</t>
  </si>
  <si>
    <t>FUNDING COMPONENTS</t>
  </si>
  <si>
    <t>District Basic Allotment (DBA)</t>
  </si>
  <si>
    <t>Adjusted Basic Allotment (ABA)</t>
  </si>
  <si>
    <t>Adjusted Allotment</t>
  </si>
  <si>
    <t xml:space="preserve">Gifted &amp; Talented Enrollment </t>
  </si>
  <si>
    <t>Small &amp; Mid-Sized District Allotment, 48.101</t>
  </si>
  <si>
    <t>Teacher Incentive Allotment, 48.112</t>
  </si>
  <si>
    <t>Mentor Program Allotment, 48.114</t>
  </si>
  <si>
    <t>School Safety Allotment, 42.168</t>
  </si>
  <si>
    <t xml:space="preserve">Dropout Recovery School &amp; Residential Placement Facility Allotment, 48.153             </t>
  </si>
  <si>
    <t>College Preparation Assessment Reimbursement, 48.155</t>
  </si>
  <si>
    <t>Certification Examination Reimbursement, 48.156</t>
  </si>
  <si>
    <t>Gifted &amp; Talented Adjusted Allotment</t>
  </si>
  <si>
    <t>Special Education Allotment Detail:</t>
  </si>
  <si>
    <t xml:space="preserve">  Special Education </t>
  </si>
  <si>
    <t xml:space="preserve">  Mainstream</t>
  </si>
  <si>
    <t xml:space="preserve">  Residential Care and Treatment</t>
  </si>
  <si>
    <t xml:space="preserve">  State Schools</t>
  </si>
  <si>
    <t xml:space="preserve">  Extended Year Special Education</t>
  </si>
  <si>
    <t>Career and Technology Allotment Detail:</t>
  </si>
  <si>
    <t xml:space="preserve">  Career &amp; Technology (CTE) Allotment</t>
  </si>
  <si>
    <t xml:space="preserve">  Advanced CTE Allotment</t>
  </si>
  <si>
    <t xml:space="preserve"> OTHER PROGRAMS total</t>
  </si>
  <si>
    <t>FOUNDATION SCHOOL PROGRAM STATE AID total</t>
  </si>
  <si>
    <t>TIER I total</t>
  </si>
  <si>
    <t>TIER II total</t>
  </si>
  <si>
    <t xml:space="preserve">Staff Salary Allotment </t>
  </si>
  <si>
    <t>Foundation School Fund (FSF)</t>
  </si>
  <si>
    <t>Method of finance: Available School Fund (ASF) and</t>
  </si>
  <si>
    <t xml:space="preserve">  Regular Routes Transportation @ $1 per mile Plus Bus Passes</t>
  </si>
  <si>
    <t xml:space="preserve">  Special Education Transportation</t>
  </si>
  <si>
    <t xml:space="preserve">  Special Education (regular)</t>
  </si>
  <si>
    <t xml:space="preserve">  Prior Law Special Ed Total (from Prior Law State Aid tab)</t>
  </si>
  <si>
    <t xml:space="preserve">  State Compensatory Allotment</t>
  </si>
  <si>
    <t xml:space="preserve">  Pregnancy Related</t>
  </si>
  <si>
    <t>State Compensatory Education Allotment Detail:</t>
  </si>
  <si>
    <t>WEIGHTED AVERAGE DAILY ATTENDANCE (WADA)</t>
  </si>
  <si>
    <t xml:space="preserve">EYS SPECIAL EDUCATION FTE </t>
  </si>
  <si>
    <t xml:space="preserve">EYS SPECIAL EDUCATION WEIGHTED FTE </t>
  </si>
  <si>
    <t xml:space="preserve">     ADJUSTED GYA</t>
  </si>
  <si>
    <t xml:space="preserve"> SPECIAL EDUCATION FTE</t>
  </si>
  <si>
    <t xml:space="preserve">  Part-Time Staff (Prior Law element is FINAL and not editable) </t>
  </si>
  <si>
    <t xml:space="preserve">  Full-Time Staff (Prior Law element is FINAL and not editable) </t>
  </si>
  <si>
    <t xml:space="preserve">Staff Salary Allotment Eligibility? (Prior Law element is FINAL and not editable) </t>
  </si>
  <si>
    <t>TEXAS LEADERSHIP PUBLIC SCHOOLS</t>
  </si>
  <si>
    <t>11-Regular Program Allotment, 48.051</t>
  </si>
  <si>
    <t>23-Special Education Adjusted Allotment, 48.102 (spend 55% of amount)</t>
  </si>
  <si>
    <t>37-Dyslexia or Related Disorder Allotment, 48.103</t>
  </si>
  <si>
    <t>24-Compensatory Education Allotment, 48.104 (spend 55% of amount)</t>
  </si>
  <si>
    <t>25-Bilingual Education Allotment, 48.105 (spend 55% of amount)</t>
  </si>
  <si>
    <t>22-Career and Technology Allotment, 48.106 (spend 55% of amount)</t>
  </si>
  <si>
    <t xml:space="preserve">36-Early Education Allotment, 48.108 </t>
  </si>
  <si>
    <t>38-CCMR Outcomes Bonus, 48.110</t>
  </si>
  <si>
    <t>99-Transportation Allotment, 48.151</t>
  </si>
  <si>
    <t>99-New Instructional Facility Allotment, 48.152</t>
  </si>
  <si>
    <t>Charter  School</t>
  </si>
  <si>
    <t>1</t>
  </si>
  <si>
    <t xml:space="preserve">Betty M Condra School </t>
  </si>
  <si>
    <t>Total Cost of Tier One (Line 40 of SOF)</t>
  </si>
  <si>
    <t>Total Tier Two (Line 44 of SOF)</t>
  </si>
  <si>
    <t>Total Other Programs (Line 45 of SOF)</t>
  </si>
  <si>
    <t>Total FSP/ASF State Aid (Line 53 of SOF)</t>
  </si>
  <si>
    <t xml:space="preserve">Career and Technology Education </t>
  </si>
  <si>
    <t>TIA_MAST_TCHR_CNT</t>
  </si>
  <si>
    <t>TIA_MAST_TCHR_ALLOT</t>
  </si>
  <si>
    <t>TIA_EXEMP_TCHR_CNT</t>
  </si>
  <si>
    <t>TIA_EXEMP_TCHR_ALLOT</t>
  </si>
  <si>
    <t>TIA_RECOG_TCHR_CNT</t>
  </si>
  <si>
    <t>TIA_RECOG_TCHR_ALLOT</t>
  </si>
  <si>
    <t>TIA_FEE_REIMB</t>
  </si>
  <si>
    <t>MNL_TIA_CHGNOTE_ID</t>
  </si>
  <si>
    <t>VOCED_ADV_PT_ADA</t>
  </si>
  <si>
    <t>VOCED_ADV_NT_ADA</t>
  </si>
  <si>
    <t>VOCED_ADV_PT_ALLOT</t>
  </si>
  <si>
    <t>VOCED_ADV_NT_ALLOT</t>
  </si>
  <si>
    <t xml:space="preserve"> BILINGUAL WEIGHTED ADA</t>
  </si>
  <si>
    <t>Available School Fund (ASF) ADA</t>
  </si>
  <si>
    <t>(Advanced Placement Tests Set-Aside)</t>
  </si>
  <si>
    <t xml:space="preserve">  Non-Economically Disadvantaged students without disability living in residential treatment facility and whose parents do not reside in district</t>
  </si>
  <si>
    <t xml:space="preserve">   HB 3 Total M&amp;O Revenue</t>
  </si>
  <si>
    <t>Line item of SOF FTG Detail Rpt</t>
  </si>
  <si>
    <t>CY_TARGET_REV_PADA</t>
  </si>
  <si>
    <t>PY_TARGET_REV_PADA</t>
  </si>
  <si>
    <t>FSF_ALLOT_ADJ_2</t>
  </si>
  <si>
    <t>PL_TOT_MOREV_UNADJ</t>
  </si>
  <si>
    <t>EXPECTED_MO_RATE_ADOPT</t>
  </si>
  <si>
    <t>RATIO_EXPECTED_MORAT</t>
  </si>
  <si>
    <t>RECAPTUREHH</t>
  </si>
  <si>
    <t>PL_TOT_MOREV_HH_UNADJ</t>
  </si>
  <si>
    <t>PY_TARGET_REV_PADA_UNADJ</t>
  </si>
  <si>
    <t xml:space="preserve">Tier 2 Census Block </t>
  </si>
  <si>
    <t xml:space="preserve">Tier 3 Census Block </t>
  </si>
  <si>
    <t xml:space="preserve">Tier 4 Census Block </t>
  </si>
  <si>
    <t>EYS Spec. Ed
Enrollment</t>
  </si>
  <si>
    <t>Spec. Ed
Enrollment</t>
  </si>
  <si>
    <t>Enrollment</t>
  </si>
  <si>
    <t>Bilingual 
Enrollment</t>
  </si>
  <si>
    <t>Mainstream (Code 40)</t>
  </si>
  <si>
    <t>EYS Mainstream (Code 40)</t>
  </si>
  <si>
    <t>SCE Tier Counts</t>
  </si>
  <si>
    <t xml:space="preserve">  Special Education Transportation Routes</t>
  </si>
  <si>
    <t xml:space="preserve">  Career and Technology Transportation Routes</t>
  </si>
  <si>
    <t>ADA Projection</t>
  </si>
  <si>
    <t>Payment Number</t>
  </si>
  <si>
    <t>Payment Month</t>
  </si>
  <si>
    <t xml:space="preserve">Percent of Unpaid Balance </t>
  </si>
  <si>
    <t>Total Paid to Date Amount</t>
  </si>
  <si>
    <t>Payment Class 4</t>
  </si>
  <si>
    <t>Payment Class 5</t>
  </si>
  <si>
    <t>Payment Calculator</t>
  </si>
  <si>
    <t>CHARTER DISTRICT</t>
  </si>
  <si>
    <t>Four-hour Class (V4)</t>
  </si>
  <si>
    <t>Five-hour Class (V5)</t>
  </si>
  <si>
    <t>Six-hour Class (V6)</t>
  </si>
  <si>
    <t>2.  Total Enrollment and other enrollment categories.
       Enter Total Number of Students for each category (No data entry of ADA or FTE values):</t>
  </si>
  <si>
    <t>Cash Flow</t>
  </si>
  <si>
    <t>WAXAHACHIE FAITH FAMILY ACADEMY </t>
  </si>
  <si>
    <t>FSP ADA Projection Average</t>
  </si>
  <si>
    <t>1st Six Weeks</t>
  </si>
  <si>
    <t>2nd Six Weeks</t>
  </si>
  <si>
    <t>3rd Six Weeks</t>
  </si>
  <si>
    <t>4th Six Weeks</t>
  </si>
  <si>
    <t>5th Six Weeks</t>
  </si>
  <si>
    <t>6th Six Weeks</t>
  </si>
  <si>
    <t xml:space="preserve">Bilingual/ESL (LEP only) </t>
  </si>
  <si>
    <t>Interest &amp; Sinking Fund rate</t>
  </si>
  <si>
    <t>3. Bilingual Enrollment.  (TEC 48.105)
      Enter Total Number of Bilingual Students for each instructional setting (No data entry of ADA or FTE).</t>
  </si>
  <si>
    <t>4.  Special Education Enrollment. (TEC 48.102)
       Enter the Total Number of Students for each instructional setting.</t>
  </si>
  <si>
    <t xml:space="preserve">6.  State Compensatory Education (SCE) Tier Count. (TEC 48.104)
      No data entry here for SCE Tier Counts.  </t>
  </si>
  <si>
    <t>Residential Placement Facility (TEC 48.153)</t>
  </si>
  <si>
    <t>Dropout Recovery School (TEC 48.153)</t>
  </si>
  <si>
    <t>Pregnancy Related (TEC Sec. 48.104(a))</t>
  </si>
  <si>
    <t>Total Enrollment (TEC Sec. 48.003)</t>
  </si>
  <si>
    <r>
      <t>Bilingual LEP Dual Language (</t>
    </r>
    <r>
      <rPr>
        <i/>
        <sz val="14"/>
        <rFont val="Calibri"/>
        <family val="2"/>
        <scheme val="minor"/>
      </rPr>
      <t>one-way or two-way program model</t>
    </r>
    <r>
      <rPr>
        <sz val="14"/>
        <rFont val="Calibri"/>
        <family val="2"/>
        <scheme val="minor"/>
      </rPr>
      <t xml:space="preserve">) </t>
    </r>
  </si>
  <si>
    <r>
      <t>Bilingual Non LEP Dual Language (</t>
    </r>
    <r>
      <rPr>
        <i/>
        <sz val="14"/>
        <rFont val="Calibri"/>
        <family val="2"/>
        <scheme val="minor"/>
      </rPr>
      <t>two-way program model)</t>
    </r>
  </si>
  <si>
    <t>4a. Extended Year Services (EYS) Special Education Enrollment.  (TEC 48.102(j))
        Enter the Total Number of Students for each instructional setting.</t>
  </si>
  <si>
    <r>
      <t xml:space="preserve">CCMR Outcomes Bonus </t>
    </r>
    <r>
      <rPr>
        <sz val="14"/>
        <rFont val="Calibri"/>
        <family val="2"/>
        <scheme val="minor"/>
      </rPr>
      <t>(TEC 48.110)</t>
    </r>
  </si>
  <si>
    <r>
      <t xml:space="preserve">New Instructional Facilities Allotment </t>
    </r>
    <r>
      <rPr>
        <sz val="14"/>
        <rFont val="Calibri"/>
        <family val="2"/>
        <scheme val="minor"/>
      </rPr>
      <t xml:space="preserve"> (TEC 48.152)</t>
    </r>
  </si>
  <si>
    <r>
      <t xml:space="preserve">Teacher Incentive Allotment </t>
    </r>
    <r>
      <rPr>
        <sz val="14"/>
        <rFont val="Calibri"/>
        <family val="2"/>
        <scheme val="minor"/>
      </rPr>
      <t>(TEC 48.112)</t>
    </r>
  </si>
  <si>
    <r>
      <t xml:space="preserve">Mentor Program Allotment </t>
    </r>
    <r>
      <rPr>
        <sz val="14"/>
        <rFont val="Calibri"/>
        <family val="2"/>
        <scheme val="minor"/>
      </rPr>
      <t>(TEC 48.114)</t>
    </r>
  </si>
  <si>
    <r>
      <t xml:space="preserve">College Preparation Assessment Reimbursement </t>
    </r>
    <r>
      <rPr>
        <sz val="14"/>
        <rFont val="Calibri"/>
        <family val="2"/>
        <scheme val="minor"/>
      </rPr>
      <t>(TEC 48.155)</t>
    </r>
  </si>
  <si>
    <r>
      <t xml:space="preserve">Certification Examination Reimbursement </t>
    </r>
    <r>
      <rPr>
        <sz val="14"/>
        <rFont val="Calibri"/>
        <family val="2"/>
        <scheme val="minor"/>
      </rPr>
      <t>(TEC 48.156)</t>
    </r>
  </si>
  <si>
    <t>Transportation Allotment Detail: (TEC 48.151)</t>
  </si>
  <si>
    <t>Non-Economically Disadvantaged without disability living in residential treatment 
facility and whose parents do not reside in district. (TEC Sec. 48.104(a))</t>
  </si>
  <si>
    <t>Early Education, Kindergarten to 3rd grade, who are either Educationally disadvantaged, LEP and bilingual, 
or special language (TEC 48.108)</t>
  </si>
  <si>
    <t>&lt;= Cash flow based on the prior year TIER Counts shown until actual TSDS PEIMS data is published to the March 2022 Summary of Finance.</t>
  </si>
  <si>
    <t>$$ Funding Estimate</t>
  </si>
  <si>
    <t xml:space="preserve">c) Evaluate whether the charter district accepts the prior year "Approved" attendance data.  </t>
  </si>
  <si>
    <t>b) No further data entry in "Estimates" worksheet.</t>
  </si>
  <si>
    <t>Budget</t>
  </si>
  <si>
    <t>An optional resource to enter Payment Ledger information to calculate the next month's Foundation School Fund payment.</t>
  </si>
  <si>
    <t xml:space="preserve">Payment Amount </t>
  </si>
  <si>
    <t>Advanced Career &amp; Technology Education ADA</t>
  </si>
  <si>
    <t>Payment Class 4 (Default Regular Schedule)</t>
  </si>
  <si>
    <t>Payment Class 5 (Accelerated Schedule)</t>
  </si>
  <si>
    <t>2021-2022 School Year</t>
  </si>
  <si>
    <t>General Instructions:</t>
  </si>
  <si>
    <t xml:space="preserve">2021-2022 School Year Estimates </t>
  </si>
  <si>
    <t>&lt;= Report pre-K student enrollment as half-day as 0.5.</t>
  </si>
  <si>
    <t>&lt;= County District Number must be entered.</t>
  </si>
  <si>
    <t>PRIORLAW_RUNID</t>
  </si>
  <si>
    <t>PY_PL_MO_RATE_ADOPT</t>
  </si>
  <si>
    <t>PY_PL_ADA</t>
  </si>
  <si>
    <t xml:space="preserve">   2019-2020 Prior Law State Average M&amp;O Revenue Per ADA </t>
  </si>
  <si>
    <t xml:space="preserve">   2019-2020 Prior Law M&amp;O Revenue Per ADA*1.03</t>
  </si>
  <si>
    <t xml:space="preserve">   2019-2020  Prior Law State Average M&amp;O Revenue Per ADA*1.28</t>
  </si>
  <si>
    <t xml:space="preserve">   Formula Transition Grant </t>
  </si>
  <si>
    <r>
      <t xml:space="preserve">199/5812 -Foundation School Fund </t>
    </r>
    <r>
      <rPr>
        <b/>
        <sz val="14"/>
        <rFont val="Calibri"/>
        <family val="2"/>
        <scheme val="minor"/>
      </rPr>
      <t>(Line 47 of SOF)</t>
    </r>
  </si>
  <si>
    <r>
      <t xml:space="preserve">199/5811 -Available School Fund </t>
    </r>
    <r>
      <rPr>
        <b/>
        <sz val="14"/>
        <rFont val="Calibri"/>
        <family val="2"/>
        <scheme val="minor"/>
      </rPr>
      <t>(Line 48 of SOF)</t>
    </r>
  </si>
  <si>
    <t xml:space="preserve">  (Less Early Child Intervention Set-Aside) </t>
  </si>
  <si>
    <t>Prior Year Data
No Data Entry</t>
  </si>
  <si>
    <t>Revised Estimates
No Data Entry</t>
  </si>
  <si>
    <t>HIGH SCHOOL ADA</t>
  </si>
  <si>
    <t>CAREER AND TECHNOLOGY FTEs (9th to 12 Grade)</t>
  </si>
  <si>
    <t>LEGACY TRADITIONAL SCHOOLS - TEXAS</t>
  </si>
  <si>
    <t>BRILLANTE ACADEMY</t>
  </si>
  <si>
    <t>LIGHTHOUSE PUBLIC SCHOOLS</t>
  </si>
  <si>
    <t>COMPASS ROSE PUBLIC SCHOOLS</t>
  </si>
  <si>
    <t>SAN ANTONIO PREPARATORY SCHOOLS</t>
  </si>
  <si>
    <t>ROYAL PUBLIC SCHOOLS</t>
  </si>
  <si>
    <t>PRELUDE PREPARATORY CHARTER SCHOOL</t>
  </si>
  <si>
    <t>THE RHODES SCHOOL FOR PERFORMING ARTS</t>
  </si>
  <si>
    <r>
      <t>Dyslexia or Related Disorder</t>
    </r>
    <r>
      <rPr>
        <sz val="10"/>
        <rFont val="Calibri"/>
        <family val="2"/>
        <scheme val="minor"/>
      </rPr>
      <t xml:space="preserve">  </t>
    </r>
    <r>
      <rPr>
        <sz val="14"/>
        <rFont val="Calibri"/>
        <family val="2"/>
        <scheme val="minor"/>
      </rPr>
      <t>(TEC Sec. 48.103)</t>
    </r>
  </si>
  <si>
    <t xml:space="preserve">   2019-2020 Prior Law M&amp;O Revenue Per ADA (View Prior Law State Aid tab)</t>
  </si>
  <si>
    <t>State Compensatory Allotment Detail:</t>
  </si>
  <si>
    <t>&lt;=Available School Fund (ASF) payments based on a district’s prior year average daily attendance (ADA). The payment rate per ADA (the distribution rate) is adopted each year by the State Board of Education. ASF payments are referred to as “per capita” payments.</t>
  </si>
  <si>
    <t xml:space="preserve">1.  Percent Rate of Attendance
      Defaults to 95.000%. TSDS PDM3-130-008 and FSP ADA Projection reports show historical percent rate of attendance.                                                                                            </t>
  </si>
  <si>
    <r>
      <t xml:space="preserve">&lt;=Cash flow based on enrollment shown </t>
    </r>
    <r>
      <rPr>
        <i/>
        <u/>
        <sz val="12"/>
        <rFont val="Calibri"/>
        <family val="2"/>
        <scheme val="minor"/>
      </rPr>
      <t>OR</t>
    </r>
    <r>
      <rPr>
        <sz val="12"/>
        <rFont val="Calibri"/>
        <family val="2"/>
        <scheme val="minor"/>
      </rPr>
      <t xml:space="preserve"> revised enrollment submitted by August 1 on the FSP Estimate Data Report. No enrollment updates during the school year in FSP Six week District Attendance reporting.</t>
    </r>
  </si>
  <si>
    <t>Brillante Academy</t>
  </si>
  <si>
    <t>Prelude Prepartory Charter School</t>
  </si>
  <si>
    <t>Royal Public Schools</t>
  </si>
  <si>
    <t xml:space="preserve">&lt;= Eligibility status (YES or NO) based on 2019 Accountability Rating. </t>
  </si>
  <si>
    <t>a) Enter the charter district's six digit county district number in cell B1. The charter district's name will appear in cell A2 and on other worksheets.</t>
  </si>
  <si>
    <t>Non Public Contracts</t>
  </si>
  <si>
    <t>2</t>
  </si>
  <si>
    <t>3</t>
  </si>
  <si>
    <t>4</t>
  </si>
  <si>
    <t xml:space="preserve">Adjustment Amount </t>
  </si>
  <si>
    <t>7. Gifted and Talented Enrollment</t>
  </si>
  <si>
    <t>8. Available School Fund Average Daily Attendance (ADA)</t>
  </si>
  <si>
    <t>10.  Tier One Allotments and Reimbursements (Dollar Funding Estimate based on Prior Year)</t>
  </si>
  <si>
    <t xml:space="preserve">   2019-2020 Prior Law Total M &amp; O Revenue (View Prior Law State Aid tab)</t>
  </si>
  <si>
    <t xml:space="preserve">  Career &amp; Technology Education Transportation</t>
  </si>
  <si>
    <t xml:space="preserve">Charter Schools Facilities Funding Eligibility? (Yes or No) </t>
  </si>
  <si>
    <t>Formula Transition Grant TEC 48.277 (a)</t>
  </si>
  <si>
    <t>b) Go to HB 1525 State Aid worksheet.  Review Column C, "Prior Year Data" attendance data (ADA and FTEs).</t>
  </si>
  <si>
    <t xml:space="preserve">2019-2020  Foundation School Program Maintenance &amp; Operations (M&amp;O) revenue as those chapters existed on 1/1/2019. </t>
  </si>
  <si>
    <t>Data will not change</t>
  </si>
  <si>
    <t>Feeds into HB 1525 State Aid worksheet</t>
  </si>
  <si>
    <t>d) If the charter district determines prior year "Approved" attendance data (Column C) is acceptable, no further action in "Estimates" tab is necessary.</t>
  </si>
  <si>
    <t>e) If the charter district determines updates are necessary, enter revised student ENROLLMENT attendance estimates in Column B of Estimates worksheet.</t>
  </si>
  <si>
    <t xml:space="preserve">    e1) Go to HB 1525 State Aid worksheet.  </t>
  </si>
  <si>
    <t>The charter district's September 25 payment will be based on the prior year "Approved" attendance data until Districtwide Summary Attendance reports are submitted and approved in the FSP application system.</t>
  </si>
  <si>
    <t>Link to FSP Estimate Data Report reference document for more Information.</t>
  </si>
  <si>
    <t xml:space="preserve">&lt;= No update available. Cash flow based on estimate shown until actual TSDS PEIMS data available. </t>
  </si>
  <si>
    <r>
      <t xml:space="preserve">&lt;=Cash flow based on enrollment shown </t>
    </r>
    <r>
      <rPr>
        <i/>
        <u/>
        <sz val="12"/>
        <rFont val="Calibri"/>
        <family val="2"/>
        <scheme val="minor"/>
      </rPr>
      <t>OR</t>
    </r>
    <r>
      <rPr>
        <sz val="12"/>
        <rFont val="Calibri"/>
        <family val="2"/>
        <scheme val="minor"/>
      </rPr>
      <t xml:space="preserve"> revised enrollment submitted by August 1 on the FSP Estimate Data Report.  No enrollment updates during the school year in FSP Six week District Attendance reporting.</t>
    </r>
  </si>
  <si>
    <t xml:space="preserve">      Advanced Career and Technology (student enrolled at campus designated as a P-TECH school Section 29.556; or a campus that is
      a member of the New Tech Network and that focuses on project-based learning and work-based education)</t>
  </si>
  <si>
    <t>SPECIAL EDUCATION FTEs  (TEC 48.102)</t>
  </si>
  <si>
    <t>BILINGUAL ADA (TEC 48.105)</t>
  </si>
  <si>
    <t>Mainstream ADA (TEC 48.102)</t>
  </si>
  <si>
    <t>CAREER AND TECHNOLOGY (CTE) FTEs (TEC 48.106)</t>
  </si>
  <si>
    <t>Dyslexia Enrollment (TEC 48.103)</t>
  </si>
  <si>
    <t>Gifted and Talented Enrollment (TEC 48.109)</t>
  </si>
  <si>
    <t>2021-2022 School Year 
HB 1525 State Aid - Summary of Finance</t>
  </si>
  <si>
    <t>STATE COMPENSATORY ENROLLMENT (SCE) - (TEC 48.104(b))</t>
  </si>
  <si>
    <t>Pregnancy Related FTEs (TEC Sec. 48.104(a))</t>
  </si>
  <si>
    <t>Early Education ADA, K-3  (TEC 48.108)</t>
  </si>
  <si>
    <t>Non-Economically Disadvantaged without disability living in residential treatment facility and whose parents do not reside in district. (TEC Sec. 48.104(a))</t>
  </si>
  <si>
    <t>Dropout Recover ADA (TEC 48.153)</t>
  </si>
  <si>
    <t>Residential Facility ADA (TEC 48.153)</t>
  </si>
  <si>
    <t xml:space="preserve">  Tier 1 CTE: Not approved program of study </t>
  </si>
  <si>
    <t xml:space="preserve">  Tier 2 CTE: Levels 1 and 2 CTE courses in approved program of study</t>
  </si>
  <si>
    <t xml:space="preserve">  Tier 3 CTE: Levels 3 and 4 CTE courses in approved program of study</t>
  </si>
  <si>
    <t>VOCED_FTE_TIER_1</t>
  </si>
  <si>
    <t>VOCED_FTE_TIER_2</t>
  </si>
  <si>
    <t>VOCED_FTE_TIER_3</t>
  </si>
  <si>
    <t>VOCED_ALLOT_TIER_1</t>
  </si>
  <si>
    <t>VOCED_ALLOT_TIER_2</t>
  </si>
  <si>
    <t>VOCED_ALLOT_TIER_3</t>
  </si>
  <si>
    <t>GT_ALLOT_ADJ</t>
  </si>
  <si>
    <t>FTG_UNADJ</t>
  </si>
  <si>
    <t>GROWTH_OVER_250</t>
  </si>
  <si>
    <t>FAST_GROWTH_TIER</t>
  </si>
  <si>
    <t>FGA_ALLOT_UNADJ</t>
  </si>
  <si>
    <t>FGA_ALLOT_ADJ</t>
  </si>
  <si>
    <t>FGA_ALLOT_2020</t>
  </si>
  <si>
    <t>FGA_HH_ALLOT_UNADJ</t>
  </si>
  <si>
    <t>FGA_HH_ALLOT_ADJ</t>
  </si>
  <si>
    <r>
      <rPr>
        <strike/>
        <sz val="14"/>
        <rFont val="Calibri"/>
        <family val="2"/>
        <scheme val="minor"/>
      </rPr>
      <t>Three-hour Class (V3)</t>
    </r>
    <r>
      <rPr>
        <sz val="14"/>
        <rFont val="Calibri"/>
        <family val="2"/>
        <scheme val="minor"/>
      </rPr>
      <t xml:space="preserve">  Tier 3 weighted FTE</t>
    </r>
  </si>
  <si>
    <r>
      <rPr>
        <strike/>
        <sz val="14"/>
        <rFont val="Calibri"/>
        <family val="2"/>
        <scheme val="minor"/>
      </rPr>
      <t>Two-hour Class (V2)</t>
    </r>
    <r>
      <rPr>
        <sz val="14"/>
        <rFont val="Calibri"/>
        <family val="2"/>
        <scheme val="minor"/>
      </rPr>
      <t xml:space="preserve">     Tier 2 weighted FTE</t>
    </r>
  </si>
  <si>
    <r>
      <rPr>
        <strike/>
        <sz val="14"/>
        <rFont val="Calibri"/>
        <family val="2"/>
        <scheme val="minor"/>
      </rPr>
      <t>One-hour Class (V1)</t>
    </r>
    <r>
      <rPr>
        <sz val="14"/>
        <rFont val="Calibri"/>
        <family val="2"/>
        <scheme val="minor"/>
      </rPr>
      <t xml:space="preserve">    Tier I weighted FTE</t>
    </r>
  </si>
  <si>
    <t>5.  Career &amp; Technology (CTE) FTE, Grade 7 to 12. (TEC 48.106)
       Enter the Total Number of CTE students for each instructional setting.</t>
  </si>
  <si>
    <t>CTE FTE
Grade 7 to 12</t>
  </si>
  <si>
    <t>old law CTE weight</t>
  </si>
  <si>
    <t>Tier 1 FTE (weight 1.1)</t>
  </si>
  <si>
    <t>Tier 2 FTE (weight 1.28)</t>
  </si>
  <si>
    <t>Tier 3 FTE (weight 1.47)</t>
  </si>
  <si>
    <t>Eligible Days Bilingual/ESL (LEP ONLY- NON DUAL)</t>
  </si>
  <si>
    <t>BIL/ESL Refined ADA (LEP ONLY - NON DUAL)</t>
  </si>
  <si>
    <t>Bilingual LEP Dual Language Eligible Days</t>
  </si>
  <si>
    <t>Bilingual LEP Dual Language Refined ADA</t>
  </si>
  <si>
    <t>Bilingual Non LEP Dual Language Eligible Days</t>
  </si>
  <si>
    <t>Bilingual Non LEP Dual Language Refined ADA</t>
  </si>
  <si>
    <t>Early Education, K-3 (Educationally disadvantaged or LEP &amp; bilingual or special language) Eligible Days</t>
  </si>
  <si>
    <t>Early Education, K-3 (Educationally disadvantaged or LEP &amp; bilingual or special language) Refined ADA</t>
  </si>
  <si>
    <t>Residential Placement Facilities Eligible Days</t>
  </si>
  <si>
    <t>Residential Placement Facilities Refined ADA</t>
  </si>
  <si>
    <t>Gifted and Talented Enrollment</t>
  </si>
  <si>
    <t xml:space="preserve">Gifted and Talented Max </t>
  </si>
  <si>
    <t xml:space="preserve">    e2) Review the line items for Column D, "Revised Estimates".  Column D calculates revised ADA and FTE based on the "Estimates" data entries and provides a preview of the September 10 Summary of Finance if the charter district reports the "Estimates" data entries by August 1, 2021 in the FSP Estimate Data report.  </t>
  </si>
  <si>
    <t>a) Enter the charter district's six digit county district number (no dashes) in cell B1 of the Estimates worksheet. The charter district's name will appear in cell A2 of the Estimates worksheet and on other worksheet tabs.</t>
  </si>
  <si>
    <t xml:space="preserve">No edits or changes to Prior Law State Aid worksheet; provided as reference only.  Provides the frozen calculation of the 2019-2020  Foundation School Program Maintenance &amp; Operations (M&amp;O) revenue as those chapters existed on 1/1/2019.  Calculates M&amp;O Revenue and Revenue Per ADA Before HB3 which is carried into the Formula Transition Grant(FTG) section of HB 1525 State Aid worksheet to determine eligibility and FTG allocation amount, if any.  </t>
  </si>
  <si>
    <r>
      <t xml:space="preserve">9.  Charter School Facility Funding.  (TEC 12.106(d)) 
</t>
    </r>
    <r>
      <rPr>
        <sz val="14"/>
        <rFont val="Calibri"/>
        <family val="2"/>
        <scheme val="minor"/>
      </rPr>
      <t xml:space="preserve">Eligibility based on overall district Accountability Rating of "A" through "D".  Due to the impact of COVID-19, all districts received a label of </t>
    </r>
    <r>
      <rPr>
        <i/>
        <sz val="14"/>
        <rFont val="Calibri"/>
        <family val="2"/>
        <scheme val="minor"/>
      </rPr>
      <t xml:space="preserve">Not Rated: Declared State of Disaster </t>
    </r>
    <r>
      <rPr>
        <sz val="14"/>
        <rFont val="Calibri"/>
        <family val="2"/>
        <scheme val="minor"/>
      </rPr>
      <t>in 2020 and 2021</t>
    </r>
    <r>
      <rPr>
        <i/>
        <sz val="14"/>
        <rFont val="Calibri"/>
        <family val="2"/>
        <scheme val="minor"/>
      </rPr>
      <t>.</t>
    </r>
    <r>
      <rPr>
        <sz val="14"/>
        <rFont val="Calibri"/>
        <family val="2"/>
        <scheme val="minor"/>
      </rPr>
      <t xml:space="preserve"> Per TAC §105.1011 (c), the most recent overall performance assigned is the most recent final overall performance rating issued. Thus TEA is using 2019 Accountability Ratings to determine eligibility.</t>
    </r>
  </si>
  <si>
    <t xml:space="preserve">Charter Schools Facilities Funding Eligibility? </t>
  </si>
  <si>
    <t xml:space="preserve">  Regular Transportation (Based on Linear Density + Bus Passes)</t>
  </si>
  <si>
    <t>An optional resource to enter District-summary level attendance for each six-week period to calculate the "Average" annual attendance based on all 6 Six-week periods.  For  Cash Flow purposes, TEA incorporates the "Average" from the FSP ADA Projection report into the Summary of Finances on a monthly basis (generally  on the 10th day of the month).  In the Foundation School Program (FSP) application system, "Approved" FSP Six-week reports are used to calculate the "Average".  TEA uses the latest "Approved" report to project full school year projected ADA/FTE averages to determine cash flow.  However, at settle-up TEA relies on the official system of record, TSDS PEIMS data, to determine actual earnings/funding.</t>
  </si>
  <si>
    <t>Weighted Career &amp; Technology FTE</t>
  </si>
  <si>
    <t>Total Career &amp; Technology FTE</t>
  </si>
  <si>
    <t>STAFF SALARY FOR PRIOR LAW STATE AID CALCS</t>
  </si>
  <si>
    <t>MAXIMUM ENROLLMENT FOR ESTIMATES TAB DATA VALIDATION</t>
  </si>
  <si>
    <t>FACILTY FUNDING ELIGIBILITY</t>
  </si>
  <si>
    <t xml:space="preserve">FACILITY FUNDING CODE </t>
  </si>
  <si>
    <t>BILINGUAL ADA</t>
  </si>
  <si>
    <t>TIER CENSUS BLOCK COUNT</t>
  </si>
  <si>
    <t>RICHARD MILBURN ALTER HIGH SCHOOL - KILLEEN</t>
  </si>
  <si>
    <t>HARMONY PUBLIC SCHOOLS - WEST TEXAS</t>
  </si>
  <si>
    <t>HARMONY PUBLIC SCHOOLS - NORTH TEXAS</t>
  </si>
  <si>
    <t>HARMONY PUBLIC SCHOOLS - CENTRAL TEXAS</t>
  </si>
  <si>
    <t>VALERE PUBLIC SCHOOLS</t>
  </si>
  <si>
    <t>THE EXCEL CENTER - FOR ADULTS</t>
  </si>
  <si>
    <t>HARMONY PUBLIC SCHOOLS - SOUTH TEXAS</t>
  </si>
  <si>
    <t>HARMONY PUBLIC SCHOOLS - HOUSTON SOUTH</t>
  </si>
  <si>
    <t>HARMONY PUBLIC SCHOOLS - HOUSTON NORTH</t>
  </si>
  <si>
    <t>HARMONY PUBLIC SCHOOLS - HOUSTON WEST</t>
  </si>
  <si>
    <t>DBA adjusted for Career and Technology Allotment</t>
  </si>
  <si>
    <t>Gifted and Talented Allotment Detail:</t>
  </si>
  <si>
    <t>21-Gifted &amp; Talented Adjusted Allotment 48.109 (spend 100% of amount)</t>
  </si>
  <si>
    <t xml:space="preserve">  (Less Gifted and Talented performance standards and MATHCOUNTS Set-Aside)</t>
  </si>
  <si>
    <t xml:space="preserve">   Formula Transition Target Revenue * ADA  (Current 2021-2022 Refined ADA * Line 135)</t>
  </si>
  <si>
    <t xml:space="preserve">   2019-2020 Minimum of 103% or 128% (Min of Line 134, 133) </t>
  </si>
  <si>
    <t xml:space="preserve">  Gifted and Talented Allotment </t>
  </si>
  <si>
    <t xml:space="preserve">  Private Routes Transportation</t>
  </si>
  <si>
    <r>
      <t>F</t>
    </r>
    <r>
      <rPr>
        <b/>
        <i/>
        <u/>
        <sz val="14"/>
        <rFont val="Calibri"/>
        <family val="2"/>
        <scheme val="minor"/>
      </rPr>
      <t>or purpose of Cash Flow or Budget preparation:</t>
    </r>
  </si>
  <si>
    <r>
      <rPr>
        <b/>
        <sz val="14"/>
        <rFont val="Calibri"/>
        <family val="2"/>
        <scheme val="minor"/>
      </rPr>
      <t xml:space="preserve">    Formula Transition Grant (FTG)
</t>
    </r>
    <r>
      <rPr>
        <sz val="12"/>
        <rFont val="Calibri"/>
        <family val="2"/>
        <scheme val="minor"/>
      </rPr>
      <t xml:space="preserve">       If Line 136 &gt; Line 138, FTG = Line 136 less Line 138</t>
    </r>
  </si>
  <si>
    <r>
      <rPr>
        <b/>
        <sz val="14"/>
        <rFont val="Calibri"/>
        <family val="2"/>
        <scheme val="minor"/>
      </rPr>
      <t xml:space="preserve">    Adjusted Formula Transition Grant</t>
    </r>
    <r>
      <rPr>
        <sz val="14"/>
        <rFont val="Calibri"/>
        <family val="2"/>
        <scheme val="minor"/>
      </rPr>
      <t> </t>
    </r>
    <r>
      <rPr>
        <sz val="12"/>
        <rFont val="Calibri"/>
        <family val="2"/>
        <scheme val="minor"/>
      </rPr>
      <t>to limit of $400 million statewide spending</t>
    </r>
  </si>
  <si>
    <t>Validation check on Facility Funding Allotment</t>
  </si>
  <si>
    <r>
      <t>The password is "unlock"</t>
    </r>
    <r>
      <rPr>
        <sz val="14"/>
        <rFont val="Calibri"/>
        <family val="2"/>
        <scheme val="minor"/>
      </rPr>
      <t xml:space="preserve"> (all lowercase) to unprotect each of the 6 visible worksheet tabs.</t>
    </r>
  </si>
  <si>
    <t xml:space="preserve">  Unintended Consequence (E86 minus E85 only if E86 greater than E85)</t>
  </si>
  <si>
    <t xml:space="preserve">  Current Law Special Ed Total (E79 through E83)</t>
  </si>
  <si>
    <t>HB 1525 State Aid</t>
  </si>
  <si>
    <t>Prior Law State Aid</t>
  </si>
  <si>
    <t xml:space="preserve"> For purpose of preparing the submission of the FSP Estimate Data Report (this section not applicable after August 1, 2021)</t>
  </si>
  <si>
    <t>Estimates (START HERE)</t>
  </si>
  <si>
    <t>Modify Based on Local Annualized Projections</t>
  </si>
  <si>
    <t>RUN ID 32570;  July 14</t>
  </si>
  <si>
    <r>
      <rPr>
        <b/>
        <i/>
        <sz val="14"/>
        <rFont val="Calibri"/>
        <family val="2"/>
        <scheme val="minor"/>
      </rPr>
      <t xml:space="preserve">Column C (Prior Year Data) </t>
    </r>
    <r>
      <rPr>
        <i/>
        <sz val="14"/>
        <rFont val="Calibri"/>
        <family val="2"/>
        <scheme val="minor"/>
      </rPr>
      <t>- No data entry.  Column C reconciles to Run ID 32570, dated July 14, 2021.</t>
    </r>
  </si>
  <si>
    <t>Changes to HB 1525 State Aid worksheet identified below:</t>
  </si>
  <si>
    <t>WORKSHEET PURPOSE AND INSTRUCTIONS</t>
  </si>
  <si>
    <t>Enter County District Number (no dashes) - START HERE</t>
  </si>
  <si>
    <r>
      <t xml:space="preserve">  Regular Transportation Routes </t>
    </r>
    <r>
      <rPr>
        <sz val="14"/>
        <rFont val="Calibri"/>
        <family val="2"/>
        <scheme val="minor"/>
      </rPr>
      <t>(Eligible Mileage x $1)</t>
    </r>
    <r>
      <rPr>
        <i/>
        <sz val="14"/>
        <rFont val="Calibri"/>
        <family val="2"/>
        <scheme val="minor"/>
      </rPr>
      <t xml:space="preserve"> and/or Bus Passes</t>
    </r>
  </si>
  <si>
    <t>Variance</t>
  </si>
  <si>
    <t>Dump Column #</t>
  </si>
  <si>
    <t xml:space="preserve">Dump Value </t>
  </si>
  <si>
    <t>Dump Column Name</t>
  </si>
  <si>
    <t>M&amp;O Revenue Before HB3 (calculated via spreadsheet)</t>
  </si>
  <si>
    <t>M&amp;O Revenue Before HB3 TOT_STATE_AID (calculated   by  SOF)</t>
  </si>
  <si>
    <t>GT_ALLOT_UNADJ</t>
  </si>
  <si>
    <t>SM_MID_VOCED</t>
  </si>
  <si>
    <t>MOQ_ALLOT</t>
  </si>
  <si>
    <t>PY1_MO_COLL_MINTR</t>
  </si>
  <si>
    <t>FSF_ALLOT_BEFORE_ASAHE</t>
  </si>
  <si>
    <t>TY21_MO_RATE_ADOPT</t>
  </si>
  <si>
    <t>LPE ADA Projection</t>
  </si>
  <si>
    <t>Maintenance of Equity for Federal Money Related to 
Covid-19 Pandemic (TEC 48.281)</t>
  </si>
  <si>
    <t>Line 16: Other Programs Detail Rpt</t>
  </si>
  <si>
    <t>May 2022
 SOF Run 35795</t>
  </si>
  <si>
    <t xml:space="preserve">         ● $6,160 - District Basic Allotment, row 66</t>
  </si>
  <si>
    <t xml:space="preserve">         ● $40.00 - EDA Guaranteed Yield (GY), row 72</t>
  </si>
  <si>
    <t xml:space="preserve">         ● $0.0263 - District Tax Rate Level 2 (DTR2), row 70</t>
  </si>
  <si>
    <t xml:space="preserve">         ● $0.0636- District Tax Rate Level 1 (DTR1), row 69</t>
  </si>
  <si>
    <t xml:space="preserve">         ● $1,100 - Small &amp; Midsize Allotment, row 67</t>
  </si>
  <si>
    <t>vi.   Added Other Programs: Maintenance of Equity for Federal Money Related to Covid-19 Pandemic (TEC 48.281), Row 127.</t>
  </si>
  <si>
    <r>
      <rPr>
        <b/>
        <i/>
        <sz val="14"/>
        <rFont val="Calibri"/>
        <family val="2"/>
        <scheme val="minor"/>
      </rPr>
      <t>Column D (Revised Estimates)</t>
    </r>
    <r>
      <rPr>
        <i/>
        <sz val="14"/>
        <rFont val="Calibri"/>
        <family val="2"/>
        <scheme val="minor"/>
      </rPr>
      <t xml:space="preserve"> - No data entry.  Column D is calculated when "Estimates" worksheet is completed.  Provides a preview of initial September 10, 2021 Summary of Finances .</t>
    </r>
  </si>
  <si>
    <r>
      <rPr>
        <b/>
        <sz val="14"/>
        <rFont val="Calibri"/>
        <family val="2"/>
        <scheme val="minor"/>
      </rPr>
      <t xml:space="preserve">    Formula Transition Grant (FTG)
</t>
    </r>
    <r>
      <rPr>
        <sz val="12"/>
        <rFont val="Calibri"/>
        <family val="2"/>
        <scheme val="minor"/>
      </rPr>
      <t xml:space="preserve">       If Line 139 &gt; Line 137, FTG = Line 137 less Line 139</t>
    </r>
  </si>
  <si>
    <t>DPE
(District Planning Estimate)</t>
  </si>
  <si>
    <t>ALLOTMENT REG without TAC 61.1004</t>
  </si>
  <si>
    <t>Difference</t>
  </si>
  <si>
    <r>
      <rPr>
        <b/>
        <i/>
        <sz val="14"/>
        <rFont val="Calibri"/>
        <family val="2"/>
        <scheme val="minor"/>
      </rPr>
      <t>Column F (DPE)</t>
    </r>
    <r>
      <rPr>
        <i/>
        <sz val="14"/>
        <rFont val="Calibri"/>
        <family val="2"/>
        <scheme val="minor"/>
      </rPr>
      <t xml:space="preserve"> - Reconciled to the latest SOF.</t>
    </r>
  </si>
  <si>
    <r>
      <rPr>
        <b/>
        <i/>
        <sz val="14"/>
        <rFont val="Calibri"/>
        <family val="2"/>
        <scheme val="minor"/>
      </rPr>
      <t>Column E (Cash Flow)</t>
    </r>
    <r>
      <rPr>
        <i/>
        <sz val="14"/>
        <rFont val="Calibri"/>
        <family val="2"/>
        <scheme val="minor"/>
      </rPr>
      <t xml:space="preserve"> - ADA Projection attendance data snapshot as of the month of the Version update.  Cash Flow corresponds to the legislative payment estimate (LPE) column of the Summary of Finance, which serves as the basis of payments during the school year. </t>
    </r>
  </si>
  <si>
    <t>c) Go to HB 1525 State Aid worksheet and make updates directly in the Cash Flow (Column E) and/or DPE (Column F).</t>
  </si>
  <si>
    <t>TSDS PEIMS FALL Data
(CTE FTEs unadjusted, 
thus align with LPE)</t>
  </si>
  <si>
    <t>LPE 
(Legislative Payment Estimate)</t>
  </si>
  <si>
    <t>ADA Projection Data</t>
  </si>
  <si>
    <t>&lt;=This worksheet is to prepare for submission of FSP Estimate Data Report by August 1.  See General Instructions in Version tab. For budget or forecasting purposes, go directly to State Aid tab, however ensure county district number is entered in cell B1 of Estimates worksheet.</t>
  </si>
  <si>
    <t>&lt;=No update available for cell A50 to A54 (Tier Counts).  Cash flow based on Tier count estimates shown. For budget or forecasting purposes, go directly to State Aid tab, column F (cell F49 to cell F53) to make updates.</t>
  </si>
  <si>
    <r>
      <t xml:space="preserve">There are </t>
    </r>
    <r>
      <rPr>
        <b/>
        <sz val="14"/>
        <rFont val="Calibri"/>
        <family val="2"/>
        <scheme val="minor"/>
      </rPr>
      <t>6</t>
    </r>
    <r>
      <rPr>
        <sz val="14"/>
        <rFont val="Calibri"/>
        <family val="2"/>
        <scheme val="minor"/>
      </rPr>
      <t xml:space="preserve"> visible worksheet tabs:  Version #, Estimates, HB 1525 State Aid, Prior Law State Aid, ADA Projection, and Payment Calculator.</t>
    </r>
  </si>
  <si>
    <r>
      <t>i.      Column E, LPE (Legislative Payment Estimate), populates based on ADA Projection Attendance data as of May 10 which reconciles to RUN ID</t>
    </r>
    <r>
      <rPr>
        <b/>
        <sz val="12"/>
        <rFont val="Calibri"/>
        <family val="2"/>
      </rPr>
      <t> </t>
    </r>
    <r>
      <rPr>
        <b/>
        <sz val="14"/>
        <rFont val="Calibri"/>
        <family val="2"/>
        <scheme val="minor"/>
      </rPr>
      <t>35795</t>
    </r>
    <r>
      <rPr>
        <b/>
        <sz val="12"/>
        <rFont val="Ebrima"/>
      </rPr>
      <t>.</t>
    </r>
    <r>
      <rPr>
        <b/>
        <sz val="14"/>
        <rFont val="Calibri"/>
        <family val="2"/>
        <scheme val="minor"/>
      </rPr>
      <t xml:space="preserve"> </t>
    </r>
    <r>
      <rPr>
        <sz val="14"/>
        <rFont val="Calibri"/>
        <family val="2"/>
        <scheme val="minor"/>
      </rPr>
      <t>Data imports once county district number is entered in</t>
    </r>
    <r>
      <rPr>
        <b/>
        <sz val="14"/>
        <rFont val="Calibri"/>
        <family val="2"/>
        <scheme val="minor"/>
      </rPr>
      <t xml:space="preserve"> </t>
    </r>
    <r>
      <rPr>
        <sz val="14"/>
        <rFont val="Calibri"/>
        <family val="2"/>
        <scheme val="minor"/>
      </rPr>
      <t>Estimates worksheet.</t>
    </r>
  </si>
  <si>
    <t>vii.   Column F, DPE (District Planning Estimate), populates with a forecasted estimate using TSDS PEIMS Fall enrollment data. Career and Technology Tiered FTEs were unadjusted and thus align with LPE values.  Data imports once county district number is entered in Estimates worksheet.</t>
  </si>
  <si>
    <t>ii.     Statewide Average Funding Components updated:</t>
  </si>
  <si>
    <t>viii.  Reminder: Texas Administrative Code (TAC), Rule 61.1004, addresses calculations when Prior Year Sped Allotment is greater than Current Law Sped Allotment. If old law yields a greater allotment, TEA adds the difference to new law special education and reduces regular program allotment by the same amount.  Rule will no longer be applicable beginning with the 2024-2025 school year. Review the Special Education Allotment Detail of HB 1525 State Aid worksheet for calculations.</t>
  </si>
  <si>
    <r>
      <t xml:space="preserve">Version </t>
    </r>
    <r>
      <rPr>
        <b/>
        <sz val="14"/>
        <color rgb="FFFF0000"/>
        <rFont val="Calibri"/>
        <family val="2"/>
        <scheme val="minor"/>
      </rPr>
      <t>4.1</t>
    </r>
    <r>
      <rPr>
        <b/>
        <sz val="14"/>
        <rFont val="Calibri"/>
        <family val="2"/>
        <scheme val="minor"/>
      </rPr>
      <t xml:space="preserve"> -  June 2022  (Email CharterSchoolFinance@tea.texas.gov for questions)</t>
    </r>
  </si>
  <si>
    <r>
      <t xml:space="preserve">VERSION </t>
    </r>
    <r>
      <rPr>
        <b/>
        <sz val="16"/>
        <color rgb="FFFF0000"/>
        <rFont val="Calibri"/>
        <family val="2"/>
        <scheme val="minor"/>
      </rPr>
      <t>4.1</t>
    </r>
    <r>
      <rPr>
        <b/>
        <sz val="16"/>
        <rFont val="Calibri"/>
        <family val="2"/>
        <scheme val="minor"/>
      </rPr>
      <t xml:space="preserve"> - June, 2022.</t>
    </r>
  </si>
  <si>
    <t>**      Column F:  corrected calculation for Weighted Career &amp; Technology FTE, Cell F43.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</si>
</sst>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
    <numFmt numFmtId="165" formatCode="0.0000"/>
    <numFmt numFmtId="166" formatCode="_(&quot;$&quot;* #,##0_);_(&quot;$&quot;* \(#,##0\);_(&quot;$&quot;* &quot;-&quot;??_);_(@_)"/>
    <numFmt numFmtId="167" formatCode="000000"/>
    <numFmt numFmtId="168" formatCode="0.0"/>
    <numFmt numFmtId="169" formatCode="_(* #,##0_);_(* \(#,##0\);_(* &quot;-&quot;??_);_(@_)"/>
    <numFmt numFmtId="170" formatCode="_(&quot;$&quot;* #,##0.000_);_(&quot;$&quot;* \(#,##0.000\);_(&quot;$&quot;* &quot;-&quot;???_);_(@_)"/>
    <numFmt numFmtId="171" formatCode="_(&quot;$&quot;* #,##0.000000_);_(&quot;$&quot;* \(#,##0.000000\);_(&quot;$&quot;* &quot;-&quot;??????_);_(@_)"/>
    <numFmt numFmtId="172" formatCode="&quot;$&quot;#,##0"/>
    <numFmt numFmtId="173" formatCode="_(&quot;$&quot;* #,##0.0000_);_(&quot;$&quot;* \(#,##0.0000\);_(&quot;$&quot;* &quot;-&quot;????_);_(@_)"/>
    <numFmt numFmtId="174" formatCode="0.000%"/>
    <numFmt numFmtId="175" formatCode="0.00000"/>
    <numFmt numFmtId="176" formatCode="0.000000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u/>
      <sz val="10"/>
      <name val="Arial"/>
      <family val="2"/>
    </font>
    <font>
      <sz val="12"/>
      <color indexed="81"/>
      <name val="Tahoma"/>
      <family val="2"/>
    </font>
    <font>
      <sz val="12"/>
      <name val="Calibri"/>
      <family val="2"/>
      <scheme val="minor"/>
    </font>
    <font>
      <b/>
      <sz val="12"/>
      <name val="Calibri"/>
      <family val="2"/>
      <scheme val="minor"/>
    </font>
    <font>
      <b/>
      <sz val="14"/>
      <name val="Calibri"/>
      <family val="2"/>
      <scheme val="minor"/>
    </font>
    <font>
      <b/>
      <sz val="16"/>
      <name val="Calibri"/>
      <family val="2"/>
      <scheme val="minor"/>
    </font>
    <font>
      <sz val="16"/>
      <name val="Calibri"/>
      <family val="2"/>
      <scheme val="minor"/>
    </font>
    <font>
      <sz val="18"/>
      <name val="Calibri"/>
      <family val="2"/>
      <scheme val="minor"/>
    </font>
    <font>
      <b/>
      <sz val="18"/>
      <name val="Calibri"/>
      <family val="2"/>
      <scheme val="minor"/>
    </font>
    <font>
      <sz val="14"/>
      <name val="Calibri"/>
      <family val="2"/>
      <scheme val="minor"/>
    </font>
    <font>
      <i/>
      <sz val="14"/>
      <name val="Calibri"/>
      <family val="2"/>
      <scheme val="minor"/>
    </font>
    <font>
      <b/>
      <sz val="20"/>
      <color theme="0"/>
      <name val="Calibri"/>
      <family val="2"/>
      <scheme val="minor"/>
    </font>
    <font>
      <b/>
      <sz val="18"/>
      <color theme="0"/>
      <name val="Calibri"/>
      <family val="2"/>
      <scheme val="minor"/>
    </font>
    <font>
      <sz val="14"/>
      <color theme="1"/>
      <name val="Calibri"/>
      <family val="2"/>
      <scheme val="minor"/>
    </font>
    <font>
      <b/>
      <sz val="14"/>
      <color theme="1" tint="0.34998626667073579"/>
      <name val="Calibri"/>
      <family val="2"/>
      <scheme val="minor"/>
    </font>
    <font>
      <sz val="14"/>
      <color theme="0" tint="-0.14999847407452621"/>
      <name val="Calibri"/>
      <family val="2"/>
      <scheme val="minor"/>
    </font>
    <font>
      <b/>
      <i/>
      <sz val="14"/>
      <name val="Calibri"/>
      <family val="2"/>
      <scheme val="minor"/>
    </font>
    <font>
      <b/>
      <sz val="14"/>
      <color theme="1"/>
      <name val="Calibri"/>
      <family val="2"/>
      <scheme val="minor"/>
    </font>
    <font>
      <b/>
      <sz val="14"/>
      <color rgb="FFC00000"/>
      <name val="Calibri"/>
      <family val="2"/>
      <scheme val="minor"/>
    </font>
    <font>
      <sz val="10"/>
      <color theme="1"/>
      <name val="Arial"/>
      <family val="2"/>
    </font>
    <font>
      <sz val="12"/>
      <color rgb="FFFF0000"/>
      <name val="Calibri"/>
      <family val="2"/>
      <scheme val="minor"/>
    </font>
    <font>
      <b/>
      <sz val="18"/>
      <color rgb="FFFFFFCC"/>
      <name val="Calibri"/>
      <family val="2"/>
      <scheme val="minor"/>
    </font>
    <font>
      <b/>
      <sz val="14"/>
      <color rgb="FF0070C0"/>
      <name val="Calibri"/>
      <family val="2"/>
      <scheme val="minor"/>
    </font>
    <font>
      <b/>
      <sz val="14"/>
      <color rgb="FFFF0000"/>
      <name val="Calibri"/>
      <family val="2"/>
      <scheme val="minor"/>
    </font>
    <font>
      <sz val="14"/>
      <name val="Calibri"/>
      <family val="2"/>
    </font>
    <font>
      <b/>
      <sz val="20"/>
      <name val="Calibri"/>
      <family val="2"/>
      <scheme val="minor"/>
    </font>
    <font>
      <sz val="14"/>
      <color rgb="FF00B050"/>
      <name val="Calibri"/>
      <family val="2"/>
      <scheme val="minor"/>
    </font>
    <font>
      <b/>
      <sz val="10"/>
      <name val="Calibri"/>
      <family val="2"/>
      <scheme val="minor"/>
    </font>
    <font>
      <b/>
      <sz val="16"/>
      <color theme="1"/>
      <name val="Calibri"/>
      <family val="2"/>
      <scheme val="minor"/>
    </font>
    <font>
      <b/>
      <sz val="12"/>
      <color rgb="FFC00000"/>
      <name val="Calibri"/>
      <family val="2"/>
      <scheme val="minor"/>
    </font>
    <font>
      <b/>
      <i/>
      <sz val="12"/>
      <color rgb="FFC00000"/>
      <name val="Calibri"/>
      <family val="2"/>
      <scheme val="minor"/>
    </font>
    <font>
      <sz val="12"/>
      <color rgb="FFC00000"/>
      <name val="Calibri"/>
      <family val="2"/>
      <scheme val="minor"/>
    </font>
    <font>
      <b/>
      <i/>
      <sz val="12"/>
      <color rgb="FF0070C0"/>
      <name val="Calibri"/>
      <family val="2"/>
      <scheme val="minor"/>
    </font>
    <font>
      <sz val="12"/>
      <color theme="1"/>
      <name val="Calibri"/>
      <family val="2"/>
      <scheme val="minor"/>
    </font>
    <font>
      <sz val="10"/>
      <color indexed="81"/>
      <name val="Verdana"/>
      <family val="2"/>
    </font>
    <font>
      <sz val="10"/>
      <name val="Calibri"/>
      <family val="2"/>
      <scheme val="minor"/>
    </font>
    <font>
      <i/>
      <u/>
      <sz val="12"/>
      <name val="Calibri"/>
      <family val="2"/>
      <scheme val="minor"/>
    </font>
    <font>
      <sz val="12"/>
      <name val="Arial"/>
      <family val="2"/>
    </font>
    <font>
      <sz val="11"/>
      <color rgb="FF333333"/>
      <name val="Arial"/>
      <family val="2"/>
    </font>
    <font>
      <b/>
      <sz val="14"/>
      <color theme="2" tint="-0.499984740745262"/>
      <name val="Calibri"/>
      <family val="2"/>
      <scheme val="minor"/>
    </font>
    <font>
      <b/>
      <sz val="12"/>
      <color theme="1"/>
      <name val="Calibri"/>
      <family val="2"/>
      <scheme val="minor"/>
    </font>
    <font>
      <strike/>
      <sz val="14"/>
      <name val="Calibri"/>
      <family val="2"/>
      <scheme val="minor"/>
    </font>
    <font>
      <b/>
      <i/>
      <u/>
      <sz val="14"/>
      <name val="Calibri"/>
      <family val="2"/>
      <scheme val="minor"/>
    </font>
    <font>
      <b/>
      <sz val="14"/>
      <color theme="5" tint="-0.499984740745262"/>
      <name val="Calibri"/>
      <family val="2"/>
      <scheme val="minor"/>
    </font>
    <font>
      <b/>
      <u/>
      <sz val="14"/>
      <name val="Calibri"/>
      <family val="2"/>
      <scheme val="minor"/>
    </font>
    <font>
      <sz val="10"/>
      <color rgb="FF000000"/>
      <name val="Arial"/>
      <family val="2"/>
    </font>
    <font>
      <i/>
      <sz val="10"/>
      <name val="Arial"/>
      <family val="2"/>
    </font>
    <font>
      <b/>
      <i/>
      <sz val="14"/>
      <color theme="8" tint="-0.249977111117893"/>
      <name val="Calibri"/>
      <family val="2"/>
      <scheme val="minor"/>
    </font>
    <font>
      <b/>
      <sz val="9"/>
      <name val="Calibri"/>
      <family val="2"/>
      <scheme val="minor"/>
    </font>
    <font>
      <sz val="10"/>
      <color theme="0"/>
      <name val="Arial"/>
      <family val="2"/>
    </font>
    <font>
      <sz val="11"/>
      <color theme="0"/>
      <name val="Calibri"/>
      <family val="2"/>
    </font>
    <font>
      <b/>
      <sz val="10"/>
      <name val="Arial"/>
      <family val="2"/>
    </font>
    <font>
      <b/>
      <sz val="12"/>
      <name val="Calibri"/>
      <family val="2"/>
    </font>
    <font>
      <b/>
      <sz val="12"/>
      <name val="Ebrima"/>
    </font>
    <font>
      <sz val="16"/>
      <name val="Arial"/>
      <family val="2"/>
    </font>
    <font>
      <sz val="18"/>
      <color theme="1"/>
      <name val="Calibri"/>
      <family val="2"/>
      <scheme val="minor"/>
    </font>
    <font>
      <b/>
      <sz val="9"/>
      <color theme="1"/>
      <name val="Calibri"/>
      <family val="2"/>
      <scheme val="minor"/>
    </font>
    <font>
      <sz val="10"/>
      <color theme="1"/>
      <name val="Calibri"/>
      <family val="2"/>
      <scheme val="minor"/>
    </font>
    <font>
      <i/>
      <sz val="14"/>
      <color theme="1"/>
      <name val="Calibri"/>
      <family val="2"/>
      <scheme val="minor"/>
    </font>
    <font>
      <sz val="10"/>
      <color theme="1"/>
      <name val="Verdana"/>
      <family val="2"/>
    </font>
    <font>
      <b/>
      <i/>
      <sz val="14"/>
      <color theme="1"/>
      <name val="Calibri"/>
      <family val="2"/>
      <scheme val="minor"/>
    </font>
    <font>
      <b/>
      <sz val="18"/>
      <color theme="1"/>
      <name val="Calibri"/>
      <family val="2"/>
      <scheme val="minor"/>
    </font>
    <font>
      <b/>
      <sz val="11"/>
      <name val="Calibri"/>
      <family val="2"/>
      <scheme val="minor"/>
    </font>
    <font>
      <b/>
      <sz val="12"/>
      <color theme="5" tint="-0.499984740745262"/>
      <name val="Calibri"/>
      <family val="2"/>
      <scheme val="minor"/>
    </font>
    <font>
      <b/>
      <sz val="16"/>
      <color rgb="FFFF000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0.749992370372631"/>
        <bgColor indexed="64"/>
      </patternFill>
    </fill>
    <fill>
      <patternFill patternType="solid">
        <fgColor rgb="FFFFFFCC"/>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rgb="FFFFFFFF"/>
        <bgColor indexed="64"/>
      </patternFill>
    </fill>
    <fill>
      <patternFill patternType="solid">
        <fgColor rgb="FFFDFFE1"/>
        <bgColor indexed="64"/>
      </patternFill>
    </fill>
    <fill>
      <patternFill patternType="solid">
        <fgColor theme="0" tint="-0.249977111117893"/>
        <bgColor indexed="64"/>
      </patternFill>
    </fill>
  </fills>
  <borders count="13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style="thin">
        <color auto="1"/>
      </right>
      <top/>
      <bottom/>
      <diagonal/>
    </border>
    <border>
      <left/>
      <right style="thin">
        <color auto="1"/>
      </right>
      <top style="double">
        <color auto="1"/>
      </top>
      <bottom style="thin">
        <color auto="1"/>
      </bottom>
      <diagonal/>
    </border>
    <border>
      <left style="thin">
        <color auto="1"/>
      </left>
      <right style="medium">
        <color auto="1"/>
      </right>
      <top/>
      <bottom style="double">
        <color auto="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double">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bottom/>
      <diagonal/>
    </border>
    <border>
      <left style="thin">
        <color auto="1"/>
      </left>
      <right style="medium">
        <color auto="1"/>
      </right>
      <top style="double">
        <color auto="1"/>
      </top>
      <bottom style="double">
        <color auto="1"/>
      </bottom>
      <diagonal/>
    </border>
    <border>
      <left/>
      <right style="thin">
        <color auto="1"/>
      </right>
      <top style="double">
        <color auto="1"/>
      </top>
      <bottom style="double">
        <color auto="1"/>
      </bottom>
      <diagonal/>
    </border>
    <border>
      <left style="thin">
        <color auto="1"/>
      </left>
      <right/>
      <top/>
      <bottom/>
      <diagonal/>
    </border>
    <border>
      <left style="thin">
        <color auto="1"/>
      </left>
      <right/>
      <top style="double">
        <color auto="1"/>
      </top>
      <bottom style="double">
        <color auto="1"/>
      </bottom>
      <diagonal/>
    </border>
    <border>
      <left style="thin">
        <color auto="1"/>
      </left>
      <right/>
      <top/>
      <bottom style="double">
        <color auto="1"/>
      </bottom>
      <diagonal/>
    </border>
    <border>
      <left style="medium">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top style="thin">
        <color auto="1"/>
      </top>
      <bottom style="double">
        <color auto="1"/>
      </bottom>
      <diagonal/>
    </border>
    <border>
      <left/>
      <right style="thin">
        <color auto="1"/>
      </right>
      <top style="thin">
        <color indexed="64"/>
      </top>
      <bottom style="double">
        <color auto="1"/>
      </bottom>
      <diagonal/>
    </border>
    <border>
      <left style="thin">
        <color auto="1"/>
      </left>
      <right style="thin">
        <color auto="1"/>
      </right>
      <top style="double">
        <color auto="1"/>
      </top>
      <bottom style="double">
        <color auto="1"/>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right style="thin">
        <color auto="1"/>
      </right>
      <top/>
      <bottom style="double">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theme="1"/>
      </top>
      <bottom style="thin">
        <color theme="1"/>
      </bottom>
      <diagonal/>
    </border>
    <border>
      <left style="thin">
        <color auto="1"/>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double">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thin">
        <color auto="1"/>
      </right>
      <top style="thin">
        <color auto="1"/>
      </top>
      <bottom style="double">
        <color auto="1"/>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ck">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00B050"/>
      </left>
      <right style="thin">
        <color indexed="64"/>
      </right>
      <top style="thin">
        <color indexed="64"/>
      </top>
      <bottom style="thin">
        <color indexed="64"/>
      </bottom>
      <diagonal/>
    </border>
    <border>
      <left style="thick">
        <color rgb="FF00B050"/>
      </left>
      <right style="thin">
        <color auto="1"/>
      </right>
      <top style="double">
        <color auto="1"/>
      </top>
      <bottom style="thin">
        <color auto="1"/>
      </bottom>
      <diagonal/>
    </border>
    <border>
      <left style="thick">
        <color rgb="FF00B050"/>
      </left>
      <right style="thin">
        <color indexed="64"/>
      </right>
      <top style="thin">
        <color indexed="64"/>
      </top>
      <bottom style="double">
        <color indexed="64"/>
      </bottom>
      <diagonal/>
    </border>
    <border>
      <left style="thick">
        <color rgb="FF00B050"/>
      </left>
      <right style="thin">
        <color auto="1"/>
      </right>
      <top/>
      <bottom style="thin">
        <color auto="1"/>
      </bottom>
      <diagonal/>
    </border>
    <border>
      <left style="thick">
        <color rgb="FF00B050"/>
      </left>
      <right style="thin">
        <color auto="1"/>
      </right>
      <top/>
      <bottom style="double">
        <color auto="1"/>
      </bottom>
      <diagonal/>
    </border>
    <border>
      <left style="thick">
        <color rgb="FF00B050"/>
      </left>
      <right style="thin">
        <color indexed="64"/>
      </right>
      <top style="double">
        <color auto="1"/>
      </top>
      <bottom/>
      <diagonal/>
    </border>
    <border>
      <left style="thick">
        <color rgb="FF00B050"/>
      </left>
      <right style="thin">
        <color indexed="64"/>
      </right>
      <top style="thin">
        <color indexed="64"/>
      </top>
      <bottom style="thick">
        <color rgb="FF00B050"/>
      </bottom>
      <diagonal/>
    </border>
    <border>
      <left style="thin">
        <color indexed="64"/>
      </left>
      <right style="thin">
        <color indexed="64"/>
      </right>
      <top style="thin">
        <color indexed="64"/>
      </top>
      <bottom style="thick">
        <color rgb="FF00B050"/>
      </bottom>
      <diagonal/>
    </border>
    <border>
      <left style="thick">
        <color indexed="64"/>
      </left>
      <right style="thin">
        <color auto="1"/>
      </right>
      <top style="thin">
        <color auto="1"/>
      </top>
      <bottom/>
      <diagonal/>
    </border>
    <border>
      <left style="thick">
        <color rgb="FF00B050"/>
      </left>
      <right style="thin">
        <color auto="1"/>
      </right>
      <top style="thick">
        <color rgb="FF00B050"/>
      </top>
      <bottom style="thin">
        <color auto="1"/>
      </bottom>
      <diagonal/>
    </border>
    <border>
      <left style="thin">
        <color auto="1"/>
      </left>
      <right style="thin">
        <color auto="1"/>
      </right>
      <top style="thick">
        <color rgb="FF00B050"/>
      </top>
      <bottom style="thin">
        <color auto="1"/>
      </bottom>
      <diagonal/>
    </border>
    <border>
      <left style="thin">
        <color indexed="64"/>
      </left>
      <right style="medium">
        <color indexed="64"/>
      </right>
      <top style="thick">
        <color rgb="FF00B050"/>
      </top>
      <bottom style="thin">
        <color auto="1"/>
      </bottom>
      <diagonal/>
    </border>
    <border>
      <left style="thick">
        <color rgb="FF00B050"/>
      </left>
      <right/>
      <top style="thick">
        <color auto="1"/>
      </top>
      <bottom style="thin">
        <color auto="1"/>
      </bottom>
      <diagonal/>
    </border>
    <border>
      <left style="thick">
        <color rgb="FF00B050"/>
      </left>
      <right/>
      <top style="thin">
        <color indexed="64"/>
      </top>
      <bottom style="thin">
        <color indexed="64"/>
      </bottom>
      <diagonal/>
    </border>
    <border>
      <left style="thick">
        <color rgb="FF00B050"/>
      </left>
      <right/>
      <top style="thin">
        <color auto="1"/>
      </top>
      <bottom style="double">
        <color auto="1"/>
      </bottom>
      <diagonal/>
    </border>
    <border>
      <left style="thick">
        <color rgb="FF00B050"/>
      </left>
      <right/>
      <top style="thin">
        <color indexed="64"/>
      </top>
      <bottom style="medium">
        <color indexed="64"/>
      </bottom>
      <diagonal/>
    </border>
    <border>
      <left style="thick">
        <color rgb="FF00B050"/>
      </left>
      <right/>
      <top/>
      <bottom/>
      <diagonal/>
    </border>
    <border>
      <left style="thick">
        <color rgb="FF00B050"/>
      </left>
      <right/>
      <top/>
      <bottom style="thin">
        <color auto="1"/>
      </bottom>
      <diagonal/>
    </border>
    <border>
      <left style="thin">
        <color indexed="64"/>
      </left>
      <right/>
      <top style="thin">
        <color indexed="64"/>
      </top>
      <bottom style="thin">
        <color indexed="64"/>
      </bottom>
      <diagonal/>
    </border>
    <border>
      <left/>
      <right style="thin">
        <color theme="1"/>
      </right>
      <top style="thin">
        <color theme="1"/>
      </top>
      <bottom style="double">
        <color indexed="64"/>
      </bottom>
      <diagonal/>
    </border>
    <border>
      <left style="thin">
        <color indexed="64"/>
      </left>
      <right style="medium">
        <color indexed="64"/>
      </right>
      <top style="thin">
        <color auto="1"/>
      </top>
      <bottom style="thick">
        <color auto="1"/>
      </bottom>
      <diagonal/>
    </border>
    <border>
      <left style="thin">
        <color indexed="64"/>
      </left>
      <right style="thin">
        <color indexed="64"/>
      </right>
      <top style="thin">
        <color indexed="64"/>
      </top>
      <bottom style="thick">
        <color indexed="64"/>
      </bottom>
      <diagonal/>
    </border>
    <border>
      <left style="thin">
        <color auto="1"/>
      </left>
      <right style="medium">
        <color indexed="64"/>
      </right>
      <top style="thin">
        <color theme="1"/>
      </top>
      <bottom style="thin">
        <color theme="1"/>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thick">
        <color rgb="FF00B050"/>
      </bottom>
      <diagonal/>
    </border>
    <border>
      <left style="thin">
        <color auto="1"/>
      </left>
      <right style="thin">
        <color auto="1"/>
      </right>
      <top style="thin">
        <color indexed="64"/>
      </top>
      <bottom style="double">
        <color auto="1"/>
      </bottom>
      <diagonal/>
    </border>
    <border>
      <left style="thin">
        <color auto="1"/>
      </left>
      <right style="medium">
        <color auto="1"/>
      </right>
      <top style="medium">
        <color indexed="64"/>
      </top>
      <bottom/>
      <diagonal/>
    </border>
    <border>
      <left style="medium">
        <color auto="1"/>
      </left>
      <right style="thin">
        <color auto="1"/>
      </right>
      <top style="medium">
        <color indexed="64"/>
      </top>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medium">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auto="1"/>
      </right>
      <top style="medium">
        <color indexed="64"/>
      </top>
      <bottom/>
      <diagonal/>
    </border>
    <border>
      <left/>
      <right style="medium">
        <color auto="1"/>
      </right>
      <top/>
      <bottom style="thin">
        <color auto="1"/>
      </bottom>
      <diagonal/>
    </border>
    <border>
      <left/>
      <right style="medium">
        <color indexed="64"/>
      </right>
      <top style="thin">
        <color indexed="64"/>
      </top>
      <bottom style="double">
        <color indexed="64"/>
      </bottom>
      <diagonal/>
    </border>
    <border>
      <left/>
      <right style="medium">
        <color auto="1"/>
      </right>
      <top/>
      <bottom style="double">
        <color auto="1"/>
      </bottom>
      <diagonal/>
    </border>
    <border>
      <left style="medium">
        <color auto="1"/>
      </left>
      <right style="thin">
        <color auto="1"/>
      </right>
      <top style="double">
        <color auto="1"/>
      </top>
      <bottom style="double">
        <color auto="1"/>
      </bottom>
      <diagonal/>
    </border>
    <border>
      <left/>
      <right/>
      <top style="thin">
        <color indexed="64"/>
      </top>
      <bottom style="double">
        <color auto="1"/>
      </bottom>
      <diagonal/>
    </border>
    <border>
      <left style="thick">
        <color rgb="FF00B050"/>
      </left>
      <right/>
      <top style="thin">
        <color auto="1"/>
      </top>
      <bottom style="thin">
        <color theme="1"/>
      </bottom>
      <diagonal/>
    </border>
    <border>
      <left style="thin">
        <color auto="1"/>
      </left>
      <right style="thin">
        <color auto="1"/>
      </right>
      <top style="thin">
        <color auto="1"/>
      </top>
      <bottom style="thin">
        <color theme="1"/>
      </bottom>
      <diagonal/>
    </border>
    <border>
      <left/>
      <right style="medium">
        <color indexed="64"/>
      </right>
      <top style="thin">
        <color auto="1"/>
      </top>
      <bottom style="thin">
        <color theme="1"/>
      </bottom>
      <diagonal/>
    </border>
    <border>
      <left style="medium">
        <color auto="1"/>
      </left>
      <right/>
      <top style="thin">
        <color auto="1"/>
      </top>
      <bottom style="thin">
        <color auto="1"/>
      </bottom>
      <diagonal/>
    </border>
    <border>
      <left style="thick">
        <color rgb="FF00B050"/>
      </left>
      <right/>
      <top style="thin">
        <color theme="1"/>
      </top>
      <bottom style="double">
        <color auto="1"/>
      </bottom>
      <diagonal/>
    </border>
    <border>
      <left/>
      <right style="thin">
        <color auto="1"/>
      </right>
      <top style="thin">
        <color theme="1"/>
      </top>
      <bottom style="double">
        <color auto="1"/>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ck">
        <color rgb="FF00B050"/>
      </left>
      <right/>
      <top style="thin">
        <color indexed="64"/>
      </top>
      <bottom style="double">
        <color theme="1"/>
      </bottom>
      <diagonal/>
    </border>
    <border>
      <left/>
      <right style="thin">
        <color auto="1"/>
      </right>
      <top style="thin">
        <color indexed="64"/>
      </top>
      <bottom style="double">
        <color theme="1"/>
      </bottom>
      <diagonal/>
    </border>
    <border>
      <left/>
      <right/>
      <top style="double">
        <color auto="1"/>
      </top>
      <bottom style="double">
        <color auto="1"/>
      </bottom>
      <diagonal/>
    </border>
    <border>
      <left/>
      <right/>
      <top style="thin">
        <color indexed="64"/>
      </top>
      <bottom/>
      <diagonal/>
    </border>
    <border>
      <left/>
      <right/>
      <top/>
      <bottom style="double">
        <color auto="1"/>
      </bottom>
      <diagonal/>
    </border>
    <border>
      <left/>
      <right/>
      <top style="double">
        <color auto="1"/>
      </top>
      <bottom/>
      <diagonal/>
    </border>
    <border>
      <left style="thin">
        <color rgb="FF002060"/>
      </left>
      <right style="thin">
        <color auto="1"/>
      </right>
      <top style="thin">
        <color indexed="64"/>
      </top>
      <bottom style="double">
        <color auto="1"/>
      </bottom>
      <diagonal/>
    </border>
    <border>
      <left style="thin">
        <color theme="1"/>
      </left>
      <right style="thin">
        <color auto="1"/>
      </right>
      <top style="thin">
        <color theme="1"/>
      </top>
      <bottom style="thin">
        <color theme="1"/>
      </bottom>
      <diagonal/>
    </border>
    <border>
      <left style="thin">
        <color theme="1"/>
      </left>
      <right style="thin">
        <color auto="1"/>
      </right>
      <top style="thin">
        <color theme="1"/>
      </top>
      <bottom style="double">
        <color indexed="64"/>
      </bottom>
      <diagonal/>
    </border>
    <border>
      <left style="thin">
        <color theme="1"/>
      </left>
      <right style="thin">
        <color auto="1"/>
      </right>
      <top/>
      <bottom style="thin">
        <color theme="1"/>
      </bottom>
      <diagonal/>
    </border>
    <border>
      <left style="thin">
        <color auto="1"/>
      </left>
      <right style="thin">
        <color auto="1"/>
      </right>
      <top style="thin">
        <color theme="1"/>
      </top>
      <bottom style="thin">
        <color auto="1"/>
      </bottom>
      <diagonal/>
    </border>
    <border>
      <left/>
      <right style="thin">
        <color auto="1"/>
      </right>
      <top style="thin">
        <color indexed="64"/>
      </top>
      <bottom style="medium">
        <color indexed="64"/>
      </bottom>
      <diagonal/>
    </border>
    <border>
      <left style="thin">
        <color auto="1"/>
      </left>
      <right style="thin">
        <color auto="1"/>
      </right>
      <top style="thin">
        <color theme="1"/>
      </top>
      <bottom style="double">
        <color auto="1"/>
      </bottom>
      <diagonal/>
    </border>
    <border>
      <left/>
      <right/>
      <top/>
      <bottom style="thin">
        <color auto="1"/>
      </bottom>
      <diagonal/>
    </border>
  </borders>
  <cellStyleXfs count="18">
    <xf numFmtId="0" fontId="0"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856">
    <xf numFmtId="0" fontId="0" fillId="0" borderId="0" xfId="0"/>
    <xf numFmtId="0" fontId="5" fillId="0" borderId="0" xfId="0" applyFont="1"/>
    <xf numFmtId="0" fontId="12" fillId="0" borderId="0" xfId="0" applyFont="1"/>
    <xf numFmtId="0" fontId="15" fillId="3" borderId="0" xfId="0" applyFont="1" applyFill="1" applyProtection="1"/>
    <xf numFmtId="0" fontId="14" fillId="3" borderId="0" xfId="0" applyFont="1" applyFill="1" applyProtection="1"/>
    <xf numFmtId="0" fontId="16" fillId="3" borderId="0" xfId="0" applyFont="1" applyFill="1" applyProtection="1"/>
    <xf numFmtId="0" fontId="14" fillId="2" borderId="0" xfId="0" applyFont="1" applyFill="1" applyProtection="1"/>
    <xf numFmtId="0" fontId="14" fillId="4" borderId="0" xfId="0" applyFont="1" applyFill="1" applyProtection="1"/>
    <xf numFmtId="0" fontId="17" fillId="3" borderId="0" xfId="0" applyFont="1" applyFill="1" applyProtection="1"/>
    <xf numFmtId="0" fontId="18" fillId="3" borderId="0" xfId="0" applyFont="1" applyFill="1" applyProtection="1"/>
    <xf numFmtId="0" fontId="19" fillId="3" borderId="0" xfId="0" applyFont="1" applyFill="1" applyProtection="1"/>
    <xf numFmtId="0" fontId="21" fillId="3" borderId="0" xfId="0" applyFont="1" applyFill="1" applyProtection="1"/>
    <xf numFmtId="0" fontId="16" fillId="4" borderId="12" xfId="0" applyFont="1" applyFill="1" applyBorder="1" applyAlignment="1" applyProtection="1">
      <alignment horizontal="center" wrapText="1"/>
    </xf>
    <xf numFmtId="0" fontId="15" fillId="3" borderId="0" xfId="0" applyFont="1" applyFill="1" applyAlignment="1" applyProtection="1">
      <alignment horizontal="left"/>
    </xf>
    <xf numFmtId="0" fontId="15" fillId="3" borderId="0" xfId="0" applyFont="1" applyFill="1" applyAlignment="1" applyProtection="1"/>
    <xf numFmtId="0" fontId="20" fillId="3" borderId="0" xfId="0" applyFont="1" applyFill="1" applyAlignment="1" applyProtection="1">
      <alignment horizontal="right"/>
    </xf>
    <xf numFmtId="0" fontId="20" fillId="4" borderId="0" xfId="0" applyFont="1" applyFill="1" applyAlignment="1" applyProtection="1">
      <alignment horizontal="right"/>
    </xf>
    <xf numFmtId="0" fontId="16" fillId="3" borderId="0" xfId="0" applyFont="1" applyFill="1" applyAlignment="1" applyProtection="1"/>
    <xf numFmtId="0" fontId="16" fillId="3" borderId="0" xfId="0" applyFont="1" applyFill="1" applyAlignment="1" applyProtection="1">
      <alignment horizontal="right"/>
    </xf>
    <xf numFmtId="0" fontId="21" fillId="3" borderId="0" xfId="0" applyFont="1" applyFill="1" applyAlignment="1" applyProtection="1"/>
    <xf numFmtId="0" fontId="16" fillId="3" borderId="0" xfId="0" applyFont="1" applyFill="1" applyAlignment="1" applyProtection="1">
      <alignment vertical="center"/>
    </xf>
    <xf numFmtId="0" fontId="21" fillId="3" borderId="0" xfId="0" applyFont="1" applyFill="1" applyAlignment="1" applyProtection="1">
      <alignment wrapText="1"/>
    </xf>
    <xf numFmtId="0" fontId="21" fillId="3" borderId="0" xfId="0" applyFont="1" applyFill="1" applyAlignment="1" applyProtection="1">
      <alignment horizontal="left"/>
    </xf>
    <xf numFmtId="0" fontId="22" fillId="3" borderId="0" xfId="0" applyFont="1" applyFill="1" applyAlignment="1" applyProtection="1">
      <alignment vertical="center"/>
    </xf>
    <xf numFmtId="0" fontId="22" fillId="3" borderId="0" xfId="0" applyFont="1" applyFill="1" applyProtection="1"/>
    <xf numFmtId="0" fontId="28" fillId="3" borderId="0" xfId="0" applyFont="1" applyFill="1" applyProtection="1"/>
    <xf numFmtId="0" fontId="16" fillId="3" borderId="0" xfId="0" applyFont="1" applyFill="1" applyAlignment="1" applyProtection="1">
      <alignment horizontal="left" vertical="center"/>
    </xf>
    <xf numFmtId="0" fontId="22" fillId="3" borderId="0" xfId="0" applyFont="1" applyFill="1" applyAlignment="1" applyProtection="1">
      <alignment horizontal="left"/>
    </xf>
    <xf numFmtId="0" fontId="21" fillId="3" borderId="0" xfId="0" applyFont="1" applyFill="1" applyAlignment="1" applyProtection="1">
      <alignment horizontal="right"/>
    </xf>
    <xf numFmtId="0" fontId="27" fillId="3" borderId="0" xfId="0" applyFont="1" applyFill="1" applyProtection="1"/>
    <xf numFmtId="0" fontId="19" fillId="3" borderId="0" xfId="0" applyFont="1" applyFill="1" applyProtection="1">
      <protection locked="0"/>
    </xf>
    <xf numFmtId="0" fontId="16" fillId="0" borderId="0" xfId="0" applyFont="1"/>
    <xf numFmtId="0" fontId="21" fillId="0" borderId="0" xfId="0" applyFont="1"/>
    <xf numFmtId="0" fontId="30" fillId="4" borderId="0" xfId="0" applyFont="1" applyFill="1"/>
    <xf numFmtId="0" fontId="21" fillId="3" borderId="26" xfId="0" applyFont="1" applyFill="1" applyBorder="1" applyAlignment="1">
      <alignment vertical="center" wrapText="1"/>
    </xf>
    <xf numFmtId="164" fontId="21" fillId="3" borderId="23" xfId="0" applyNumberFormat="1" applyFont="1" applyFill="1" applyBorder="1" applyProtection="1"/>
    <xf numFmtId="0" fontId="21" fillId="3" borderId="26" xfId="0" applyFont="1" applyFill="1" applyBorder="1" applyAlignment="1">
      <alignment wrapText="1"/>
    </xf>
    <xf numFmtId="0" fontId="16" fillId="3" borderId="32" xfId="0" applyFont="1" applyFill="1" applyBorder="1" applyAlignment="1" applyProtection="1">
      <alignment horizontal="right"/>
    </xf>
    <xf numFmtId="164" fontId="16" fillId="3" borderId="25" xfId="1" applyNumberFormat="1" applyFont="1" applyFill="1" applyBorder="1" applyProtection="1"/>
    <xf numFmtId="0" fontId="16" fillId="3" borderId="20" xfId="0" applyFont="1" applyFill="1" applyBorder="1" applyAlignment="1" applyProtection="1">
      <alignment horizontal="right"/>
    </xf>
    <xf numFmtId="164" fontId="16" fillId="3" borderId="25" xfId="1" applyNumberFormat="1" applyFont="1" applyFill="1" applyBorder="1" applyAlignment="1" applyProtection="1"/>
    <xf numFmtId="164" fontId="21" fillId="3" borderId="23" xfId="0" applyNumberFormat="1" applyFont="1" applyFill="1" applyBorder="1" applyAlignment="1" applyProtection="1"/>
    <xf numFmtId="2" fontId="21" fillId="3" borderId="23" xfId="0" applyNumberFormat="1" applyFont="1" applyFill="1" applyBorder="1" applyAlignment="1" applyProtection="1">
      <alignment horizontal="center"/>
    </xf>
    <xf numFmtId="0" fontId="16" fillId="3" borderId="21" xfId="0" applyFont="1" applyFill="1" applyBorder="1" applyAlignment="1" applyProtection="1">
      <alignment horizontal="right"/>
    </xf>
    <xf numFmtId="5" fontId="21" fillId="3" borderId="23" xfId="2" applyNumberFormat="1" applyFont="1" applyFill="1" applyBorder="1" applyAlignment="1" applyProtection="1">
      <alignment horizontal="center"/>
    </xf>
    <xf numFmtId="164" fontId="16" fillId="3" borderId="26" xfId="0" applyNumberFormat="1" applyFont="1" applyFill="1" applyBorder="1" applyAlignment="1" applyProtection="1">
      <alignment wrapText="1"/>
    </xf>
    <xf numFmtId="0" fontId="16" fillId="3" borderId="32" xfId="0" applyFont="1" applyFill="1" applyBorder="1" applyAlignment="1" applyProtection="1">
      <alignment horizontal="right" wrapText="1"/>
    </xf>
    <xf numFmtId="164" fontId="16" fillId="3" borderId="25" xfId="0" applyNumberFormat="1" applyFont="1" applyFill="1" applyBorder="1" applyProtection="1"/>
    <xf numFmtId="0" fontId="21" fillId="3" borderId="35" xfId="0" applyFont="1" applyFill="1" applyBorder="1" applyAlignment="1">
      <alignment wrapText="1"/>
    </xf>
    <xf numFmtId="0" fontId="16" fillId="3" borderId="0" xfId="0" applyFont="1" applyFill="1" applyAlignment="1" applyProtection="1">
      <alignment horizontal="left"/>
    </xf>
    <xf numFmtId="0" fontId="21" fillId="3" borderId="0" xfId="0" applyFont="1" applyFill="1" applyAlignment="1" applyProtection="1">
      <alignment horizontal="center"/>
    </xf>
    <xf numFmtId="0" fontId="26" fillId="3" borderId="4" xfId="0" applyFont="1" applyFill="1" applyBorder="1" applyAlignment="1" applyProtection="1">
      <alignment horizontal="center" vertical="center" wrapText="1"/>
      <protection locked="0"/>
    </xf>
    <xf numFmtId="167" fontId="19" fillId="3" borderId="2" xfId="0" applyNumberFormat="1" applyFont="1" applyFill="1" applyBorder="1" applyAlignment="1" applyProtection="1">
      <alignment horizontal="center" vertical="center"/>
    </xf>
    <xf numFmtId="5" fontId="21" fillId="3" borderId="1" xfId="2" applyNumberFormat="1" applyFont="1" applyFill="1" applyBorder="1" applyAlignment="1" applyProtection="1">
      <alignment horizontal="center"/>
    </xf>
    <xf numFmtId="0" fontId="21" fillId="3" borderId="23" xfId="0" applyFont="1" applyFill="1" applyBorder="1" applyAlignment="1" applyProtection="1"/>
    <xf numFmtId="168" fontId="21" fillId="3" borderId="23" xfId="0" applyNumberFormat="1" applyFont="1" applyFill="1" applyBorder="1" applyAlignment="1" applyProtection="1">
      <alignment horizontal="center"/>
    </xf>
    <xf numFmtId="0" fontId="16" fillId="3" borderId="25" xfId="0" applyFont="1" applyFill="1" applyBorder="1" applyAlignment="1" applyProtection="1">
      <alignment horizontal="right"/>
    </xf>
    <xf numFmtId="0" fontId="16" fillId="3" borderId="34" xfId="0" applyFont="1" applyFill="1" applyBorder="1" applyAlignment="1" applyProtection="1">
      <alignment horizontal="right"/>
    </xf>
    <xf numFmtId="168" fontId="21" fillId="3" borderId="15" xfId="0" applyNumberFormat="1" applyFont="1" applyFill="1" applyBorder="1" applyAlignment="1" applyProtection="1">
      <alignment horizontal="center"/>
    </xf>
    <xf numFmtId="2" fontId="21" fillId="3" borderId="15" xfId="0" applyNumberFormat="1" applyFont="1" applyFill="1" applyBorder="1" applyAlignment="1" applyProtection="1">
      <alignment horizontal="center"/>
    </xf>
    <xf numFmtId="0" fontId="21" fillId="3" borderId="23" xfId="0" applyFont="1" applyFill="1" applyBorder="1" applyAlignment="1" applyProtection="1">
      <alignment horizontal="center"/>
    </xf>
    <xf numFmtId="0" fontId="16" fillId="3" borderId="34" xfId="0" applyFont="1" applyFill="1" applyBorder="1" applyAlignment="1" applyProtection="1">
      <alignment horizontal="right" wrapText="1"/>
    </xf>
    <xf numFmtId="0" fontId="21" fillId="3" borderId="38" xfId="0" applyFont="1" applyFill="1" applyBorder="1" applyAlignment="1" applyProtection="1">
      <alignment vertical="center"/>
    </xf>
    <xf numFmtId="0" fontId="21" fillId="3" borderId="23" xfId="0" applyFont="1" applyFill="1" applyBorder="1" applyAlignment="1" applyProtection="1">
      <alignment horizontal="left"/>
    </xf>
    <xf numFmtId="0" fontId="21" fillId="3" borderId="23" xfId="0" applyFont="1" applyFill="1" applyBorder="1" applyAlignment="1" applyProtection="1">
      <alignment horizontal="left" vertical="top"/>
    </xf>
    <xf numFmtId="0" fontId="16" fillId="3" borderId="1" xfId="0" applyFont="1" applyFill="1" applyBorder="1" applyAlignment="1" applyProtection="1"/>
    <xf numFmtId="0" fontId="16" fillId="3" borderId="15" xfId="0" applyFont="1" applyFill="1" applyBorder="1" applyAlignment="1" applyProtection="1"/>
    <xf numFmtId="0" fontId="16" fillId="3" borderId="39" xfId="0" applyFont="1" applyFill="1" applyBorder="1" applyAlignment="1" applyProtection="1">
      <alignment horizontal="right"/>
    </xf>
    <xf numFmtId="0" fontId="21" fillId="3" borderId="15" xfId="0" applyNumberFormat="1" applyFont="1" applyFill="1" applyBorder="1" applyAlignment="1" applyProtection="1">
      <alignment horizontal="center" vertical="center"/>
    </xf>
    <xf numFmtId="0" fontId="16" fillId="3" borderId="1" xfId="0" applyFont="1" applyFill="1" applyBorder="1" applyAlignment="1" applyProtection="1">
      <alignment horizontal="right"/>
    </xf>
    <xf numFmtId="164" fontId="21" fillId="3" borderId="1" xfId="0" applyNumberFormat="1" applyFont="1" applyFill="1" applyBorder="1" applyProtection="1"/>
    <xf numFmtId="0" fontId="21" fillId="3" borderId="0" xfId="0" applyFont="1" applyFill="1" applyAlignment="1" applyProtection="1">
      <alignment horizontal="center" vertical="center"/>
    </xf>
    <xf numFmtId="0" fontId="21" fillId="3" borderId="0" xfId="0" applyFont="1" applyFill="1" applyBorder="1" applyAlignment="1">
      <alignment wrapText="1"/>
    </xf>
    <xf numFmtId="0" fontId="21" fillId="3" borderId="0" xfId="0" applyFont="1" applyFill="1" applyAlignment="1" applyProtection="1">
      <alignment horizontal="left" vertical="center"/>
    </xf>
    <xf numFmtId="0" fontId="21" fillId="3" borderId="0" xfId="0" applyFont="1" applyFill="1" applyBorder="1" applyProtection="1"/>
    <xf numFmtId="0" fontId="21" fillId="3" borderId="0" xfId="0" applyFont="1" applyFill="1" applyBorder="1"/>
    <xf numFmtId="0" fontId="21" fillId="3" borderId="0" xfId="0" applyFont="1" applyFill="1"/>
    <xf numFmtId="0" fontId="21" fillId="3" borderId="0" xfId="0" applyFont="1" applyFill="1" applyAlignment="1">
      <alignment horizontal="center"/>
    </xf>
    <xf numFmtId="0" fontId="21" fillId="3" borderId="0" xfId="0" applyFont="1" applyFill="1" applyBorder="1" applyAlignment="1">
      <alignment horizontal="right"/>
    </xf>
    <xf numFmtId="0" fontId="21" fillId="3" borderId="0" xfId="0" applyFont="1" applyFill="1" applyBorder="1" applyAlignment="1">
      <alignment horizontal="right" vertical="center" wrapText="1"/>
    </xf>
    <xf numFmtId="168" fontId="21" fillId="3" borderId="0" xfId="0" applyNumberFormat="1" applyFont="1" applyFill="1" applyBorder="1" applyAlignment="1" applyProtection="1">
      <alignment horizontal="right" vertical="center" wrapText="1"/>
    </xf>
    <xf numFmtId="164" fontId="21" fillId="3" borderId="0" xfId="0" applyNumberFormat="1" applyFont="1" applyFill="1" applyBorder="1" applyAlignment="1" applyProtection="1">
      <alignment horizontal="right" vertical="center" wrapText="1"/>
    </xf>
    <xf numFmtId="0" fontId="21" fillId="3" borderId="0" xfId="0" applyFont="1" applyFill="1" applyBorder="1" applyAlignment="1" applyProtection="1">
      <alignment horizontal="right" vertical="center" wrapText="1"/>
    </xf>
    <xf numFmtId="0" fontId="21" fillId="3" borderId="0" xfId="0" applyFont="1" applyFill="1" applyBorder="1" applyAlignment="1">
      <alignment horizontal="center" vertical="center"/>
    </xf>
    <xf numFmtId="0" fontId="21" fillId="3" borderId="0" xfId="0" applyFont="1" applyFill="1" applyBorder="1" applyAlignment="1">
      <alignment horizontal="center" vertical="center" wrapText="1"/>
    </xf>
    <xf numFmtId="0" fontId="21" fillId="3" borderId="0" xfId="0" applyFont="1" applyFill="1" applyBorder="1" applyAlignment="1" applyProtection="1">
      <alignment horizontal="left" vertical="top" wrapText="1"/>
    </xf>
    <xf numFmtId="0" fontId="21" fillId="3" borderId="0" xfId="0" applyFont="1" applyFill="1" applyBorder="1" applyAlignment="1">
      <alignment horizontal="left" vertical="top" wrapText="1"/>
    </xf>
    <xf numFmtId="0" fontId="19" fillId="3" borderId="0" xfId="0" applyFont="1" applyFill="1" applyBorder="1" applyAlignment="1">
      <alignment horizontal="center" vertical="center" wrapText="1"/>
    </xf>
    <xf numFmtId="0" fontId="21" fillId="3" borderId="0" xfId="0" applyFont="1" applyFill="1" applyBorder="1" applyAlignment="1">
      <alignment horizontal="left" vertical="top"/>
    </xf>
    <xf numFmtId="0" fontId="21" fillId="3" borderId="0" xfId="0" applyFont="1" applyFill="1" applyBorder="1" applyAlignment="1"/>
    <xf numFmtId="0" fontId="21" fillId="3" borderId="0" xfId="0" applyFont="1" applyFill="1" applyBorder="1" applyAlignment="1">
      <alignment horizontal="left" wrapText="1"/>
    </xf>
    <xf numFmtId="0" fontId="16" fillId="3" borderId="0" xfId="0" applyFont="1" applyFill="1" applyBorder="1" applyProtection="1"/>
    <xf numFmtId="0" fontId="21" fillId="3" borderId="0" xfId="0" applyFont="1" applyFill="1" applyBorder="1" applyAlignment="1" applyProtection="1">
      <alignment wrapText="1"/>
    </xf>
    <xf numFmtId="0" fontId="21" fillId="3" borderId="0" xfId="0" applyFont="1" applyFill="1" applyBorder="1" applyAlignment="1" applyProtection="1"/>
    <xf numFmtId="0" fontId="19" fillId="3" borderId="0" xfId="0" applyFont="1" applyFill="1" applyBorder="1" applyAlignment="1" applyProtection="1">
      <alignment horizontal="center" vertical="center" wrapText="1"/>
    </xf>
    <xf numFmtId="0" fontId="19" fillId="3" borderId="2" xfId="0" applyFont="1" applyFill="1" applyBorder="1" applyProtection="1">
      <protection locked="0"/>
    </xf>
    <xf numFmtId="0" fontId="26" fillId="3" borderId="0" xfId="0" applyFont="1" applyFill="1" applyBorder="1" applyAlignment="1" applyProtection="1">
      <alignment horizontal="center" vertical="center" wrapText="1"/>
      <protection locked="0"/>
    </xf>
    <xf numFmtId="0" fontId="19" fillId="3" borderId="0" xfId="0" applyFont="1" applyFill="1" applyBorder="1" applyProtection="1">
      <protection locked="0"/>
    </xf>
    <xf numFmtId="0" fontId="19" fillId="3" borderId="0" xfId="0" applyFont="1" applyFill="1" applyBorder="1" applyProtection="1"/>
    <xf numFmtId="0" fontId="16" fillId="3" borderId="0" xfId="0" applyFont="1" applyFill="1" applyBorder="1" applyAlignment="1" applyProtection="1">
      <alignment horizontal="left"/>
    </xf>
    <xf numFmtId="0" fontId="21" fillId="3" borderId="0" xfId="0" applyFont="1" applyFill="1" applyBorder="1" applyAlignment="1" applyProtection="1">
      <alignment horizontal="center"/>
    </xf>
    <xf numFmtId="0" fontId="16" fillId="3" borderId="0" xfId="0" applyFont="1" applyFill="1" applyBorder="1" applyAlignment="1" applyProtection="1"/>
    <xf numFmtId="0" fontId="16" fillId="3" borderId="0" xfId="0" applyFont="1" applyFill="1" applyBorder="1" applyAlignment="1" applyProtection="1">
      <alignment horizontal="right"/>
    </xf>
    <xf numFmtId="5" fontId="21" fillId="3" borderId="1" xfId="2" applyNumberFormat="1" applyFont="1" applyFill="1" applyBorder="1" applyAlignment="1" applyProtection="1">
      <alignment horizontal="left"/>
    </xf>
    <xf numFmtId="168" fontId="16" fillId="3" borderId="23" xfId="0" applyNumberFormat="1" applyFont="1" applyFill="1" applyBorder="1" applyAlignment="1" applyProtection="1">
      <alignment horizontal="left"/>
    </xf>
    <xf numFmtId="0" fontId="21" fillId="3" borderId="23" xfId="0" applyFont="1" applyFill="1" applyBorder="1" applyAlignment="1">
      <alignment vertical="center" wrapText="1"/>
    </xf>
    <xf numFmtId="0" fontId="21" fillId="3" borderId="23" xfId="0" applyFont="1" applyFill="1" applyBorder="1" applyAlignment="1">
      <alignment wrapText="1"/>
    </xf>
    <xf numFmtId="0" fontId="21" fillId="3" borderId="38" xfId="0" applyNumberFormat="1" applyFont="1" applyFill="1" applyBorder="1" applyAlignment="1" applyProtection="1">
      <alignment horizontal="left" vertical="center"/>
    </xf>
    <xf numFmtId="0" fontId="32" fillId="3" borderId="0" xfId="0" applyFont="1" applyFill="1" applyProtection="1"/>
    <xf numFmtId="0" fontId="24" fillId="6" borderId="12" xfId="0" applyFont="1" applyFill="1" applyBorder="1" applyAlignment="1" applyProtection="1">
      <alignment horizontal="right" indent="1"/>
    </xf>
    <xf numFmtId="0" fontId="16" fillId="4" borderId="42" xfId="0" applyFont="1" applyFill="1" applyBorder="1" applyAlignment="1" applyProtection="1">
      <alignment horizontal="center" wrapText="1"/>
    </xf>
    <xf numFmtId="0" fontId="15" fillId="3" borderId="0" xfId="0" applyFont="1" applyFill="1" applyAlignment="1" applyProtection="1">
      <alignment vertical="center"/>
    </xf>
    <xf numFmtId="0" fontId="16" fillId="4" borderId="12" xfId="0" applyFont="1" applyFill="1" applyBorder="1" applyAlignment="1" applyProtection="1">
      <alignment horizontal="right" vertical="center" wrapText="1"/>
    </xf>
    <xf numFmtId="0" fontId="26" fillId="3" borderId="0" xfId="0" applyFont="1" applyFill="1" applyProtection="1"/>
    <xf numFmtId="42" fontId="26" fillId="3" borderId="0" xfId="0" applyNumberFormat="1" applyFont="1" applyFill="1" applyProtection="1"/>
    <xf numFmtId="0" fontId="16" fillId="3" borderId="1" xfId="0" applyFont="1" applyFill="1" applyBorder="1" applyAlignment="1" applyProtection="1">
      <alignment horizontal="center" vertical="center"/>
    </xf>
    <xf numFmtId="0" fontId="28" fillId="3" borderId="2" xfId="0" applyFont="1" applyFill="1" applyBorder="1" applyAlignment="1">
      <alignment vertical="center"/>
    </xf>
    <xf numFmtId="0" fontId="16" fillId="3" borderId="1" xfId="0" applyNumberFormat="1" applyFont="1" applyFill="1" applyBorder="1" applyAlignment="1" applyProtection="1">
      <alignment horizontal="center" vertical="center"/>
    </xf>
    <xf numFmtId="174" fontId="16" fillId="7" borderId="12" xfId="0" applyNumberFormat="1" applyFont="1" applyFill="1" applyBorder="1" applyAlignment="1" applyProtection="1">
      <alignment horizontal="right" vertical="center"/>
      <protection locked="0"/>
    </xf>
    <xf numFmtId="3" fontId="16" fillId="7" borderId="12" xfId="0" applyNumberFormat="1" applyFont="1" applyFill="1" applyBorder="1" applyAlignment="1" applyProtection="1">
      <alignment horizontal="right"/>
      <protection locked="0"/>
    </xf>
    <xf numFmtId="0" fontId="21" fillId="2" borderId="4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16" fillId="2" borderId="47" xfId="0" applyFont="1" applyFill="1" applyBorder="1" applyAlignment="1" applyProtection="1">
      <alignment horizontal="center" vertical="center" wrapText="1"/>
    </xf>
    <xf numFmtId="0" fontId="21" fillId="3" borderId="47" xfId="0" applyFont="1" applyFill="1" applyBorder="1" applyAlignment="1">
      <alignment horizontal="left" vertical="center" wrapText="1"/>
    </xf>
    <xf numFmtId="168" fontId="21" fillId="3" borderId="47" xfId="0" applyNumberFormat="1" applyFont="1" applyFill="1" applyBorder="1" applyAlignment="1" applyProtection="1">
      <alignment horizontal="right" vertical="center" wrapText="1"/>
      <protection locked="0"/>
    </xf>
    <xf numFmtId="168" fontId="22" fillId="3" borderId="47" xfId="0" applyNumberFormat="1" applyFont="1" applyFill="1" applyBorder="1" applyAlignment="1" applyProtection="1">
      <alignment horizontal="center" vertical="center" wrapText="1"/>
    </xf>
    <xf numFmtId="0" fontId="21" fillId="8" borderId="47" xfId="0" applyFont="1" applyFill="1" applyBorder="1" applyAlignment="1">
      <alignment horizontal="left" vertical="center" wrapText="1"/>
    </xf>
    <xf numFmtId="0" fontId="21" fillId="8" borderId="47" xfId="0" applyFont="1" applyFill="1" applyBorder="1" applyAlignment="1">
      <alignment horizontal="right" vertical="center" wrapText="1"/>
    </xf>
    <xf numFmtId="0" fontId="21" fillId="8" borderId="47" xfId="0" applyFont="1" applyFill="1" applyBorder="1" applyAlignment="1" applyProtection="1">
      <alignment horizontal="right" vertical="center" wrapText="1"/>
    </xf>
    <xf numFmtId="0" fontId="21" fillId="3" borderId="47" xfId="0" applyFont="1" applyFill="1" applyBorder="1" applyAlignment="1" applyProtection="1">
      <alignment horizontal="left" vertical="center" wrapText="1"/>
      <protection locked="0"/>
    </xf>
    <xf numFmtId="168" fontId="21" fillId="3" borderId="47" xfId="0" applyNumberFormat="1" applyFont="1" applyFill="1" applyBorder="1" applyAlignment="1" applyProtection="1">
      <alignment horizontal="right" vertical="center" wrapText="1"/>
    </xf>
    <xf numFmtId="164" fontId="21" fillId="3" borderId="47" xfId="0" applyNumberFormat="1" applyFont="1" applyFill="1" applyBorder="1" applyAlignment="1" applyProtection="1">
      <alignment horizontal="right" vertical="center" wrapText="1"/>
      <protection locked="0"/>
    </xf>
    <xf numFmtId="164" fontId="21" fillId="3" borderId="47" xfId="0" applyNumberFormat="1" applyFont="1" applyFill="1" applyBorder="1" applyAlignment="1" applyProtection="1">
      <alignment horizontal="right" vertical="center" wrapText="1"/>
    </xf>
    <xf numFmtId="0" fontId="16" fillId="3" borderId="47" xfId="0" applyFont="1" applyFill="1" applyBorder="1" applyAlignment="1" applyProtection="1">
      <alignment horizontal="left" vertical="center" wrapText="1"/>
      <protection locked="0"/>
    </xf>
    <xf numFmtId="164" fontId="16" fillId="3" borderId="47" xfId="0" applyNumberFormat="1" applyFont="1" applyFill="1" applyBorder="1" applyAlignment="1" applyProtection="1">
      <alignment horizontal="right" vertical="center" wrapText="1"/>
      <protection locked="0"/>
    </xf>
    <xf numFmtId="168" fontId="16" fillId="3" borderId="0" xfId="0" applyNumberFormat="1" applyFont="1" applyFill="1" applyBorder="1" applyAlignment="1" applyProtection="1">
      <alignment horizontal="right" vertical="center" wrapText="1"/>
    </xf>
    <xf numFmtId="0" fontId="16" fillId="3" borderId="0" xfId="0" applyFont="1" applyFill="1" applyBorder="1" applyAlignment="1">
      <alignment wrapText="1"/>
    </xf>
    <xf numFmtId="0" fontId="16" fillId="3" borderId="0" xfId="0" applyFont="1" applyFill="1" applyBorder="1"/>
    <xf numFmtId="0" fontId="16" fillId="3" borderId="0" xfId="0" applyFont="1" applyFill="1"/>
    <xf numFmtId="164" fontId="16" fillId="3" borderId="47" xfId="0" applyNumberFormat="1" applyFont="1" applyFill="1" applyBorder="1" applyAlignment="1" applyProtection="1">
      <alignment horizontal="right" vertical="center" wrapText="1"/>
    </xf>
    <xf numFmtId="164" fontId="16" fillId="3" borderId="0" xfId="0" applyNumberFormat="1" applyFont="1" applyFill="1" applyBorder="1" applyAlignment="1" applyProtection="1">
      <alignment horizontal="right" vertical="center" wrapText="1"/>
    </xf>
    <xf numFmtId="0" fontId="16" fillId="3" borderId="47" xfId="0" applyFont="1" applyFill="1" applyBorder="1" applyAlignment="1" applyProtection="1">
      <alignment horizontal="left" vertical="top" wrapText="1"/>
    </xf>
    <xf numFmtId="0" fontId="16" fillId="3" borderId="47" xfId="0" applyFont="1" applyFill="1" applyBorder="1" applyAlignment="1" applyProtection="1">
      <alignment horizontal="left" vertical="center" wrapText="1"/>
    </xf>
    <xf numFmtId="166" fontId="21" fillId="3" borderId="45" xfId="2" applyNumberFormat="1" applyFont="1" applyFill="1" applyBorder="1" applyAlignment="1" applyProtection="1">
      <alignment horizontal="right" vertical="center"/>
    </xf>
    <xf numFmtId="0" fontId="21" fillId="3" borderId="45" xfId="0" applyFont="1" applyFill="1" applyBorder="1" applyAlignment="1" applyProtection="1">
      <alignment horizontal="left" vertical="center" wrapText="1"/>
    </xf>
    <xf numFmtId="1" fontId="21" fillId="3" borderId="45" xfId="2" applyNumberFormat="1" applyFont="1" applyFill="1" applyBorder="1" applyAlignment="1" applyProtection="1">
      <alignment horizontal="right" vertical="center"/>
      <protection locked="0"/>
    </xf>
    <xf numFmtId="10" fontId="21" fillId="3" borderId="45" xfId="4" applyNumberFormat="1" applyFont="1" applyFill="1" applyBorder="1" applyAlignment="1" applyProtection="1">
      <alignment horizontal="left" vertical="center"/>
    </xf>
    <xf numFmtId="10" fontId="21" fillId="3" borderId="45" xfId="4" applyNumberFormat="1" applyFont="1" applyFill="1" applyBorder="1" applyAlignment="1" applyProtection="1">
      <alignment horizontal="right" vertical="center"/>
    </xf>
    <xf numFmtId="0" fontId="21" fillId="3" borderId="45" xfId="0" applyFont="1" applyFill="1" applyBorder="1" applyAlignment="1" applyProtection="1">
      <alignment horizontal="center" vertical="center" wrapText="1"/>
    </xf>
    <xf numFmtId="10" fontId="21" fillId="3" borderId="27" xfId="4" applyNumberFormat="1" applyFont="1" applyFill="1" applyBorder="1" applyAlignment="1" applyProtection="1">
      <alignment horizontal="center" vertical="center" wrapText="1"/>
    </xf>
    <xf numFmtId="0" fontId="21" fillId="3" borderId="27" xfId="0" applyFont="1" applyFill="1" applyBorder="1" applyAlignment="1" applyProtection="1">
      <alignment horizontal="center" vertical="center" wrapText="1"/>
    </xf>
    <xf numFmtId="166" fontId="21" fillId="7" borderId="45" xfId="2" applyNumberFormat="1" applyFont="1" applyFill="1" applyBorder="1" applyAlignment="1" applyProtection="1">
      <alignment horizontal="right" vertical="center"/>
      <protection locked="0"/>
    </xf>
    <xf numFmtId="1" fontId="21" fillId="7" borderId="45" xfId="2" applyNumberFormat="1" applyFont="1" applyFill="1" applyBorder="1" applyAlignment="1" applyProtection="1">
      <alignment horizontal="right" vertical="center"/>
      <protection locked="0"/>
    </xf>
    <xf numFmtId="166" fontId="21" fillId="9" borderId="45" xfId="2" applyNumberFormat="1" applyFont="1" applyFill="1" applyBorder="1" applyAlignment="1" applyProtection="1">
      <alignment horizontal="right" vertical="center"/>
      <protection locked="0"/>
    </xf>
    <xf numFmtId="1" fontId="21" fillId="9" borderId="45" xfId="2" applyNumberFormat="1" applyFont="1" applyFill="1" applyBorder="1" applyAlignment="1" applyProtection="1">
      <alignment horizontal="right" vertical="center"/>
      <protection locked="0"/>
    </xf>
    <xf numFmtId="0" fontId="25" fillId="3" borderId="0" xfId="0" applyFont="1" applyFill="1" applyBorder="1" applyProtection="1"/>
    <xf numFmtId="0" fontId="22" fillId="0" borderId="0" xfId="0" applyFont="1"/>
    <xf numFmtId="0" fontId="22" fillId="0" borderId="0" xfId="0" applyFont="1" applyAlignment="1">
      <alignment wrapText="1"/>
    </xf>
    <xf numFmtId="0" fontId="16" fillId="4" borderId="12" xfId="0" applyFont="1" applyFill="1" applyBorder="1" applyAlignment="1" applyProtection="1">
      <alignment horizontal="center" vertical="center" wrapText="1"/>
    </xf>
    <xf numFmtId="0" fontId="15" fillId="3" borderId="0" xfId="0" applyFont="1" applyFill="1" applyAlignment="1" applyProtection="1">
      <alignment horizontal="left" vertical="center"/>
    </xf>
    <xf numFmtId="0" fontId="16" fillId="0" borderId="0" xfId="0" applyFont="1" applyAlignment="1">
      <alignment horizontal="center"/>
    </xf>
    <xf numFmtId="0" fontId="16" fillId="0" borderId="0" xfId="0" applyFont="1" applyAlignment="1">
      <alignment horizontal="center" wrapText="1"/>
    </xf>
    <xf numFmtId="0" fontId="0" fillId="0" borderId="0" xfId="0" applyAlignment="1">
      <alignment wrapText="1"/>
    </xf>
    <xf numFmtId="0" fontId="22" fillId="0" borderId="0" xfId="0" applyFont="1" applyAlignment="1">
      <alignment vertical="top" wrapText="1"/>
    </xf>
    <xf numFmtId="0" fontId="21" fillId="3" borderId="2" xfId="0" applyFont="1" applyFill="1" applyBorder="1" applyAlignment="1" applyProtection="1">
      <alignment wrapText="1"/>
    </xf>
    <xf numFmtId="0" fontId="16" fillId="3" borderId="26" xfId="0" applyFont="1" applyFill="1" applyBorder="1" applyAlignment="1">
      <alignment wrapText="1"/>
    </xf>
    <xf numFmtId="0" fontId="16" fillId="3" borderId="43" xfId="0" applyFont="1" applyFill="1" applyBorder="1" applyAlignment="1"/>
    <xf numFmtId="0" fontId="16" fillId="3" borderId="26" xfId="0" applyFont="1" applyFill="1" applyBorder="1" applyAlignment="1">
      <alignment horizontal="left" wrapText="1" indent="1"/>
    </xf>
    <xf numFmtId="0" fontId="21" fillId="5" borderId="0" xfId="0" applyFont="1" applyFill="1" applyBorder="1" applyProtection="1"/>
    <xf numFmtId="0" fontId="21" fillId="5" borderId="0" xfId="0" applyFont="1" applyFill="1" applyProtection="1"/>
    <xf numFmtId="0" fontId="21" fillId="5" borderId="0" xfId="0" applyFont="1" applyFill="1" applyBorder="1" applyAlignment="1" applyProtection="1">
      <alignment vertical="center"/>
    </xf>
    <xf numFmtId="0" fontId="21" fillId="5" borderId="0" xfId="0" applyFont="1" applyFill="1" applyAlignment="1" applyProtection="1">
      <alignment vertical="center"/>
    </xf>
    <xf numFmtId="168" fontId="16" fillId="3" borderId="47" xfId="0" applyNumberFormat="1" applyFont="1" applyFill="1" applyBorder="1" applyAlignment="1" applyProtection="1">
      <alignment horizontal="right" vertical="center" wrapText="1"/>
      <protection locked="0"/>
    </xf>
    <xf numFmtId="0" fontId="21" fillId="3" borderId="15" xfId="0" applyFont="1" applyFill="1" applyBorder="1" applyAlignment="1" applyProtection="1">
      <alignment horizontal="center"/>
    </xf>
    <xf numFmtId="0" fontId="20" fillId="3" borderId="12" xfId="0" applyFont="1" applyFill="1" applyBorder="1" applyAlignment="1" applyProtection="1">
      <alignment horizontal="center" vertical="center"/>
    </xf>
    <xf numFmtId="2" fontId="16" fillId="3" borderId="15" xfId="0" applyNumberFormat="1" applyFont="1" applyFill="1" applyBorder="1" applyAlignment="1" applyProtection="1">
      <alignment horizontal="center"/>
    </xf>
    <xf numFmtId="0" fontId="37" fillId="3" borderId="12" xfId="0" applyFont="1" applyFill="1" applyBorder="1" applyAlignment="1">
      <alignment horizontal="center" vertical="center"/>
    </xf>
    <xf numFmtId="0" fontId="16" fillId="4" borderId="0" xfId="0" applyFont="1" applyFill="1"/>
    <xf numFmtId="0" fontId="20" fillId="3" borderId="2" xfId="0" applyFont="1" applyFill="1" applyBorder="1" applyAlignment="1" applyProtection="1">
      <alignment horizontal="center" vertical="center"/>
    </xf>
    <xf numFmtId="167" fontId="20" fillId="3" borderId="2" xfId="0" applyNumberFormat="1" applyFont="1" applyFill="1" applyBorder="1" applyAlignment="1" applyProtection="1">
      <alignment horizontal="center" vertical="center"/>
    </xf>
    <xf numFmtId="0" fontId="16" fillId="3" borderId="48" xfId="0" applyFont="1" applyFill="1" applyBorder="1" applyAlignment="1" applyProtection="1">
      <alignment horizontal="center" vertical="center"/>
    </xf>
    <xf numFmtId="164" fontId="16" fillId="3" borderId="18" xfId="1" applyNumberFormat="1" applyFont="1" applyFill="1" applyBorder="1" applyProtection="1"/>
    <xf numFmtId="164" fontId="16" fillId="3" borderId="1" xfId="0" applyNumberFormat="1" applyFont="1" applyFill="1" applyBorder="1" applyAlignment="1" applyProtection="1">
      <alignment horizontal="right" vertical="center"/>
    </xf>
    <xf numFmtId="0" fontId="20" fillId="3" borderId="19" xfId="0" applyFont="1" applyFill="1" applyBorder="1" applyAlignment="1" applyProtection="1">
      <alignment horizontal="center" vertical="center"/>
    </xf>
    <xf numFmtId="167" fontId="20" fillId="3" borderId="14" xfId="0" applyNumberFormat="1" applyFont="1" applyFill="1" applyBorder="1" applyAlignment="1" applyProtection="1">
      <alignment horizontal="center" vertical="center"/>
    </xf>
    <xf numFmtId="0" fontId="21" fillId="3" borderId="57" xfId="0" applyFont="1" applyFill="1" applyBorder="1" applyAlignment="1" applyProtection="1">
      <alignment horizontal="left" vertical="top"/>
    </xf>
    <xf numFmtId="0" fontId="21" fillId="3" borderId="57" xfId="0" applyFont="1" applyFill="1" applyBorder="1" applyAlignment="1" applyProtection="1">
      <alignment horizontal="left"/>
    </xf>
    <xf numFmtId="0" fontId="16" fillId="3" borderId="58" xfId="0" applyFont="1" applyFill="1" applyBorder="1" applyAlignment="1" applyProtection="1">
      <alignment horizontal="left"/>
    </xf>
    <xf numFmtId="0" fontId="21" fillId="3" borderId="41" xfId="0" applyFont="1" applyFill="1" applyBorder="1" applyAlignment="1" applyProtection="1">
      <alignment horizontal="left" vertical="top"/>
    </xf>
    <xf numFmtId="0" fontId="21" fillId="3" borderId="61" xfId="0" applyFont="1" applyFill="1" applyBorder="1" applyAlignment="1" applyProtection="1">
      <alignment horizontal="left" vertical="top"/>
    </xf>
    <xf numFmtId="0" fontId="21" fillId="3" borderId="62" xfId="0" applyFont="1" applyFill="1" applyBorder="1" applyAlignment="1" applyProtection="1">
      <alignment horizontal="left" vertical="top"/>
    </xf>
    <xf numFmtId="0" fontId="21" fillId="3" borderId="63" xfId="0" applyFont="1" applyFill="1" applyBorder="1" applyAlignment="1" applyProtection="1">
      <alignment horizontal="left" vertical="top"/>
    </xf>
    <xf numFmtId="0" fontId="21" fillId="3" borderId="63" xfId="0" applyFont="1" applyFill="1" applyBorder="1" applyAlignment="1" applyProtection="1">
      <alignment horizontal="left"/>
    </xf>
    <xf numFmtId="0" fontId="21" fillId="3" borderId="62" xfId="0" applyFont="1" applyFill="1" applyBorder="1" applyAlignment="1" applyProtection="1">
      <alignment horizontal="left"/>
    </xf>
    <xf numFmtId="0" fontId="21" fillId="3" borderId="63" xfId="0" applyNumberFormat="1" applyFont="1" applyFill="1" applyBorder="1" applyAlignment="1" applyProtection="1">
      <alignment horizontal="left"/>
    </xf>
    <xf numFmtId="0" fontId="16" fillId="3" borderId="63" xfId="0" applyFont="1" applyFill="1" applyBorder="1" applyAlignment="1" applyProtection="1">
      <alignment horizontal="right"/>
    </xf>
    <xf numFmtId="0" fontId="16" fillId="3" borderId="64" xfId="0" applyFont="1" applyFill="1" applyBorder="1" applyAlignment="1" applyProtection="1">
      <alignment horizontal="left"/>
    </xf>
    <xf numFmtId="0" fontId="21" fillId="3" borderId="62" xfId="0" applyFont="1" applyFill="1" applyBorder="1" applyAlignment="1" applyProtection="1"/>
    <xf numFmtId="0" fontId="16" fillId="3" borderId="65" xfId="0" applyFont="1" applyFill="1" applyBorder="1" applyAlignment="1" applyProtection="1">
      <alignment horizontal="right"/>
    </xf>
    <xf numFmtId="0" fontId="16" fillId="3" borderId="56" xfId="0" applyFont="1" applyFill="1" applyBorder="1" applyAlignment="1" applyProtection="1"/>
    <xf numFmtId="0" fontId="16" fillId="3" borderId="66" xfId="0" applyNumberFormat="1" applyFont="1" applyFill="1" applyBorder="1" applyAlignment="1" applyProtection="1">
      <alignment horizontal="left"/>
    </xf>
    <xf numFmtId="0" fontId="21" fillId="3" borderId="63" xfId="0" applyNumberFormat="1" applyFont="1" applyFill="1" applyBorder="1" applyAlignment="1" applyProtection="1">
      <alignment horizontal="left" vertical="center"/>
    </xf>
    <xf numFmtId="0" fontId="21" fillId="3" borderId="62" xfId="0" applyFont="1" applyFill="1" applyBorder="1" applyAlignment="1" applyProtection="1">
      <alignment vertical="center"/>
    </xf>
    <xf numFmtId="0" fontId="16" fillId="3" borderId="67" xfId="0" applyFont="1" applyFill="1" applyBorder="1" applyAlignment="1" applyProtection="1">
      <alignment horizontal="right"/>
    </xf>
    <xf numFmtId="0" fontId="21" fillId="3" borderId="68" xfId="0" applyNumberFormat="1" applyFont="1" applyFill="1" applyBorder="1" applyAlignment="1" applyProtection="1">
      <alignment vertical="center" wrapText="1"/>
    </xf>
    <xf numFmtId="0" fontId="21" fillId="3" borderId="66" xfId="0" applyFont="1" applyFill="1" applyBorder="1" applyAlignment="1" applyProtection="1">
      <alignment vertical="center" wrapText="1"/>
    </xf>
    <xf numFmtId="0" fontId="21" fillId="3" borderId="62" xfId="0" applyNumberFormat="1" applyFont="1" applyFill="1" applyBorder="1" applyAlignment="1" applyProtection="1">
      <alignment horizontal="center" vertical="center"/>
    </xf>
    <xf numFmtId="0" fontId="16" fillId="3" borderId="70" xfId="0" applyFont="1" applyFill="1" applyBorder="1" applyAlignment="1" applyProtection="1">
      <alignment horizontal="right"/>
    </xf>
    <xf numFmtId="0" fontId="21" fillId="3" borderId="71" xfId="0" applyFont="1" applyFill="1" applyBorder="1" applyAlignment="1" applyProtection="1">
      <alignment horizontal="left" vertical="top"/>
    </xf>
    <xf numFmtId="0" fontId="16" fillId="3" borderId="72" xfId="0" applyFont="1" applyFill="1" applyBorder="1" applyAlignment="1" applyProtection="1">
      <alignment horizontal="left"/>
    </xf>
    <xf numFmtId="0" fontId="16" fillId="3" borderId="73" xfId="0" applyFont="1" applyFill="1" applyBorder="1" applyAlignment="1" applyProtection="1"/>
    <xf numFmtId="0" fontId="16" fillId="3" borderId="76" xfId="0" applyNumberFormat="1" applyFont="1" applyFill="1" applyBorder="1" applyAlignment="1" applyProtection="1">
      <alignment horizontal="left" vertical="center"/>
    </xf>
    <xf numFmtId="0" fontId="16" fillId="3" borderId="51" xfId="0" applyFont="1" applyFill="1" applyBorder="1" applyAlignment="1" applyProtection="1">
      <alignment horizontal="left" vertical="center"/>
    </xf>
    <xf numFmtId="0" fontId="28" fillId="3" borderId="51" xfId="0" applyFont="1" applyFill="1" applyBorder="1" applyAlignment="1" applyProtection="1">
      <alignment horizontal="left"/>
    </xf>
    <xf numFmtId="0" fontId="16" fillId="3" borderId="76" xfId="0" applyFont="1" applyFill="1" applyBorder="1" applyAlignment="1" applyProtection="1">
      <alignment horizontal="left" vertical="center"/>
    </xf>
    <xf numFmtId="0" fontId="28" fillId="3" borderId="51" xfId="0" applyFont="1" applyFill="1" applyBorder="1" applyAlignment="1" applyProtection="1"/>
    <xf numFmtId="0" fontId="16" fillId="3" borderId="51" xfId="0" applyFont="1" applyFill="1" applyBorder="1" applyAlignment="1" applyProtection="1">
      <alignment vertical="center"/>
    </xf>
    <xf numFmtId="0" fontId="16" fillId="3" borderId="77" xfId="0" applyFont="1" applyFill="1" applyBorder="1" applyAlignment="1" applyProtection="1">
      <alignment horizontal="right"/>
    </xf>
    <xf numFmtId="0" fontId="16" fillId="3" borderId="52" xfId="0" applyFont="1" applyFill="1" applyBorder="1" applyAlignment="1" applyProtection="1"/>
    <xf numFmtId="0" fontId="21" fillId="3" borderId="66" xfId="0" applyNumberFormat="1" applyFont="1" applyFill="1" applyBorder="1" applyAlignment="1" applyProtection="1">
      <alignment horizontal="right" vertical="center"/>
    </xf>
    <xf numFmtId="0" fontId="16" fillId="3" borderId="77" xfId="0" applyFont="1" applyFill="1" applyBorder="1" applyAlignment="1">
      <alignment horizontal="right"/>
    </xf>
    <xf numFmtId="0" fontId="39" fillId="3" borderId="52" xfId="0" applyFont="1" applyFill="1" applyBorder="1" applyAlignment="1">
      <alignment horizontal="right"/>
    </xf>
    <xf numFmtId="164" fontId="16" fillId="4" borderId="1" xfId="0" applyNumberFormat="1" applyFont="1" applyFill="1" applyBorder="1" applyAlignment="1" applyProtection="1"/>
    <xf numFmtId="164" fontId="16" fillId="4" borderId="26" xfId="0" applyNumberFormat="1" applyFont="1" applyFill="1" applyBorder="1" applyAlignment="1" applyProtection="1">
      <alignment vertical="center"/>
    </xf>
    <xf numFmtId="164" fontId="16" fillId="4" borderId="14" xfId="0" applyNumberFormat="1" applyFont="1" applyFill="1" applyBorder="1" applyAlignment="1" applyProtection="1">
      <alignment vertical="center"/>
    </xf>
    <xf numFmtId="164" fontId="16" fillId="4" borderId="26" xfId="0" applyNumberFormat="1" applyFont="1" applyFill="1" applyBorder="1" applyAlignment="1" applyProtection="1">
      <alignment wrapText="1"/>
    </xf>
    <xf numFmtId="164" fontId="16" fillId="4" borderId="19" xfId="0" applyNumberFormat="1" applyFont="1" applyFill="1" applyBorder="1" applyAlignment="1" applyProtection="1">
      <alignment horizontal="left" wrapText="1"/>
    </xf>
    <xf numFmtId="0" fontId="16" fillId="3" borderId="62" xfId="0" applyFont="1" applyFill="1" applyBorder="1" applyAlignment="1" applyProtection="1">
      <alignment horizontal="center" vertical="center"/>
    </xf>
    <xf numFmtId="5" fontId="29" fillId="3" borderId="51" xfId="2" applyNumberFormat="1" applyFont="1" applyFill="1" applyBorder="1" applyProtection="1"/>
    <xf numFmtId="0" fontId="21" fillId="3" borderId="51" xfId="0" applyFont="1" applyFill="1" applyBorder="1" applyAlignment="1" applyProtection="1">
      <alignment horizontal="left"/>
    </xf>
    <xf numFmtId="5" fontId="16" fillId="3" borderId="62" xfId="2" applyNumberFormat="1" applyFont="1" applyFill="1" applyBorder="1" applyAlignment="1" applyProtection="1">
      <alignment vertical="center"/>
    </xf>
    <xf numFmtId="164" fontId="16" fillId="4" borderId="75" xfId="0" applyNumberFormat="1" applyFont="1" applyFill="1" applyBorder="1" applyAlignment="1" applyProtection="1">
      <alignment vertical="center"/>
    </xf>
    <xf numFmtId="170" fontId="21" fillId="3" borderId="23" xfId="2" applyNumberFormat="1" applyFont="1" applyFill="1" applyBorder="1" applyProtection="1">
      <protection locked="0"/>
    </xf>
    <xf numFmtId="170" fontId="21" fillId="3" borderId="24" xfId="2" applyNumberFormat="1" applyFont="1" applyFill="1" applyBorder="1" applyProtection="1">
      <protection locked="0"/>
    </xf>
    <xf numFmtId="44" fontId="21" fillId="3" borderId="23" xfId="2" applyNumberFormat="1" applyFont="1" applyFill="1" applyBorder="1" applyProtection="1">
      <protection locked="0"/>
    </xf>
    <xf numFmtId="44" fontId="21" fillId="3" borderId="36" xfId="2" applyNumberFormat="1" applyFont="1" applyFill="1" applyBorder="1" applyProtection="1">
      <protection locked="0"/>
    </xf>
    <xf numFmtId="42" fontId="21" fillId="3" borderId="23" xfId="2" applyNumberFormat="1" applyFont="1" applyFill="1" applyBorder="1" applyProtection="1">
      <protection locked="0"/>
    </xf>
    <xf numFmtId="164" fontId="21" fillId="3" borderId="24" xfId="0" applyNumberFormat="1" applyFont="1" applyFill="1" applyBorder="1" applyProtection="1"/>
    <xf numFmtId="164" fontId="21" fillId="3" borderId="14" xfId="0" applyNumberFormat="1" applyFont="1" applyFill="1" applyBorder="1" applyProtection="1"/>
    <xf numFmtId="164" fontId="16" fillId="3" borderId="33" xfId="1" applyNumberFormat="1" applyFont="1" applyFill="1" applyBorder="1" applyProtection="1"/>
    <xf numFmtId="164" fontId="21" fillId="4" borderId="23" xfId="0" applyNumberFormat="1" applyFont="1" applyFill="1" applyBorder="1" applyAlignment="1" applyProtection="1">
      <alignment vertical="center"/>
    </xf>
    <xf numFmtId="1" fontId="21" fillId="3" borderId="1" xfId="0" applyNumberFormat="1" applyFont="1" applyFill="1" applyBorder="1" applyProtection="1"/>
    <xf numFmtId="164" fontId="21" fillId="3" borderId="24" xfId="0" applyNumberFormat="1" applyFont="1" applyFill="1" applyBorder="1" applyAlignment="1" applyProtection="1">
      <alignment wrapText="1"/>
    </xf>
    <xf numFmtId="164" fontId="21" fillId="3" borderId="44" xfId="0" applyNumberFormat="1" applyFont="1" applyFill="1" applyBorder="1" applyAlignment="1" applyProtection="1">
      <alignment wrapText="1"/>
    </xf>
    <xf numFmtId="0" fontId="16" fillId="3" borderId="26" xfId="0" applyFont="1" applyFill="1" applyBorder="1" applyAlignment="1"/>
    <xf numFmtId="5" fontId="14" fillId="3" borderId="48" xfId="2" applyNumberFormat="1" applyFont="1" applyFill="1" applyBorder="1"/>
    <xf numFmtId="5" fontId="14" fillId="3" borderId="2" xfId="2" applyNumberFormat="1" applyFont="1" applyFill="1" applyBorder="1"/>
    <xf numFmtId="5" fontId="14" fillId="3" borderId="1" xfId="2" applyNumberFormat="1" applyFont="1" applyFill="1" applyBorder="1"/>
    <xf numFmtId="0" fontId="16" fillId="3" borderId="79" xfId="0" applyFont="1" applyFill="1" applyBorder="1" applyAlignment="1">
      <alignment vertical="center" wrapText="1"/>
    </xf>
    <xf numFmtId="0" fontId="16" fillId="3" borderId="81" xfId="0" applyFont="1" applyFill="1" applyBorder="1" applyAlignment="1">
      <alignment vertical="center" wrapText="1"/>
    </xf>
    <xf numFmtId="5" fontId="14" fillId="3" borderId="62" xfId="2" applyNumberFormat="1" applyFont="1" applyFill="1" applyBorder="1" applyProtection="1"/>
    <xf numFmtId="5" fontId="14" fillId="3" borderId="62" xfId="0" applyNumberFormat="1" applyFont="1" applyFill="1" applyBorder="1" applyProtection="1"/>
    <xf numFmtId="5" fontId="16" fillId="3" borderId="1" xfId="0" applyNumberFormat="1" applyFont="1" applyFill="1" applyBorder="1" applyAlignment="1" applyProtection="1">
      <alignment vertical="center"/>
    </xf>
    <xf numFmtId="5" fontId="16" fillId="3" borderId="56" xfId="2" applyNumberFormat="1" applyFont="1" applyFill="1" applyBorder="1" applyAlignment="1" applyProtection="1">
      <alignment vertical="center"/>
    </xf>
    <xf numFmtId="14" fontId="33" fillId="3" borderId="4" xfId="0" applyNumberFormat="1" applyFont="1" applyFill="1" applyBorder="1" applyAlignment="1" applyProtection="1">
      <alignment horizontal="center" wrapText="1"/>
    </xf>
    <xf numFmtId="14" fontId="20" fillId="3" borderId="3" xfId="0" applyNumberFormat="1" applyFont="1" applyFill="1" applyBorder="1" applyAlignment="1" applyProtection="1">
      <alignment horizontal="left" vertical="top" wrapText="1"/>
    </xf>
    <xf numFmtId="164" fontId="16" fillId="3" borderId="9" xfId="0" applyNumberFormat="1" applyFont="1" applyFill="1" applyBorder="1" applyAlignment="1" applyProtection="1">
      <alignment horizontal="right" vertical="center"/>
    </xf>
    <xf numFmtId="164" fontId="21" fillId="3" borderId="54" xfId="0" applyNumberFormat="1" applyFont="1" applyFill="1" applyBorder="1" applyProtection="1"/>
    <xf numFmtId="164" fontId="16" fillId="3" borderId="49" xfId="1" applyNumberFormat="1" applyFont="1" applyFill="1" applyBorder="1" applyProtection="1"/>
    <xf numFmtId="164" fontId="16" fillId="3" borderId="17" xfId="1" applyNumberFormat="1" applyFont="1" applyFill="1" applyBorder="1" applyProtection="1"/>
    <xf numFmtId="164" fontId="16" fillId="3" borderId="49" xfId="1" applyNumberFormat="1" applyFont="1" applyFill="1" applyBorder="1" applyAlignment="1" applyProtection="1"/>
    <xf numFmtId="164" fontId="16" fillId="3" borderId="6" xfId="0" applyNumberFormat="1" applyFont="1" applyFill="1" applyBorder="1" applyAlignment="1" applyProtection="1">
      <alignment horizontal="right"/>
    </xf>
    <xf numFmtId="164" fontId="21" fillId="3" borderId="9" xfId="0" applyNumberFormat="1" applyFont="1" applyFill="1" applyBorder="1" applyProtection="1"/>
    <xf numFmtId="164" fontId="21" fillId="3" borderId="54" xfId="0" applyNumberFormat="1" applyFont="1" applyFill="1" applyBorder="1" applyAlignment="1" applyProtection="1">
      <alignment vertical="center"/>
    </xf>
    <xf numFmtId="164" fontId="21" fillId="4" borderId="54" xfId="0" applyNumberFormat="1" applyFont="1" applyFill="1" applyBorder="1" applyAlignment="1" applyProtection="1">
      <alignment vertical="center"/>
    </xf>
    <xf numFmtId="1" fontId="21" fillId="3" borderId="54" xfId="0" applyNumberFormat="1" applyFont="1" applyFill="1" applyBorder="1" applyProtection="1"/>
    <xf numFmtId="164" fontId="21" fillId="3" borderId="11" xfId="0" applyNumberFormat="1" applyFont="1" applyFill="1" applyBorder="1" applyProtection="1"/>
    <xf numFmtId="164" fontId="21" fillId="3" borderId="54" xfId="0" applyNumberFormat="1" applyFont="1" applyFill="1" applyBorder="1" applyAlignment="1" applyProtection="1"/>
    <xf numFmtId="164" fontId="21" fillId="3" borderId="53" xfId="0" applyNumberFormat="1" applyFont="1" applyFill="1" applyBorder="1" applyAlignment="1" applyProtection="1">
      <alignment wrapText="1"/>
    </xf>
    <xf numFmtId="164" fontId="21" fillId="3" borderId="53" xfId="0" applyNumberFormat="1" applyFont="1" applyFill="1" applyBorder="1" applyProtection="1"/>
    <xf numFmtId="164" fontId="16" fillId="3" borderId="49" xfId="0" applyNumberFormat="1" applyFont="1" applyFill="1" applyBorder="1" applyProtection="1"/>
    <xf numFmtId="170" fontId="21" fillId="3" borderId="54" xfId="2" applyNumberFormat="1" applyFont="1" applyFill="1" applyBorder="1" applyProtection="1">
      <protection locked="0"/>
    </xf>
    <xf numFmtId="42" fontId="21" fillId="3" borderId="54" xfId="2" applyNumberFormat="1" applyFont="1" applyFill="1" applyBorder="1" applyProtection="1">
      <protection locked="0"/>
    </xf>
    <xf numFmtId="173" fontId="21" fillId="3" borderId="54" xfId="2" applyNumberFormat="1" applyFont="1" applyFill="1" applyBorder="1" applyProtection="1">
      <protection locked="0"/>
    </xf>
    <xf numFmtId="44" fontId="21" fillId="3" borderId="54" xfId="2" applyNumberFormat="1" applyFont="1" applyFill="1" applyBorder="1" applyProtection="1">
      <protection locked="0"/>
    </xf>
    <xf numFmtId="44" fontId="21" fillId="3" borderId="83" xfId="2" applyNumberFormat="1" applyFont="1" applyFill="1" applyBorder="1" applyProtection="1">
      <protection locked="0"/>
    </xf>
    <xf numFmtId="5" fontId="16" fillId="3" borderId="54" xfId="2" applyNumberFormat="1" applyFont="1" applyFill="1" applyBorder="1" applyAlignment="1" applyProtection="1">
      <alignment vertical="center"/>
    </xf>
    <xf numFmtId="5" fontId="14" fillId="3" borderId="54" xfId="2" applyNumberFormat="1" applyFont="1" applyFill="1" applyBorder="1" applyProtection="1"/>
    <xf numFmtId="5" fontId="21" fillId="3" borderId="54" xfId="2" applyNumberFormat="1" applyFont="1" applyFill="1" applyBorder="1" applyProtection="1"/>
    <xf numFmtId="5" fontId="16" fillId="3" borderId="49" xfId="2" applyNumberFormat="1" applyFont="1" applyFill="1" applyBorder="1" applyAlignment="1" applyProtection="1">
      <alignment vertical="center"/>
    </xf>
    <xf numFmtId="5" fontId="16" fillId="3" borderId="9" xfId="2" applyNumberFormat="1" applyFont="1" applyFill="1" applyBorder="1" applyAlignment="1" applyProtection="1">
      <alignment vertical="center"/>
    </xf>
    <xf numFmtId="0" fontId="42" fillId="3" borderId="1" xfId="0" applyFont="1" applyFill="1" applyBorder="1" applyAlignment="1" applyProtection="1">
      <alignment horizontal="center" vertical="center" wrapText="1"/>
      <protection locked="0"/>
    </xf>
    <xf numFmtId="5" fontId="43" fillId="3" borderId="62" xfId="2" applyNumberFormat="1" applyFont="1" applyFill="1" applyBorder="1" applyAlignment="1" applyProtection="1">
      <alignment horizontal="right"/>
    </xf>
    <xf numFmtId="0" fontId="44" fillId="3" borderId="9" xfId="0" applyFont="1" applyFill="1" applyBorder="1" applyAlignment="1" applyProtection="1">
      <alignment horizontal="center" vertical="center" wrapText="1"/>
      <protection locked="0"/>
    </xf>
    <xf numFmtId="0" fontId="38" fillId="3" borderId="0" xfId="0" applyFont="1" applyFill="1" applyProtection="1"/>
    <xf numFmtId="164" fontId="25" fillId="4" borderId="23" xfId="0" applyNumberFormat="1" applyFont="1" applyFill="1" applyBorder="1" applyAlignment="1" applyProtection="1">
      <alignment vertical="center"/>
    </xf>
    <xf numFmtId="0" fontId="25" fillId="3" borderId="0" xfId="0" applyFont="1" applyFill="1" applyProtection="1"/>
    <xf numFmtId="164" fontId="29" fillId="12" borderId="3" xfId="0" applyNumberFormat="1" applyFont="1" applyFill="1" applyBorder="1" applyAlignment="1" applyProtection="1">
      <alignment horizontal="right" vertical="center"/>
      <protection locked="0"/>
    </xf>
    <xf numFmtId="164" fontId="25" fillId="4" borderId="51" xfId="0" applyNumberFormat="1" applyFont="1" applyFill="1" applyBorder="1" applyProtection="1"/>
    <xf numFmtId="164" fontId="25" fillId="12" borderId="51" xfId="0" applyNumberFormat="1" applyFont="1" applyFill="1" applyBorder="1" applyProtection="1">
      <protection locked="0"/>
    </xf>
    <xf numFmtId="164" fontId="29" fillId="11" borderId="52" xfId="1" applyNumberFormat="1" applyFont="1" applyFill="1" applyBorder="1" applyProtection="1"/>
    <xf numFmtId="164" fontId="29" fillId="3" borderId="18" xfId="1" applyNumberFormat="1" applyFont="1" applyFill="1" applyBorder="1" applyProtection="1"/>
    <xf numFmtId="164" fontId="25" fillId="4" borderId="3" xfId="0" applyNumberFormat="1" applyFont="1" applyFill="1" applyBorder="1" applyAlignment="1" applyProtection="1"/>
    <xf numFmtId="164" fontId="29" fillId="3" borderId="52" xfId="1" applyNumberFormat="1" applyFont="1" applyFill="1" applyBorder="1" applyProtection="1"/>
    <xf numFmtId="164" fontId="29" fillId="3" borderId="52" xfId="1" applyNumberFormat="1" applyFont="1" applyFill="1" applyBorder="1" applyAlignment="1" applyProtection="1"/>
    <xf numFmtId="164" fontId="25" fillId="4" borderId="51" xfId="0" applyNumberFormat="1" applyFont="1" applyFill="1" applyBorder="1" applyAlignment="1" applyProtection="1"/>
    <xf numFmtId="164" fontId="29" fillId="4" borderId="51" xfId="0" applyNumberFormat="1" applyFont="1" applyFill="1" applyBorder="1" applyAlignment="1" applyProtection="1">
      <alignment vertical="center"/>
    </xf>
    <xf numFmtId="164" fontId="25" fillId="12" borderId="5" xfId="0" applyNumberFormat="1" applyFont="1" applyFill="1" applyBorder="1" applyProtection="1">
      <protection locked="0"/>
    </xf>
    <xf numFmtId="164" fontId="25" fillId="12" borderId="51" xfId="0" applyNumberFormat="1" applyFont="1" applyFill="1" applyBorder="1" applyAlignment="1" applyProtection="1">
      <protection locked="0"/>
    </xf>
    <xf numFmtId="164" fontId="25" fillId="12" borderId="50" xfId="0" applyNumberFormat="1" applyFont="1" applyFill="1" applyBorder="1" applyAlignment="1" applyProtection="1">
      <alignment wrapText="1"/>
      <protection locked="0"/>
    </xf>
    <xf numFmtId="164" fontId="25" fillId="12" borderId="50" xfId="0" applyNumberFormat="1" applyFont="1" applyFill="1" applyBorder="1" applyProtection="1">
      <protection locked="0"/>
    </xf>
    <xf numFmtId="164" fontId="29" fillId="3" borderId="52" xfId="0" applyNumberFormat="1" applyFont="1" applyFill="1" applyBorder="1" applyProtection="1"/>
    <xf numFmtId="170" fontId="25" fillId="12" borderId="51" xfId="2" applyNumberFormat="1" applyFont="1" applyFill="1" applyBorder="1" applyProtection="1">
      <protection locked="0"/>
    </xf>
    <xf numFmtId="42" fontId="25" fillId="12" borderId="51" xfId="2" applyNumberFormat="1" applyFont="1" applyFill="1" applyBorder="1" applyProtection="1">
      <protection locked="0"/>
    </xf>
    <xf numFmtId="173" fontId="25" fillId="12" borderId="51" xfId="2" applyNumberFormat="1" applyFont="1" applyFill="1" applyBorder="1" applyProtection="1">
      <protection locked="0"/>
    </xf>
    <xf numFmtId="5" fontId="29" fillId="3" borderId="51" xfId="2" applyNumberFormat="1" applyFont="1" applyFill="1" applyBorder="1" applyAlignment="1" applyProtection="1">
      <alignment vertical="center"/>
    </xf>
    <xf numFmtId="5" fontId="45" fillId="3" borderId="51" xfId="2" applyNumberFormat="1" applyFont="1" applyFill="1" applyBorder="1" applyAlignment="1" applyProtection="1">
      <alignment horizontal="right"/>
    </xf>
    <xf numFmtId="5" fontId="45" fillId="3" borderId="50" xfId="2" applyNumberFormat="1" applyFont="1" applyFill="1" applyBorder="1" applyAlignment="1" applyProtection="1">
      <alignment horizontal="right"/>
    </xf>
    <xf numFmtId="5" fontId="45" fillId="3" borderId="51" xfId="2" applyNumberFormat="1" applyFont="1" applyFill="1" applyBorder="1" applyProtection="1"/>
    <xf numFmtId="5" fontId="29" fillId="12" borderId="51" xfId="2" applyNumberFormat="1" applyFont="1" applyFill="1" applyBorder="1" applyAlignment="1" applyProtection="1">
      <alignment vertical="center"/>
      <protection locked="0"/>
    </xf>
    <xf numFmtId="5" fontId="29" fillId="3" borderId="3" xfId="2" applyNumberFormat="1" applyFont="1" applyFill="1" applyBorder="1" applyAlignment="1" applyProtection="1">
      <alignment vertical="center"/>
    </xf>
    <xf numFmtId="164" fontId="29" fillId="4" borderId="59" xfId="0" applyNumberFormat="1" applyFont="1" applyFill="1" applyBorder="1" applyAlignment="1" applyProtection="1">
      <alignment vertical="center"/>
    </xf>
    <xf numFmtId="5" fontId="29" fillId="3" borderId="82" xfId="2" applyNumberFormat="1" applyFont="1" applyFill="1" applyBorder="1" applyAlignment="1" applyProtection="1">
      <alignment vertical="center"/>
    </xf>
    <xf numFmtId="5" fontId="40" fillId="3" borderId="37" xfId="2" applyNumberFormat="1" applyFont="1" applyFill="1" applyBorder="1" applyAlignment="1" applyProtection="1">
      <alignment horizontal="right"/>
    </xf>
    <xf numFmtId="5" fontId="40" fillId="3" borderId="52" xfId="2" applyNumberFormat="1" applyFont="1" applyFill="1" applyBorder="1" applyAlignment="1" applyProtection="1">
      <alignment horizontal="right"/>
    </xf>
    <xf numFmtId="0" fontId="14" fillId="3" borderId="76" xfId="0" applyNumberFormat="1" applyFont="1" applyFill="1" applyBorder="1" applyAlignment="1" applyProtection="1">
      <alignment horizontal="left"/>
    </xf>
    <xf numFmtId="0" fontId="14" fillId="3" borderId="76" xfId="0" applyNumberFormat="1" applyFont="1" applyFill="1" applyBorder="1" applyAlignment="1" applyProtection="1">
      <alignment horizontal="left" wrapText="1"/>
    </xf>
    <xf numFmtId="0" fontId="14" fillId="3" borderId="76" xfId="0" applyFont="1" applyFill="1" applyBorder="1" applyAlignment="1">
      <alignment vertical="center" wrapText="1"/>
    </xf>
    <xf numFmtId="0" fontId="14" fillId="3" borderId="78" xfId="0" applyFont="1" applyFill="1" applyBorder="1" applyAlignment="1">
      <alignment vertical="center"/>
    </xf>
    <xf numFmtId="0" fontId="16" fillId="3" borderId="76" xfId="0" applyNumberFormat="1" applyFont="1" applyFill="1" applyBorder="1" applyAlignment="1" applyProtection="1">
      <alignment horizontal="right"/>
    </xf>
    <xf numFmtId="0" fontId="14" fillId="3" borderId="80" xfId="0" applyFont="1" applyFill="1" applyBorder="1" applyAlignment="1">
      <alignment vertical="center" wrapText="1"/>
    </xf>
    <xf numFmtId="0" fontId="16" fillId="3" borderId="51" xfId="0" applyFont="1" applyFill="1" applyBorder="1" applyAlignment="1" applyProtection="1">
      <alignment horizontal="right"/>
    </xf>
    <xf numFmtId="5" fontId="29" fillId="3" borderId="51" xfId="2" applyNumberFormat="1" applyFont="1" applyFill="1" applyBorder="1" applyAlignment="1" applyProtection="1">
      <alignment horizontal="right"/>
    </xf>
    <xf numFmtId="0" fontId="16" fillId="3" borderId="80" xfId="0" applyNumberFormat="1" applyFont="1" applyFill="1" applyBorder="1" applyAlignment="1" applyProtection="1">
      <alignment horizontal="left" vertical="center"/>
    </xf>
    <xf numFmtId="0" fontId="16" fillId="3" borderId="3" xfId="0" applyFont="1" applyFill="1" applyBorder="1" applyAlignment="1" applyProtection="1">
      <alignment vertical="center"/>
    </xf>
    <xf numFmtId="0" fontId="16" fillId="3" borderId="77" xfId="0" applyNumberFormat="1" applyFont="1" applyFill="1" applyBorder="1" applyAlignment="1" applyProtection="1">
      <alignment horizontal="left" vertical="center"/>
    </xf>
    <xf numFmtId="0" fontId="16" fillId="3" borderId="52" xfId="0" applyFont="1" applyFill="1" applyBorder="1" applyAlignment="1" applyProtection="1">
      <alignment vertical="center"/>
    </xf>
    <xf numFmtId="0" fontId="16" fillId="3" borderId="3" xfId="0" applyFont="1" applyFill="1" applyBorder="1" applyAlignment="1" applyProtection="1">
      <alignment horizontal="left" vertical="center"/>
    </xf>
    <xf numFmtId="0" fontId="16" fillId="3" borderId="77" xfId="0" applyFont="1" applyFill="1" applyBorder="1" applyAlignment="1" applyProtection="1">
      <alignment horizontal="left" vertical="center"/>
    </xf>
    <xf numFmtId="0" fontId="16" fillId="3" borderId="52" xfId="0" applyFont="1" applyFill="1" applyBorder="1" applyAlignment="1" applyProtection="1">
      <alignment horizontal="left" vertical="center"/>
    </xf>
    <xf numFmtId="5" fontId="29" fillId="3" borderId="52" xfId="2" applyNumberFormat="1" applyFont="1" applyFill="1" applyBorder="1" applyAlignment="1" applyProtection="1">
      <alignment vertical="center"/>
    </xf>
    <xf numFmtId="0" fontId="16" fillId="3" borderId="80" xfId="0" applyFont="1" applyFill="1" applyBorder="1" applyAlignment="1" applyProtection="1">
      <alignment horizontal="left" vertical="center"/>
    </xf>
    <xf numFmtId="5" fontId="29" fillId="3" borderId="4" xfId="2" applyNumberFormat="1" applyFont="1" applyFill="1" applyBorder="1" applyAlignment="1" applyProtection="1">
      <alignment vertical="center"/>
    </xf>
    <xf numFmtId="164" fontId="16" fillId="4" borderId="23" xfId="0" applyNumberFormat="1" applyFont="1" applyFill="1" applyBorder="1" applyProtection="1"/>
    <xf numFmtId="164" fontId="16" fillId="4" borderId="54" xfId="0" applyNumberFormat="1" applyFont="1" applyFill="1" applyBorder="1" applyProtection="1"/>
    <xf numFmtId="164" fontId="16" fillId="4" borderId="9" xfId="0" applyNumberFormat="1" applyFont="1" applyFill="1" applyBorder="1" applyAlignment="1" applyProtection="1"/>
    <xf numFmtId="164" fontId="16" fillId="4" borderId="23" xfId="0" applyNumberFormat="1" applyFont="1" applyFill="1" applyBorder="1" applyAlignment="1" applyProtection="1"/>
    <xf numFmtId="164" fontId="16" fillId="4" borderId="54" xfId="0" applyNumberFormat="1" applyFont="1" applyFill="1" applyBorder="1" applyAlignment="1" applyProtection="1"/>
    <xf numFmtId="164" fontId="16" fillId="4" borderId="23" xfId="0" applyNumberFormat="1" applyFont="1" applyFill="1" applyBorder="1" applyAlignment="1" applyProtection="1">
      <alignment vertical="center"/>
    </xf>
    <xf numFmtId="164" fontId="16" fillId="4" borderId="54" xfId="0" applyNumberFormat="1" applyFont="1" applyFill="1" applyBorder="1" applyAlignment="1" applyProtection="1">
      <alignment vertical="center"/>
    </xf>
    <xf numFmtId="164" fontId="16" fillId="4" borderId="41" xfId="0" applyNumberFormat="1" applyFont="1" applyFill="1" applyBorder="1" applyAlignment="1" applyProtection="1">
      <alignment vertical="center"/>
    </xf>
    <xf numFmtId="164" fontId="16" fillId="4" borderId="60" xfId="0" applyNumberFormat="1" applyFont="1" applyFill="1" applyBorder="1" applyAlignment="1" applyProtection="1">
      <alignment vertical="center"/>
    </xf>
    <xf numFmtId="5" fontId="16" fillId="3" borderId="1" xfId="2" applyNumberFormat="1" applyFont="1" applyFill="1" applyBorder="1" applyAlignment="1" applyProtection="1">
      <alignment vertical="center"/>
    </xf>
    <xf numFmtId="172" fontId="16" fillId="3" borderId="62" xfId="2" applyNumberFormat="1" applyFont="1" applyFill="1" applyBorder="1" applyAlignment="1" applyProtection="1">
      <alignment horizontal="right"/>
    </xf>
    <xf numFmtId="172" fontId="16" fillId="3" borderId="54" xfId="2" applyNumberFormat="1" applyFont="1" applyFill="1" applyBorder="1" applyAlignment="1" applyProtection="1">
      <alignment horizontal="right"/>
    </xf>
    <xf numFmtId="164" fontId="21" fillId="3" borderId="23" xfId="2" applyNumberFormat="1" applyFont="1" applyFill="1" applyBorder="1" applyProtection="1">
      <protection locked="0"/>
    </xf>
    <xf numFmtId="164" fontId="21" fillId="3" borderId="54" xfId="2" applyNumberFormat="1" applyFont="1" applyFill="1" applyBorder="1" applyProtection="1">
      <protection locked="0"/>
    </xf>
    <xf numFmtId="0" fontId="20" fillId="3" borderId="81" xfId="0" applyFont="1" applyFill="1" applyBorder="1" applyAlignment="1" applyProtection="1">
      <alignment horizontal="center" vertical="center" wrapText="1"/>
      <protection locked="0"/>
    </xf>
    <xf numFmtId="0" fontId="26" fillId="3" borderId="51" xfId="0" applyFont="1" applyFill="1" applyBorder="1" applyAlignment="1" applyProtection="1">
      <alignment horizontal="center" vertical="center" wrapText="1"/>
      <protection locked="0"/>
    </xf>
    <xf numFmtId="0" fontId="16" fillId="3" borderId="66" xfId="0" applyFont="1" applyFill="1" applyBorder="1" applyAlignment="1" applyProtection="1">
      <alignment horizontal="right"/>
    </xf>
    <xf numFmtId="0" fontId="16" fillId="3" borderId="69" xfId="0" applyFont="1" applyFill="1" applyBorder="1" applyAlignment="1" applyProtection="1">
      <alignment horizontal="right"/>
    </xf>
    <xf numFmtId="0" fontId="25" fillId="3" borderId="2" xfId="0" applyFont="1" applyFill="1" applyBorder="1" applyAlignment="1">
      <alignment horizontal="center" vertical="center"/>
    </xf>
    <xf numFmtId="164" fontId="25" fillId="3" borderId="40" xfId="0" applyNumberFormat="1" applyFont="1" applyFill="1" applyBorder="1" applyAlignment="1" applyProtection="1">
      <alignment vertical="center"/>
    </xf>
    <xf numFmtId="164" fontId="25" fillId="3" borderId="9" xfId="0" applyNumberFormat="1" applyFont="1" applyFill="1" applyBorder="1" applyProtection="1"/>
    <xf numFmtId="164" fontId="25" fillId="3" borderId="17" xfId="1" applyNumberFormat="1" applyFont="1" applyFill="1" applyBorder="1" applyProtection="1"/>
    <xf numFmtId="164" fontId="25" fillId="3" borderId="34" xfId="1" applyNumberFormat="1" applyFont="1" applyFill="1" applyBorder="1" applyProtection="1"/>
    <xf numFmtId="164" fontId="25" fillId="3" borderId="1" xfId="0" applyNumberFormat="1" applyFont="1" applyFill="1" applyBorder="1" applyProtection="1"/>
    <xf numFmtId="164" fontId="25" fillId="3" borderId="2" xfId="0" applyNumberFormat="1" applyFont="1" applyFill="1" applyBorder="1" applyProtection="1"/>
    <xf numFmtId="164" fontId="25" fillId="3" borderId="40" xfId="0" applyNumberFormat="1" applyFont="1" applyFill="1" applyBorder="1" applyProtection="1"/>
    <xf numFmtId="175" fontId="25" fillId="3" borderId="39" xfId="0" applyNumberFormat="1" applyFont="1" applyFill="1" applyBorder="1" applyProtection="1"/>
    <xf numFmtId="164" fontId="25" fillId="3" borderId="1" xfId="0" applyNumberFormat="1" applyFont="1" applyFill="1" applyBorder="1" applyAlignment="1" applyProtection="1">
      <alignment horizontal="center" vertical="center"/>
    </xf>
    <xf numFmtId="164" fontId="25" fillId="3" borderId="62" xfId="0" applyNumberFormat="1" applyFont="1" applyFill="1" applyBorder="1" applyProtection="1"/>
    <xf numFmtId="164" fontId="25" fillId="3" borderId="84" xfId="0" applyNumberFormat="1" applyFont="1" applyFill="1" applyBorder="1" applyProtection="1"/>
    <xf numFmtId="170" fontId="25" fillId="3" borderId="54" xfId="0" applyNumberFormat="1" applyFont="1" applyFill="1" applyBorder="1" applyProtection="1"/>
    <xf numFmtId="166" fontId="25" fillId="3" borderId="54" xfId="2" applyNumberFormat="1" applyFont="1" applyFill="1" applyBorder="1" applyProtection="1"/>
    <xf numFmtId="0" fontId="25" fillId="3" borderId="54" xfId="0" applyFont="1" applyFill="1" applyBorder="1" applyAlignment="1" applyProtection="1">
      <alignment horizontal="left" vertical="center"/>
    </xf>
    <xf numFmtId="166" fontId="25" fillId="3" borderId="11" xfId="2" applyNumberFormat="1" applyFont="1" applyFill="1" applyBorder="1" applyProtection="1"/>
    <xf numFmtId="166" fontId="25" fillId="3" borderId="74" xfId="2" applyNumberFormat="1" applyFont="1" applyFill="1" applyBorder="1" applyAlignment="1" applyProtection="1"/>
    <xf numFmtId="166" fontId="25" fillId="3" borderId="6" xfId="2" applyNumberFormat="1" applyFont="1" applyFill="1" applyBorder="1" applyAlignment="1" applyProtection="1">
      <alignment horizontal="right"/>
    </xf>
    <xf numFmtId="166" fontId="25" fillId="3" borderId="54" xfId="2" applyNumberFormat="1" applyFont="1" applyFill="1" applyBorder="1" applyAlignment="1" applyProtection="1"/>
    <xf numFmtId="168" fontId="21" fillId="3" borderId="23" xfId="0" applyNumberFormat="1" applyFont="1" applyFill="1" applyBorder="1" applyAlignment="1" applyProtection="1">
      <alignment horizontal="left"/>
    </xf>
    <xf numFmtId="164" fontId="25" fillId="3" borderId="85" xfId="0" applyNumberFormat="1" applyFont="1" applyFill="1" applyBorder="1" applyAlignment="1" applyProtection="1">
      <alignment vertical="center"/>
    </xf>
    <xf numFmtId="164" fontId="25" fillId="3" borderId="54" xfId="0" applyNumberFormat="1" applyFont="1" applyFill="1" applyBorder="1" applyProtection="1"/>
    <xf numFmtId="166" fontId="25" fillId="3" borderId="54" xfId="2" applyNumberFormat="1" applyFont="1" applyFill="1" applyBorder="1" applyAlignment="1" applyProtection="1">
      <alignment horizontal="left"/>
    </xf>
    <xf numFmtId="164" fontId="25" fillId="3" borderId="86" xfId="1" applyNumberFormat="1" applyFont="1" applyFill="1" applyBorder="1" applyProtection="1"/>
    <xf numFmtId="0" fontId="25" fillId="3" borderId="86" xfId="0" applyFont="1" applyFill="1" applyBorder="1" applyAlignment="1" applyProtection="1">
      <alignment horizontal="right"/>
    </xf>
    <xf numFmtId="164" fontId="25" fillId="3" borderId="11" xfId="0" applyNumberFormat="1" applyFont="1" applyFill="1" applyBorder="1" applyProtection="1">
      <protection locked="0"/>
    </xf>
    <xf numFmtId="164" fontId="25" fillId="3" borderId="16" xfId="0" applyNumberFormat="1" applyFont="1" applyFill="1" applyBorder="1" applyProtection="1"/>
    <xf numFmtId="164" fontId="25" fillId="3" borderId="85" xfId="0" applyNumberFormat="1" applyFont="1" applyFill="1" applyBorder="1" applyProtection="1"/>
    <xf numFmtId="175" fontId="25" fillId="3" borderId="6" xfId="0" applyNumberFormat="1" applyFont="1" applyFill="1" applyBorder="1" applyProtection="1"/>
    <xf numFmtId="164" fontId="25" fillId="3" borderId="86" xfId="0" applyNumberFormat="1" applyFont="1" applyFill="1" applyBorder="1" applyAlignment="1" applyProtection="1">
      <alignment wrapText="1"/>
    </xf>
    <xf numFmtId="164" fontId="25" fillId="3" borderId="9" xfId="0" applyNumberFormat="1" applyFont="1" applyFill="1" applyBorder="1" applyAlignment="1" applyProtection="1">
      <alignment horizontal="center" vertical="center"/>
    </xf>
    <xf numFmtId="164" fontId="25" fillId="3" borderId="83" xfId="0" applyNumberFormat="1" applyFont="1" applyFill="1" applyBorder="1" applyProtection="1"/>
    <xf numFmtId="170" fontId="25" fillId="3" borderId="9" xfId="0" applyNumberFormat="1" applyFont="1" applyFill="1" applyBorder="1" applyProtection="1"/>
    <xf numFmtId="166" fontId="25" fillId="3" borderId="53" xfId="2" applyNumberFormat="1" applyFont="1" applyFill="1" applyBorder="1" applyProtection="1"/>
    <xf numFmtId="166" fontId="25" fillId="3" borderId="86" xfId="2" applyNumberFormat="1" applyFont="1" applyFill="1" applyBorder="1" applyProtection="1"/>
    <xf numFmtId="166" fontId="25" fillId="3" borderId="86" xfId="2" applyNumberFormat="1" applyFont="1" applyFill="1" applyBorder="1" applyAlignment="1" applyProtection="1"/>
    <xf numFmtId="0" fontId="25" fillId="3" borderId="2" xfId="0" applyFont="1" applyFill="1" applyBorder="1" applyAlignment="1" applyProtection="1">
      <alignment horizontal="center" vertical="center" wrapText="1"/>
      <protection locked="0"/>
    </xf>
    <xf numFmtId="164" fontId="25" fillId="3" borderId="62" xfId="0" applyNumberFormat="1" applyFont="1" applyFill="1" applyBorder="1" applyAlignment="1" applyProtection="1">
      <alignment vertical="center"/>
    </xf>
    <xf numFmtId="164" fontId="25" fillId="3" borderId="1" xfId="0" applyNumberFormat="1" applyFont="1" applyFill="1" applyBorder="1" applyProtection="1">
      <protection locked="0"/>
    </xf>
    <xf numFmtId="166" fontId="25" fillId="3" borderId="62" xfId="2" applyNumberFormat="1" applyFont="1" applyFill="1" applyBorder="1" applyAlignment="1" applyProtection="1">
      <alignment horizontal="left"/>
    </xf>
    <xf numFmtId="164" fontId="25" fillId="3" borderId="88" xfId="1" applyNumberFormat="1" applyFont="1" applyFill="1" applyBorder="1" applyProtection="1"/>
    <xf numFmtId="166" fontId="25" fillId="3" borderId="62" xfId="2" applyNumberFormat="1" applyFont="1" applyFill="1" applyBorder="1" applyProtection="1"/>
    <xf numFmtId="0" fontId="25" fillId="3" borderId="88" xfId="0" applyFont="1" applyFill="1" applyBorder="1" applyAlignment="1" applyProtection="1">
      <alignment horizontal="right"/>
    </xf>
    <xf numFmtId="175" fontId="25" fillId="3" borderId="88" xfId="0" applyNumberFormat="1" applyFont="1" applyFill="1" applyBorder="1" applyProtection="1"/>
    <xf numFmtId="164" fontId="25" fillId="3" borderId="88" xfId="0" applyNumberFormat="1" applyFont="1" applyFill="1" applyBorder="1" applyAlignment="1" applyProtection="1">
      <alignment wrapText="1"/>
    </xf>
    <xf numFmtId="164" fontId="25" fillId="3" borderId="62" xfId="0" applyNumberFormat="1" applyFont="1" applyFill="1" applyBorder="1" applyAlignment="1" applyProtection="1">
      <alignment horizontal="center" vertical="center"/>
    </xf>
    <xf numFmtId="170" fontId="25" fillId="3" borderId="41" xfId="0" applyNumberFormat="1" applyFont="1" applyFill="1" applyBorder="1" applyProtection="1"/>
    <xf numFmtId="170" fontId="25" fillId="3" borderId="1" xfId="0" applyNumberFormat="1" applyFont="1" applyFill="1" applyBorder="1" applyProtection="1"/>
    <xf numFmtId="170" fontId="25" fillId="3" borderId="62" xfId="0" applyNumberFormat="1" applyFont="1" applyFill="1" applyBorder="1" applyProtection="1"/>
    <xf numFmtId="42" fontId="25" fillId="3" borderId="62" xfId="0" applyNumberFormat="1" applyFont="1" applyFill="1" applyBorder="1" applyProtection="1"/>
    <xf numFmtId="42" fontId="25" fillId="3" borderId="57" xfId="0" applyNumberFormat="1" applyFont="1" applyFill="1" applyBorder="1" applyProtection="1"/>
    <xf numFmtId="173" fontId="25" fillId="3" borderId="62" xfId="0" applyNumberFormat="1" applyFont="1" applyFill="1" applyBorder="1" applyProtection="1"/>
    <xf numFmtId="171" fontId="25" fillId="3" borderId="62" xfId="0" applyNumberFormat="1" applyFont="1" applyFill="1" applyBorder="1" applyProtection="1"/>
    <xf numFmtId="44" fontId="25" fillId="3" borderId="62" xfId="2" applyNumberFormat="1" applyFont="1" applyFill="1" applyBorder="1" applyProtection="1"/>
    <xf numFmtId="44" fontId="25" fillId="3" borderId="57" xfId="2" applyNumberFormat="1" applyFont="1" applyFill="1" applyBorder="1" applyProtection="1"/>
    <xf numFmtId="0" fontId="25" fillId="3" borderId="73" xfId="0" applyFont="1" applyFill="1" applyBorder="1"/>
    <xf numFmtId="166" fontId="25" fillId="3" borderId="73" xfId="2" applyNumberFormat="1" applyFont="1" applyFill="1" applyBorder="1" applyAlignment="1" applyProtection="1"/>
    <xf numFmtId="0" fontId="25" fillId="3" borderId="62" xfId="0" applyFont="1" applyFill="1" applyBorder="1" applyAlignment="1" applyProtection="1">
      <alignment horizontal="left" vertical="center"/>
    </xf>
    <xf numFmtId="166" fontId="25" fillId="3" borderId="57" xfId="2" applyNumberFormat="1" applyFont="1" applyFill="1" applyBorder="1" applyProtection="1"/>
    <xf numFmtId="42" fontId="25" fillId="3" borderId="40" xfId="2" applyNumberFormat="1" applyFont="1" applyFill="1" applyBorder="1" applyProtection="1">
      <protection locked="0"/>
    </xf>
    <xf numFmtId="42" fontId="25" fillId="3" borderId="85" xfId="2" applyNumberFormat="1" applyFont="1" applyFill="1" applyBorder="1" applyProtection="1">
      <protection locked="0"/>
    </xf>
    <xf numFmtId="166" fontId="25" fillId="3" borderId="39" xfId="2" applyNumberFormat="1" applyFont="1" applyFill="1" applyBorder="1" applyAlignment="1" applyProtection="1">
      <alignment horizontal="right"/>
    </xf>
    <xf numFmtId="166" fontId="25" fillId="3" borderId="1" xfId="2" applyNumberFormat="1" applyFont="1" applyFill="1" applyBorder="1" applyAlignment="1" applyProtection="1"/>
    <xf numFmtId="166" fontId="25" fillId="3" borderId="62" xfId="2" applyNumberFormat="1" applyFont="1" applyFill="1" applyBorder="1" applyAlignment="1" applyProtection="1"/>
    <xf numFmtId="166" fontId="25" fillId="3" borderId="88" xfId="2" applyNumberFormat="1" applyFont="1" applyFill="1" applyBorder="1" applyProtection="1"/>
    <xf numFmtId="166" fontId="25" fillId="3" borderId="88" xfId="2" applyNumberFormat="1" applyFont="1" applyFill="1" applyBorder="1" applyAlignment="1" applyProtection="1"/>
    <xf numFmtId="166" fontId="25" fillId="3" borderId="15" xfId="2" applyNumberFormat="1" applyFont="1" applyFill="1" applyBorder="1" applyProtection="1"/>
    <xf numFmtId="0" fontId="35" fillId="3" borderId="0" xfId="0" applyFont="1" applyFill="1" applyAlignment="1" applyProtection="1">
      <alignment vertical="center"/>
    </xf>
    <xf numFmtId="3" fontId="16" fillId="7" borderId="1" xfId="0" applyNumberFormat="1" applyFont="1" applyFill="1" applyBorder="1" applyAlignment="1" applyProtection="1">
      <alignment horizontal="right" vertical="center"/>
      <protection locked="0"/>
    </xf>
    <xf numFmtId="5" fontId="45" fillId="3" borderId="10" xfId="2" applyNumberFormat="1" applyFont="1" applyFill="1" applyBorder="1"/>
    <xf numFmtId="0" fontId="16" fillId="4" borderId="12" xfId="0" applyFont="1" applyFill="1" applyBorder="1" applyAlignment="1" applyProtection="1">
      <alignment horizontal="right" wrapText="1"/>
    </xf>
    <xf numFmtId="0" fontId="21" fillId="4" borderId="12" xfId="0" applyFont="1" applyFill="1" applyBorder="1" applyAlignment="1" applyProtection="1">
      <alignment horizontal="left" vertical="center" wrapText="1" indent="2"/>
    </xf>
    <xf numFmtId="172" fontId="16" fillId="4" borderId="28" xfId="0" applyNumberFormat="1" applyFont="1" applyFill="1" applyBorder="1" applyAlignment="1" applyProtection="1">
      <alignment horizontal="right"/>
    </xf>
    <xf numFmtId="0" fontId="14" fillId="3" borderId="0" xfId="0" applyFont="1" applyFill="1" applyAlignment="1" applyProtection="1">
      <alignment horizontal="left" vertical="center" wrapText="1"/>
    </xf>
    <xf numFmtId="0" fontId="14" fillId="3" borderId="19" xfId="0" applyFont="1" applyFill="1" applyBorder="1" applyAlignment="1" applyProtection="1">
      <alignment horizontal="left" vertical="center" wrapText="1"/>
    </xf>
    <xf numFmtId="0" fontId="0" fillId="7" borderId="46" xfId="0" applyFill="1" applyBorder="1" applyAlignment="1">
      <alignment horizontal="center" vertical="center"/>
    </xf>
    <xf numFmtId="0" fontId="0" fillId="7" borderId="27" xfId="0" applyFill="1" applyBorder="1" applyAlignment="1">
      <alignment horizontal="center" vertical="center"/>
    </xf>
    <xf numFmtId="0" fontId="0" fillId="10" borderId="46" xfId="0" applyFill="1" applyBorder="1" applyAlignment="1">
      <alignment horizontal="center" vertical="center"/>
    </xf>
    <xf numFmtId="0" fontId="0" fillId="10" borderId="27" xfId="0" applyFill="1" applyBorder="1" applyAlignment="1">
      <alignment horizontal="center" vertical="center"/>
    </xf>
    <xf numFmtId="5" fontId="16" fillId="3" borderId="51" xfId="2" applyNumberFormat="1" applyFont="1" applyFill="1" applyBorder="1" applyAlignment="1" applyProtection="1">
      <alignment vertical="center"/>
    </xf>
    <xf numFmtId="164" fontId="29" fillId="4" borderId="98" xfId="0" applyNumberFormat="1" applyFont="1" applyFill="1" applyBorder="1" applyAlignment="1" applyProtection="1">
      <alignment vertical="center"/>
    </xf>
    <xf numFmtId="5" fontId="14" fillId="3" borderId="97" xfId="2" applyNumberFormat="1" applyFont="1" applyFill="1" applyBorder="1" applyAlignment="1" applyProtection="1">
      <alignment horizontal="right"/>
    </xf>
    <xf numFmtId="164" fontId="16" fillId="4" borderId="96" xfId="0" applyNumberFormat="1" applyFont="1" applyFill="1" applyBorder="1" applyAlignment="1" applyProtection="1">
      <alignment vertical="center"/>
    </xf>
    <xf numFmtId="5" fontId="16" fillId="3" borderId="98" xfId="2" applyNumberFormat="1" applyFont="1" applyFill="1" applyBorder="1" applyAlignment="1" applyProtection="1">
      <alignment vertical="center"/>
    </xf>
    <xf numFmtId="5" fontId="14" fillId="3" borderId="98" xfId="2" applyNumberFormat="1" applyFont="1" applyFill="1" applyBorder="1" applyAlignment="1" applyProtection="1">
      <alignment horizontal="right"/>
    </xf>
    <xf numFmtId="5" fontId="16" fillId="3" borderId="12" xfId="2" applyNumberFormat="1" applyFont="1" applyFill="1" applyBorder="1" applyAlignment="1" applyProtection="1">
      <alignment vertical="center"/>
    </xf>
    <xf numFmtId="164" fontId="16" fillId="4" borderId="12" xfId="0" applyNumberFormat="1" applyFont="1" applyFill="1" applyBorder="1" applyAlignment="1" applyProtection="1">
      <alignment vertical="center"/>
    </xf>
    <xf numFmtId="5" fontId="14" fillId="3" borderId="12" xfId="2" applyNumberFormat="1" applyFont="1" applyFill="1" applyBorder="1" applyAlignment="1" applyProtection="1">
      <alignment horizontal="right"/>
    </xf>
    <xf numFmtId="5" fontId="16" fillId="4" borderId="62" xfId="2" applyNumberFormat="1" applyFont="1" applyFill="1" applyBorder="1" applyAlignment="1" applyProtection="1">
      <alignment vertical="center"/>
    </xf>
    <xf numFmtId="5" fontId="16" fillId="4" borderId="54" xfId="2" applyNumberFormat="1" applyFont="1" applyFill="1" applyBorder="1" applyAlignment="1" applyProtection="1">
      <alignment horizontal="left"/>
    </xf>
    <xf numFmtId="5" fontId="25" fillId="4" borderId="51" xfId="2" applyNumberFormat="1" applyFont="1" applyFill="1" applyBorder="1" applyAlignment="1" applyProtection="1">
      <alignment horizontal="left"/>
    </xf>
    <xf numFmtId="5" fontId="16" fillId="4" borderId="62" xfId="0" applyNumberFormat="1" applyFont="1" applyFill="1" applyBorder="1" applyAlignment="1" applyProtection="1">
      <alignment horizontal="left" vertical="center"/>
    </xf>
    <xf numFmtId="5" fontId="16" fillId="4" borderId="54" xfId="0" applyNumberFormat="1" applyFont="1" applyFill="1" applyBorder="1" applyAlignment="1" applyProtection="1">
      <alignment horizontal="left" vertical="center"/>
    </xf>
    <xf numFmtId="5" fontId="25" fillId="4" borderId="51" xfId="0" applyNumberFormat="1" applyFont="1" applyFill="1" applyBorder="1" applyAlignment="1" applyProtection="1">
      <alignment horizontal="left" vertical="center"/>
    </xf>
    <xf numFmtId="0" fontId="16" fillId="4" borderId="62" xfId="0" applyFont="1" applyFill="1" applyBorder="1" applyAlignment="1" applyProtection="1">
      <alignment horizontal="left" vertical="center"/>
    </xf>
    <xf numFmtId="0" fontId="16" fillId="4" borderId="54" xfId="0" applyFont="1" applyFill="1" applyBorder="1" applyAlignment="1" applyProtection="1">
      <alignment horizontal="left" vertical="center"/>
    </xf>
    <xf numFmtId="5" fontId="29" fillId="4" borderId="50" xfId="0" applyNumberFormat="1" applyFont="1" applyFill="1" applyBorder="1" applyAlignment="1" applyProtection="1">
      <alignment horizontal="left" vertical="center"/>
    </xf>
    <xf numFmtId="0" fontId="16" fillId="4" borderId="76" xfId="0" applyFont="1" applyFill="1" applyBorder="1" applyAlignment="1" applyProtection="1">
      <alignment horizontal="left"/>
    </xf>
    <xf numFmtId="0" fontId="28" fillId="4" borderId="51" xfId="0" applyFont="1" applyFill="1" applyBorder="1" applyAlignment="1" applyProtection="1">
      <alignment horizontal="left"/>
    </xf>
    <xf numFmtId="0" fontId="16" fillId="4" borderId="76" xfId="0" applyNumberFormat="1" applyFont="1" applyFill="1" applyBorder="1" applyAlignment="1" applyProtection="1">
      <alignment horizontal="left" vertical="center"/>
    </xf>
    <xf numFmtId="0" fontId="28" fillId="4" borderId="51" xfId="0" applyFont="1" applyFill="1" applyBorder="1" applyAlignment="1" applyProtection="1">
      <alignment vertical="center"/>
    </xf>
    <xf numFmtId="0" fontId="16" fillId="4" borderId="76" xfId="0" applyNumberFormat="1" applyFont="1" applyFill="1" applyBorder="1" applyAlignment="1" applyProtection="1">
      <alignment horizontal="left"/>
    </xf>
    <xf numFmtId="0" fontId="28" fillId="4" borderId="51" xfId="0" applyFont="1" applyFill="1" applyBorder="1" applyAlignment="1" applyProtection="1">
      <alignment horizontal="left" vertical="center"/>
    </xf>
    <xf numFmtId="5" fontId="45" fillId="3" borderId="92" xfId="2" applyNumberFormat="1" applyFont="1" applyFill="1" applyBorder="1" applyProtection="1"/>
    <xf numFmtId="5" fontId="45" fillId="3" borderId="99" xfId="2" applyNumberFormat="1" applyFont="1" applyFill="1" applyBorder="1"/>
    <xf numFmtId="5" fontId="14" fillId="3" borderId="92" xfId="2" applyNumberFormat="1" applyFont="1" applyFill="1" applyBorder="1"/>
    <xf numFmtId="5" fontId="45" fillId="3" borderId="31" xfId="2" applyNumberFormat="1" applyFont="1" applyFill="1" applyBorder="1"/>
    <xf numFmtId="5" fontId="16" fillId="3" borderId="98" xfId="2" applyNumberFormat="1" applyFont="1" applyFill="1" applyBorder="1" applyProtection="1"/>
    <xf numFmtId="5" fontId="14" fillId="3" borderId="98" xfId="2" applyNumberFormat="1" applyFont="1" applyFill="1" applyBorder="1"/>
    <xf numFmtId="5" fontId="14" fillId="3" borderId="100" xfId="2" applyNumberFormat="1" applyFont="1" applyFill="1" applyBorder="1"/>
    <xf numFmtId="5" fontId="14" fillId="3" borderId="101" xfId="2" applyNumberFormat="1" applyFont="1" applyFill="1" applyBorder="1"/>
    <xf numFmtId="5" fontId="14" fillId="3" borderId="102" xfId="2" applyNumberFormat="1" applyFont="1" applyFill="1" applyBorder="1"/>
    <xf numFmtId="5" fontId="17" fillId="3" borderId="104" xfId="2" applyNumberFormat="1" applyFont="1" applyFill="1" applyBorder="1" applyAlignment="1" applyProtection="1">
      <alignment horizontal="right"/>
    </xf>
    <xf numFmtId="5" fontId="17" fillId="3" borderId="103" xfId="2" applyNumberFormat="1" applyFont="1" applyFill="1" applyBorder="1" applyAlignment="1" applyProtection="1">
      <alignment horizontal="right"/>
    </xf>
    <xf numFmtId="164" fontId="16" fillId="4" borderId="15" xfId="0" applyNumberFormat="1" applyFont="1" applyFill="1" applyBorder="1" applyAlignment="1" applyProtection="1">
      <alignment vertical="center"/>
    </xf>
    <xf numFmtId="5" fontId="16" fillId="3" borderId="12" xfId="2" applyNumberFormat="1" applyFont="1" applyFill="1" applyBorder="1" applyProtection="1"/>
    <xf numFmtId="5" fontId="14" fillId="3" borderId="12" xfId="2" applyNumberFormat="1" applyFont="1" applyFill="1" applyBorder="1"/>
    <xf numFmtId="5" fontId="17" fillId="3" borderId="88" xfId="2" applyNumberFormat="1" applyFont="1" applyFill="1" applyBorder="1" applyAlignment="1" applyProtection="1">
      <alignment horizontal="right"/>
    </xf>
    <xf numFmtId="5" fontId="16" fillId="3" borderId="52" xfId="2" applyNumberFormat="1" applyFont="1" applyFill="1" applyBorder="1" applyAlignment="1" applyProtection="1">
      <alignment vertical="center"/>
    </xf>
    <xf numFmtId="5" fontId="16" fillId="3" borderId="86" xfId="2" applyNumberFormat="1" applyFont="1" applyFill="1" applyBorder="1" applyAlignment="1" applyProtection="1">
      <alignment vertical="center"/>
    </xf>
    <xf numFmtId="164" fontId="16" fillId="3" borderId="21" xfId="0" applyNumberFormat="1" applyFont="1" applyFill="1" applyBorder="1" applyAlignment="1" applyProtection="1">
      <alignment horizontal="right"/>
    </xf>
    <xf numFmtId="0" fontId="21" fillId="0" borderId="0" xfId="0" applyFont="1" applyAlignment="1">
      <alignment wrapText="1"/>
    </xf>
    <xf numFmtId="166" fontId="21" fillId="3" borderId="62" xfId="2" applyNumberFormat="1" applyFont="1" applyFill="1" applyBorder="1" applyProtection="1"/>
    <xf numFmtId="0" fontId="21" fillId="3" borderId="12" xfId="0" applyFont="1" applyFill="1" applyBorder="1" applyAlignment="1" applyProtection="1">
      <alignment horizontal="left" vertical="top"/>
    </xf>
    <xf numFmtId="166" fontId="25" fillId="3" borderId="12" xfId="2" applyNumberFormat="1" applyFont="1" applyFill="1" applyBorder="1" applyProtection="1"/>
    <xf numFmtId="166" fontId="25" fillId="3" borderId="97" xfId="2" applyNumberFormat="1" applyFont="1" applyFill="1" applyBorder="1" applyProtection="1"/>
    <xf numFmtId="173" fontId="21" fillId="3" borderId="23" xfId="2" applyNumberFormat="1" applyFont="1" applyFill="1" applyBorder="1" applyProtection="1">
      <protection locked="0"/>
    </xf>
    <xf numFmtId="6" fontId="50" fillId="0" borderId="0" xfId="0" applyNumberFormat="1" applyFont="1"/>
    <xf numFmtId="5" fontId="43" fillId="3" borderId="97" xfId="2" applyNumberFormat="1" applyFont="1" applyFill="1" applyBorder="1" applyAlignment="1" applyProtection="1">
      <alignment horizontal="right"/>
    </xf>
    <xf numFmtId="0" fontId="16" fillId="7" borderId="12" xfId="0" applyNumberFormat="1" applyFont="1" applyFill="1" applyBorder="1" applyAlignment="1" applyProtection="1">
      <alignment horizontal="right"/>
      <protection locked="0"/>
    </xf>
    <xf numFmtId="1" fontId="25" fillId="3" borderId="51" xfId="0" applyNumberFormat="1" applyFont="1" applyFill="1" applyBorder="1" applyProtection="1"/>
    <xf numFmtId="14" fontId="20" fillId="3" borderId="94" xfId="0" applyNumberFormat="1" applyFont="1" applyFill="1" applyBorder="1" applyAlignment="1">
      <alignment horizontal="center" vertical="center" wrapText="1"/>
    </xf>
    <xf numFmtId="14" fontId="33" fillId="3" borderId="95" xfId="0" applyNumberFormat="1" applyFont="1" applyFill="1" applyBorder="1" applyAlignment="1">
      <alignment horizontal="center" wrapText="1"/>
    </xf>
    <xf numFmtId="14" fontId="30" fillId="3" borderId="93" xfId="0" applyNumberFormat="1" applyFont="1" applyFill="1" applyBorder="1" applyAlignment="1">
      <alignment horizontal="center" vertical="center" wrapText="1"/>
    </xf>
    <xf numFmtId="14" fontId="34" fillId="3" borderId="89" xfId="0" applyNumberFormat="1" applyFont="1" applyFill="1" applyBorder="1" applyAlignment="1">
      <alignment horizontal="center" vertical="center" wrapText="1"/>
    </xf>
    <xf numFmtId="0" fontId="19" fillId="3" borderId="0" xfId="0" applyFont="1" applyFill="1"/>
    <xf numFmtId="172" fontId="28" fillId="4" borderId="86" xfId="0" applyNumberFormat="1" applyFont="1" applyFill="1" applyBorder="1" applyAlignment="1" applyProtection="1">
      <alignment horizontal="right"/>
    </xf>
    <xf numFmtId="164" fontId="25" fillId="12" borderId="51" xfId="2" applyNumberFormat="1" applyFont="1" applyFill="1" applyBorder="1" applyProtection="1">
      <protection locked="0"/>
    </xf>
    <xf numFmtId="44" fontId="25" fillId="12" borderId="55" xfId="2" applyNumberFormat="1" applyFont="1" applyFill="1" applyBorder="1" applyProtection="1">
      <protection locked="0"/>
    </xf>
    <xf numFmtId="5" fontId="43" fillId="7" borderId="51" xfId="2" applyNumberFormat="1" applyFont="1" applyFill="1" applyBorder="1" applyAlignment="1" applyProtection="1">
      <alignment horizontal="right"/>
      <protection locked="0"/>
    </xf>
    <xf numFmtId="49" fontId="16" fillId="4" borderId="12" xfId="0" applyNumberFormat="1" applyFont="1" applyFill="1" applyBorder="1" applyAlignment="1" applyProtection="1">
      <alignment horizontal="center" vertical="center"/>
    </xf>
    <xf numFmtId="49" fontId="16" fillId="4" borderId="98" xfId="0" applyNumberFormat="1" applyFont="1" applyFill="1" applyBorder="1" applyAlignment="1" applyProtection="1">
      <alignment horizontal="center" vertical="center"/>
    </xf>
    <xf numFmtId="49" fontId="16" fillId="4" borderId="92" xfId="0" applyNumberFormat="1" applyFont="1" applyFill="1" applyBorder="1" applyAlignment="1" applyProtection="1">
      <alignment horizontal="center" vertical="center"/>
    </xf>
    <xf numFmtId="44" fontId="25" fillId="12" borderId="51" xfId="2" applyNumberFormat="1" applyFont="1" applyFill="1" applyBorder="1" applyProtection="1">
      <protection locked="0"/>
    </xf>
    <xf numFmtId="0" fontId="51" fillId="3" borderId="62" xfId="0" applyFont="1" applyFill="1" applyBorder="1" applyAlignment="1" applyProtection="1">
      <alignment horizontal="right"/>
    </xf>
    <xf numFmtId="0" fontId="21" fillId="10" borderId="43" xfId="0" applyFont="1" applyFill="1" applyBorder="1" applyAlignment="1">
      <alignment horizontal="left" vertical="center" indent="1"/>
    </xf>
    <xf numFmtId="0" fontId="21" fillId="7" borderId="43" xfId="0" applyFont="1" applyFill="1" applyBorder="1" applyAlignment="1">
      <alignment horizontal="left" vertical="center" indent="1"/>
    </xf>
    <xf numFmtId="164" fontId="21" fillId="3" borderId="98" xfId="0" applyNumberFormat="1" applyFont="1" applyFill="1" applyBorder="1" applyProtection="1"/>
    <xf numFmtId="164" fontId="21" fillId="3" borderId="102" xfId="0" applyNumberFormat="1" applyFont="1" applyFill="1" applyBorder="1" applyProtection="1"/>
    <xf numFmtId="1" fontId="25" fillId="12" borderId="51" xfId="0" applyNumberFormat="1" applyFont="1" applyFill="1" applyBorder="1" applyProtection="1">
      <protection locked="0"/>
    </xf>
    <xf numFmtId="1" fontId="25" fillId="12" borderId="3" xfId="0" applyNumberFormat="1" applyFont="1" applyFill="1" applyBorder="1" applyProtection="1">
      <protection locked="0"/>
    </xf>
    <xf numFmtId="14" fontId="45" fillId="3" borderId="57" xfId="0" applyNumberFormat="1" applyFont="1" applyFill="1" applyBorder="1" applyAlignment="1" applyProtection="1">
      <alignment horizontal="center" vertical="center" wrapText="1"/>
    </xf>
    <xf numFmtId="14" fontId="52" fillId="3" borderId="57" xfId="0" applyNumberFormat="1" applyFont="1" applyFill="1" applyBorder="1" applyAlignment="1" applyProtection="1">
      <alignment horizontal="center" vertical="center" wrapText="1"/>
    </xf>
    <xf numFmtId="14" fontId="29" fillId="3" borderId="62" xfId="0" applyNumberFormat="1" applyFont="1" applyFill="1" applyBorder="1" applyAlignment="1" applyProtection="1">
      <alignment horizontal="center" vertical="center" wrapText="1"/>
    </xf>
    <xf numFmtId="166" fontId="29" fillId="3" borderId="1" xfId="2" applyNumberFormat="1" applyFont="1" applyFill="1" applyBorder="1" applyAlignment="1" applyProtection="1">
      <alignment horizontal="left" vertical="center"/>
    </xf>
    <xf numFmtId="166" fontId="29" fillId="3" borderId="70" xfId="2" applyNumberFormat="1" applyFont="1" applyFill="1" applyBorder="1" applyAlignment="1" applyProtection="1">
      <alignment horizontal="left" vertical="center"/>
    </xf>
    <xf numFmtId="166" fontId="29" fillId="3" borderId="87" xfId="2" applyNumberFormat="1" applyFont="1" applyFill="1" applyBorder="1" applyAlignment="1" applyProtection="1">
      <alignment horizontal="left" vertical="center"/>
    </xf>
    <xf numFmtId="0" fontId="21" fillId="3" borderId="14" xfId="0" applyFont="1" applyFill="1" applyBorder="1" applyAlignment="1">
      <alignment vertical="center" wrapText="1"/>
    </xf>
    <xf numFmtId="5" fontId="16" fillId="3" borderId="1" xfId="2" applyNumberFormat="1" applyFont="1" applyFill="1" applyBorder="1" applyAlignment="1" applyProtection="1">
      <alignment horizontal="center"/>
    </xf>
    <xf numFmtId="5" fontId="45" fillId="12" borderId="51" xfId="2" applyNumberFormat="1" applyFont="1" applyFill="1" applyBorder="1" applyAlignment="1" applyProtection="1">
      <alignment vertical="center"/>
      <protection locked="0"/>
    </xf>
    <xf numFmtId="5" fontId="29" fillId="4" borderId="92" xfId="0" applyNumberFormat="1" applyFont="1" applyFill="1" applyBorder="1" applyAlignment="1" applyProtection="1">
      <alignment horizontal="left" vertical="center"/>
    </xf>
    <xf numFmtId="14" fontId="45" fillId="3" borderId="12" xfId="0" applyNumberFormat="1" applyFont="1" applyFill="1" applyBorder="1" applyAlignment="1" applyProtection="1">
      <alignment horizontal="center" vertical="center" wrapText="1"/>
    </xf>
    <xf numFmtId="0" fontId="21" fillId="3" borderId="0" xfId="0" applyFont="1" applyFill="1" applyAlignment="1">
      <alignment wrapText="1"/>
    </xf>
    <xf numFmtId="0" fontId="22" fillId="3" borderId="0" xfId="0" applyFont="1" applyFill="1"/>
    <xf numFmtId="0" fontId="22" fillId="0" borderId="0" xfId="0" applyFont="1" applyAlignment="1">
      <alignment vertical="center" wrapText="1"/>
    </xf>
    <xf numFmtId="0" fontId="55" fillId="3" borderId="90" xfId="0" applyFont="1" applyFill="1" applyBorder="1" applyAlignment="1" applyProtection="1">
      <alignment horizontal="center" vertical="center"/>
      <protection locked="0"/>
    </xf>
    <xf numFmtId="14" fontId="41" fillId="3" borderId="2" xfId="0" applyNumberFormat="1" applyFont="1" applyFill="1" applyBorder="1" applyAlignment="1">
      <alignment horizontal="center" vertical="top" wrapText="1"/>
    </xf>
    <xf numFmtId="14" fontId="34" fillId="3" borderId="16" xfId="0" applyNumberFormat="1" applyFont="1" applyFill="1" applyBorder="1" applyAlignment="1">
      <alignment horizontal="center" vertical="center" wrapText="1"/>
    </xf>
    <xf numFmtId="1" fontId="21" fillId="3" borderId="47" xfId="0" applyNumberFormat="1" applyFont="1" applyFill="1" applyBorder="1" applyAlignment="1" applyProtection="1">
      <alignment horizontal="right" vertical="center" wrapText="1"/>
      <protection locked="0"/>
    </xf>
    <xf numFmtId="1" fontId="16" fillId="3" borderId="47" xfId="0" applyNumberFormat="1" applyFont="1" applyFill="1" applyBorder="1" applyAlignment="1" applyProtection="1">
      <alignment horizontal="right" vertical="center" wrapText="1"/>
    </xf>
    <xf numFmtId="0" fontId="16" fillId="3" borderId="0" xfId="0" applyFont="1" applyFill="1" applyBorder="1" applyAlignment="1" applyProtection="1">
      <alignment wrapText="1"/>
    </xf>
    <xf numFmtId="0" fontId="56" fillId="3" borderId="0" xfId="0" applyFont="1" applyFill="1"/>
    <xf numFmtId="0" fontId="36" fillId="0" borderId="0" xfId="0" applyFont="1" applyAlignment="1">
      <alignment wrapText="1"/>
    </xf>
    <xf numFmtId="6" fontId="57" fillId="0" borderId="0" xfId="0" applyNumberFormat="1" applyFont="1"/>
    <xf numFmtId="166" fontId="31" fillId="0" borderId="0" xfId="0" applyNumberFormat="1" applyFont="1"/>
    <xf numFmtId="164" fontId="29" fillId="3" borderId="105" xfId="0" applyNumberFormat="1" applyFont="1" applyFill="1" applyBorder="1" applyAlignment="1" applyProtection="1">
      <alignment horizontal="right"/>
    </xf>
    <xf numFmtId="0" fontId="55" fillId="3" borderId="10" xfId="0" applyFont="1" applyFill="1" applyBorder="1" applyAlignment="1">
      <alignment horizontal="center" vertical="center"/>
    </xf>
    <xf numFmtId="0" fontId="55" fillId="3" borderId="22" xfId="0" applyFont="1" applyFill="1" applyBorder="1" applyAlignment="1">
      <alignment horizontal="center" vertical="center" wrapText="1"/>
    </xf>
    <xf numFmtId="0" fontId="21" fillId="3" borderId="51" xfId="0" applyFont="1" applyFill="1" applyBorder="1" applyAlignment="1">
      <alignment wrapText="1"/>
    </xf>
    <xf numFmtId="6" fontId="43" fillId="7" borderId="51" xfId="2" applyNumberFormat="1" applyFont="1" applyFill="1" applyBorder="1" applyAlignment="1" applyProtection="1">
      <alignment horizontal="right"/>
      <protection locked="0"/>
    </xf>
    <xf numFmtId="5" fontId="16" fillId="3" borderId="16" xfId="2" applyNumberFormat="1" applyFont="1" applyFill="1" applyBorder="1" applyAlignment="1" applyProtection="1">
      <alignment vertical="center"/>
    </xf>
    <xf numFmtId="5" fontId="29" fillId="12" borderId="3" xfId="2" applyNumberFormat="1" applyFont="1" applyFill="1" applyBorder="1" applyAlignment="1" applyProtection="1">
      <alignment vertical="center"/>
      <protection locked="0"/>
    </xf>
    <xf numFmtId="0" fontId="16" fillId="3" borderId="77" xfId="0" applyNumberFormat="1" applyFont="1" applyFill="1" applyBorder="1" applyAlignment="1" applyProtection="1">
      <alignment horizontal="left" vertical="center" wrapText="1"/>
    </xf>
    <xf numFmtId="5" fontId="16" fillId="4" borderId="88" xfId="2" applyNumberFormat="1" applyFont="1" applyFill="1" applyBorder="1" applyAlignment="1" applyProtection="1">
      <alignment vertical="center"/>
    </xf>
    <xf numFmtId="5" fontId="29" fillId="3" borderId="106" xfId="2" applyNumberFormat="1" applyFont="1" applyFill="1" applyBorder="1" applyAlignment="1" applyProtection="1">
      <alignment vertical="center"/>
    </xf>
    <xf numFmtId="0" fontId="54" fillId="3" borderId="0" xfId="0" applyFont="1" applyFill="1"/>
    <xf numFmtId="0" fontId="28" fillId="0" borderId="0" xfId="0" applyFont="1" applyAlignment="1">
      <alignment horizontal="center"/>
    </xf>
    <xf numFmtId="0" fontId="58" fillId="0" borderId="0" xfId="0" applyFont="1"/>
    <xf numFmtId="0" fontId="28" fillId="3" borderId="0" xfId="0" applyFont="1" applyFill="1"/>
    <xf numFmtId="0" fontId="59" fillId="3" borderId="0" xfId="0" applyFont="1" applyFill="1"/>
    <xf numFmtId="168" fontId="16" fillId="3" borderId="3" xfId="0" applyNumberFormat="1" applyFont="1" applyFill="1" applyBorder="1" applyAlignment="1" applyProtection="1">
      <alignment horizontal="center"/>
    </xf>
    <xf numFmtId="168" fontId="16" fillId="4" borderId="62" xfId="0" applyNumberFormat="1" applyFont="1" applyFill="1" applyBorder="1" applyAlignment="1" applyProtection="1">
      <alignment horizontal="center"/>
    </xf>
    <xf numFmtId="168" fontId="16" fillId="3" borderId="62" xfId="0" applyNumberFormat="1" applyFont="1" applyFill="1" applyBorder="1" applyAlignment="1" applyProtection="1">
      <alignment horizontal="center"/>
    </xf>
    <xf numFmtId="0" fontId="16" fillId="3" borderId="52" xfId="0" applyFont="1" applyFill="1" applyBorder="1" applyAlignment="1" applyProtection="1">
      <alignment horizontal="right"/>
    </xf>
    <xf numFmtId="2" fontId="16" fillId="3" borderId="62" xfId="0" applyNumberFormat="1" applyFont="1" applyFill="1" applyBorder="1" applyAlignment="1" applyProtection="1">
      <alignment horizontal="center"/>
    </xf>
    <xf numFmtId="2" fontId="16" fillId="3" borderId="1" xfId="0" applyNumberFormat="1" applyFont="1" applyFill="1" applyBorder="1" applyAlignment="1" applyProtection="1">
      <alignment horizontal="center"/>
    </xf>
    <xf numFmtId="164" fontId="16" fillId="4" borderId="51" xfId="0" applyNumberFormat="1" applyFont="1" applyFill="1" applyBorder="1" applyAlignment="1" applyProtection="1">
      <alignment wrapText="1"/>
    </xf>
    <xf numFmtId="165" fontId="16" fillId="3" borderId="62" xfId="0" applyNumberFormat="1" applyFont="1" applyFill="1" applyBorder="1" applyAlignment="1" applyProtection="1">
      <alignment horizontal="center"/>
    </xf>
    <xf numFmtId="0" fontId="16" fillId="3" borderId="15" xfId="0" applyFont="1" applyFill="1" applyBorder="1" applyAlignment="1" applyProtection="1">
      <alignment horizontal="center"/>
    </xf>
    <xf numFmtId="2" fontId="16" fillId="3" borderId="57" xfId="0" applyNumberFormat="1" applyFont="1" applyFill="1" applyBorder="1" applyAlignment="1" applyProtection="1">
      <alignment horizontal="center" wrapText="1"/>
    </xf>
    <xf numFmtId="5" fontId="16" fillId="3" borderId="57" xfId="0" applyNumberFormat="1" applyFont="1" applyFill="1" applyBorder="1" applyAlignment="1" applyProtection="1">
      <alignment horizontal="center"/>
    </xf>
    <xf numFmtId="164" fontId="16" fillId="4" borderId="4" xfId="0" applyNumberFormat="1" applyFont="1" applyFill="1" applyBorder="1" applyAlignment="1" applyProtection="1">
      <alignment horizontal="left" wrapText="1"/>
    </xf>
    <xf numFmtId="0" fontId="16" fillId="3" borderId="51" xfId="0" applyFont="1" applyFill="1" applyBorder="1" applyAlignment="1">
      <alignment vertical="center" wrapText="1"/>
    </xf>
    <xf numFmtId="0" fontId="16" fillId="3" borderId="55" xfId="0" applyFont="1" applyFill="1" applyBorder="1" applyAlignment="1">
      <alignment vertical="center" wrapText="1"/>
    </xf>
    <xf numFmtId="0" fontId="16" fillId="4" borderId="59" xfId="0" applyFont="1" applyFill="1" applyBorder="1" applyAlignment="1" applyProtection="1"/>
    <xf numFmtId="0" fontId="16" fillId="3" borderId="51" xfId="0" applyNumberFormat="1" applyFont="1" applyFill="1" applyBorder="1" applyAlignment="1" applyProtection="1">
      <alignment horizontal="center" vertical="center"/>
    </xf>
    <xf numFmtId="164" fontId="16" fillId="4" borderId="5" xfId="0" applyNumberFormat="1" applyFont="1" applyFill="1" applyBorder="1" applyAlignment="1" applyProtection="1">
      <alignment vertical="center"/>
    </xf>
    <xf numFmtId="164" fontId="16" fillId="4" borderId="11" xfId="0" applyNumberFormat="1" applyFont="1" applyFill="1" applyBorder="1" applyAlignment="1" applyProtection="1">
      <alignment vertical="center"/>
    </xf>
    <xf numFmtId="5" fontId="17" fillId="3" borderId="91" xfId="2" applyNumberFormat="1" applyFont="1" applyFill="1" applyBorder="1" applyAlignment="1" applyProtection="1">
      <alignment horizontal="right"/>
    </xf>
    <xf numFmtId="0" fontId="14" fillId="0" borderId="0" xfId="0" applyFont="1" applyAlignment="1" applyProtection="1">
      <alignment horizontal="left" vertical="center" wrapText="1"/>
    </xf>
    <xf numFmtId="0" fontId="23" fillId="6" borderId="12" xfId="0" applyFont="1" applyFill="1" applyBorder="1" applyAlignment="1" applyProtection="1">
      <alignment horizontal="center" vertical="center"/>
    </xf>
    <xf numFmtId="0" fontId="16" fillId="4" borderId="12" xfId="0" applyFont="1" applyFill="1" applyBorder="1" applyAlignment="1" applyProtection="1">
      <alignment vertical="center" wrapText="1"/>
    </xf>
    <xf numFmtId="0" fontId="16" fillId="4" borderId="42" xfId="0" applyFont="1" applyFill="1" applyBorder="1" applyAlignment="1" applyProtection="1">
      <alignment horizontal="left" wrapText="1"/>
    </xf>
    <xf numFmtId="0" fontId="21" fillId="3" borderId="12" xfId="0" applyFont="1" applyFill="1" applyBorder="1" applyAlignment="1" applyProtection="1">
      <alignment horizontal="left" vertical="center" wrapText="1" indent="3"/>
    </xf>
    <xf numFmtId="0" fontId="21" fillId="3" borderId="1" xfId="0" applyFont="1" applyFill="1" applyBorder="1" applyAlignment="1" applyProtection="1">
      <alignment horizontal="left" vertical="center" wrapText="1" indent="3"/>
    </xf>
    <xf numFmtId="0" fontId="21" fillId="3" borderId="12" xfId="0" applyFont="1" applyFill="1" applyBorder="1" applyAlignment="1" applyProtection="1">
      <alignment horizontal="left" wrapText="1" indent="3"/>
    </xf>
    <xf numFmtId="0" fontId="21" fillId="4" borderId="12" xfId="0" applyFont="1" applyFill="1" applyBorder="1" applyAlignment="1" applyProtection="1">
      <alignment horizontal="left" vertical="center" wrapText="1" indent="3"/>
    </xf>
    <xf numFmtId="0" fontId="16" fillId="4" borderId="12" xfId="0" applyFont="1" applyFill="1" applyBorder="1" applyAlignment="1" applyProtection="1">
      <alignment wrapText="1"/>
    </xf>
    <xf numFmtId="0" fontId="53" fillId="3" borderId="12" xfId="0" applyFont="1" applyFill="1" applyBorder="1" applyAlignment="1" applyProtection="1">
      <alignment horizontal="left" vertical="center" wrapText="1" indent="3"/>
    </xf>
    <xf numFmtId="0" fontId="21" fillId="3" borderId="12" xfId="0" applyFont="1" applyFill="1" applyBorder="1" applyAlignment="1" applyProtection="1">
      <alignment horizontal="left" vertical="center" wrapText="1" indent="1"/>
    </xf>
    <xf numFmtId="0" fontId="16" fillId="4" borderId="12" xfId="0" applyFont="1" applyFill="1" applyBorder="1" applyAlignment="1" applyProtection="1">
      <alignment horizontal="left" vertical="center" wrapText="1"/>
    </xf>
    <xf numFmtId="0" fontId="49" fillId="0" borderId="19" xfId="0" applyFont="1" applyBorder="1" applyAlignment="1" applyProtection="1">
      <alignment horizontal="left" vertical="center" wrapText="1"/>
    </xf>
    <xf numFmtId="0" fontId="22" fillId="4" borderId="12" xfId="0" applyFont="1" applyFill="1" applyBorder="1" applyAlignment="1" applyProtection="1">
      <alignment horizontal="left" vertical="center" wrapText="1" indent="2"/>
    </xf>
    <xf numFmtId="0" fontId="22" fillId="4" borderId="24" xfId="0" applyFont="1" applyFill="1" applyBorder="1" applyAlignment="1" applyProtection="1">
      <alignment horizontal="left" vertical="center" wrapText="1" indent="2"/>
    </xf>
    <xf numFmtId="0" fontId="16" fillId="4" borderId="13" xfId="0" applyFont="1" applyFill="1" applyBorder="1" applyAlignment="1" applyProtection="1">
      <alignment horizontal="left" vertical="center" wrapText="1" indent="1"/>
    </xf>
    <xf numFmtId="0" fontId="22" fillId="4" borderId="10" xfId="0" applyFont="1" applyFill="1" applyBorder="1" applyAlignment="1" applyProtection="1">
      <alignment horizontal="left" vertical="center" wrapText="1" indent="2"/>
    </xf>
    <xf numFmtId="0" fontId="22" fillId="4" borderId="29" xfId="0" applyFont="1" applyFill="1" applyBorder="1" applyAlignment="1" applyProtection="1">
      <alignment horizontal="left" vertical="center" wrapText="1" indent="2"/>
    </xf>
    <xf numFmtId="0" fontId="22" fillId="4" borderId="31" xfId="0" applyFont="1" applyFill="1" applyBorder="1" applyAlignment="1" applyProtection="1">
      <alignment horizontal="right" vertical="center" wrapText="1" indent="3"/>
    </xf>
    <xf numFmtId="0" fontId="16" fillId="4" borderId="12" xfId="0" applyFont="1" applyFill="1" applyBorder="1" applyAlignment="1" applyProtection="1">
      <alignment horizontal="center" wrapText="1"/>
      <protection locked="0"/>
    </xf>
    <xf numFmtId="172" fontId="28" fillId="4" borderId="9" xfId="0" applyNumberFormat="1" applyFont="1" applyFill="1" applyBorder="1" applyAlignment="1" applyProtection="1">
      <alignment horizontal="right"/>
      <protection locked="0"/>
    </xf>
    <xf numFmtId="172" fontId="28" fillId="4" borderId="30" xfId="0" applyNumberFormat="1" applyFont="1" applyFill="1" applyBorder="1" applyAlignment="1" applyProtection="1">
      <alignment horizontal="right"/>
      <protection locked="0"/>
    </xf>
    <xf numFmtId="0" fontId="21" fillId="3" borderId="107" xfId="0" applyFont="1" applyFill="1" applyBorder="1" applyAlignment="1">
      <alignment vertical="center" wrapText="1"/>
    </xf>
    <xf numFmtId="0" fontId="16" fillId="3" borderId="108" xfId="0" applyFont="1" applyFill="1" applyBorder="1" applyAlignment="1" applyProtection="1">
      <alignment horizontal="center" vertical="center"/>
    </xf>
    <xf numFmtId="172" fontId="16" fillId="3" borderId="108" xfId="2" applyNumberFormat="1" applyFont="1" applyFill="1" applyBorder="1"/>
    <xf numFmtId="172" fontId="16" fillId="3" borderId="109" xfId="2" applyNumberFormat="1" applyFont="1" applyFill="1" applyBorder="1"/>
    <xf numFmtId="164" fontId="16" fillId="4" borderId="1" xfId="0" applyNumberFormat="1" applyFont="1" applyFill="1" applyBorder="1" applyAlignment="1" applyProtection="1">
      <alignment vertical="center"/>
    </xf>
    <xf numFmtId="5" fontId="45" fillId="3" borderId="95" xfId="2" applyNumberFormat="1" applyFont="1" applyFill="1" applyBorder="1"/>
    <xf numFmtId="5" fontId="45" fillId="3" borderId="3" xfId="2" applyNumberFormat="1" applyFont="1" applyFill="1" applyBorder="1"/>
    <xf numFmtId="5" fontId="17" fillId="3" borderId="37" xfId="2" applyNumberFormat="1" applyFont="1" applyFill="1" applyBorder="1" applyAlignment="1" applyProtection="1">
      <alignment horizontal="right"/>
    </xf>
    <xf numFmtId="164" fontId="16" fillId="4" borderId="9" xfId="0" applyNumberFormat="1" applyFont="1" applyFill="1" applyBorder="1" applyAlignment="1" applyProtection="1">
      <alignment vertical="center"/>
    </xf>
    <xf numFmtId="0" fontId="61" fillId="3" borderId="0" xfId="0" applyFont="1" applyFill="1"/>
    <xf numFmtId="0" fontId="62" fillId="3" borderId="7" xfId="5" applyNumberFormat="1" applyFont="1" applyFill="1" applyBorder="1" applyAlignment="1">
      <alignment wrapText="1"/>
    </xf>
    <xf numFmtId="0" fontId="62" fillId="3" borderId="8" xfId="5" applyFont="1" applyFill="1" applyBorder="1" applyAlignment="1">
      <alignment wrapText="1"/>
    </xf>
    <xf numFmtId="169" fontId="62" fillId="3" borderId="8" xfId="1" applyNumberFormat="1" applyFont="1" applyFill="1" applyBorder="1" applyAlignment="1">
      <alignment horizontal="center" vertical="center" wrapText="1"/>
    </xf>
    <xf numFmtId="0" fontId="62" fillId="3" borderId="8" xfId="5" applyFont="1" applyFill="1" applyBorder="1" applyAlignment="1">
      <alignment horizontal="center" wrapText="1"/>
    </xf>
    <xf numFmtId="169" fontId="61" fillId="3" borderId="0" xfId="1" applyNumberFormat="1" applyFont="1" applyFill="1" applyAlignment="1">
      <alignment horizontal="center" vertical="center"/>
    </xf>
    <xf numFmtId="0" fontId="47" fillId="3" borderId="0" xfId="0" applyFont="1" applyFill="1"/>
    <xf numFmtId="0" fontId="47" fillId="3" borderId="0" xfId="0" applyFont="1" applyFill="1" applyProtection="1"/>
    <xf numFmtId="0" fontId="47" fillId="3" borderId="0" xfId="0" applyFont="1" applyFill="1" applyAlignment="1" applyProtection="1"/>
    <xf numFmtId="0" fontId="47" fillId="3" borderId="0" xfId="0" applyFont="1" applyFill="1" applyAlignment="1" applyProtection="1">
      <alignment vertical="center"/>
    </xf>
    <xf numFmtId="0" fontId="47" fillId="3" borderId="0" xfId="0" applyFont="1" applyFill="1" applyAlignment="1" applyProtection="1">
      <alignment wrapText="1"/>
    </xf>
    <xf numFmtId="0" fontId="47" fillId="3" borderId="0" xfId="0" applyFont="1" applyFill="1" applyAlignment="1" applyProtection="1">
      <alignment horizontal="left"/>
    </xf>
    <xf numFmtId="0" fontId="47" fillId="3" borderId="0" xfId="0" applyFont="1" applyFill="1" applyAlignment="1" applyProtection="1">
      <alignment horizontal="left" vertical="center"/>
    </xf>
    <xf numFmtId="0" fontId="47" fillId="3" borderId="0" xfId="0" applyFont="1" applyFill="1" applyAlignment="1" applyProtection="1">
      <alignment horizontal="right"/>
    </xf>
    <xf numFmtId="0" fontId="56" fillId="3" borderId="0" xfId="0" applyFont="1" applyFill="1" applyAlignment="1">
      <alignment wrapText="1"/>
    </xf>
    <xf numFmtId="0" fontId="63" fillId="0" borderId="0" xfId="0" applyFont="1"/>
    <xf numFmtId="0" fontId="5" fillId="0" borderId="0" xfId="0" applyFont="1" applyAlignment="1"/>
    <xf numFmtId="0" fontId="16" fillId="7" borderId="0" xfId="0" applyFont="1" applyFill="1"/>
    <xf numFmtId="0" fontId="22" fillId="7" borderId="0" xfId="0" applyFont="1" applyFill="1"/>
    <xf numFmtId="0" fontId="16" fillId="7" borderId="0" xfId="0" applyFont="1" applyFill="1" applyAlignment="1">
      <alignment wrapText="1"/>
    </xf>
    <xf numFmtId="0" fontId="21" fillId="7" borderId="0" xfId="0" applyFont="1" applyFill="1" applyAlignment="1">
      <alignment wrapText="1"/>
    </xf>
    <xf numFmtId="0" fontId="17" fillId="4" borderId="0" xfId="0" applyFont="1" applyFill="1"/>
    <xf numFmtId="0" fontId="17" fillId="0" borderId="0" xfId="0" applyFont="1" applyAlignment="1">
      <alignment horizontal="center"/>
    </xf>
    <xf numFmtId="0" fontId="17" fillId="13" borderId="0" xfId="0" applyFont="1" applyFill="1"/>
    <xf numFmtId="0" fontId="66" fillId="0" borderId="0" xfId="0" applyFont="1"/>
    <xf numFmtId="5" fontId="29" fillId="4" borderId="51" xfId="0" applyNumberFormat="1" applyFont="1" applyFill="1" applyBorder="1" applyAlignment="1" applyProtection="1">
      <alignment horizontal="left" vertical="center"/>
    </xf>
    <xf numFmtId="0" fontId="21" fillId="3" borderId="79" xfId="0" applyFont="1" applyFill="1" applyBorder="1" applyAlignment="1">
      <alignment vertical="center" wrapText="1"/>
    </xf>
    <xf numFmtId="0" fontId="16" fillId="3" borderId="2" xfId="0" applyFont="1" applyFill="1" applyBorder="1" applyAlignment="1" applyProtection="1">
      <alignment horizontal="center" vertical="center"/>
    </xf>
    <xf numFmtId="0" fontId="16" fillId="3" borderId="111" xfId="0" applyFont="1" applyFill="1" applyBorder="1" applyAlignment="1">
      <alignment horizontal="right"/>
    </xf>
    <xf numFmtId="0" fontId="16" fillId="3" borderId="112" xfId="0" applyFont="1" applyFill="1" applyBorder="1" applyAlignment="1">
      <alignment horizontal="right"/>
    </xf>
    <xf numFmtId="0" fontId="20" fillId="7" borderId="81" xfId="0" applyFont="1" applyFill="1" applyBorder="1" applyAlignment="1" applyProtection="1">
      <alignment horizontal="right" indent="1"/>
    </xf>
    <xf numFmtId="167" fontId="20" fillId="3" borderId="1" xfId="0" applyNumberFormat="1" applyFont="1" applyFill="1" applyBorder="1" applyAlignment="1" applyProtection="1">
      <alignment horizontal="center"/>
    </xf>
    <xf numFmtId="167" fontId="20" fillId="7" borderId="113" xfId="0" applyNumberFormat="1" applyFont="1" applyFill="1" applyBorder="1" applyAlignment="1" applyProtection="1">
      <alignment horizontal="center"/>
      <protection locked="0"/>
    </xf>
    <xf numFmtId="172" fontId="28" fillId="4" borderId="12" xfId="0" applyNumberFormat="1" applyFont="1" applyFill="1" applyBorder="1" applyAlignment="1" applyProtection="1">
      <alignment horizontal="right"/>
    </xf>
    <xf numFmtId="172" fontId="28" fillId="4" borderId="24" xfId="0" applyNumberFormat="1" applyFont="1" applyFill="1" applyBorder="1" applyAlignment="1" applyProtection="1">
      <alignment horizontal="right"/>
    </xf>
    <xf numFmtId="164" fontId="25" fillId="3" borderId="115" xfId="0" applyNumberFormat="1" applyFont="1" applyFill="1" applyBorder="1" applyProtection="1"/>
    <xf numFmtId="164" fontId="25" fillId="3" borderId="114" xfId="0" applyNumberFormat="1" applyFont="1" applyFill="1" applyBorder="1" applyProtection="1"/>
    <xf numFmtId="42" fontId="25" fillId="3" borderId="97" xfId="0" applyNumberFormat="1" applyFont="1" applyFill="1" applyBorder="1" applyProtection="1"/>
    <xf numFmtId="166" fontId="29" fillId="3" borderId="9" xfId="2" applyNumberFormat="1" applyFont="1" applyFill="1" applyBorder="1" applyAlignment="1" applyProtection="1">
      <alignment horizontal="left" vertical="center"/>
    </xf>
    <xf numFmtId="0" fontId="67" fillId="3" borderId="0" xfId="0" applyFont="1" applyFill="1" applyProtection="1">
      <protection locked="0"/>
    </xf>
    <xf numFmtId="0" fontId="69" fillId="3" borderId="0" xfId="0" applyFont="1" applyFill="1" applyProtection="1">
      <protection locked="0"/>
    </xf>
    <xf numFmtId="0" fontId="69" fillId="3" borderId="0" xfId="0" applyFont="1" applyFill="1"/>
    <xf numFmtId="0" fontId="69" fillId="3" borderId="0" xfId="0" applyFont="1" applyFill="1" applyProtection="1"/>
    <xf numFmtId="0" fontId="29" fillId="3" borderId="0" xfId="0" applyFont="1" applyFill="1" applyProtection="1">
      <protection locked="0"/>
    </xf>
    <xf numFmtId="0" fontId="25" fillId="3" borderId="0" xfId="0" applyFont="1" applyFill="1" applyProtection="1">
      <protection locked="0"/>
    </xf>
    <xf numFmtId="0" fontId="25" fillId="3" borderId="0" xfId="0" applyFont="1" applyFill="1" applyAlignment="1" applyProtection="1">
      <protection locked="0"/>
    </xf>
    <xf numFmtId="0" fontId="69" fillId="3" borderId="0" xfId="0" applyFont="1" applyFill="1" applyAlignment="1" applyProtection="1">
      <protection locked="0"/>
    </xf>
    <xf numFmtId="0" fontId="69" fillId="3" borderId="0" xfId="0" applyFont="1" applyFill="1" applyAlignment="1" applyProtection="1"/>
    <xf numFmtId="0" fontId="29" fillId="3" borderId="0" xfId="0" applyFont="1" applyFill="1" applyBorder="1" applyAlignment="1" applyProtection="1">
      <alignment horizontal="center"/>
    </xf>
    <xf numFmtId="0" fontId="29"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3" borderId="0" xfId="0" applyFont="1" applyFill="1" applyAlignment="1" applyProtection="1">
      <alignment vertical="center"/>
    </xf>
    <xf numFmtId="0" fontId="25" fillId="3" borderId="0" xfId="0" applyFont="1" applyFill="1" applyAlignment="1" applyProtection="1">
      <alignment wrapText="1"/>
      <protection locked="0"/>
    </xf>
    <xf numFmtId="0" fontId="69" fillId="3" borderId="0" xfId="0" applyFont="1" applyFill="1" applyAlignment="1" applyProtection="1">
      <alignment wrapText="1"/>
      <protection locked="0"/>
    </xf>
    <xf numFmtId="0" fontId="69" fillId="3" borderId="0" xfId="0" applyFont="1" applyFill="1" applyAlignment="1" applyProtection="1">
      <alignment wrapText="1"/>
    </xf>
    <xf numFmtId="0" fontId="25" fillId="3" borderId="0" xfId="0" applyFont="1" applyFill="1" applyAlignment="1" applyProtection="1">
      <alignment horizontal="left"/>
      <protection locked="0"/>
    </xf>
    <xf numFmtId="0" fontId="69" fillId="3" borderId="0" xfId="0" applyFont="1" applyFill="1" applyAlignment="1" applyProtection="1">
      <alignment horizontal="left"/>
      <protection locked="0"/>
    </xf>
    <xf numFmtId="0" fontId="69" fillId="3" borderId="0" xfId="0" applyFont="1" applyFill="1" applyAlignment="1" applyProtection="1">
      <alignment horizontal="left"/>
    </xf>
    <xf numFmtId="0" fontId="70" fillId="3" borderId="0" xfId="0" applyFont="1" applyFill="1" applyAlignment="1" applyProtection="1">
      <alignment vertical="center"/>
      <protection locked="0"/>
    </xf>
    <xf numFmtId="0" fontId="70" fillId="3" borderId="0" xfId="0" applyFont="1" applyFill="1" applyProtection="1">
      <protection locked="0"/>
    </xf>
    <xf numFmtId="0" fontId="29" fillId="3" borderId="0" xfId="0" applyFont="1" applyFill="1" applyAlignment="1" applyProtection="1">
      <alignment horizontal="left" vertical="center"/>
      <protection locked="0"/>
    </xf>
    <xf numFmtId="0" fontId="69" fillId="3" borderId="0" xfId="0" applyFont="1" applyFill="1" applyAlignment="1" applyProtection="1">
      <alignment horizontal="left" vertical="center"/>
      <protection locked="0"/>
    </xf>
    <xf numFmtId="0" fontId="69" fillId="3" borderId="0" xfId="0" applyFont="1" applyFill="1" applyAlignment="1" applyProtection="1">
      <alignment horizontal="left" vertical="center"/>
    </xf>
    <xf numFmtId="0" fontId="70" fillId="3" borderId="0" xfId="0" applyFont="1" applyFill="1" applyAlignment="1" applyProtection="1">
      <alignment horizontal="left"/>
      <protection locked="0"/>
    </xf>
    <xf numFmtId="0" fontId="29" fillId="3" borderId="0" xfId="0" applyFont="1" applyFill="1" applyAlignment="1" applyProtection="1">
      <protection locked="0"/>
    </xf>
    <xf numFmtId="0" fontId="25" fillId="3" borderId="0" xfId="0" applyFont="1" applyFill="1" applyAlignment="1" applyProtection="1">
      <alignment horizontal="right"/>
      <protection locked="0"/>
    </xf>
    <xf numFmtId="0" fontId="69" fillId="3" borderId="0" xfId="0" applyFont="1" applyFill="1" applyAlignment="1" applyProtection="1">
      <alignment horizontal="right"/>
      <protection locked="0"/>
    </xf>
    <xf numFmtId="0" fontId="69" fillId="3" borderId="0" xfId="0" applyFont="1" applyFill="1" applyAlignment="1" applyProtection="1">
      <alignment horizontal="right"/>
    </xf>
    <xf numFmtId="0" fontId="71" fillId="0" borderId="0" xfId="0" applyFont="1"/>
    <xf numFmtId="176" fontId="69" fillId="0" borderId="0" xfId="0" applyNumberFormat="1" applyFont="1"/>
    <xf numFmtId="0" fontId="72" fillId="3" borderId="0" xfId="0" applyFont="1" applyFill="1" applyProtection="1">
      <protection locked="0"/>
    </xf>
    <xf numFmtId="0" fontId="70" fillId="3" borderId="0" xfId="0" applyNumberFormat="1" applyFont="1" applyFill="1" applyProtection="1">
      <protection locked="0"/>
    </xf>
    <xf numFmtId="3" fontId="69" fillId="3" borderId="0" xfId="0" applyNumberFormat="1" applyFont="1" applyFill="1" applyProtection="1"/>
    <xf numFmtId="0" fontId="29" fillId="3" borderId="0" xfId="0" applyFont="1" applyFill="1" applyAlignment="1" applyProtection="1">
      <alignment horizontal="right"/>
      <protection locked="0"/>
    </xf>
    <xf numFmtId="0" fontId="16" fillId="3" borderId="79" xfId="0" applyNumberFormat="1" applyFont="1" applyFill="1" applyBorder="1" applyAlignment="1" applyProtection="1">
      <alignment horizontal="left" wrapText="1"/>
    </xf>
    <xf numFmtId="0" fontId="60" fillId="3" borderId="2" xfId="0" applyFont="1" applyFill="1" applyBorder="1" applyAlignment="1" applyProtection="1">
      <alignment horizontal="center" vertical="center" wrapText="1"/>
    </xf>
    <xf numFmtId="0" fontId="16" fillId="3" borderId="116" xfId="0" applyNumberFormat="1" applyFont="1" applyFill="1" applyBorder="1" applyAlignment="1" applyProtection="1">
      <alignment horizontal="left"/>
    </xf>
    <xf numFmtId="0" fontId="16" fillId="3" borderId="117" xfId="0" applyFont="1" applyFill="1" applyBorder="1" applyAlignment="1" applyProtection="1">
      <alignment vertical="center"/>
    </xf>
    <xf numFmtId="164" fontId="16" fillId="4" borderId="97" xfId="0" applyNumberFormat="1" applyFont="1" applyFill="1" applyBorder="1" applyAlignment="1" applyProtection="1">
      <alignment vertical="center"/>
    </xf>
    <xf numFmtId="164" fontId="16" fillId="4" borderId="59" xfId="0" applyNumberFormat="1" applyFont="1" applyFill="1" applyBorder="1" applyAlignment="1" applyProtection="1">
      <alignment vertical="center"/>
    </xf>
    <xf numFmtId="164" fontId="16" fillId="4" borderId="86" xfId="0" applyNumberFormat="1" applyFont="1" applyFill="1" applyBorder="1" applyAlignment="1" applyProtection="1">
      <alignment vertical="center"/>
    </xf>
    <xf numFmtId="5" fontId="43" fillId="4" borderId="62" xfId="2" applyNumberFormat="1" applyFont="1" applyFill="1" applyBorder="1" applyAlignment="1" applyProtection="1">
      <alignment horizontal="right"/>
    </xf>
    <xf numFmtId="5" fontId="43" fillId="4" borderId="54" xfId="2" applyNumberFormat="1" applyFont="1" applyFill="1" applyBorder="1" applyAlignment="1" applyProtection="1">
      <alignment horizontal="right"/>
    </xf>
    <xf numFmtId="5" fontId="14" fillId="4" borderId="110" xfId="0" applyNumberFormat="1" applyFont="1" applyFill="1" applyBorder="1" applyAlignment="1" applyProtection="1">
      <alignment horizontal="left" vertical="center"/>
    </xf>
    <xf numFmtId="0" fontId="5" fillId="3" borderId="0" xfId="0" applyFont="1" applyFill="1"/>
    <xf numFmtId="0" fontId="63" fillId="3" borderId="0" xfId="0" applyFont="1" applyFill="1"/>
    <xf numFmtId="0" fontId="29" fillId="3" borderId="0" xfId="0" applyFont="1" applyFill="1" applyAlignment="1" applyProtection="1">
      <alignment horizontal="left"/>
      <protection hidden="1"/>
    </xf>
    <xf numFmtId="0" fontId="25" fillId="3" borderId="0" xfId="0" applyFont="1" applyFill="1" applyAlignment="1" applyProtection="1">
      <alignment vertical="center"/>
      <protection hidden="1"/>
    </xf>
    <xf numFmtId="0" fontId="16" fillId="3" borderId="0" xfId="0" applyFont="1" applyFill="1" applyAlignment="1">
      <alignment horizontal="center"/>
    </xf>
    <xf numFmtId="0" fontId="21" fillId="3" borderId="21" xfId="0" applyFont="1" applyFill="1" applyBorder="1" applyAlignment="1">
      <alignment vertical="center" wrapText="1"/>
    </xf>
    <xf numFmtId="164" fontId="21" fillId="3" borderId="39" xfId="0" applyNumberFormat="1" applyFont="1" applyFill="1" applyBorder="1" applyProtection="1"/>
    <xf numFmtId="164" fontId="29" fillId="3" borderId="6" xfId="1" applyNumberFormat="1" applyFont="1" applyFill="1" applyBorder="1" applyProtection="1"/>
    <xf numFmtId="164" fontId="29" fillId="3" borderId="37" xfId="1" applyNumberFormat="1" applyFont="1" applyFill="1" applyBorder="1" applyProtection="1"/>
    <xf numFmtId="0" fontId="21" fillId="3" borderId="32" xfId="0" applyFont="1" applyFill="1" applyBorder="1" applyAlignment="1">
      <alignment wrapText="1"/>
    </xf>
    <xf numFmtId="2" fontId="16" fillId="3" borderId="88" xfId="0" applyNumberFormat="1" applyFont="1" applyFill="1" applyBorder="1" applyAlignment="1" applyProtection="1">
      <alignment horizontal="center"/>
    </xf>
    <xf numFmtId="164" fontId="16" fillId="4" borderId="88" xfId="0" applyNumberFormat="1" applyFont="1" applyFill="1" applyBorder="1" applyAlignment="1" applyProtection="1">
      <alignment vertical="center"/>
    </xf>
    <xf numFmtId="164" fontId="21" fillId="3" borderId="103" xfId="0" applyNumberFormat="1" applyFont="1" applyFill="1" applyBorder="1" applyProtection="1"/>
    <xf numFmtId="164" fontId="16" fillId="3" borderId="103" xfId="0" applyNumberFormat="1" applyFont="1" applyFill="1" applyBorder="1" applyProtection="1"/>
    <xf numFmtId="164" fontId="16" fillId="3" borderId="91" xfId="0" applyNumberFormat="1" applyFont="1" applyFill="1" applyBorder="1" applyProtection="1"/>
    <xf numFmtId="0" fontId="29" fillId="3" borderId="0" xfId="0" applyFont="1" applyFill="1" applyBorder="1" applyAlignment="1" applyProtection="1">
      <alignment vertical="center"/>
      <protection hidden="1"/>
    </xf>
    <xf numFmtId="164" fontId="25" fillId="3" borderId="0" xfId="0" applyNumberFormat="1" applyFont="1" applyFill="1" applyBorder="1" applyAlignment="1" applyProtection="1"/>
    <xf numFmtId="0" fontId="25" fillId="3" borderId="121" xfId="0" applyFont="1" applyFill="1" applyBorder="1" applyAlignment="1" applyProtection="1">
      <alignment vertical="center"/>
      <protection hidden="1"/>
    </xf>
    <xf numFmtId="0" fontId="25" fillId="3" borderId="0" xfId="0" applyFont="1" applyFill="1" applyBorder="1" applyAlignment="1" applyProtection="1">
      <alignment vertical="center"/>
      <protection hidden="1"/>
    </xf>
    <xf numFmtId="0" fontId="16" fillId="12" borderId="62" xfId="0" applyFont="1" applyFill="1" applyBorder="1" applyAlignment="1">
      <alignment horizontal="center"/>
    </xf>
    <xf numFmtId="0" fontId="29" fillId="12" borderId="62" xfId="0" applyFont="1" applyFill="1" applyBorder="1" applyAlignment="1" applyProtection="1">
      <alignment horizontal="left"/>
      <protection hidden="1"/>
    </xf>
    <xf numFmtId="0" fontId="29" fillId="3" borderId="95" xfId="0" applyFont="1" applyFill="1" applyBorder="1" applyAlignment="1" applyProtection="1">
      <alignment horizontal="center" vertical="center"/>
      <protection locked="0"/>
    </xf>
    <xf numFmtId="0" fontId="29" fillId="3" borderId="4" xfId="0" applyFont="1" applyFill="1" applyBorder="1" applyAlignment="1">
      <alignment horizontal="center" vertical="center"/>
    </xf>
    <xf numFmtId="164" fontId="29" fillId="12" borderId="1" xfId="0" applyNumberFormat="1" applyFont="1" applyFill="1" applyBorder="1" applyAlignment="1" applyProtection="1">
      <alignment horizontal="right" vertical="center"/>
      <protection locked="0"/>
    </xf>
    <xf numFmtId="164" fontId="25" fillId="4" borderId="62" xfId="0" applyNumberFormat="1" applyFont="1" applyFill="1" applyBorder="1" applyProtection="1"/>
    <xf numFmtId="164" fontId="25" fillId="12" borderId="62" xfId="0" applyNumberFormat="1" applyFont="1" applyFill="1" applyBorder="1" applyProtection="1">
      <protection locked="0"/>
    </xf>
    <xf numFmtId="164" fontId="29" fillId="3" borderId="34" xfId="0" applyNumberFormat="1" applyFont="1" applyFill="1" applyBorder="1" applyAlignment="1" applyProtection="1">
      <alignment horizontal="right"/>
    </xf>
    <xf numFmtId="164" fontId="29" fillId="4" borderId="62" xfId="0" applyNumberFormat="1" applyFont="1" applyFill="1" applyBorder="1" applyAlignment="1" applyProtection="1">
      <alignment vertical="center"/>
    </xf>
    <xf numFmtId="1" fontId="25" fillId="12" borderId="1" xfId="0" applyNumberFormat="1" applyFont="1" applyFill="1" applyBorder="1" applyProtection="1">
      <protection locked="0"/>
    </xf>
    <xf numFmtId="1" fontId="25" fillId="12" borderId="62" xfId="0" applyNumberFormat="1" applyFont="1" applyFill="1" applyBorder="1" applyProtection="1">
      <protection locked="0"/>
    </xf>
    <xf numFmtId="164" fontId="25" fillId="4" borderId="62" xfId="0" applyNumberFormat="1" applyFont="1" applyFill="1" applyBorder="1" applyAlignment="1" applyProtection="1">
      <alignment vertical="center"/>
    </xf>
    <xf numFmtId="164" fontId="25" fillId="12" borderId="15" xfId="0" applyNumberFormat="1" applyFont="1" applyFill="1" applyBorder="1" applyProtection="1">
      <protection locked="0"/>
    </xf>
    <xf numFmtId="164" fontId="25" fillId="12" borderId="62" xfId="0" applyNumberFormat="1" applyFont="1" applyFill="1" applyBorder="1" applyAlignment="1" applyProtection="1">
      <alignment wrapText="1"/>
      <protection locked="0"/>
    </xf>
    <xf numFmtId="164" fontId="25" fillId="12" borderId="62" xfId="0" applyNumberFormat="1" applyFont="1" applyFill="1" applyBorder="1" applyAlignment="1" applyProtection="1">
      <protection locked="0"/>
    </xf>
    <xf numFmtId="5" fontId="29" fillId="3" borderId="62" xfId="2" applyNumberFormat="1" applyFont="1" applyFill="1" applyBorder="1" applyAlignment="1" applyProtection="1">
      <alignment vertical="center"/>
    </xf>
    <xf numFmtId="164" fontId="16" fillId="4" borderId="62" xfId="0" applyNumberFormat="1" applyFont="1" applyFill="1" applyBorder="1" applyAlignment="1" applyProtection="1">
      <alignment vertical="center"/>
    </xf>
    <xf numFmtId="5" fontId="45" fillId="3" borderId="62" xfId="2" applyNumberFormat="1" applyFont="1" applyFill="1" applyBorder="1" applyAlignment="1" applyProtection="1">
      <alignment horizontal="right"/>
    </xf>
    <xf numFmtId="5" fontId="43" fillId="7" borderId="62" xfId="2" applyNumberFormat="1" applyFont="1" applyFill="1" applyBorder="1" applyAlignment="1" applyProtection="1">
      <alignment horizontal="right"/>
      <protection locked="0"/>
    </xf>
    <xf numFmtId="5" fontId="16" fillId="3" borderId="88" xfId="2" applyNumberFormat="1" applyFont="1" applyFill="1" applyBorder="1" applyAlignment="1" applyProtection="1">
      <alignment vertical="center"/>
    </xf>
    <xf numFmtId="5" fontId="29" fillId="3" borderId="1" xfId="2" applyNumberFormat="1" applyFont="1" applyFill="1" applyBorder="1" applyAlignment="1" applyProtection="1">
      <alignment vertical="center"/>
    </xf>
    <xf numFmtId="5" fontId="25" fillId="4" borderId="62" xfId="2" applyNumberFormat="1" applyFont="1" applyFill="1" applyBorder="1" applyAlignment="1" applyProtection="1">
      <alignment horizontal="left"/>
    </xf>
    <xf numFmtId="5" fontId="45" fillId="3" borderId="62" xfId="2" applyNumberFormat="1" applyFont="1" applyFill="1" applyBorder="1" applyProtection="1"/>
    <xf numFmtId="5" fontId="29" fillId="3" borderId="88" xfId="2" applyNumberFormat="1" applyFont="1" applyFill="1" applyBorder="1" applyAlignment="1" applyProtection="1">
      <alignment vertical="center"/>
    </xf>
    <xf numFmtId="5" fontId="25" fillId="4" borderId="62" xfId="0" applyNumberFormat="1" applyFont="1" applyFill="1" applyBorder="1" applyAlignment="1" applyProtection="1">
      <alignment horizontal="left" vertical="center"/>
    </xf>
    <xf numFmtId="6" fontId="43" fillId="7" borderId="62" xfId="2" applyNumberFormat="1" applyFont="1" applyFill="1" applyBorder="1" applyAlignment="1" applyProtection="1">
      <alignment horizontal="right"/>
      <protection locked="0"/>
    </xf>
    <xf numFmtId="5" fontId="29" fillId="3" borderId="122" xfId="2" applyNumberFormat="1" applyFont="1" applyFill="1" applyBorder="1" applyAlignment="1" applyProtection="1">
      <alignment vertical="center"/>
    </xf>
    <xf numFmtId="5" fontId="29" fillId="12" borderId="1" xfId="2" applyNumberFormat="1" applyFont="1" applyFill="1" applyBorder="1" applyAlignment="1" applyProtection="1">
      <alignment vertical="center"/>
      <protection locked="0"/>
    </xf>
    <xf numFmtId="5" fontId="29" fillId="12" borderId="62" xfId="2" applyNumberFormat="1" applyFont="1" applyFill="1" applyBorder="1" applyAlignment="1" applyProtection="1">
      <alignment vertical="center"/>
      <protection locked="0"/>
    </xf>
    <xf numFmtId="164" fontId="29" fillId="4" borderId="41" xfId="0" applyNumberFormat="1" applyFont="1" applyFill="1" applyBorder="1" applyAlignment="1" applyProtection="1">
      <alignment vertical="center"/>
    </xf>
    <xf numFmtId="5" fontId="45" fillId="12" borderId="123" xfId="2" applyNumberFormat="1" applyFont="1" applyFill="1" applyBorder="1" applyProtection="1">
      <protection locked="0"/>
    </xf>
    <xf numFmtId="5" fontId="29" fillId="3" borderId="124" xfId="2" applyNumberFormat="1" applyFont="1" applyFill="1" applyBorder="1" applyAlignment="1" applyProtection="1">
      <alignment vertical="center"/>
    </xf>
    <xf numFmtId="5" fontId="29" fillId="12" borderId="125" xfId="2" applyNumberFormat="1" applyFont="1" applyFill="1" applyBorder="1" applyAlignment="1" applyProtection="1">
      <alignment vertical="center"/>
      <protection locked="0"/>
    </xf>
    <xf numFmtId="5" fontId="29" fillId="12" borderId="123" xfId="2" applyNumberFormat="1" applyFont="1" applyFill="1" applyBorder="1" applyAlignment="1" applyProtection="1">
      <alignment vertical="center"/>
      <protection locked="0"/>
    </xf>
    <xf numFmtId="5" fontId="29" fillId="4" borderId="126" xfId="0" applyNumberFormat="1" applyFont="1" applyFill="1" applyBorder="1" applyAlignment="1" applyProtection="1">
      <alignment horizontal="left" vertical="center"/>
    </xf>
    <xf numFmtId="5" fontId="40" fillId="3" borderId="39" xfId="2" applyNumberFormat="1" applyFont="1" applyFill="1" applyBorder="1" applyAlignment="1" applyProtection="1">
      <alignment horizontal="right"/>
    </xf>
    <xf numFmtId="5" fontId="29" fillId="3" borderId="62" xfId="2" applyNumberFormat="1" applyFont="1" applyFill="1" applyBorder="1" applyAlignment="1" applyProtection="1">
      <alignment horizontal="right"/>
    </xf>
    <xf numFmtId="5" fontId="40" fillId="3" borderId="88" xfId="2" applyNumberFormat="1" applyFont="1" applyFill="1" applyBorder="1" applyAlignment="1" applyProtection="1">
      <alignment horizontal="right"/>
    </xf>
    <xf numFmtId="49" fontId="16" fillId="4" borderId="62" xfId="0" applyNumberFormat="1" applyFont="1" applyFill="1" applyBorder="1" applyAlignment="1" applyProtection="1">
      <alignment horizontal="center" vertical="center"/>
    </xf>
    <xf numFmtId="5" fontId="29" fillId="3" borderId="62" xfId="2" applyNumberFormat="1" applyFont="1" applyFill="1" applyBorder="1" applyProtection="1"/>
    <xf numFmtId="5" fontId="45" fillId="3" borderId="50" xfId="2" applyNumberFormat="1" applyFont="1" applyFill="1" applyBorder="1"/>
    <xf numFmtId="5" fontId="14" fillId="3" borderId="51" xfId="2" applyNumberFormat="1" applyFont="1" applyFill="1" applyBorder="1"/>
    <xf numFmtId="5" fontId="45" fillId="3" borderId="51" xfId="2" applyNumberFormat="1" applyFont="1" applyFill="1" applyBorder="1"/>
    <xf numFmtId="5" fontId="45" fillId="3" borderId="127" xfId="2" applyNumberFormat="1" applyFont="1" applyFill="1" applyBorder="1"/>
    <xf numFmtId="5" fontId="45" fillId="3" borderId="4" xfId="2" applyNumberFormat="1" applyFont="1" applyFill="1" applyBorder="1"/>
    <xf numFmtId="5" fontId="17" fillId="3" borderId="52" xfId="2" applyNumberFormat="1" applyFont="1" applyFill="1" applyBorder="1" applyAlignment="1" applyProtection="1">
      <alignment horizontal="right"/>
    </xf>
    <xf numFmtId="0" fontId="16" fillId="3" borderId="0" xfId="0" applyFont="1" applyFill="1" applyBorder="1" applyAlignment="1">
      <alignment horizontal="center"/>
    </xf>
    <xf numFmtId="0" fontId="16" fillId="12" borderId="1" xfId="0" applyFont="1" applyFill="1" applyBorder="1" applyAlignment="1">
      <alignment horizontal="center"/>
    </xf>
    <xf numFmtId="0" fontId="29" fillId="12" borderId="1" xfId="0" applyFont="1" applyFill="1" applyBorder="1" applyAlignment="1" applyProtection="1">
      <alignment horizontal="left"/>
      <protection hidden="1"/>
    </xf>
    <xf numFmtId="0" fontId="67" fillId="3" borderId="0" xfId="0" applyFont="1" applyFill="1" applyBorder="1" applyProtection="1">
      <protection locked="0"/>
    </xf>
    <xf numFmtId="0" fontId="25" fillId="3" borderId="0" xfId="0" applyFont="1" applyFill="1" applyBorder="1" applyProtection="1">
      <protection locked="0"/>
    </xf>
    <xf numFmtId="0" fontId="67" fillId="3" borderId="2" xfId="0" applyFont="1" applyFill="1" applyBorder="1" applyProtection="1">
      <protection locked="0"/>
    </xf>
    <xf numFmtId="0" fontId="29" fillId="3" borderId="1" xfId="0" applyFont="1" applyFill="1" applyBorder="1" applyAlignment="1" applyProtection="1">
      <alignment horizontal="center" vertical="center"/>
      <protection hidden="1"/>
    </xf>
    <xf numFmtId="0" fontId="16" fillId="3" borderId="88" xfId="0" applyFont="1" applyFill="1" applyBorder="1" applyAlignment="1">
      <alignment horizontal="center"/>
    </xf>
    <xf numFmtId="0" fontId="29" fillId="3" borderId="88" xfId="0" applyFont="1" applyFill="1" applyBorder="1" applyAlignment="1" applyProtection="1">
      <alignment horizontal="left"/>
      <protection hidden="1"/>
    </xf>
    <xf numFmtId="0" fontId="16" fillId="3" borderId="34" xfId="0" applyFont="1" applyFill="1" applyBorder="1" applyAlignment="1">
      <alignment horizontal="center"/>
    </xf>
    <xf numFmtId="0" fontId="29" fillId="3" borderId="34" xfId="0" applyFont="1" applyFill="1" applyBorder="1" applyAlignment="1" applyProtection="1">
      <alignment horizontal="left"/>
      <protection hidden="1"/>
    </xf>
    <xf numFmtId="3" fontId="25" fillId="3" borderId="0" xfId="0" applyNumberFormat="1" applyFont="1" applyFill="1" applyBorder="1" applyAlignment="1" applyProtection="1">
      <alignment horizontal="center"/>
    </xf>
    <xf numFmtId="0" fontId="67" fillId="3" borderId="4" xfId="0" applyFont="1" applyFill="1" applyBorder="1" applyProtection="1">
      <protection locked="0"/>
    </xf>
    <xf numFmtId="1" fontId="68" fillId="3" borderId="0" xfId="0" applyNumberFormat="1" applyFont="1" applyFill="1" applyBorder="1" applyAlignment="1" applyProtection="1">
      <alignment horizontal="center"/>
      <protection hidden="1"/>
    </xf>
    <xf numFmtId="1" fontId="73" fillId="3" borderId="0" xfId="0" applyNumberFormat="1" applyFont="1" applyFill="1" applyBorder="1" applyProtection="1">
      <protection locked="0"/>
    </xf>
    <xf numFmtId="1" fontId="29" fillId="3" borderId="0" xfId="0" applyNumberFormat="1" applyFont="1" applyFill="1" applyBorder="1" applyAlignment="1" applyProtection="1"/>
    <xf numFmtId="1" fontId="29" fillId="3" borderId="0" xfId="0" applyNumberFormat="1" applyFont="1" applyFill="1" applyBorder="1" applyAlignment="1" applyProtection="1">
      <alignment horizontal="center"/>
      <protection locked="0"/>
    </xf>
    <xf numFmtId="0" fontId="29" fillId="3" borderId="52" xfId="0" applyFont="1" applyFill="1" applyBorder="1" applyAlignment="1" applyProtection="1">
      <alignment horizontal="left"/>
      <protection hidden="1"/>
    </xf>
    <xf numFmtId="0" fontId="29" fillId="3" borderId="18" xfId="0" applyFont="1" applyFill="1" applyBorder="1" applyAlignment="1" applyProtection="1">
      <alignment horizontal="left"/>
      <protection hidden="1"/>
    </xf>
    <xf numFmtId="1" fontId="29" fillId="3" borderId="21" xfId="0" applyNumberFormat="1" applyFont="1" applyFill="1" applyBorder="1" applyAlignment="1" applyProtection="1">
      <alignment horizontal="center"/>
      <protection locked="0"/>
    </xf>
    <xf numFmtId="1" fontId="29" fillId="3" borderId="20" xfId="0" applyNumberFormat="1" applyFont="1" applyFill="1" applyBorder="1" applyAlignment="1" applyProtection="1">
      <alignment horizontal="center"/>
      <protection locked="0"/>
    </xf>
    <xf numFmtId="1" fontId="29" fillId="3" borderId="120" xfId="0" applyNumberFormat="1" applyFont="1" applyFill="1" applyBorder="1" applyAlignment="1" applyProtection="1">
      <alignment horizontal="center"/>
      <protection locked="0"/>
    </xf>
    <xf numFmtId="0" fontId="29" fillId="3" borderId="4" xfId="0" applyFont="1" applyFill="1" applyBorder="1" applyAlignment="1" applyProtection="1">
      <alignment horizontal="center" vertical="center"/>
      <protection hidden="1"/>
    </xf>
    <xf numFmtId="0" fontId="29" fillId="3" borderId="120" xfId="0" applyFont="1" applyFill="1" applyBorder="1" applyAlignment="1" applyProtection="1">
      <alignment vertical="center"/>
      <protection hidden="1"/>
    </xf>
    <xf numFmtId="0" fontId="29" fillId="3" borderId="118" xfId="0" applyFont="1" applyFill="1" applyBorder="1" applyAlignment="1" applyProtection="1">
      <alignment vertical="center"/>
      <protection hidden="1"/>
    </xf>
    <xf numFmtId="0" fontId="16" fillId="3" borderId="32" xfId="0" applyFont="1" applyFill="1" applyBorder="1" applyAlignment="1">
      <alignment horizontal="center"/>
    </xf>
    <xf numFmtId="0" fontId="16" fillId="3" borderId="20" xfId="0" applyFont="1" applyFill="1" applyBorder="1" applyAlignment="1">
      <alignment horizontal="center"/>
    </xf>
    <xf numFmtId="0" fontId="29" fillId="3" borderId="4" xfId="0" applyFont="1" applyFill="1" applyBorder="1" applyAlignment="1" applyProtection="1">
      <alignment vertical="center"/>
      <protection hidden="1"/>
    </xf>
    <xf numFmtId="164" fontId="29" fillId="3" borderId="37" xfId="0" applyNumberFormat="1" applyFont="1" applyFill="1" applyBorder="1" applyAlignment="1" applyProtection="1">
      <alignment vertical="center"/>
      <protection hidden="1"/>
    </xf>
    <xf numFmtId="0" fontId="29" fillId="3" borderId="37" xfId="0" applyFont="1" applyFill="1" applyBorder="1" applyAlignment="1" applyProtection="1">
      <alignment horizontal="center" vertical="center"/>
      <protection hidden="1"/>
    </xf>
    <xf numFmtId="1" fontId="73" fillId="3" borderId="19" xfId="0" applyNumberFormat="1" applyFont="1" applyFill="1" applyBorder="1" applyProtection="1">
      <protection locked="0"/>
    </xf>
    <xf numFmtId="164" fontId="29" fillId="3" borderId="120" xfId="0" applyNumberFormat="1" applyFont="1" applyFill="1" applyBorder="1" applyAlignment="1" applyProtection="1">
      <alignment vertical="center"/>
      <protection hidden="1"/>
    </xf>
    <xf numFmtId="164" fontId="29" fillId="3" borderId="120" xfId="0" applyNumberFormat="1" applyFont="1" applyFill="1" applyBorder="1" applyAlignment="1" applyProtection="1">
      <alignment horizontal="center"/>
      <protection locked="0"/>
    </xf>
    <xf numFmtId="164" fontId="29" fillId="3" borderId="18" xfId="0" applyNumberFormat="1" applyFont="1" applyFill="1" applyBorder="1" applyAlignment="1" applyProtection="1">
      <alignment vertical="center"/>
      <protection hidden="1"/>
    </xf>
    <xf numFmtId="5" fontId="52" fillId="3" borderId="4" xfId="2" applyNumberFormat="1" applyFont="1" applyFill="1" applyBorder="1" applyAlignment="1" applyProtection="1">
      <alignment horizontal="right"/>
    </xf>
    <xf numFmtId="172" fontId="29" fillId="3" borderId="0" xfId="0" applyNumberFormat="1" applyFont="1" applyFill="1" applyBorder="1" applyAlignment="1" applyProtection="1">
      <alignment horizontal="right"/>
      <protection hidden="1"/>
    </xf>
    <xf numFmtId="5" fontId="29" fillId="4" borderId="108" xfId="0" applyNumberFormat="1" applyFont="1" applyFill="1" applyBorder="1" applyAlignment="1" applyProtection="1">
      <alignment horizontal="left" vertical="center"/>
    </xf>
    <xf numFmtId="172" fontId="29" fillId="3" borderId="37" xfId="0" applyNumberFormat="1" applyFont="1" applyFill="1" applyBorder="1" applyAlignment="1" applyProtection="1">
      <alignment horizontal="right"/>
      <protection hidden="1"/>
    </xf>
    <xf numFmtId="0" fontId="16" fillId="3" borderId="88" xfId="0" applyFont="1" applyFill="1" applyBorder="1" applyAlignment="1" applyProtection="1">
      <alignment horizontal="left" vertical="center"/>
    </xf>
    <xf numFmtId="0" fontId="16" fillId="3" borderId="52" xfId="0" applyFont="1" applyFill="1" applyBorder="1" applyAlignment="1">
      <alignment horizontal="center"/>
    </xf>
    <xf numFmtId="0" fontId="16" fillId="3" borderId="88" xfId="0" applyFont="1" applyFill="1" applyBorder="1" applyProtection="1"/>
    <xf numFmtId="0" fontId="70" fillId="3" borderId="0" xfId="0" applyFont="1" applyFill="1" applyBorder="1" applyProtection="1">
      <protection locked="0"/>
    </xf>
    <xf numFmtId="172" fontId="29" fillId="3" borderId="120" xfId="0" applyNumberFormat="1" applyFont="1" applyFill="1" applyBorder="1" applyAlignment="1" applyProtection="1">
      <alignment horizontal="right"/>
      <protection hidden="1"/>
    </xf>
    <xf numFmtId="172" fontId="29" fillId="3" borderId="118" xfId="0" applyNumberFormat="1" applyFont="1" applyFill="1" applyBorder="1" applyAlignment="1" applyProtection="1">
      <alignment horizontal="right"/>
      <protection hidden="1"/>
    </xf>
    <xf numFmtId="1" fontId="29" fillId="3" borderId="118" xfId="0" applyNumberFormat="1" applyFont="1" applyFill="1" applyBorder="1" applyAlignment="1" applyProtection="1">
      <alignment horizontal="center"/>
      <protection locked="0"/>
    </xf>
    <xf numFmtId="0" fontId="16" fillId="3" borderId="121" xfId="0" applyFont="1" applyFill="1" applyBorder="1" applyAlignment="1">
      <alignment horizontal="center"/>
    </xf>
    <xf numFmtId="0" fontId="29" fillId="3" borderId="121" xfId="0" applyFont="1" applyFill="1" applyBorder="1" applyAlignment="1" applyProtection="1">
      <alignment horizontal="left"/>
      <protection hidden="1"/>
    </xf>
    <xf numFmtId="1" fontId="29" fillId="3" borderId="121" xfId="0" applyNumberFormat="1" applyFont="1" applyFill="1" applyBorder="1" applyAlignment="1" applyProtection="1">
      <alignment horizontal="center"/>
      <protection locked="0"/>
    </xf>
    <xf numFmtId="0" fontId="29" fillId="3" borderId="0" xfId="0" applyFont="1" applyFill="1" applyBorder="1" applyAlignment="1" applyProtection="1">
      <alignment horizontal="left"/>
      <protection hidden="1"/>
    </xf>
    <xf numFmtId="0" fontId="16" fillId="3" borderId="37" xfId="0" applyFont="1" applyFill="1" applyBorder="1" applyAlignment="1">
      <alignment horizontal="center"/>
    </xf>
    <xf numFmtId="0" fontId="16" fillId="3" borderId="18" xfId="0" applyFont="1" applyFill="1" applyBorder="1" applyAlignment="1">
      <alignment horizontal="center"/>
    </xf>
    <xf numFmtId="0" fontId="35" fillId="3" borderId="52" xfId="0" applyFont="1" applyFill="1" applyBorder="1" applyAlignment="1" applyProtection="1">
      <alignment vertical="center"/>
    </xf>
    <xf numFmtId="5" fontId="29" fillId="3" borderId="52" xfId="2" applyNumberFormat="1" applyFont="1" applyFill="1" applyBorder="1" applyAlignment="1" applyProtection="1">
      <alignment vertical="center"/>
      <protection locked="0"/>
    </xf>
    <xf numFmtId="5" fontId="29" fillId="3" borderId="128" xfId="2" applyNumberFormat="1" applyFont="1" applyFill="1" applyBorder="1" applyAlignment="1" applyProtection="1">
      <alignment vertical="center"/>
      <protection locked="0"/>
    </xf>
    <xf numFmtId="5" fontId="45" fillId="12" borderId="3" xfId="2" applyNumberFormat="1" applyFont="1" applyFill="1" applyBorder="1"/>
    <xf numFmtId="0" fontId="16" fillId="12" borderId="62" xfId="0" applyFont="1" applyFill="1" applyBorder="1" applyAlignment="1" applyProtection="1">
      <alignment horizontal="left" vertical="center"/>
    </xf>
    <xf numFmtId="0" fontId="16" fillId="3" borderId="39" xfId="0" applyFont="1" applyFill="1" applyBorder="1" applyAlignment="1">
      <alignment horizontal="center"/>
    </xf>
    <xf numFmtId="0" fontId="29" fillId="3" borderId="39" xfId="0" applyFont="1" applyFill="1" applyBorder="1" applyAlignment="1" applyProtection="1">
      <alignment horizontal="left"/>
      <protection hidden="1"/>
    </xf>
    <xf numFmtId="164" fontId="25" fillId="4" borderId="15" xfId="0" applyNumberFormat="1" applyFont="1" applyFill="1" applyBorder="1" applyAlignment="1" applyProtection="1"/>
    <xf numFmtId="172" fontId="29" fillId="3" borderId="18" xfId="0" applyNumberFormat="1" applyFont="1" applyFill="1" applyBorder="1" applyAlignment="1" applyProtection="1">
      <alignment horizontal="right"/>
      <protection hidden="1"/>
    </xf>
    <xf numFmtId="5" fontId="52" fillId="3" borderId="37" xfId="2" applyNumberFormat="1" applyFont="1" applyFill="1" applyBorder="1" applyAlignment="1" applyProtection="1">
      <alignment horizontal="right"/>
    </xf>
    <xf numFmtId="5" fontId="52" fillId="3" borderId="18" xfId="2" applyNumberFormat="1" applyFont="1" applyFill="1" applyBorder="1" applyAlignment="1" applyProtection="1">
      <alignment horizontal="right"/>
    </xf>
    <xf numFmtId="172" fontId="52" fillId="3" borderId="18" xfId="0" applyNumberFormat="1" applyFont="1" applyFill="1" applyBorder="1" applyAlignment="1" applyProtection="1">
      <alignment horizontal="right"/>
      <protection hidden="1"/>
    </xf>
    <xf numFmtId="0" fontId="16" fillId="3" borderId="34" xfId="0" applyFont="1" applyFill="1" applyBorder="1" applyAlignment="1" applyProtection="1">
      <alignment horizontal="left" vertical="center"/>
    </xf>
    <xf numFmtId="0" fontId="16" fillId="3" borderId="34" xfId="0" applyFont="1" applyFill="1" applyBorder="1" applyAlignment="1" applyProtection="1">
      <alignment vertical="center"/>
    </xf>
    <xf numFmtId="0" fontId="16" fillId="12" borderId="1" xfId="0" applyFont="1" applyFill="1" applyBorder="1" applyAlignment="1" applyProtection="1">
      <alignment horizontal="left" vertical="center"/>
    </xf>
    <xf numFmtId="0" fontId="16" fillId="3" borderId="39" xfId="0" applyFont="1" applyFill="1" applyBorder="1" applyAlignment="1" applyProtection="1">
      <alignment horizontal="left" vertical="center"/>
    </xf>
    <xf numFmtId="0" fontId="16" fillId="3" borderId="119" xfId="0" applyFont="1" applyFill="1" applyBorder="1" applyAlignment="1">
      <alignment horizontal="center"/>
    </xf>
    <xf numFmtId="0" fontId="29" fillId="3" borderId="119" xfId="0" applyFont="1" applyFill="1" applyBorder="1" applyAlignment="1" applyProtection="1">
      <alignment horizontal="left"/>
      <protection hidden="1"/>
    </xf>
    <xf numFmtId="5" fontId="52" fillId="3" borderId="0" xfId="2" applyNumberFormat="1" applyFont="1" applyFill="1" applyBorder="1" applyAlignment="1" applyProtection="1">
      <alignment horizontal="right"/>
    </xf>
    <xf numFmtId="0" fontId="22" fillId="3" borderId="0" xfId="0" applyFont="1" applyFill="1" applyBorder="1" applyProtection="1"/>
    <xf numFmtId="0" fontId="16" fillId="3" borderId="88" xfId="0" applyFont="1" applyFill="1" applyBorder="1" applyAlignment="1" applyProtection="1">
      <alignment horizontal="left"/>
    </xf>
    <xf numFmtId="0" fontId="16" fillId="3" borderId="34" xfId="0" applyFont="1" applyFill="1" applyBorder="1" applyAlignment="1" applyProtection="1">
      <alignment horizontal="left"/>
    </xf>
    <xf numFmtId="164" fontId="29" fillId="3" borderId="0" xfId="0" applyNumberFormat="1" applyFont="1" applyFill="1" applyBorder="1" applyAlignment="1" applyProtection="1"/>
    <xf numFmtId="0" fontId="29" fillId="3" borderId="0" xfId="0" applyNumberFormat="1" applyFont="1" applyFill="1" applyBorder="1" applyAlignment="1" applyProtection="1">
      <alignment horizontal="center"/>
    </xf>
    <xf numFmtId="0" fontId="5" fillId="3" borderId="62" xfId="0" applyFont="1" applyFill="1" applyBorder="1"/>
    <xf numFmtId="0" fontId="5" fillId="3" borderId="0" xfId="0" applyFont="1" applyFill="1" applyBorder="1"/>
    <xf numFmtId="0" fontId="74" fillId="3" borderId="0" xfId="0" applyFont="1" applyFill="1" applyBorder="1"/>
    <xf numFmtId="0" fontId="16" fillId="3" borderId="2" xfId="0" applyFont="1" applyFill="1" applyBorder="1" applyAlignment="1" applyProtection="1">
      <alignment horizontal="right"/>
    </xf>
    <xf numFmtId="166" fontId="29" fillId="3" borderId="2" xfId="2" applyNumberFormat="1" applyFont="1" applyFill="1" applyBorder="1" applyAlignment="1" applyProtection="1">
      <alignment horizontal="left" vertical="center"/>
    </xf>
    <xf numFmtId="166" fontId="29" fillId="3" borderId="16" xfId="2" applyNumberFormat="1" applyFont="1" applyFill="1" applyBorder="1" applyAlignment="1" applyProtection="1">
      <alignment horizontal="left" vertical="center"/>
    </xf>
    <xf numFmtId="0" fontId="16" fillId="3" borderId="39" xfId="0" applyFont="1" applyFill="1" applyBorder="1" applyAlignment="1" applyProtection="1">
      <alignment vertical="center"/>
    </xf>
    <xf numFmtId="172" fontId="29" fillId="3" borderId="3" xfId="0" applyNumberFormat="1" applyFont="1" applyFill="1" applyBorder="1" applyAlignment="1" applyProtection="1">
      <alignment horizontal="right"/>
      <protection hidden="1"/>
    </xf>
    <xf numFmtId="0" fontId="16" fillId="3" borderId="62" xfId="0" applyFont="1" applyFill="1" applyBorder="1" applyAlignment="1" applyProtection="1">
      <alignment vertical="center"/>
    </xf>
    <xf numFmtId="1" fontId="29" fillId="3" borderId="129" xfId="0" applyNumberFormat="1" applyFont="1" applyFill="1" applyBorder="1" applyAlignment="1" applyProtection="1">
      <alignment horizontal="center"/>
      <protection locked="0"/>
    </xf>
    <xf numFmtId="0" fontId="16" fillId="3" borderId="3" xfId="0" applyFont="1" applyFill="1" applyBorder="1" applyAlignment="1">
      <alignment horizontal="center"/>
    </xf>
    <xf numFmtId="0" fontId="16" fillId="3" borderId="1" xfId="0" applyFont="1" applyFill="1" applyBorder="1" applyAlignment="1" applyProtection="1">
      <alignment vertical="center"/>
    </xf>
    <xf numFmtId="0" fontId="16" fillId="3" borderId="51" xfId="0" applyFont="1" applyFill="1" applyBorder="1" applyAlignment="1">
      <alignment horizontal="center"/>
    </xf>
    <xf numFmtId="0" fontId="29" fillId="3" borderId="1" xfId="0" applyFont="1" applyFill="1" applyBorder="1" applyAlignment="1">
      <alignment horizontal="center" vertical="center" wrapText="1"/>
    </xf>
    <xf numFmtId="0" fontId="29" fillId="3" borderId="3" xfId="0" applyFont="1" applyFill="1" applyBorder="1" applyAlignment="1" applyProtection="1">
      <alignment horizontal="center" vertical="center"/>
      <protection hidden="1"/>
    </xf>
    <xf numFmtId="1" fontId="29" fillId="3" borderId="14" xfId="0" applyNumberFormat="1" applyFont="1" applyFill="1" applyBorder="1" applyAlignment="1" applyProtection="1">
      <alignment horizontal="center" vertical="center"/>
      <protection hidden="1"/>
    </xf>
    <xf numFmtId="0" fontId="29" fillId="3" borderId="2" xfId="0" applyFont="1" applyFill="1" applyBorder="1" applyAlignment="1" applyProtection="1">
      <alignment horizontal="center" vertical="center"/>
      <protection hidden="1"/>
    </xf>
    <xf numFmtId="1" fontId="29" fillId="3" borderId="19" xfId="0" applyNumberFormat="1" applyFont="1" applyFill="1" applyBorder="1" applyAlignment="1" applyProtection="1">
      <alignment horizontal="center" vertical="center"/>
      <protection hidden="1"/>
    </xf>
    <xf numFmtId="0" fontId="5" fillId="5" borderId="0" xfId="0" applyFont="1" applyFill="1"/>
    <xf numFmtId="0" fontId="63" fillId="5" borderId="0" xfId="0" applyFont="1" applyFill="1"/>
    <xf numFmtId="0" fontId="0" fillId="5" borderId="0" xfId="0" applyFill="1"/>
    <xf numFmtId="164" fontId="16" fillId="4" borderId="102" xfId="0" applyNumberFormat="1" applyFont="1" applyFill="1" applyBorder="1" applyAlignment="1" applyProtection="1">
      <alignment vertical="center"/>
    </xf>
    <xf numFmtId="0" fontId="16" fillId="3" borderId="76" xfId="0" applyNumberFormat="1" applyFont="1" applyFill="1" applyBorder="1" applyAlignment="1" applyProtection="1">
      <alignment horizontal="left" wrapText="1"/>
    </xf>
    <xf numFmtId="172" fontId="29" fillId="3" borderId="118" xfId="0" applyNumberFormat="1" applyFont="1" applyFill="1" applyBorder="1" applyAlignment="1" applyProtection="1">
      <alignment horizontal="right" vertical="center"/>
      <protection hidden="1"/>
    </xf>
    <xf numFmtId="0" fontId="16" fillId="3" borderId="20" xfId="0" applyFont="1" applyFill="1" applyBorder="1" applyAlignment="1">
      <alignment horizontal="center" vertical="center"/>
    </xf>
    <xf numFmtId="1" fontId="29" fillId="3" borderId="118" xfId="0" applyNumberFormat="1" applyFont="1" applyFill="1" applyBorder="1" applyAlignment="1" applyProtection="1">
      <alignment horizontal="center" vertical="center"/>
      <protection locked="0"/>
    </xf>
    <xf numFmtId="0" fontId="16" fillId="3" borderId="20" xfId="0" applyFont="1" applyFill="1" applyBorder="1" applyAlignment="1">
      <alignment horizontal="left" vertical="center"/>
    </xf>
    <xf numFmtId="42" fontId="25" fillId="3" borderId="51" xfId="2" applyNumberFormat="1" applyFont="1" applyFill="1" applyBorder="1" applyProtection="1"/>
    <xf numFmtId="0" fontId="29" fillId="3" borderId="95" xfId="0" applyFont="1" applyFill="1" applyBorder="1" applyAlignment="1" applyProtection="1">
      <alignment horizontal="center" vertical="center" wrapText="1"/>
      <protection locked="0"/>
    </xf>
    <xf numFmtId="172" fontId="5" fillId="3" borderId="0" xfId="0" applyNumberFormat="1" applyFont="1" applyFill="1"/>
    <xf numFmtId="172" fontId="63" fillId="0" borderId="0" xfId="0" applyNumberFormat="1" applyFont="1"/>
    <xf numFmtId="172" fontId="5" fillId="5" borderId="0" xfId="0" applyNumberFormat="1" applyFont="1" applyFill="1"/>
    <xf numFmtId="0" fontId="0" fillId="0" borderId="0" xfId="0" applyAlignment="1">
      <alignment horizontal="center"/>
    </xf>
    <xf numFmtId="172" fontId="0" fillId="0" borderId="0" xfId="0" applyNumberFormat="1" applyAlignment="1">
      <alignment horizontal="center"/>
    </xf>
    <xf numFmtId="0" fontId="55" fillId="3" borderId="90" xfId="0" applyFont="1" applyFill="1" applyBorder="1" applyAlignment="1" applyProtection="1">
      <alignment horizontal="center" wrapText="1"/>
      <protection locked="0"/>
    </xf>
    <xf numFmtId="0" fontId="29" fillId="3" borderId="95" xfId="0" applyFont="1" applyFill="1" applyBorder="1" applyAlignment="1" applyProtection="1">
      <alignment horizontal="center" vertical="top" wrapText="1"/>
      <protection locked="0"/>
    </xf>
    <xf numFmtId="0" fontId="75" fillId="3" borderId="10" xfId="0" applyFont="1" applyFill="1" applyBorder="1" applyAlignment="1">
      <alignment horizontal="center" vertical="center"/>
    </xf>
    <xf numFmtId="0" fontId="52" fillId="3" borderId="3" xfId="0" applyFont="1" applyFill="1" applyBorder="1" applyAlignment="1">
      <alignment horizontal="center" vertical="center" wrapText="1"/>
    </xf>
    <xf numFmtId="0" fontId="21" fillId="7" borderId="0" xfId="0" applyFont="1" applyFill="1"/>
    <xf numFmtId="0" fontId="28" fillId="0" borderId="0" xfId="0" applyFont="1"/>
    <xf numFmtId="0" fontId="35" fillId="7" borderId="0" xfId="0" applyFont="1" applyFill="1"/>
  </cellXfs>
  <cellStyles count="18">
    <cellStyle name="Comma" xfId="1" builtinId="3"/>
    <cellStyle name="Comma 2" xfId="7" xr:uid="{00000000-0005-0000-0000-000001000000}"/>
    <cellStyle name="Comma 2 2" xfId="12" xr:uid="{00000000-0005-0000-0000-000002000000}"/>
    <cellStyle name="Comma 3" xfId="10" xr:uid="{00000000-0005-0000-0000-000003000000}"/>
    <cellStyle name="Comma 3 2" xfId="15" xr:uid="{00000000-0005-0000-0000-000004000000}"/>
    <cellStyle name="Currency" xfId="2" builtinId="4"/>
    <cellStyle name="Followed Hyperlink" xfId="17" builtinId="9" hidden="1"/>
    <cellStyle name="Hyperlink" xfId="16" builtinId="8" hidden="1"/>
    <cellStyle name="Normal" xfId="0" builtinId="0"/>
    <cellStyle name="Normal 2" xfId="3" xr:uid="{00000000-0005-0000-0000-000009000000}"/>
    <cellStyle name="Normal 3" xfId="6" xr:uid="{00000000-0005-0000-0000-00000A000000}"/>
    <cellStyle name="Normal 3 2" xfId="11" xr:uid="{00000000-0005-0000-0000-00000B000000}"/>
    <cellStyle name="Normal 4" xfId="8" xr:uid="{00000000-0005-0000-0000-00000C000000}"/>
    <cellStyle name="Normal 4 2" xfId="13" xr:uid="{00000000-0005-0000-0000-00000D000000}"/>
    <cellStyle name="Normal 5" xfId="9" xr:uid="{00000000-0005-0000-0000-00000E000000}"/>
    <cellStyle name="Normal 5 2" xfId="14" xr:uid="{00000000-0005-0000-0000-00000F000000}"/>
    <cellStyle name="Normal_Sheet1" xfId="5" xr:uid="{00000000-0005-0000-0000-00001000000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FFE1"/>
      <color rgb="FFFFFFCC"/>
      <color rgb="FFFFFFFF"/>
      <color rgb="FFFFFF99"/>
      <color rgb="FFCCFF66"/>
      <color rgb="FFF8F8F8"/>
      <color rgb="FFFF99FF"/>
      <color rgb="FF66FFFF"/>
      <color rgb="FF00FF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tea.texas.gov/sites/default/files/estdatarpt_onepager.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6D465-ADFB-41EE-A847-2D8A7FB66EC6}">
  <sheetPr>
    <tabColor rgb="FFFFC000"/>
  </sheetPr>
  <dimension ref="A1:L187"/>
  <sheetViews>
    <sheetView workbookViewId="0">
      <pane ySplit="1" topLeftCell="A2" activePane="bottomLeft" state="frozen"/>
      <selection pane="bottomLeft" activeCell="G84" sqref="G84"/>
    </sheetView>
  </sheetViews>
  <sheetFormatPr defaultColWidth="9.1796875" defaultRowHeight="13" x14ac:dyDescent="0.3"/>
  <cols>
    <col min="1" max="1" width="12.453125" style="675" bestFit="1" customWidth="1"/>
    <col min="2" max="2" width="11.7265625" style="675" bestFit="1" customWidth="1"/>
    <col min="3" max="3" width="16" style="675" customWidth="1"/>
    <col min="4" max="4" width="14" style="675" customWidth="1"/>
    <col min="5" max="5" width="5" style="676" customWidth="1"/>
    <col min="6" max="6" width="15.26953125" style="675" customWidth="1"/>
    <col min="7" max="7" width="17.26953125" style="675" customWidth="1"/>
    <col min="8" max="8" width="35.26953125" style="844" bestFit="1" customWidth="1"/>
    <col min="9" max="9" width="12.54296875" style="844" bestFit="1" customWidth="1"/>
    <col min="10" max="16384" width="9.1796875" style="675"/>
  </cols>
  <sheetData>
    <row r="1" spans="1:12" customFormat="1" x14ac:dyDescent="0.3">
      <c r="A1" t="s">
        <v>121</v>
      </c>
      <c r="B1" t="s">
        <v>122</v>
      </c>
      <c r="C1" t="s">
        <v>423</v>
      </c>
      <c r="D1" t="s">
        <v>123</v>
      </c>
      <c r="E1" s="833" t="s">
        <v>124</v>
      </c>
      <c r="F1" t="s">
        <v>127</v>
      </c>
      <c r="G1" s="606" t="s">
        <v>225</v>
      </c>
      <c r="H1" s="848" t="s">
        <v>960</v>
      </c>
      <c r="I1" s="847" t="s">
        <v>961</v>
      </c>
    </row>
    <row r="2" spans="1:12" x14ac:dyDescent="0.3">
      <c r="B2" s="675">
        <v>1</v>
      </c>
      <c r="C2" s="675">
        <v>2</v>
      </c>
      <c r="D2" s="675">
        <v>3</v>
      </c>
      <c r="E2" s="834">
        <v>4</v>
      </c>
      <c r="F2" s="675">
        <v>7</v>
      </c>
      <c r="G2" s="675">
        <v>105</v>
      </c>
    </row>
    <row r="3" spans="1:12" ht="12.5" x14ac:dyDescent="0.25">
      <c r="A3" s="833">
        <v>35795</v>
      </c>
      <c r="B3" s="833">
        <v>15808</v>
      </c>
      <c r="C3" s="833">
        <v>9</v>
      </c>
      <c r="D3" s="833">
        <v>2022</v>
      </c>
      <c r="E3" s="833">
        <v>6159.9714400000003</v>
      </c>
      <c r="F3" s="833">
        <v>506.60700000000003</v>
      </c>
      <c r="G3" s="833">
        <v>151072</v>
      </c>
      <c r="H3" s="846">
        <f t="shared" ref="H3:H34" si="0">E3*F3</f>
        <v>3120684.6513040802</v>
      </c>
      <c r="I3" s="846">
        <f t="shared" ref="I3:I34" si="1">G3-H3</f>
        <v>-2969612.6513040802</v>
      </c>
    </row>
    <row r="4" spans="1:12" ht="12.5" x14ac:dyDescent="0.25">
      <c r="A4" s="833">
        <v>35795</v>
      </c>
      <c r="B4" s="833">
        <v>46802</v>
      </c>
      <c r="C4" s="833">
        <v>9</v>
      </c>
      <c r="D4" s="833">
        <v>2022</v>
      </c>
      <c r="E4" s="833">
        <v>6159.9714400000003</v>
      </c>
      <c r="F4" s="833">
        <v>196.21600000000001</v>
      </c>
      <c r="G4" s="833">
        <v>153666</v>
      </c>
      <c r="H4" s="846">
        <f t="shared" si="0"/>
        <v>1208684.9560710401</v>
      </c>
      <c r="I4" s="846">
        <f t="shared" si="1"/>
        <v>-1055018.9560710401</v>
      </c>
    </row>
    <row r="5" spans="1:12" ht="12.5" x14ac:dyDescent="0.25">
      <c r="A5" s="833">
        <v>35795</v>
      </c>
      <c r="B5" s="833">
        <v>57814</v>
      </c>
      <c r="C5" s="833">
        <v>9</v>
      </c>
      <c r="D5" s="833">
        <v>2022</v>
      </c>
      <c r="E5" s="833">
        <v>6159.9714400000003</v>
      </c>
      <c r="F5" s="833">
        <v>215.089</v>
      </c>
      <c r="G5" s="833">
        <v>804067</v>
      </c>
      <c r="H5" s="846">
        <f t="shared" si="0"/>
        <v>1324942.09705816</v>
      </c>
      <c r="I5" s="846">
        <f t="shared" si="1"/>
        <v>-520875.09705816</v>
      </c>
    </row>
    <row r="6" spans="1:12" ht="12.5" x14ac:dyDescent="0.25">
      <c r="A6" s="833">
        <v>35795</v>
      </c>
      <c r="B6" s="833">
        <v>101838</v>
      </c>
      <c r="C6" s="833">
        <v>9</v>
      </c>
      <c r="D6" s="833">
        <v>2022</v>
      </c>
      <c r="E6" s="833">
        <v>6159.9714400000003</v>
      </c>
      <c r="F6" s="833">
        <v>1364.116</v>
      </c>
      <c r="G6" s="833">
        <v>7883868</v>
      </c>
      <c r="H6" s="846">
        <f t="shared" si="0"/>
        <v>8402915.6008470394</v>
      </c>
      <c r="I6" s="846">
        <f t="shared" si="1"/>
        <v>-519047.60084703937</v>
      </c>
    </row>
    <row r="7" spans="1:12" ht="12.5" x14ac:dyDescent="0.25">
      <c r="A7" s="833">
        <v>35795</v>
      </c>
      <c r="B7" s="833">
        <v>227806</v>
      </c>
      <c r="C7" s="833">
        <v>9</v>
      </c>
      <c r="D7" s="833">
        <v>2022</v>
      </c>
      <c r="E7" s="833">
        <v>6159.9714400000003</v>
      </c>
      <c r="F7" s="833">
        <v>291.88900000000001</v>
      </c>
      <c r="G7" s="833">
        <v>1287107</v>
      </c>
      <c r="H7" s="846">
        <f t="shared" si="0"/>
        <v>1798027.9036501602</v>
      </c>
      <c r="I7" s="846">
        <f t="shared" si="1"/>
        <v>-510920.90365016018</v>
      </c>
    </row>
    <row r="8" spans="1:12" ht="12.5" x14ac:dyDescent="0.25">
      <c r="A8" s="833">
        <v>35795</v>
      </c>
      <c r="B8" s="833">
        <v>14801</v>
      </c>
      <c r="C8" s="833">
        <v>9</v>
      </c>
      <c r="D8" s="833">
        <v>2022</v>
      </c>
      <c r="E8" s="833">
        <v>6159.9714400000003</v>
      </c>
      <c r="F8" s="833">
        <v>984.09500000000003</v>
      </c>
      <c r="G8" s="833">
        <v>5653925</v>
      </c>
      <c r="H8" s="846">
        <f t="shared" si="0"/>
        <v>6061997.0942468001</v>
      </c>
      <c r="I8" s="846">
        <f t="shared" si="1"/>
        <v>-408072.09424680006</v>
      </c>
    </row>
    <row r="9" spans="1:12" ht="12.5" x14ac:dyDescent="0.25">
      <c r="A9" s="833">
        <v>35795</v>
      </c>
      <c r="B9" s="833">
        <v>193801</v>
      </c>
      <c r="C9" s="833">
        <v>9</v>
      </c>
      <c r="D9" s="833">
        <v>2022</v>
      </c>
      <c r="E9" s="833">
        <v>6159.9714400000003</v>
      </c>
      <c r="F9" s="833">
        <v>110.179</v>
      </c>
      <c r="G9" s="833">
        <v>385180</v>
      </c>
      <c r="H9" s="846">
        <f t="shared" si="0"/>
        <v>678699.49328776007</v>
      </c>
      <c r="I9" s="846">
        <f t="shared" si="1"/>
        <v>-293519.49328776007</v>
      </c>
    </row>
    <row r="10" spans="1:12" x14ac:dyDescent="0.3">
      <c r="A10" s="833">
        <v>35795</v>
      </c>
      <c r="B10" s="833">
        <v>220819</v>
      </c>
      <c r="C10" s="833">
        <v>9</v>
      </c>
      <c r="D10" s="833">
        <v>2022</v>
      </c>
      <c r="E10" s="833">
        <v>6159.9714400000003</v>
      </c>
      <c r="F10" s="833">
        <v>1248.162</v>
      </c>
      <c r="G10" s="833">
        <v>7403198</v>
      </c>
      <c r="H10" s="846">
        <f t="shared" si="0"/>
        <v>7688642.2724932805</v>
      </c>
      <c r="I10" s="846">
        <f t="shared" si="1"/>
        <v>-285444.27249328047</v>
      </c>
      <c r="K10" s="606"/>
      <c r="L10" s="845"/>
    </row>
    <row r="11" spans="1:12" ht="12.5" x14ac:dyDescent="0.25">
      <c r="A11" s="833">
        <v>35795</v>
      </c>
      <c r="B11" s="833">
        <v>57828</v>
      </c>
      <c r="C11" s="833">
        <v>9</v>
      </c>
      <c r="D11" s="833">
        <v>2022</v>
      </c>
      <c r="E11" s="833">
        <v>6159.9714400000003</v>
      </c>
      <c r="F11" s="833">
        <v>619.44400000000007</v>
      </c>
      <c r="G11" s="833">
        <v>3552864</v>
      </c>
      <c r="H11" s="846">
        <f t="shared" si="0"/>
        <v>3815757.3486793605</v>
      </c>
      <c r="I11" s="846">
        <f t="shared" si="1"/>
        <v>-262893.34867936047</v>
      </c>
    </row>
    <row r="12" spans="1:12" ht="12.5" x14ac:dyDescent="0.25">
      <c r="A12" s="833">
        <v>35795</v>
      </c>
      <c r="B12" s="833">
        <v>220817</v>
      </c>
      <c r="C12" s="833">
        <v>9</v>
      </c>
      <c r="D12" s="833">
        <v>2022</v>
      </c>
      <c r="E12" s="833">
        <v>6159.9714400000003</v>
      </c>
      <c r="F12" s="833">
        <v>2506.5880000000002</v>
      </c>
      <c r="G12" s="833">
        <v>15182197</v>
      </c>
      <c r="H12" s="846">
        <f t="shared" si="0"/>
        <v>15440510.491846722</v>
      </c>
      <c r="I12" s="846">
        <f t="shared" si="1"/>
        <v>-258313.49184672162</v>
      </c>
    </row>
    <row r="13" spans="1:12" ht="12.5" x14ac:dyDescent="0.25">
      <c r="A13" s="833">
        <v>35795</v>
      </c>
      <c r="B13" s="833">
        <v>227816</v>
      </c>
      <c r="C13" s="833">
        <v>9</v>
      </c>
      <c r="D13" s="833">
        <v>2022</v>
      </c>
      <c r="E13" s="833">
        <v>6159.9714400000003</v>
      </c>
      <c r="F13" s="833">
        <v>3593.8970000000004</v>
      </c>
      <c r="G13" s="833">
        <v>21884492</v>
      </c>
      <c r="H13" s="846">
        <f t="shared" si="0"/>
        <v>22138302.878301684</v>
      </c>
      <c r="I13" s="846">
        <f t="shared" si="1"/>
        <v>-253810.87830168381</v>
      </c>
    </row>
    <row r="14" spans="1:12" ht="12.5" x14ac:dyDescent="0.25">
      <c r="A14" s="833">
        <v>35795</v>
      </c>
      <c r="B14" s="833">
        <v>15822</v>
      </c>
      <c r="C14" s="833">
        <v>9</v>
      </c>
      <c r="D14" s="833">
        <v>2022</v>
      </c>
      <c r="E14" s="833">
        <v>6159.9714400000003</v>
      </c>
      <c r="F14" s="833">
        <v>4764.24</v>
      </c>
      <c r="G14" s="833">
        <v>29106966</v>
      </c>
      <c r="H14" s="846">
        <f t="shared" si="0"/>
        <v>29347582.333305601</v>
      </c>
      <c r="I14" s="846">
        <f t="shared" si="1"/>
        <v>-240616.33330560103</v>
      </c>
    </row>
    <row r="15" spans="1:12" ht="12.5" x14ac:dyDescent="0.25">
      <c r="A15" s="833">
        <v>35795</v>
      </c>
      <c r="B15" s="833">
        <v>15828</v>
      </c>
      <c r="C15" s="833">
        <v>9</v>
      </c>
      <c r="D15" s="833">
        <v>2022</v>
      </c>
      <c r="E15" s="833">
        <v>6159.9714400000003</v>
      </c>
      <c r="F15" s="833">
        <v>3553.1800000000003</v>
      </c>
      <c r="G15" s="833">
        <v>21652511</v>
      </c>
      <c r="H15" s="846">
        <f t="shared" si="0"/>
        <v>21887487.321179204</v>
      </c>
      <c r="I15" s="846">
        <f t="shared" si="1"/>
        <v>-234976.32117920369</v>
      </c>
    </row>
    <row r="16" spans="1:12" ht="12.5" x14ac:dyDescent="0.25">
      <c r="A16" s="833">
        <v>35795</v>
      </c>
      <c r="B16" s="833">
        <v>15807</v>
      </c>
      <c r="C16" s="833">
        <v>9</v>
      </c>
      <c r="D16" s="833">
        <v>2022</v>
      </c>
      <c r="E16" s="833">
        <v>6159.9714400000003</v>
      </c>
      <c r="F16" s="833">
        <v>553.44400000000007</v>
      </c>
      <c r="G16" s="833">
        <v>3183555</v>
      </c>
      <c r="H16" s="846">
        <f t="shared" si="0"/>
        <v>3409199.2336393604</v>
      </c>
      <c r="I16" s="846">
        <f t="shared" si="1"/>
        <v>-225644.23363936041</v>
      </c>
    </row>
    <row r="17" spans="1:9" ht="12.5" x14ac:dyDescent="0.25">
      <c r="A17" s="833">
        <v>35795</v>
      </c>
      <c r="B17" s="833">
        <v>57846</v>
      </c>
      <c r="C17" s="833">
        <v>9</v>
      </c>
      <c r="D17" s="833">
        <v>2022</v>
      </c>
      <c r="E17" s="833">
        <v>6159.9714400000003</v>
      </c>
      <c r="F17" s="833">
        <v>1222.261</v>
      </c>
      <c r="G17" s="833">
        <v>7321478</v>
      </c>
      <c r="H17" s="846">
        <f t="shared" si="0"/>
        <v>7529092.8522258401</v>
      </c>
      <c r="I17" s="846">
        <f t="shared" si="1"/>
        <v>-207614.85222584009</v>
      </c>
    </row>
    <row r="18" spans="1:9" ht="12.5" x14ac:dyDescent="0.25">
      <c r="A18" s="833">
        <v>35795</v>
      </c>
      <c r="B18" s="833">
        <v>15830</v>
      </c>
      <c r="C18" s="833">
        <v>9</v>
      </c>
      <c r="D18" s="833">
        <v>2022</v>
      </c>
      <c r="E18" s="833">
        <v>6159.9714400000003</v>
      </c>
      <c r="F18" s="833">
        <v>2540.8850000000002</v>
      </c>
      <c r="G18" s="833">
        <v>15448532</v>
      </c>
      <c r="H18" s="846">
        <f t="shared" si="0"/>
        <v>15651779.032324402</v>
      </c>
      <c r="I18" s="846">
        <f t="shared" si="1"/>
        <v>-203247.03232440166</v>
      </c>
    </row>
    <row r="19" spans="1:9" ht="12.5" x14ac:dyDescent="0.25">
      <c r="A19" s="833">
        <v>35795</v>
      </c>
      <c r="B19" s="833">
        <v>15805</v>
      </c>
      <c r="C19" s="833">
        <v>9</v>
      </c>
      <c r="D19" s="833">
        <v>2022</v>
      </c>
      <c r="E19" s="833">
        <v>6159.9714400000003</v>
      </c>
      <c r="F19" s="833">
        <v>143.04600000000002</v>
      </c>
      <c r="G19" s="833">
        <v>683520</v>
      </c>
      <c r="H19" s="846">
        <f t="shared" si="0"/>
        <v>881159.27460624021</v>
      </c>
      <c r="I19" s="846">
        <f t="shared" si="1"/>
        <v>-197639.27460624021</v>
      </c>
    </row>
    <row r="20" spans="1:9" ht="12.5" x14ac:dyDescent="0.25">
      <c r="A20" s="833">
        <v>35795</v>
      </c>
      <c r="B20" s="833">
        <v>57816</v>
      </c>
      <c r="C20" s="833">
        <v>9</v>
      </c>
      <c r="D20" s="833">
        <v>2022</v>
      </c>
      <c r="E20" s="833">
        <v>6159.9714400000003</v>
      </c>
      <c r="F20" s="833">
        <v>845.93600000000004</v>
      </c>
      <c r="G20" s="833">
        <v>5022800</v>
      </c>
      <c r="H20" s="846">
        <f t="shared" si="0"/>
        <v>5210941.6000678409</v>
      </c>
      <c r="I20" s="846">
        <f t="shared" si="1"/>
        <v>-188141.60006784089</v>
      </c>
    </row>
    <row r="21" spans="1:9" ht="12.5" x14ac:dyDescent="0.25">
      <c r="A21" s="833">
        <v>35795</v>
      </c>
      <c r="B21" s="833">
        <v>101868</v>
      </c>
      <c r="C21" s="833">
        <v>9</v>
      </c>
      <c r="D21" s="833">
        <v>2022</v>
      </c>
      <c r="E21" s="833">
        <v>6159.9714400000003</v>
      </c>
      <c r="F21" s="833">
        <v>275.29599999999999</v>
      </c>
      <c r="G21" s="833">
        <v>1509810</v>
      </c>
      <c r="H21" s="846">
        <f t="shared" si="0"/>
        <v>1695815.49754624</v>
      </c>
      <c r="I21" s="846">
        <f t="shared" si="1"/>
        <v>-186005.49754623999</v>
      </c>
    </row>
    <row r="22" spans="1:9" ht="12.5" x14ac:dyDescent="0.25">
      <c r="A22" s="833">
        <v>35795</v>
      </c>
      <c r="B22" s="833">
        <v>57813</v>
      </c>
      <c r="C22" s="833">
        <v>9</v>
      </c>
      <c r="D22" s="833">
        <v>2022</v>
      </c>
      <c r="E22" s="833">
        <v>6159.9714400000003</v>
      </c>
      <c r="F22" s="833">
        <v>3517.2560000000003</v>
      </c>
      <c r="G22" s="833">
        <v>21484156</v>
      </c>
      <c r="H22" s="846">
        <f t="shared" si="0"/>
        <v>21666196.507168643</v>
      </c>
      <c r="I22" s="846">
        <f t="shared" si="1"/>
        <v>-182040.50716864318</v>
      </c>
    </row>
    <row r="23" spans="1:9" ht="12.5" x14ac:dyDescent="0.25">
      <c r="A23" s="833">
        <v>35795</v>
      </c>
      <c r="B23" s="833">
        <v>246801</v>
      </c>
      <c r="C23" s="833">
        <v>9</v>
      </c>
      <c r="D23" s="833">
        <v>2022</v>
      </c>
      <c r="E23" s="833">
        <v>6159.9714400000003</v>
      </c>
      <c r="F23" s="833">
        <v>1559.7670000000001</v>
      </c>
      <c r="G23" s="833">
        <v>9434350</v>
      </c>
      <c r="H23" s="846">
        <f t="shared" si="0"/>
        <v>9608120.1730544809</v>
      </c>
      <c r="I23" s="846">
        <f t="shared" si="1"/>
        <v>-173770.17305448093</v>
      </c>
    </row>
    <row r="24" spans="1:9" ht="12.5" x14ac:dyDescent="0.25">
      <c r="A24" s="833">
        <v>35795</v>
      </c>
      <c r="B24" s="833">
        <v>101814</v>
      </c>
      <c r="C24" s="833">
        <v>9</v>
      </c>
      <c r="D24" s="833">
        <v>2022</v>
      </c>
      <c r="E24" s="833">
        <v>6159.9714400000003</v>
      </c>
      <c r="F24" s="833">
        <v>988.85200000000009</v>
      </c>
      <c r="G24" s="833">
        <v>5940258</v>
      </c>
      <c r="H24" s="846">
        <f t="shared" si="0"/>
        <v>6091300.0783868805</v>
      </c>
      <c r="I24" s="846">
        <f t="shared" si="1"/>
        <v>-151042.07838688046</v>
      </c>
    </row>
    <row r="25" spans="1:9" ht="12.5" x14ac:dyDescent="0.25">
      <c r="A25" s="833">
        <v>35795</v>
      </c>
      <c r="B25" s="833">
        <v>57810</v>
      </c>
      <c r="C25" s="833">
        <v>9</v>
      </c>
      <c r="D25" s="833">
        <v>2022</v>
      </c>
      <c r="E25" s="833">
        <v>6159.9714400000003</v>
      </c>
      <c r="F25" s="833">
        <v>186.69500000000002</v>
      </c>
      <c r="G25" s="833">
        <v>1007866</v>
      </c>
      <c r="H25" s="846">
        <f t="shared" si="0"/>
        <v>1150035.8679908002</v>
      </c>
      <c r="I25" s="846">
        <f t="shared" si="1"/>
        <v>-142169.86799080018</v>
      </c>
    </row>
    <row r="26" spans="1:9" ht="12.5" x14ac:dyDescent="0.25">
      <c r="A26" s="833">
        <v>35795</v>
      </c>
      <c r="B26" s="833">
        <v>57833</v>
      </c>
      <c r="C26" s="833">
        <v>9</v>
      </c>
      <c r="D26" s="833">
        <v>2022</v>
      </c>
      <c r="E26" s="833">
        <v>6159.9714400000003</v>
      </c>
      <c r="F26" s="833">
        <v>391.74</v>
      </c>
      <c r="G26" s="833">
        <v>2285012</v>
      </c>
      <c r="H26" s="846">
        <f t="shared" si="0"/>
        <v>2413107.2119056</v>
      </c>
      <c r="I26" s="846">
        <f t="shared" si="1"/>
        <v>-128095.21190560004</v>
      </c>
    </row>
    <row r="27" spans="1:9" ht="12.5" x14ac:dyDescent="0.25">
      <c r="A27" s="833">
        <v>35795</v>
      </c>
      <c r="B27" s="833">
        <v>71806</v>
      </c>
      <c r="C27" s="833">
        <v>9</v>
      </c>
      <c r="D27" s="833">
        <v>2022</v>
      </c>
      <c r="E27" s="833">
        <v>6159.9714400000003</v>
      </c>
      <c r="F27" s="833">
        <v>3852.0820000000003</v>
      </c>
      <c r="G27" s="833">
        <v>23600844</v>
      </c>
      <c r="H27" s="846">
        <f t="shared" si="0"/>
        <v>23728715.104538083</v>
      </c>
      <c r="I27" s="846">
        <f t="shared" si="1"/>
        <v>-127871.10453808308</v>
      </c>
    </row>
    <row r="28" spans="1:9" ht="12.5" x14ac:dyDescent="0.25">
      <c r="A28" s="833">
        <v>35795</v>
      </c>
      <c r="B28" s="833">
        <v>57844</v>
      </c>
      <c r="C28" s="833">
        <v>9</v>
      </c>
      <c r="D28" s="833">
        <v>2022</v>
      </c>
      <c r="E28" s="833">
        <v>6159.9714400000003</v>
      </c>
      <c r="F28" s="833">
        <v>457.459</v>
      </c>
      <c r="G28" s="833">
        <v>2693206</v>
      </c>
      <c r="H28" s="846">
        <f t="shared" si="0"/>
        <v>2817934.37497096</v>
      </c>
      <c r="I28" s="846">
        <f t="shared" si="1"/>
        <v>-124728.37497095997</v>
      </c>
    </row>
    <row r="29" spans="1:9" ht="12.5" x14ac:dyDescent="0.25">
      <c r="A29" s="833">
        <v>35795</v>
      </c>
      <c r="B29" s="833">
        <v>15809</v>
      </c>
      <c r="C29" s="833">
        <v>9</v>
      </c>
      <c r="D29" s="833">
        <v>2022</v>
      </c>
      <c r="E29" s="833">
        <v>6159.9714400000003</v>
      </c>
      <c r="F29" s="833">
        <v>215.39400000000001</v>
      </c>
      <c r="G29" s="833">
        <v>1202930</v>
      </c>
      <c r="H29" s="846">
        <f t="shared" si="0"/>
        <v>1326820.8883473601</v>
      </c>
      <c r="I29" s="846">
        <f t="shared" si="1"/>
        <v>-123890.88834736007</v>
      </c>
    </row>
    <row r="30" spans="1:9" ht="12.5" x14ac:dyDescent="0.25">
      <c r="A30" s="833">
        <v>35795</v>
      </c>
      <c r="B30" s="833">
        <v>111801</v>
      </c>
      <c r="C30" s="833">
        <v>9</v>
      </c>
      <c r="D30" s="833">
        <v>2022</v>
      </c>
      <c r="E30" s="833">
        <v>6159.9714400000003</v>
      </c>
      <c r="F30" s="833">
        <v>37.106000000000002</v>
      </c>
      <c r="G30" s="833">
        <v>107892</v>
      </c>
      <c r="H30" s="846">
        <f t="shared" si="0"/>
        <v>228571.90025264001</v>
      </c>
      <c r="I30" s="846">
        <f t="shared" si="1"/>
        <v>-120679.90025264001</v>
      </c>
    </row>
    <row r="31" spans="1:9" ht="12.5" x14ac:dyDescent="0.25">
      <c r="A31" s="833">
        <v>35795</v>
      </c>
      <c r="B31" s="833">
        <v>101861</v>
      </c>
      <c r="C31" s="833">
        <v>9</v>
      </c>
      <c r="D31" s="833">
        <v>2022</v>
      </c>
      <c r="E31" s="833">
        <v>6159.9714400000003</v>
      </c>
      <c r="F31" s="833">
        <v>508.25300000000004</v>
      </c>
      <c r="G31" s="833">
        <v>3013285</v>
      </c>
      <c r="H31" s="846">
        <f t="shared" si="0"/>
        <v>3130823.9642943204</v>
      </c>
      <c r="I31" s="846">
        <f t="shared" si="1"/>
        <v>-117538.96429432044</v>
      </c>
    </row>
    <row r="32" spans="1:9" ht="12.5" x14ac:dyDescent="0.25">
      <c r="A32" s="833">
        <v>35795</v>
      </c>
      <c r="B32" s="833">
        <v>71801</v>
      </c>
      <c r="C32" s="833">
        <v>9</v>
      </c>
      <c r="D32" s="833">
        <v>2022</v>
      </c>
      <c r="E32" s="833">
        <v>6159.9714400000003</v>
      </c>
      <c r="F32" s="833">
        <v>1109.3820000000001</v>
      </c>
      <c r="G32" s="833">
        <v>6721216</v>
      </c>
      <c r="H32" s="846">
        <f t="shared" si="0"/>
        <v>6833761.4360500807</v>
      </c>
      <c r="I32" s="846">
        <f t="shared" si="1"/>
        <v>-112545.43605008069</v>
      </c>
    </row>
    <row r="33" spans="1:9" ht="12.5" x14ac:dyDescent="0.25">
      <c r="A33" s="833">
        <v>35795</v>
      </c>
      <c r="B33" s="833">
        <v>170801</v>
      </c>
      <c r="C33" s="833">
        <v>9</v>
      </c>
      <c r="D33" s="833">
        <v>2022</v>
      </c>
      <c r="E33" s="833">
        <v>6159.9714400000003</v>
      </c>
      <c r="F33" s="833">
        <v>280.50100000000003</v>
      </c>
      <c r="G33" s="833">
        <v>1618358</v>
      </c>
      <c r="H33" s="846">
        <f t="shared" si="0"/>
        <v>1727878.1488914404</v>
      </c>
      <c r="I33" s="846">
        <f t="shared" si="1"/>
        <v>-109520.14889144036</v>
      </c>
    </row>
    <row r="34" spans="1:9" ht="12.5" x14ac:dyDescent="0.25">
      <c r="A34" s="833">
        <v>35795</v>
      </c>
      <c r="B34" s="833">
        <v>130801</v>
      </c>
      <c r="C34" s="833">
        <v>9</v>
      </c>
      <c r="D34" s="833">
        <v>2022</v>
      </c>
      <c r="E34" s="833">
        <v>6159.9714400000003</v>
      </c>
      <c r="F34" s="833">
        <v>41.01</v>
      </c>
      <c r="G34" s="833">
        <v>157796</v>
      </c>
      <c r="H34" s="846">
        <f t="shared" si="0"/>
        <v>252620.4287544</v>
      </c>
      <c r="I34" s="846">
        <f t="shared" si="1"/>
        <v>-94824.428754399996</v>
      </c>
    </row>
    <row r="35" spans="1:9" ht="12.5" x14ac:dyDescent="0.25">
      <c r="A35" s="833">
        <v>35795</v>
      </c>
      <c r="B35" s="833">
        <v>108804</v>
      </c>
      <c r="C35" s="833">
        <v>9</v>
      </c>
      <c r="D35" s="833">
        <v>2022</v>
      </c>
      <c r="E35" s="833">
        <v>6159.9714400000003</v>
      </c>
      <c r="F35" s="833">
        <v>348.50800000000004</v>
      </c>
      <c r="G35" s="833">
        <v>2055482</v>
      </c>
      <c r="H35" s="846">
        <f t="shared" ref="H35:H66" si="2">E35*F35</f>
        <v>2146799.3266115203</v>
      </c>
      <c r="I35" s="846">
        <f t="shared" ref="I35:I66" si="3">G35-H35</f>
        <v>-91317.326611520257</v>
      </c>
    </row>
    <row r="36" spans="1:9" ht="12.5" x14ac:dyDescent="0.25">
      <c r="A36" s="833">
        <v>35795</v>
      </c>
      <c r="B36" s="833">
        <v>105802</v>
      </c>
      <c r="C36" s="833">
        <v>9</v>
      </c>
      <c r="D36" s="833">
        <v>2022</v>
      </c>
      <c r="E36" s="833">
        <v>6159.9714400000003</v>
      </c>
      <c r="F36" s="833">
        <v>103.60000000000001</v>
      </c>
      <c r="G36" s="833">
        <v>551476</v>
      </c>
      <c r="H36" s="846">
        <f t="shared" si="2"/>
        <v>638173.04118400009</v>
      </c>
      <c r="I36" s="846">
        <f t="shared" si="3"/>
        <v>-86697.041184000089</v>
      </c>
    </row>
    <row r="37" spans="1:9" ht="12.5" x14ac:dyDescent="0.25">
      <c r="A37" s="833">
        <v>35795</v>
      </c>
      <c r="B37" s="833">
        <v>213801</v>
      </c>
      <c r="C37" s="833">
        <v>9</v>
      </c>
      <c r="D37" s="833">
        <v>2022</v>
      </c>
      <c r="E37" s="833">
        <v>6159.9714400000003</v>
      </c>
      <c r="F37" s="833">
        <v>152.161</v>
      </c>
      <c r="G37" s="833">
        <v>854734</v>
      </c>
      <c r="H37" s="846">
        <f t="shared" si="2"/>
        <v>937307.41428184009</v>
      </c>
      <c r="I37" s="846">
        <f t="shared" si="3"/>
        <v>-82573.414281840087</v>
      </c>
    </row>
    <row r="38" spans="1:9" ht="12.5" x14ac:dyDescent="0.25">
      <c r="A38" s="833">
        <v>35795</v>
      </c>
      <c r="B38" s="833">
        <v>57827</v>
      </c>
      <c r="C38" s="833">
        <v>9</v>
      </c>
      <c r="D38" s="833">
        <v>2022</v>
      </c>
      <c r="E38" s="833">
        <v>6159.9714400000003</v>
      </c>
      <c r="F38" s="833">
        <v>458.24800000000005</v>
      </c>
      <c r="G38" s="833">
        <v>2745856</v>
      </c>
      <c r="H38" s="846">
        <f t="shared" si="2"/>
        <v>2822794.5924371206</v>
      </c>
      <c r="I38" s="846">
        <f t="shared" si="3"/>
        <v>-76938.59243712062</v>
      </c>
    </row>
    <row r="39" spans="1:9" ht="12.5" x14ac:dyDescent="0.25">
      <c r="A39" s="833">
        <v>35795</v>
      </c>
      <c r="B39" s="833">
        <v>15801</v>
      </c>
      <c r="C39" s="833">
        <v>9</v>
      </c>
      <c r="D39" s="833">
        <v>2022</v>
      </c>
      <c r="E39" s="833">
        <v>6159.9714400000003</v>
      </c>
      <c r="F39" s="833">
        <v>45.142000000000003</v>
      </c>
      <c r="G39" s="833">
        <v>202824</v>
      </c>
      <c r="H39" s="846">
        <f t="shared" si="2"/>
        <v>278073.43074448005</v>
      </c>
      <c r="I39" s="846">
        <f t="shared" si="3"/>
        <v>-75249.430744480051</v>
      </c>
    </row>
    <row r="40" spans="1:9" ht="12.5" x14ac:dyDescent="0.25">
      <c r="A40" s="833">
        <v>35795</v>
      </c>
      <c r="B40" s="833">
        <v>57804</v>
      </c>
      <c r="C40" s="833">
        <v>9</v>
      </c>
      <c r="D40" s="833">
        <v>2022</v>
      </c>
      <c r="E40" s="833">
        <v>6159.9714400000003</v>
      </c>
      <c r="F40" s="833">
        <v>3195.5440000000003</v>
      </c>
      <c r="G40" s="833">
        <v>19609795</v>
      </c>
      <c r="H40" s="846">
        <f t="shared" si="2"/>
        <v>19684459.775263362</v>
      </c>
      <c r="I40" s="846">
        <f t="shared" si="3"/>
        <v>-74664.775263361633</v>
      </c>
    </row>
    <row r="41" spans="1:9" ht="12.5" x14ac:dyDescent="0.25">
      <c r="A41" s="833">
        <v>35795</v>
      </c>
      <c r="B41" s="833">
        <v>220814</v>
      </c>
      <c r="C41" s="833">
        <v>9</v>
      </c>
      <c r="D41" s="833">
        <v>2022</v>
      </c>
      <c r="E41" s="833">
        <v>6159.9714400000003</v>
      </c>
      <c r="F41" s="833">
        <v>274.452</v>
      </c>
      <c r="G41" s="833">
        <v>1622066</v>
      </c>
      <c r="H41" s="846">
        <f t="shared" si="2"/>
        <v>1690616.4816508801</v>
      </c>
      <c r="I41" s="846">
        <f t="shared" si="3"/>
        <v>-68550.481650880072</v>
      </c>
    </row>
    <row r="42" spans="1:9" ht="12.5" x14ac:dyDescent="0.25">
      <c r="A42" s="833">
        <v>35795</v>
      </c>
      <c r="B42" s="833">
        <v>15806</v>
      </c>
      <c r="C42" s="833">
        <v>9</v>
      </c>
      <c r="D42" s="833">
        <v>2022</v>
      </c>
      <c r="E42" s="833">
        <v>6159.9714400000003</v>
      </c>
      <c r="F42" s="833">
        <v>255.262</v>
      </c>
      <c r="G42" s="833">
        <v>1505159</v>
      </c>
      <c r="H42" s="846">
        <f t="shared" si="2"/>
        <v>1572406.6297172802</v>
      </c>
      <c r="I42" s="846">
        <f t="shared" si="3"/>
        <v>-67247.629717280157</v>
      </c>
    </row>
    <row r="43" spans="1:9" ht="12.5" x14ac:dyDescent="0.25">
      <c r="A43" s="833">
        <v>35795</v>
      </c>
      <c r="B43" s="833">
        <v>246802</v>
      </c>
      <c r="C43" s="833">
        <v>9</v>
      </c>
      <c r="D43" s="833">
        <v>2022</v>
      </c>
      <c r="E43" s="833">
        <v>6159.9714400000003</v>
      </c>
      <c r="F43" s="833">
        <v>284.072</v>
      </c>
      <c r="G43" s="833">
        <v>1684231</v>
      </c>
      <c r="H43" s="846">
        <f t="shared" si="2"/>
        <v>1749875.4069036802</v>
      </c>
      <c r="I43" s="846">
        <f t="shared" si="3"/>
        <v>-65644.406903680181</v>
      </c>
    </row>
    <row r="44" spans="1:9" ht="12.5" x14ac:dyDescent="0.25">
      <c r="A44" s="833">
        <v>35795</v>
      </c>
      <c r="B44" s="833">
        <v>105801</v>
      </c>
      <c r="C44" s="833">
        <v>9</v>
      </c>
      <c r="D44" s="833">
        <v>2022</v>
      </c>
      <c r="E44" s="833">
        <v>6159.9714400000003</v>
      </c>
      <c r="F44" s="833">
        <v>84.163000000000011</v>
      </c>
      <c r="G44" s="833">
        <v>454160</v>
      </c>
      <c r="H44" s="846">
        <f t="shared" si="2"/>
        <v>518441.67630472011</v>
      </c>
      <c r="I44" s="846">
        <f t="shared" si="3"/>
        <v>-64281.676304720109</v>
      </c>
    </row>
    <row r="45" spans="1:9" ht="12.5" x14ac:dyDescent="0.25">
      <c r="A45" s="833">
        <v>35795</v>
      </c>
      <c r="B45" s="833">
        <v>220815</v>
      </c>
      <c r="C45" s="833">
        <v>9</v>
      </c>
      <c r="D45" s="833">
        <v>2022</v>
      </c>
      <c r="E45" s="833">
        <v>6159.9714400000003</v>
      </c>
      <c r="F45" s="833">
        <v>588.64</v>
      </c>
      <c r="G45" s="833">
        <v>3563729</v>
      </c>
      <c r="H45" s="846">
        <f t="shared" si="2"/>
        <v>3626005.5884416001</v>
      </c>
      <c r="I45" s="846">
        <f t="shared" si="3"/>
        <v>-62276.588441600092</v>
      </c>
    </row>
    <row r="46" spans="1:9" ht="12.5" x14ac:dyDescent="0.25">
      <c r="A46" s="833">
        <v>35795</v>
      </c>
      <c r="B46" s="833">
        <v>15833</v>
      </c>
      <c r="C46" s="833">
        <v>9</v>
      </c>
      <c r="D46" s="833">
        <v>2022</v>
      </c>
      <c r="E46" s="833">
        <v>6159.9714400000003</v>
      </c>
      <c r="F46" s="833">
        <v>69.674999999999997</v>
      </c>
      <c r="G46" s="833">
        <v>367876</v>
      </c>
      <c r="H46" s="846">
        <f t="shared" si="2"/>
        <v>429196.01008199999</v>
      </c>
      <c r="I46" s="846">
        <f t="shared" si="3"/>
        <v>-61320.010081999993</v>
      </c>
    </row>
    <row r="47" spans="1:9" ht="12.5" x14ac:dyDescent="0.25">
      <c r="A47" s="833">
        <v>35795</v>
      </c>
      <c r="B47" s="833">
        <v>101811</v>
      </c>
      <c r="C47" s="833">
        <v>9</v>
      </c>
      <c r="D47" s="833">
        <v>2022</v>
      </c>
      <c r="E47" s="833">
        <v>6159.9714400000003</v>
      </c>
      <c r="F47" s="833">
        <v>144.37800000000001</v>
      </c>
      <c r="G47" s="833">
        <v>830905</v>
      </c>
      <c r="H47" s="846">
        <f t="shared" si="2"/>
        <v>889364.35656432016</v>
      </c>
      <c r="I47" s="846">
        <f t="shared" si="3"/>
        <v>-58459.356564320158</v>
      </c>
    </row>
    <row r="48" spans="1:9" ht="12.5" x14ac:dyDescent="0.25">
      <c r="A48" s="833">
        <v>35795</v>
      </c>
      <c r="B48" s="833">
        <v>101873</v>
      </c>
      <c r="C48" s="833">
        <v>9</v>
      </c>
      <c r="D48" s="833">
        <v>2022</v>
      </c>
      <c r="E48" s="833">
        <v>6159.9714400000003</v>
      </c>
      <c r="F48" s="833">
        <v>134.57500000000002</v>
      </c>
      <c r="G48" s="833">
        <v>775239</v>
      </c>
      <c r="H48" s="846">
        <f t="shared" si="2"/>
        <v>828978.1565380001</v>
      </c>
      <c r="I48" s="846">
        <f t="shared" si="3"/>
        <v>-53739.156538000097</v>
      </c>
    </row>
    <row r="49" spans="1:9" ht="12.5" x14ac:dyDescent="0.25">
      <c r="A49" s="833">
        <v>35795</v>
      </c>
      <c r="B49" s="833">
        <v>152803</v>
      </c>
      <c r="C49" s="833">
        <v>9</v>
      </c>
      <c r="D49" s="833">
        <v>2022</v>
      </c>
      <c r="E49" s="833">
        <v>6159.9714400000003</v>
      </c>
      <c r="F49" s="833">
        <v>106.102</v>
      </c>
      <c r="G49" s="833">
        <v>600322</v>
      </c>
      <c r="H49" s="846">
        <f t="shared" si="2"/>
        <v>653585.28972688003</v>
      </c>
      <c r="I49" s="846">
        <f t="shared" si="3"/>
        <v>-53263.28972688003</v>
      </c>
    </row>
    <row r="50" spans="1:9" ht="12.5" x14ac:dyDescent="0.25">
      <c r="A50" s="833">
        <v>35795</v>
      </c>
      <c r="B50" s="833">
        <v>101821</v>
      </c>
      <c r="C50" s="833">
        <v>9</v>
      </c>
      <c r="D50" s="833">
        <v>2022</v>
      </c>
      <c r="E50" s="833">
        <v>6159.9714400000003</v>
      </c>
      <c r="F50" s="833">
        <v>139.29300000000001</v>
      </c>
      <c r="G50" s="833">
        <v>809780</v>
      </c>
      <c r="H50" s="846">
        <f t="shared" si="2"/>
        <v>858040.90179192007</v>
      </c>
      <c r="I50" s="846">
        <f t="shared" si="3"/>
        <v>-48260.901791920071</v>
      </c>
    </row>
    <row r="51" spans="1:9" ht="12.5" x14ac:dyDescent="0.25">
      <c r="A51" s="833">
        <v>35795</v>
      </c>
      <c r="B51" s="833">
        <v>226801</v>
      </c>
      <c r="C51" s="833">
        <v>9</v>
      </c>
      <c r="D51" s="833">
        <v>2022</v>
      </c>
      <c r="E51" s="833">
        <v>6159.9714400000003</v>
      </c>
      <c r="F51" s="833">
        <v>3062.7160000000003</v>
      </c>
      <c r="G51" s="833">
        <v>18818770</v>
      </c>
      <c r="H51" s="846">
        <f t="shared" si="2"/>
        <v>18866243.088831045</v>
      </c>
      <c r="I51" s="846">
        <f t="shared" si="3"/>
        <v>-47473.088831044734</v>
      </c>
    </row>
    <row r="52" spans="1:9" ht="12.5" x14ac:dyDescent="0.25">
      <c r="A52" s="833">
        <v>35795</v>
      </c>
      <c r="B52" s="833">
        <v>123803</v>
      </c>
      <c r="C52" s="833">
        <v>9</v>
      </c>
      <c r="D52" s="833">
        <v>2022</v>
      </c>
      <c r="E52" s="833">
        <v>6159.9714400000003</v>
      </c>
      <c r="F52" s="833">
        <v>367.78300000000002</v>
      </c>
      <c r="G52" s="833">
        <v>2218861</v>
      </c>
      <c r="H52" s="846">
        <f t="shared" si="2"/>
        <v>2265532.7761175204</v>
      </c>
      <c r="I52" s="846">
        <f t="shared" si="3"/>
        <v>-46671.776117520407</v>
      </c>
    </row>
    <row r="53" spans="1:9" ht="12.5" x14ac:dyDescent="0.25">
      <c r="A53" s="833">
        <v>35795</v>
      </c>
      <c r="B53" s="833">
        <v>43802</v>
      </c>
      <c r="C53" s="833">
        <v>9</v>
      </c>
      <c r="D53" s="833">
        <v>2022</v>
      </c>
      <c r="E53" s="833">
        <v>6159.9714400000003</v>
      </c>
      <c r="F53" s="833">
        <v>146.43800000000002</v>
      </c>
      <c r="G53" s="833">
        <v>856163</v>
      </c>
      <c r="H53" s="846">
        <f t="shared" si="2"/>
        <v>902053.89773072011</v>
      </c>
      <c r="I53" s="846">
        <f t="shared" si="3"/>
        <v>-45890.897730720113</v>
      </c>
    </row>
    <row r="54" spans="1:9" ht="12.5" x14ac:dyDescent="0.25">
      <c r="A54" s="833">
        <v>35795</v>
      </c>
      <c r="B54" s="833">
        <v>57805</v>
      </c>
      <c r="C54" s="833">
        <v>9</v>
      </c>
      <c r="D54" s="833">
        <v>2022</v>
      </c>
      <c r="E54" s="833">
        <v>6159.9714400000003</v>
      </c>
      <c r="F54" s="833">
        <v>166.37</v>
      </c>
      <c r="G54" s="833">
        <v>982535</v>
      </c>
      <c r="H54" s="846">
        <f t="shared" si="2"/>
        <v>1024834.4484728001</v>
      </c>
      <c r="I54" s="846">
        <f t="shared" si="3"/>
        <v>-42299.448472800083</v>
      </c>
    </row>
    <row r="55" spans="1:9" ht="12.5" x14ac:dyDescent="0.25">
      <c r="A55" s="833">
        <v>35795</v>
      </c>
      <c r="B55" s="833">
        <v>101802</v>
      </c>
      <c r="C55" s="833">
        <v>9</v>
      </c>
      <c r="D55" s="833">
        <v>2022</v>
      </c>
      <c r="E55" s="833">
        <v>6159.9714400000003</v>
      </c>
      <c r="F55" s="833">
        <v>903.66200000000003</v>
      </c>
      <c r="G55" s="833">
        <v>5526604</v>
      </c>
      <c r="H55" s="846">
        <f t="shared" si="2"/>
        <v>5566532.1114132805</v>
      </c>
      <c r="I55" s="846">
        <f t="shared" si="3"/>
        <v>-39928.11141328048</v>
      </c>
    </row>
    <row r="56" spans="1:9" ht="12.5" x14ac:dyDescent="0.25">
      <c r="A56" s="833">
        <v>35795</v>
      </c>
      <c r="B56" s="833">
        <v>15814</v>
      </c>
      <c r="C56" s="833">
        <v>9</v>
      </c>
      <c r="D56" s="833">
        <v>2022</v>
      </c>
      <c r="E56" s="833">
        <v>6159.9714400000003</v>
      </c>
      <c r="F56" s="833">
        <v>56.108000000000004</v>
      </c>
      <c r="G56" s="833">
        <v>309089</v>
      </c>
      <c r="H56" s="846">
        <f t="shared" si="2"/>
        <v>345623.67755552003</v>
      </c>
      <c r="I56" s="846">
        <f t="shared" si="3"/>
        <v>-36534.677555520029</v>
      </c>
    </row>
    <row r="57" spans="1:9" ht="12.5" x14ac:dyDescent="0.25">
      <c r="A57" s="833">
        <v>35795</v>
      </c>
      <c r="B57" s="833">
        <v>101874</v>
      </c>
      <c r="C57" s="833">
        <v>9</v>
      </c>
      <c r="D57" s="833">
        <v>2022</v>
      </c>
      <c r="E57" s="833">
        <v>6159.9714400000003</v>
      </c>
      <c r="F57" s="833">
        <v>295.20999999999998</v>
      </c>
      <c r="G57" s="833">
        <v>1785147</v>
      </c>
      <c r="H57" s="846">
        <f t="shared" si="2"/>
        <v>1818485.1688023999</v>
      </c>
      <c r="I57" s="846">
        <f t="shared" si="3"/>
        <v>-33338.168802399887</v>
      </c>
    </row>
    <row r="58" spans="1:9" ht="12.5" x14ac:dyDescent="0.25">
      <c r="A58" s="833">
        <v>35795</v>
      </c>
      <c r="B58" s="833">
        <v>227821</v>
      </c>
      <c r="C58" s="833">
        <v>9</v>
      </c>
      <c r="D58" s="833">
        <v>2022</v>
      </c>
      <c r="E58" s="833">
        <v>6159.9714400000003</v>
      </c>
      <c r="F58" s="833">
        <v>371.23400000000004</v>
      </c>
      <c r="G58" s="833">
        <v>2253663</v>
      </c>
      <c r="H58" s="846">
        <f t="shared" si="2"/>
        <v>2286790.8375569605</v>
      </c>
      <c r="I58" s="846">
        <f t="shared" si="3"/>
        <v>-33127.837556960527</v>
      </c>
    </row>
    <row r="59" spans="1:9" ht="12.5" x14ac:dyDescent="0.25">
      <c r="A59" s="833">
        <v>35795</v>
      </c>
      <c r="B59" s="833">
        <v>71803</v>
      </c>
      <c r="C59" s="833">
        <v>9</v>
      </c>
      <c r="D59" s="833">
        <v>2022</v>
      </c>
      <c r="E59" s="833">
        <v>6159.9714400000003</v>
      </c>
      <c r="F59" s="833">
        <v>157.37200000000001</v>
      </c>
      <c r="G59" s="833">
        <v>936865</v>
      </c>
      <c r="H59" s="846">
        <f t="shared" si="2"/>
        <v>969407.02545568009</v>
      </c>
      <c r="I59" s="846">
        <f t="shared" si="3"/>
        <v>-32542.025455680094</v>
      </c>
    </row>
    <row r="60" spans="1:9" ht="12.5" x14ac:dyDescent="0.25">
      <c r="A60" s="833">
        <v>35795</v>
      </c>
      <c r="B60" s="833">
        <v>236801</v>
      </c>
      <c r="C60" s="833">
        <v>9</v>
      </c>
      <c r="D60" s="833">
        <v>2022</v>
      </c>
      <c r="E60" s="833">
        <v>6159.9714400000003</v>
      </c>
      <c r="F60" s="833">
        <v>5.03</v>
      </c>
      <c r="G60" s="833">
        <v>0</v>
      </c>
      <c r="H60" s="846">
        <f t="shared" si="2"/>
        <v>30984.656343200004</v>
      </c>
      <c r="I60" s="846">
        <f t="shared" si="3"/>
        <v>-30984.656343200004</v>
      </c>
    </row>
    <row r="61" spans="1:9" ht="12.5" x14ac:dyDescent="0.25">
      <c r="A61" s="833">
        <v>35795</v>
      </c>
      <c r="B61" s="833">
        <v>101828</v>
      </c>
      <c r="C61" s="833">
        <v>9</v>
      </c>
      <c r="D61" s="833">
        <v>2022</v>
      </c>
      <c r="E61" s="833">
        <v>6159.9714400000003</v>
      </c>
      <c r="F61" s="833">
        <v>1791.0740000000001</v>
      </c>
      <c r="G61" s="833">
        <v>11002784</v>
      </c>
      <c r="H61" s="846">
        <f t="shared" si="2"/>
        <v>11032964.68692656</v>
      </c>
      <c r="I61" s="846">
        <f t="shared" si="3"/>
        <v>-30180.686926560476</v>
      </c>
    </row>
    <row r="62" spans="1:9" ht="12.5" x14ac:dyDescent="0.25">
      <c r="A62" s="833">
        <v>35795</v>
      </c>
      <c r="B62" s="833">
        <v>220811</v>
      </c>
      <c r="C62" s="833">
        <v>9</v>
      </c>
      <c r="D62" s="833">
        <v>2022</v>
      </c>
      <c r="E62" s="833">
        <v>6159.9714400000003</v>
      </c>
      <c r="F62" s="833">
        <v>163.33000000000001</v>
      </c>
      <c r="G62" s="833">
        <v>977640</v>
      </c>
      <c r="H62" s="846">
        <f t="shared" si="2"/>
        <v>1006108.1352952002</v>
      </c>
      <c r="I62" s="846">
        <f t="shared" si="3"/>
        <v>-28468.135295200162</v>
      </c>
    </row>
    <row r="63" spans="1:9" ht="12.5" x14ac:dyDescent="0.25">
      <c r="A63" s="833">
        <v>35795</v>
      </c>
      <c r="B63" s="833">
        <v>57831</v>
      </c>
      <c r="C63" s="833">
        <v>9</v>
      </c>
      <c r="D63" s="833">
        <v>2022</v>
      </c>
      <c r="E63" s="833">
        <v>6159.9714400000003</v>
      </c>
      <c r="F63" s="833">
        <v>482.70800000000003</v>
      </c>
      <c r="G63" s="833">
        <v>2947305</v>
      </c>
      <c r="H63" s="846">
        <f t="shared" si="2"/>
        <v>2973467.4938595202</v>
      </c>
      <c r="I63" s="846">
        <f t="shared" si="3"/>
        <v>-26162.493859520182</v>
      </c>
    </row>
    <row r="64" spans="1:9" ht="12.5" x14ac:dyDescent="0.25">
      <c r="A64" s="833">
        <v>35795</v>
      </c>
      <c r="B64" s="833">
        <v>57802</v>
      </c>
      <c r="C64" s="833">
        <v>9</v>
      </c>
      <c r="D64" s="833">
        <v>2022</v>
      </c>
      <c r="E64" s="833">
        <v>6159.9714400000003</v>
      </c>
      <c r="F64" s="833">
        <v>417.21100000000001</v>
      </c>
      <c r="G64" s="833">
        <v>2544043</v>
      </c>
      <c r="H64" s="846">
        <f t="shared" si="2"/>
        <v>2570007.8444538401</v>
      </c>
      <c r="I64" s="846">
        <f t="shared" si="3"/>
        <v>-25964.844453840051</v>
      </c>
    </row>
    <row r="65" spans="1:9" ht="12.5" x14ac:dyDescent="0.25">
      <c r="A65" s="833">
        <v>35795</v>
      </c>
      <c r="B65" s="833">
        <v>71804</v>
      </c>
      <c r="C65" s="833">
        <v>9</v>
      </c>
      <c r="D65" s="833">
        <v>2022</v>
      </c>
      <c r="E65" s="833">
        <v>6159.9714400000003</v>
      </c>
      <c r="F65" s="833">
        <v>219.13400000000001</v>
      </c>
      <c r="G65" s="833">
        <v>1324014</v>
      </c>
      <c r="H65" s="846">
        <f t="shared" si="2"/>
        <v>1349859.1815329602</v>
      </c>
      <c r="I65" s="846">
        <f t="shared" si="3"/>
        <v>-25845.181532960152</v>
      </c>
    </row>
    <row r="66" spans="1:9" ht="12.5" x14ac:dyDescent="0.25">
      <c r="A66" s="833">
        <v>35795</v>
      </c>
      <c r="B66" s="833">
        <v>21805</v>
      </c>
      <c r="C66" s="833">
        <v>9</v>
      </c>
      <c r="D66" s="833">
        <v>2022</v>
      </c>
      <c r="E66" s="833">
        <v>6159.9714400000003</v>
      </c>
      <c r="F66" s="833">
        <v>536.61099999999999</v>
      </c>
      <c r="G66" s="833">
        <v>3279841</v>
      </c>
      <c r="H66" s="846">
        <f t="shared" si="2"/>
        <v>3305508.4343898399</v>
      </c>
      <c r="I66" s="846">
        <f t="shared" si="3"/>
        <v>-25667.43438983988</v>
      </c>
    </row>
    <row r="67" spans="1:9" ht="12.5" x14ac:dyDescent="0.25">
      <c r="A67" s="833">
        <v>35795</v>
      </c>
      <c r="B67" s="833">
        <v>21803</v>
      </c>
      <c r="C67" s="833">
        <v>9</v>
      </c>
      <c r="D67" s="833">
        <v>2022</v>
      </c>
      <c r="E67" s="833">
        <v>6159.9714400000003</v>
      </c>
      <c r="F67" s="833">
        <v>261.428</v>
      </c>
      <c r="G67" s="833">
        <v>1585129</v>
      </c>
      <c r="H67" s="846">
        <f t="shared" ref="H67:H98" si="4">E67*F67</f>
        <v>1610389.01361632</v>
      </c>
      <c r="I67" s="846">
        <f t="shared" ref="I67:I98" si="5">G67-H67</f>
        <v>-25260.013616319979</v>
      </c>
    </row>
    <row r="68" spans="1:9" ht="12.5" x14ac:dyDescent="0.25">
      <c r="A68" s="833">
        <v>35795</v>
      </c>
      <c r="B68" s="833">
        <v>178807</v>
      </c>
      <c r="C68" s="833">
        <v>9</v>
      </c>
      <c r="D68" s="833">
        <v>2022</v>
      </c>
      <c r="E68" s="833">
        <v>6159.9714400000003</v>
      </c>
      <c r="F68" s="833">
        <v>106.396</v>
      </c>
      <c r="G68" s="833">
        <v>631292</v>
      </c>
      <c r="H68" s="846">
        <f t="shared" si="4"/>
        <v>655396.32133024</v>
      </c>
      <c r="I68" s="846">
        <f t="shared" si="5"/>
        <v>-24104.321330239996</v>
      </c>
    </row>
    <row r="69" spans="1:9" ht="12.5" x14ac:dyDescent="0.25">
      <c r="A69" s="833">
        <v>35795</v>
      </c>
      <c r="B69" s="833">
        <v>178808</v>
      </c>
      <c r="C69" s="833">
        <v>9</v>
      </c>
      <c r="D69" s="833">
        <v>2022</v>
      </c>
      <c r="E69" s="833">
        <v>6159.9714400000003</v>
      </c>
      <c r="F69" s="833">
        <v>459.971</v>
      </c>
      <c r="G69" s="833">
        <v>2810676</v>
      </c>
      <c r="H69" s="846">
        <f t="shared" si="4"/>
        <v>2833408.2232282399</v>
      </c>
      <c r="I69" s="846">
        <f t="shared" si="5"/>
        <v>-22732.22322823992</v>
      </c>
    </row>
    <row r="70" spans="1:9" ht="12.5" x14ac:dyDescent="0.25">
      <c r="A70" s="833">
        <v>35795</v>
      </c>
      <c r="B70" s="833">
        <v>240801</v>
      </c>
      <c r="C70" s="833">
        <v>9</v>
      </c>
      <c r="D70" s="833">
        <v>2022</v>
      </c>
      <c r="E70" s="833">
        <v>6159.9714400000003</v>
      </c>
      <c r="F70" s="833">
        <v>140.17700000000002</v>
      </c>
      <c r="G70" s="833">
        <v>841733</v>
      </c>
      <c r="H70" s="846">
        <f t="shared" si="4"/>
        <v>863486.31654488016</v>
      </c>
      <c r="I70" s="846">
        <f t="shared" si="5"/>
        <v>-21753.316544880159</v>
      </c>
    </row>
    <row r="71" spans="1:9" ht="12.5" x14ac:dyDescent="0.25">
      <c r="A71" s="833">
        <v>35795</v>
      </c>
      <c r="B71" s="833">
        <v>234801</v>
      </c>
      <c r="C71" s="833">
        <v>9</v>
      </c>
      <c r="D71" s="833">
        <v>2022</v>
      </c>
      <c r="E71" s="833">
        <v>6159.9714400000003</v>
      </c>
      <c r="F71" s="833">
        <v>57.682000000000002</v>
      </c>
      <c r="G71" s="833">
        <v>334084</v>
      </c>
      <c r="H71" s="846">
        <f t="shared" si="4"/>
        <v>355319.47260208003</v>
      </c>
      <c r="I71" s="846">
        <f t="shared" si="5"/>
        <v>-21235.47260208003</v>
      </c>
    </row>
    <row r="72" spans="1:9" ht="12.5" x14ac:dyDescent="0.25">
      <c r="A72" s="833">
        <v>35795</v>
      </c>
      <c r="B72" s="833">
        <v>101853</v>
      </c>
      <c r="C72" s="833">
        <v>9</v>
      </c>
      <c r="D72" s="833">
        <v>2022</v>
      </c>
      <c r="E72" s="833">
        <v>6159.9714400000003</v>
      </c>
      <c r="F72" s="833">
        <v>1085.8869999999999</v>
      </c>
      <c r="G72" s="833">
        <v>6669463</v>
      </c>
      <c r="H72" s="846">
        <f t="shared" si="4"/>
        <v>6689032.9070672803</v>
      </c>
      <c r="I72" s="846">
        <f t="shared" si="5"/>
        <v>-19569.907067280263</v>
      </c>
    </row>
    <row r="73" spans="1:9" ht="12.5" x14ac:dyDescent="0.25">
      <c r="A73" s="833">
        <v>35795</v>
      </c>
      <c r="B73" s="833">
        <v>101849</v>
      </c>
      <c r="C73" s="833">
        <v>9</v>
      </c>
      <c r="D73" s="833">
        <v>2022</v>
      </c>
      <c r="E73" s="833">
        <v>6159.9714400000003</v>
      </c>
      <c r="F73" s="833">
        <v>191.69400000000002</v>
      </c>
      <c r="G73" s="833">
        <v>1161527</v>
      </c>
      <c r="H73" s="846">
        <f t="shared" si="4"/>
        <v>1180829.5652193602</v>
      </c>
      <c r="I73" s="846">
        <f t="shared" si="5"/>
        <v>-19302.565219360171</v>
      </c>
    </row>
    <row r="74" spans="1:9" ht="12.5" x14ac:dyDescent="0.25">
      <c r="A74" s="833">
        <v>35795</v>
      </c>
      <c r="B74" s="833">
        <v>57809</v>
      </c>
      <c r="C74" s="833">
        <v>9</v>
      </c>
      <c r="D74" s="833">
        <v>2022</v>
      </c>
      <c r="E74" s="833">
        <v>6159.9714400000003</v>
      </c>
      <c r="F74" s="833">
        <v>91.817000000000007</v>
      </c>
      <c r="G74" s="833">
        <v>547273</v>
      </c>
      <c r="H74" s="846">
        <f t="shared" si="4"/>
        <v>565590.09770648007</v>
      </c>
      <c r="I74" s="846">
        <f t="shared" si="5"/>
        <v>-18317.097706480068</v>
      </c>
    </row>
    <row r="75" spans="1:9" ht="12.5" x14ac:dyDescent="0.25">
      <c r="A75" s="833">
        <v>35795</v>
      </c>
      <c r="B75" s="833">
        <v>71809</v>
      </c>
      <c r="C75" s="833">
        <v>9</v>
      </c>
      <c r="D75" s="833">
        <v>2022</v>
      </c>
      <c r="E75" s="833">
        <v>6159.9714400000003</v>
      </c>
      <c r="F75" s="833">
        <v>272.435</v>
      </c>
      <c r="G75" s="833">
        <v>1660532</v>
      </c>
      <c r="H75" s="846">
        <f t="shared" si="4"/>
        <v>1678191.8192564</v>
      </c>
      <c r="I75" s="846">
        <f t="shared" si="5"/>
        <v>-17659.819256399991</v>
      </c>
    </row>
    <row r="76" spans="1:9" ht="12.5" x14ac:dyDescent="0.25">
      <c r="A76" s="833">
        <v>35795</v>
      </c>
      <c r="B76" s="833">
        <v>101804</v>
      </c>
      <c r="C76" s="833">
        <v>9</v>
      </c>
      <c r="D76" s="833">
        <v>2022</v>
      </c>
      <c r="E76" s="833">
        <v>6159.9714400000003</v>
      </c>
      <c r="F76" s="833">
        <v>706.572</v>
      </c>
      <c r="G76" s="833">
        <v>4335831</v>
      </c>
      <c r="H76" s="846">
        <f t="shared" si="4"/>
        <v>4352463.3403036799</v>
      </c>
      <c r="I76" s="846">
        <f t="shared" si="5"/>
        <v>-16632.340303679928</v>
      </c>
    </row>
    <row r="77" spans="1:9" ht="12.5" x14ac:dyDescent="0.25">
      <c r="A77" s="833">
        <v>35795</v>
      </c>
      <c r="B77" s="833">
        <v>183801</v>
      </c>
      <c r="C77" s="833">
        <v>9</v>
      </c>
      <c r="D77" s="833">
        <v>2022</v>
      </c>
      <c r="E77" s="833">
        <v>6159.9714400000003</v>
      </c>
      <c r="F77" s="833">
        <v>161.553</v>
      </c>
      <c r="G77" s="833">
        <v>980721</v>
      </c>
      <c r="H77" s="846">
        <f t="shared" si="4"/>
        <v>995161.86604632006</v>
      </c>
      <c r="I77" s="846">
        <f t="shared" si="5"/>
        <v>-14440.866046320065</v>
      </c>
    </row>
    <row r="78" spans="1:9" ht="12.5" x14ac:dyDescent="0.25">
      <c r="A78" s="833">
        <v>35795</v>
      </c>
      <c r="B78" s="833">
        <v>123807</v>
      </c>
      <c r="C78" s="833">
        <v>9</v>
      </c>
      <c r="D78" s="833">
        <v>2022</v>
      </c>
      <c r="E78" s="833">
        <v>6159.9714400000003</v>
      </c>
      <c r="F78" s="833">
        <v>1703.2380000000001</v>
      </c>
      <c r="G78" s="833">
        <v>10479150</v>
      </c>
      <c r="H78" s="846">
        <f t="shared" si="4"/>
        <v>10491897.43552272</v>
      </c>
      <c r="I78" s="846">
        <f t="shared" si="5"/>
        <v>-12747.435522720218</v>
      </c>
    </row>
    <row r="79" spans="1:9" ht="12.5" x14ac:dyDescent="0.25">
      <c r="A79" s="833">
        <v>35795</v>
      </c>
      <c r="B79" s="833">
        <v>68803</v>
      </c>
      <c r="C79" s="833">
        <v>9</v>
      </c>
      <c r="D79" s="833">
        <v>2022</v>
      </c>
      <c r="E79" s="833">
        <v>6159.9714400000003</v>
      </c>
      <c r="F79" s="833">
        <v>632.68900000000008</v>
      </c>
      <c r="G79" s="833">
        <v>3885315</v>
      </c>
      <c r="H79" s="846">
        <f t="shared" si="4"/>
        <v>3897346.1704021608</v>
      </c>
      <c r="I79" s="846">
        <f t="shared" si="5"/>
        <v>-12031.170402160846</v>
      </c>
    </row>
    <row r="80" spans="1:9" ht="12.5" x14ac:dyDescent="0.25">
      <c r="A80" s="833">
        <v>35795</v>
      </c>
      <c r="B80" s="833">
        <v>101842</v>
      </c>
      <c r="C80" s="833">
        <v>9</v>
      </c>
      <c r="D80" s="833">
        <v>2022</v>
      </c>
      <c r="E80" s="833">
        <v>6159.9714400000003</v>
      </c>
      <c r="F80" s="833">
        <v>16.571000000000002</v>
      </c>
      <c r="G80" s="833">
        <v>93360</v>
      </c>
      <c r="H80" s="846">
        <f t="shared" si="4"/>
        <v>102076.88673224002</v>
      </c>
      <c r="I80" s="846">
        <f t="shared" si="5"/>
        <v>-8716.8867322400183</v>
      </c>
    </row>
    <row r="81" spans="1:9" ht="12.5" x14ac:dyDescent="0.25">
      <c r="A81" s="833">
        <v>35795</v>
      </c>
      <c r="B81" s="833">
        <v>57839</v>
      </c>
      <c r="C81" s="833">
        <v>9</v>
      </c>
      <c r="D81" s="833">
        <v>2022</v>
      </c>
      <c r="E81" s="833">
        <v>6159.9714400000003</v>
      </c>
      <c r="F81" s="833">
        <v>848.197</v>
      </c>
      <c r="G81" s="833">
        <v>5216942</v>
      </c>
      <c r="H81" s="846">
        <f t="shared" si="4"/>
        <v>5224869.2954936801</v>
      </c>
      <c r="I81" s="846">
        <f t="shared" si="5"/>
        <v>-7927.2954936800525</v>
      </c>
    </row>
    <row r="82" spans="1:9" ht="12.5" x14ac:dyDescent="0.25">
      <c r="A82" s="833">
        <v>35795</v>
      </c>
      <c r="B82" s="833">
        <v>57840</v>
      </c>
      <c r="C82" s="833">
        <v>9</v>
      </c>
      <c r="D82" s="833">
        <v>2022</v>
      </c>
      <c r="E82" s="833">
        <v>6159.9714400000003</v>
      </c>
      <c r="F82" s="833">
        <v>237.90200000000002</v>
      </c>
      <c r="G82" s="833">
        <v>1458441</v>
      </c>
      <c r="H82" s="846">
        <f t="shared" si="4"/>
        <v>1465469.5255188802</v>
      </c>
      <c r="I82" s="846">
        <f t="shared" si="5"/>
        <v>-7028.5255188802257</v>
      </c>
    </row>
    <row r="83" spans="1:9" ht="12.5" x14ac:dyDescent="0.25">
      <c r="A83" s="833">
        <v>35795</v>
      </c>
      <c r="B83" s="833">
        <v>14804</v>
      </c>
      <c r="C83" s="833">
        <v>9</v>
      </c>
      <c r="D83" s="833">
        <v>2022</v>
      </c>
      <c r="E83" s="833">
        <v>6159.9714400000003</v>
      </c>
      <c r="F83" s="833">
        <v>1605</v>
      </c>
      <c r="G83" s="833">
        <v>9882630</v>
      </c>
      <c r="H83" s="846">
        <f t="shared" si="4"/>
        <v>9886754.1612</v>
      </c>
      <c r="I83" s="846">
        <f t="shared" si="5"/>
        <v>-4124.1611999999732</v>
      </c>
    </row>
    <row r="84" spans="1:9" ht="12.5" x14ac:dyDescent="0.25">
      <c r="A84" s="675">
        <v>35795</v>
      </c>
      <c r="B84" s="675">
        <v>15835</v>
      </c>
      <c r="C84" s="675">
        <v>9</v>
      </c>
      <c r="D84" s="675">
        <v>2022</v>
      </c>
      <c r="E84" s="675">
        <v>6159.9714400000003</v>
      </c>
      <c r="F84" s="675">
        <v>7474.45</v>
      </c>
      <c r="G84" s="675">
        <v>46042398</v>
      </c>
      <c r="H84" s="844">
        <f t="shared" si="4"/>
        <v>46042398.529707998</v>
      </c>
      <c r="I84" s="844">
        <f t="shared" si="5"/>
        <v>-0.52970799803733826</v>
      </c>
    </row>
    <row r="85" spans="1:9" ht="12.5" x14ac:dyDescent="0.25">
      <c r="A85" s="675">
        <v>35795</v>
      </c>
      <c r="B85" s="675">
        <v>101845</v>
      </c>
      <c r="C85" s="675">
        <v>9</v>
      </c>
      <c r="D85" s="675">
        <v>2022</v>
      </c>
      <c r="E85" s="675">
        <v>6159.9714400000003</v>
      </c>
      <c r="F85" s="675">
        <v>12024.637000000001</v>
      </c>
      <c r="G85" s="675">
        <v>74071420</v>
      </c>
      <c r="H85" s="844">
        <f t="shared" si="4"/>
        <v>74071420.496367291</v>
      </c>
      <c r="I85" s="844">
        <f t="shared" si="5"/>
        <v>-0.49636729061603546</v>
      </c>
    </row>
    <row r="86" spans="1:9" ht="12.5" x14ac:dyDescent="0.25">
      <c r="A86" s="675">
        <v>35795</v>
      </c>
      <c r="B86" s="675">
        <v>227824</v>
      </c>
      <c r="C86" s="675">
        <v>9</v>
      </c>
      <c r="D86" s="675">
        <v>2022</v>
      </c>
      <c r="E86" s="675">
        <v>6159.9714400000003</v>
      </c>
      <c r="F86" s="675">
        <v>832.80799999999999</v>
      </c>
      <c r="G86" s="675">
        <v>5130073</v>
      </c>
      <c r="H86" s="844">
        <f t="shared" si="4"/>
        <v>5130073.4950035205</v>
      </c>
      <c r="I86" s="844">
        <f t="shared" si="5"/>
        <v>-0.49500352051109076</v>
      </c>
    </row>
    <row r="87" spans="1:9" ht="12.5" x14ac:dyDescent="0.25">
      <c r="A87" s="675">
        <v>35795</v>
      </c>
      <c r="B87" s="675">
        <v>220802</v>
      </c>
      <c r="C87" s="675">
        <v>9</v>
      </c>
      <c r="D87" s="675">
        <v>2022</v>
      </c>
      <c r="E87" s="675">
        <v>6159.9714400000003</v>
      </c>
      <c r="F87" s="675">
        <v>1432.94</v>
      </c>
      <c r="G87" s="675">
        <v>8826869</v>
      </c>
      <c r="H87" s="844">
        <f t="shared" si="4"/>
        <v>8826869.4752336014</v>
      </c>
      <c r="I87" s="844">
        <f t="shared" si="5"/>
        <v>-0.47523360140621662</v>
      </c>
    </row>
    <row r="88" spans="1:9" ht="12.5" x14ac:dyDescent="0.25">
      <c r="A88" s="675">
        <v>35795</v>
      </c>
      <c r="B88" s="675">
        <v>15840</v>
      </c>
      <c r="C88" s="675">
        <v>9</v>
      </c>
      <c r="D88" s="675">
        <v>2022</v>
      </c>
      <c r="E88" s="675">
        <v>6159.9714400000003</v>
      </c>
      <c r="F88" s="675">
        <v>161.66300000000001</v>
      </c>
      <c r="G88" s="675">
        <v>995839</v>
      </c>
      <c r="H88" s="844">
        <f t="shared" si="4"/>
        <v>995839.4629047201</v>
      </c>
      <c r="I88" s="844">
        <f t="shared" si="5"/>
        <v>-0.46290472010150552</v>
      </c>
    </row>
    <row r="89" spans="1:9" ht="12.5" x14ac:dyDescent="0.25">
      <c r="A89" s="675">
        <v>35795</v>
      </c>
      <c r="B89" s="675">
        <v>101877</v>
      </c>
      <c r="C89" s="675">
        <v>9</v>
      </c>
      <c r="D89" s="675">
        <v>2022</v>
      </c>
      <c r="E89" s="675">
        <v>6159.9714400000003</v>
      </c>
      <c r="F89" s="675">
        <v>37.297000000000004</v>
      </c>
      <c r="G89" s="675">
        <v>229748</v>
      </c>
      <c r="H89" s="844">
        <f t="shared" si="4"/>
        <v>229748.45479768002</v>
      </c>
      <c r="I89" s="844">
        <f t="shared" si="5"/>
        <v>-0.45479768002405763</v>
      </c>
    </row>
    <row r="90" spans="1:9" ht="12.5" x14ac:dyDescent="0.25">
      <c r="A90" s="675">
        <v>35795</v>
      </c>
      <c r="B90" s="675">
        <v>57834</v>
      </c>
      <c r="C90" s="675">
        <v>9</v>
      </c>
      <c r="D90" s="675">
        <v>2022</v>
      </c>
      <c r="E90" s="675">
        <v>6159.9714400000003</v>
      </c>
      <c r="F90" s="675">
        <v>345.72700000000003</v>
      </c>
      <c r="G90" s="675">
        <v>2129668</v>
      </c>
      <c r="H90" s="844">
        <f t="shared" si="4"/>
        <v>2129668.4460368804</v>
      </c>
      <c r="I90" s="844">
        <f t="shared" si="5"/>
        <v>-0.44603688037022948</v>
      </c>
    </row>
    <row r="91" spans="1:9" ht="12.5" x14ac:dyDescent="0.25">
      <c r="A91" s="675">
        <v>35795</v>
      </c>
      <c r="B91" s="675">
        <v>15831</v>
      </c>
      <c r="C91" s="675">
        <v>9</v>
      </c>
      <c r="D91" s="675">
        <v>2022</v>
      </c>
      <c r="E91" s="675">
        <v>6159.9714400000003</v>
      </c>
      <c r="F91" s="675">
        <v>4274.8720000000003</v>
      </c>
      <c r="G91" s="675">
        <v>26333089</v>
      </c>
      <c r="H91" s="844">
        <f t="shared" si="4"/>
        <v>26333089.429655682</v>
      </c>
      <c r="I91" s="844">
        <f t="shared" si="5"/>
        <v>-0.42965568229556084</v>
      </c>
    </row>
    <row r="92" spans="1:9" ht="12.5" x14ac:dyDescent="0.25">
      <c r="A92" s="675">
        <v>35795</v>
      </c>
      <c r="B92" s="675">
        <v>15827</v>
      </c>
      <c r="C92" s="675">
        <v>9</v>
      </c>
      <c r="D92" s="675">
        <v>2022</v>
      </c>
      <c r="E92" s="675">
        <v>6159.9714400000003</v>
      </c>
      <c r="F92" s="675">
        <v>3162.0420000000004</v>
      </c>
      <c r="G92" s="675">
        <v>19478088</v>
      </c>
      <c r="H92" s="844">
        <f t="shared" si="4"/>
        <v>19478088.412080482</v>
      </c>
      <c r="I92" s="844">
        <f t="shared" si="5"/>
        <v>-0.41208048164844513</v>
      </c>
    </row>
    <row r="93" spans="1:9" ht="12.5" x14ac:dyDescent="0.25">
      <c r="A93" s="675">
        <v>35795</v>
      </c>
      <c r="B93" s="675">
        <v>72801</v>
      </c>
      <c r="C93" s="675">
        <v>9</v>
      </c>
      <c r="D93" s="675">
        <v>2022</v>
      </c>
      <c r="E93" s="675">
        <v>6159.9714400000003</v>
      </c>
      <c r="F93" s="675">
        <v>4754.97</v>
      </c>
      <c r="G93" s="675">
        <v>29290479</v>
      </c>
      <c r="H93" s="844">
        <f t="shared" si="4"/>
        <v>29290479.398056801</v>
      </c>
      <c r="I93" s="844">
        <f t="shared" si="5"/>
        <v>-0.39805680140852928</v>
      </c>
    </row>
    <row r="94" spans="1:9" ht="12.5" x14ac:dyDescent="0.25">
      <c r="A94" s="675">
        <v>35795</v>
      </c>
      <c r="B94" s="675">
        <v>227820</v>
      </c>
      <c r="C94" s="675">
        <v>9</v>
      </c>
      <c r="D94" s="675">
        <v>2022</v>
      </c>
      <c r="E94" s="675">
        <v>6159.9714400000003</v>
      </c>
      <c r="F94" s="675">
        <v>26685.097000000002</v>
      </c>
      <c r="G94" s="675">
        <v>164379435</v>
      </c>
      <c r="H94" s="844">
        <f t="shared" si="4"/>
        <v>164379435.3936297</v>
      </c>
      <c r="I94" s="844">
        <f t="shared" si="5"/>
        <v>-0.39362969994544983</v>
      </c>
    </row>
    <row r="95" spans="1:9" ht="12.5" x14ac:dyDescent="0.25">
      <c r="A95" s="675">
        <v>35795</v>
      </c>
      <c r="B95" s="675">
        <v>15802</v>
      </c>
      <c r="C95" s="675">
        <v>9</v>
      </c>
      <c r="D95" s="675">
        <v>2022</v>
      </c>
      <c r="E95" s="675">
        <v>6159.9714400000003</v>
      </c>
      <c r="F95" s="675">
        <v>553.59500000000003</v>
      </c>
      <c r="G95" s="675">
        <v>3410129</v>
      </c>
      <c r="H95" s="844">
        <f t="shared" si="4"/>
        <v>3410129.3893268001</v>
      </c>
      <c r="I95" s="844">
        <f t="shared" si="5"/>
        <v>-0.38932680012658238</v>
      </c>
    </row>
    <row r="96" spans="1:9" ht="12.5" x14ac:dyDescent="0.25">
      <c r="A96" s="675">
        <v>35795</v>
      </c>
      <c r="B96" s="675">
        <v>227825</v>
      </c>
      <c r="C96" s="675">
        <v>9</v>
      </c>
      <c r="D96" s="675">
        <v>2022</v>
      </c>
      <c r="E96" s="675">
        <v>6159.9714400000003</v>
      </c>
      <c r="F96" s="675">
        <v>1912.1750000000002</v>
      </c>
      <c r="G96" s="675">
        <v>11778943</v>
      </c>
      <c r="H96" s="844">
        <f t="shared" si="4"/>
        <v>11778943.388282001</v>
      </c>
      <c r="I96" s="844">
        <f t="shared" si="5"/>
        <v>-0.38828200101852417</v>
      </c>
    </row>
    <row r="97" spans="1:9" ht="12.5" x14ac:dyDescent="0.25">
      <c r="A97" s="675">
        <v>35795</v>
      </c>
      <c r="B97" s="675">
        <v>61804</v>
      </c>
      <c r="C97" s="675">
        <v>9</v>
      </c>
      <c r="D97" s="675">
        <v>2022</v>
      </c>
      <c r="E97" s="675">
        <v>6159.9714400000003</v>
      </c>
      <c r="F97" s="675">
        <v>1136.299</v>
      </c>
      <c r="G97" s="675">
        <v>6999569</v>
      </c>
      <c r="H97" s="844">
        <f t="shared" si="4"/>
        <v>6999569.3873005603</v>
      </c>
      <c r="I97" s="844">
        <f t="shared" si="5"/>
        <v>-0.38730056025087833</v>
      </c>
    </row>
    <row r="98" spans="1:9" ht="12.5" x14ac:dyDescent="0.25">
      <c r="A98" s="675">
        <v>35795</v>
      </c>
      <c r="B98" s="675">
        <v>227827</v>
      </c>
      <c r="C98" s="675">
        <v>9</v>
      </c>
      <c r="D98" s="675">
        <v>2022</v>
      </c>
      <c r="E98" s="675">
        <v>6159.9714400000003</v>
      </c>
      <c r="F98" s="675">
        <v>467.41700000000003</v>
      </c>
      <c r="G98" s="675">
        <v>2879275</v>
      </c>
      <c r="H98" s="844">
        <f t="shared" si="4"/>
        <v>2879275.3705704804</v>
      </c>
      <c r="I98" s="844">
        <f t="shared" si="5"/>
        <v>-0.37057048035785556</v>
      </c>
    </row>
    <row r="99" spans="1:9" ht="12.5" x14ac:dyDescent="0.25">
      <c r="A99" s="675">
        <v>35795</v>
      </c>
      <c r="B99" s="675">
        <v>15815</v>
      </c>
      <c r="C99" s="675">
        <v>9</v>
      </c>
      <c r="D99" s="675">
        <v>2022</v>
      </c>
      <c r="E99" s="675">
        <v>6159.9714400000003</v>
      </c>
      <c r="F99" s="675">
        <v>461.81600000000003</v>
      </c>
      <c r="G99" s="675">
        <v>2844773</v>
      </c>
      <c r="H99" s="844">
        <f t="shared" ref="H99:H130" si="6">E99*F99</f>
        <v>2844773.3705350403</v>
      </c>
      <c r="I99" s="844">
        <f t="shared" ref="I99:I130" si="7">G99-H99</f>
        <v>-0.37053504027426243</v>
      </c>
    </row>
    <row r="100" spans="1:9" ht="12.5" x14ac:dyDescent="0.25">
      <c r="A100" s="675">
        <v>35795</v>
      </c>
      <c r="B100" s="675">
        <v>161801</v>
      </c>
      <c r="C100" s="675">
        <v>9</v>
      </c>
      <c r="D100" s="675">
        <v>2022</v>
      </c>
      <c r="E100" s="675">
        <v>6159.9714400000003</v>
      </c>
      <c r="F100" s="675">
        <v>155.18</v>
      </c>
      <c r="G100" s="675">
        <v>955904</v>
      </c>
      <c r="H100" s="844">
        <f t="shared" si="6"/>
        <v>955904.36805920012</v>
      </c>
      <c r="I100" s="844">
        <f t="shared" si="7"/>
        <v>-0.36805920011829585</v>
      </c>
    </row>
    <row r="101" spans="1:9" ht="12.5" x14ac:dyDescent="0.25">
      <c r="A101" s="675">
        <v>35795</v>
      </c>
      <c r="B101" s="675">
        <v>220810</v>
      </c>
      <c r="C101" s="675">
        <v>9</v>
      </c>
      <c r="D101" s="675">
        <v>2022</v>
      </c>
      <c r="E101" s="675">
        <v>6159.9714400000003</v>
      </c>
      <c r="F101" s="675">
        <v>774.27800000000002</v>
      </c>
      <c r="G101" s="675">
        <v>4769530</v>
      </c>
      <c r="H101" s="844">
        <f t="shared" si="6"/>
        <v>4769530.3666203199</v>
      </c>
      <c r="I101" s="844">
        <f t="shared" si="7"/>
        <v>-0.3666203198954463</v>
      </c>
    </row>
    <row r="102" spans="1:9" ht="12.5" x14ac:dyDescent="0.25">
      <c r="A102" s="675">
        <v>35795</v>
      </c>
      <c r="B102" s="675">
        <v>227817</v>
      </c>
      <c r="C102" s="675">
        <v>9</v>
      </c>
      <c r="D102" s="675">
        <v>2022</v>
      </c>
      <c r="E102" s="675">
        <v>6159.9714400000003</v>
      </c>
      <c r="F102" s="675">
        <v>391.42200000000003</v>
      </c>
      <c r="G102" s="675">
        <v>2411148</v>
      </c>
      <c r="H102" s="844">
        <f t="shared" si="6"/>
        <v>2411148.3409876805</v>
      </c>
      <c r="I102" s="844">
        <f t="shared" si="7"/>
        <v>-0.34098768047988415</v>
      </c>
    </row>
    <row r="103" spans="1:9" ht="12.5" x14ac:dyDescent="0.25">
      <c r="A103" s="675">
        <v>35795</v>
      </c>
      <c r="B103" s="675">
        <v>227804</v>
      </c>
      <c r="C103" s="675">
        <v>9</v>
      </c>
      <c r="D103" s="675">
        <v>2022</v>
      </c>
      <c r="E103" s="675">
        <v>6159.9714400000003</v>
      </c>
      <c r="F103" s="675">
        <v>1196.847</v>
      </c>
      <c r="G103" s="675">
        <v>7372543</v>
      </c>
      <c r="H103" s="844">
        <f t="shared" si="6"/>
        <v>7372543.33804968</v>
      </c>
      <c r="I103" s="844">
        <f t="shared" si="7"/>
        <v>-0.33804967999458313</v>
      </c>
    </row>
    <row r="104" spans="1:9" ht="12.5" x14ac:dyDescent="0.25">
      <c r="A104" s="675">
        <v>35795</v>
      </c>
      <c r="B104" s="675">
        <v>178801</v>
      </c>
      <c r="C104" s="675">
        <v>9</v>
      </c>
      <c r="D104" s="675">
        <v>2022</v>
      </c>
      <c r="E104" s="675">
        <v>6159.9714400000003</v>
      </c>
      <c r="F104" s="675">
        <v>149.435</v>
      </c>
      <c r="G104" s="675">
        <v>920515</v>
      </c>
      <c r="H104" s="844">
        <f t="shared" si="6"/>
        <v>920515.33213640004</v>
      </c>
      <c r="I104" s="844">
        <f t="shared" si="7"/>
        <v>-0.33213640004396439</v>
      </c>
    </row>
    <row r="105" spans="1:9" ht="12.5" x14ac:dyDescent="0.25">
      <c r="A105" s="675">
        <v>35795</v>
      </c>
      <c r="B105" s="675">
        <v>212801</v>
      </c>
      <c r="C105" s="675">
        <v>9</v>
      </c>
      <c r="D105" s="675">
        <v>2022</v>
      </c>
      <c r="E105" s="675">
        <v>6159.9714400000003</v>
      </c>
      <c r="F105" s="675">
        <v>1508.34</v>
      </c>
      <c r="G105" s="675">
        <v>9291331</v>
      </c>
      <c r="H105" s="844">
        <f t="shared" si="6"/>
        <v>9291331.3218095992</v>
      </c>
      <c r="I105" s="844">
        <f t="shared" si="7"/>
        <v>-0.32180959917604923</v>
      </c>
    </row>
    <row r="106" spans="1:9" ht="12.5" x14ac:dyDescent="0.25">
      <c r="A106" s="675">
        <v>35795</v>
      </c>
      <c r="B106" s="675">
        <v>57803</v>
      </c>
      <c r="C106" s="675">
        <v>9</v>
      </c>
      <c r="D106" s="675">
        <v>2022</v>
      </c>
      <c r="E106" s="675">
        <v>6159.9714400000003</v>
      </c>
      <c r="F106" s="675">
        <v>18158.143</v>
      </c>
      <c r="G106" s="675">
        <v>111853642</v>
      </c>
      <c r="H106" s="844">
        <f t="shared" si="6"/>
        <v>111853642.28343593</v>
      </c>
      <c r="I106" s="844">
        <f t="shared" si="7"/>
        <v>-0.28343592584133148</v>
      </c>
    </row>
    <row r="107" spans="1:9" ht="12.5" x14ac:dyDescent="0.25">
      <c r="A107" s="675">
        <v>35795</v>
      </c>
      <c r="B107" s="675">
        <v>15834</v>
      </c>
      <c r="C107" s="675">
        <v>9</v>
      </c>
      <c r="D107" s="675">
        <v>2022</v>
      </c>
      <c r="E107" s="675">
        <v>6159.9714400000003</v>
      </c>
      <c r="F107" s="675">
        <v>3219.27</v>
      </c>
      <c r="G107" s="675">
        <v>19830611</v>
      </c>
      <c r="H107" s="844">
        <f t="shared" si="6"/>
        <v>19830611.2576488</v>
      </c>
      <c r="I107" s="844">
        <f t="shared" si="7"/>
        <v>-0.25764879956841469</v>
      </c>
    </row>
    <row r="108" spans="1:9" ht="12.5" x14ac:dyDescent="0.25">
      <c r="A108" s="675">
        <v>35795</v>
      </c>
      <c r="B108" s="675">
        <v>101862</v>
      </c>
      <c r="C108" s="675">
        <v>9</v>
      </c>
      <c r="D108" s="675">
        <v>2022</v>
      </c>
      <c r="E108" s="675">
        <v>6159.9714400000003</v>
      </c>
      <c r="F108" s="675">
        <v>3481.373</v>
      </c>
      <c r="G108" s="675">
        <v>21445158</v>
      </c>
      <c r="H108" s="844">
        <f t="shared" si="6"/>
        <v>21445158.251987122</v>
      </c>
      <c r="I108" s="844">
        <f t="shared" si="7"/>
        <v>-0.25198712199926376</v>
      </c>
    </row>
    <row r="109" spans="1:9" ht="12.5" x14ac:dyDescent="0.25">
      <c r="A109" s="675">
        <v>35795</v>
      </c>
      <c r="B109" s="675">
        <v>101840</v>
      </c>
      <c r="C109" s="675">
        <v>9</v>
      </c>
      <c r="D109" s="675">
        <v>2022</v>
      </c>
      <c r="E109" s="675">
        <v>6159.9714400000003</v>
      </c>
      <c r="F109" s="675">
        <v>313.39500000000004</v>
      </c>
      <c r="G109" s="675">
        <v>1930504</v>
      </c>
      <c r="H109" s="844">
        <f t="shared" si="6"/>
        <v>1930504.2494388004</v>
      </c>
      <c r="I109" s="844">
        <f t="shared" si="7"/>
        <v>-0.24943880038335919</v>
      </c>
    </row>
    <row r="110" spans="1:9" ht="12.5" x14ac:dyDescent="0.25">
      <c r="A110" s="675">
        <v>35795</v>
      </c>
      <c r="B110" s="675">
        <v>220801</v>
      </c>
      <c r="C110" s="675">
        <v>9</v>
      </c>
      <c r="D110" s="675">
        <v>2022</v>
      </c>
      <c r="E110" s="675">
        <v>6159.9714400000003</v>
      </c>
      <c r="F110" s="675">
        <v>289.87200000000001</v>
      </c>
      <c r="G110" s="675">
        <v>1785603</v>
      </c>
      <c r="H110" s="844">
        <f t="shared" si="6"/>
        <v>1785603.2412556801</v>
      </c>
      <c r="I110" s="844">
        <f t="shared" si="7"/>
        <v>-0.24125568009912968</v>
      </c>
    </row>
    <row r="111" spans="1:9" ht="12.5" x14ac:dyDescent="0.25">
      <c r="A111" s="675">
        <v>35795</v>
      </c>
      <c r="B111" s="675">
        <v>3801</v>
      </c>
      <c r="C111" s="675">
        <v>9</v>
      </c>
      <c r="D111" s="675">
        <v>2022</v>
      </c>
      <c r="E111" s="675">
        <v>6159.9714400000003</v>
      </c>
      <c r="F111" s="675">
        <v>783.18500000000006</v>
      </c>
      <c r="G111" s="675">
        <v>4824397</v>
      </c>
      <c r="H111" s="844">
        <f t="shared" si="6"/>
        <v>4824397.2322364002</v>
      </c>
      <c r="I111" s="844">
        <f t="shared" si="7"/>
        <v>-0.23223640024662018</v>
      </c>
    </row>
    <row r="112" spans="1:9" ht="12.5" x14ac:dyDescent="0.25">
      <c r="A112" s="675">
        <v>35795</v>
      </c>
      <c r="B112" s="675">
        <v>101871</v>
      </c>
      <c r="C112" s="675">
        <v>9</v>
      </c>
      <c r="D112" s="675">
        <v>2022</v>
      </c>
      <c r="E112" s="675">
        <v>6159.9714400000003</v>
      </c>
      <c r="F112" s="675">
        <v>128.19300000000001</v>
      </c>
      <c r="G112" s="675">
        <v>789665</v>
      </c>
      <c r="H112" s="844">
        <f t="shared" si="6"/>
        <v>789665.21880792012</v>
      </c>
      <c r="I112" s="844">
        <f t="shared" si="7"/>
        <v>-0.21880792011506855</v>
      </c>
    </row>
    <row r="113" spans="1:9" ht="12.5" x14ac:dyDescent="0.25">
      <c r="A113" s="675">
        <v>35795</v>
      </c>
      <c r="B113" s="675">
        <v>108807</v>
      </c>
      <c r="C113" s="675">
        <v>9</v>
      </c>
      <c r="D113" s="675">
        <v>2022</v>
      </c>
      <c r="E113" s="675">
        <v>6159.9714400000003</v>
      </c>
      <c r="F113" s="675">
        <v>57195.517</v>
      </c>
      <c r="G113" s="675">
        <v>352322751</v>
      </c>
      <c r="H113" s="844">
        <f t="shared" si="6"/>
        <v>352322751.21603447</v>
      </c>
      <c r="I113" s="844">
        <f t="shared" si="7"/>
        <v>-0.21603447198867798</v>
      </c>
    </row>
    <row r="114" spans="1:9" ht="12.5" x14ac:dyDescent="0.25">
      <c r="A114" s="675">
        <v>35795</v>
      </c>
      <c r="B114" s="675">
        <v>105803</v>
      </c>
      <c r="C114" s="675">
        <v>9</v>
      </c>
      <c r="D114" s="675">
        <v>2022</v>
      </c>
      <c r="E114" s="675">
        <v>6159.9714400000003</v>
      </c>
      <c r="F114" s="675">
        <v>161.94900000000001</v>
      </c>
      <c r="G114" s="675">
        <v>997601</v>
      </c>
      <c r="H114" s="844">
        <f t="shared" si="6"/>
        <v>997601.21473656013</v>
      </c>
      <c r="I114" s="844">
        <f t="shared" si="7"/>
        <v>-0.21473656012676656</v>
      </c>
    </row>
    <row r="115" spans="1:9" ht="12.5" x14ac:dyDescent="0.25">
      <c r="A115" s="675">
        <v>35795</v>
      </c>
      <c r="B115" s="675">
        <v>174801</v>
      </c>
      <c r="C115" s="675">
        <v>9</v>
      </c>
      <c r="D115" s="675">
        <v>2022</v>
      </c>
      <c r="E115" s="675">
        <v>6159.9714400000003</v>
      </c>
      <c r="F115" s="675">
        <v>244.595</v>
      </c>
      <c r="G115" s="675">
        <v>1506698</v>
      </c>
      <c r="H115" s="844">
        <f t="shared" si="6"/>
        <v>1506698.2143668002</v>
      </c>
      <c r="I115" s="844">
        <f t="shared" si="7"/>
        <v>-0.21436680015176535</v>
      </c>
    </row>
    <row r="116" spans="1:9" ht="12.5" x14ac:dyDescent="0.25">
      <c r="A116" s="675">
        <v>35795</v>
      </c>
      <c r="B116" s="675">
        <v>101810</v>
      </c>
      <c r="C116" s="675">
        <v>9</v>
      </c>
      <c r="D116" s="675">
        <v>2022</v>
      </c>
      <c r="E116" s="675">
        <v>6159.9714400000003</v>
      </c>
      <c r="F116" s="675">
        <v>806.28899999999999</v>
      </c>
      <c r="G116" s="675">
        <v>4966717</v>
      </c>
      <c r="H116" s="844">
        <f t="shared" si="6"/>
        <v>4966717.2123861602</v>
      </c>
      <c r="I116" s="844">
        <f t="shared" si="7"/>
        <v>-0.21238616015762091</v>
      </c>
    </row>
    <row r="117" spans="1:9" ht="12.5" x14ac:dyDescent="0.25">
      <c r="A117" s="675">
        <v>35795</v>
      </c>
      <c r="B117" s="675">
        <v>227819</v>
      </c>
      <c r="C117" s="675">
        <v>9</v>
      </c>
      <c r="D117" s="675">
        <v>2022</v>
      </c>
      <c r="E117" s="675">
        <v>6159.9714400000003</v>
      </c>
      <c r="F117" s="675">
        <v>234.93700000000001</v>
      </c>
      <c r="G117" s="675">
        <v>1447205</v>
      </c>
      <c r="H117" s="844">
        <f t="shared" si="6"/>
        <v>1447205.2101992802</v>
      </c>
      <c r="I117" s="844">
        <f t="shared" si="7"/>
        <v>-0.21019928017631173</v>
      </c>
    </row>
    <row r="118" spans="1:9" ht="12.5" x14ac:dyDescent="0.25">
      <c r="A118" s="675">
        <v>35795</v>
      </c>
      <c r="B118" s="675">
        <v>152802</v>
      </c>
      <c r="C118" s="675">
        <v>9</v>
      </c>
      <c r="D118" s="675">
        <v>2022</v>
      </c>
      <c r="E118" s="675">
        <v>6159.9714400000003</v>
      </c>
      <c r="F118" s="675">
        <v>242.05700000000002</v>
      </c>
      <c r="G118" s="675">
        <v>1491064</v>
      </c>
      <c r="H118" s="844">
        <f t="shared" si="6"/>
        <v>1491064.2068520801</v>
      </c>
      <c r="I118" s="844">
        <f t="shared" si="7"/>
        <v>-0.20685208006761968</v>
      </c>
    </row>
    <row r="119" spans="1:9" ht="12.5" x14ac:dyDescent="0.25">
      <c r="A119" s="675">
        <v>35795</v>
      </c>
      <c r="B119" s="675">
        <v>15839</v>
      </c>
      <c r="C119" s="675">
        <v>9</v>
      </c>
      <c r="D119" s="675">
        <v>2022</v>
      </c>
      <c r="E119" s="675">
        <v>6159.9714400000003</v>
      </c>
      <c r="F119" s="675">
        <v>227.423</v>
      </c>
      <c r="G119" s="675">
        <v>1400919</v>
      </c>
      <c r="H119" s="844">
        <f t="shared" si="6"/>
        <v>1400919.1847991201</v>
      </c>
      <c r="I119" s="844">
        <f t="shared" si="7"/>
        <v>-0.18479912006296217</v>
      </c>
    </row>
    <row r="120" spans="1:9" ht="12.5" x14ac:dyDescent="0.25">
      <c r="A120" s="675">
        <v>35795</v>
      </c>
      <c r="B120" s="675">
        <v>101803</v>
      </c>
      <c r="C120" s="675">
        <v>9</v>
      </c>
      <c r="D120" s="675">
        <v>2022</v>
      </c>
      <c r="E120" s="675">
        <v>6159.9714400000003</v>
      </c>
      <c r="F120" s="675">
        <v>1122.1200000000001</v>
      </c>
      <c r="G120" s="675">
        <v>6912227</v>
      </c>
      <c r="H120" s="844">
        <f t="shared" si="6"/>
        <v>6912227.1522528008</v>
      </c>
      <c r="I120" s="844">
        <f t="shared" si="7"/>
        <v>-0.15225280076265335</v>
      </c>
    </row>
    <row r="121" spans="1:9" ht="12.5" x14ac:dyDescent="0.25">
      <c r="A121" s="675">
        <v>35795</v>
      </c>
      <c r="B121" s="675">
        <v>161807</v>
      </c>
      <c r="C121" s="675">
        <v>9</v>
      </c>
      <c r="D121" s="675">
        <v>2022</v>
      </c>
      <c r="E121" s="675">
        <v>6159.9714400000003</v>
      </c>
      <c r="F121" s="675">
        <v>8144.9110000000001</v>
      </c>
      <c r="G121" s="675">
        <v>50172419</v>
      </c>
      <c r="H121" s="844">
        <f t="shared" si="6"/>
        <v>50172419.141341843</v>
      </c>
      <c r="I121" s="844">
        <f t="shared" si="7"/>
        <v>-0.14134184271097183</v>
      </c>
    </row>
    <row r="122" spans="1:9" ht="12.5" x14ac:dyDescent="0.25">
      <c r="A122" s="675">
        <v>35795</v>
      </c>
      <c r="B122" s="675">
        <v>92801</v>
      </c>
      <c r="C122" s="675">
        <v>9</v>
      </c>
      <c r="D122" s="675">
        <v>2022</v>
      </c>
      <c r="E122" s="675">
        <v>6159.9714400000003</v>
      </c>
      <c r="F122" s="675">
        <v>96.493000000000009</v>
      </c>
      <c r="G122" s="675">
        <v>594394</v>
      </c>
      <c r="H122" s="844">
        <f t="shared" si="6"/>
        <v>594394.12415992003</v>
      </c>
      <c r="I122" s="844">
        <f t="shared" si="7"/>
        <v>-0.12415992002934217</v>
      </c>
    </row>
    <row r="123" spans="1:9" ht="12.5" x14ac:dyDescent="0.25">
      <c r="A123" s="675">
        <v>35795</v>
      </c>
      <c r="B123" s="675">
        <v>227829</v>
      </c>
      <c r="C123" s="675">
        <v>9</v>
      </c>
      <c r="D123" s="675">
        <v>2022</v>
      </c>
      <c r="E123" s="675">
        <v>6159.9714400000003</v>
      </c>
      <c r="F123" s="675">
        <v>1266.258</v>
      </c>
      <c r="G123" s="675">
        <v>7800113</v>
      </c>
      <c r="H123" s="844">
        <f t="shared" si="6"/>
        <v>7800113.1156715201</v>
      </c>
      <c r="I123" s="844">
        <f t="shared" si="7"/>
        <v>-0.11567152012139559</v>
      </c>
    </row>
    <row r="124" spans="1:9" ht="12.5" x14ac:dyDescent="0.25">
      <c r="A124" s="675">
        <v>35795</v>
      </c>
      <c r="B124" s="675">
        <v>227805</v>
      </c>
      <c r="C124" s="675">
        <v>9</v>
      </c>
      <c r="D124" s="675">
        <v>2022</v>
      </c>
      <c r="E124" s="675">
        <v>6159.9714400000003</v>
      </c>
      <c r="F124" s="675">
        <v>336.99200000000002</v>
      </c>
      <c r="G124" s="675">
        <v>2075861</v>
      </c>
      <c r="H124" s="844">
        <f t="shared" si="6"/>
        <v>2075861.0955084802</v>
      </c>
      <c r="I124" s="844">
        <f t="shared" si="7"/>
        <v>-9.5508480211719871E-2</v>
      </c>
    </row>
    <row r="125" spans="1:9" ht="12.5" x14ac:dyDescent="0.25">
      <c r="A125" s="675">
        <v>35795</v>
      </c>
      <c r="B125" s="675">
        <v>15842</v>
      </c>
      <c r="C125" s="675">
        <v>9</v>
      </c>
      <c r="D125" s="675">
        <v>2022</v>
      </c>
      <c r="E125" s="675">
        <v>6159.9714400000003</v>
      </c>
      <c r="F125" s="675">
        <v>92.242000000000004</v>
      </c>
      <c r="G125" s="675">
        <v>568208</v>
      </c>
      <c r="H125" s="844">
        <f t="shared" si="6"/>
        <v>568208.08556848008</v>
      </c>
      <c r="I125" s="844">
        <f t="shared" si="7"/>
        <v>-8.5568480077199638E-2</v>
      </c>
    </row>
    <row r="126" spans="1:9" ht="12.5" x14ac:dyDescent="0.25">
      <c r="A126" s="675">
        <v>35795</v>
      </c>
      <c r="B126" s="675">
        <v>43801</v>
      </c>
      <c r="C126" s="675">
        <v>9</v>
      </c>
      <c r="D126" s="675">
        <v>2022</v>
      </c>
      <c r="E126" s="675">
        <v>6159.9714400000003</v>
      </c>
      <c r="F126" s="675">
        <v>1298.126</v>
      </c>
      <c r="G126" s="675">
        <v>7996419</v>
      </c>
      <c r="H126" s="844">
        <f t="shared" si="6"/>
        <v>7996419.08552144</v>
      </c>
      <c r="I126" s="844">
        <f t="shared" si="7"/>
        <v>-8.5521440021693707E-2</v>
      </c>
    </row>
    <row r="127" spans="1:9" ht="12.5" x14ac:dyDescent="0.25">
      <c r="A127" s="675">
        <v>35795</v>
      </c>
      <c r="B127" s="675">
        <v>84802</v>
      </c>
      <c r="C127" s="675">
        <v>9</v>
      </c>
      <c r="D127" s="675">
        <v>2022</v>
      </c>
      <c r="E127" s="675">
        <v>6159.9714400000003</v>
      </c>
      <c r="F127" s="675">
        <v>1197.3890000000001</v>
      </c>
      <c r="G127" s="675">
        <v>7375882</v>
      </c>
      <c r="H127" s="844">
        <f t="shared" si="6"/>
        <v>7375882.0425701607</v>
      </c>
      <c r="I127" s="844">
        <f t="shared" si="7"/>
        <v>-4.2570160701870918E-2</v>
      </c>
    </row>
    <row r="128" spans="1:9" ht="12.5" x14ac:dyDescent="0.25">
      <c r="A128" s="675">
        <v>35795</v>
      </c>
      <c r="B128" s="675">
        <v>14803</v>
      </c>
      <c r="C128" s="675">
        <v>9</v>
      </c>
      <c r="D128" s="675">
        <v>2022</v>
      </c>
      <c r="E128" s="675">
        <v>6159.9714400000003</v>
      </c>
      <c r="F128" s="675">
        <v>670.995</v>
      </c>
      <c r="G128" s="675">
        <v>4133310</v>
      </c>
      <c r="H128" s="844">
        <f t="shared" si="6"/>
        <v>4133310.0363828</v>
      </c>
      <c r="I128" s="844">
        <f t="shared" si="7"/>
        <v>-3.6382799968123436E-2</v>
      </c>
    </row>
    <row r="129" spans="1:9" ht="12.5" x14ac:dyDescent="0.25">
      <c r="A129" s="675">
        <v>35795</v>
      </c>
      <c r="B129" s="675">
        <v>57807</v>
      </c>
      <c r="C129" s="675">
        <v>9</v>
      </c>
      <c r="D129" s="675">
        <v>2022</v>
      </c>
      <c r="E129" s="675">
        <v>6159.9714400000003</v>
      </c>
      <c r="F129" s="675">
        <v>4518.4630000000006</v>
      </c>
      <c r="G129" s="675">
        <v>27833603</v>
      </c>
      <c r="H129" s="844">
        <f t="shared" si="6"/>
        <v>27833603.032696724</v>
      </c>
      <c r="I129" s="844">
        <f t="shared" si="7"/>
        <v>-3.2696723937988281E-2</v>
      </c>
    </row>
    <row r="130" spans="1:9" ht="12.5" x14ac:dyDescent="0.25">
      <c r="A130" s="675">
        <v>35795</v>
      </c>
      <c r="B130" s="675">
        <v>184801</v>
      </c>
      <c r="C130" s="675">
        <v>9</v>
      </c>
      <c r="D130" s="675">
        <v>2022</v>
      </c>
      <c r="E130" s="675">
        <v>6159.9714400000003</v>
      </c>
      <c r="F130" s="675">
        <v>80.652000000000001</v>
      </c>
      <c r="G130" s="675">
        <v>496814</v>
      </c>
      <c r="H130" s="844">
        <f t="shared" si="6"/>
        <v>496814.01657888002</v>
      </c>
      <c r="I130" s="844">
        <f t="shared" si="7"/>
        <v>-1.6578880022279918E-2</v>
      </c>
    </row>
    <row r="131" spans="1:9" ht="12.5" x14ac:dyDescent="0.25">
      <c r="A131" s="675">
        <v>35795</v>
      </c>
      <c r="B131" s="675">
        <v>101847</v>
      </c>
      <c r="C131" s="675">
        <v>9</v>
      </c>
      <c r="D131" s="675">
        <v>2022</v>
      </c>
      <c r="E131" s="675">
        <v>6159.9714400000003</v>
      </c>
      <c r="F131" s="675">
        <v>412.85500000000002</v>
      </c>
      <c r="G131" s="675">
        <v>2543175</v>
      </c>
      <c r="H131" s="844">
        <f t="shared" ref="H131:H162" si="8">E131*F131</f>
        <v>2543175.0088612004</v>
      </c>
      <c r="I131" s="844">
        <f t="shared" ref="I131:I162" si="9">G131-H131</f>
        <v>-8.8612004183232784E-3</v>
      </c>
    </row>
    <row r="132" spans="1:9" ht="12.5" x14ac:dyDescent="0.25">
      <c r="A132" s="675">
        <v>35795</v>
      </c>
      <c r="B132" s="675">
        <v>57851</v>
      </c>
      <c r="C132" s="675">
        <v>9</v>
      </c>
      <c r="D132" s="675">
        <v>2022</v>
      </c>
      <c r="E132" s="675">
        <v>6159.9714400000003</v>
      </c>
      <c r="F132" s="675">
        <v>63.230000000000004</v>
      </c>
      <c r="G132" s="675">
        <v>389495</v>
      </c>
      <c r="H132" s="844">
        <f t="shared" si="8"/>
        <v>389494.99415120005</v>
      </c>
      <c r="I132" s="844">
        <f t="shared" si="9"/>
        <v>5.8487999485805631E-3</v>
      </c>
    </row>
    <row r="133" spans="1:9" ht="12.5" x14ac:dyDescent="0.25">
      <c r="A133" s="675">
        <v>35795</v>
      </c>
      <c r="B133" s="675">
        <v>57848</v>
      </c>
      <c r="C133" s="675">
        <v>9</v>
      </c>
      <c r="D133" s="675">
        <v>2022</v>
      </c>
      <c r="E133" s="675">
        <v>6159.9714400000003</v>
      </c>
      <c r="F133" s="675">
        <v>17451.240000000002</v>
      </c>
      <c r="G133" s="675">
        <v>107499140</v>
      </c>
      <c r="H133" s="844">
        <f t="shared" si="8"/>
        <v>107499139.99258561</v>
      </c>
      <c r="I133" s="844">
        <f t="shared" si="9"/>
        <v>7.4143856763839722E-3</v>
      </c>
    </row>
    <row r="134" spans="1:9" ht="12.5" x14ac:dyDescent="0.25">
      <c r="A134" s="675">
        <v>35795</v>
      </c>
      <c r="B134" s="675">
        <v>236802</v>
      </c>
      <c r="C134" s="675">
        <v>9</v>
      </c>
      <c r="D134" s="675">
        <v>2022</v>
      </c>
      <c r="E134" s="675">
        <v>6159.9714400000003</v>
      </c>
      <c r="F134" s="675">
        <v>395.78300000000002</v>
      </c>
      <c r="G134" s="675">
        <v>2438012</v>
      </c>
      <c r="H134" s="844">
        <f t="shared" si="8"/>
        <v>2438011.9764375202</v>
      </c>
      <c r="I134" s="844">
        <f t="shared" si="9"/>
        <v>2.3562479764223099E-2</v>
      </c>
    </row>
    <row r="135" spans="1:9" ht="12.5" x14ac:dyDescent="0.25">
      <c r="A135" s="675">
        <v>35795</v>
      </c>
      <c r="B135" s="675">
        <v>108802</v>
      </c>
      <c r="C135" s="675">
        <v>9</v>
      </c>
      <c r="D135" s="675">
        <v>2022</v>
      </c>
      <c r="E135" s="675">
        <v>6159.9714400000003</v>
      </c>
      <c r="F135" s="675">
        <v>1097.6770000000001</v>
      </c>
      <c r="G135" s="675">
        <v>6761659</v>
      </c>
      <c r="H135" s="844">
        <f t="shared" si="8"/>
        <v>6761658.9703448815</v>
      </c>
      <c r="I135" s="844">
        <f t="shared" si="9"/>
        <v>2.9655118472874165E-2</v>
      </c>
    </row>
    <row r="136" spans="1:9" ht="12.5" x14ac:dyDescent="0.25">
      <c r="A136" s="675">
        <v>35795</v>
      </c>
      <c r="B136" s="675">
        <v>71807</v>
      </c>
      <c r="C136" s="675">
        <v>9</v>
      </c>
      <c r="D136" s="675">
        <v>2022</v>
      </c>
      <c r="E136" s="675">
        <v>6159.9714400000003</v>
      </c>
      <c r="F136" s="675">
        <v>156.809</v>
      </c>
      <c r="G136" s="675">
        <v>965939</v>
      </c>
      <c r="H136" s="844">
        <f t="shared" si="8"/>
        <v>965938.96153496008</v>
      </c>
      <c r="I136" s="844">
        <f t="shared" si="9"/>
        <v>3.8465039920993149E-2</v>
      </c>
    </row>
    <row r="137" spans="1:9" ht="12.5" x14ac:dyDescent="0.25">
      <c r="A137" s="675">
        <v>35795</v>
      </c>
      <c r="B137" s="675">
        <v>101846</v>
      </c>
      <c r="C137" s="675">
        <v>9</v>
      </c>
      <c r="D137" s="675">
        <v>2022</v>
      </c>
      <c r="E137" s="675">
        <v>6159.9714400000003</v>
      </c>
      <c r="F137" s="675">
        <v>3010.087</v>
      </c>
      <c r="G137" s="675">
        <v>18542050</v>
      </c>
      <c r="H137" s="844">
        <f t="shared" si="8"/>
        <v>18542049.951915279</v>
      </c>
      <c r="I137" s="844">
        <f t="shared" si="9"/>
        <v>4.8084720969200134E-2</v>
      </c>
    </row>
    <row r="138" spans="1:9" ht="12.5" x14ac:dyDescent="0.25">
      <c r="A138" s="675">
        <v>35795</v>
      </c>
      <c r="B138" s="675">
        <v>101815</v>
      </c>
      <c r="C138" s="675">
        <v>9</v>
      </c>
      <c r="D138" s="675">
        <v>2022</v>
      </c>
      <c r="E138" s="675">
        <v>6159.9714400000003</v>
      </c>
      <c r="F138" s="675">
        <v>274.83</v>
      </c>
      <c r="G138" s="675">
        <v>1692945</v>
      </c>
      <c r="H138" s="844">
        <f t="shared" si="8"/>
        <v>1692944.9508551999</v>
      </c>
      <c r="I138" s="844">
        <f t="shared" si="9"/>
        <v>4.9144800053909421E-2</v>
      </c>
    </row>
    <row r="139" spans="1:9" ht="12.5" x14ac:dyDescent="0.25">
      <c r="A139" s="675">
        <v>35795</v>
      </c>
      <c r="B139" s="675">
        <v>61802</v>
      </c>
      <c r="C139" s="675">
        <v>9</v>
      </c>
      <c r="D139" s="675">
        <v>2022</v>
      </c>
      <c r="E139" s="675">
        <v>6159.9714400000003</v>
      </c>
      <c r="F139" s="675">
        <v>576.26499999999999</v>
      </c>
      <c r="G139" s="675">
        <v>3549776</v>
      </c>
      <c r="H139" s="844">
        <f t="shared" si="8"/>
        <v>3549775.9418716002</v>
      </c>
      <c r="I139" s="844">
        <f t="shared" si="9"/>
        <v>5.8128399774432182E-2</v>
      </c>
    </row>
    <row r="140" spans="1:9" ht="12.5" x14ac:dyDescent="0.25">
      <c r="A140" s="675">
        <v>35795</v>
      </c>
      <c r="B140" s="675">
        <v>15838</v>
      </c>
      <c r="C140" s="675">
        <v>9</v>
      </c>
      <c r="D140" s="675">
        <v>2022</v>
      </c>
      <c r="E140" s="675">
        <v>6159.9714400000003</v>
      </c>
      <c r="F140" s="675">
        <v>1524.8030000000001</v>
      </c>
      <c r="G140" s="675">
        <v>9392743</v>
      </c>
      <c r="H140" s="844">
        <f t="shared" si="8"/>
        <v>9392742.9316263217</v>
      </c>
      <c r="I140" s="844">
        <f t="shared" si="9"/>
        <v>6.8373678252100945E-2</v>
      </c>
    </row>
    <row r="141" spans="1:9" ht="12.5" x14ac:dyDescent="0.25">
      <c r="A141" s="675">
        <v>35795</v>
      </c>
      <c r="B141" s="675">
        <v>221801</v>
      </c>
      <c r="C141" s="675">
        <v>9</v>
      </c>
      <c r="D141" s="675">
        <v>2022</v>
      </c>
      <c r="E141" s="675">
        <v>6159.9714400000003</v>
      </c>
      <c r="F141" s="675">
        <v>13690.837</v>
      </c>
      <c r="G141" s="675">
        <v>84335165</v>
      </c>
      <c r="H141" s="844">
        <f t="shared" si="8"/>
        <v>84335164.909695283</v>
      </c>
      <c r="I141" s="844">
        <f t="shared" si="9"/>
        <v>9.0304717421531677E-2</v>
      </c>
    </row>
    <row r="142" spans="1:9" ht="12.5" x14ac:dyDescent="0.25">
      <c r="A142" s="675">
        <v>35795</v>
      </c>
      <c r="B142" s="675">
        <v>57829</v>
      </c>
      <c r="C142" s="675">
        <v>9</v>
      </c>
      <c r="D142" s="675">
        <v>2022</v>
      </c>
      <c r="E142" s="675">
        <v>6159.9714400000003</v>
      </c>
      <c r="F142" s="675">
        <v>1219.0420000000001</v>
      </c>
      <c r="G142" s="675">
        <v>7509264</v>
      </c>
      <c r="H142" s="844">
        <f t="shared" si="8"/>
        <v>7509263.9041604809</v>
      </c>
      <c r="I142" s="844">
        <f t="shared" si="9"/>
        <v>9.5839519053697586E-2</v>
      </c>
    </row>
    <row r="143" spans="1:9" ht="12.5" x14ac:dyDescent="0.25">
      <c r="A143" s="675">
        <v>35795</v>
      </c>
      <c r="B143" s="675">
        <v>161802</v>
      </c>
      <c r="C143" s="675">
        <v>9</v>
      </c>
      <c r="D143" s="675">
        <v>2022</v>
      </c>
      <c r="E143" s="675">
        <v>6159.9714400000003</v>
      </c>
      <c r="F143" s="675">
        <v>674.25099999999998</v>
      </c>
      <c r="G143" s="675">
        <v>4153367</v>
      </c>
      <c r="H143" s="844">
        <f t="shared" si="8"/>
        <v>4153366.9033914399</v>
      </c>
      <c r="I143" s="844">
        <f t="shared" si="9"/>
        <v>9.6608560066670179E-2</v>
      </c>
    </row>
    <row r="144" spans="1:9" ht="12.5" x14ac:dyDescent="0.25">
      <c r="A144" s="675">
        <v>35795</v>
      </c>
      <c r="B144" s="675">
        <v>101864</v>
      </c>
      <c r="C144" s="675">
        <v>9</v>
      </c>
      <c r="D144" s="675">
        <v>2022</v>
      </c>
      <c r="E144" s="675">
        <v>6159.9714400000003</v>
      </c>
      <c r="F144" s="675">
        <v>143.57500000000002</v>
      </c>
      <c r="G144" s="675">
        <v>884418</v>
      </c>
      <c r="H144" s="844">
        <f t="shared" si="8"/>
        <v>884417.89949800016</v>
      </c>
      <c r="I144" s="844">
        <f t="shared" si="9"/>
        <v>0.10050199984107167</v>
      </c>
    </row>
    <row r="145" spans="1:9" ht="12.5" x14ac:dyDescent="0.25">
      <c r="A145" s="675">
        <v>35795</v>
      </c>
      <c r="B145" s="675">
        <v>57847</v>
      </c>
      <c r="C145" s="675">
        <v>9</v>
      </c>
      <c r="D145" s="675">
        <v>2022</v>
      </c>
      <c r="E145" s="675">
        <v>6159.9714400000003</v>
      </c>
      <c r="F145" s="675">
        <v>1009.3670000000001</v>
      </c>
      <c r="G145" s="675">
        <v>6217672</v>
      </c>
      <c r="H145" s="844">
        <f t="shared" si="8"/>
        <v>6217671.8924784809</v>
      </c>
      <c r="I145" s="844">
        <f t="shared" si="9"/>
        <v>0.10752151906490326</v>
      </c>
    </row>
    <row r="146" spans="1:9" ht="12.5" x14ac:dyDescent="0.25">
      <c r="A146" s="675">
        <v>35795</v>
      </c>
      <c r="B146" s="675">
        <v>57841</v>
      </c>
      <c r="C146" s="675">
        <v>9</v>
      </c>
      <c r="D146" s="675">
        <v>2022</v>
      </c>
      <c r="E146" s="675">
        <v>6159.9714400000003</v>
      </c>
      <c r="F146" s="675">
        <v>1025.4260000000002</v>
      </c>
      <c r="G146" s="675">
        <v>6316595</v>
      </c>
      <c r="H146" s="844">
        <f t="shared" si="8"/>
        <v>6316594.8738334412</v>
      </c>
      <c r="I146" s="844">
        <f t="shared" si="9"/>
        <v>0.12616655882447958</v>
      </c>
    </row>
    <row r="147" spans="1:9" ht="12.5" x14ac:dyDescent="0.25">
      <c r="A147" s="675">
        <v>35795</v>
      </c>
      <c r="B147" s="675">
        <v>57808</v>
      </c>
      <c r="C147" s="675">
        <v>9</v>
      </c>
      <c r="D147" s="675">
        <v>2022</v>
      </c>
      <c r="E147" s="675">
        <v>6159.9714400000003</v>
      </c>
      <c r="F147" s="675">
        <v>1731.5520000000001</v>
      </c>
      <c r="G147" s="675">
        <v>10666311</v>
      </c>
      <c r="H147" s="844">
        <f t="shared" si="8"/>
        <v>10666310.866874881</v>
      </c>
      <c r="I147" s="844">
        <f t="shared" si="9"/>
        <v>0.13312511891126633</v>
      </c>
    </row>
    <row r="148" spans="1:9" ht="12.5" x14ac:dyDescent="0.25">
      <c r="A148" s="675">
        <v>35795</v>
      </c>
      <c r="B148" s="675">
        <v>108808</v>
      </c>
      <c r="C148" s="675">
        <v>9</v>
      </c>
      <c r="D148" s="675">
        <v>2022</v>
      </c>
      <c r="E148" s="675">
        <v>6159.9714400000003</v>
      </c>
      <c r="F148" s="675">
        <v>4290.5650000000005</v>
      </c>
      <c r="G148" s="675">
        <v>26429758</v>
      </c>
      <c r="H148" s="844">
        <f t="shared" si="8"/>
        <v>26429757.861463603</v>
      </c>
      <c r="I148" s="844">
        <f t="shared" si="9"/>
        <v>0.13853639736771584</v>
      </c>
    </row>
    <row r="149" spans="1:9" ht="12.5" x14ac:dyDescent="0.25">
      <c r="A149" s="675">
        <v>35795</v>
      </c>
      <c r="B149" s="675">
        <v>72802</v>
      </c>
      <c r="C149" s="675">
        <v>9</v>
      </c>
      <c r="D149" s="675">
        <v>2022</v>
      </c>
      <c r="E149" s="675">
        <v>6159.9714400000003</v>
      </c>
      <c r="F149" s="675">
        <v>69.524000000000001</v>
      </c>
      <c r="G149" s="675">
        <v>428266</v>
      </c>
      <c r="H149" s="844">
        <f t="shared" si="8"/>
        <v>428265.85439456004</v>
      </c>
      <c r="I149" s="844">
        <f t="shared" si="9"/>
        <v>0.14560543996049091</v>
      </c>
    </row>
    <row r="150" spans="1:9" ht="12.5" x14ac:dyDescent="0.25">
      <c r="A150" s="675">
        <v>35795</v>
      </c>
      <c r="B150" s="675">
        <v>61805</v>
      </c>
      <c r="C150" s="675">
        <v>9</v>
      </c>
      <c r="D150" s="675">
        <v>2022</v>
      </c>
      <c r="E150" s="675">
        <v>6159.9714400000003</v>
      </c>
      <c r="F150" s="675">
        <v>512.303</v>
      </c>
      <c r="G150" s="675">
        <v>3155772</v>
      </c>
      <c r="H150" s="844">
        <f t="shared" si="8"/>
        <v>3155771.8486263203</v>
      </c>
      <c r="I150" s="844">
        <f t="shared" si="9"/>
        <v>0.15137367974966764</v>
      </c>
    </row>
    <row r="151" spans="1:9" ht="12.5" x14ac:dyDescent="0.25">
      <c r="A151" s="675">
        <v>35795</v>
      </c>
      <c r="B151" s="675">
        <v>101858</v>
      </c>
      <c r="C151" s="675">
        <v>9</v>
      </c>
      <c r="D151" s="675">
        <v>2022</v>
      </c>
      <c r="E151" s="675">
        <v>6159.9714400000003</v>
      </c>
      <c r="F151" s="675">
        <v>5062.49</v>
      </c>
      <c r="G151" s="675">
        <v>31184794</v>
      </c>
      <c r="H151" s="844">
        <f t="shared" si="8"/>
        <v>31184793.815285601</v>
      </c>
      <c r="I151" s="844">
        <f t="shared" si="9"/>
        <v>0.18471439927816391</v>
      </c>
    </row>
    <row r="152" spans="1:9" ht="12.5" x14ac:dyDescent="0.25">
      <c r="A152" s="675">
        <v>35795</v>
      </c>
      <c r="B152" s="675">
        <v>15836</v>
      </c>
      <c r="C152" s="675">
        <v>9</v>
      </c>
      <c r="D152" s="675">
        <v>2022</v>
      </c>
      <c r="E152" s="675">
        <v>6159.9714400000003</v>
      </c>
      <c r="F152" s="675">
        <v>439.596</v>
      </c>
      <c r="G152" s="675">
        <v>2707899</v>
      </c>
      <c r="H152" s="844">
        <f t="shared" si="8"/>
        <v>2707898.8051382401</v>
      </c>
      <c r="I152" s="844">
        <f t="shared" si="9"/>
        <v>0.19486175989732146</v>
      </c>
    </row>
    <row r="153" spans="1:9" ht="12.5" x14ac:dyDescent="0.25">
      <c r="A153" s="675">
        <v>35795</v>
      </c>
      <c r="B153" s="675">
        <v>101875</v>
      </c>
      <c r="C153" s="675">
        <v>9</v>
      </c>
      <c r="D153" s="675">
        <v>2022</v>
      </c>
      <c r="E153" s="675">
        <v>6159.9714400000003</v>
      </c>
      <c r="F153" s="675">
        <v>169.304</v>
      </c>
      <c r="G153" s="675">
        <v>1042908</v>
      </c>
      <c r="H153" s="844">
        <f t="shared" si="8"/>
        <v>1042907.8046777601</v>
      </c>
      <c r="I153" s="844">
        <f t="shared" si="9"/>
        <v>0.19532223988790065</v>
      </c>
    </row>
    <row r="154" spans="1:9" ht="12.5" x14ac:dyDescent="0.25">
      <c r="A154" s="675">
        <v>35795</v>
      </c>
      <c r="B154" s="675">
        <v>101870</v>
      </c>
      <c r="C154" s="675">
        <v>9</v>
      </c>
      <c r="D154" s="675">
        <v>2022</v>
      </c>
      <c r="E154" s="675">
        <v>6159.9714400000003</v>
      </c>
      <c r="F154" s="675">
        <v>1170.7640000000001</v>
      </c>
      <c r="G154" s="675">
        <v>7211873</v>
      </c>
      <c r="H154" s="844">
        <f t="shared" si="8"/>
        <v>7211872.8029801613</v>
      </c>
      <c r="I154" s="844">
        <f t="shared" si="9"/>
        <v>0.19701983872801065</v>
      </c>
    </row>
    <row r="155" spans="1:9" ht="12.5" x14ac:dyDescent="0.25">
      <c r="A155" s="675">
        <v>35795</v>
      </c>
      <c r="B155" s="675">
        <v>220809</v>
      </c>
      <c r="C155" s="675">
        <v>9</v>
      </c>
      <c r="D155" s="675">
        <v>2022</v>
      </c>
      <c r="E155" s="675">
        <v>6159.9714400000003</v>
      </c>
      <c r="F155" s="675">
        <v>564.61200000000008</v>
      </c>
      <c r="G155" s="675">
        <v>3477994</v>
      </c>
      <c r="H155" s="844">
        <f t="shared" si="8"/>
        <v>3477993.7946812809</v>
      </c>
      <c r="I155" s="844">
        <f t="shared" si="9"/>
        <v>0.20531871914863586</v>
      </c>
    </row>
    <row r="156" spans="1:9" ht="12.5" x14ac:dyDescent="0.25">
      <c r="A156" s="675">
        <v>35795</v>
      </c>
      <c r="B156" s="675">
        <v>101806</v>
      </c>
      <c r="C156" s="675">
        <v>9</v>
      </c>
      <c r="D156" s="675">
        <v>2022</v>
      </c>
      <c r="E156" s="675">
        <v>6159.9714400000003</v>
      </c>
      <c r="F156" s="675">
        <v>1219.385</v>
      </c>
      <c r="G156" s="675">
        <v>7511377</v>
      </c>
      <c r="H156" s="844">
        <f t="shared" si="8"/>
        <v>7511376.7743644007</v>
      </c>
      <c r="I156" s="844">
        <f t="shared" si="9"/>
        <v>0.2256355993449688</v>
      </c>
    </row>
    <row r="157" spans="1:9" ht="12.5" x14ac:dyDescent="0.25">
      <c r="A157" s="675">
        <v>35795</v>
      </c>
      <c r="B157" s="675">
        <v>165802</v>
      </c>
      <c r="C157" s="675">
        <v>9</v>
      </c>
      <c r="D157" s="675">
        <v>2022</v>
      </c>
      <c r="E157" s="675">
        <v>6159.9714400000003</v>
      </c>
      <c r="F157" s="675">
        <v>334.67700000000002</v>
      </c>
      <c r="G157" s="675">
        <v>2061601</v>
      </c>
      <c r="H157" s="844">
        <f t="shared" si="8"/>
        <v>2061600.7616248801</v>
      </c>
      <c r="I157" s="844">
        <f t="shared" si="9"/>
        <v>0.23837511986494064</v>
      </c>
    </row>
    <row r="158" spans="1:9" ht="12.5" x14ac:dyDescent="0.25">
      <c r="A158" s="675">
        <v>35795</v>
      </c>
      <c r="B158" s="675">
        <v>101837</v>
      </c>
      <c r="C158" s="675">
        <v>9</v>
      </c>
      <c r="D158" s="675">
        <v>2022</v>
      </c>
      <c r="E158" s="675">
        <v>6159.9714400000003</v>
      </c>
      <c r="F158" s="675">
        <v>232.79</v>
      </c>
      <c r="G158" s="675">
        <v>1433980</v>
      </c>
      <c r="H158" s="844">
        <f t="shared" si="8"/>
        <v>1433979.7515175999</v>
      </c>
      <c r="I158" s="844">
        <f t="shared" si="9"/>
        <v>0.24848240008577704</v>
      </c>
    </row>
    <row r="159" spans="1:9" ht="12.5" x14ac:dyDescent="0.25">
      <c r="A159" s="675">
        <v>35795</v>
      </c>
      <c r="B159" s="675">
        <v>101876</v>
      </c>
      <c r="C159" s="675">
        <v>9</v>
      </c>
      <c r="D159" s="675">
        <v>2022</v>
      </c>
      <c r="E159" s="675">
        <v>6159.9714400000003</v>
      </c>
      <c r="F159" s="675">
        <v>144.643</v>
      </c>
      <c r="G159" s="675">
        <v>890997</v>
      </c>
      <c r="H159" s="844">
        <f t="shared" si="8"/>
        <v>890996.74899592006</v>
      </c>
      <c r="I159" s="844">
        <f t="shared" si="9"/>
        <v>0.2510040799388662</v>
      </c>
    </row>
    <row r="160" spans="1:9" ht="12.5" x14ac:dyDescent="0.25">
      <c r="A160" s="675">
        <v>35795</v>
      </c>
      <c r="B160" s="675">
        <v>15843</v>
      </c>
      <c r="C160" s="675">
        <v>9</v>
      </c>
      <c r="D160" s="675">
        <v>2022</v>
      </c>
      <c r="E160" s="675">
        <v>6159.9714400000003</v>
      </c>
      <c r="F160" s="675">
        <v>23.015000000000001</v>
      </c>
      <c r="G160" s="675">
        <v>141772</v>
      </c>
      <c r="H160" s="844">
        <f t="shared" si="8"/>
        <v>141771.7426916</v>
      </c>
      <c r="I160" s="844">
        <f t="shared" si="9"/>
        <v>0.25730840000323951</v>
      </c>
    </row>
    <row r="161" spans="1:9" ht="12.5" x14ac:dyDescent="0.25">
      <c r="A161" s="675">
        <v>35795</v>
      </c>
      <c r="B161" s="675">
        <v>123805</v>
      </c>
      <c r="C161" s="675">
        <v>9</v>
      </c>
      <c r="D161" s="675">
        <v>2022</v>
      </c>
      <c r="E161" s="675">
        <v>6159.9714400000003</v>
      </c>
      <c r="F161" s="675">
        <v>455.81100000000004</v>
      </c>
      <c r="G161" s="675">
        <v>2807783</v>
      </c>
      <c r="H161" s="844">
        <f t="shared" si="8"/>
        <v>2807782.7420378402</v>
      </c>
      <c r="I161" s="844">
        <f t="shared" si="9"/>
        <v>0.25796215981245041</v>
      </c>
    </row>
    <row r="162" spans="1:9" ht="12.5" x14ac:dyDescent="0.25">
      <c r="A162" s="675">
        <v>35795</v>
      </c>
      <c r="B162" s="675">
        <v>101855</v>
      </c>
      <c r="C162" s="675">
        <v>9</v>
      </c>
      <c r="D162" s="675">
        <v>2022</v>
      </c>
      <c r="E162" s="675">
        <v>6159.9714400000003</v>
      </c>
      <c r="F162" s="675">
        <v>225.001</v>
      </c>
      <c r="G162" s="675">
        <v>1386000</v>
      </c>
      <c r="H162" s="844">
        <f t="shared" si="8"/>
        <v>1385999.73397144</v>
      </c>
      <c r="I162" s="844">
        <f t="shared" si="9"/>
        <v>0.26602855999954045</v>
      </c>
    </row>
    <row r="163" spans="1:9" ht="12.5" x14ac:dyDescent="0.25">
      <c r="A163" s="675">
        <v>35795</v>
      </c>
      <c r="B163" s="675">
        <v>212804</v>
      </c>
      <c r="C163" s="675">
        <v>9</v>
      </c>
      <c r="D163" s="675">
        <v>2022</v>
      </c>
      <c r="E163" s="675">
        <v>6159.9714400000003</v>
      </c>
      <c r="F163" s="675">
        <v>715.20100000000002</v>
      </c>
      <c r="G163" s="675">
        <v>4405618</v>
      </c>
      <c r="H163" s="844">
        <f t="shared" ref="H163:H187" si="10">E163*F163</f>
        <v>4405617.7338594403</v>
      </c>
      <c r="I163" s="844">
        <f t="shared" ref="I163:I187" si="11">G163-H163</f>
        <v>0.26614055968821049</v>
      </c>
    </row>
    <row r="164" spans="1:9" ht="12.5" x14ac:dyDescent="0.25">
      <c r="A164" s="675">
        <v>35795</v>
      </c>
      <c r="B164" s="675">
        <v>68802</v>
      </c>
      <c r="C164" s="675">
        <v>9</v>
      </c>
      <c r="D164" s="675">
        <v>2022</v>
      </c>
      <c r="E164" s="675">
        <v>6159.9714400000003</v>
      </c>
      <c r="F164" s="675">
        <v>1262.8800000000001</v>
      </c>
      <c r="G164" s="675">
        <v>7779305</v>
      </c>
      <c r="H164" s="844">
        <f t="shared" si="10"/>
        <v>7779304.732147201</v>
      </c>
      <c r="I164" s="844">
        <f t="shared" si="11"/>
        <v>0.26785279903560877</v>
      </c>
    </row>
    <row r="165" spans="1:9" ht="12.5" x14ac:dyDescent="0.25">
      <c r="A165" s="675">
        <v>35795</v>
      </c>
      <c r="B165" s="675">
        <v>13801</v>
      </c>
      <c r="C165" s="675">
        <v>9</v>
      </c>
      <c r="D165" s="675">
        <v>2022</v>
      </c>
      <c r="E165" s="675">
        <v>6159.9714400000003</v>
      </c>
      <c r="F165" s="675">
        <v>363.75700000000001</v>
      </c>
      <c r="G165" s="675">
        <v>2240733</v>
      </c>
      <c r="H165" s="844">
        <f t="shared" si="10"/>
        <v>2240732.7311000801</v>
      </c>
      <c r="I165" s="844">
        <f t="shared" si="11"/>
        <v>0.2688999199308455</v>
      </c>
    </row>
    <row r="166" spans="1:9" ht="12.5" x14ac:dyDescent="0.25">
      <c r="A166" s="675">
        <v>35795</v>
      </c>
      <c r="B166" s="675">
        <v>227803</v>
      </c>
      <c r="C166" s="675">
        <v>9</v>
      </c>
      <c r="D166" s="675">
        <v>2022</v>
      </c>
      <c r="E166" s="675">
        <v>6159.9714400000003</v>
      </c>
      <c r="F166" s="675">
        <v>1330.367</v>
      </c>
      <c r="G166" s="675">
        <v>8195023</v>
      </c>
      <c r="H166" s="844">
        <f t="shared" si="10"/>
        <v>8195022.7247184804</v>
      </c>
      <c r="I166" s="844">
        <f t="shared" si="11"/>
        <v>0.27528151962906122</v>
      </c>
    </row>
    <row r="167" spans="1:9" ht="12.5" x14ac:dyDescent="0.25">
      <c r="A167" s="675">
        <v>35795</v>
      </c>
      <c r="B167" s="675">
        <v>15841</v>
      </c>
      <c r="C167" s="675">
        <v>9</v>
      </c>
      <c r="D167" s="675">
        <v>2022</v>
      </c>
      <c r="E167" s="675">
        <v>6159.9714400000003</v>
      </c>
      <c r="F167" s="675">
        <v>589.91600000000005</v>
      </c>
      <c r="G167" s="675">
        <v>3633866</v>
      </c>
      <c r="H167" s="844">
        <f t="shared" si="10"/>
        <v>3633865.7119990406</v>
      </c>
      <c r="I167" s="844">
        <f t="shared" si="11"/>
        <v>0.2880009594373405</v>
      </c>
    </row>
    <row r="168" spans="1:9" ht="12.5" x14ac:dyDescent="0.25">
      <c r="A168" s="675">
        <v>35795</v>
      </c>
      <c r="B168" s="675">
        <v>101859</v>
      </c>
      <c r="C168" s="675">
        <v>9</v>
      </c>
      <c r="D168" s="675">
        <v>2022</v>
      </c>
      <c r="E168" s="675">
        <v>6159.9714400000003</v>
      </c>
      <c r="F168" s="675">
        <v>524.12300000000005</v>
      </c>
      <c r="G168" s="675">
        <v>3228583</v>
      </c>
      <c r="H168" s="844">
        <f t="shared" si="10"/>
        <v>3228582.7110471204</v>
      </c>
      <c r="I168" s="844">
        <f t="shared" si="11"/>
        <v>0.28895287960767746</v>
      </c>
    </row>
    <row r="169" spans="1:9" ht="12.5" x14ac:dyDescent="0.25">
      <c r="A169" s="675">
        <v>35795</v>
      </c>
      <c r="B169" s="675">
        <v>57835</v>
      </c>
      <c r="C169" s="675">
        <v>9</v>
      </c>
      <c r="D169" s="675">
        <v>2022</v>
      </c>
      <c r="E169" s="675">
        <v>6159.9714400000003</v>
      </c>
      <c r="F169" s="675">
        <v>1279.0640000000001</v>
      </c>
      <c r="G169" s="675">
        <v>7878998</v>
      </c>
      <c r="H169" s="844">
        <f t="shared" si="10"/>
        <v>7878997.7099321606</v>
      </c>
      <c r="I169" s="844">
        <f t="shared" si="11"/>
        <v>0.29006783943623304</v>
      </c>
    </row>
    <row r="170" spans="1:9" ht="12.5" x14ac:dyDescent="0.25">
      <c r="A170" s="675">
        <v>35795</v>
      </c>
      <c r="B170" s="675">
        <v>15825</v>
      </c>
      <c r="C170" s="675">
        <v>9</v>
      </c>
      <c r="D170" s="675">
        <v>2022</v>
      </c>
      <c r="E170" s="675">
        <v>6159.9714400000003</v>
      </c>
      <c r="F170" s="675">
        <v>265.483</v>
      </c>
      <c r="G170" s="675">
        <v>1635368</v>
      </c>
      <c r="H170" s="844">
        <f t="shared" si="10"/>
        <v>1635367.6978055201</v>
      </c>
      <c r="I170" s="844">
        <f t="shared" si="11"/>
        <v>0.30219447985291481</v>
      </c>
    </row>
    <row r="171" spans="1:9" ht="12.5" x14ac:dyDescent="0.25">
      <c r="A171" s="675">
        <v>35795</v>
      </c>
      <c r="B171" s="675">
        <v>57845</v>
      </c>
      <c r="C171" s="675">
        <v>9</v>
      </c>
      <c r="D171" s="675">
        <v>2022</v>
      </c>
      <c r="E171" s="675">
        <v>6159.9714400000003</v>
      </c>
      <c r="F171" s="675">
        <v>1226.6670000000001</v>
      </c>
      <c r="G171" s="675">
        <v>7556234</v>
      </c>
      <c r="H171" s="844">
        <f t="shared" si="10"/>
        <v>7556233.686390481</v>
      </c>
      <c r="I171" s="844">
        <f t="shared" si="11"/>
        <v>0.31360951904207468</v>
      </c>
    </row>
    <row r="172" spans="1:9" ht="12.5" x14ac:dyDescent="0.25">
      <c r="A172" s="675">
        <v>35795</v>
      </c>
      <c r="B172" s="675">
        <v>70801</v>
      </c>
      <c r="C172" s="675">
        <v>9</v>
      </c>
      <c r="D172" s="675">
        <v>2022</v>
      </c>
      <c r="E172" s="675">
        <v>6159.9714400000003</v>
      </c>
      <c r="F172" s="675">
        <v>2195.2460000000001</v>
      </c>
      <c r="G172" s="675">
        <v>13522653</v>
      </c>
      <c r="H172" s="844">
        <f t="shared" si="10"/>
        <v>13522652.663774241</v>
      </c>
      <c r="I172" s="844">
        <f t="shared" si="11"/>
        <v>0.33622575923800468</v>
      </c>
    </row>
    <row r="173" spans="1:9" ht="12.5" x14ac:dyDescent="0.25">
      <c r="A173" s="675">
        <v>35795</v>
      </c>
      <c r="B173" s="675">
        <v>57836</v>
      </c>
      <c r="C173" s="675">
        <v>9</v>
      </c>
      <c r="D173" s="675">
        <v>2022</v>
      </c>
      <c r="E173" s="675">
        <v>6159.9714400000003</v>
      </c>
      <c r="F173" s="675">
        <v>289.46199999999999</v>
      </c>
      <c r="G173" s="675">
        <v>1783078</v>
      </c>
      <c r="H173" s="844">
        <f t="shared" si="10"/>
        <v>1783077.65296528</v>
      </c>
      <c r="I173" s="844">
        <f t="shared" si="11"/>
        <v>0.34703472000546753</v>
      </c>
    </row>
    <row r="174" spans="1:9" ht="12.5" x14ac:dyDescent="0.25">
      <c r="A174" s="675">
        <v>35795</v>
      </c>
      <c r="B174" s="675">
        <v>101819</v>
      </c>
      <c r="C174" s="675">
        <v>9</v>
      </c>
      <c r="D174" s="675">
        <v>2022</v>
      </c>
      <c r="E174" s="675">
        <v>6159.9714400000003</v>
      </c>
      <c r="F174" s="675">
        <v>497.07400000000001</v>
      </c>
      <c r="G174" s="675">
        <v>3061962</v>
      </c>
      <c r="H174" s="844">
        <f t="shared" si="10"/>
        <v>3061961.64356656</v>
      </c>
      <c r="I174" s="844">
        <f t="shared" si="11"/>
        <v>0.3564334399998188</v>
      </c>
    </row>
    <row r="175" spans="1:9" ht="12.5" x14ac:dyDescent="0.25">
      <c r="A175" s="675">
        <v>35795</v>
      </c>
      <c r="B175" s="675">
        <v>227826</v>
      </c>
      <c r="C175" s="675">
        <v>9</v>
      </c>
      <c r="D175" s="675">
        <v>2022</v>
      </c>
      <c r="E175" s="675">
        <v>6159.9714400000003</v>
      </c>
      <c r="F175" s="675">
        <v>353.11700000000002</v>
      </c>
      <c r="G175" s="675">
        <v>2175191</v>
      </c>
      <c r="H175" s="844">
        <f t="shared" si="10"/>
        <v>2175190.6349784802</v>
      </c>
      <c r="I175" s="844">
        <f t="shared" si="11"/>
        <v>0.36502151982858777</v>
      </c>
    </row>
    <row r="176" spans="1:9" ht="12.5" x14ac:dyDescent="0.25">
      <c r="A176" s="675">
        <v>35795</v>
      </c>
      <c r="B176" s="675">
        <v>108809</v>
      </c>
      <c r="C176" s="675">
        <v>9</v>
      </c>
      <c r="D176" s="675">
        <v>2022</v>
      </c>
      <c r="E176" s="675">
        <v>6159.9714400000003</v>
      </c>
      <c r="F176" s="675">
        <v>252.32400000000001</v>
      </c>
      <c r="G176" s="675">
        <v>1554309</v>
      </c>
      <c r="H176" s="844">
        <f t="shared" si="10"/>
        <v>1554308.6336265602</v>
      </c>
      <c r="I176" s="844">
        <f t="shared" si="11"/>
        <v>0.36637343978509307</v>
      </c>
    </row>
    <row r="177" spans="1:9" ht="12.5" x14ac:dyDescent="0.25">
      <c r="A177" s="675">
        <v>35795</v>
      </c>
      <c r="B177" s="675">
        <v>227814</v>
      </c>
      <c r="C177" s="675">
        <v>9</v>
      </c>
      <c r="D177" s="675">
        <v>2022</v>
      </c>
      <c r="E177" s="675">
        <v>6159.9714400000003</v>
      </c>
      <c r="F177" s="675">
        <v>334.32600000000002</v>
      </c>
      <c r="G177" s="675">
        <v>2059439</v>
      </c>
      <c r="H177" s="844">
        <f t="shared" si="10"/>
        <v>2059438.6116494401</v>
      </c>
      <c r="I177" s="844">
        <f t="shared" si="11"/>
        <v>0.3883505598641932</v>
      </c>
    </row>
    <row r="178" spans="1:9" ht="12.5" x14ac:dyDescent="0.25">
      <c r="A178" s="675">
        <v>35795</v>
      </c>
      <c r="B178" s="675">
        <v>57819</v>
      </c>
      <c r="C178" s="675">
        <v>9</v>
      </c>
      <c r="D178" s="675">
        <v>2022</v>
      </c>
      <c r="E178" s="675">
        <v>6159.9714400000003</v>
      </c>
      <c r="F178" s="675">
        <v>160.995</v>
      </c>
      <c r="G178" s="675">
        <v>991725</v>
      </c>
      <c r="H178" s="844">
        <f t="shared" si="10"/>
        <v>991724.60198280006</v>
      </c>
      <c r="I178" s="844">
        <f t="shared" si="11"/>
        <v>0.39801719994284213</v>
      </c>
    </row>
    <row r="179" spans="1:9" ht="12.5" x14ac:dyDescent="0.25">
      <c r="A179" s="675">
        <v>35795</v>
      </c>
      <c r="B179" s="675">
        <v>57830</v>
      </c>
      <c r="C179" s="675">
        <v>9</v>
      </c>
      <c r="D179" s="675">
        <v>2022</v>
      </c>
      <c r="E179" s="675">
        <v>6159.9714400000003</v>
      </c>
      <c r="F179" s="675">
        <v>1025.3679999999999</v>
      </c>
      <c r="G179" s="675">
        <v>6316238</v>
      </c>
      <c r="H179" s="844">
        <f t="shared" si="10"/>
        <v>6316237.5954899201</v>
      </c>
      <c r="I179" s="844">
        <f t="shared" si="11"/>
        <v>0.404510079883039</v>
      </c>
    </row>
    <row r="180" spans="1:9" ht="12.5" x14ac:dyDescent="0.25">
      <c r="A180" s="675">
        <v>35795</v>
      </c>
      <c r="B180" s="675">
        <v>57850</v>
      </c>
      <c r="C180" s="675">
        <v>9</v>
      </c>
      <c r="D180" s="675">
        <v>2022</v>
      </c>
      <c r="E180" s="675">
        <v>6159.9714400000003</v>
      </c>
      <c r="F180" s="675">
        <v>1954.04</v>
      </c>
      <c r="G180" s="675">
        <v>12036831</v>
      </c>
      <c r="H180" s="844">
        <f t="shared" si="10"/>
        <v>12036830.592617601</v>
      </c>
      <c r="I180" s="844">
        <f t="shared" si="11"/>
        <v>0.40738239884376526</v>
      </c>
    </row>
    <row r="181" spans="1:9" ht="12.5" x14ac:dyDescent="0.25">
      <c r="A181" s="675">
        <v>35795</v>
      </c>
      <c r="B181" s="675">
        <v>101872</v>
      </c>
      <c r="C181" s="675">
        <v>9</v>
      </c>
      <c r="D181" s="675">
        <v>2022</v>
      </c>
      <c r="E181" s="675">
        <v>6159.9714400000003</v>
      </c>
      <c r="F181" s="675">
        <v>318.32300000000004</v>
      </c>
      <c r="G181" s="675">
        <v>1960861</v>
      </c>
      <c r="H181" s="844">
        <f t="shared" si="10"/>
        <v>1960860.5886951203</v>
      </c>
      <c r="I181" s="844">
        <f t="shared" si="11"/>
        <v>0.41130487970076501</v>
      </c>
    </row>
    <row r="182" spans="1:9" ht="12.5" x14ac:dyDescent="0.25">
      <c r="A182" s="675">
        <v>35795</v>
      </c>
      <c r="B182" s="675">
        <v>71810</v>
      </c>
      <c r="C182" s="675">
        <v>9</v>
      </c>
      <c r="D182" s="675">
        <v>2022</v>
      </c>
      <c r="E182" s="675">
        <v>6159.9714400000003</v>
      </c>
      <c r="F182" s="675">
        <v>242.078</v>
      </c>
      <c r="G182" s="675">
        <v>1491194</v>
      </c>
      <c r="H182" s="844">
        <f t="shared" si="10"/>
        <v>1491193.5662523201</v>
      </c>
      <c r="I182" s="844">
        <f t="shared" si="11"/>
        <v>0.43374767992645502</v>
      </c>
    </row>
    <row r="183" spans="1:9" ht="12.5" x14ac:dyDescent="0.25">
      <c r="A183" s="675">
        <v>35795</v>
      </c>
      <c r="B183" s="675">
        <v>57806</v>
      </c>
      <c r="C183" s="675">
        <v>9</v>
      </c>
      <c r="D183" s="675">
        <v>2022</v>
      </c>
      <c r="E183" s="675">
        <v>6159.9714400000003</v>
      </c>
      <c r="F183" s="675">
        <v>851.64300000000003</v>
      </c>
      <c r="G183" s="675">
        <v>5246097</v>
      </c>
      <c r="H183" s="844">
        <f t="shared" si="10"/>
        <v>5246096.5570759205</v>
      </c>
      <c r="I183" s="844">
        <f t="shared" si="11"/>
        <v>0.4429240794852376</v>
      </c>
    </row>
    <row r="184" spans="1:9" ht="12.5" x14ac:dyDescent="0.25">
      <c r="A184" s="675">
        <v>35795</v>
      </c>
      <c r="B184" s="675">
        <v>101856</v>
      </c>
      <c r="C184" s="675">
        <v>9</v>
      </c>
      <c r="D184" s="675">
        <v>2022</v>
      </c>
      <c r="E184" s="675">
        <v>6159.9714400000003</v>
      </c>
      <c r="F184" s="675">
        <v>620.93299999999999</v>
      </c>
      <c r="G184" s="675">
        <v>3824930</v>
      </c>
      <c r="H184" s="844">
        <f t="shared" si="10"/>
        <v>3824929.5461535202</v>
      </c>
      <c r="I184" s="844">
        <f t="shared" si="11"/>
        <v>0.45384647976607084</v>
      </c>
    </row>
    <row r="185" spans="1:9" ht="12.5" x14ac:dyDescent="0.25">
      <c r="A185" s="675">
        <v>35795</v>
      </c>
      <c r="B185" s="675">
        <v>152806</v>
      </c>
      <c r="C185" s="675">
        <v>9</v>
      </c>
      <c r="D185" s="675">
        <v>2022</v>
      </c>
      <c r="E185" s="675">
        <v>6159.9714400000003</v>
      </c>
      <c r="F185" s="675">
        <v>143.47900000000001</v>
      </c>
      <c r="G185" s="675">
        <v>883827</v>
      </c>
      <c r="H185" s="844">
        <f t="shared" si="10"/>
        <v>883826.54223976017</v>
      </c>
      <c r="I185" s="844">
        <f t="shared" si="11"/>
        <v>0.45776023983489722</v>
      </c>
    </row>
    <row r="186" spans="1:9" ht="12.5" x14ac:dyDescent="0.25">
      <c r="A186" s="675">
        <v>35795</v>
      </c>
      <c r="B186" s="675">
        <v>84804</v>
      </c>
      <c r="C186" s="675">
        <v>9</v>
      </c>
      <c r="D186" s="675">
        <v>2022</v>
      </c>
      <c r="E186" s="675">
        <v>6159.9714400000003</v>
      </c>
      <c r="F186" s="675">
        <v>154.06200000000001</v>
      </c>
      <c r="G186" s="675">
        <v>949018</v>
      </c>
      <c r="H186" s="844">
        <f t="shared" si="10"/>
        <v>949017.51998928015</v>
      </c>
      <c r="I186" s="844">
        <f t="shared" si="11"/>
        <v>0.48001071985345334</v>
      </c>
    </row>
    <row r="187" spans="1:9" ht="12.5" x14ac:dyDescent="0.25">
      <c r="A187" s="675">
        <v>35795</v>
      </c>
      <c r="B187" s="675">
        <v>101878</v>
      </c>
      <c r="C187" s="675">
        <v>9</v>
      </c>
      <c r="D187" s="675">
        <v>2022</v>
      </c>
      <c r="E187" s="675">
        <v>6159.9714400000003</v>
      </c>
      <c r="F187" s="675">
        <v>111.07300000000001</v>
      </c>
      <c r="G187" s="675">
        <v>684207</v>
      </c>
      <c r="H187" s="844">
        <f t="shared" si="10"/>
        <v>684206.50775512005</v>
      </c>
      <c r="I187" s="844">
        <f t="shared" si="11"/>
        <v>0.49224487994797528</v>
      </c>
    </row>
  </sheetData>
  <sheetProtection algorithmName="SHA-512" hashValue="isZDsxIdG7DFGQqh8c6aj5sRY9lf3/KNBjrkzlpO3DvHWqXPpW6cryf4sJdxD0GxQo2XDxodMK+VqCG87r+0lg==" saltValue="+p1PTDzxCnvkop+9y8dyEA==" spinCount="100000" sheet="1" objects="1" scenarios="1"/>
  <sortState xmlns:xlrd2="http://schemas.microsoft.com/office/spreadsheetml/2017/richdata2" ref="A2:KI188">
    <sortCondition ref="I3:I188"/>
  </sortState>
  <pageMargins left="0.7" right="0.7" top="0.75" bottom="0.75" header="0.3" footer="0.3"/>
  <pageSetup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86F08-8D98-4B34-B7CA-16FDF8EAE7E1}">
  <sheetPr codeName="Sheet3">
    <tabColor rgb="FFFF0000"/>
  </sheetPr>
  <dimension ref="A1:KF189"/>
  <sheetViews>
    <sheetView topLeftCell="FH1" workbookViewId="0">
      <selection activeCell="FL2" sqref="A2:XFD2"/>
    </sheetView>
  </sheetViews>
  <sheetFormatPr defaultColWidth="9.1796875" defaultRowHeight="12.5" x14ac:dyDescent="0.25"/>
  <cols>
    <col min="1" max="1" width="11.7265625" style="675" bestFit="1" customWidth="1"/>
    <col min="2" max="2" width="12.453125" style="675" bestFit="1" customWidth="1"/>
    <col min="3" max="3" width="16" style="675" bestFit="1" customWidth="1"/>
    <col min="4" max="4" width="14" style="675" customWidth="1"/>
    <col min="5" max="5" width="5" style="675" customWidth="1"/>
    <col min="6" max="6" width="22.1796875" style="675" customWidth="1"/>
    <col min="7" max="7" width="23.1796875" style="675" customWidth="1"/>
    <col min="8" max="8" width="15.26953125" style="675" customWidth="1"/>
    <col min="9" max="9" width="23.7265625" style="675" customWidth="1"/>
    <col min="10" max="10" width="18.54296875" style="675" customWidth="1"/>
    <col min="11" max="11" width="22.81640625" style="675" customWidth="1"/>
    <col min="12" max="12" width="11.1796875" style="675" customWidth="1"/>
    <col min="13" max="13" width="29.26953125" style="675" customWidth="1"/>
    <col min="14" max="14" width="17.26953125" style="675" customWidth="1"/>
    <col min="15" max="15" width="23.453125" style="675" customWidth="1"/>
    <col min="16" max="16" width="10" style="675" customWidth="1"/>
    <col min="17" max="17" width="23.7265625" style="675" customWidth="1"/>
    <col min="18" max="18" width="11.453125" style="675" customWidth="1"/>
    <col min="19" max="20" width="10.54296875" style="675" customWidth="1"/>
    <col min="21" max="21" width="20.81640625" style="675" customWidth="1"/>
    <col min="22" max="22" width="10" style="675" customWidth="1"/>
    <col min="23" max="23" width="10.453125" style="675" customWidth="1"/>
    <col min="24" max="24" width="18.54296875" style="675" customWidth="1"/>
    <col min="25" max="25" width="17.453125" style="675" customWidth="1"/>
    <col min="26" max="26" width="24.81640625" style="675" customWidth="1"/>
    <col min="27" max="27" width="4" style="675" customWidth="1"/>
    <col min="28" max="28" width="8.453125" style="675" customWidth="1"/>
    <col min="29" max="29" width="18.7265625" style="675" customWidth="1"/>
    <col min="30" max="30" width="11.453125" style="675" customWidth="1"/>
    <col min="31" max="31" width="21" style="675" customWidth="1"/>
    <col min="32" max="33" width="9" style="675" customWidth="1"/>
    <col min="34" max="34" width="24.54296875" style="675" customWidth="1"/>
    <col min="35" max="36" width="12.54296875" style="675" customWidth="1"/>
    <col min="37" max="37" width="19.81640625" style="675" customWidth="1"/>
    <col min="38" max="38" width="60.453125" style="675" customWidth="1"/>
    <col min="39" max="39" width="8.1796875" style="675" customWidth="1"/>
    <col min="40" max="40" width="20.453125" style="675" customWidth="1"/>
    <col min="41" max="41" width="26.1796875" style="675" customWidth="1"/>
    <col min="42" max="42" width="19.54296875" style="675" customWidth="1"/>
    <col min="43" max="43" width="19.453125" style="675" customWidth="1"/>
    <col min="44" max="44" width="8.81640625" style="675" customWidth="1"/>
    <col min="45" max="45" width="5.81640625" style="675" customWidth="1"/>
    <col min="46" max="46" width="14.7265625" style="675" customWidth="1"/>
    <col min="47" max="47" width="10.81640625" style="675" customWidth="1"/>
    <col min="48" max="48" width="23.54296875" style="675" customWidth="1"/>
    <col min="49" max="50" width="15.81640625" style="675" customWidth="1"/>
    <col min="51" max="51" width="20.7265625" style="675" customWidth="1"/>
    <col min="52" max="52" width="19.54296875" style="675" customWidth="1"/>
    <col min="53" max="53" width="14.7265625" style="675" customWidth="1"/>
    <col min="54" max="54" width="10.1796875" style="675" customWidth="1"/>
    <col min="55" max="55" width="18.26953125" style="675" customWidth="1"/>
    <col min="56" max="56" width="11.7265625" style="675" customWidth="1"/>
    <col min="57" max="57" width="17" style="675" customWidth="1"/>
    <col min="58" max="58" width="11" style="675" customWidth="1"/>
    <col min="59" max="59" width="5.81640625" style="675" customWidth="1"/>
    <col min="60" max="60" width="19.26953125" style="675" customWidth="1"/>
    <col min="61" max="61" width="21.1796875" style="675" customWidth="1"/>
    <col min="62" max="62" width="16.7265625" style="675" customWidth="1"/>
    <col min="63" max="63" width="24.54296875" style="675" customWidth="1"/>
    <col min="64" max="64" width="17.453125" style="675" customWidth="1"/>
    <col min="65" max="65" width="17.26953125" style="675" customWidth="1"/>
    <col min="66" max="66" width="24.453125" style="675" customWidth="1"/>
    <col min="67" max="67" width="26" style="675" customWidth="1"/>
    <col min="68" max="68" width="25.81640625" style="675" customWidth="1"/>
    <col min="69" max="69" width="5.1796875" style="675" customWidth="1"/>
    <col min="70" max="70" width="9.1796875" style="675" customWidth="1"/>
    <col min="71" max="71" width="20.453125" style="675" customWidth="1"/>
    <col min="72" max="74" width="14.1796875" style="675" customWidth="1"/>
    <col min="75" max="75" width="20.81640625" style="675" customWidth="1"/>
    <col min="76" max="76" width="18" style="675" customWidth="1"/>
    <col min="77" max="77" width="14.26953125" style="675" customWidth="1"/>
    <col min="78" max="78" width="5.81640625" style="675" customWidth="1"/>
    <col min="79" max="79" width="10" style="675" customWidth="1"/>
    <col min="80" max="80" width="11.81640625" style="675" customWidth="1"/>
    <col min="81" max="81" width="19" style="675" customWidth="1"/>
    <col min="82" max="84" width="21.7265625" style="675" customWidth="1"/>
    <col min="85" max="85" width="20.7265625" style="675" customWidth="1"/>
    <col min="86" max="86" width="28.54296875" style="675" customWidth="1"/>
    <col min="87" max="87" width="9.7265625" style="675" customWidth="1"/>
    <col min="88" max="88" width="21" style="675" customWidth="1"/>
    <col min="89" max="89" width="9.81640625" style="675" customWidth="1"/>
    <col min="90" max="90" width="11.7265625" style="675" customWidth="1"/>
    <col min="91" max="91" width="6.7265625" style="675" customWidth="1"/>
    <col min="92" max="92" width="16.81640625" style="675" customWidth="1"/>
    <col min="93" max="93" width="19.453125" style="675" customWidth="1"/>
    <col min="94" max="94" width="9.26953125" style="675" customWidth="1"/>
    <col min="95" max="95" width="14.81640625" style="675" customWidth="1"/>
    <col min="96" max="96" width="23.26953125" style="675" customWidth="1"/>
    <col min="97" max="97" width="16.54296875" style="675" customWidth="1"/>
    <col min="98" max="98" width="13.1796875" style="675" customWidth="1"/>
    <col min="99" max="99" width="21.7265625" style="675" customWidth="1"/>
    <col min="100" max="100" width="22.1796875" style="675" customWidth="1"/>
    <col min="101" max="101" width="19.453125" style="675" customWidth="1"/>
    <col min="102" max="102" width="22.81640625" style="675" customWidth="1"/>
    <col min="103" max="103" width="18.453125" style="675" customWidth="1"/>
    <col min="104" max="104" width="12.26953125" style="675" customWidth="1"/>
    <col min="105" max="105" width="23.54296875" style="675" customWidth="1"/>
    <col min="106" max="106" width="17.26953125" style="675" customWidth="1"/>
    <col min="107" max="107" width="13.54296875" style="675" customWidth="1"/>
    <col min="108" max="108" width="20" style="675" customWidth="1"/>
    <col min="109" max="109" width="11.54296875" style="675" customWidth="1"/>
    <col min="110" max="110" width="19.7265625" style="675" customWidth="1"/>
    <col min="111" max="111" width="13.26953125" style="675" customWidth="1"/>
    <col min="112" max="112" width="21.1796875" style="675" customWidth="1"/>
    <col min="113" max="113" width="16.54296875" style="675" customWidth="1"/>
    <col min="114" max="114" width="18.54296875" style="675" customWidth="1"/>
    <col min="115" max="115" width="5" style="675" customWidth="1"/>
    <col min="116" max="116" width="22.453125" style="675" customWidth="1"/>
    <col min="117" max="117" width="23.7265625" style="675" customWidth="1"/>
    <col min="118" max="118" width="26.7265625" style="675" customWidth="1"/>
    <col min="119" max="119" width="20.54296875" style="675" customWidth="1"/>
    <col min="120" max="120" width="31.81640625" style="675" customWidth="1"/>
    <col min="121" max="121" width="28.54296875" style="675" customWidth="1"/>
    <col min="122" max="122" width="29.81640625" style="675" customWidth="1"/>
    <col min="123" max="123" width="26.7265625" style="675" customWidth="1"/>
    <col min="124" max="124" width="30.1796875" style="675" customWidth="1"/>
    <col min="125" max="125" width="34.1796875" style="675" customWidth="1"/>
    <col min="126" max="126" width="33.453125" style="675" customWidth="1"/>
    <col min="127" max="127" width="27.26953125" style="675" customWidth="1"/>
    <col min="128" max="128" width="30.7265625" style="675" customWidth="1"/>
    <col min="129" max="129" width="23.26953125" style="675" customWidth="1"/>
    <col min="130" max="130" width="29.453125" style="675" customWidth="1"/>
    <col min="131" max="131" width="26.81640625" style="675" customWidth="1"/>
    <col min="132" max="132" width="23.54296875" style="675" customWidth="1"/>
    <col min="133" max="133" width="27.453125" style="675" customWidth="1"/>
    <col min="134" max="134" width="29.26953125" style="675" customWidth="1"/>
    <col min="135" max="135" width="24.7265625" style="675" customWidth="1"/>
    <col min="136" max="136" width="22.453125" style="675" customWidth="1"/>
    <col min="137" max="137" width="24.7265625" style="675" customWidth="1"/>
    <col min="138" max="138" width="20.7265625" style="675" customWidth="1"/>
    <col min="139" max="139" width="24" style="675" customWidth="1"/>
    <col min="140" max="140" width="21.7265625" style="675" customWidth="1"/>
    <col min="141" max="141" width="25" style="675" customWidth="1"/>
    <col min="142" max="142" width="29" style="675" customWidth="1"/>
    <col min="143" max="143" width="28.453125" style="675" customWidth="1"/>
    <col min="144" max="144" width="22.26953125" style="675" customWidth="1"/>
    <col min="145" max="145" width="28" style="675" customWidth="1"/>
    <col min="146" max="146" width="25.7265625" style="675" customWidth="1"/>
    <col min="147" max="147" width="23.1796875" style="675" customWidth="1"/>
    <col min="148" max="148" width="18.26953125" style="675" customWidth="1"/>
    <col min="149" max="149" width="29" style="675" customWidth="1"/>
    <col min="150" max="150" width="13.7265625" style="675" customWidth="1"/>
    <col min="151" max="151" width="12.1796875" style="675" customWidth="1"/>
    <col min="152" max="152" width="20" style="675" customWidth="1"/>
    <col min="153" max="153" width="17.26953125" style="675" customWidth="1"/>
    <col min="154" max="154" width="12.54296875" style="675" customWidth="1"/>
    <col min="155" max="155" width="19.54296875" style="675" customWidth="1"/>
    <col min="156" max="156" width="16.54296875" style="675" customWidth="1"/>
    <col min="157" max="157" width="21.1796875" style="675" customWidth="1"/>
    <col min="158" max="158" width="20.453125" style="675" customWidth="1"/>
    <col min="159" max="159" width="16.26953125" style="675" customWidth="1"/>
    <col min="160" max="162" width="15.26953125" style="675" customWidth="1"/>
    <col min="163" max="164" width="15.81640625" style="675" customWidth="1"/>
    <col min="165" max="166" width="23.453125" style="675" customWidth="1"/>
    <col min="167" max="167" width="13.7265625" style="675" customWidth="1"/>
    <col min="168" max="168" width="15.453125" style="675" bestFit="1" customWidth="1"/>
    <col min="169" max="169" width="21.54296875" style="675" customWidth="1"/>
    <col min="170" max="170" width="23.1796875" style="675" customWidth="1"/>
    <col min="171" max="171" width="19.1796875" style="675" customWidth="1"/>
    <col min="172" max="172" width="23" style="675" customWidth="1"/>
    <col min="173" max="173" width="18.54296875" style="675" customWidth="1"/>
    <col min="174" max="174" width="28.7265625" style="675" customWidth="1"/>
    <col min="175" max="175" width="21.81640625" style="675" customWidth="1"/>
    <col min="176" max="176" width="19.7265625" style="675" customWidth="1"/>
    <col min="177" max="177" width="11.1796875" style="675" customWidth="1"/>
    <col min="178" max="178" width="24.453125" style="675" customWidth="1"/>
    <col min="179" max="179" width="9.453125" style="675" customWidth="1"/>
    <col min="180" max="180" width="22.7265625" style="675" customWidth="1"/>
    <col min="181" max="181" width="13.26953125" style="675" customWidth="1"/>
    <col min="182" max="182" width="19.453125" style="675" customWidth="1"/>
    <col min="183" max="183" width="17" style="675" customWidth="1"/>
    <col min="184" max="184" width="14.453125" style="675" customWidth="1"/>
    <col min="185" max="185" width="22.54296875" style="675" customWidth="1"/>
    <col min="186" max="186" width="12" style="675" customWidth="1"/>
    <col min="187" max="187" width="21.453125" style="675" customWidth="1"/>
    <col min="188" max="188" width="9.7265625" style="675" customWidth="1"/>
    <col min="189" max="189" width="13.26953125" style="675" customWidth="1"/>
    <col min="190" max="190" width="18.54296875" style="675" customWidth="1"/>
    <col min="191" max="191" width="19.1796875" style="675" customWidth="1"/>
    <col min="192" max="192" width="21.81640625" style="675" customWidth="1"/>
    <col min="193" max="193" width="25.81640625" style="675" customWidth="1"/>
    <col min="194" max="194" width="18.453125" style="675" customWidth="1"/>
    <col min="195" max="195" width="16.26953125" style="675" customWidth="1"/>
    <col min="196" max="196" width="18.453125" style="675" customWidth="1"/>
    <col min="197" max="197" width="20.7265625" style="675" hidden="1" customWidth="1"/>
    <col min="198" max="198" width="28.54296875" style="675" bestFit="1" customWidth="1"/>
    <col min="199" max="199" width="18.1796875" style="675" bestFit="1" customWidth="1"/>
    <col min="200" max="200" width="14" style="675" hidden="1" customWidth="1"/>
    <col min="201" max="202" width="19" style="675" hidden="1" customWidth="1"/>
    <col min="203" max="203" width="18.453125" style="675" hidden="1" customWidth="1"/>
    <col min="204" max="204" width="25.54296875" style="675" hidden="1" customWidth="1"/>
    <col min="205" max="205" width="22.81640625" style="675" hidden="1" customWidth="1"/>
    <col min="206" max="206" width="18.81640625" style="675" hidden="1" customWidth="1"/>
    <col min="207" max="207" width="23.453125" style="675" hidden="1" customWidth="1"/>
    <col min="208" max="208" width="22" style="675" hidden="1" customWidth="1"/>
    <col min="209" max="209" width="23" style="675" hidden="1" customWidth="1"/>
    <col min="210" max="210" width="27.7265625" style="675" bestFit="1" customWidth="1"/>
    <col min="211" max="211" width="26.1796875" style="675" bestFit="1" customWidth="1"/>
    <col min="212" max="212" width="20.26953125" style="675" customWidth="1"/>
    <col min="213" max="213" width="16.1796875" style="675" customWidth="1"/>
    <col min="214" max="214" width="18.453125" style="675" customWidth="1"/>
    <col min="215" max="215" width="16.7265625" style="675" customWidth="1"/>
    <col min="216" max="216" width="17.7265625" style="675" customWidth="1"/>
    <col min="217" max="217" width="22.1796875" style="675" customWidth="1"/>
    <col min="218" max="218" width="15.1796875" style="675" customWidth="1"/>
    <col min="219" max="219" width="23.1796875" style="675" customWidth="1"/>
    <col min="220" max="220" width="19.1796875" style="675" customWidth="1"/>
    <col min="221" max="221" width="25.1796875" style="675" customWidth="1"/>
    <col min="222" max="222" width="23.54296875" style="675" customWidth="1"/>
    <col min="223" max="223" width="15.7265625" style="675" customWidth="1"/>
    <col min="224" max="224" width="16.81640625" style="675" customWidth="1"/>
    <col min="225" max="225" width="20.81640625" style="675" customWidth="1"/>
    <col min="226" max="226" width="18.81640625" style="675" customWidth="1"/>
    <col min="227" max="227" width="21" style="675" customWidth="1"/>
    <col min="228" max="228" width="15.81640625" style="675" customWidth="1"/>
    <col min="229" max="229" width="21.1796875" style="675" customWidth="1"/>
    <col min="230" max="230" width="6.54296875" style="675" customWidth="1"/>
    <col min="231" max="231" width="26.26953125" style="675" customWidth="1"/>
    <col min="232" max="236" width="16.26953125" style="675" customWidth="1"/>
    <col min="237" max="237" width="18.81640625" style="675" customWidth="1"/>
    <col min="238" max="238" width="28.26953125" style="675" customWidth="1"/>
    <col min="239" max="239" width="19.26953125" style="675" customWidth="1"/>
    <col min="240" max="240" width="23.453125" style="675" customWidth="1"/>
    <col min="241" max="241" width="18.453125" style="675" customWidth="1"/>
    <col min="242" max="242" width="15.7265625" style="675" customWidth="1"/>
    <col min="243" max="243" width="15" style="675" customWidth="1"/>
    <col min="244" max="244" width="13.1796875" style="675" customWidth="1"/>
    <col min="245" max="245" width="14.54296875" style="675" customWidth="1"/>
    <col min="246" max="246" width="23.1796875" style="675" customWidth="1"/>
    <col min="247" max="247" width="27.26953125" style="675" customWidth="1"/>
    <col min="248" max="248" width="21.1796875" style="675" customWidth="1"/>
    <col min="249" max="249" width="26.81640625" style="675" customWidth="1"/>
    <col min="250" max="250" width="20" style="675" customWidth="1"/>
    <col min="251" max="251" width="15.453125" style="675" customWidth="1"/>
    <col min="252" max="252" width="17.453125" style="675" customWidth="1"/>
    <col min="253" max="253" width="16.453125" style="675" customWidth="1"/>
    <col min="254" max="254" width="21.54296875" style="675" customWidth="1"/>
    <col min="255" max="255" width="25.7265625" style="675" customWidth="1"/>
    <col min="256" max="256" width="19.54296875" style="675" customWidth="1"/>
    <col min="257" max="257" width="14.453125" style="675" customWidth="1"/>
    <col min="258" max="258" width="21.1796875" style="675" customWidth="1"/>
    <col min="259" max="259" width="25.26953125" style="675" customWidth="1"/>
    <col min="260" max="260" width="22" style="675" customWidth="1"/>
    <col min="261" max="261" width="26.7265625" style="675" customWidth="1"/>
    <col min="262" max="273" width="9.1796875" style="675"/>
    <col min="274" max="274" width="17.7265625" style="675" bestFit="1" customWidth="1"/>
    <col min="275" max="275" width="9.1796875" style="675"/>
    <col min="276" max="276" width="4" style="675" bestFit="1" customWidth="1"/>
    <col min="277" max="16384" width="9.1796875" style="675"/>
  </cols>
  <sheetData>
    <row r="1" spans="1:292" ht="13" x14ac:dyDescent="0.3">
      <c r="A1" s="675">
        <v>1</v>
      </c>
      <c r="B1" s="675">
        <v>2</v>
      </c>
      <c r="C1" s="675">
        <v>3</v>
      </c>
      <c r="D1" s="675">
        <v>4</v>
      </c>
      <c r="E1" s="675">
        <v>5</v>
      </c>
      <c r="F1" s="675">
        <v>6</v>
      </c>
      <c r="G1" s="675">
        <v>7</v>
      </c>
      <c r="H1" s="675">
        <v>8</v>
      </c>
      <c r="I1" s="675">
        <v>9</v>
      </c>
      <c r="J1" s="675">
        <v>10</v>
      </c>
      <c r="K1" s="675">
        <v>11</v>
      </c>
      <c r="L1" s="675">
        <v>12</v>
      </c>
      <c r="M1" s="675">
        <v>13</v>
      </c>
      <c r="N1" s="675">
        <v>14</v>
      </c>
      <c r="O1" s="675">
        <v>15</v>
      </c>
      <c r="P1" s="675">
        <v>16</v>
      </c>
      <c r="Q1" s="675">
        <v>17</v>
      </c>
      <c r="R1" s="675">
        <v>18</v>
      </c>
      <c r="S1" s="675">
        <v>19</v>
      </c>
      <c r="T1" s="675">
        <v>20</v>
      </c>
      <c r="U1" s="675">
        <v>21</v>
      </c>
      <c r="V1" s="675">
        <v>22</v>
      </c>
      <c r="W1" s="675">
        <v>23</v>
      </c>
      <c r="X1" s="675">
        <v>24</v>
      </c>
      <c r="Y1" s="675">
        <v>25</v>
      </c>
      <c r="Z1" s="675">
        <v>26</v>
      </c>
      <c r="AA1" s="675">
        <v>27</v>
      </c>
      <c r="AB1" s="675">
        <v>28</v>
      </c>
      <c r="AC1" s="675">
        <v>29</v>
      </c>
      <c r="AD1" s="675">
        <v>30</v>
      </c>
      <c r="AE1" s="675">
        <v>31</v>
      </c>
      <c r="AF1" s="675">
        <v>32</v>
      </c>
      <c r="AG1" s="675">
        <v>33</v>
      </c>
      <c r="AH1" s="675">
        <v>34</v>
      </c>
      <c r="AI1" s="675">
        <v>35</v>
      </c>
      <c r="AJ1" s="675">
        <v>36</v>
      </c>
      <c r="AK1" s="675">
        <v>37</v>
      </c>
      <c r="AL1" s="675">
        <v>38</v>
      </c>
      <c r="AM1" s="675">
        <v>39</v>
      </c>
      <c r="AN1" s="675">
        <v>40</v>
      </c>
      <c r="AO1" s="675">
        <v>41</v>
      </c>
      <c r="AP1" s="675">
        <v>42</v>
      </c>
      <c r="AQ1" s="675">
        <v>43</v>
      </c>
      <c r="AR1" s="675">
        <v>44</v>
      </c>
      <c r="AS1" s="675">
        <v>45</v>
      </c>
      <c r="AT1" s="675">
        <v>46</v>
      </c>
      <c r="AU1" s="675">
        <v>47</v>
      </c>
      <c r="AV1" s="675">
        <v>48</v>
      </c>
      <c r="AW1" s="675">
        <v>49</v>
      </c>
      <c r="AX1" s="675">
        <v>50</v>
      </c>
      <c r="AY1" s="675">
        <v>51</v>
      </c>
      <c r="AZ1" s="675">
        <v>52</v>
      </c>
      <c r="BA1" s="675">
        <v>53</v>
      </c>
      <c r="BB1" s="675">
        <v>54</v>
      </c>
      <c r="BC1" s="675">
        <v>55</v>
      </c>
      <c r="BD1" s="675">
        <v>56</v>
      </c>
      <c r="BE1" s="675">
        <v>57</v>
      </c>
      <c r="BF1" s="675">
        <v>58</v>
      </c>
      <c r="BG1" s="675">
        <v>59</v>
      </c>
      <c r="BH1" s="676">
        <v>60</v>
      </c>
      <c r="BI1" s="676">
        <v>61</v>
      </c>
      <c r="BJ1" s="675">
        <v>62</v>
      </c>
      <c r="BK1" s="675">
        <v>63</v>
      </c>
      <c r="BL1" s="675">
        <v>64</v>
      </c>
      <c r="BM1" s="675">
        <v>65</v>
      </c>
      <c r="BN1" s="675">
        <v>66</v>
      </c>
      <c r="BO1" s="675">
        <v>67</v>
      </c>
      <c r="BP1" s="675">
        <v>68</v>
      </c>
      <c r="BQ1" s="675">
        <v>69</v>
      </c>
      <c r="BR1" s="675">
        <v>70</v>
      </c>
      <c r="BS1" s="675">
        <v>71</v>
      </c>
      <c r="BT1" s="675">
        <v>72</v>
      </c>
      <c r="BU1" s="675">
        <v>73</v>
      </c>
      <c r="BV1" s="675">
        <v>74</v>
      </c>
      <c r="BW1" s="675">
        <v>75</v>
      </c>
      <c r="BX1" s="675">
        <v>76</v>
      </c>
      <c r="BY1" s="675">
        <v>77</v>
      </c>
      <c r="BZ1" s="675">
        <v>78</v>
      </c>
      <c r="CA1" s="675">
        <v>79</v>
      </c>
      <c r="CB1" s="675">
        <v>80</v>
      </c>
      <c r="CC1" s="675">
        <v>81</v>
      </c>
      <c r="CD1" s="675">
        <v>82</v>
      </c>
      <c r="CE1" s="675">
        <v>83</v>
      </c>
      <c r="CF1" s="675">
        <v>84</v>
      </c>
      <c r="CG1" s="675">
        <v>85</v>
      </c>
      <c r="CH1" s="675">
        <v>86</v>
      </c>
      <c r="CI1" s="675">
        <v>87</v>
      </c>
      <c r="CJ1" s="675">
        <v>88</v>
      </c>
      <c r="CK1" s="675">
        <v>89</v>
      </c>
      <c r="CL1" s="675">
        <v>90</v>
      </c>
      <c r="CM1" s="675">
        <v>91</v>
      </c>
      <c r="CN1" s="675">
        <v>92</v>
      </c>
      <c r="CO1" s="675">
        <v>93</v>
      </c>
      <c r="CP1" s="675">
        <v>94</v>
      </c>
      <c r="CQ1" s="675">
        <v>95</v>
      </c>
      <c r="CR1" s="675">
        <v>96</v>
      </c>
      <c r="CS1" s="675">
        <v>97</v>
      </c>
      <c r="CT1" s="675">
        <v>98</v>
      </c>
      <c r="CU1" s="675">
        <v>99</v>
      </c>
      <c r="CV1" s="675">
        <v>100</v>
      </c>
      <c r="CW1" s="675">
        <v>101</v>
      </c>
      <c r="CX1" s="675">
        <v>102</v>
      </c>
      <c r="CY1" s="675">
        <v>103</v>
      </c>
      <c r="CZ1" s="675">
        <v>104</v>
      </c>
      <c r="DA1" s="675">
        <v>105</v>
      </c>
      <c r="DB1" s="675">
        <v>106</v>
      </c>
      <c r="DC1" s="675">
        <v>107</v>
      </c>
      <c r="DD1" s="675">
        <v>108</v>
      </c>
      <c r="DE1" s="675">
        <v>109</v>
      </c>
      <c r="DF1" s="675">
        <v>110</v>
      </c>
      <c r="DG1" s="675">
        <v>111</v>
      </c>
      <c r="DH1" s="675">
        <v>112</v>
      </c>
      <c r="DI1" s="675">
        <v>113</v>
      </c>
      <c r="DJ1" s="675">
        <v>114</v>
      </c>
      <c r="DK1" s="675">
        <v>115</v>
      </c>
      <c r="DL1" s="675">
        <v>116</v>
      </c>
      <c r="DM1" s="675">
        <v>117</v>
      </c>
      <c r="DN1" s="675">
        <v>118</v>
      </c>
      <c r="DO1" s="675">
        <v>119</v>
      </c>
      <c r="DP1" s="675">
        <v>120</v>
      </c>
      <c r="DQ1" s="675">
        <v>121</v>
      </c>
      <c r="DR1" s="675">
        <v>122</v>
      </c>
      <c r="DS1" s="675">
        <v>123</v>
      </c>
      <c r="DT1" s="675">
        <v>124</v>
      </c>
      <c r="DU1" s="675">
        <v>125</v>
      </c>
      <c r="DV1" s="675">
        <v>126</v>
      </c>
      <c r="DW1" s="675">
        <v>127</v>
      </c>
      <c r="DX1" s="675">
        <v>128</v>
      </c>
      <c r="DY1" s="675">
        <v>129</v>
      </c>
      <c r="DZ1" s="675">
        <v>130</v>
      </c>
      <c r="EA1" s="675">
        <v>131</v>
      </c>
      <c r="EB1" s="675">
        <v>132</v>
      </c>
      <c r="EC1" s="675">
        <v>133</v>
      </c>
      <c r="ED1" s="675">
        <v>134</v>
      </c>
      <c r="EE1" s="675">
        <v>135</v>
      </c>
      <c r="EF1" s="675">
        <v>136</v>
      </c>
      <c r="EG1" s="675">
        <v>137</v>
      </c>
      <c r="EH1" s="675">
        <v>138</v>
      </c>
      <c r="EI1" s="675">
        <v>139</v>
      </c>
      <c r="EJ1" s="675">
        <v>140</v>
      </c>
      <c r="EK1" s="675">
        <v>141</v>
      </c>
      <c r="EL1" s="675">
        <v>142</v>
      </c>
      <c r="EM1" s="675">
        <v>143</v>
      </c>
      <c r="EN1" s="675">
        <v>144</v>
      </c>
      <c r="EO1" s="675">
        <v>145</v>
      </c>
      <c r="EP1" s="675">
        <v>146</v>
      </c>
      <c r="EQ1" s="675">
        <v>147</v>
      </c>
      <c r="ER1" s="675">
        <v>148</v>
      </c>
      <c r="ES1" s="675">
        <v>149</v>
      </c>
      <c r="ET1" s="675">
        <v>150</v>
      </c>
      <c r="EU1" s="675">
        <v>151</v>
      </c>
      <c r="EV1" s="675">
        <v>152</v>
      </c>
      <c r="EW1" s="675">
        <v>153</v>
      </c>
      <c r="EX1" s="675">
        <v>154</v>
      </c>
      <c r="EY1" s="675">
        <v>155</v>
      </c>
      <c r="EZ1" s="675">
        <v>156</v>
      </c>
      <c r="FA1" s="675">
        <v>157</v>
      </c>
      <c r="FB1" s="675">
        <v>158</v>
      </c>
      <c r="FC1" s="675">
        <v>159</v>
      </c>
      <c r="FD1" s="675">
        <v>160</v>
      </c>
      <c r="FE1" s="675">
        <v>161</v>
      </c>
      <c r="FF1" s="675">
        <v>162</v>
      </c>
      <c r="FG1" s="675">
        <v>163</v>
      </c>
      <c r="FH1" s="675">
        <v>164</v>
      </c>
      <c r="FI1" s="675">
        <v>165</v>
      </c>
      <c r="FJ1" s="675">
        <v>166</v>
      </c>
      <c r="FK1" s="675">
        <v>167</v>
      </c>
      <c r="FL1" s="675">
        <v>168</v>
      </c>
      <c r="FM1" s="675">
        <v>169</v>
      </c>
      <c r="FN1" s="675">
        <v>170</v>
      </c>
      <c r="FO1" s="675">
        <v>171</v>
      </c>
      <c r="FP1" s="675">
        <v>172</v>
      </c>
      <c r="FQ1" s="675">
        <v>173</v>
      </c>
      <c r="FR1" s="675">
        <v>174</v>
      </c>
      <c r="FS1" s="675">
        <v>175</v>
      </c>
      <c r="FT1" s="675">
        <v>176</v>
      </c>
      <c r="FU1" s="675">
        <v>177</v>
      </c>
      <c r="FV1" s="675">
        <v>178</v>
      </c>
      <c r="FW1" s="675">
        <v>179</v>
      </c>
      <c r="FX1" s="675">
        <v>180</v>
      </c>
      <c r="FY1" s="675">
        <v>181</v>
      </c>
      <c r="FZ1" s="675">
        <v>182</v>
      </c>
      <c r="GA1" s="675">
        <v>183</v>
      </c>
      <c r="GB1" s="675">
        <v>184</v>
      </c>
      <c r="GC1" s="675">
        <v>185</v>
      </c>
      <c r="GD1" s="675">
        <v>186</v>
      </c>
      <c r="GE1" s="675">
        <v>187</v>
      </c>
      <c r="GF1" s="675">
        <v>188</v>
      </c>
      <c r="GG1" s="675">
        <v>189</v>
      </c>
      <c r="GH1" s="675">
        <v>190</v>
      </c>
      <c r="GI1" s="675">
        <v>191</v>
      </c>
      <c r="GJ1" s="675">
        <v>192</v>
      </c>
      <c r="GK1" s="675">
        <v>193</v>
      </c>
      <c r="GL1" s="675">
        <v>194</v>
      </c>
      <c r="GM1" s="675">
        <v>195</v>
      </c>
      <c r="GN1" s="675">
        <v>196</v>
      </c>
      <c r="GO1" s="675">
        <v>197</v>
      </c>
      <c r="GP1" s="675">
        <v>198</v>
      </c>
      <c r="GQ1" s="675">
        <v>199</v>
      </c>
      <c r="GR1" s="675">
        <v>200</v>
      </c>
      <c r="GS1" s="675">
        <v>201</v>
      </c>
      <c r="GT1" s="675">
        <v>202</v>
      </c>
      <c r="GU1" s="675">
        <v>203</v>
      </c>
      <c r="GV1" s="675">
        <v>204</v>
      </c>
      <c r="GW1" s="675">
        <v>205</v>
      </c>
      <c r="GX1" s="675">
        <v>206</v>
      </c>
      <c r="GY1" s="675">
        <v>207</v>
      </c>
      <c r="GZ1" s="675">
        <v>208</v>
      </c>
      <c r="HA1" s="675">
        <v>209</v>
      </c>
      <c r="HB1" s="675">
        <v>210</v>
      </c>
      <c r="HC1" s="675">
        <v>211</v>
      </c>
      <c r="HD1" s="676">
        <v>212</v>
      </c>
      <c r="HE1" s="675">
        <v>213</v>
      </c>
      <c r="HF1" s="675">
        <v>214</v>
      </c>
      <c r="HG1" s="675">
        <v>215</v>
      </c>
      <c r="HH1" s="675">
        <v>216</v>
      </c>
      <c r="HI1" s="675">
        <v>217</v>
      </c>
      <c r="HJ1" s="675">
        <v>218</v>
      </c>
      <c r="HK1" s="675">
        <v>219</v>
      </c>
      <c r="HL1" s="675">
        <v>220</v>
      </c>
      <c r="HM1" s="675">
        <v>221</v>
      </c>
      <c r="HN1" s="675">
        <v>222</v>
      </c>
      <c r="HO1" s="675">
        <v>223</v>
      </c>
      <c r="HP1" s="675">
        <v>224</v>
      </c>
      <c r="HQ1" s="675">
        <v>225</v>
      </c>
      <c r="HR1" s="675">
        <v>226</v>
      </c>
      <c r="HS1" s="675">
        <v>227</v>
      </c>
      <c r="HT1" s="675">
        <v>228</v>
      </c>
      <c r="HU1" s="675">
        <v>229</v>
      </c>
      <c r="HV1" s="675">
        <v>230</v>
      </c>
      <c r="HW1" s="675">
        <v>231</v>
      </c>
      <c r="HX1" s="675">
        <v>232</v>
      </c>
      <c r="HY1" s="675">
        <v>233</v>
      </c>
      <c r="HZ1" s="675">
        <v>234</v>
      </c>
      <c r="IA1" s="675">
        <v>235</v>
      </c>
      <c r="IB1" s="675">
        <v>236</v>
      </c>
      <c r="IC1" s="675">
        <v>237</v>
      </c>
      <c r="ID1" s="675">
        <v>238</v>
      </c>
      <c r="IE1" s="675">
        <v>239</v>
      </c>
      <c r="IF1" s="675">
        <v>240</v>
      </c>
      <c r="IG1" s="675">
        <v>241</v>
      </c>
      <c r="IH1" s="675">
        <v>242</v>
      </c>
      <c r="II1" s="675">
        <v>243</v>
      </c>
      <c r="IJ1" s="675">
        <v>244</v>
      </c>
      <c r="IK1" s="675">
        <v>245</v>
      </c>
      <c r="IL1" s="675">
        <v>246</v>
      </c>
      <c r="IM1" s="675">
        <v>247</v>
      </c>
      <c r="IN1" s="675">
        <v>248</v>
      </c>
      <c r="IO1" s="675">
        <v>249</v>
      </c>
      <c r="IP1" s="675">
        <v>250</v>
      </c>
      <c r="IQ1" s="675">
        <v>251</v>
      </c>
      <c r="IR1" s="675">
        <v>252</v>
      </c>
      <c r="IS1" s="675">
        <v>253</v>
      </c>
      <c r="IT1" s="675">
        <v>254</v>
      </c>
      <c r="IU1" s="675">
        <v>255</v>
      </c>
      <c r="IV1" s="675">
        <v>256</v>
      </c>
      <c r="IW1" s="675">
        <v>257</v>
      </c>
      <c r="IX1" s="675">
        <v>258</v>
      </c>
      <c r="IY1" s="675">
        <v>259</v>
      </c>
      <c r="IZ1" s="675">
        <v>260</v>
      </c>
      <c r="JA1" s="675">
        <v>261</v>
      </c>
      <c r="JB1" s="675">
        <v>262</v>
      </c>
      <c r="JC1" s="675">
        <v>263</v>
      </c>
      <c r="JD1" s="675">
        <v>264</v>
      </c>
      <c r="JE1" s="675">
        <v>265</v>
      </c>
      <c r="JF1" s="675">
        <v>266</v>
      </c>
      <c r="JG1" s="675">
        <v>267</v>
      </c>
      <c r="JH1" s="675">
        <v>268</v>
      </c>
      <c r="JI1" s="675">
        <v>269</v>
      </c>
      <c r="JJ1" s="675">
        <v>270</v>
      </c>
      <c r="JK1" s="675">
        <v>271</v>
      </c>
      <c r="JL1" s="675">
        <v>272</v>
      </c>
      <c r="JM1" s="675">
        <v>273</v>
      </c>
      <c r="JN1" s="675">
        <v>274</v>
      </c>
    </row>
    <row r="2" spans="1:292" ht="13" x14ac:dyDescent="0.3">
      <c r="A2" s="675" t="s">
        <v>122</v>
      </c>
      <c r="B2" s="675" t="s">
        <v>121</v>
      </c>
      <c r="C2" s="675" t="s">
        <v>423</v>
      </c>
      <c r="D2" s="675" t="s">
        <v>123</v>
      </c>
      <c r="E2" s="675" t="s">
        <v>124</v>
      </c>
      <c r="F2" s="675" t="s">
        <v>125</v>
      </c>
      <c r="G2" s="675" t="s">
        <v>126</v>
      </c>
      <c r="H2" s="675" t="s">
        <v>127</v>
      </c>
      <c r="I2" s="675" t="s">
        <v>128</v>
      </c>
      <c r="J2" s="675" t="s">
        <v>129</v>
      </c>
      <c r="K2" s="675" t="s">
        <v>130</v>
      </c>
      <c r="L2" s="675" t="s">
        <v>131</v>
      </c>
      <c r="M2" s="675" t="s">
        <v>132</v>
      </c>
      <c r="N2" s="675" t="s">
        <v>133</v>
      </c>
      <c r="O2" s="675" t="s">
        <v>134</v>
      </c>
      <c r="P2" s="675" t="s">
        <v>135</v>
      </c>
      <c r="Q2" s="675" t="s">
        <v>136</v>
      </c>
      <c r="R2" s="676" t="s">
        <v>137</v>
      </c>
      <c r="S2" s="675" t="s">
        <v>138</v>
      </c>
      <c r="T2" s="675" t="s">
        <v>139</v>
      </c>
      <c r="U2" s="676" t="s">
        <v>140</v>
      </c>
      <c r="V2" s="676" t="s">
        <v>141</v>
      </c>
      <c r="W2" s="676" t="s">
        <v>142</v>
      </c>
      <c r="X2" s="676" t="s">
        <v>143</v>
      </c>
      <c r="Y2" s="675" t="s">
        <v>144</v>
      </c>
      <c r="Z2" s="675" t="s">
        <v>145</v>
      </c>
      <c r="AA2" s="675" t="s">
        <v>146</v>
      </c>
      <c r="AB2" s="675" t="s">
        <v>147</v>
      </c>
      <c r="AC2" s="675" t="s">
        <v>148</v>
      </c>
      <c r="AD2" s="675" t="s">
        <v>149</v>
      </c>
      <c r="AE2" s="675" t="s">
        <v>150</v>
      </c>
      <c r="AF2" s="675" t="s">
        <v>151</v>
      </c>
      <c r="AG2" s="675" t="s">
        <v>152</v>
      </c>
      <c r="AH2" s="675" t="s">
        <v>153</v>
      </c>
      <c r="AI2" s="675" t="s">
        <v>154</v>
      </c>
      <c r="AJ2" s="675" t="s">
        <v>155</v>
      </c>
      <c r="AK2" s="675" t="s">
        <v>156</v>
      </c>
      <c r="AL2" s="675" t="s">
        <v>157</v>
      </c>
      <c r="AM2" s="675" t="s">
        <v>158</v>
      </c>
      <c r="AN2" s="675" t="s">
        <v>159</v>
      </c>
      <c r="AO2" s="675" t="s">
        <v>160</v>
      </c>
      <c r="AP2" s="675" t="s">
        <v>161</v>
      </c>
      <c r="AQ2" s="675" t="s">
        <v>162</v>
      </c>
      <c r="AR2" s="675" t="s">
        <v>163</v>
      </c>
      <c r="AS2" s="675" t="s">
        <v>164</v>
      </c>
      <c r="AT2" s="675" t="s">
        <v>165</v>
      </c>
      <c r="AU2" s="675" t="s">
        <v>166</v>
      </c>
      <c r="AV2" s="675" t="s">
        <v>167</v>
      </c>
      <c r="AW2" s="675" t="s">
        <v>168</v>
      </c>
      <c r="AX2" s="675" t="s">
        <v>169</v>
      </c>
      <c r="AY2" s="675" t="s">
        <v>170</v>
      </c>
      <c r="AZ2" s="675" t="s">
        <v>171</v>
      </c>
      <c r="BA2" s="676" t="s">
        <v>172</v>
      </c>
      <c r="BB2" s="675" t="s">
        <v>173</v>
      </c>
      <c r="BC2" s="675" t="s">
        <v>174</v>
      </c>
      <c r="BD2" s="675" t="s">
        <v>175</v>
      </c>
      <c r="BE2" s="675" t="s">
        <v>176</v>
      </c>
      <c r="BF2" s="675" t="s">
        <v>177</v>
      </c>
      <c r="BG2" s="675" t="s">
        <v>178</v>
      </c>
      <c r="BH2" s="676" t="s">
        <v>179</v>
      </c>
      <c r="BI2" s="676" t="s">
        <v>180</v>
      </c>
      <c r="BJ2" s="675" t="s">
        <v>181</v>
      </c>
      <c r="BK2" s="675" t="s">
        <v>182</v>
      </c>
      <c r="BL2" s="675" t="s">
        <v>183</v>
      </c>
      <c r="BM2" s="675" t="s">
        <v>184</v>
      </c>
      <c r="BN2" s="675" t="s">
        <v>185</v>
      </c>
      <c r="BO2" s="675" t="s">
        <v>186</v>
      </c>
      <c r="BP2" s="675" t="s">
        <v>187</v>
      </c>
      <c r="BQ2" s="675" t="s">
        <v>188</v>
      </c>
      <c r="BR2" s="675" t="s">
        <v>189</v>
      </c>
      <c r="BS2" s="675" t="s">
        <v>190</v>
      </c>
      <c r="BT2" s="675" t="s">
        <v>191</v>
      </c>
      <c r="BU2" s="675" t="s">
        <v>192</v>
      </c>
      <c r="BV2" s="675" t="s">
        <v>193</v>
      </c>
      <c r="BW2" s="675" t="s">
        <v>194</v>
      </c>
      <c r="BX2" s="675" t="s">
        <v>195</v>
      </c>
      <c r="BY2" s="675" t="s">
        <v>196</v>
      </c>
      <c r="BZ2" s="675" t="s">
        <v>197</v>
      </c>
      <c r="CA2" s="675" t="s">
        <v>198</v>
      </c>
      <c r="CB2" s="675" t="s">
        <v>199</v>
      </c>
      <c r="CC2" s="675" t="s">
        <v>200</v>
      </c>
      <c r="CD2" s="675" t="s">
        <v>201</v>
      </c>
      <c r="CE2" s="675" t="s">
        <v>202</v>
      </c>
      <c r="CF2" s="675" t="s">
        <v>203</v>
      </c>
      <c r="CG2" s="675" t="s">
        <v>204</v>
      </c>
      <c r="CH2" s="676" t="s">
        <v>205</v>
      </c>
      <c r="CI2" s="675" t="s">
        <v>206</v>
      </c>
      <c r="CJ2" s="675" t="s">
        <v>207</v>
      </c>
      <c r="CK2" s="675" t="s">
        <v>208</v>
      </c>
      <c r="CL2" s="675" t="s">
        <v>209</v>
      </c>
      <c r="CM2" s="675" t="s">
        <v>210</v>
      </c>
      <c r="CN2" s="675" t="s">
        <v>211</v>
      </c>
      <c r="CO2" s="675" t="s">
        <v>212</v>
      </c>
      <c r="CP2" s="675" t="s">
        <v>213</v>
      </c>
      <c r="CQ2" s="675" t="s">
        <v>214</v>
      </c>
      <c r="CR2" s="675" t="s">
        <v>215</v>
      </c>
      <c r="CS2" s="675" t="s">
        <v>216</v>
      </c>
      <c r="CT2" s="675" t="s">
        <v>217</v>
      </c>
      <c r="CU2" s="675" t="s">
        <v>218</v>
      </c>
      <c r="CV2" s="675" t="s">
        <v>219</v>
      </c>
      <c r="CW2" s="675" t="s">
        <v>220</v>
      </c>
      <c r="CX2" s="675" t="s">
        <v>221</v>
      </c>
      <c r="CY2" s="675" t="s">
        <v>222</v>
      </c>
      <c r="CZ2" s="675" t="s">
        <v>223</v>
      </c>
      <c r="DA2" s="675" t="s">
        <v>224</v>
      </c>
      <c r="DB2" s="675" t="s">
        <v>225</v>
      </c>
      <c r="DC2" s="675" t="s">
        <v>226</v>
      </c>
      <c r="DD2" s="675" t="s">
        <v>227</v>
      </c>
      <c r="DE2" s="675" t="s">
        <v>228</v>
      </c>
      <c r="DF2" s="675" t="s">
        <v>229</v>
      </c>
      <c r="DG2" s="675" t="s">
        <v>230</v>
      </c>
      <c r="DH2" s="675" t="s">
        <v>231</v>
      </c>
      <c r="DI2" s="675" t="s">
        <v>232</v>
      </c>
      <c r="DJ2" s="675" t="s">
        <v>233</v>
      </c>
      <c r="DK2" s="675" t="s">
        <v>234</v>
      </c>
      <c r="DL2" s="675" t="s">
        <v>235</v>
      </c>
      <c r="DM2" s="675" t="s">
        <v>236</v>
      </c>
      <c r="DN2" s="675" t="s">
        <v>237</v>
      </c>
      <c r="DO2" s="675" t="s">
        <v>238</v>
      </c>
      <c r="DP2" s="675" t="s">
        <v>239</v>
      </c>
      <c r="DQ2" s="675" t="s">
        <v>240</v>
      </c>
      <c r="DR2" s="675" t="s">
        <v>241</v>
      </c>
      <c r="DS2" s="675" t="s">
        <v>242</v>
      </c>
      <c r="DT2" s="675" t="s">
        <v>243</v>
      </c>
      <c r="DU2" s="675" t="s">
        <v>244</v>
      </c>
      <c r="DV2" s="675" t="s">
        <v>245</v>
      </c>
      <c r="DW2" s="675" t="s">
        <v>246</v>
      </c>
      <c r="DX2" s="675" t="s">
        <v>247</v>
      </c>
      <c r="DY2" s="675" t="s">
        <v>248</v>
      </c>
      <c r="DZ2" s="675" t="s">
        <v>249</v>
      </c>
      <c r="EA2" s="675" t="s">
        <v>250</v>
      </c>
      <c r="EB2" s="675" t="s">
        <v>251</v>
      </c>
      <c r="EC2" s="675" t="s">
        <v>252</v>
      </c>
      <c r="ED2" s="675" t="s">
        <v>253</v>
      </c>
      <c r="EE2" s="675" t="s">
        <v>254</v>
      </c>
      <c r="EF2" s="675" t="s">
        <v>255</v>
      </c>
      <c r="EG2" s="675" t="s">
        <v>256</v>
      </c>
      <c r="EH2" s="675" t="s">
        <v>257</v>
      </c>
      <c r="EI2" s="675" t="s">
        <v>258</v>
      </c>
      <c r="EJ2" s="675" t="s">
        <v>259</v>
      </c>
      <c r="EK2" s="675" t="s">
        <v>260</v>
      </c>
      <c r="EL2" s="675" t="s">
        <v>261</v>
      </c>
      <c r="EM2" s="675" t="s">
        <v>262</v>
      </c>
      <c r="EN2" s="675" t="s">
        <v>263</v>
      </c>
      <c r="EO2" s="675" t="s">
        <v>264</v>
      </c>
      <c r="EP2" s="675" t="s">
        <v>265</v>
      </c>
      <c r="EQ2" s="675" t="s">
        <v>266</v>
      </c>
      <c r="ER2" s="675" t="s">
        <v>267</v>
      </c>
      <c r="ES2" s="675" t="s">
        <v>268</v>
      </c>
      <c r="ET2" s="676" t="s">
        <v>269</v>
      </c>
      <c r="EU2" s="675" t="s">
        <v>270</v>
      </c>
      <c r="EV2" s="675" t="s">
        <v>271</v>
      </c>
      <c r="EW2" s="675" t="s">
        <v>272</v>
      </c>
      <c r="EX2" s="675" t="s">
        <v>273</v>
      </c>
      <c r="EY2" s="675" t="s">
        <v>274</v>
      </c>
      <c r="EZ2" s="675" t="s">
        <v>275</v>
      </c>
      <c r="FA2" s="675" t="s">
        <v>276</v>
      </c>
      <c r="FB2" s="676" t="s">
        <v>277</v>
      </c>
      <c r="FC2" s="675" t="s">
        <v>278</v>
      </c>
      <c r="FD2" s="675" t="s">
        <v>279</v>
      </c>
      <c r="FE2" s="675" t="s">
        <v>280</v>
      </c>
      <c r="FF2" s="675" t="s">
        <v>281</v>
      </c>
      <c r="FG2" s="675" t="s">
        <v>282</v>
      </c>
      <c r="FH2" s="675" t="s">
        <v>283</v>
      </c>
      <c r="FI2" s="675" t="s">
        <v>284</v>
      </c>
      <c r="FJ2" s="675" t="s">
        <v>285</v>
      </c>
      <c r="FK2" s="675" t="s">
        <v>286</v>
      </c>
      <c r="FL2" s="675" t="s">
        <v>287</v>
      </c>
      <c r="FM2" s="675" t="s">
        <v>288</v>
      </c>
      <c r="FN2" s="675" t="s">
        <v>289</v>
      </c>
      <c r="FO2" s="675" t="s">
        <v>290</v>
      </c>
      <c r="FP2" s="675" t="s">
        <v>291</v>
      </c>
      <c r="FQ2" s="675" t="s">
        <v>292</v>
      </c>
      <c r="FR2" s="675" t="s">
        <v>293</v>
      </c>
      <c r="FS2" s="675" t="s">
        <v>294</v>
      </c>
      <c r="FT2" s="675" t="s">
        <v>295</v>
      </c>
      <c r="FU2" s="675" t="s">
        <v>296</v>
      </c>
      <c r="FV2" s="675" t="s">
        <v>297</v>
      </c>
      <c r="FW2" s="675" t="s">
        <v>298</v>
      </c>
      <c r="FX2" s="675" t="s">
        <v>299</v>
      </c>
      <c r="FY2" s="675" t="s">
        <v>300</v>
      </c>
      <c r="FZ2" s="675" t="s">
        <v>301</v>
      </c>
      <c r="GA2" s="675" t="s">
        <v>302</v>
      </c>
      <c r="GB2" s="676" t="s">
        <v>303</v>
      </c>
      <c r="GC2" s="676" t="s">
        <v>304</v>
      </c>
      <c r="GD2" s="676" t="s">
        <v>305</v>
      </c>
      <c r="GE2" s="675" t="s">
        <v>306</v>
      </c>
      <c r="GF2" s="675" t="s">
        <v>307</v>
      </c>
      <c r="GG2" s="675" t="s">
        <v>308</v>
      </c>
      <c r="GH2" s="675" t="s">
        <v>309</v>
      </c>
      <c r="GI2" s="675" t="s">
        <v>310</v>
      </c>
      <c r="GJ2" s="675" t="s">
        <v>311</v>
      </c>
      <c r="GK2" s="675" t="s">
        <v>312</v>
      </c>
      <c r="GL2" s="675" t="s">
        <v>313</v>
      </c>
      <c r="GM2" s="675" t="s">
        <v>314</v>
      </c>
      <c r="GN2" s="675" t="s">
        <v>315</v>
      </c>
      <c r="GO2" s="675" t="s">
        <v>424</v>
      </c>
      <c r="GP2" s="675" t="s">
        <v>425</v>
      </c>
      <c r="GQ2" s="675" t="s">
        <v>426</v>
      </c>
      <c r="GR2" s="675" t="s">
        <v>427</v>
      </c>
      <c r="GS2" s="675" t="s">
        <v>428</v>
      </c>
      <c r="GT2" s="675" t="s">
        <v>429</v>
      </c>
      <c r="GU2" s="675" t="s">
        <v>432</v>
      </c>
      <c r="GV2" s="675" t="s">
        <v>433</v>
      </c>
      <c r="GW2" s="675" t="s">
        <v>434</v>
      </c>
      <c r="GX2" s="675" t="s">
        <v>435</v>
      </c>
      <c r="GY2" s="675" t="s">
        <v>436</v>
      </c>
      <c r="GZ2" s="675" t="s">
        <v>437</v>
      </c>
      <c r="HA2" s="675" t="s">
        <v>438</v>
      </c>
      <c r="HB2" s="675" t="s">
        <v>439</v>
      </c>
      <c r="HC2" s="675" t="s">
        <v>440</v>
      </c>
      <c r="HD2" s="676" t="s">
        <v>441</v>
      </c>
      <c r="HE2" s="675" t="s">
        <v>494</v>
      </c>
      <c r="HF2" s="675" t="s">
        <v>495</v>
      </c>
      <c r="HG2" s="675" t="s">
        <v>496</v>
      </c>
      <c r="HH2" s="675" t="s">
        <v>497</v>
      </c>
      <c r="HI2" s="675" t="s">
        <v>498</v>
      </c>
      <c r="HJ2" s="675" t="s">
        <v>499</v>
      </c>
      <c r="HK2" s="675" t="s">
        <v>500</v>
      </c>
      <c r="HL2" s="675" t="s">
        <v>501</v>
      </c>
      <c r="HM2" s="675" t="s">
        <v>502</v>
      </c>
      <c r="HN2" s="675" t="s">
        <v>503</v>
      </c>
      <c r="HO2" s="675" t="s">
        <v>504</v>
      </c>
      <c r="HP2" s="675" t="s">
        <v>505</v>
      </c>
      <c r="HQ2" s="675" t="s">
        <v>506</v>
      </c>
      <c r="HR2" s="675" t="s">
        <v>507</v>
      </c>
      <c r="HS2" s="675" t="s">
        <v>508</v>
      </c>
      <c r="HT2" s="675" t="s">
        <v>509</v>
      </c>
      <c r="HU2" s="675" t="s">
        <v>510</v>
      </c>
      <c r="HV2" s="675" t="s">
        <v>511</v>
      </c>
      <c r="HW2" s="675" t="s">
        <v>512</v>
      </c>
      <c r="HX2" s="675" t="s">
        <v>513</v>
      </c>
      <c r="HY2" s="675" t="s">
        <v>514</v>
      </c>
      <c r="HZ2" s="675" t="s">
        <v>515</v>
      </c>
      <c r="IA2" s="675" t="s">
        <v>516</v>
      </c>
      <c r="IB2" s="675" t="s">
        <v>517</v>
      </c>
      <c r="IC2" s="675" t="s">
        <v>518</v>
      </c>
      <c r="ID2" s="675" t="s">
        <v>519</v>
      </c>
      <c r="IE2" s="675" t="s">
        <v>520</v>
      </c>
      <c r="IF2" s="675" t="s">
        <v>521</v>
      </c>
      <c r="IG2" s="675" t="s">
        <v>522</v>
      </c>
      <c r="IH2" s="675" t="s">
        <v>523</v>
      </c>
      <c r="II2" s="675" t="s">
        <v>524</v>
      </c>
      <c r="IJ2" s="675" t="s">
        <v>525</v>
      </c>
      <c r="IK2" s="675" t="s">
        <v>526</v>
      </c>
      <c r="IL2" s="675" t="s">
        <v>527</v>
      </c>
      <c r="IM2" s="675" t="s">
        <v>528</v>
      </c>
      <c r="IN2" s="675" t="s">
        <v>529</v>
      </c>
      <c r="IO2" s="675" t="s">
        <v>530</v>
      </c>
      <c r="IP2" s="675" t="s">
        <v>531</v>
      </c>
      <c r="IQ2" s="675" t="s">
        <v>532</v>
      </c>
      <c r="IR2" s="675" t="s">
        <v>533</v>
      </c>
      <c r="IS2" s="675" t="s">
        <v>534</v>
      </c>
      <c r="IT2" s="675" t="s">
        <v>535</v>
      </c>
      <c r="IU2" s="675" t="s">
        <v>536</v>
      </c>
      <c r="IV2" s="675" t="s">
        <v>537</v>
      </c>
      <c r="IW2" s="675" t="s">
        <v>538</v>
      </c>
      <c r="IX2" s="675" t="s">
        <v>539</v>
      </c>
      <c r="IY2" s="675" t="s">
        <v>540</v>
      </c>
      <c r="IZ2" s="675" t="s">
        <v>541</v>
      </c>
      <c r="JA2" s="675" t="s">
        <v>542</v>
      </c>
      <c r="JB2" s="675" t="s">
        <v>678</v>
      </c>
      <c r="JC2" s="675" t="s">
        <v>679</v>
      </c>
      <c r="JD2" s="675" t="s">
        <v>680</v>
      </c>
      <c r="JE2" s="675" t="s">
        <v>681</v>
      </c>
      <c r="JF2" s="675" t="s">
        <v>682</v>
      </c>
      <c r="JG2" s="675" t="s">
        <v>683</v>
      </c>
      <c r="JH2" s="675" t="s">
        <v>684</v>
      </c>
      <c r="JI2" s="675" t="s">
        <v>685</v>
      </c>
      <c r="JJ2" s="675" t="s">
        <v>686</v>
      </c>
      <c r="JK2" s="675" t="s">
        <v>687</v>
      </c>
      <c r="JL2" s="675" t="s">
        <v>688</v>
      </c>
      <c r="JM2" s="675" t="s">
        <v>689</v>
      </c>
      <c r="JN2" s="675" t="s">
        <v>775</v>
      </c>
    </row>
    <row r="3" spans="1:292" ht="13" x14ac:dyDescent="0.3">
      <c r="A3" s="675">
        <v>0</v>
      </c>
      <c r="B3" s="675">
        <v>0</v>
      </c>
      <c r="C3" s="675">
        <v>0</v>
      </c>
      <c r="D3" s="675">
        <v>0</v>
      </c>
      <c r="E3" s="675">
        <v>5392</v>
      </c>
      <c r="F3" s="675">
        <v>0</v>
      </c>
      <c r="G3" s="675">
        <v>0</v>
      </c>
      <c r="H3" s="675">
        <v>0</v>
      </c>
      <c r="I3" s="675">
        <v>0</v>
      </c>
      <c r="J3" s="675">
        <v>0</v>
      </c>
      <c r="K3" s="675">
        <v>0</v>
      </c>
      <c r="L3" s="675">
        <v>6554</v>
      </c>
      <c r="M3" s="675">
        <v>0</v>
      </c>
      <c r="N3" s="675">
        <v>0</v>
      </c>
      <c r="O3" s="675">
        <v>0</v>
      </c>
      <c r="P3" s="675">
        <v>0</v>
      </c>
      <c r="Q3" s="675">
        <v>0</v>
      </c>
      <c r="R3" s="676">
        <v>0</v>
      </c>
      <c r="S3" s="675">
        <v>319.71300000000002</v>
      </c>
      <c r="T3" s="675">
        <v>0</v>
      </c>
      <c r="U3" s="676">
        <v>0</v>
      </c>
      <c r="V3" s="676">
        <v>0</v>
      </c>
      <c r="W3" s="676">
        <v>0</v>
      </c>
      <c r="X3" s="676">
        <v>0</v>
      </c>
      <c r="Y3" s="675">
        <v>0</v>
      </c>
      <c r="Z3" s="675">
        <v>0</v>
      </c>
      <c r="AA3" s="675">
        <v>0</v>
      </c>
      <c r="AB3" s="675">
        <v>0</v>
      </c>
      <c r="AC3" s="675">
        <v>0</v>
      </c>
      <c r="AD3" s="675">
        <v>0</v>
      </c>
      <c r="AE3" s="675">
        <v>0</v>
      </c>
      <c r="AF3" s="675">
        <v>0</v>
      </c>
      <c r="AG3" s="675">
        <v>0</v>
      </c>
      <c r="AH3" s="675">
        <v>0</v>
      </c>
      <c r="AI3" s="675">
        <v>0</v>
      </c>
      <c r="AJ3" s="675">
        <v>5104</v>
      </c>
      <c r="AK3" s="675">
        <v>0</v>
      </c>
      <c r="AL3" s="675" t="s">
        <v>670</v>
      </c>
      <c r="AM3" s="675">
        <v>0</v>
      </c>
      <c r="AN3" s="675">
        <v>0</v>
      </c>
      <c r="AO3" s="675">
        <v>0</v>
      </c>
      <c r="AP3" s="675">
        <v>0</v>
      </c>
      <c r="AQ3" s="675">
        <v>0</v>
      </c>
      <c r="AR3" s="675">
        <v>0</v>
      </c>
      <c r="AS3" s="675">
        <v>0</v>
      </c>
      <c r="AT3" s="675">
        <v>0</v>
      </c>
      <c r="AU3" s="675">
        <v>0</v>
      </c>
      <c r="AV3" s="675">
        <v>0</v>
      </c>
      <c r="AW3" s="675">
        <v>0</v>
      </c>
      <c r="AX3" s="675">
        <v>0</v>
      </c>
      <c r="AY3" s="675">
        <v>0</v>
      </c>
      <c r="AZ3" s="675">
        <v>0</v>
      </c>
      <c r="BA3" s="676">
        <v>0</v>
      </c>
      <c r="BB3" s="675">
        <v>0</v>
      </c>
      <c r="BC3" s="675">
        <v>0</v>
      </c>
      <c r="BD3" s="675">
        <v>0</v>
      </c>
      <c r="BE3" s="675">
        <v>0</v>
      </c>
      <c r="BF3" s="675">
        <v>0</v>
      </c>
      <c r="BG3" s="675">
        <v>0</v>
      </c>
      <c r="BH3" s="676">
        <v>0</v>
      </c>
      <c r="BI3" s="676">
        <v>0</v>
      </c>
      <c r="BJ3" s="675">
        <v>0</v>
      </c>
      <c r="BK3" s="675">
        <v>0</v>
      </c>
      <c r="BL3" s="675">
        <v>0</v>
      </c>
      <c r="BM3" s="675">
        <v>0</v>
      </c>
      <c r="BN3" s="675">
        <v>0</v>
      </c>
      <c r="BO3" s="675">
        <v>0</v>
      </c>
      <c r="BP3" s="675">
        <v>0</v>
      </c>
      <c r="BQ3" s="675">
        <v>5392</v>
      </c>
      <c r="BR3" s="675">
        <v>0</v>
      </c>
      <c r="BS3" s="675">
        <v>0</v>
      </c>
      <c r="BT3" s="675">
        <v>0</v>
      </c>
      <c r="BU3" s="675">
        <v>0</v>
      </c>
      <c r="BV3" s="675">
        <v>0</v>
      </c>
      <c r="BW3" s="675">
        <v>0</v>
      </c>
      <c r="BX3" s="675">
        <v>0</v>
      </c>
      <c r="BY3" s="675">
        <v>0</v>
      </c>
      <c r="BZ3" s="675">
        <v>0</v>
      </c>
      <c r="CA3" s="675">
        <v>0</v>
      </c>
      <c r="CB3" s="675">
        <v>0</v>
      </c>
      <c r="CC3" s="675">
        <v>0</v>
      </c>
      <c r="CD3" s="675">
        <v>0</v>
      </c>
      <c r="CE3" s="675">
        <v>0</v>
      </c>
      <c r="CF3" s="675">
        <v>0</v>
      </c>
      <c r="CG3" s="675">
        <v>0</v>
      </c>
      <c r="CH3" s="676">
        <v>0</v>
      </c>
      <c r="CI3" s="675">
        <v>0</v>
      </c>
      <c r="CJ3" s="675">
        <v>0</v>
      </c>
      <c r="CK3" s="675">
        <v>0</v>
      </c>
      <c r="CL3" s="675">
        <v>0</v>
      </c>
      <c r="CM3" s="675">
        <v>0</v>
      </c>
      <c r="CN3" s="675">
        <v>0</v>
      </c>
      <c r="CO3" s="675">
        <v>0</v>
      </c>
      <c r="CP3" s="675">
        <v>0</v>
      </c>
      <c r="CQ3" s="675">
        <v>0</v>
      </c>
      <c r="CR3" s="675">
        <v>0</v>
      </c>
      <c r="CS3" s="675">
        <v>0</v>
      </c>
      <c r="CT3" s="675">
        <v>0</v>
      </c>
      <c r="CU3" s="675">
        <v>0</v>
      </c>
      <c r="CV3" s="675">
        <v>0</v>
      </c>
      <c r="CW3" s="675">
        <v>0</v>
      </c>
      <c r="CX3" s="675">
        <v>0</v>
      </c>
      <c r="CY3" s="675">
        <v>0</v>
      </c>
      <c r="CZ3" s="675">
        <v>0</v>
      </c>
      <c r="DA3" s="675">
        <v>0</v>
      </c>
      <c r="DB3" s="675">
        <v>0</v>
      </c>
      <c r="DC3" s="675">
        <v>0</v>
      </c>
      <c r="DD3" s="675">
        <v>0</v>
      </c>
      <c r="DE3" s="675">
        <v>0</v>
      </c>
      <c r="DF3" s="675">
        <v>0</v>
      </c>
      <c r="DG3" s="675">
        <v>0</v>
      </c>
      <c r="DH3" s="675">
        <v>0</v>
      </c>
      <c r="DI3" s="675">
        <v>0</v>
      </c>
      <c r="DJ3" s="675">
        <v>0</v>
      </c>
      <c r="DK3" s="675">
        <v>5392</v>
      </c>
      <c r="DL3" s="675">
        <v>0</v>
      </c>
      <c r="DM3" s="675">
        <v>0</v>
      </c>
      <c r="DN3" s="675">
        <v>0</v>
      </c>
      <c r="DO3" s="675">
        <v>0</v>
      </c>
      <c r="DP3" s="675">
        <v>0</v>
      </c>
      <c r="DQ3" s="675">
        <v>0</v>
      </c>
      <c r="DR3" s="675">
        <v>0</v>
      </c>
      <c r="DS3" s="675">
        <v>0</v>
      </c>
      <c r="DT3" s="675">
        <v>0</v>
      </c>
      <c r="DU3" s="675">
        <v>0</v>
      </c>
      <c r="DV3" s="675">
        <v>0</v>
      </c>
      <c r="DW3" s="675">
        <v>0</v>
      </c>
      <c r="DX3" s="675">
        <v>0</v>
      </c>
      <c r="DY3" s="675">
        <v>0</v>
      </c>
      <c r="DZ3" s="675">
        <v>0</v>
      </c>
      <c r="EA3" s="675">
        <v>0</v>
      </c>
      <c r="EB3" s="675">
        <v>0</v>
      </c>
      <c r="EC3" s="675">
        <v>0</v>
      </c>
      <c r="ED3" s="675">
        <v>0</v>
      </c>
      <c r="EE3" s="675">
        <v>0</v>
      </c>
      <c r="EF3" s="675">
        <v>0</v>
      </c>
      <c r="EG3" s="675">
        <v>0</v>
      </c>
      <c r="EH3" s="675">
        <v>0</v>
      </c>
      <c r="EI3" s="675">
        <v>0</v>
      </c>
      <c r="EJ3" s="675">
        <v>0</v>
      </c>
      <c r="EK3" s="675">
        <v>0</v>
      </c>
      <c r="EL3" s="675">
        <v>0</v>
      </c>
      <c r="EM3" s="675">
        <v>0</v>
      </c>
      <c r="EN3" s="675">
        <v>0</v>
      </c>
      <c r="EO3" s="675">
        <v>0</v>
      </c>
      <c r="EP3" s="675">
        <v>0</v>
      </c>
      <c r="EQ3" s="675">
        <v>0</v>
      </c>
      <c r="ER3" s="675">
        <v>0</v>
      </c>
      <c r="ES3" s="675">
        <v>0</v>
      </c>
      <c r="ET3" s="676">
        <v>0</v>
      </c>
      <c r="EU3" s="675">
        <v>0</v>
      </c>
      <c r="EV3" s="675">
        <v>0</v>
      </c>
      <c r="EW3" s="675">
        <v>0</v>
      </c>
      <c r="EX3" s="675">
        <v>0</v>
      </c>
      <c r="EY3" s="675">
        <v>0</v>
      </c>
      <c r="EZ3" s="675">
        <v>0</v>
      </c>
      <c r="FA3" s="675">
        <v>0</v>
      </c>
      <c r="FB3" s="676">
        <v>0</v>
      </c>
      <c r="FC3" s="675">
        <v>0.97327799999999998</v>
      </c>
      <c r="FD3" s="675">
        <v>0</v>
      </c>
      <c r="FE3" s="675">
        <v>0</v>
      </c>
      <c r="FF3" s="675">
        <v>0</v>
      </c>
      <c r="FG3" s="675">
        <v>6.1239999999999996E-2</v>
      </c>
      <c r="FH3" s="675">
        <v>5.4803999999999999E-2</v>
      </c>
      <c r="FI3" s="675">
        <v>0</v>
      </c>
      <c r="FJ3" s="675">
        <v>0</v>
      </c>
      <c r="FK3" s="675">
        <v>0</v>
      </c>
      <c r="FL3" s="675">
        <v>0</v>
      </c>
      <c r="FM3" s="675">
        <v>0</v>
      </c>
      <c r="FN3" s="675">
        <v>0</v>
      </c>
      <c r="FO3" s="675">
        <v>0</v>
      </c>
      <c r="FP3" s="675">
        <v>0</v>
      </c>
      <c r="FQ3" s="675">
        <v>0</v>
      </c>
      <c r="FR3" s="675">
        <v>0</v>
      </c>
      <c r="FS3" s="675">
        <v>0</v>
      </c>
      <c r="FT3" s="675">
        <v>0</v>
      </c>
      <c r="FU3" s="675">
        <v>0</v>
      </c>
      <c r="FV3" s="675">
        <v>0</v>
      </c>
      <c r="FW3" s="675">
        <v>0</v>
      </c>
      <c r="FX3" s="675">
        <v>0</v>
      </c>
      <c r="FY3" s="675">
        <v>0</v>
      </c>
      <c r="FZ3" s="675">
        <v>0</v>
      </c>
      <c r="GA3" s="675">
        <v>0</v>
      </c>
      <c r="GB3" s="676">
        <v>0</v>
      </c>
      <c r="GC3" s="676">
        <v>0</v>
      </c>
      <c r="GD3" s="676">
        <v>0</v>
      </c>
      <c r="GE3" s="675">
        <v>0</v>
      </c>
      <c r="GF3" s="675">
        <v>0</v>
      </c>
      <c r="GG3" s="675">
        <v>0</v>
      </c>
      <c r="GH3" s="675">
        <v>0</v>
      </c>
      <c r="GI3" s="675">
        <v>0</v>
      </c>
      <c r="GJ3" s="675">
        <v>0</v>
      </c>
      <c r="GK3" s="675">
        <v>0</v>
      </c>
      <c r="GL3" s="675">
        <v>0</v>
      </c>
      <c r="GM3" s="675">
        <v>0</v>
      </c>
      <c r="GN3" s="675">
        <v>0</v>
      </c>
      <c r="GO3" s="675">
        <v>0</v>
      </c>
      <c r="GP3" s="675">
        <v>0</v>
      </c>
      <c r="GQ3" s="675">
        <v>0</v>
      </c>
      <c r="GR3" s="675">
        <v>0</v>
      </c>
      <c r="GS3" s="675">
        <v>0</v>
      </c>
      <c r="GT3" s="675">
        <v>0</v>
      </c>
      <c r="GU3" s="675">
        <v>0</v>
      </c>
      <c r="GV3" s="675">
        <v>0</v>
      </c>
      <c r="GW3" s="675">
        <v>0</v>
      </c>
      <c r="GX3" s="675">
        <v>0</v>
      </c>
      <c r="GY3" s="675">
        <v>0</v>
      </c>
      <c r="GZ3" s="675">
        <v>0</v>
      </c>
      <c r="HA3" s="675">
        <v>0</v>
      </c>
      <c r="HB3" s="675">
        <v>0</v>
      </c>
      <c r="HC3" s="675">
        <v>0</v>
      </c>
      <c r="HD3" s="676">
        <v>0</v>
      </c>
      <c r="HE3" s="675">
        <v>0</v>
      </c>
      <c r="HF3" s="675">
        <v>0</v>
      </c>
      <c r="HG3" s="675">
        <v>0</v>
      </c>
      <c r="HH3" s="675">
        <v>0</v>
      </c>
      <c r="HI3" s="675">
        <v>0</v>
      </c>
      <c r="HJ3" s="675">
        <v>0</v>
      </c>
      <c r="HK3" s="675">
        <v>0</v>
      </c>
      <c r="HL3" s="675">
        <v>0</v>
      </c>
      <c r="HM3" s="675">
        <v>0</v>
      </c>
      <c r="HN3" s="675">
        <v>0</v>
      </c>
      <c r="HO3" s="675">
        <v>0</v>
      </c>
      <c r="HP3" s="675">
        <v>0</v>
      </c>
      <c r="HQ3" s="675">
        <v>0</v>
      </c>
      <c r="HR3" s="675">
        <v>0</v>
      </c>
      <c r="HS3" s="675">
        <v>0</v>
      </c>
      <c r="HT3" s="675">
        <v>0</v>
      </c>
      <c r="HU3" s="675">
        <v>0</v>
      </c>
      <c r="HV3" s="675">
        <v>0</v>
      </c>
      <c r="HW3" s="675">
        <v>0</v>
      </c>
      <c r="HX3" s="675">
        <v>0</v>
      </c>
      <c r="HY3" s="675">
        <v>0</v>
      </c>
      <c r="HZ3" s="675">
        <v>0</v>
      </c>
      <c r="IA3" s="675">
        <v>0</v>
      </c>
      <c r="IB3" s="675">
        <v>0</v>
      </c>
      <c r="IC3" s="675">
        <v>0</v>
      </c>
      <c r="ID3" s="675">
        <v>0</v>
      </c>
      <c r="IE3" s="675">
        <v>0</v>
      </c>
      <c r="IF3" s="675">
        <v>0</v>
      </c>
      <c r="IG3" s="675">
        <v>0</v>
      </c>
      <c r="IH3" s="675">
        <v>0</v>
      </c>
      <c r="II3" s="675">
        <v>0</v>
      </c>
      <c r="IJ3" s="675">
        <v>0</v>
      </c>
      <c r="IK3" s="675">
        <v>0</v>
      </c>
      <c r="IL3" s="675">
        <v>0</v>
      </c>
      <c r="IM3" s="675">
        <v>0</v>
      </c>
      <c r="IN3" s="675">
        <v>0</v>
      </c>
      <c r="IO3" s="675">
        <v>0</v>
      </c>
      <c r="IP3" s="675">
        <v>0</v>
      </c>
      <c r="IQ3" s="675">
        <v>0</v>
      </c>
      <c r="IR3" s="675">
        <v>0</v>
      </c>
      <c r="IS3" s="675">
        <v>0</v>
      </c>
      <c r="IT3" s="675">
        <v>0</v>
      </c>
      <c r="IU3" s="675">
        <v>0</v>
      </c>
      <c r="IV3" s="675">
        <v>0</v>
      </c>
      <c r="IW3" s="675">
        <v>0</v>
      </c>
      <c r="IX3" s="675">
        <v>0</v>
      </c>
      <c r="IY3" s="675">
        <v>0</v>
      </c>
      <c r="IZ3" s="675">
        <v>0</v>
      </c>
      <c r="JA3" s="675">
        <v>0</v>
      </c>
    </row>
    <row r="4" spans="1:292" ht="13" x14ac:dyDescent="0.3">
      <c r="A4" s="675">
        <v>3801</v>
      </c>
      <c r="B4" s="675">
        <v>32570</v>
      </c>
      <c r="C4" s="675">
        <v>35</v>
      </c>
      <c r="D4" s="675">
        <v>2022</v>
      </c>
      <c r="E4" s="675">
        <v>5392</v>
      </c>
      <c r="F4" s="675">
        <v>0</v>
      </c>
      <c r="G4" s="675">
        <v>987.399</v>
      </c>
      <c r="H4" s="675">
        <v>935.399</v>
      </c>
      <c r="I4" s="675">
        <v>935.399</v>
      </c>
      <c r="J4" s="675">
        <v>987.399</v>
      </c>
      <c r="K4" s="675">
        <v>0</v>
      </c>
      <c r="L4" s="675">
        <v>6554</v>
      </c>
      <c r="M4" s="675">
        <v>0</v>
      </c>
      <c r="N4" s="675">
        <v>0</v>
      </c>
      <c r="O4" s="675">
        <v>0</v>
      </c>
      <c r="P4" s="675">
        <v>973.41300000000001</v>
      </c>
      <c r="Q4" s="675">
        <v>0</v>
      </c>
      <c r="R4" s="676">
        <v>311213</v>
      </c>
      <c r="S4" s="675">
        <v>319.71300000000002</v>
      </c>
      <c r="T4" s="675">
        <v>0</v>
      </c>
      <c r="U4" s="676">
        <v>311213</v>
      </c>
      <c r="V4" s="676">
        <v>40.398000000000003</v>
      </c>
      <c r="W4" s="676">
        <v>26477</v>
      </c>
      <c r="X4" s="676">
        <v>26477</v>
      </c>
      <c r="Y4" s="675">
        <v>0</v>
      </c>
      <c r="Z4" s="675">
        <v>0</v>
      </c>
      <c r="AA4" s="675">
        <v>1</v>
      </c>
      <c r="AB4" s="675">
        <v>1</v>
      </c>
      <c r="AC4" s="675">
        <v>0</v>
      </c>
      <c r="AD4" s="675" t="s">
        <v>316</v>
      </c>
      <c r="AE4" s="675">
        <v>0</v>
      </c>
      <c r="AF4" s="675">
        <v>0</v>
      </c>
      <c r="AG4" s="675">
        <v>0</v>
      </c>
      <c r="AH4" s="675">
        <v>0</v>
      </c>
      <c r="AI4" s="675">
        <v>0</v>
      </c>
      <c r="AJ4" s="675">
        <v>5104</v>
      </c>
      <c r="AK4" s="675" t="s">
        <v>671</v>
      </c>
      <c r="AL4" s="815" t="s">
        <v>54</v>
      </c>
      <c r="AM4" s="675">
        <v>0</v>
      </c>
      <c r="AN4" s="675">
        <v>0</v>
      </c>
      <c r="AO4" s="675">
        <v>0</v>
      </c>
      <c r="AP4" s="675">
        <v>0</v>
      </c>
      <c r="AQ4" s="675">
        <v>0</v>
      </c>
      <c r="AR4" s="675">
        <v>0</v>
      </c>
      <c r="AS4" s="675">
        <v>0</v>
      </c>
      <c r="AT4" s="675">
        <v>0</v>
      </c>
      <c r="AU4" s="675">
        <v>0</v>
      </c>
      <c r="AV4" s="675">
        <v>552</v>
      </c>
      <c r="AW4" s="675">
        <v>9343570</v>
      </c>
      <c r="AX4" s="675">
        <v>9049948</v>
      </c>
      <c r="AY4" s="675">
        <v>9524235</v>
      </c>
      <c r="AZ4" s="675">
        <v>386679</v>
      </c>
      <c r="BA4" s="676">
        <v>47.083000000000006</v>
      </c>
      <c r="BB4" s="675">
        <v>38828</v>
      </c>
      <c r="BC4" s="675">
        <v>38828</v>
      </c>
      <c r="BD4" s="675">
        <v>49.370000000000005</v>
      </c>
      <c r="BE4" s="675">
        <v>0</v>
      </c>
      <c r="BF4" s="675">
        <v>7705577</v>
      </c>
      <c r="BG4" s="675">
        <v>0</v>
      </c>
      <c r="BH4" s="676">
        <v>274.423</v>
      </c>
      <c r="BI4" s="676">
        <v>75466</v>
      </c>
      <c r="BJ4" s="675">
        <v>12</v>
      </c>
      <c r="BK4" s="675">
        <v>0</v>
      </c>
      <c r="BL4" s="675">
        <v>0</v>
      </c>
      <c r="BM4" s="675">
        <v>0</v>
      </c>
      <c r="BN4" s="675">
        <v>0</v>
      </c>
      <c r="BO4" s="675">
        <v>0</v>
      </c>
      <c r="BP4" s="675">
        <v>0</v>
      </c>
      <c r="BQ4" s="675">
        <v>5392</v>
      </c>
      <c r="BR4" s="675">
        <v>1</v>
      </c>
      <c r="BS4" s="675">
        <v>0</v>
      </c>
      <c r="BT4" s="675">
        <v>0</v>
      </c>
      <c r="BU4" s="675">
        <v>0</v>
      </c>
      <c r="BV4" s="675">
        <v>0</v>
      </c>
      <c r="BW4" s="675">
        <v>0</v>
      </c>
      <c r="BX4" s="675">
        <v>0</v>
      </c>
      <c r="BY4" s="675">
        <v>0</v>
      </c>
      <c r="BZ4" s="675">
        <v>0</v>
      </c>
      <c r="CA4" s="675">
        <v>0</v>
      </c>
      <c r="CB4" s="675">
        <v>0</v>
      </c>
      <c r="CC4" s="675">
        <v>0</v>
      </c>
      <c r="CD4" s="675">
        <v>0</v>
      </c>
      <c r="CE4" s="675">
        <v>0</v>
      </c>
      <c r="CF4" s="675">
        <v>0</v>
      </c>
      <c r="CG4" s="675">
        <v>0</v>
      </c>
      <c r="CH4" s="676">
        <v>218156</v>
      </c>
      <c r="CI4" s="675">
        <v>0</v>
      </c>
      <c r="CJ4" s="675">
        <v>4</v>
      </c>
      <c r="CK4" s="675">
        <v>0</v>
      </c>
      <c r="CL4" s="675">
        <v>0</v>
      </c>
      <c r="CM4" s="675">
        <v>0</v>
      </c>
      <c r="CN4" s="675">
        <v>0</v>
      </c>
      <c r="CO4" s="675">
        <v>0</v>
      </c>
      <c r="CP4" s="675">
        <v>0</v>
      </c>
      <c r="CQ4" s="675">
        <v>8.3000000000000004E-2</v>
      </c>
      <c r="CR4" s="675">
        <v>973.41300000000001</v>
      </c>
      <c r="CS4" s="675">
        <v>0</v>
      </c>
      <c r="CT4" s="675">
        <v>0</v>
      </c>
      <c r="CU4" s="675">
        <v>0</v>
      </c>
      <c r="CV4" s="675">
        <v>0</v>
      </c>
      <c r="CW4" s="675">
        <v>0</v>
      </c>
      <c r="CX4" s="675">
        <v>0</v>
      </c>
      <c r="CY4" s="675">
        <v>0</v>
      </c>
      <c r="CZ4" s="675">
        <v>0</v>
      </c>
      <c r="DA4" s="675">
        <v>1</v>
      </c>
      <c r="DB4" s="675">
        <v>6130605</v>
      </c>
      <c r="DC4" s="675">
        <v>0</v>
      </c>
      <c r="DD4" s="675">
        <v>0</v>
      </c>
      <c r="DE4" s="675">
        <v>751967</v>
      </c>
      <c r="DF4" s="675">
        <v>751967</v>
      </c>
      <c r="DG4" s="675">
        <v>573.66999999999996</v>
      </c>
      <c r="DH4" s="675">
        <v>0</v>
      </c>
      <c r="DI4" s="675">
        <v>0</v>
      </c>
      <c r="DJ4" s="675">
        <v>0</v>
      </c>
      <c r="DK4" s="675">
        <v>5392</v>
      </c>
      <c r="DL4" s="675">
        <v>0</v>
      </c>
      <c r="DM4" s="675">
        <v>670908</v>
      </c>
      <c r="DN4" s="675">
        <v>0</v>
      </c>
      <c r="DO4" s="675">
        <v>0</v>
      </c>
      <c r="DP4" s="675">
        <v>0</v>
      </c>
      <c r="DQ4" s="675">
        <v>0</v>
      </c>
      <c r="DR4" s="675">
        <v>0</v>
      </c>
      <c r="DS4" s="675">
        <v>0</v>
      </c>
      <c r="DT4" s="675">
        <v>0</v>
      </c>
      <c r="DU4" s="675">
        <v>0</v>
      </c>
      <c r="DV4" s="675">
        <v>0</v>
      </c>
      <c r="DW4" s="675">
        <v>0</v>
      </c>
      <c r="DX4" s="675">
        <v>0</v>
      </c>
      <c r="DY4" s="675">
        <v>0</v>
      </c>
      <c r="DZ4" s="675">
        <v>0</v>
      </c>
      <c r="EA4" s="675">
        <v>0</v>
      </c>
      <c r="EB4" s="675">
        <v>0</v>
      </c>
      <c r="EC4" s="675">
        <v>41.752000000000002</v>
      </c>
      <c r="ED4" s="675">
        <v>301007</v>
      </c>
      <c r="EE4" s="675">
        <v>0</v>
      </c>
      <c r="EF4" s="675">
        <v>0</v>
      </c>
      <c r="EG4" s="675">
        <v>0</v>
      </c>
      <c r="EH4" s="675">
        <v>369901</v>
      </c>
      <c r="EI4" s="675">
        <v>0</v>
      </c>
      <c r="EJ4" s="675">
        <v>0</v>
      </c>
      <c r="EK4" s="675">
        <v>17.518000000000001</v>
      </c>
      <c r="EL4" s="675">
        <v>0</v>
      </c>
      <c r="EM4" s="675">
        <v>0</v>
      </c>
      <c r="EN4" s="675">
        <v>0.77700000000000002</v>
      </c>
      <c r="EO4" s="675">
        <v>0</v>
      </c>
      <c r="EP4" s="675">
        <v>0</v>
      </c>
      <c r="EQ4" s="675">
        <v>18.295000000000002</v>
      </c>
      <c r="ER4" s="675">
        <v>0</v>
      </c>
      <c r="ES4" s="675">
        <v>56.439</v>
      </c>
      <c r="ET4" s="676">
        <v>23562</v>
      </c>
      <c r="EU4" s="675">
        <v>386679</v>
      </c>
      <c r="EV4" s="675">
        <v>0</v>
      </c>
      <c r="EW4" s="675">
        <v>0</v>
      </c>
      <c r="EX4" s="675">
        <v>0</v>
      </c>
      <c r="EY4" s="675">
        <v>0</v>
      </c>
      <c r="EZ4" s="675">
        <v>7612477</v>
      </c>
      <c r="FA4" s="675">
        <v>0</v>
      </c>
      <c r="FB4" s="676">
        <v>7999156</v>
      </c>
      <c r="FC4" s="675">
        <v>0.97327799999999998</v>
      </c>
      <c r="FD4" s="675">
        <v>0</v>
      </c>
      <c r="FE4" s="675">
        <v>1173112</v>
      </c>
      <c r="FF4" s="675">
        <v>264359</v>
      </c>
      <c r="FG4" s="675">
        <v>6.1239999999999996E-2</v>
      </c>
      <c r="FH4" s="675">
        <v>5.4803999999999999E-2</v>
      </c>
      <c r="FI4" s="675">
        <v>0</v>
      </c>
      <c r="FJ4" s="675">
        <v>0</v>
      </c>
      <c r="FK4" s="675">
        <v>1509.7650000000001</v>
      </c>
      <c r="FL4" s="675">
        <v>9654783</v>
      </c>
      <c r="FM4" s="675">
        <v>0</v>
      </c>
      <c r="FN4" s="675">
        <v>0</v>
      </c>
      <c r="FO4" s="675">
        <v>6547</v>
      </c>
      <c r="FP4" s="675">
        <v>0</v>
      </c>
      <c r="FQ4" s="675">
        <v>6547</v>
      </c>
      <c r="FR4" s="675">
        <v>6547</v>
      </c>
      <c r="FS4" s="675">
        <v>0</v>
      </c>
      <c r="FT4" s="675">
        <v>0</v>
      </c>
      <c r="FU4" s="675">
        <v>0</v>
      </c>
      <c r="FV4" s="675">
        <v>0</v>
      </c>
      <c r="FW4" s="675">
        <v>0</v>
      </c>
      <c r="FX4" s="675">
        <v>0</v>
      </c>
      <c r="FY4" s="675">
        <v>0</v>
      </c>
      <c r="FZ4" s="675">
        <v>140</v>
      </c>
      <c r="GA4" s="675">
        <v>2.7909999999999999</v>
      </c>
      <c r="GB4" s="676">
        <v>298358</v>
      </c>
      <c r="GC4" s="676">
        <v>298358</v>
      </c>
      <c r="GD4" s="676">
        <v>33.704999999999998</v>
      </c>
      <c r="GE4" s="675">
        <v>0</v>
      </c>
      <c r="GF4" s="675">
        <v>0</v>
      </c>
      <c r="GG4" s="675">
        <v>0</v>
      </c>
      <c r="GH4" s="675">
        <v>0</v>
      </c>
      <c r="GI4" s="675">
        <v>0</v>
      </c>
      <c r="GJ4" s="675">
        <v>0</v>
      </c>
      <c r="GK4" s="675">
        <v>4999</v>
      </c>
      <c r="GL4" s="675">
        <v>9474</v>
      </c>
      <c r="GM4" s="675">
        <v>0</v>
      </c>
      <c r="GN4" s="675">
        <v>0</v>
      </c>
      <c r="GO4" s="675">
        <v>0</v>
      </c>
      <c r="GP4" s="675">
        <v>9436627</v>
      </c>
      <c r="GQ4" s="675">
        <v>9436627</v>
      </c>
      <c r="GR4" s="675">
        <v>0</v>
      </c>
      <c r="GS4" s="675">
        <v>0</v>
      </c>
      <c r="GT4" s="675">
        <v>0</v>
      </c>
      <c r="GU4" s="675">
        <v>0</v>
      </c>
      <c r="GV4" s="675">
        <v>0</v>
      </c>
      <c r="GW4" s="675">
        <v>0</v>
      </c>
      <c r="GX4" s="675">
        <v>0</v>
      </c>
      <c r="GY4" s="675">
        <v>0</v>
      </c>
      <c r="GZ4" s="675">
        <v>0</v>
      </c>
      <c r="HA4" s="675">
        <v>0</v>
      </c>
      <c r="HB4" s="675">
        <v>260786259</v>
      </c>
      <c r="HC4" s="675">
        <v>5.0923999999999997E-2</v>
      </c>
      <c r="HD4" s="676">
        <v>194594</v>
      </c>
      <c r="HE4" s="675">
        <v>0</v>
      </c>
      <c r="HF4" s="675">
        <v>0</v>
      </c>
      <c r="HG4" s="675">
        <v>0</v>
      </c>
      <c r="HH4" s="675">
        <v>0</v>
      </c>
      <c r="HI4" s="675">
        <v>0</v>
      </c>
      <c r="HJ4" s="675">
        <v>0</v>
      </c>
      <c r="HK4" s="675">
        <v>0</v>
      </c>
      <c r="HL4" s="675">
        <v>0</v>
      </c>
      <c r="HM4" s="675">
        <v>0</v>
      </c>
      <c r="HN4" s="675">
        <v>0</v>
      </c>
      <c r="HO4" s="675">
        <v>0</v>
      </c>
      <c r="HP4" s="675">
        <v>0</v>
      </c>
      <c r="HQ4" s="675">
        <v>0</v>
      </c>
      <c r="HR4" s="675">
        <v>0</v>
      </c>
      <c r="HS4" s="675">
        <v>0</v>
      </c>
      <c r="HT4" s="675">
        <v>0</v>
      </c>
      <c r="HU4" s="675">
        <v>0</v>
      </c>
      <c r="HV4" s="675">
        <v>0</v>
      </c>
      <c r="HW4" s="675">
        <v>0</v>
      </c>
      <c r="HX4" s="675">
        <v>0</v>
      </c>
      <c r="HY4" s="675">
        <v>0</v>
      </c>
      <c r="HZ4" s="675">
        <v>0</v>
      </c>
      <c r="IA4" s="675">
        <v>0</v>
      </c>
      <c r="IB4" s="675">
        <v>0</v>
      </c>
      <c r="IC4" s="675">
        <v>0</v>
      </c>
      <c r="ID4" s="675">
        <v>0</v>
      </c>
      <c r="IE4" s="675">
        <v>0</v>
      </c>
      <c r="IF4" s="675">
        <v>0</v>
      </c>
      <c r="IG4" s="675">
        <v>0</v>
      </c>
      <c r="IH4" s="675">
        <v>0</v>
      </c>
      <c r="II4" s="675">
        <v>0</v>
      </c>
      <c r="IJ4" s="675">
        <v>0</v>
      </c>
      <c r="IK4" s="675">
        <v>0</v>
      </c>
      <c r="IL4" s="675">
        <v>0</v>
      </c>
      <c r="IM4" s="675">
        <v>0</v>
      </c>
      <c r="IN4" s="675">
        <v>0</v>
      </c>
      <c r="IO4" s="675">
        <v>0</v>
      </c>
      <c r="IP4" s="675">
        <v>0</v>
      </c>
      <c r="IQ4" s="675">
        <v>0</v>
      </c>
      <c r="IR4" s="675">
        <v>0</v>
      </c>
      <c r="IS4" s="675">
        <v>0</v>
      </c>
      <c r="IT4" s="675">
        <v>0</v>
      </c>
      <c r="IU4" s="675">
        <v>0</v>
      </c>
      <c r="IV4" s="675">
        <v>0</v>
      </c>
      <c r="IW4" s="675">
        <v>0</v>
      </c>
      <c r="IX4" s="675">
        <v>0</v>
      </c>
      <c r="IY4" s="675">
        <v>0</v>
      </c>
      <c r="IZ4" s="675">
        <v>0</v>
      </c>
      <c r="JA4" s="675">
        <v>0</v>
      </c>
      <c r="JB4" s="675">
        <v>0</v>
      </c>
      <c r="JC4" s="675">
        <v>0</v>
      </c>
      <c r="JD4" s="675">
        <v>0</v>
      </c>
      <c r="JE4" s="675">
        <v>0</v>
      </c>
      <c r="JF4" s="675">
        <v>0</v>
      </c>
      <c r="JG4" s="675">
        <v>0</v>
      </c>
      <c r="JH4" s="675">
        <v>0</v>
      </c>
      <c r="JI4" s="675">
        <v>0</v>
      </c>
      <c r="JJ4" s="675">
        <v>0</v>
      </c>
      <c r="JK4" s="675">
        <v>0</v>
      </c>
      <c r="JL4" s="675">
        <v>0</v>
      </c>
      <c r="JM4" s="675">
        <v>0</v>
      </c>
      <c r="JN4" s="675">
        <v>32469</v>
      </c>
      <c r="JO4" s="675">
        <v>0</v>
      </c>
      <c r="JP4" s="675">
        <v>0</v>
      </c>
      <c r="JQ4" s="675">
        <v>0</v>
      </c>
      <c r="JR4" s="675">
        <v>0</v>
      </c>
      <c r="JS4" s="675">
        <v>0</v>
      </c>
      <c r="JT4" s="675">
        <v>0</v>
      </c>
      <c r="JU4" s="675">
        <v>0</v>
      </c>
      <c r="JV4" s="675">
        <v>0</v>
      </c>
      <c r="JW4" s="675">
        <v>0</v>
      </c>
      <c r="JX4" s="675">
        <v>0</v>
      </c>
      <c r="JY4" s="675">
        <v>0</v>
      </c>
      <c r="JZ4" s="675">
        <v>0</v>
      </c>
      <c r="KA4" s="675">
        <v>0</v>
      </c>
      <c r="KB4" s="675">
        <v>0</v>
      </c>
      <c r="KC4" s="675">
        <v>0</v>
      </c>
      <c r="KD4" s="675">
        <v>0</v>
      </c>
      <c r="KE4" s="675">
        <v>0</v>
      </c>
      <c r="KF4" s="675">
        <v>0</v>
      </c>
    </row>
    <row r="5" spans="1:292" ht="13" x14ac:dyDescent="0.3">
      <c r="A5" s="675">
        <v>13801</v>
      </c>
      <c r="B5" s="675">
        <v>32570</v>
      </c>
      <c r="C5" s="675">
        <v>35</v>
      </c>
      <c r="D5" s="675">
        <v>2022</v>
      </c>
      <c r="E5" s="675">
        <v>5392</v>
      </c>
      <c r="F5" s="675">
        <v>0</v>
      </c>
      <c r="G5" s="675">
        <v>404.56800000000004</v>
      </c>
      <c r="H5" s="675">
        <v>395.35400000000004</v>
      </c>
      <c r="I5" s="675">
        <v>395.35400000000004</v>
      </c>
      <c r="J5" s="675">
        <v>404.56800000000004</v>
      </c>
      <c r="K5" s="675">
        <v>0</v>
      </c>
      <c r="L5" s="675">
        <v>6554</v>
      </c>
      <c r="M5" s="675">
        <v>0</v>
      </c>
      <c r="N5" s="675">
        <v>0</v>
      </c>
      <c r="O5" s="675">
        <v>0</v>
      </c>
      <c r="P5" s="675">
        <v>407.24200000000002</v>
      </c>
      <c r="Q5" s="675">
        <v>0</v>
      </c>
      <c r="R5" s="676">
        <v>130201</v>
      </c>
      <c r="S5" s="675">
        <v>319.71300000000002</v>
      </c>
      <c r="T5" s="675">
        <v>0</v>
      </c>
      <c r="U5" s="676">
        <v>130201</v>
      </c>
      <c r="V5" s="676">
        <v>6.875</v>
      </c>
      <c r="W5" s="676">
        <v>4506</v>
      </c>
      <c r="X5" s="676">
        <v>4506</v>
      </c>
      <c r="Y5" s="675">
        <v>0</v>
      </c>
      <c r="Z5" s="675">
        <v>0</v>
      </c>
      <c r="AA5" s="675">
        <v>1</v>
      </c>
      <c r="AB5" s="675">
        <v>1</v>
      </c>
      <c r="AC5" s="675">
        <v>0</v>
      </c>
      <c r="AD5" s="675" t="s">
        <v>316</v>
      </c>
      <c r="AE5" s="675">
        <v>0</v>
      </c>
      <c r="AF5" s="675">
        <v>0</v>
      </c>
      <c r="AG5" s="675">
        <v>0</v>
      </c>
      <c r="AH5" s="675">
        <v>0</v>
      </c>
      <c r="AI5" s="675">
        <v>0</v>
      </c>
      <c r="AJ5" s="675">
        <v>5104</v>
      </c>
      <c r="AK5" s="675" t="s">
        <v>671</v>
      </c>
      <c r="AL5" s="815" t="s">
        <v>55</v>
      </c>
      <c r="AM5" s="675">
        <v>0</v>
      </c>
      <c r="AN5" s="675">
        <v>0</v>
      </c>
      <c r="AO5" s="675">
        <v>0</v>
      </c>
      <c r="AP5" s="675">
        <v>0</v>
      </c>
      <c r="AQ5" s="675">
        <v>0</v>
      </c>
      <c r="AR5" s="675">
        <v>0</v>
      </c>
      <c r="AS5" s="675">
        <v>0</v>
      </c>
      <c r="AT5" s="675">
        <v>0</v>
      </c>
      <c r="AU5" s="675">
        <v>0</v>
      </c>
      <c r="AV5" s="675">
        <v>190994</v>
      </c>
      <c r="AW5" s="675">
        <v>3860022</v>
      </c>
      <c r="AX5" s="675">
        <v>3760207</v>
      </c>
      <c r="AY5" s="675">
        <v>4077512</v>
      </c>
      <c r="AZ5" s="675">
        <v>130201</v>
      </c>
      <c r="BA5" s="676">
        <v>39.167000000000002</v>
      </c>
      <c r="BB5" s="675">
        <v>15909</v>
      </c>
      <c r="BC5" s="675">
        <v>15909</v>
      </c>
      <c r="BD5" s="675">
        <v>20.228000000000002</v>
      </c>
      <c r="BE5" s="675">
        <v>0</v>
      </c>
      <c r="BF5" s="675">
        <v>3204605</v>
      </c>
      <c r="BG5" s="675">
        <v>0</v>
      </c>
      <c r="BH5" s="676">
        <v>0</v>
      </c>
      <c r="BI5" s="676">
        <v>0</v>
      </c>
      <c r="BJ5" s="675">
        <v>12</v>
      </c>
      <c r="BK5" s="675">
        <v>0</v>
      </c>
      <c r="BL5" s="675">
        <v>0</v>
      </c>
      <c r="BM5" s="675">
        <v>0</v>
      </c>
      <c r="BN5" s="675">
        <v>0</v>
      </c>
      <c r="BO5" s="675">
        <v>0</v>
      </c>
      <c r="BP5" s="675">
        <v>0</v>
      </c>
      <c r="BQ5" s="675">
        <v>5392</v>
      </c>
      <c r="BR5" s="675">
        <v>1</v>
      </c>
      <c r="BS5" s="675">
        <v>0</v>
      </c>
      <c r="BT5" s="675">
        <v>0</v>
      </c>
      <c r="BU5" s="675">
        <v>0</v>
      </c>
      <c r="BV5" s="675">
        <v>0</v>
      </c>
      <c r="BW5" s="675">
        <v>0</v>
      </c>
      <c r="BX5" s="675">
        <v>0</v>
      </c>
      <c r="BY5" s="675">
        <v>0</v>
      </c>
      <c r="BZ5" s="675">
        <v>0</v>
      </c>
      <c r="CA5" s="675">
        <v>0</v>
      </c>
      <c r="CB5" s="675">
        <v>0</v>
      </c>
      <c r="CC5" s="675">
        <v>0</v>
      </c>
      <c r="CD5" s="675">
        <v>0</v>
      </c>
      <c r="CE5" s="675">
        <v>0</v>
      </c>
      <c r="CF5" s="675">
        <v>0</v>
      </c>
      <c r="CG5" s="675">
        <v>0</v>
      </c>
      <c r="CH5" s="676">
        <v>99815</v>
      </c>
      <c r="CI5" s="675">
        <v>0</v>
      </c>
      <c r="CJ5" s="675">
        <v>4</v>
      </c>
      <c r="CK5" s="675">
        <v>0</v>
      </c>
      <c r="CL5" s="675">
        <v>0</v>
      </c>
      <c r="CM5" s="675">
        <v>0</v>
      </c>
      <c r="CN5" s="675">
        <v>0</v>
      </c>
      <c r="CO5" s="675">
        <v>0</v>
      </c>
      <c r="CP5" s="675">
        <v>0</v>
      </c>
      <c r="CQ5" s="675">
        <v>2</v>
      </c>
      <c r="CR5" s="675">
        <v>407.24200000000002</v>
      </c>
      <c r="CS5" s="675">
        <v>0</v>
      </c>
      <c r="CT5" s="675">
        <v>0</v>
      </c>
      <c r="CU5" s="675">
        <v>0</v>
      </c>
      <c r="CV5" s="675">
        <v>0</v>
      </c>
      <c r="CW5" s="675">
        <v>0</v>
      </c>
      <c r="CX5" s="675">
        <v>0</v>
      </c>
      <c r="CY5" s="675">
        <v>0</v>
      </c>
      <c r="CZ5" s="675">
        <v>0</v>
      </c>
      <c r="DA5" s="675">
        <v>1</v>
      </c>
      <c r="DB5" s="675">
        <v>2591150</v>
      </c>
      <c r="DC5" s="675">
        <v>0</v>
      </c>
      <c r="DD5" s="675">
        <v>0</v>
      </c>
      <c r="DE5" s="675">
        <v>485219</v>
      </c>
      <c r="DF5" s="675">
        <v>485219</v>
      </c>
      <c r="DG5" s="675">
        <v>370.17</v>
      </c>
      <c r="DH5" s="675">
        <v>0</v>
      </c>
      <c r="DI5" s="675">
        <v>0</v>
      </c>
      <c r="DJ5" s="675">
        <v>0</v>
      </c>
      <c r="DK5" s="675">
        <v>5392</v>
      </c>
      <c r="DL5" s="675">
        <v>0</v>
      </c>
      <c r="DM5" s="675">
        <v>195807</v>
      </c>
      <c r="DN5" s="675">
        <v>0</v>
      </c>
      <c r="DO5" s="675">
        <v>0</v>
      </c>
      <c r="DP5" s="675">
        <v>0</v>
      </c>
      <c r="DQ5" s="675">
        <v>0</v>
      </c>
      <c r="DR5" s="675">
        <v>0</v>
      </c>
      <c r="DS5" s="675">
        <v>0</v>
      </c>
      <c r="DT5" s="675">
        <v>0</v>
      </c>
      <c r="DU5" s="675">
        <v>0</v>
      </c>
      <c r="DV5" s="675">
        <v>0</v>
      </c>
      <c r="DW5" s="675">
        <v>0</v>
      </c>
      <c r="DX5" s="675">
        <v>0</v>
      </c>
      <c r="DY5" s="675">
        <v>0</v>
      </c>
      <c r="DZ5" s="675">
        <v>0</v>
      </c>
      <c r="EA5" s="675">
        <v>0</v>
      </c>
      <c r="EB5" s="675">
        <v>0</v>
      </c>
      <c r="EC5" s="675">
        <v>0</v>
      </c>
      <c r="ED5" s="675">
        <v>0</v>
      </c>
      <c r="EE5" s="675">
        <v>0</v>
      </c>
      <c r="EF5" s="675">
        <v>0</v>
      </c>
      <c r="EG5" s="675">
        <v>0</v>
      </c>
      <c r="EH5" s="675">
        <v>195807</v>
      </c>
      <c r="EI5" s="675">
        <v>0</v>
      </c>
      <c r="EJ5" s="675">
        <v>0</v>
      </c>
      <c r="EK5" s="675">
        <v>7.6310000000000002</v>
      </c>
      <c r="EL5" s="675">
        <v>0</v>
      </c>
      <c r="EM5" s="675">
        <v>0.46600000000000003</v>
      </c>
      <c r="EN5" s="675">
        <v>1.117</v>
      </c>
      <c r="EO5" s="675">
        <v>0</v>
      </c>
      <c r="EP5" s="675">
        <v>0</v>
      </c>
      <c r="EQ5" s="675">
        <v>9.2140000000000004</v>
      </c>
      <c r="ER5" s="675">
        <v>0</v>
      </c>
      <c r="ES5" s="675">
        <v>29.876000000000001</v>
      </c>
      <c r="ET5" s="676">
        <v>20084</v>
      </c>
      <c r="EU5" s="675">
        <v>130201</v>
      </c>
      <c r="EV5" s="675">
        <v>0</v>
      </c>
      <c r="EW5" s="675">
        <v>0</v>
      </c>
      <c r="EX5" s="675">
        <v>0</v>
      </c>
      <c r="EY5" s="675">
        <v>0</v>
      </c>
      <c r="EZ5" s="675">
        <v>3162390</v>
      </c>
      <c r="FA5" s="675">
        <v>0</v>
      </c>
      <c r="FB5" s="676">
        <v>3292591</v>
      </c>
      <c r="FC5" s="675">
        <v>0.97327799999999998</v>
      </c>
      <c r="FD5" s="675">
        <v>0</v>
      </c>
      <c r="FE5" s="675">
        <v>487875</v>
      </c>
      <c r="FF5" s="675">
        <v>109942</v>
      </c>
      <c r="FG5" s="675">
        <v>6.1239999999999996E-2</v>
      </c>
      <c r="FH5" s="675">
        <v>5.4803999999999999E-2</v>
      </c>
      <c r="FI5" s="675">
        <v>0</v>
      </c>
      <c r="FJ5" s="675">
        <v>0</v>
      </c>
      <c r="FK5" s="675">
        <v>627.88300000000004</v>
      </c>
      <c r="FL5" s="675">
        <v>3990223</v>
      </c>
      <c r="FM5" s="675">
        <v>0</v>
      </c>
      <c r="FN5" s="675">
        <v>0</v>
      </c>
      <c r="FO5" s="675">
        <v>0</v>
      </c>
      <c r="FP5" s="675">
        <v>0</v>
      </c>
      <c r="FQ5" s="675">
        <v>0</v>
      </c>
      <c r="FR5" s="675">
        <v>0</v>
      </c>
      <c r="FS5" s="675">
        <v>0</v>
      </c>
      <c r="FT5" s="675">
        <v>0</v>
      </c>
      <c r="FU5" s="675">
        <v>0</v>
      </c>
      <c r="FV5" s="675">
        <v>0</v>
      </c>
      <c r="FW5" s="675">
        <v>0</v>
      </c>
      <c r="FX5" s="675">
        <v>0</v>
      </c>
      <c r="FY5" s="675">
        <v>0</v>
      </c>
      <c r="FZ5" s="675">
        <v>0</v>
      </c>
      <c r="GA5" s="675">
        <v>0</v>
      </c>
      <c r="GB5" s="676">
        <v>0</v>
      </c>
      <c r="GC5" s="676">
        <v>0</v>
      </c>
      <c r="GD5" s="676">
        <v>0</v>
      </c>
      <c r="GE5" s="675">
        <v>0</v>
      </c>
      <c r="GF5" s="675">
        <v>0</v>
      </c>
      <c r="GG5" s="675">
        <v>0</v>
      </c>
      <c r="GH5" s="675">
        <v>0</v>
      </c>
      <c r="GI5" s="675">
        <v>0</v>
      </c>
      <c r="GJ5" s="675">
        <v>0</v>
      </c>
      <c r="GK5" s="675">
        <v>5082</v>
      </c>
      <c r="GL5" s="675">
        <v>11274</v>
      </c>
      <c r="GM5" s="675">
        <v>0</v>
      </c>
      <c r="GN5" s="675">
        <v>0</v>
      </c>
      <c r="GO5" s="675">
        <v>0</v>
      </c>
      <c r="GP5" s="675">
        <v>3890408</v>
      </c>
      <c r="GQ5" s="675">
        <v>3890408</v>
      </c>
      <c r="GR5" s="675">
        <v>0</v>
      </c>
      <c r="GS5" s="675">
        <v>0</v>
      </c>
      <c r="GT5" s="675">
        <v>0</v>
      </c>
      <c r="GU5" s="675">
        <v>0</v>
      </c>
      <c r="GV5" s="675">
        <v>0</v>
      </c>
      <c r="GW5" s="675">
        <v>0</v>
      </c>
      <c r="GX5" s="675">
        <v>0</v>
      </c>
      <c r="GY5" s="675">
        <v>0</v>
      </c>
      <c r="GZ5" s="675">
        <v>0</v>
      </c>
      <c r="HA5" s="675">
        <v>0</v>
      </c>
      <c r="HB5" s="675">
        <v>260786259</v>
      </c>
      <c r="HC5" s="675">
        <v>5.0923999999999997E-2</v>
      </c>
      <c r="HD5" s="676">
        <v>79731</v>
      </c>
      <c r="HE5" s="675">
        <v>0</v>
      </c>
      <c r="HF5" s="675">
        <v>0</v>
      </c>
      <c r="HG5" s="675">
        <v>0</v>
      </c>
      <c r="HH5" s="675">
        <v>0</v>
      </c>
      <c r="HI5" s="675">
        <v>0</v>
      </c>
      <c r="HJ5" s="675">
        <v>0</v>
      </c>
      <c r="HK5" s="675">
        <v>0</v>
      </c>
      <c r="HL5" s="675">
        <v>0</v>
      </c>
      <c r="HM5" s="675">
        <v>0</v>
      </c>
      <c r="HN5" s="675">
        <v>0</v>
      </c>
      <c r="HO5" s="675">
        <v>0</v>
      </c>
      <c r="HP5" s="675">
        <v>0</v>
      </c>
      <c r="HQ5" s="675">
        <v>0</v>
      </c>
      <c r="HR5" s="675">
        <v>0</v>
      </c>
      <c r="HS5" s="675">
        <v>0</v>
      </c>
      <c r="HT5" s="675">
        <v>0</v>
      </c>
      <c r="HU5" s="675">
        <v>0</v>
      </c>
      <c r="HV5" s="675">
        <v>0</v>
      </c>
      <c r="HW5" s="675">
        <v>0</v>
      </c>
      <c r="HX5" s="675">
        <v>0</v>
      </c>
      <c r="HY5" s="675">
        <v>0</v>
      </c>
      <c r="HZ5" s="675">
        <v>0</v>
      </c>
      <c r="IA5" s="675">
        <v>0</v>
      </c>
      <c r="IB5" s="675">
        <v>0</v>
      </c>
      <c r="IC5" s="675">
        <v>0</v>
      </c>
      <c r="ID5" s="675">
        <v>0</v>
      </c>
      <c r="IE5" s="675">
        <v>0</v>
      </c>
      <c r="IF5" s="675">
        <v>0</v>
      </c>
      <c r="IG5" s="675">
        <v>0</v>
      </c>
      <c r="IH5" s="675">
        <v>0</v>
      </c>
      <c r="II5" s="675">
        <v>0</v>
      </c>
      <c r="IJ5" s="675">
        <v>0</v>
      </c>
      <c r="IK5" s="675">
        <v>0</v>
      </c>
      <c r="IL5" s="675">
        <v>0</v>
      </c>
      <c r="IM5" s="675">
        <v>0</v>
      </c>
      <c r="IN5" s="675">
        <v>0</v>
      </c>
      <c r="IO5" s="675">
        <v>0</v>
      </c>
      <c r="IP5" s="675">
        <v>0</v>
      </c>
      <c r="IQ5" s="675">
        <v>0</v>
      </c>
      <c r="IR5" s="675">
        <v>0</v>
      </c>
      <c r="IS5" s="675">
        <v>0</v>
      </c>
      <c r="IT5" s="675">
        <v>0</v>
      </c>
      <c r="IU5" s="675">
        <v>0</v>
      </c>
      <c r="IV5" s="675">
        <v>0</v>
      </c>
      <c r="IW5" s="675">
        <v>0</v>
      </c>
      <c r="IX5" s="675">
        <v>0</v>
      </c>
      <c r="IY5" s="675">
        <v>0</v>
      </c>
      <c r="IZ5" s="675">
        <v>0</v>
      </c>
      <c r="JA5" s="675">
        <v>0</v>
      </c>
      <c r="JB5" s="675">
        <v>0</v>
      </c>
      <c r="JC5" s="675">
        <v>0</v>
      </c>
      <c r="JD5" s="675">
        <v>0</v>
      </c>
      <c r="JE5" s="675">
        <v>0</v>
      </c>
      <c r="JF5" s="675">
        <v>0</v>
      </c>
      <c r="JG5" s="675">
        <v>0</v>
      </c>
      <c r="JH5" s="675">
        <v>0</v>
      </c>
      <c r="JI5" s="675">
        <v>0</v>
      </c>
      <c r="JJ5" s="675">
        <v>0</v>
      </c>
      <c r="JK5" s="675">
        <v>0</v>
      </c>
      <c r="JL5" s="675">
        <v>0</v>
      </c>
      <c r="JM5" s="675">
        <v>0</v>
      </c>
      <c r="JN5" s="675">
        <v>32469</v>
      </c>
      <c r="JO5" s="675">
        <v>0</v>
      </c>
      <c r="JP5" s="675">
        <v>0</v>
      </c>
      <c r="JQ5" s="675">
        <v>0</v>
      </c>
      <c r="JR5" s="675">
        <v>0</v>
      </c>
      <c r="JS5" s="675">
        <v>0</v>
      </c>
      <c r="JT5" s="675">
        <v>0</v>
      </c>
      <c r="JU5" s="675">
        <v>0</v>
      </c>
      <c r="JV5" s="675">
        <v>0</v>
      </c>
      <c r="JW5" s="675">
        <v>0</v>
      </c>
      <c r="JX5" s="675">
        <v>0</v>
      </c>
      <c r="JY5" s="675">
        <v>0</v>
      </c>
      <c r="JZ5" s="675">
        <v>0</v>
      </c>
      <c r="KA5" s="675">
        <v>0</v>
      </c>
      <c r="KB5" s="675">
        <v>0</v>
      </c>
      <c r="KC5" s="675">
        <v>0</v>
      </c>
      <c r="KD5" s="675">
        <v>0</v>
      </c>
      <c r="KE5" s="675">
        <v>0</v>
      </c>
      <c r="KF5" s="675">
        <v>0</v>
      </c>
    </row>
    <row r="6" spans="1:292" ht="13" x14ac:dyDescent="0.3">
      <c r="A6" s="675">
        <v>14801</v>
      </c>
      <c r="B6" s="675">
        <v>32570</v>
      </c>
      <c r="C6" s="675">
        <v>35</v>
      </c>
      <c r="D6" s="675">
        <v>2022</v>
      </c>
      <c r="E6" s="675">
        <v>5392</v>
      </c>
      <c r="F6" s="675">
        <v>0</v>
      </c>
      <c r="G6" s="675">
        <v>1537.7640000000001</v>
      </c>
      <c r="H6" s="675">
        <v>1369.6410000000001</v>
      </c>
      <c r="I6" s="675">
        <v>1369.6410000000001</v>
      </c>
      <c r="J6" s="675">
        <v>1537.7640000000001</v>
      </c>
      <c r="K6" s="675">
        <v>0</v>
      </c>
      <c r="L6" s="675">
        <v>6554</v>
      </c>
      <c r="M6" s="675">
        <v>0</v>
      </c>
      <c r="N6" s="675">
        <v>0</v>
      </c>
      <c r="O6" s="675">
        <v>0</v>
      </c>
      <c r="P6" s="675">
        <v>1568.856</v>
      </c>
      <c r="Q6" s="675">
        <v>0</v>
      </c>
      <c r="R6" s="676">
        <v>501584</v>
      </c>
      <c r="S6" s="675">
        <v>319.71300000000002</v>
      </c>
      <c r="T6" s="675">
        <v>0</v>
      </c>
      <c r="U6" s="676">
        <v>501584</v>
      </c>
      <c r="V6" s="676">
        <v>109.599</v>
      </c>
      <c r="W6" s="676">
        <v>71831</v>
      </c>
      <c r="X6" s="676">
        <v>71831</v>
      </c>
      <c r="Y6" s="675">
        <v>0</v>
      </c>
      <c r="Z6" s="675">
        <v>0</v>
      </c>
      <c r="AA6" s="675">
        <v>1</v>
      </c>
      <c r="AB6" s="675">
        <v>1</v>
      </c>
      <c r="AC6" s="675">
        <v>0</v>
      </c>
      <c r="AD6" s="675" t="s">
        <v>316</v>
      </c>
      <c r="AE6" s="675">
        <v>0</v>
      </c>
      <c r="AF6" s="675">
        <v>0</v>
      </c>
      <c r="AG6" s="675">
        <v>0</v>
      </c>
      <c r="AH6" s="675">
        <v>0</v>
      </c>
      <c r="AI6" s="675">
        <v>0</v>
      </c>
      <c r="AJ6" s="675">
        <v>5104</v>
      </c>
      <c r="AK6" s="675" t="s">
        <v>671</v>
      </c>
      <c r="AL6" s="815" t="s">
        <v>36</v>
      </c>
      <c r="AM6" s="675">
        <v>0</v>
      </c>
      <c r="AN6" s="675">
        <v>0</v>
      </c>
      <c r="AO6" s="675">
        <v>0</v>
      </c>
      <c r="AP6" s="675">
        <v>0</v>
      </c>
      <c r="AQ6" s="675">
        <v>0</v>
      </c>
      <c r="AR6" s="675">
        <v>0</v>
      </c>
      <c r="AS6" s="675">
        <v>0</v>
      </c>
      <c r="AT6" s="675">
        <v>0</v>
      </c>
      <c r="AU6" s="675">
        <v>0</v>
      </c>
      <c r="AV6" s="675">
        <v>63778</v>
      </c>
      <c r="AW6" s="675">
        <v>17048276</v>
      </c>
      <c r="AX6" s="675">
        <v>16322340</v>
      </c>
      <c r="AY6" s="675">
        <v>17247999</v>
      </c>
      <c r="AZ6" s="675">
        <v>924461</v>
      </c>
      <c r="BA6" s="676">
        <v>0</v>
      </c>
      <c r="BB6" s="675">
        <v>0</v>
      </c>
      <c r="BC6" s="675">
        <v>0</v>
      </c>
      <c r="BD6" s="675">
        <v>0</v>
      </c>
      <c r="BE6" s="675">
        <v>0</v>
      </c>
      <c r="BF6" s="675">
        <v>13858193</v>
      </c>
      <c r="BG6" s="675">
        <v>0</v>
      </c>
      <c r="BH6" s="676">
        <v>1537.7340000000002</v>
      </c>
      <c r="BI6" s="676">
        <v>422877</v>
      </c>
      <c r="BJ6" s="675">
        <v>12</v>
      </c>
      <c r="BK6" s="675">
        <v>0</v>
      </c>
      <c r="BL6" s="675">
        <v>0</v>
      </c>
      <c r="BM6" s="675">
        <v>0</v>
      </c>
      <c r="BN6" s="675">
        <v>0</v>
      </c>
      <c r="BO6" s="675">
        <v>0</v>
      </c>
      <c r="BP6" s="675">
        <v>0</v>
      </c>
      <c r="BQ6" s="675">
        <v>5392</v>
      </c>
      <c r="BR6" s="675">
        <v>1</v>
      </c>
      <c r="BS6" s="675">
        <v>0</v>
      </c>
      <c r="BT6" s="675">
        <v>0</v>
      </c>
      <c r="BU6" s="675">
        <v>0</v>
      </c>
      <c r="BV6" s="675">
        <v>0</v>
      </c>
      <c r="BW6" s="675">
        <v>0</v>
      </c>
      <c r="BX6" s="675">
        <v>0</v>
      </c>
      <c r="BY6" s="675">
        <v>0</v>
      </c>
      <c r="BZ6" s="675">
        <v>0</v>
      </c>
      <c r="CA6" s="675">
        <v>0</v>
      </c>
      <c r="CB6" s="675">
        <v>0</v>
      </c>
      <c r="CC6" s="675">
        <v>0</v>
      </c>
      <c r="CD6" s="675">
        <v>0</v>
      </c>
      <c r="CE6" s="675">
        <v>0</v>
      </c>
      <c r="CF6" s="675">
        <v>0</v>
      </c>
      <c r="CG6" s="675">
        <v>0</v>
      </c>
      <c r="CH6" s="676">
        <v>303059</v>
      </c>
      <c r="CI6" s="675">
        <v>0</v>
      </c>
      <c r="CJ6" s="675">
        <v>4</v>
      </c>
      <c r="CK6" s="675">
        <v>0</v>
      </c>
      <c r="CL6" s="675">
        <v>0</v>
      </c>
      <c r="CM6" s="675">
        <v>0</v>
      </c>
      <c r="CN6" s="675">
        <v>0</v>
      </c>
      <c r="CO6" s="675">
        <v>0</v>
      </c>
      <c r="CP6" s="675">
        <v>8.5650000000000013</v>
      </c>
      <c r="CQ6" s="675">
        <v>0</v>
      </c>
      <c r="CR6" s="675">
        <v>1568.856</v>
      </c>
      <c r="CS6" s="675">
        <v>0</v>
      </c>
      <c r="CT6" s="675">
        <v>0</v>
      </c>
      <c r="CU6" s="675">
        <v>0</v>
      </c>
      <c r="CV6" s="675">
        <v>0</v>
      </c>
      <c r="CW6" s="675">
        <v>0</v>
      </c>
      <c r="CX6" s="675">
        <v>0</v>
      </c>
      <c r="CY6" s="675">
        <v>0</v>
      </c>
      <c r="CZ6" s="675">
        <v>0</v>
      </c>
      <c r="DA6" s="675">
        <v>1</v>
      </c>
      <c r="DB6" s="675">
        <v>8976627</v>
      </c>
      <c r="DC6" s="675">
        <v>0</v>
      </c>
      <c r="DD6" s="675">
        <v>0</v>
      </c>
      <c r="DE6" s="675">
        <v>2263319</v>
      </c>
      <c r="DF6" s="675">
        <v>2398604</v>
      </c>
      <c r="DG6" s="675">
        <v>1726.67</v>
      </c>
      <c r="DH6" s="675">
        <v>0</v>
      </c>
      <c r="DI6" s="675">
        <v>135285</v>
      </c>
      <c r="DJ6" s="675">
        <v>0</v>
      </c>
      <c r="DK6" s="675">
        <v>5392</v>
      </c>
      <c r="DL6" s="675">
        <v>0</v>
      </c>
      <c r="DM6" s="675">
        <v>1437075</v>
      </c>
      <c r="DN6" s="675">
        <v>0</v>
      </c>
      <c r="DO6" s="675">
        <v>0</v>
      </c>
      <c r="DP6" s="675">
        <v>0</v>
      </c>
      <c r="DQ6" s="675">
        <v>0</v>
      </c>
      <c r="DR6" s="675">
        <v>0</v>
      </c>
      <c r="DS6" s="675">
        <v>0</v>
      </c>
      <c r="DT6" s="675">
        <v>0</v>
      </c>
      <c r="DU6" s="675">
        <v>0</v>
      </c>
      <c r="DV6" s="675">
        <v>0</v>
      </c>
      <c r="DW6" s="675">
        <v>0</v>
      </c>
      <c r="DX6" s="675">
        <v>0</v>
      </c>
      <c r="DY6" s="675">
        <v>0</v>
      </c>
      <c r="DZ6" s="675">
        <v>0</v>
      </c>
      <c r="EA6" s="675">
        <v>0</v>
      </c>
      <c r="EB6" s="675">
        <v>0</v>
      </c>
      <c r="EC6" s="675">
        <v>157.768</v>
      </c>
      <c r="ED6" s="675">
        <v>1137413</v>
      </c>
      <c r="EE6" s="675">
        <v>0</v>
      </c>
      <c r="EF6" s="675">
        <v>0</v>
      </c>
      <c r="EG6" s="675">
        <v>0</v>
      </c>
      <c r="EH6" s="675">
        <v>299662</v>
      </c>
      <c r="EI6" s="675">
        <v>0</v>
      </c>
      <c r="EJ6" s="675">
        <v>0</v>
      </c>
      <c r="EK6" s="675">
        <v>14.719000000000001</v>
      </c>
      <c r="EL6" s="675">
        <v>0</v>
      </c>
      <c r="EM6" s="675">
        <v>0</v>
      </c>
      <c r="EN6" s="675">
        <v>0.313</v>
      </c>
      <c r="EO6" s="675">
        <v>0</v>
      </c>
      <c r="EP6" s="675">
        <v>0</v>
      </c>
      <c r="EQ6" s="675">
        <v>15.032</v>
      </c>
      <c r="ER6" s="675">
        <v>0</v>
      </c>
      <c r="ES6" s="675">
        <v>45.722000000000001</v>
      </c>
      <c r="ET6" s="676">
        <v>0</v>
      </c>
      <c r="EU6" s="675">
        <v>924461</v>
      </c>
      <c r="EV6" s="675">
        <v>0</v>
      </c>
      <c r="EW6" s="675">
        <v>0</v>
      </c>
      <c r="EX6" s="675">
        <v>0</v>
      </c>
      <c r="EY6" s="675">
        <v>0</v>
      </c>
      <c r="EZ6" s="675">
        <v>13737102</v>
      </c>
      <c r="FA6" s="675">
        <v>0</v>
      </c>
      <c r="FB6" s="676">
        <v>14661563</v>
      </c>
      <c r="FC6" s="675">
        <v>0.97327799999999998</v>
      </c>
      <c r="FD6" s="675">
        <v>0</v>
      </c>
      <c r="FE6" s="675">
        <v>2109798</v>
      </c>
      <c r="FF6" s="675">
        <v>475440</v>
      </c>
      <c r="FG6" s="675">
        <v>6.1239999999999996E-2</v>
      </c>
      <c r="FH6" s="675">
        <v>5.4803999999999999E-2</v>
      </c>
      <c r="FI6" s="675">
        <v>0</v>
      </c>
      <c r="FJ6" s="675">
        <v>0</v>
      </c>
      <c r="FK6" s="675">
        <v>2715.2560000000003</v>
      </c>
      <c r="FL6" s="675">
        <v>17549860</v>
      </c>
      <c r="FM6" s="675">
        <v>0</v>
      </c>
      <c r="FN6" s="675">
        <v>0</v>
      </c>
      <c r="FO6" s="675">
        <v>0</v>
      </c>
      <c r="FP6" s="675">
        <v>0</v>
      </c>
      <c r="FQ6" s="675">
        <v>0</v>
      </c>
      <c r="FR6" s="675">
        <v>0</v>
      </c>
      <c r="FS6" s="675">
        <v>0</v>
      </c>
      <c r="FT6" s="675">
        <v>0</v>
      </c>
      <c r="FU6" s="675">
        <v>0</v>
      </c>
      <c r="FV6" s="675">
        <v>0</v>
      </c>
      <c r="FW6" s="675">
        <v>0</v>
      </c>
      <c r="FX6" s="675">
        <v>0</v>
      </c>
      <c r="FY6" s="675">
        <v>0</v>
      </c>
      <c r="FZ6" s="675">
        <v>15</v>
      </c>
      <c r="GA6" s="675">
        <v>0.309</v>
      </c>
      <c r="GB6" s="676">
        <v>1354549</v>
      </c>
      <c r="GC6" s="676">
        <v>1354549</v>
      </c>
      <c r="GD6" s="676">
        <v>153.09100000000001</v>
      </c>
      <c r="GE6" s="675">
        <v>0</v>
      </c>
      <c r="GF6" s="675">
        <v>0</v>
      </c>
      <c r="GG6" s="675">
        <v>0</v>
      </c>
      <c r="GH6" s="675">
        <v>0</v>
      </c>
      <c r="GI6" s="675">
        <v>0</v>
      </c>
      <c r="GJ6" s="675">
        <v>0</v>
      </c>
      <c r="GK6" s="675">
        <v>5111</v>
      </c>
      <c r="GL6" s="675">
        <v>5764</v>
      </c>
      <c r="GM6" s="675">
        <v>0</v>
      </c>
      <c r="GN6" s="675">
        <v>0</v>
      </c>
      <c r="GO6" s="675">
        <v>0</v>
      </c>
      <c r="GP6" s="675">
        <v>17246801</v>
      </c>
      <c r="GQ6" s="675">
        <v>17246801</v>
      </c>
      <c r="GR6" s="675">
        <v>0</v>
      </c>
      <c r="GS6" s="675">
        <v>0</v>
      </c>
      <c r="GT6" s="675">
        <v>0</v>
      </c>
      <c r="GU6" s="675">
        <v>0</v>
      </c>
      <c r="GV6" s="675">
        <v>0</v>
      </c>
      <c r="GW6" s="675">
        <v>0</v>
      </c>
      <c r="GX6" s="675">
        <v>0</v>
      </c>
      <c r="GY6" s="675">
        <v>0</v>
      </c>
      <c r="GZ6" s="675">
        <v>0</v>
      </c>
      <c r="HA6" s="675">
        <v>0</v>
      </c>
      <c r="HB6" s="675">
        <v>260786259</v>
      </c>
      <c r="HC6" s="675">
        <v>5.0923999999999997E-2</v>
      </c>
      <c r="HD6" s="676">
        <v>303059</v>
      </c>
      <c r="HE6" s="675">
        <v>0</v>
      </c>
      <c r="HF6" s="675">
        <v>0</v>
      </c>
      <c r="HG6" s="675">
        <v>0</v>
      </c>
      <c r="HH6" s="675">
        <v>0</v>
      </c>
      <c r="HI6" s="675">
        <v>0</v>
      </c>
      <c r="HJ6" s="675">
        <v>0</v>
      </c>
      <c r="HK6" s="675">
        <v>0</v>
      </c>
      <c r="HL6" s="675">
        <v>0</v>
      </c>
      <c r="HM6" s="675">
        <v>0</v>
      </c>
      <c r="HN6" s="675">
        <v>0</v>
      </c>
      <c r="HO6" s="675">
        <v>0</v>
      </c>
      <c r="HP6" s="675">
        <v>0</v>
      </c>
      <c r="HQ6" s="675">
        <v>0</v>
      </c>
      <c r="HR6" s="675">
        <v>0</v>
      </c>
      <c r="HS6" s="675">
        <v>0</v>
      </c>
      <c r="HT6" s="675">
        <v>0</v>
      </c>
      <c r="HU6" s="675">
        <v>0</v>
      </c>
      <c r="HV6" s="675">
        <v>0</v>
      </c>
      <c r="HW6" s="675">
        <v>0</v>
      </c>
      <c r="HX6" s="675">
        <v>0</v>
      </c>
      <c r="HY6" s="675">
        <v>0</v>
      </c>
      <c r="HZ6" s="675">
        <v>0</v>
      </c>
      <c r="IA6" s="675">
        <v>0</v>
      </c>
      <c r="IB6" s="675">
        <v>0</v>
      </c>
      <c r="IC6" s="675">
        <v>0</v>
      </c>
      <c r="ID6" s="675">
        <v>0</v>
      </c>
      <c r="IE6" s="675">
        <v>0</v>
      </c>
      <c r="IF6" s="675">
        <v>0</v>
      </c>
      <c r="IG6" s="675">
        <v>0</v>
      </c>
      <c r="IH6" s="675">
        <v>0</v>
      </c>
      <c r="II6" s="675">
        <v>0</v>
      </c>
      <c r="IJ6" s="675">
        <v>0</v>
      </c>
      <c r="IK6" s="675">
        <v>0</v>
      </c>
      <c r="IL6" s="675">
        <v>0</v>
      </c>
      <c r="IM6" s="675">
        <v>0</v>
      </c>
      <c r="IN6" s="675">
        <v>0</v>
      </c>
      <c r="IO6" s="675">
        <v>0</v>
      </c>
      <c r="IP6" s="675">
        <v>0</v>
      </c>
      <c r="IQ6" s="675">
        <v>0</v>
      </c>
      <c r="IR6" s="675">
        <v>0</v>
      </c>
      <c r="IS6" s="675">
        <v>0</v>
      </c>
      <c r="IT6" s="675">
        <v>0</v>
      </c>
      <c r="IU6" s="675">
        <v>0</v>
      </c>
      <c r="IV6" s="675">
        <v>0</v>
      </c>
      <c r="IW6" s="675">
        <v>0</v>
      </c>
      <c r="IX6" s="675">
        <v>0</v>
      </c>
      <c r="IY6" s="675">
        <v>0</v>
      </c>
      <c r="IZ6" s="675">
        <v>0</v>
      </c>
      <c r="JA6" s="675">
        <v>0</v>
      </c>
      <c r="JB6" s="675">
        <v>0</v>
      </c>
      <c r="JC6" s="675">
        <v>0</v>
      </c>
      <c r="JD6" s="675">
        <v>0</v>
      </c>
      <c r="JE6" s="675">
        <v>0</v>
      </c>
      <c r="JF6" s="675">
        <v>0</v>
      </c>
      <c r="JG6" s="675">
        <v>0</v>
      </c>
      <c r="JH6" s="675">
        <v>0</v>
      </c>
      <c r="JI6" s="675">
        <v>0</v>
      </c>
      <c r="JJ6" s="675">
        <v>0</v>
      </c>
      <c r="JK6" s="675">
        <v>0</v>
      </c>
      <c r="JL6" s="675">
        <v>0</v>
      </c>
      <c r="JM6" s="675">
        <v>0</v>
      </c>
      <c r="JN6" s="675">
        <v>32469</v>
      </c>
      <c r="JO6" s="675">
        <v>0</v>
      </c>
      <c r="JP6" s="675">
        <v>0</v>
      </c>
      <c r="JQ6" s="675">
        <v>0</v>
      </c>
      <c r="JR6" s="675">
        <v>0</v>
      </c>
      <c r="JS6" s="675">
        <v>0</v>
      </c>
      <c r="JT6" s="675">
        <v>0</v>
      </c>
      <c r="JU6" s="675">
        <v>0</v>
      </c>
      <c r="JV6" s="675">
        <v>0</v>
      </c>
      <c r="JW6" s="675">
        <v>0</v>
      </c>
      <c r="JX6" s="675">
        <v>0</v>
      </c>
      <c r="JY6" s="675">
        <v>0</v>
      </c>
      <c r="JZ6" s="675">
        <v>0</v>
      </c>
      <c r="KA6" s="675">
        <v>0</v>
      </c>
      <c r="KB6" s="675">
        <v>0</v>
      </c>
      <c r="KC6" s="675">
        <v>0</v>
      </c>
      <c r="KD6" s="675">
        <v>0</v>
      </c>
      <c r="KE6" s="675">
        <v>0</v>
      </c>
      <c r="KF6" s="675">
        <v>0</v>
      </c>
    </row>
    <row r="7" spans="1:292" x14ac:dyDescent="0.25">
      <c r="A7" s="675">
        <v>14803</v>
      </c>
      <c r="B7" s="675">
        <v>32570</v>
      </c>
      <c r="C7" s="675">
        <v>35</v>
      </c>
      <c r="D7" s="675">
        <v>2022</v>
      </c>
      <c r="E7" s="675">
        <v>5392</v>
      </c>
      <c r="F7" s="675">
        <v>0</v>
      </c>
      <c r="G7" s="675">
        <v>706.88600000000008</v>
      </c>
      <c r="H7" s="675">
        <v>648.16700000000003</v>
      </c>
      <c r="I7" s="675">
        <v>648.16700000000003</v>
      </c>
      <c r="J7" s="675">
        <v>706.88600000000008</v>
      </c>
      <c r="K7" s="675">
        <v>0</v>
      </c>
      <c r="L7" s="675">
        <v>6554</v>
      </c>
      <c r="M7" s="675">
        <v>0</v>
      </c>
      <c r="N7" s="675">
        <v>0</v>
      </c>
      <c r="O7" s="675">
        <v>0</v>
      </c>
      <c r="P7" s="675">
        <v>693.79899999999998</v>
      </c>
      <c r="Q7" s="675">
        <v>0</v>
      </c>
      <c r="R7" s="675">
        <v>221817</v>
      </c>
      <c r="S7" s="675">
        <v>319.71300000000002</v>
      </c>
      <c r="T7" s="675">
        <v>0</v>
      </c>
      <c r="U7" s="675">
        <v>221817</v>
      </c>
      <c r="V7" s="675">
        <v>30.66</v>
      </c>
      <c r="W7" s="675">
        <v>20095</v>
      </c>
      <c r="X7" s="675">
        <v>20095</v>
      </c>
      <c r="Y7" s="675">
        <v>0</v>
      </c>
      <c r="Z7" s="675">
        <v>0</v>
      </c>
      <c r="AA7" s="675">
        <v>1</v>
      </c>
      <c r="AB7" s="675">
        <v>1</v>
      </c>
      <c r="AC7" s="675">
        <v>0</v>
      </c>
      <c r="AD7" s="675" t="s">
        <v>316</v>
      </c>
      <c r="AE7" s="675">
        <v>0</v>
      </c>
      <c r="AF7" s="675">
        <v>0</v>
      </c>
      <c r="AG7" s="675">
        <v>0</v>
      </c>
      <c r="AH7" s="675">
        <v>0</v>
      </c>
      <c r="AI7" s="675">
        <v>0</v>
      </c>
      <c r="AJ7" s="675">
        <v>5104</v>
      </c>
      <c r="AK7" s="675" t="s">
        <v>671</v>
      </c>
      <c r="AL7" s="815" t="s">
        <v>317</v>
      </c>
      <c r="AM7" s="675">
        <v>0</v>
      </c>
      <c r="AN7" s="675">
        <v>0</v>
      </c>
      <c r="AO7" s="675">
        <v>0</v>
      </c>
      <c r="AP7" s="675">
        <v>0</v>
      </c>
      <c r="AQ7" s="675">
        <v>0</v>
      </c>
      <c r="AR7" s="675">
        <v>0</v>
      </c>
      <c r="AS7" s="675">
        <v>0</v>
      </c>
      <c r="AT7" s="675">
        <v>0</v>
      </c>
      <c r="AU7" s="675">
        <v>0</v>
      </c>
      <c r="AV7" s="675">
        <v>220203</v>
      </c>
      <c r="AW7" s="675">
        <v>6887346</v>
      </c>
      <c r="AX7" s="675">
        <v>6701146</v>
      </c>
      <c r="AY7" s="675">
        <v>7213900</v>
      </c>
      <c r="AZ7" s="675">
        <v>251206</v>
      </c>
      <c r="BA7" s="675">
        <v>34.5</v>
      </c>
      <c r="BB7" s="675">
        <v>27798</v>
      </c>
      <c r="BC7" s="675">
        <v>27798</v>
      </c>
      <c r="BD7" s="675">
        <v>35.344000000000001</v>
      </c>
      <c r="BE7" s="675">
        <v>0</v>
      </c>
      <c r="BF7" s="675">
        <v>5655032</v>
      </c>
      <c r="BG7" s="675">
        <v>0</v>
      </c>
      <c r="BH7" s="675">
        <v>106.86800000000001</v>
      </c>
      <c r="BI7" s="675">
        <v>29389</v>
      </c>
      <c r="BJ7" s="675">
        <v>12</v>
      </c>
      <c r="BK7" s="675">
        <v>0</v>
      </c>
      <c r="BL7" s="675">
        <v>0</v>
      </c>
      <c r="BM7" s="675">
        <v>0</v>
      </c>
      <c r="BN7" s="675">
        <v>0</v>
      </c>
      <c r="BO7" s="675">
        <v>0</v>
      </c>
      <c r="BP7" s="675">
        <v>0</v>
      </c>
      <c r="BQ7" s="675">
        <v>5392</v>
      </c>
      <c r="BR7" s="675">
        <v>1</v>
      </c>
      <c r="BS7" s="675">
        <v>0</v>
      </c>
      <c r="BT7" s="675">
        <v>0</v>
      </c>
      <c r="BU7" s="675">
        <v>0</v>
      </c>
      <c r="BV7" s="675">
        <v>0</v>
      </c>
      <c r="BW7" s="675">
        <v>0</v>
      </c>
      <c r="BX7" s="675">
        <v>0</v>
      </c>
      <c r="BY7" s="675">
        <v>0</v>
      </c>
      <c r="BZ7" s="675">
        <v>0</v>
      </c>
      <c r="CA7" s="675">
        <v>0</v>
      </c>
      <c r="CB7" s="675">
        <v>0</v>
      </c>
      <c r="CC7" s="675">
        <v>0</v>
      </c>
      <c r="CD7" s="675">
        <v>0</v>
      </c>
      <c r="CE7" s="675">
        <v>0</v>
      </c>
      <c r="CF7" s="675">
        <v>0</v>
      </c>
      <c r="CG7" s="675">
        <v>0</v>
      </c>
      <c r="CH7" s="675">
        <v>156811</v>
      </c>
      <c r="CI7" s="675">
        <v>0</v>
      </c>
      <c r="CJ7" s="675">
        <v>5</v>
      </c>
      <c r="CK7" s="675">
        <v>0</v>
      </c>
      <c r="CL7" s="675">
        <v>0</v>
      </c>
      <c r="CM7" s="675">
        <v>0</v>
      </c>
      <c r="CN7" s="675">
        <v>0</v>
      </c>
      <c r="CO7" s="675">
        <v>0</v>
      </c>
      <c r="CP7" s="675">
        <v>0</v>
      </c>
      <c r="CQ7" s="675">
        <v>1</v>
      </c>
      <c r="CR7" s="675">
        <v>693.79899999999998</v>
      </c>
      <c r="CS7" s="675">
        <v>0</v>
      </c>
      <c r="CT7" s="675">
        <v>0</v>
      </c>
      <c r="CU7" s="675">
        <v>0</v>
      </c>
      <c r="CV7" s="675">
        <v>0</v>
      </c>
      <c r="CW7" s="675">
        <v>0</v>
      </c>
      <c r="CX7" s="675">
        <v>0</v>
      </c>
      <c r="CY7" s="675">
        <v>0</v>
      </c>
      <c r="CZ7" s="675">
        <v>0</v>
      </c>
      <c r="DA7" s="675">
        <v>1</v>
      </c>
      <c r="DB7" s="675">
        <v>4248087</v>
      </c>
      <c r="DC7" s="675">
        <v>0</v>
      </c>
      <c r="DD7" s="675">
        <v>0</v>
      </c>
      <c r="DE7" s="675">
        <v>550759</v>
      </c>
      <c r="DF7" s="675">
        <v>550759</v>
      </c>
      <c r="DG7" s="675">
        <v>420.17</v>
      </c>
      <c r="DH7" s="675">
        <v>0</v>
      </c>
      <c r="DI7" s="675">
        <v>0</v>
      </c>
      <c r="DJ7" s="675">
        <v>0</v>
      </c>
      <c r="DK7" s="675">
        <v>5392</v>
      </c>
      <c r="DL7" s="675">
        <v>0</v>
      </c>
      <c r="DM7" s="675">
        <v>715657</v>
      </c>
      <c r="DN7" s="675">
        <v>0</v>
      </c>
      <c r="DO7" s="675">
        <v>1666</v>
      </c>
      <c r="DP7" s="675">
        <v>0</v>
      </c>
      <c r="DQ7" s="675">
        <v>0</v>
      </c>
      <c r="DR7" s="675">
        <v>0</v>
      </c>
      <c r="DS7" s="675">
        <v>0</v>
      </c>
      <c r="DT7" s="675">
        <v>0.113</v>
      </c>
      <c r="DU7" s="675">
        <v>0</v>
      </c>
      <c r="DV7" s="675">
        <v>0</v>
      </c>
      <c r="DW7" s="675">
        <v>0</v>
      </c>
      <c r="DX7" s="675">
        <v>0</v>
      </c>
      <c r="DY7" s="675">
        <v>0</v>
      </c>
      <c r="DZ7" s="675">
        <v>0.33900000000000002</v>
      </c>
      <c r="EA7" s="675">
        <v>0</v>
      </c>
      <c r="EB7" s="675">
        <v>0</v>
      </c>
      <c r="EC7" s="675">
        <v>12.637</v>
      </c>
      <c r="ED7" s="675">
        <v>91105</v>
      </c>
      <c r="EE7" s="675">
        <v>0</v>
      </c>
      <c r="EF7" s="675">
        <v>0</v>
      </c>
      <c r="EG7" s="675">
        <v>0</v>
      </c>
      <c r="EH7" s="675">
        <v>622886</v>
      </c>
      <c r="EI7" s="675">
        <v>0</v>
      </c>
      <c r="EJ7" s="675">
        <v>0</v>
      </c>
      <c r="EK7" s="675">
        <v>29.268000000000001</v>
      </c>
      <c r="EL7" s="675">
        <v>0</v>
      </c>
      <c r="EM7" s="675">
        <v>0</v>
      </c>
      <c r="EN7" s="675">
        <v>1.4470000000000001</v>
      </c>
      <c r="EO7" s="675">
        <v>0</v>
      </c>
      <c r="EP7" s="675">
        <v>0</v>
      </c>
      <c r="EQ7" s="675">
        <v>30.715</v>
      </c>
      <c r="ER7" s="675">
        <v>0</v>
      </c>
      <c r="ES7" s="675">
        <v>95.039000000000001</v>
      </c>
      <c r="ET7" s="675">
        <v>17500</v>
      </c>
      <c r="EU7" s="675">
        <v>251206</v>
      </c>
      <c r="EV7" s="675">
        <v>0</v>
      </c>
      <c r="EW7" s="675">
        <v>0</v>
      </c>
      <c r="EX7" s="675">
        <v>0</v>
      </c>
      <c r="EY7" s="675">
        <v>0</v>
      </c>
      <c r="EZ7" s="675">
        <v>5646203</v>
      </c>
      <c r="FA7" s="675">
        <v>0</v>
      </c>
      <c r="FB7" s="675">
        <v>5897409</v>
      </c>
      <c r="FC7" s="675">
        <v>0.97327799999999998</v>
      </c>
      <c r="FD7" s="675">
        <v>0</v>
      </c>
      <c r="FE7" s="675">
        <v>860933</v>
      </c>
      <c r="FF7" s="675">
        <v>194010</v>
      </c>
      <c r="FG7" s="675">
        <v>6.1239999999999996E-2</v>
      </c>
      <c r="FH7" s="675">
        <v>5.4803999999999999E-2</v>
      </c>
      <c r="FI7" s="675">
        <v>0</v>
      </c>
      <c r="FJ7" s="675">
        <v>0</v>
      </c>
      <c r="FK7" s="675">
        <v>1107.999</v>
      </c>
      <c r="FL7" s="675">
        <v>7109163</v>
      </c>
      <c r="FM7" s="675">
        <v>0</v>
      </c>
      <c r="FN7" s="675">
        <v>0</v>
      </c>
      <c r="FO7" s="675">
        <v>47558</v>
      </c>
      <c r="FP7" s="675">
        <v>0</v>
      </c>
      <c r="FQ7" s="675">
        <v>57722</v>
      </c>
      <c r="FR7" s="675">
        <v>47558</v>
      </c>
      <c r="FS7" s="675">
        <v>10164</v>
      </c>
      <c r="FT7" s="675">
        <v>0</v>
      </c>
      <c r="FU7" s="675">
        <v>0</v>
      </c>
      <c r="FV7" s="675">
        <v>0</v>
      </c>
      <c r="FW7" s="675">
        <v>0</v>
      </c>
      <c r="FX7" s="675">
        <v>0</v>
      </c>
      <c r="FY7" s="675">
        <v>0</v>
      </c>
      <c r="FZ7" s="675">
        <v>125</v>
      </c>
      <c r="GA7" s="675">
        <v>2.4990000000000001</v>
      </c>
      <c r="GB7" s="675">
        <v>247902</v>
      </c>
      <c r="GC7" s="675">
        <v>247902</v>
      </c>
      <c r="GD7" s="675">
        <v>28.004000000000001</v>
      </c>
      <c r="GE7" s="675">
        <v>0</v>
      </c>
      <c r="GF7" s="675">
        <v>0</v>
      </c>
      <c r="GG7" s="675">
        <v>0</v>
      </c>
      <c r="GH7" s="675">
        <v>0</v>
      </c>
      <c r="GI7" s="675">
        <v>0</v>
      </c>
      <c r="GJ7" s="675">
        <v>0</v>
      </c>
      <c r="GK7" s="675">
        <v>5042</v>
      </c>
      <c r="GL7" s="675">
        <v>5162</v>
      </c>
      <c r="GM7" s="675">
        <v>0</v>
      </c>
      <c r="GN7" s="675">
        <v>0</v>
      </c>
      <c r="GO7" s="675">
        <v>0</v>
      </c>
      <c r="GP7" s="675">
        <v>6952352</v>
      </c>
      <c r="GQ7" s="675">
        <v>6952352</v>
      </c>
      <c r="GR7" s="675">
        <v>0</v>
      </c>
      <c r="GS7" s="675">
        <v>0</v>
      </c>
      <c r="GT7" s="675">
        <v>0</v>
      </c>
      <c r="GU7" s="675">
        <v>0</v>
      </c>
      <c r="GV7" s="675">
        <v>0</v>
      </c>
      <c r="GW7" s="675">
        <v>0</v>
      </c>
      <c r="GX7" s="675">
        <v>0</v>
      </c>
      <c r="GY7" s="675">
        <v>0</v>
      </c>
      <c r="GZ7" s="675">
        <v>0</v>
      </c>
      <c r="HA7" s="675">
        <v>0</v>
      </c>
      <c r="HB7" s="675">
        <v>260786259</v>
      </c>
      <c r="HC7" s="675">
        <v>5.0923999999999997E-2</v>
      </c>
      <c r="HD7" s="675">
        <v>139311</v>
      </c>
      <c r="HE7" s="675">
        <v>0</v>
      </c>
      <c r="HF7" s="675">
        <v>0</v>
      </c>
      <c r="HG7" s="675">
        <v>0</v>
      </c>
      <c r="HH7" s="675">
        <v>0</v>
      </c>
      <c r="HI7" s="675">
        <v>0</v>
      </c>
      <c r="HJ7" s="675">
        <v>0</v>
      </c>
      <c r="HK7" s="675">
        <v>0</v>
      </c>
      <c r="HL7" s="675">
        <v>0</v>
      </c>
      <c r="HM7" s="675">
        <v>0</v>
      </c>
      <c r="HN7" s="675">
        <v>0</v>
      </c>
      <c r="HO7" s="675">
        <v>0</v>
      </c>
      <c r="HP7" s="675">
        <v>0</v>
      </c>
      <c r="HQ7" s="675">
        <v>0</v>
      </c>
      <c r="HR7" s="675">
        <v>0</v>
      </c>
      <c r="HS7" s="675">
        <v>0</v>
      </c>
      <c r="HT7" s="675">
        <v>0</v>
      </c>
      <c r="HU7" s="675">
        <v>0</v>
      </c>
      <c r="HV7" s="675">
        <v>0</v>
      </c>
      <c r="HW7" s="675">
        <v>0</v>
      </c>
      <c r="HX7" s="675">
        <v>0</v>
      </c>
      <c r="HY7" s="675">
        <v>0</v>
      </c>
      <c r="HZ7" s="675">
        <v>0</v>
      </c>
      <c r="IA7" s="675">
        <v>0</v>
      </c>
      <c r="IB7" s="675">
        <v>0</v>
      </c>
      <c r="IC7" s="675">
        <v>0</v>
      </c>
      <c r="ID7" s="675">
        <v>0</v>
      </c>
      <c r="IE7" s="675">
        <v>0</v>
      </c>
      <c r="IF7" s="675">
        <v>0</v>
      </c>
      <c r="IG7" s="675">
        <v>0</v>
      </c>
      <c r="IH7" s="675">
        <v>0</v>
      </c>
      <c r="II7" s="675">
        <v>0</v>
      </c>
      <c r="IJ7" s="675">
        <v>0</v>
      </c>
      <c r="IK7" s="675">
        <v>0</v>
      </c>
      <c r="IL7" s="675">
        <v>0</v>
      </c>
      <c r="IM7" s="675">
        <v>0</v>
      </c>
      <c r="IN7" s="675">
        <v>0</v>
      </c>
      <c r="IO7" s="675">
        <v>0</v>
      </c>
      <c r="IP7" s="675">
        <v>0</v>
      </c>
      <c r="IQ7" s="675">
        <v>0</v>
      </c>
      <c r="IR7" s="675">
        <v>0</v>
      </c>
      <c r="IS7" s="675">
        <v>0</v>
      </c>
      <c r="IT7" s="675">
        <v>0</v>
      </c>
      <c r="IU7" s="675">
        <v>0</v>
      </c>
      <c r="IV7" s="675">
        <v>0</v>
      </c>
      <c r="IW7" s="675">
        <v>0</v>
      </c>
      <c r="IX7" s="675">
        <v>0</v>
      </c>
      <c r="IY7" s="675">
        <v>0</v>
      </c>
      <c r="IZ7" s="675">
        <v>0</v>
      </c>
      <c r="JA7" s="675">
        <v>0</v>
      </c>
      <c r="JB7" s="675">
        <v>0</v>
      </c>
      <c r="JC7" s="675">
        <v>0</v>
      </c>
      <c r="JD7" s="675">
        <v>0</v>
      </c>
      <c r="JE7" s="675">
        <v>0</v>
      </c>
      <c r="JF7" s="675">
        <v>0</v>
      </c>
      <c r="JG7" s="675">
        <v>0</v>
      </c>
      <c r="JH7" s="675">
        <v>0</v>
      </c>
      <c r="JI7" s="675">
        <v>0</v>
      </c>
      <c r="JJ7" s="675">
        <v>0</v>
      </c>
      <c r="JK7" s="675">
        <v>0</v>
      </c>
      <c r="JL7" s="675">
        <v>0</v>
      </c>
      <c r="JM7" s="675">
        <v>0</v>
      </c>
      <c r="JN7" s="675">
        <v>32469</v>
      </c>
      <c r="JO7" s="675">
        <v>0</v>
      </c>
      <c r="JP7" s="675">
        <v>0</v>
      </c>
      <c r="JQ7" s="675">
        <v>0</v>
      </c>
      <c r="JR7" s="675">
        <v>0</v>
      </c>
      <c r="JS7" s="675">
        <v>0</v>
      </c>
      <c r="JT7" s="675">
        <v>0</v>
      </c>
      <c r="JU7" s="675">
        <v>0</v>
      </c>
      <c r="JV7" s="675">
        <v>0</v>
      </c>
      <c r="JW7" s="675">
        <v>0</v>
      </c>
      <c r="JX7" s="675">
        <v>0</v>
      </c>
      <c r="JY7" s="675">
        <v>0</v>
      </c>
      <c r="JZ7" s="675">
        <v>0</v>
      </c>
      <c r="KA7" s="675">
        <v>0</v>
      </c>
      <c r="KB7" s="675">
        <v>0</v>
      </c>
      <c r="KC7" s="675">
        <v>0</v>
      </c>
      <c r="KD7" s="675">
        <v>0</v>
      </c>
      <c r="KE7" s="675">
        <v>0</v>
      </c>
      <c r="KF7" s="675">
        <v>0</v>
      </c>
    </row>
    <row r="8" spans="1:292" x14ac:dyDescent="0.25">
      <c r="A8" s="675">
        <v>14804</v>
      </c>
      <c r="B8" s="675">
        <v>32570</v>
      </c>
      <c r="C8" s="675">
        <v>35</v>
      </c>
      <c r="D8" s="675">
        <v>2022</v>
      </c>
      <c r="E8" s="675">
        <v>5392</v>
      </c>
      <c r="F8" s="675">
        <v>0</v>
      </c>
      <c r="G8" s="675">
        <v>1737.817</v>
      </c>
      <c r="H8" s="675">
        <v>1615.2640000000001</v>
      </c>
      <c r="I8" s="675">
        <v>1615.2640000000001</v>
      </c>
      <c r="J8" s="675">
        <v>1737.817</v>
      </c>
      <c r="K8" s="675">
        <v>0</v>
      </c>
      <c r="L8" s="675">
        <v>6554</v>
      </c>
      <c r="M8" s="675">
        <v>0</v>
      </c>
      <c r="N8" s="675">
        <v>0</v>
      </c>
      <c r="O8" s="675">
        <v>0</v>
      </c>
      <c r="P8" s="675">
        <v>1657.922</v>
      </c>
      <c r="Q8" s="675">
        <v>0</v>
      </c>
      <c r="R8" s="675">
        <v>530059</v>
      </c>
      <c r="S8" s="675">
        <v>319.71300000000002</v>
      </c>
      <c r="T8" s="675">
        <v>0</v>
      </c>
      <c r="U8" s="675">
        <v>530059</v>
      </c>
      <c r="V8" s="675">
        <v>17.423999999999999</v>
      </c>
      <c r="W8" s="675">
        <v>11420</v>
      </c>
      <c r="X8" s="675">
        <v>11420</v>
      </c>
      <c r="Y8" s="675">
        <v>0</v>
      </c>
      <c r="Z8" s="675">
        <v>0</v>
      </c>
      <c r="AA8" s="675">
        <v>1</v>
      </c>
      <c r="AB8" s="675">
        <v>1</v>
      </c>
      <c r="AC8" s="675">
        <v>0</v>
      </c>
      <c r="AD8" s="675" t="s">
        <v>316</v>
      </c>
      <c r="AE8" s="675">
        <v>0</v>
      </c>
      <c r="AF8" s="675">
        <v>0</v>
      </c>
      <c r="AG8" s="675">
        <v>0</v>
      </c>
      <c r="AH8" s="675">
        <v>0</v>
      </c>
      <c r="AI8" s="675">
        <v>0</v>
      </c>
      <c r="AJ8" s="675">
        <v>5104</v>
      </c>
      <c r="AK8" s="675" t="s">
        <v>671</v>
      </c>
      <c r="AL8" s="675" t="s">
        <v>1</v>
      </c>
      <c r="AM8" s="675">
        <v>0</v>
      </c>
      <c r="AN8" s="675">
        <v>0</v>
      </c>
      <c r="AO8" s="675">
        <v>0</v>
      </c>
      <c r="AP8" s="675">
        <v>0</v>
      </c>
      <c r="AQ8" s="675">
        <v>0</v>
      </c>
      <c r="AR8" s="675">
        <v>0</v>
      </c>
      <c r="AS8" s="675">
        <v>0</v>
      </c>
      <c r="AT8" s="675">
        <v>0</v>
      </c>
      <c r="AU8" s="675">
        <v>0</v>
      </c>
      <c r="AV8" s="675">
        <v>208498</v>
      </c>
      <c r="AW8" s="675">
        <v>15745168</v>
      </c>
      <c r="AX8" s="675">
        <v>15263149</v>
      </c>
      <c r="AY8" s="675">
        <v>16242743</v>
      </c>
      <c r="AZ8" s="675">
        <v>648906</v>
      </c>
      <c r="BA8" s="675">
        <v>36.332999999999998</v>
      </c>
      <c r="BB8" s="675">
        <v>0</v>
      </c>
      <c r="BC8" s="675">
        <v>0</v>
      </c>
      <c r="BD8" s="675">
        <v>0</v>
      </c>
      <c r="BE8" s="675">
        <v>0</v>
      </c>
      <c r="BF8" s="675">
        <v>13009172</v>
      </c>
      <c r="BG8" s="675">
        <v>0</v>
      </c>
      <c r="BH8" s="675">
        <v>432.17200000000003</v>
      </c>
      <c r="BI8" s="675">
        <v>118847</v>
      </c>
      <c r="BJ8" s="675">
        <v>12</v>
      </c>
      <c r="BK8" s="675">
        <v>0</v>
      </c>
      <c r="BL8" s="675">
        <v>0</v>
      </c>
      <c r="BM8" s="675">
        <v>0</v>
      </c>
      <c r="BN8" s="675">
        <v>0</v>
      </c>
      <c r="BO8" s="675">
        <v>0</v>
      </c>
      <c r="BP8" s="675">
        <v>0</v>
      </c>
      <c r="BQ8" s="675">
        <v>5392</v>
      </c>
      <c r="BR8" s="675">
        <v>1</v>
      </c>
      <c r="BS8" s="675">
        <v>0</v>
      </c>
      <c r="BT8" s="675">
        <v>0</v>
      </c>
      <c r="BU8" s="675">
        <v>0</v>
      </c>
      <c r="BV8" s="675">
        <v>0</v>
      </c>
      <c r="BW8" s="675">
        <v>0</v>
      </c>
      <c r="BX8" s="675">
        <v>0</v>
      </c>
      <c r="BY8" s="675">
        <v>0</v>
      </c>
      <c r="BZ8" s="675">
        <v>0</v>
      </c>
      <c r="CA8" s="675">
        <v>0</v>
      </c>
      <c r="CB8" s="675">
        <v>0</v>
      </c>
      <c r="CC8" s="675">
        <v>0</v>
      </c>
      <c r="CD8" s="675">
        <v>0</v>
      </c>
      <c r="CE8" s="675">
        <v>0</v>
      </c>
      <c r="CF8" s="675">
        <v>0</v>
      </c>
      <c r="CG8" s="675">
        <v>0</v>
      </c>
      <c r="CH8" s="675">
        <v>363172</v>
      </c>
      <c r="CI8" s="675">
        <v>0</v>
      </c>
      <c r="CJ8" s="675">
        <v>4</v>
      </c>
      <c r="CK8" s="675">
        <v>0</v>
      </c>
      <c r="CL8" s="675">
        <v>0</v>
      </c>
      <c r="CM8" s="675">
        <v>0</v>
      </c>
      <c r="CN8" s="675">
        <v>0</v>
      </c>
      <c r="CO8" s="675">
        <v>0</v>
      </c>
      <c r="CP8" s="675">
        <v>0</v>
      </c>
      <c r="CQ8" s="675">
        <v>10.083</v>
      </c>
      <c r="CR8" s="675">
        <v>1657.922</v>
      </c>
      <c r="CS8" s="675">
        <v>0</v>
      </c>
      <c r="CT8" s="675">
        <v>0</v>
      </c>
      <c r="CU8" s="675">
        <v>0</v>
      </c>
      <c r="CV8" s="675">
        <v>0</v>
      </c>
      <c r="CW8" s="675">
        <v>0</v>
      </c>
      <c r="CX8" s="675">
        <v>0</v>
      </c>
      <c r="CY8" s="675">
        <v>0</v>
      </c>
      <c r="CZ8" s="675">
        <v>0</v>
      </c>
      <c r="DA8" s="675">
        <v>1</v>
      </c>
      <c r="DB8" s="675">
        <v>10586440</v>
      </c>
      <c r="DC8" s="675">
        <v>0</v>
      </c>
      <c r="DD8" s="675">
        <v>0</v>
      </c>
      <c r="DE8" s="675">
        <v>359159</v>
      </c>
      <c r="DF8" s="675">
        <v>359159</v>
      </c>
      <c r="DG8" s="675">
        <v>274</v>
      </c>
      <c r="DH8" s="675">
        <v>0</v>
      </c>
      <c r="DI8" s="675">
        <v>0</v>
      </c>
      <c r="DJ8" s="675">
        <v>0</v>
      </c>
      <c r="DK8" s="675">
        <v>5392</v>
      </c>
      <c r="DL8" s="675">
        <v>0</v>
      </c>
      <c r="DM8" s="675">
        <v>2058837</v>
      </c>
      <c r="DN8" s="675">
        <v>0</v>
      </c>
      <c r="DO8" s="675">
        <v>0</v>
      </c>
      <c r="DP8" s="675">
        <v>0</v>
      </c>
      <c r="DQ8" s="675">
        <v>0</v>
      </c>
      <c r="DR8" s="675">
        <v>0</v>
      </c>
      <c r="DS8" s="675">
        <v>0</v>
      </c>
      <c r="DT8" s="675">
        <v>0</v>
      </c>
      <c r="DU8" s="675">
        <v>0</v>
      </c>
      <c r="DV8" s="675">
        <v>0</v>
      </c>
      <c r="DW8" s="675">
        <v>0</v>
      </c>
      <c r="DX8" s="675">
        <v>0</v>
      </c>
      <c r="DY8" s="675">
        <v>0</v>
      </c>
      <c r="DZ8" s="675">
        <v>0</v>
      </c>
      <c r="EA8" s="675">
        <v>0</v>
      </c>
      <c r="EB8" s="675">
        <v>0</v>
      </c>
      <c r="EC8" s="675">
        <v>18.664000000000001</v>
      </c>
      <c r="ED8" s="675">
        <v>134556</v>
      </c>
      <c r="EE8" s="675">
        <v>0</v>
      </c>
      <c r="EF8" s="675">
        <v>0</v>
      </c>
      <c r="EG8" s="675">
        <v>0</v>
      </c>
      <c r="EH8" s="675">
        <v>924193</v>
      </c>
      <c r="EI8" s="675">
        <v>1000088</v>
      </c>
      <c r="EJ8" s="675">
        <v>38.148000000000003</v>
      </c>
      <c r="EK8" s="675">
        <v>40.850999999999999</v>
      </c>
      <c r="EL8" s="675">
        <v>0</v>
      </c>
      <c r="EM8" s="675">
        <v>0.64300000000000002</v>
      </c>
      <c r="EN8" s="675">
        <v>3.306</v>
      </c>
      <c r="EO8" s="675">
        <v>0</v>
      </c>
      <c r="EP8" s="675">
        <v>0</v>
      </c>
      <c r="EQ8" s="675">
        <v>82.948000000000008</v>
      </c>
      <c r="ER8" s="675">
        <v>0</v>
      </c>
      <c r="ES8" s="675">
        <v>141.012</v>
      </c>
      <c r="ET8" s="675">
        <v>20687</v>
      </c>
      <c r="EU8" s="675">
        <v>648906</v>
      </c>
      <c r="EV8" s="675">
        <v>0</v>
      </c>
      <c r="EW8" s="675">
        <v>0</v>
      </c>
      <c r="EX8" s="675">
        <v>0</v>
      </c>
      <c r="EY8" s="675">
        <v>0</v>
      </c>
      <c r="EZ8" s="675">
        <v>12836295</v>
      </c>
      <c r="FA8" s="675">
        <v>0</v>
      </c>
      <c r="FB8" s="675">
        <v>13485201</v>
      </c>
      <c r="FC8" s="675">
        <v>0.97327799999999998</v>
      </c>
      <c r="FD8" s="675">
        <v>0</v>
      </c>
      <c r="FE8" s="675">
        <v>1980542</v>
      </c>
      <c r="FF8" s="675">
        <v>446312</v>
      </c>
      <c r="FG8" s="675">
        <v>6.1239999999999996E-2</v>
      </c>
      <c r="FH8" s="675">
        <v>5.4803999999999999E-2</v>
      </c>
      <c r="FI8" s="675">
        <v>0</v>
      </c>
      <c r="FJ8" s="675">
        <v>0</v>
      </c>
      <c r="FK8" s="675">
        <v>2548.9059999999999</v>
      </c>
      <c r="FL8" s="675">
        <v>16275227</v>
      </c>
      <c r="FM8" s="675">
        <v>0</v>
      </c>
      <c r="FN8" s="675">
        <v>0</v>
      </c>
      <c r="FO8" s="675">
        <v>0</v>
      </c>
      <c r="FP8" s="675">
        <v>0</v>
      </c>
      <c r="FQ8" s="675">
        <v>0</v>
      </c>
      <c r="FR8" s="675">
        <v>0</v>
      </c>
      <c r="FS8" s="675">
        <v>0</v>
      </c>
      <c r="FT8" s="675">
        <v>0</v>
      </c>
      <c r="FU8" s="675">
        <v>0</v>
      </c>
      <c r="FV8" s="675">
        <v>0</v>
      </c>
      <c r="FW8" s="675">
        <v>0</v>
      </c>
      <c r="FX8" s="675">
        <v>0</v>
      </c>
      <c r="FY8" s="675">
        <v>0</v>
      </c>
      <c r="FZ8" s="675">
        <v>77</v>
      </c>
      <c r="GA8" s="675">
        <v>1.5410000000000001</v>
      </c>
      <c r="GB8" s="675">
        <v>350498</v>
      </c>
      <c r="GC8" s="675">
        <v>350498</v>
      </c>
      <c r="GD8" s="675">
        <v>39.605000000000004</v>
      </c>
      <c r="GE8" s="675">
        <v>0</v>
      </c>
      <c r="GF8" s="675">
        <v>0</v>
      </c>
      <c r="GG8" s="675">
        <v>0</v>
      </c>
      <c r="GH8" s="675">
        <v>0</v>
      </c>
      <c r="GI8" s="675">
        <v>0</v>
      </c>
      <c r="GJ8" s="675">
        <v>0</v>
      </c>
      <c r="GK8" s="675">
        <v>5134</v>
      </c>
      <c r="GL8" s="675">
        <v>8046</v>
      </c>
      <c r="GM8" s="675">
        <v>0</v>
      </c>
      <c r="GN8" s="675">
        <v>0</v>
      </c>
      <c r="GO8" s="675">
        <v>0</v>
      </c>
      <c r="GP8" s="675">
        <v>15912055</v>
      </c>
      <c r="GQ8" s="675">
        <v>15912055</v>
      </c>
      <c r="GR8" s="675">
        <v>0</v>
      </c>
      <c r="GS8" s="675">
        <v>0</v>
      </c>
      <c r="GT8" s="675">
        <v>0</v>
      </c>
      <c r="GU8" s="675">
        <v>0</v>
      </c>
      <c r="GV8" s="675">
        <v>0</v>
      </c>
      <c r="GW8" s="675">
        <v>0</v>
      </c>
      <c r="GX8" s="675">
        <v>0</v>
      </c>
      <c r="GY8" s="675">
        <v>0</v>
      </c>
      <c r="GZ8" s="675">
        <v>0</v>
      </c>
      <c r="HA8" s="675">
        <v>0</v>
      </c>
      <c r="HB8" s="675">
        <v>260786259</v>
      </c>
      <c r="HC8" s="675">
        <v>5.0923999999999997E-2</v>
      </c>
      <c r="HD8" s="675">
        <v>342485</v>
      </c>
      <c r="HE8" s="675">
        <v>0</v>
      </c>
      <c r="HF8" s="675">
        <v>0</v>
      </c>
      <c r="HG8" s="675">
        <v>0</v>
      </c>
      <c r="HH8" s="675">
        <v>0</v>
      </c>
      <c r="HI8" s="675">
        <v>0</v>
      </c>
      <c r="HJ8" s="675">
        <v>0</v>
      </c>
      <c r="HK8" s="675">
        <v>0</v>
      </c>
      <c r="HL8" s="675">
        <v>0</v>
      </c>
      <c r="HM8" s="675">
        <v>0</v>
      </c>
      <c r="HN8" s="675">
        <v>0</v>
      </c>
      <c r="HO8" s="675">
        <v>0</v>
      </c>
      <c r="HP8" s="675">
        <v>0</v>
      </c>
      <c r="HQ8" s="675">
        <v>0</v>
      </c>
      <c r="HR8" s="675">
        <v>0</v>
      </c>
      <c r="HS8" s="675">
        <v>0</v>
      </c>
      <c r="HT8" s="675">
        <v>0</v>
      </c>
      <c r="HU8" s="675">
        <v>0</v>
      </c>
      <c r="HV8" s="675">
        <v>0</v>
      </c>
      <c r="HW8" s="675">
        <v>0</v>
      </c>
      <c r="HX8" s="675">
        <v>0</v>
      </c>
      <c r="HY8" s="675">
        <v>0</v>
      </c>
      <c r="HZ8" s="675">
        <v>0</v>
      </c>
      <c r="IA8" s="675">
        <v>0</v>
      </c>
      <c r="IB8" s="675">
        <v>0</v>
      </c>
      <c r="IC8" s="675">
        <v>0</v>
      </c>
      <c r="ID8" s="675">
        <v>0</v>
      </c>
      <c r="IE8" s="675">
        <v>0</v>
      </c>
      <c r="IF8" s="675">
        <v>0</v>
      </c>
      <c r="IG8" s="675">
        <v>0</v>
      </c>
      <c r="IH8" s="675">
        <v>0</v>
      </c>
      <c r="II8" s="675">
        <v>0</v>
      </c>
      <c r="IJ8" s="675">
        <v>0</v>
      </c>
      <c r="IK8" s="675">
        <v>0</v>
      </c>
      <c r="IL8" s="675">
        <v>0</v>
      </c>
      <c r="IM8" s="675">
        <v>0</v>
      </c>
      <c r="IN8" s="675">
        <v>0</v>
      </c>
      <c r="IO8" s="675">
        <v>0</v>
      </c>
      <c r="IP8" s="675">
        <v>0</v>
      </c>
      <c r="IQ8" s="675">
        <v>0</v>
      </c>
      <c r="IR8" s="675">
        <v>0</v>
      </c>
      <c r="IS8" s="675">
        <v>0</v>
      </c>
      <c r="IT8" s="675">
        <v>0</v>
      </c>
      <c r="IU8" s="675">
        <v>0</v>
      </c>
      <c r="IV8" s="675">
        <v>0</v>
      </c>
      <c r="IW8" s="675">
        <v>0</v>
      </c>
      <c r="IX8" s="675">
        <v>0</v>
      </c>
      <c r="IY8" s="675">
        <v>0</v>
      </c>
      <c r="IZ8" s="675">
        <v>0</v>
      </c>
      <c r="JA8" s="675">
        <v>0</v>
      </c>
      <c r="JB8" s="675">
        <v>0</v>
      </c>
      <c r="JC8" s="675">
        <v>0</v>
      </c>
      <c r="JD8" s="675">
        <v>0</v>
      </c>
      <c r="JE8" s="675">
        <v>0</v>
      </c>
      <c r="JF8" s="675">
        <v>0</v>
      </c>
      <c r="JG8" s="675">
        <v>0</v>
      </c>
      <c r="JH8" s="675">
        <v>0</v>
      </c>
      <c r="JI8" s="675">
        <v>0</v>
      </c>
      <c r="JJ8" s="675">
        <v>0</v>
      </c>
      <c r="JK8" s="675">
        <v>0</v>
      </c>
      <c r="JL8" s="675">
        <v>0</v>
      </c>
      <c r="JM8" s="675">
        <v>0</v>
      </c>
      <c r="JN8" s="675">
        <v>32469</v>
      </c>
      <c r="JO8" s="675">
        <v>0</v>
      </c>
      <c r="JP8" s="675">
        <v>0</v>
      </c>
      <c r="JQ8" s="675">
        <v>0</v>
      </c>
      <c r="JR8" s="675">
        <v>0</v>
      </c>
      <c r="JS8" s="675">
        <v>0</v>
      </c>
      <c r="JT8" s="675">
        <v>0</v>
      </c>
      <c r="JU8" s="675">
        <v>0</v>
      </c>
      <c r="JV8" s="675">
        <v>0</v>
      </c>
      <c r="JW8" s="675">
        <v>0</v>
      </c>
      <c r="JX8" s="675">
        <v>0</v>
      </c>
      <c r="JY8" s="675">
        <v>0</v>
      </c>
      <c r="JZ8" s="675">
        <v>0</v>
      </c>
      <c r="KA8" s="675">
        <v>0</v>
      </c>
      <c r="KB8" s="675">
        <v>0</v>
      </c>
      <c r="KC8" s="675">
        <v>0</v>
      </c>
      <c r="KD8" s="675">
        <v>0</v>
      </c>
      <c r="KE8" s="675">
        <v>0</v>
      </c>
      <c r="KF8" s="675">
        <v>0</v>
      </c>
    </row>
    <row r="9" spans="1:292" ht="13" x14ac:dyDescent="0.3">
      <c r="A9" s="675">
        <v>15801</v>
      </c>
      <c r="B9" s="675">
        <v>32570</v>
      </c>
      <c r="C9" s="675">
        <v>35</v>
      </c>
      <c r="D9" s="675">
        <v>2022</v>
      </c>
      <c r="E9" s="675">
        <v>5392</v>
      </c>
      <c r="F9" s="675">
        <v>0</v>
      </c>
      <c r="G9" s="675">
        <v>177.261</v>
      </c>
      <c r="H9" s="675">
        <v>86.528000000000006</v>
      </c>
      <c r="I9" s="675">
        <v>86.528000000000006</v>
      </c>
      <c r="J9" s="675">
        <v>177.261</v>
      </c>
      <c r="K9" s="675">
        <v>0</v>
      </c>
      <c r="L9" s="675">
        <v>6554</v>
      </c>
      <c r="M9" s="675">
        <v>0</v>
      </c>
      <c r="N9" s="675">
        <v>0</v>
      </c>
      <c r="O9" s="675">
        <v>0</v>
      </c>
      <c r="P9" s="675">
        <v>199.816</v>
      </c>
      <c r="Q9" s="675">
        <v>0</v>
      </c>
      <c r="R9" s="676">
        <v>63884</v>
      </c>
      <c r="S9" s="675">
        <v>319.71300000000002</v>
      </c>
      <c r="T9" s="675">
        <v>0</v>
      </c>
      <c r="U9" s="676">
        <v>63884</v>
      </c>
      <c r="V9" s="676">
        <v>2.9570000000000003</v>
      </c>
      <c r="W9" s="676">
        <v>1938</v>
      </c>
      <c r="X9" s="676">
        <v>1938</v>
      </c>
      <c r="Y9" s="675">
        <v>0</v>
      </c>
      <c r="Z9" s="675">
        <v>0</v>
      </c>
      <c r="AA9" s="675">
        <v>1</v>
      </c>
      <c r="AB9" s="675">
        <v>1</v>
      </c>
      <c r="AC9" s="675">
        <v>0</v>
      </c>
      <c r="AD9" s="675" t="s">
        <v>316</v>
      </c>
      <c r="AE9" s="675">
        <v>0</v>
      </c>
      <c r="AF9" s="675">
        <v>0</v>
      </c>
      <c r="AG9" s="675">
        <v>0</v>
      </c>
      <c r="AH9" s="675">
        <v>0</v>
      </c>
      <c r="AI9" s="675">
        <v>0</v>
      </c>
      <c r="AJ9" s="675">
        <v>5104</v>
      </c>
      <c r="AK9" s="675" t="s">
        <v>671</v>
      </c>
      <c r="AL9" s="816" t="s">
        <v>37</v>
      </c>
      <c r="AM9" s="675">
        <v>0</v>
      </c>
      <c r="AN9" s="675">
        <v>0</v>
      </c>
      <c r="AO9" s="675">
        <v>0</v>
      </c>
      <c r="AP9" s="675">
        <v>0</v>
      </c>
      <c r="AQ9" s="675">
        <v>0</v>
      </c>
      <c r="AR9" s="675">
        <v>0</v>
      </c>
      <c r="AS9" s="675">
        <v>0</v>
      </c>
      <c r="AT9" s="675">
        <v>0</v>
      </c>
      <c r="AU9" s="675">
        <v>0</v>
      </c>
      <c r="AV9" s="675">
        <v>23702</v>
      </c>
      <c r="AW9" s="675">
        <v>2141727</v>
      </c>
      <c r="AX9" s="675">
        <v>2050131</v>
      </c>
      <c r="AY9" s="675">
        <v>2090381</v>
      </c>
      <c r="AZ9" s="675">
        <v>112629</v>
      </c>
      <c r="BA9" s="676">
        <v>15.75</v>
      </c>
      <c r="BB9" s="675">
        <v>0</v>
      </c>
      <c r="BC9" s="675">
        <v>0</v>
      </c>
      <c r="BD9" s="675">
        <v>0</v>
      </c>
      <c r="BE9" s="675">
        <v>0</v>
      </c>
      <c r="BF9" s="675">
        <v>1741355</v>
      </c>
      <c r="BG9" s="675">
        <v>0</v>
      </c>
      <c r="BH9" s="676">
        <v>177.255</v>
      </c>
      <c r="BI9" s="676">
        <v>48745</v>
      </c>
      <c r="BJ9" s="675">
        <v>12</v>
      </c>
      <c r="BK9" s="675">
        <v>0</v>
      </c>
      <c r="BL9" s="675">
        <v>0</v>
      </c>
      <c r="BM9" s="675">
        <v>0</v>
      </c>
      <c r="BN9" s="675">
        <v>0</v>
      </c>
      <c r="BO9" s="675">
        <v>0</v>
      </c>
      <c r="BP9" s="675">
        <v>0</v>
      </c>
      <c r="BQ9" s="675">
        <v>5392</v>
      </c>
      <c r="BR9" s="675">
        <v>1</v>
      </c>
      <c r="BS9" s="675">
        <v>0</v>
      </c>
      <c r="BT9" s="675">
        <v>0</v>
      </c>
      <c r="BU9" s="675">
        <v>0</v>
      </c>
      <c r="BV9" s="675">
        <v>0</v>
      </c>
      <c r="BW9" s="675">
        <v>0</v>
      </c>
      <c r="BX9" s="675">
        <v>0</v>
      </c>
      <c r="BY9" s="675">
        <v>0</v>
      </c>
      <c r="BZ9" s="675">
        <v>0</v>
      </c>
      <c r="CA9" s="675">
        <v>0</v>
      </c>
      <c r="CB9" s="675">
        <v>0</v>
      </c>
      <c r="CC9" s="675">
        <v>0</v>
      </c>
      <c r="CD9" s="675">
        <v>0</v>
      </c>
      <c r="CE9" s="675">
        <v>0</v>
      </c>
      <c r="CF9" s="675">
        <v>0</v>
      </c>
      <c r="CG9" s="675">
        <v>0</v>
      </c>
      <c r="CH9" s="676">
        <v>42851</v>
      </c>
      <c r="CI9" s="675">
        <v>0</v>
      </c>
      <c r="CJ9" s="675">
        <v>4</v>
      </c>
      <c r="CK9" s="675">
        <v>0</v>
      </c>
      <c r="CL9" s="675">
        <v>0</v>
      </c>
      <c r="CM9" s="675">
        <v>0</v>
      </c>
      <c r="CN9" s="675">
        <v>0</v>
      </c>
      <c r="CO9" s="675">
        <v>0</v>
      </c>
      <c r="CP9" s="675">
        <v>0.81600000000000006</v>
      </c>
      <c r="CQ9" s="675">
        <v>0.16700000000000001</v>
      </c>
      <c r="CR9" s="675">
        <v>199.816</v>
      </c>
      <c r="CS9" s="675">
        <v>0</v>
      </c>
      <c r="CT9" s="675">
        <v>0</v>
      </c>
      <c r="CU9" s="675">
        <v>0</v>
      </c>
      <c r="CV9" s="675">
        <v>0</v>
      </c>
      <c r="CW9" s="675">
        <v>0</v>
      </c>
      <c r="CX9" s="675">
        <v>0</v>
      </c>
      <c r="CY9" s="675">
        <v>0</v>
      </c>
      <c r="CZ9" s="675">
        <v>0</v>
      </c>
      <c r="DA9" s="675">
        <v>1</v>
      </c>
      <c r="DB9" s="675">
        <v>567105</v>
      </c>
      <c r="DC9" s="675">
        <v>0</v>
      </c>
      <c r="DD9" s="675">
        <v>0</v>
      </c>
      <c r="DE9" s="675">
        <v>274180</v>
      </c>
      <c r="DF9" s="675">
        <v>287069</v>
      </c>
      <c r="DG9" s="675">
        <v>209.17000000000002</v>
      </c>
      <c r="DH9" s="675">
        <v>0</v>
      </c>
      <c r="DI9" s="675">
        <v>12889</v>
      </c>
      <c r="DJ9" s="675">
        <v>0</v>
      </c>
      <c r="DK9" s="675">
        <v>5392</v>
      </c>
      <c r="DL9" s="675">
        <v>0</v>
      </c>
      <c r="DM9" s="675">
        <v>138019</v>
      </c>
      <c r="DN9" s="675">
        <v>0</v>
      </c>
      <c r="DO9" s="675">
        <v>0</v>
      </c>
      <c r="DP9" s="675">
        <v>0</v>
      </c>
      <c r="DQ9" s="675">
        <v>0</v>
      </c>
      <c r="DR9" s="675">
        <v>0</v>
      </c>
      <c r="DS9" s="675">
        <v>0</v>
      </c>
      <c r="DT9" s="675">
        <v>0</v>
      </c>
      <c r="DU9" s="675">
        <v>0</v>
      </c>
      <c r="DV9" s="675">
        <v>0</v>
      </c>
      <c r="DW9" s="675">
        <v>0</v>
      </c>
      <c r="DX9" s="675">
        <v>0</v>
      </c>
      <c r="DY9" s="675">
        <v>0</v>
      </c>
      <c r="DZ9" s="675">
        <v>0</v>
      </c>
      <c r="EA9" s="675">
        <v>0</v>
      </c>
      <c r="EB9" s="675">
        <v>0</v>
      </c>
      <c r="EC9" s="675">
        <v>16.117000000000001</v>
      </c>
      <c r="ED9" s="675">
        <v>116194</v>
      </c>
      <c r="EE9" s="675">
        <v>0</v>
      </c>
      <c r="EF9" s="675">
        <v>0</v>
      </c>
      <c r="EG9" s="675">
        <v>0</v>
      </c>
      <c r="EH9" s="675">
        <v>21825</v>
      </c>
      <c r="EI9" s="675">
        <v>0</v>
      </c>
      <c r="EJ9" s="675">
        <v>0</v>
      </c>
      <c r="EK9" s="675">
        <v>1.1100000000000001</v>
      </c>
      <c r="EL9" s="675">
        <v>0</v>
      </c>
      <c r="EM9" s="675">
        <v>0</v>
      </c>
      <c r="EN9" s="675">
        <v>0</v>
      </c>
      <c r="EO9" s="675">
        <v>0</v>
      </c>
      <c r="EP9" s="675">
        <v>0</v>
      </c>
      <c r="EQ9" s="675">
        <v>1.1100000000000001</v>
      </c>
      <c r="ER9" s="675">
        <v>0</v>
      </c>
      <c r="ES9" s="675">
        <v>3.33</v>
      </c>
      <c r="ET9" s="676">
        <v>7917</v>
      </c>
      <c r="EU9" s="675">
        <v>112629</v>
      </c>
      <c r="EV9" s="675">
        <v>0</v>
      </c>
      <c r="EW9" s="675">
        <v>0</v>
      </c>
      <c r="EX9" s="675">
        <v>0</v>
      </c>
      <c r="EY9" s="675">
        <v>0</v>
      </c>
      <c r="EZ9" s="675">
        <v>1725282</v>
      </c>
      <c r="FA9" s="675">
        <v>0</v>
      </c>
      <c r="FB9" s="676">
        <v>1837911</v>
      </c>
      <c r="FC9" s="675">
        <v>0.97327799999999998</v>
      </c>
      <c r="FD9" s="675">
        <v>0</v>
      </c>
      <c r="FE9" s="675">
        <v>265107</v>
      </c>
      <c r="FF9" s="675">
        <v>59742</v>
      </c>
      <c r="FG9" s="675">
        <v>6.1239999999999996E-2</v>
      </c>
      <c r="FH9" s="675">
        <v>5.4803999999999999E-2</v>
      </c>
      <c r="FI9" s="675">
        <v>0</v>
      </c>
      <c r="FJ9" s="675">
        <v>0</v>
      </c>
      <c r="FK9" s="675">
        <v>341.18600000000004</v>
      </c>
      <c r="FL9" s="675">
        <v>2205611</v>
      </c>
      <c r="FM9" s="675">
        <v>0</v>
      </c>
      <c r="FN9" s="675">
        <v>0</v>
      </c>
      <c r="FO9" s="675">
        <v>0</v>
      </c>
      <c r="FP9" s="675">
        <v>0</v>
      </c>
      <c r="FQ9" s="675">
        <v>0</v>
      </c>
      <c r="FR9" s="675">
        <v>0</v>
      </c>
      <c r="FS9" s="675">
        <v>0</v>
      </c>
      <c r="FT9" s="675">
        <v>0</v>
      </c>
      <c r="FU9" s="675">
        <v>0</v>
      </c>
      <c r="FV9" s="675">
        <v>0</v>
      </c>
      <c r="FW9" s="675">
        <v>0</v>
      </c>
      <c r="FX9" s="675">
        <v>0</v>
      </c>
      <c r="FY9" s="675">
        <v>0</v>
      </c>
      <c r="FZ9" s="675">
        <v>2060</v>
      </c>
      <c r="GA9" s="675">
        <v>41.197000000000003</v>
      </c>
      <c r="GB9" s="676">
        <v>795035</v>
      </c>
      <c r="GC9" s="676">
        <v>795035</v>
      </c>
      <c r="GD9" s="676">
        <v>89.623000000000005</v>
      </c>
      <c r="GE9" s="675">
        <v>0</v>
      </c>
      <c r="GF9" s="675">
        <v>0</v>
      </c>
      <c r="GG9" s="675">
        <v>0</v>
      </c>
      <c r="GH9" s="675">
        <v>0</v>
      </c>
      <c r="GI9" s="675">
        <v>0</v>
      </c>
      <c r="GJ9" s="675">
        <v>0</v>
      </c>
      <c r="GK9" s="675">
        <v>5236</v>
      </c>
      <c r="GL9" s="675">
        <v>11659</v>
      </c>
      <c r="GM9" s="675">
        <v>0</v>
      </c>
      <c r="GN9" s="675">
        <v>30454</v>
      </c>
      <c r="GO9" s="675">
        <v>0</v>
      </c>
      <c r="GP9" s="675">
        <v>2162760</v>
      </c>
      <c r="GQ9" s="675">
        <v>2162760</v>
      </c>
      <c r="GR9" s="675">
        <v>0</v>
      </c>
      <c r="GS9" s="675">
        <v>0</v>
      </c>
      <c r="GT9" s="675">
        <v>0</v>
      </c>
      <c r="GU9" s="675">
        <v>0</v>
      </c>
      <c r="GV9" s="675">
        <v>0</v>
      </c>
      <c r="GW9" s="675">
        <v>0</v>
      </c>
      <c r="GX9" s="675">
        <v>0</v>
      </c>
      <c r="GY9" s="675">
        <v>0</v>
      </c>
      <c r="GZ9" s="675">
        <v>0</v>
      </c>
      <c r="HA9" s="675">
        <v>0</v>
      </c>
      <c r="HB9" s="675">
        <v>260786259</v>
      </c>
      <c r="HC9" s="675">
        <v>5.0923999999999997E-2</v>
      </c>
      <c r="HD9" s="676">
        <v>34934</v>
      </c>
      <c r="HE9" s="675">
        <v>0</v>
      </c>
      <c r="HF9" s="675">
        <v>0</v>
      </c>
      <c r="HG9" s="675">
        <v>0</v>
      </c>
      <c r="HH9" s="675">
        <v>0</v>
      </c>
      <c r="HI9" s="675">
        <v>0</v>
      </c>
      <c r="HJ9" s="675">
        <v>0</v>
      </c>
      <c r="HK9" s="675">
        <v>0</v>
      </c>
      <c r="HL9" s="675">
        <v>0</v>
      </c>
      <c r="HM9" s="675">
        <v>0</v>
      </c>
      <c r="HN9" s="675">
        <v>0</v>
      </c>
      <c r="HO9" s="675">
        <v>0</v>
      </c>
      <c r="HP9" s="675">
        <v>0</v>
      </c>
      <c r="HQ9" s="675">
        <v>0</v>
      </c>
      <c r="HR9" s="675">
        <v>0</v>
      </c>
      <c r="HS9" s="675">
        <v>0</v>
      </c>
      <c r="HT9" s="675">
        <v>0</v>
      </c>
      <c r="HU9" s="675">
        <v>0</v>
      </c>
      <c r="HV9" s="675">
        <v>0</v>
      </c>
      <c r="HW9" s="675">
        <v>0</v>
      </c>
      <c r="HX9" s="675">
        <v>0</v>
      </c>
      <c r="HY9" s="675">
        <v>0</v>
      </c>
      <c r="HZ9" s="675">
        <v>0</v>
      </c>
      <c r="IA9" s="675">
        <v>0</v>
      </c>
      <c r="IB9" s="675">
        <v>0</v>
      </c>
      <c r="IC9" s="675">
        <v>0</v>
      </c>
      <c r="ID9" s="675">
        <v>0</v>
      </c>
      <c r="IE9" s="675">
        <v>0</v>
      </c>
      <c r="IF9" s="675">
        <v>0</v>
      </c>
      <c r="IG9" s="675">
        <v>0</v>
      </c>
      <c r="IH9" s="675">
        <v>0</v>
      </c>
      <c r="II9" s="675">
        <v>0</v>
      </c>
      <c r="IJ9" s="675">
        <v>0</v>
      </c>
      <c r="IK9" s="675">
        <v>0</v>
      </c>
      <c r="IL9" s="675">
        <v>0</v>
      </c>
      <c r="IM9" s="675">
        <v>0</v>
      </c>
      <c r="IN9" s="675">
        <v>0</v>
      </c>
      <c r="IO9" s="675">
        <v>0</v>
      </c>
      <c r="IP9" s="675">
        <v>0</v>
      </c>
      <c r="IQ9" s="675">
        <v>0</v>
      </c>
      <c r="IR9" s="675">
        <v>0</v>
      </c>
      <c r="IS9" s="675">
        <v>0</v>
      </c>
      <c r="IT9" s="675">
        <v>0</v>
      </c>
      <c r="IU9" s="675">
        <v>0</v>
      </c>
      <c r="IV9" s="675">
        <v>0</v>
      </c>
      <c r="IW9" s="675">
        <v>0</v>
      </c>
      <c r="IX9" s="675">
        <v>0</v>
      </c>
      <c r="IY9" s="675">
        <v>0</v>
      </c>
      <c r="IZ9" s="675">
        <v>0</v>
      </c>
      <c r="JA9" s="675">
        <v>0</v>
      </c>
      <c r="JB9" s="675">
        <v>0</v>
      </c>
      <c r="JC9" s="675">
        <v>0</v>
      </c>
      <c r="JD9" s="675">
        <v>0</v>
      </c>
      <c r="JE9" s="675">
        <v>0</v>
      </c>
      <c r="JF9" s="675">
        <v>0</v>
      </c>
      <c r="JG9" s="675">
        <v>0</v>
      </c>
      <c r="JH9" s="675">
        <v>0</v>
      </c>
      <c r="JI9" s="675">
        <v>0</v>
      </c>
      <c r="JJ9" s="675">
        <v>0</v>
      </c>
      <c r="JK9" s="675">
        <v>0</v>
      </c>
      <c r="JL9" s="675">
        <v>0</v>
      </c>
      <c r="JM9" s="675">
        <v>0</v>
      </c>
      <c r="JN9" s="675">
        <v>32469</v>
      </c>
      <c r="JO9" s="675">
        <v>0</v>
      </c>
      <c r="JP9" s="675">
        <v>0</v>
      </c>
      <c r="JQ9" s="675">
        <v>0</v>
      </c>
      <c r="JR9" s="675">
        <v>0</v>
      </c>
      <c r="JS9" s="675">
        <v>0</v>
      </c>
      <c r="JT9" s="675">
        <v>0</v>
      </c>
      <c r="JU9" s="675">
        <v>0</v>
      </c>
      <c r="JV9" s="675">
        <v>0</v>
      </c>
      <c r="JW9" s="675">
        <v>0</v>
      </c>
      <c r="JX9" s="675">
        <v>0</v>
      </c>
      <c r="JY9" s="675">
        <v>0</v>
      </c>
      <c r="JZ9" s="675">
        <v>0</v>
      </c>
      <c r="KA9" s="675">
        <v>0</v>
      </c>
      <c r="KB9" s="675">
        <v>0</v>
      </c>
      <c r="KC9" s="675">
        <v>0</v>
      </c>
      <c r="KD9" s="675">
        <v>0</v>
      </c>
      <c r="KE9" s="675">
        <v>0</v>
      </c>
      <c r="KF9" s="675">
        <v>0</v>
      </c>
    </row>
    <row r="10" spans="1:292" ht="13" x14ac:dyDescent="0.3">
      <c r="A10" s="675">
        <v>15802</v>
      </c>
      <c r="B10" s="675">
        <v>32570</v>
      </c>
      <c r="C10" s="675">
        <v>35</v>
      </c>
      <c r="D10" s="675">
        <v>2022</v>
      </c>
      <c r="E10" s="675">
        <v>5392</v>
      </c>
      <c r="F10" s="675">
        <v>0</v>
      </c>
      <c r="G10" s="675">
        <v>755.45500000000004</v>
      </c>
      <c r="H10" s="675">
        <v>702.13800000000003</v>
      </c>
      <c r="I10" s="675">
        <v>702.13800000000003</v>
      </c>
      <c r="J10" s="675">
        <v>755.45500000000004</v>
      </c>
      <c r="K10" s="675">
        <v>0</v>
      </c>
      <c r="L10" s="675">
        <v>6554</v>
      </c>
      <c r="M10" s="675">
        <v>0</v>
      </c>
      <c r="N10" s="675">
        <v>0</v>
      </c>
      <c r="O10" s="675">
        <v>0</v>
      </c>
      <c r="P10" s="675">
        <v>804.81400000000008</v>
      </c>
      <c r="Q10" s="675">
        <v>0</v>
      </c>
      <c r="R10" s="676">
        <v>257309</v>
      </c>
      <c r="S10" s="675">
        <v>319.71300000000002</v>
      </c>
      <c r="T10" s="675">
        <v>0</v>
      </c>
      <c r="U10" s="676">
        <v>257309</v>
      </c>
      <c r="V10" s="676">
        <v>55.654000000000003</v>
      </c>
      <c r="W10" s="676">
        <v>36476</v>
      </c>
      <c r="X10" s="676">
        <v>36476</v>
      </c>
      <c r="Y10" s="675">
        <v>0</v>
      </c>
      <c r="Z10" s="675">
        <v>0</v>
      </c>
      <c r="AA10" s="675">
        <v>1</v>
      </c>
      <c r="AB10" s="675">
        <v>1</v>
      </c>
      <c r="AC10" s="675">
        <v>0</v>
      </c>
      <c r="AD10" s="675" t="s">
        <v>316</v>
      </c>
      <c r="AE10" s="675">
        <v>0</v>
      </c>
      <c r="AF10" s="675">
        <v>0</v>
      </c>
      <c r="AG10" s="675">
        <v>0</v>
      </c>
      <c r="AH10" s="675">
        <v>0</v>
      </c>
      <c r="AI10" s="675">
        <v>0</v>
      </c>
      <c r="AJ10" s="675">
        <v>5104</v>
      </c>
      <c r="AK10" s="675" t="s">
        <v>671</v>
      </c>
      <c r="AL10" s="675" t="s">
        <v>56</v>
      </c>
      <c r="AM10" s="675">
        <v>0</v>
      </c>
      <c r="AN10" s="675">
        <v>0</v>
      </c>
      <c r="AO10" s="675">
        <v>0</v>
      </c>
      <c r="AP10" s="675">
        <v>0</v>
      </c>
      <c r="AQ10" s="675">
        <v>0</v>
      </c>
      <c r="AR10" s="675">
        <v>0</v>
      </c>
      <c r="AS10" s="675">
        <v>0</v>
      </c>
      <c r="AT10" s="675">
        <v>0</v>
      </c>
      <c r="AU10" s="675">
        <v>0</v>
      </c>
      <c r="AV10" s="675">
        <v>330703</v>
      </c>
      <c r="AW10" s="675">
        <v>8215259</v>
      </c>
      <c r="AX10" s="675">
        <v>8017795</v>
      </c>
      <c r="AY10" s="675">
        <v>8730277</v>
      </c>
      <c r="AZ10" s="675">
        <v>282473</v>
      </c>
      <c r="BA10" s="676">
        <v>46.833000000000006</v>
      </c>
      <c r="BB10" s="675">
        <v>14924</v>
      </c>
      <c r="BC10" s="675">
        <v>14924</v>
      </c>
      <c r="BD10" s="675">
        <v>18.976000000000003</v>
      </c>
      <c r="BE10" s="675">
        <v>0</v>
      </c>
      <c r="BF10" s="675">
        <v>6771812</v>
      </c>
      <c r="BG10" s="675">
        <v>0</v>
      </c>
      <c r="BH10" s="676">
        <v>91.507000000000005</v>
      </c>
      <c r="BI10" s="676">
        <v>25164</v>
      </c>
      <c r="BJ10" s="675">
        <v>12</v>
      </c>
      <c r="BK10" s="675">
        <v>0</v>
      </c>
      <c r="BL10" s="675">
        <v>0</v>
      </c>
      <c r="BM10" s="675">
        <v>0</v>
      </c>
      <c r="BN10" s="675">
        <v>0</v>
      </c>
      <c r="BO10" s="675">
        <v>0</v>
      </c>
      <c r="BP10" s="675">
        <v>0</v>
      </c>
      <c r="BQ10" s="675">
        <v>5392</v>
      </c>
      <c r="BR10" s="675">
        <v>1</v>
      </c>
      <c r="BS10" s="675">
        <v>0</v>
      </c>
      <c r="BT10" s="675">
        <v>0</v>
      </c>
      <c r="BU10" s="675">
        <v>0</v>
      </c>
      <c r="BV10" s="675">
        <v>0</v>
      </c>
      <c r="BW10" s="675">
        <v>0</v>
      </c>
      <c r="BX10" s="675">
        <v>0</v>
      </c>
      <c r="BY10" s="675">
        <v>0</v>
      </c>
      <c r="BZ10" s="675">
        <v>0</v>
      </c>
      <c r="CA10" s="675">
        <v>0</v>
      </c>
      <c r="CB10" s="675">
        <v>0</v>
      </c>
      <c r="CC10" s="675">
        <v>0</v>
      </c>
      <c r="CD10" s="675">
        <v>0</v>
      </c>
      <c r="CE10" s="675">
        <v>0</v>
      </c>
      <c r="CF10" s="675">
        <v>0</v>
      </c>
      <c r="CG10" s="675">
        <v>0</v>
      </c>
      <c r="CH10" s="676">
        <v>172300</v>
      </c>
      <c r="CI10" s="675">
        <v>0</v>
      </c>
      <c r="CJ10" s="675">
        <v>4</v>
      </c>
      <c r="CK10" s="675">
        <v>0</v>
      </c>
      <c r="CL10" s="675">
        <v>0</v>
      </c>
      <c r="CM10" s="675">
        <v>0</v>
      </c>
      <c r="CN10" s="675">
        <v>0</v>
      </c>
      <c r="CO10" s="675">
        <v>0</v>
      </c>
      <c r="CP10" s="675">
        <v>0</v>
      </c>
      <c r="CQ10" s="675">
        <v>0</v>
      </c>
      <c r="CR10" s="675">
        <v>804.81400000000008</v>
      </c>
      <c r="CS10" s="675">
        <v>0</v>
      </c>
      <c r="CT10" s="675">
        <v>0</v>
      </c>
      <c r="CU10" s="675">
        <v>0</v>
      </c>
      <c r="CV10" s="675">
        <v>0</v>
      </c>
      <c r="CW10" s="675">
        <v>0</v>
      </c>
      <c r="CX10" s="675">
        <v>0</v>
      </c>
      <c r="CY10" s="675">
        <v>0</v>
      </c>
      <c r="CZ10" s="675">
        <v>0</v>
      </c>
      <c r="DA10" s="675">
        <v>1</v>
      </c>
      <c r="DB10" s="675">
        <v>4601812</v>
      </c>
      <c r="DC10" s="675">
        <v>0</v>
      </c>
      <c r="DD10" s="675">
        <v>0</v>
      </c>
      <c r="DE10" s="675">
        <v>1391414</v>
      </c>
      <c r="DF10" s="675">
        <v>1391414</v>
      </c>
      <c r="DG10" s="675">
        <v>1061.5</v>
      </c>
      <c r="DH10" s="675">
        <v>0</v>
      </c>
      <c r="DI10" s="675">
        <v>0</v>
      </c>
      <c r="DJ10" s="675">
        <v>0</v>
      </c>
      <c r="DK10" s="675">
        <v>5392</v>
      </c>
      <c r="DL10" s="675">
        <v>0</v>
      </c>
      <c r="DM10" s="675">
        <v>563794</v>
      </c>
      <c r="DN10" s="675">
        <v>0</v>
      </c>
      <c r="DO10" s="675">
        <v>0</v>
      </c>
      <c r="DP10" s="675">
        <v>0</v>
      </c>
      <c r="DQ10" s="675">
        <v>0</v>
      </c>
      <c r="DR10" s="675">
        <v>0</v>
      </c>
      <c r="DS10" s="675">
        <v>0</v>
      </c>
      <c r="DT10" s="675">
        <v>0</v>
      </c>
      <c r="DU10" s="675">
        <v>0</v>
      </c>
      <c r="DV10" s="675">
        <v>0</v>
      </c>
      <c r="DW10" s="675">
        <v>0</v>
      </c>
      <c r="DX10" s="675">
        <v>0</v>
      </c>
      <c r="DY10" s="675">
        <v>0</v>
      </c>
      <c r="DZ10" s="675">
        <v>0</v>
      </c>
      <c r="EA10" s="675">
        <v>0</v>
      </c>
      <c r="EB10" s="675">
        <v>0</v>
      </c>
      <c r="EC10" s="675">
        <v>38.24</v>
      </c>
      <c r="ED10" s="675">
        <v>275687</v>
      </c>
      <c r="EE10" s="675">
        <v>0</v>
      </c>
      <c r="EF10" s="675">
        <v>0</v>
      </c>
      <c r="EG10" s="675">
        <v>0</v>
      </c>
      <c r="EH10" s="675">
        <v>283939</v>
      </c>
      <c r="EI10" s="675">
        <v>4168</v>
      </c>
      <c r="EJ10" s="675">
        <v>0.159</v>
      </c>
      <c r="EK10" s="675">
        <v>12.641</v>
      </c>
      <c r="EL10" s="675">
        <v>0</v>
      </c>
      <c r="EM10" s="675">
        <v>0</v>
      </c>
      <c r="EN10" s="675">
        <v>1.08</v>
      </c>
      <c r="EO10" s="675">
        <v>0</v>
      </c>
      <c r="EP10" s="675">
        <v>0</v>
      </c>
      <c r="EQ10" s="675">
        <v>13.88</v>
      </c>
      <c r="ER10" s="675">
        <v>0</v>
      </c>
      <c r="ES10" s="675">
        <v>43.323</v>
      </c>
      <c r="ET10" s="676">
        <v>23417</v>
      </c>
      <c r="EU10" s="675">
        <v>282473</v>
      </c>
      <c r="EV10" s="675">
        <v>0</v>
      </c>
      <c r="EW10" s="675">
        <v>0</v>
      </c>
      <c r="EX10" s="675">
        <v>0</v>
      </c>
      <c r="EY10" s="675">
        <v>0</v>
      </c>
      <c r="EZ10" s="675">
        <v>6754517</v>
      </c>
      <c r="FA10" s="675">
        <v>0</v>
      </c>
      <c r="FB10" s="676">
        <v>7036990</v>
      </c>
      <c r="FC10" s="675">
        <v>0.97327799999999998</v>
      </c>
      <c r="FD10" s="675">
        <v>0</v>
      </c>
      <c r="FE10" s="675">
        <v>1030954</v>
      </c>
      <c r="FF10" s="675">
        <v>232324</v>
      </c>
      <c r="FG10" s="675">
        <v>6.1239999999999996E-2</v>
      </c>
      <c r="FH10" s="675">
        <v>5.4803999999999999E-2</v>
      </c>
      <c r="FI10" s="675">
        <v>0</v>
      </c>
      <c r="FJ10" s="675">
        <v>0</v>
      </c>
      <c r="FK10" s="675">
        <v>1326.8110000000001</v>
      </c>
      <c r="FL10" s="675">
        <v>8472568</v>
      </c>
      <c r="FM10" s="675">
        <v>0</v>
      </c>
      <c r="FN10" s="675">
        <v>0</v>
      </c>
      <c r="FO10" s="675">
        <v>54086</v>
      </c>
      <c r="FP10" s="675">
        <v>0</v>
      </c>
      <c r="FQ10" s="675">
        <v>54086</v>
      </c>
      <c r="FR10" s="675">
        <v>54086</v>
      </c>
      <c r="FS10" s="675">
        <v>0</v>
      </c>
      <c r="FT10" s="675">
        <v>0</v>
      </c>
      <c r="FU10" s="675">
        <v>0</v>
      </c>
      <c r="FV10" s="675">
        <v>0</v>
      </c>
      <c r="FW10" s="675">
        <v>0</v>
      </c>
      <c r="FX10" s="675">
        <v>0</v>
      </c>
      <c r="FY10" s="675">
        <v>0</v>
      </c>
      <c r="FZ10" s="675">
        <v>385</v>
      </c>
      <c r="GA10" s="675">
        <v>7.702</v>
      </c>
      <c r="GB10" s="676">
        <v>349320</v>
      </c>
      <c r="GC10" s="676">
        <v>349320</v>
      </c>
      <c r="GD10" s="676">
        <v>39.437000000000005</v>
      </c>
      <c r="GE10" s="675">
        <v>0</v>
      </c>
      <c r="GF10" s="675">
        <v>0</v>
      </c>
      <c r="GG10" s="675">
        <v>0</v>
      </c>
      <c r="GH10" s="675">
        <v>0</v>
      </c>
      <c r="GI10" s="675">
        <v>0</v>
      </c>
      <c r="GJ10" s="675">
        <v>0</v>
      </c>
      <c r="GK10" s="675">
        <v>5220</v>
      </c>
      <c r="GL10" s="675">
        <v>15410</v>
      </c>
      <c r="GM10" s="675">
        <v>0</v>
      </c>
      <c r="GN10" s="675">
        <v>78951</v>
      </c>
      <c r="GO10" s="675">
        <v>0</v>
      </c>
      <c r="GP10" s="675">
        <v>8300268</v>
      </c>
      <c r="GQ10" s="675">
        <v>8300268</v>
      </c>
      <c r="GR10" s="675">
        <v>0</v>
      </c>
      <c r="GS10" s="675">
        <v>0</v>
      </c>
      <c r="GT10" s="675">
        <v>0</v>
      </c>
      <c r="GU10" s="675">
        <v>0</v>
      </c>
      <c r="GV10" s="675">
        <v>0</v>
      </c>
      <c r="GW10" s="675">
        <v>0</v>
      </c>
      <c r="GX10" s="675">
        <v>0</v>
      </c>
      <c r="GY10" s="675">
        <v>0</v>
      </c>
      <c r="GZ10" s="675">
        <v>0</v>
      </c>
      <c r="HA10" s="675">
        <v>0</v>
      </c>
      <c r="HB10" s="675">
        <v>260786259</v>
      </c>
      <c r="HC10" s="675">
        <v>5.0923999999999997E-2</v>
      </c>
      <c r="HD10" s="676">
        <v>148883</v>
      </c>
      <c r="HE10" s="675">
        <v>0</v>
      </c>
      <c r="HF10" s="675">
        <v>0</v>
      </c>
      <c r="HG10" s="675">
        <v>0</v>
      </c>
      <c r="HH10" s="675">
        <v>0</v>
      </c>
      <c r="HI10" s="675">
        <v>0</v>
      </c>
      <c r="HJ10" s="675">
        <v>0</v>
      </c>
      <c r="HK10" s="675">
        <v>0</v>
      </c>
      <c r="HL10" s="675">
        <v>0</v>
      </c>
      <c r="HM10" s="675">
        <v>0</v>
      </c>
      <c r="HN10" s="675">
        <v>0</v>
      </c>
      <c r="HO10" s="675">
        <v>0</v>
      </c>
      <c r="HP10" s="675">
        <v>0</v>
      </c>
      <c r="HQ10" s="675">
        <v>0</v>
      </c>
      <c r="HR10" s="675">
        <v>0</v>
      </c>
      <c r="HS10" s="675">
        <v>0</v>
      </c>
      <c r="HT10" s="675">
        <v>0</v>
      </c>
      <c r="HU10" s="675">
        <v>0</v>
      </c>
      <c r="HV10" s="675">
        <v>0</v>
      </c>
      <c r="HW10" s="675">
        <v>0</v>
      </c>
      <c r="HX10" s="675">
        <v>0</v>
      </c>
      <c r="HY10" s="675">
        <v>0</v>
      </c>
      <c r="HZ10" s="675">
        <v>0</v>
      </c>
      <c r="IA10" s="675">
        <v>0</v>
      </c>
      <c r="IB10" s="675">
        <v>0</v>
      </c>
      <c r="IC10" s="675">
        <v>0</v>
      </c>
      <c r="ID10" s="675">
        <v>0</v>
      </c>
      <c r="IE10" s="675">
        <v>15.846</v>
      </c>
      <c r="IF10" s="675">
        <v>0</v>
      </c>
      <c r="IG10" s="675">
        <v>0</v>
      </c>
      <c r="IH10" s="675">
        <v>0</v>
      </c>
      <c r="II10" s="675">
        <v>0</v>
      </c>
      <c r="IJ10" s="675">
        <v>0</v>
      </c>
      <c r="IK10" s="675">
        <v>0</v>
      </c>
      <c r="IL10" s="675">
        <v>0</v>
      </c>
      <c r="IM10" s="675">
        <v>0</v>
      </c>
      <c r="IN10" s="675">
        <v>0</v>
      </c>
      <c r="IO10" s="675">
        <v>0</v>
      </c>
      <c r="IP10" s="675">
        <v>0</v>
      </c>
      <c r="IQ10" s="675">
        <v>0</v>
      </c>
      <c r="IR10" s="675">
        <v>0</v>
      </c>
      <c r="IS10" s="675">
        <v>0</v>
      </c>
      <c r="IT10" s="675">
        <v>0</v>
      </c>
      <c r="IU10" s="675">
        <v>0</v>
      </c>
      <c r="IV10" s="675">
        <v>0</v>
      </c>
      <c r="IW10" s="675">
        <v>0</v>
      </c>
      <c r="IX10" s="675">
        <v>0</v>
      </c>
      <c r="IY10" s="675">
        <v>0</v>
      </c>
      <c r="IZ10" s="675">
        <v>0</v>
      </c>
      <c r="JA10" s="675">
        <v>0</v>
      </c>
      <c r="JB10" s="675">
        <v>0</v>
      </c>
      <c r="JC10" s="675">
        <v>0</v>
      </c>
      <c r="JD10" s="675">
        <v>0</v>
      </c>
      <c r="JE10" s="675">
        <v>0</v>
      </c>
      <c r="JF10" s="675">
        <v>0</v>
      </c>
      <c r="JG10" s="675">
        <v>0</v>
      </c>
      <c r="JH10" s="675">
        <v>0</v>
      </c>
      <c r="JI10" s="675">
        <v>0</v>
      </c>
      <c r="JJ10" s="675">
        <v>0</v>
      </c>
      <c r="JK10" s="675">
        <v>0</v>
      </c>
      <c r="JL10" s="675">
        <v>0</v>
      </c>
      <c r="JM10" s="675">
        <v>0</v>
      </c>
      <c r="JN10" s="675">
        <v>32469</v>
      </c>
      <c r="JO10" s="675">
        <v>0</v>
      </c>
      <c r="JP10" s="675">
        <v>0</v>
      </c>
      <c r="JQ10" s="675">
        <v>0</v>
      </c>
      <c r="JR10" s="675">
        <v>0</v>
      </c>
      <c r="JS10" s="675">
        <v>0</v>
      </c>
      <c r="JT10" s="675">
        <v>0</v>
      </c>
      <c r="JU10" s="675">
        <v>0</v>
      </c>
      <c r="JV10" s="675">
        <v>0</v>
      </c>
      <c r="JW10" s="675">
        <v>0</v>
      </c>
      <c r="JX10" s="675">
        <v>0</v>
      </c>
      <c r="JY10" s="675">
        <v>0</v>
      </c>
      <c r="JZ10" s="675">
        <v>0</v>
      </c>
      <c r="KA10" s="675">
        <v>0</v>
      </c>
      <c r="KB10" s="675">
        <v>0</v>
      </c>
      <c r="KC10" s="675">
        <v>0</v>
      </c>
      <c r="KD10" s="675">
        <v>0</v>
      </c>
      <c r="KE10" s="675">
        <v>0</v>
      </c>
      <c r="KF10" s="675">
        <v>0</v>
      </c>
    </row>
    <row r="11" spans="1:292" x14ac:dyDescent="0.25">
      <c r="A11" s="675">
        <v>15805</v>
      </c>
      <c r="B11" s="675">
        <v>32570</v>
      </c>
      <c r="C11" s="675">
        <v>35</v>
      </c>
      <c r="D11" s="675">
        <v>2022</v>
      </c>
      <c r="E11" s="675">
        <v>5392</v>
      </c>
      <c r="F11" s="675">
        <v>0</v>
      </c>
      <c r="G11" s="675">
        <v>526.24099999999999</v>
      </c>
      <c r="H11" s="675">
        <v>522.20500000000004</v>
      </c>
      <c r="I11" s="675">
        <v>522.20500000000004</v>
      </c>
      <c r="J11" s="675">
        <v>526.24099999999999</v>
      </c>
      <c r="K11" s="675">
        <v>0</v>
      </c>
      <c r="L11" s="675">
        <v>6554</v>
      </c>
      <c r="M11" s="675">
        <v>0</v>
      </c>
      <c r="N11" s="675">
        <v>0</v>
      </c>
      <c r="O11" s="675">
        <v>0</v>
      </c>
      <c r="P11" s="675">
        <v>573.60300000000007</v>
      </c>
      <c r="Q11" s="675">
        <v>0</v>
      </c>
      <c r="R11" s="675">
        <v>183388</v>
      </c>
      <c r="S11" s="675">
        <v>319.71300000000002</v>
      </c>
      <c r="T11" s="675">
        <v>0</v>
      </c>
      <c r="U11" s="675">
        <v>183388</v>
      </c>
      <c r="V11" s="675">
        <v>63.122</v>
      </c>
      <c r="W11" s="675">
        <v>41370</v>
      </c>
      <c r="X11" s="675">
        <v>41370</v>
      </c>
      <c r="Y11" s="675">
        <v>0</v>
      </c>
      <c r="Z11" s="675">
        <v>0</v>
      </c>
      <c r="AA11" s="675">
        <v>1</v>
      </c>
      <c r="AB11" s="675">
        <v>1</v>
      </c>
      <c r="AC11" s="675">
        <v>0</v>
      </c>
      <c r="AD11" s="675" t="s">
        <v>316</v>
      </c>
      <c r="AE11" s="675">
        <v>0</v>
      </c>
      <c r="AF11" s="675">
        <v>0</v>
      </c>
      <c r="AG11" s="675">
        <v>0</v>
      </c>
      <c r="AH11" s="675">
        <v>0</v>
      </c>
      <c r="AI11" s="675">
        <v>0</v>
      </c>
      <c r="AJ11" s="675">
        <v>5104</v>
      </c>
      <c r="AK11" s="675" t="s">
        <v>671</v>
      </c>
      <c r="AL11" s="675" t="s">
        <v>460</v>
      </c>
      <c r="AM11" s="675">
        <v>0</v>
      </c>
      <c r="AN11" s="675">
        <v>0</v>
      </c>
      <c r="AO11" s="675">
        <v>0</v>
      </c>
      <c r="AP11" s="675">
        <v>0</v>
      </c>
      <c r="AQ11" s="675">
        <v>0</v>
      </c>
      <c r="AR11" s="675">
        <v>0</v>
      </c>
      <c r="AS11" s="675">
        <v>0</v>
      </c>
      <c r="AT11" s="675">
        <v>0</v>
      </c>
      <c r="AU11" s="675">
        <v>0</v>
      </c>
      <c r="AV11" s="675">
        <v>356050</v>
      </c>
      <c r="AW11" s="675">
        <v>5142973</v>
      </c>
      <c r="AX11" s="675">
        <v>4988496</v>
      </c>
      <c r="AY11" s="675">
        <v>5683916</v>
      </c>
      <c r="AZ11" s="675">
        <v>234155</v>
      </c>
      <c r="BA11" s="675">
        <v>0</v>
      </c>
      <c r="BB11" s="675">
        <v>0</v>
      </c>
      <c r="BC11" s="675">
        <v>0</v>
      </c>
      <c r="BD11" s="675">
        <v>0</v>
      </c>
      <c r="BE11" s="675">
        <v>0</v>
      </c>
      <c r="BF11" s="675">
        <v>4258616</v>
      </c>
      <c r="BG11" s="675">
        <v>0</v>
      </c>
      <c r="BH11" s="675">
        <v>184.60900000000001</v>
      </c>
      <c r="BI11" s="675">
        <v>50767</v>
      </c>
      <c r="BJ11" s="675">
        <v>12</v>
      </c>
      <c r="BK11" s="675">
        <v>0</v>
      </c>
      <c r="BL11" s="675">
        <v>0</v>
      </c>
      <c r="BM11" s="675">
        <v>0</v>
      </c>
      <c r="BN11" s="675">
        <v>0</v>
      </c>
      <c r="BO11" s="675">
        <v>0</v>
      </c>
      <c r="BP11" s="675">
        <v>0</v>
      </c>
      <c r="BQ11" s="675">
        <v>5392</v>
      </c>
      <c r="BR11" s="675">
        <v>1</v>
      </c>
      <c r="BS11" s="675">
        <v>0</v>
      </c>
      <c r="BT11" s="675">
        <v>0</v>
      </c>
      <c r="BU11" s="675">
        <v>0</v>
      </c>
      <c r="BV11" s="675">
        <v>0</v>
      </c>
      <c r="BW11" s="675">
        <v>0</v>
      </c>
      <c r="BX11" s="675">
        <v>0</v>
      </c>
      <c r="BY11" s="675">
        <v>0</v>
      </c>
      <c r="BZ11" s="675">
        <v>0</v>
      </c>
      <c r="CA11" s="675">
        <v>0</v>
      </c>
      <c r="CB11" s="675">
        <v>0</v>
      </c>
      <c r="CC11" s="675">
        <v>0</v>
      </c>
      <c r="CD11" s="675">
        <v>0</v>
      </c>
      <c r="CE11" s="675">
        <v>0</v>
      </c>
      <c r="CF11" s="675">
        <v>0</v>
      </c>
      <c r="CG11" s="675">
        <v>0</v>
      </c>
      <c r="CH11" s="675">
        <v>103710</v>
      </c>
      <c r="CI11" s="675">
        <v>0</v>
      </c>
      <c r="CJ11" s="675">
        <v>4</v>
      </c>
      <c r="CK11" s="675">
        <v>0</v>
      </c>
      <c r="CL11" s="675">
        <v>0</v>
      </c>
      <c r="CM11" s="675">
        <v>0</v>
      </c>
      <c r="CN11" s="675">
        <v>0</v>
      </c>
      <c r="CO11" s="675">
        <v>0</v>
      </c>
      <c r="CP11" s="675">
        <v>0</v>
      </c>
      <c r="CQ11" s="675">
        <v>0</v>
      </c>
      <c r="CR11" s="675">
        <v>573.60300000000007</v>
      </c>
      <c r="CS11" s="675">
        <v>0</v>
      </c>
      <c r="CT11" s="675">
        <v>0</v>
      </c>
      <c r="CU11" s="675">
        <v>0</v>
      </c>
      <c r="CV11" s="675">
        <v>0</v>
      </c>
      <c r="CW11" s="675">
        <v>0</v>
      </c>
      <c r="CX11" s="675">
        <v>0</v>
      </c>
      <c r="CY11" s="675">
        <v>0</v>
      </c>
      <c r="CZ11" s="675">
        <v>0</v>
      </c>
      <c r="DA11" s="675">
        <v>1</v>
      </c>
      <c r="DB11" s="675">
        <v>3422532</v>
      </c>
      <c r="DC11" s="675">
        <v>0</v>
      </c>
      <c r="DD11" s="675">
        <v>0</v>
      </c>
      <c r="DE11" s="675">
        <v>682494</v>
      </c>
      <c r="DF11" s="675">
        <v>682494</v>
      </c>
      <c r="DG11" s="675">
        <v>520.66999999999996</v>
      </c>
      <c r="DH11" s="675">
        <v>0</v>
      </c>
      <c r="DI11" s="675">
        <v>0</v>
      </c>
      <c r="DJ11" s="675">
        <v>0</v>
      </c>
      <c r="DK11" s="675">
        <v>5392</v>
      </c>
      <c r="DL11" s="675">
        <v>0</v>
      </c>
      <c r="DM11" s="675">
        <v>229145</v>
      </c>
      <c r="DN11" s="675">
        <v>0</v>
      </c>
      <c r="DO11" s="675">
        <v>0</v>
      </c>
      <c r="DP11" s="675">
        <v>0</v>
      </c>
      <c r="DQ11" s="675">
        <v>0</v>
      </c>
      <c r="DR11" s="675">
        <v>0</v>
      </c>
      <c r="DS11" s="675">
        <v>0</v>
      </c>
      <c r="DT11" s="675">
        <v>0</v>
      </c>
      <c r="DU11" s="675">
        <v>0</v>
      </c>
      <c r="DV11" s="675">
        <v>0</v>
      </c>
      <c r="DW11" s="675">
        <v>0</v>
      </c>
      <c r="DX11" s="675">
        <v>0</v>
      </c>
      <c r="DY11" s="675">
        <v>0</v>
      </c>
      <c r="DZ11" s="675">
        <v>0</v>
      </c>
      <c r="EA11" s="675">
        <v>0</v>
      </c>
      <c r="EB11" s="675">
        <v>0</v>
      </c>
      <c r="EC11" s="675">
        <v>19.806000000000001</v>
      </c>
      <c r="ED11" s="675">
        <v>142789</v>
      </c>
      <c r="EE11" s="675">
        <v>0</v>
      </c>
      <c r="EF11" s="675">
        <v>0</v>
      </c>
      <c r="EG11" s="675">
        <v>0</v>
      </c>
      <c r="EH11" s="675">
        <v>86356</v>
      </c>
      <c r="EI11" s="675">
        <v>0</v>
      </c>
      <c r="EJ11" s="675">
        <v>0</v>
      </c>
      <c r="EK11" s="675">
        <v>0.57500000000000007</v>
      </c>
      <c r="EL11" s="675">
        <v>0</v>
      </c>
      <c r="EM11" s="675">
        <v>2.927</v>
      </c>
      <c r="EN11" s="675">
        <v>0.53400000000000003</v>
      </c>
      <c r="EO11" s="675">
        <v>0</v>
      </c>
      <c r="EP11" s="675">
        <v>0</v>
      </c>
      <c r="EQ11" s="675">
        <v>4.0360000000000005</v>
      </c>
      <c r="ER11" s="675">
        <v>0</v>
      </c>
      <c r="ES11" s="675">
        <v>13.176</v>
      </c>
      <c r="ET11" s="675">
        <v>0</v>
      </c>
      <c r="EU11" s="675">
        <v>234155</v>
      </c>
      <c r="EV11" s="675">
        <v>0</v>
      </c>
      <c r="EW11" s="675">
        <v>0</v>
      </c>
      <c r="EX11" s="675">
        <v>0</v>
      </c>
      <c r="EY11" s="675">
        <v>0</v>
      </c>
      <c r="EZ11" s="675">
        <v>4194053</v>
      </c>
      <c r="FA11" s="675">
        <v>0</v>
      </c>
      <c r="FB11" s="675">
        <v>4428208</v>
      </c>
      <c r="FC11" s="675">
        <v>0.97327799999999998</v>
      </c>
      <c r="FD11" s="675">
        <v>0</v>
      </c>
      <c r="FE11" s="675">
        <v>648340</v>
      </c>
      <c r="FF11" s="675">
        <v>146103</v>
      </c>
      <c r="FG11" s="675">
        <v>6.1239999999999996E-2</v>
      </c>
      <c r="FH11" s="675">
        <v>5.4803999999999999E-2</v>
      </c>
      <c r="FI11" s="675">
        <v>0</v>
      </c>
      <c r="FJ11" s="675">
        <v>0</v>
      </c>
      <c r="FK11" s="675">
        <v>834.39700000000005</v>
      </c>
      <c r="FL11" s="675">
        <v>5326361</v>
      </c>
      <c r="FM11" s="675">
        <v>0</v>
      </c>
      <c r="FN11" s="675">
        <v>0</v>
      </c>
      <c r="FO11" s="675">
        <v>1900</v>
      </c>
      <c r="FP11" s="675">
        <v>0</v>
      </c>
      <c r="FQ11" s="675">
        <v>1900</v>
      </c>
      <c r="FR11" s="675">
        <v>1900</v>
      </c>
      <c r="FS11" s="675">
        <v>0</v>
      </c>
      <c r="FT11" s="675">
        <v>0</v>
      </c>
      <c r="FU11" s="675">
        <v>0</v>
      </c>
      <c r="FV11" s="675">
        <v>0</v>
      </c>
      <c r="FW11" s="675">
        <v>0</v>
      </c>
      <c r="FX11" s="675">
        <v>0</v>
      </c>
      <c r="FY11" s="675">
        <v>0</v>
      </c>
      <c r="FZ11" s="675">
        <v>0</v>
      </c>
      <c r="GA11" s="675">
        <v>0</v>
      </c>
      <c r="GB11" s="675">
        <v>0</v>
      </c>
      <c r="GC11" s="675">
        <v>0</v>
      </c>
      <c r="GD11" s="675">
        <v>0</v>
      </c>
      <c r="GE11" s="675">
        <v>0</v>
      </c>
      <c r="GF11" s="675">
        <v>0</v>
      </c>
      <c r="GG11" s="675">
        <v>0</v>
      </c>
      <c r="GH11" s="675">
        <v>0</v>
      </c>
      <c r="GI11" s="675">
        <v>0</v>
      </c>
      <c r="GJ11" s="675">
        <v>0</v>
      </c>
      <c r="GK11" s="675">
        <v>4979</v>
      </c>
      <c r="GL11" s="675">
        <v>20520</v>
      </c>
      <c r="GM11" s="675">
        <v>0</v>
      </c>
      <c r="GN11" s="675">
        <v>0</v>
      </c>
      <c r="GO11" s="675">
        <v>0</v>
      </c>
      <c r="GP11" s="675">
        <v>5222651</v>
      </c>
      <c r="GQ11" s="675">
        <v>5222651</v>
      </c>
      <c r="GR11" s="675">
        <v>0</v>
      </c>
      <c r="GS11" s="675">
        <v>0</v>
      </c>
      <c r="GT11" s="675">
        <v>0</v>
      </c>
      <c r="GU11" s="675">
        <v>0</v>
      </c>
      <c r="GV11" s="675">
        <v>0</v>
      </c>
      <c r="GW11" s="675">
        <v>0</v>
      </c>
      <c r="GX11" s="675">
        <v>0</v>
      </c>
      <c r="GY11" s="675">
        <v>0</v>
      </c>
      <c r="GZ11" s="675">
        <v>0</v>
      </c>
      <c r="HA11" s="675">
        <v>0</v>
      </c>
      <c r="HB11" s="675">
        <v>260786259</v>
      </c>
      <c r="HC11" s="675">
        <v>5.0923999999999997E-2</v>
      </c>
      <c r="HD11" s="675">
        <v>103710</v>
      </c>
      <c r="HE11" s="675">
        <v>0</v>
      </c>
      <c r="HF11" s="675">
        <v>0</v>
      </c>
      <c r="HG11" s="675">
        <v>0</v>
      </c>
      <c r="HH11" s="675">
        <v>0</v>
      </c>
      <c r="HI11" s="675">
        <v>0</v>
      </c>
      <c r="HJ11" s="675">
        <v>0</v>
      </c>
      <c r="HK11" s="675">
        <v>0</v>
      </c>
      <c r="HL11" s="675">
        <v>0</v>
      </c>
      <c r="HM11" s="675">
        <v>0</v>
      </c>
      <c r="HN11" s="675">
        <v>0</v>
      </c>
      <c r="HO11" s="675">
        <v>0</v>
      </c>
      <c r="HP11" s="675">
        <v>0</v>
      </c>
      <c r="HQ11" s="675">
        <v>0</v>
      </c>
      <c r="HR11" s="675">
        <v>0</v>
      </c>
      <c r="HS11" s="675">
        <v>0</v>
      </c>
      <c r="HT11" s="675">
        <v>0</v>
      </c>
      <c r="HU11" s="675">
        <v>0</v>
      </c>
      <c r="HV11" s="675">
        <v>0</v>
      </c>
      <c r="HW11" s="675">
        <v>0</v>
      </c>
      <c r="HX11" s="675">
        <v>0</v>
      </c>
      <c r="HY11" s="675">
        <v>0</v>
      </c>
      <c r="HZ11" s="675">
        <v>0</v>
      </c>
      <c r="IA11" s="675">
        <v>0</v>
      </c>
      <c r="IB11" s="675">
        <v>0</v>
      </c>
      <c r="IC11" s="675">
        <v>0</v>
      </c>
      <c r="ID11" s="675">
        <v>0</v>
      </c>
      <c r="IE11" s="675">
        <v>0</v>
      </c>
      <c r="IF11" s="675">
        <v>0</v>
      </c>
      <c r="IG11" s="675">
        <v>0</v>
      </c>
      <c r="IH11" s="675">
        <v>0</v>
      </c>
      <c r="II11" s="675">
        <v>0</v>
      </c>
      <c r="IJ11" s="675">
        <v>0</v>
      </c>
      <c r="IK11" s="675">
        <v>0</v>
      </c>
      <c r="IL11" s="675">
        <v>0</v>
      </c>
      <c r="IM11" s="675">
        <v>0</v>
      </c>
      <c r="IN11" s="675">
        <v>0</v>
      </c>
      <c r="IO11" s="675">
        <v>0</v>
      </c>
      <c r="IP11" s="675">
        <v>0</v>
      </c>
      <c r="IQ11" s="675">
        <v>0</v>
      </c>
      <c r="IR11" s="675">
        <v>0</v>
      </c>
      <c r="IS11" s="675">
        <v>0</v>
      </c>
      <c r="IT11" s="675">
        <v>0</v>
      </c>
      <c r="IU11" s="675">
        <v>0</v>
      </c>
      <c r="IV11" s="675">
        <v>0</v>
      </c>
      <c r="IW11" s="675">
        <v>0</v>
      </c>
      <c r="IX11" s="675">
        <v>0</v>
      </c>
      <c r="IY11" s="675">
        <v>0</v>
      </c>
      <c r="IZ11" s="675">
        <v>0</v>
      </c>
      <c r="JA11" s="675">
        <v>0</v>
      </c>
      <c r="JB11" s="675">
        <v>0</v>
      </c>
      <c r="JC11" s="675">
        <v>0</v>
      </c>
      <c r="JD11" s="675">
        <v>0</v>
      </c>
      <c r="JE11" s="675">
        <v>0</v>
      </c>
      <c r="JF11" s="675">
        <v>0</v>
      </c>
      <c r="JG11" s="675">
        <v>0</v>
      </c>
      <c r="JH11" s="675">
        <v>0</v>
      </c>
      <c r="JI11" s="675">
        <v>0</v>
      </c>
      <c r="JJ11" s="675">
        <v>0</v>
      </c>
      <c r="JK11" s="675">
        <v>0</v>
      </c>
      <c r="JL11" s="675">
        <v>0</v>
      </c>
      <c r="JM11" s="675">
        <v>0</v>
      </c>
      <c r="JN11" s="675">
        <v>32469</v>
      </c>
      <c r="JO11" s="675">
        <v>0</v>
      </c>
      <c r="JP11" s="675">
        <v>0</v>
      </c>
      <c r="JQ11" s="675">
        <v>0</v>
      </c>
      <c r="JR11" s="675">
        <v>0</v>
      </c>
      <c r="JS11" s="675">
        <v>0</v>
      </c>
      <c r="JT11" s="675">
        <v>0</v>
      </c>
      <c r="JU11" s="675">
        <v>0</v>
      </c>
      <c r="JV11" s="675">
        <v>0</v>
      </c>
      <c r="JW11" s="675">
        <v>0</v>
      </c>
      <c r="JX11" s="675">
        <v>0</v>
      </c>
      <c r="JY11" s="675">
        <v>0</v>
      </c>
      <c r="JZ11" s="675">
        <v>0</v>
      </c>
      <c r="KA11" s="675">
        <v>0</v>
      </c>
      <c r="KB11" s="675">
        <v>0</v>
      </c>
      <c r="KC11" s="675">
        <v>0</v>
      </c>
      <c r="KD11" s="675">
        <v>0</v>
      </c>
      <c r="KE11" s="675">
        <v>0</v>
      </c>
      <c r="KF11" s="675">
        <v>0</v>
      </c>
    </row>
    <row r="12" spans="1:292" x14ac:dyDescent="0.25">
      <c r="A12" s="675">
        <v>15806</v>
      </c>
      <c r="B12" s="675">
        <v>32570</v>
      </c>
      <c r="C12" s="675">
        <v>35</v>
      </c>
      <c r="D12" s="675">
        <v>2022</v>
      </c>
      <c r="E12" s="675">
        <v>5392</v>
      </c>
      <c r="F12" s="675">
        <v>0</v>
      </c>
      <c r="G12" s="675">
        <v>405.83300000000003</v>
      </c>
      <c r="H12" s="675">
        <v>362.06700000000001</v>
      </c>
      <c r="I12" s="675">
        <v>362.06700000000001</v>
      </c>
      <c r="J12" s="675">
        <v>405.83300000000003</v>
      </c>
      <c r="K12" s="675">
        <v>0</v>
      </c>
      <c r="L12" s="675">
        <v>6554</v>
      </c>
      <c r="M12" s="675">
        <v>0</v>
      </c>
      <c r="N12" s="675">
        <v>0</v>
      </c>
      <c r="O12" s="675">
        <v>0</v>
      </c>
      <c r="P12" s="675">
        <v>556.54500000000007</v>
      </c>
      <c r="Q12" s="675">
        <v>0</v>
      </c>
      <c r="R12" s="675">
        <v>177935</v>
      </c>
      <c r="S12" s="675">
        <v>319.71300000000002</v>
      </c>
      <c r="T12" s="675">
        <v>0</v>
      </c>
      <c r="U12" s="675">
        <v>177935</v>
      </c>
      <c r="V12" s="675">
        <v>80.683999999999997</v>
      </c>
      <c r="W12" s="675">
        <v>52880</v>
      </c>
      <c r="X12" s="675">
        <v>52880</v>
      </c>
      <c r="Y12" s="675">
        <v>0</v>
      </c>
      <c r="Z12" s="675">
        <v>0</v>
      </c>
      <c r="AA12" s="675">
        <v>1</v>
      </c>
      <c r="AB12" s="675">
        <v>1</v>
      </c>
      <c r="AC12" s="675">
        <v>0</v>
      </c>
      <c r="AD12" s="675" t="s">
        <v>316</v>
      </c>
      <c r="AE12" s="675">
        <v>0</v>
      </c>
      <c r="AF12" s="675">
        <v>0</v>
      </c>
      <c r="AG12" s="675">
        <v>0</v>
      </c>
      <c r="AH12" s="675">
        <v>0</v>
      </c>
      <c r="AI12" s="675">
        <v>0</v>
      </c>
      <c r="AJ12" s="675">
        <v>5104</v>
      </c>
      <c r="AK12" s="675" t="s">
        <v>671</v>
      </c>
      <c r="AL12" s="675" t="s">
        <v>57</v>
      </c>
      <c r="AM12" s="675">
        <v>0</v>
      </c>
      <c r="AN12" s="675">
        <v>0</v>
      </c>
      <c r="AO12" s="675">
        <v>0</v>
      </c>
      <c r="AP12" s="675">
        <v>0</v>
      </c>
      <c r="AQ12" s="675">
        <v>0</v>
      </c>
      <c r="AR12" s="675">
        <v>0</v>
      </c>
      <c r="AS12" s="675">
        <v>0</v>
      </c>
      <c r="AT12" s="675">
        <v>0</v>
      </c>
      <c r="AU12" s="675">
        <v>0</v>
      </c>
      <c r="AV12" s="675">
        <v>417374</v>
      </c>
      <c r="AW12" s="675">
        <v>4535731</v>
      </c>
      <c r="AX12" s="675">
        <v>4407514</v>
      </c>
      <c r="AY12" s="675">
        <v>4644581</v>
      </c>
      <c r="AZ12" s="675">
        <v>202775</v>
      </c>
      <c r="BA12" s="675">
        <v>46.5</v>
      </c>
      <c r="BB12" s="675">
        <v>0</v>
      </c>
      <c r="BC12" s="675">
        <v>0</v>
      </c>
      <c r="BD12" s="675">
        <v>0</v>
      </c>
      <c r="BE12" s="675">
        <v>0</v>
      </c>
      <c r="BF12" s="675">
        <v>3747587</v>
      </c>
      <c r="BG12" s="675">
        <v>0</v>
      </c>
      <c r="BH12" s="675">
        <v>90.326000000000008</v>
      </c>
      <c r="BI12" s="675">
        <v>24840</v>
      </c>
      <c r="BJ12" s="675">
        <v>12</v>
      </c>
      <c r="BK12" s="675">
        <v>0</v>
      </c>
      <c r="BL12" s="675">
        <v>0</v>
      </c>
      <c r="BM12" s="675">
        <v>0</v>
      </c>
      <c r="BN12" s="675">
        <v>0</v>
      </c>
      <c r="BO12" s="675">
        <v>0</v>
      </c>
      <c r="BP12" s="675">
        <v>0</v>
      </c>
      <c r="BQ12" s="675">
        <v>5392</v>
      </c>
      <c r="BR12" s="675">
        <v>1</v>
      </c>
      <c r="BS12" s="675">
        <v>0</v>
      </c>
      <c r="BT12" s="675">
        <v>0</v>
      </c>
      <c r="BU12" s="675">
        <v>0</v>
      </c>
      <c r="BV12" s="675">
        <v>0</v>
      </c>
      <c r="BW12" s="675">
        <v>0</v>
      </c>
      <c r="BX12" s="675">
        <v>0</v>
      </c>
      <c r="BY12" s="675">
        <v>0</v>
      </c>
      <c r="BZ12" s="675">
        <v>0</v>
      </c>
      <c r="CA12" s="675">
        <v>0</v>
      </c>
      <c r="CB12" s="675">
        <v>0</v>
      </c>
      <c r="CC12" s="675">
        <v>0</v>
      </c>
      <c r="CD12" s="675">
        <v>0</v>
      </c>
      <c r="CE12" s="675">
        <v>0</v>
      </c>
      <c r="CF12" s="675">
        <v>0</v>
      </c>
      <c r="CG12" s="675">
        <v>0</v>
      </c>
      <c r="CH12" s="675">
        <v>103377</v>
      </c>
      <c r="CI12" s="675">
        <v>0</v>
      </c>
      <c r="CJ12" s="675">
        <v>4</v>
      </c>
      <c r="CK12" s="675">
        <v>0</v>
      </c>
      <c r="CL12" s="675">
        <v>0</v>
      </c>
      <c r="CM12" s="675">
        <v>0</v>
      </c>
      <c r="CN12" s="675">
        <v>0</v>
      </c>
      <c r="CO12" s="675">
        <v>0</v>
      </c>
      <c r="CP12" s="675">
        <v>0</v>
      </c>
      <c r="CQ12" s="675">
        <v>0.58300000000000007</v>
      </c>
      <c r="CR12" s="675">
        <v>556.54500000000007</v>
      </c>
      <c r="CS12" s="675">
        <v>0</v>
      </c>
      <c r="CT12" s="675">
        <v>0</v>
      </c>
      <c r="CU12" s="675">
        <v>0</v>
      </c>
      <c r="CV12" s="675">
        <v>0</v>
      </c>
      <c r="CW12" s="675">
        <v>0</v>
      </c>
      <c r="CX12" s="675">
        <v>0</v>
      </c>
      <c r="CY12" s="675">
        <v>0</v>
      </c>
      <c r="CZ12" s="675">
        <v>0</v>
      </c>
      <c r="DA12" s="675">
        <v>1</v>
      </c>
      <c r="DB12" s="675">
        <v>2372987</v>
      </c>
      <c r="DC12" s="675">
        <v>0</v>
      </c>
      <c r="DD12" s="675">
        <v>0</v>
      </c>
      <c r="DE12" s="675">
        <v>820128</v>
      </c>
      <c r="DF12" s="675">
        <v>820128</v>
      </c>
      <c r="DG12" s="675">
        <v>625.66999999999996</v>
      </c>
      <c r="DH12" s="675">
        <v>0</v>
      </c>
      <c r="DI12" s="675">
        <v>0</v>
      </c>
      <c r="DJ12" s="675">
        <v>0</v>
      </c>
      <c r="DK12" s="675">
        <v>5392</v>
      </c>
      <c r="DL12" s="675">
        <v>0</v>
      </c>
      <c r="DM12" s="675">
        <v>272405</v>
      </c>
      <c r="DN12" s="675">
        <v>0</v>
      </c>
      <c r="DO12" s="675">
        <v>0</v>
      </c>
      <c r="DP12" s="675">
        <v>0</v>
      </c>
      <c r="DQ12" s="675">
        <v>0</v>
      </c>
      <c r="DR12" s="675">
        <v>0</v>
      </c>
      <c r="DS12" s="675">
        <v>0</v>
      </c>
      <c r="DT12" s="675">
        <v>0</v>
      </c>
      <c r="DU12" s="675">
        <v>0</v>
      </c>
      <c r="DV12" s="675">
        <v>0</v>
      </c>
      <c r="DW12" s="675">
        <v>0</v>
      </c>
      <c r="DX12" s="675">
        <v>0</v>
      </c>
      <c r="DY12" s="675">
        <v>0</v>
      </c>
      <c r="DZ12" s="675">
        <v>0</v>
      </c>
      <c r="EA12" s="675">
        <v>0</v>
      </c>
      <c r="EB12" s="675">
        <v>0</v>
      </c>
      <c r="EC12" s="675">
        <v>19.741</v>
      </c>
      <c r="ED12" s="675">
        <v>142321</v>
      </c>
      <c r="EE12" s="675">
        <v>0</v>
      </c>
      <c r="EF12" s="675">
        <v>0</v>
      </c>
      <c r="EG12" s="675">
        <v>0</v>
      </c>
      <c r="EH12" s="675">
        <v>130084</v>
      </c>
      <c r="EI12" s="675">
        <v>0</v>
      </c>
      <c r="EJ12" s="675">
        <v>0</v>
      </c>
      <c r="EK12" s="675">
        <v>3.9740000000000002</v>
      </c>
      <c r="EL12" s="675">
        <v>0</v>
      </c>
      <c r="EM12" s="675">
        <v>1.8620000000000001</v>
      </c>
      <c r="EN12" s="675">
        <v>0.46800000000000003</v>
      </c>
      <c r="EO12" s="675">
        <v>0</v>
      </c>
      <c r="EP12" s="675">
        <v>0</v>
      </c>
      <c r="EQ12" s="675">
        <v>6.3040000000000003</v>
      </c>
      <c r="ER12" s="675">
        <v>0</v>
      </c>
      <c r="ES12" s="675">
        <v>19.848000000000003</v>
      </c>
      <c r="ET12" s="675">
        <v>23396</v>
      </c>
      <c r="EU12" s="675">
        <v>202775</v>
      </c>
      <c r="EV12" s="675">
        <v>0</v>
      </c>
      <c r="EW12" s="675">
        <v>0</v>
      </c>
      <c r="EX12" s="675">
        <v>0</v>
      </c>
      <c r="EY12" s="675">
        <v>0</v>
      </c>
      <c r="EZ12" s="675">
        <v>3708404</v>
      </c>
      <c r="FA12" s="675">
        <v>0</v>
      </c>
      <c r="FB12" s="675">
        <v>3911179</v>
      </c>
      <c r="FC12" s="675">
        <v>0.97327799999999998</v>
      </c>
      <c r="FD12" s="675">
        <v>0</v>
      </c>
      <c r="FE12" s="675">
        <v>570540</v>
      </c>
      <c r="FF12" s="675">
        <v>128570</v>
      </c>
      <c r="FG12" s="675">
        <v>6.1239999999999996E-2</v>
      </c>
      <c r="FH12" s="675">
        <v>5.4803999999999999E-2</v>
      </c>
      <c r="FI12" s="675">
        <v>0</v>
      </c>
      <c r="FJ12" s="675">
        <v>0</v>
      </c>
      <c r="FK12" s="675">
        <v>734.27</v>
      </c>
      <c r="FL12" s="675">
        <v>4713666</v>
      </c>
      <c r="FM12" s="675">
        <v>0</v>
      </c>
      <c r="FN12" s="675">
        <v>0</v>
      </c>
      <c r="FO12" s="675">
        <v>35858</v>
      </c>
      <c r="FP12" s="675">
        <v>0</v>
      </c>
      <c r="FQ12" s="675">
        <v>35858</v>
      </c>
      <c r="FR12" s="675">
        <v>35858</v>
      </c>
      <c r="FS12" s="675">
        <v>0</v>
      </c>
      <c r="FT12" s="675">
        <v>0</v>
      </c>
      <c r="FU12" s="675">
        <v>0</v>
      </c>
      <c r="FV12" s="675">
        <v>0</v>
      </c>
      <c r="FW12" s="675">
        <v>0</v>
      </c>
      <c r="FX12" s="675">
        <v>0</v>
      </c>
      <c r="FY12" s="675">
        <v>0</v>
      </c>
      <c r="FZ12" s="675">
        <v>621</v>
      </c>
      <c r="GA12" s="675">
        <v>12.429</v>
      </c>
      <c r="GB12" s="675">
        <v>332081</v>
      </c>
      <c r="GC12" s="675">
        <v>332081</v>
      </c>
      <c r="GD12" s="675">
        <v>37.462000000000003</v>
      </c>
      <c r="GE12" s="675">
        <v>0</v>
      </c>
      <c r="GF12" s="675">
        <v>0</v>
      </c>
      <c r="GG12" s="675">
        <v>0</v>
      </c>
      <c r="GH12" s="675">
        <v>0</v>
      </c>
      <c r="GI12" s="675">
        <v>0</v>
      </c>
      <c r="GJ12" s="675">
        <v>0</v>
      </c>
      <c r="GK12" s="675">
        <v>5180</v>
      </c>
      <c r="GL12" s="675">
        <v>80006</v>
      </c>
      <c r="GM12" s="675">
        <v>0</v>
      </c>
      <c r="GN12" s="675">
        <v>248790</v>
      </c>
      <c r="GO12" s="675">
        <v>0</v>
      </c>
      <c r="GP12" s="675">
        <v>4610289</v>
      </c>
      <c r="GQ12" s="675">
        <v>4610289</v>
      </c>
      <c r="GR12" s="675">
        <v>0</v>
      </c>
      <c r="GS12" s="675">
        <v>0</v>
      </c>
      <c r="GT12" s="675">
        <v>0</v>
      </c>
      <c r="GU12" s="675">
        <v>0</v>
      </c>
      <c r="GV12" s="675">
        <v>0</v>
      </c>
      <c r="GW12" s="675">
        <v>0</v>
      </c>
      <c r="GX12" s="675">
        <v>0</v>
      </c>
      <c r="GY12" s="675">
        <v>0</v>
      </c>
      <c r="GZ12" s="675">
        <v>0</v>
      </c>
      <c r="HA12" s="675">
        <v>0</v>
      </c>
      <c r="HB12" s="675">
        <v>260786259</v>
      </c>
      <c r="HC12" s="675">
        <v>5.0923999999999997E-2</v>
      </c>
      <c r="HD12" s="675">
        <v>79981</v>
      </c>
      <c r="HE12" s="675">
        <v>0</v>
      </c>
      <c r="HF12" s="675">
        <v>0</v>
      </c>
      <c r="HG12" s="675">
        <v>0</v>
      </c>
      <c r="HH12" s="675">
        <v>0</v>
      </c>
      <c r="HI12" s="675">
        <v>0</v>
      </c>
      <c r="HJ12" s="675">
        <v>0</v>
      </c>
      <c r="HK12" s="675">
        <v>0</v>
      </c>
      <c r="HL12" s="675">
        <v>0</v>
      </c>
      <c r="HM12" s="675">
        <v>0</v>
      </c>
      <c r="HN12" s="675">
        <v>0</v>
      </c>
      <c r="HO12" s="675">
        <v>0</v>
      </c>
      <c r="HP12" s="675">
        <v>0</v>
      </c>
      <c r="HQ12" s="675">
        <v>0</v>
      </c>
      <c r="HR12" s="675">
        <v>0</v>
      </c>
      <c r="HS12" s="675">
        <v>0</v>
      </c>
      <c r="HT12" s="675">
        <v>0</v>
      </c>
      <c r="HU12" s="675">
        <v>0</v>
      </c>
      <c r="HV12" s="675">
        <v>0</v>
      </c>
      <c r="HW12" s="675">
        <v>0</v>
      </c>
      <c r="HX12" s="675">
        <v>0</v>
      </c>
      <c r="HY12" s="675">
        <v>0</v>
      </c>
      <c r="HZ12" s="675">
        <v>0</v>
      </c>
      <c r="IA12" s="675">
        <v>0</v>
      </c>
      <c r="IB12" s="675">
        <v>0</v>
      </c>
      <c r="IC12" s="675">
        <v>0</v>
      </c>
      <c r="ID12" s="675">
        <v>0</v>
      </c>
      <c r="IE12" s="675">
        <v>0</v>
      </c>
      <c r="IF12" s="675">
        <v>0</v>
      </c>
      <c r="IG12" s="675">
        <v>0</v>
      </c>
      <c r="IH12" s="675">
        <v>0</v>
      </c>
      <c r="II12" s="675">
        <v>0</v>
      </c>
      <c r="IJ12" s="675">
        <v>0</v>
      </c>
      <c r="IK12" s="675">
        <v>0</v>
      </c>
      <c r="IL12" s="675">
        <v>0</v>
      </c>
      <c r="IM12" s="675">
        <v>0</v>
      </c>
      <c r="IN12" s="675">
        <v>0</v>
      </c>
      <c r="IO12" s="675">
        <v>0</v>
      </c>
      <c r="IP12" s="675">
        <v>0</v>
      </c>
      <c r="IQ12" s="675">
        <v>0</v>
      </c>
      <c r="IR12" s="675">
        <v>0</v>
      </c>
      <c r="IS12" s="675">
        <v>0</v>
      </c>
      <c r="IT12" s="675">
        <v>0</v>
      </c>
      <c r="IU12" s="675">
        <v>0</v>
      </c>
      <c r="IV12" s="675">
        <v>0</v>
      </c>
      <c r="IW12" s="675">
        <v>0</v>
      </c>
      <c r="IX12" s="675">
        <v>0</v>
      </c>
      <c r="IY12" s="675">
        <v>0</v>
      </c>
      <c r="IZ12" s="675">
        <v>0</v>
      </c>
      <c r="JA12" s="675">
        <v>0</v>
      </c>
      <c r="JB12" s="675">
        <v>0</v>
      </c>
      <c r="JC12" s="675">
        <v>0</v>
      </c>
      <c r="JD12" s="675">
        <v>0</v>
      </c>
      <c r="JE12" s="675">
        <v>0</v>
      </c>
      <c r="JF12" s="675">
        <v>0</v>
      </c>
      <c r="JG12" s="675">
        <v>0</v>
      </c>
      <c r="JH12" s="675">
        <v>0</v>
      </c>
      <c r="JI12" s="675">
        <v>0</v>
      </c>
      <c r="JJ12" s="675">
        <v>0</v>
      </c>
      <c r="JK12" s="675">
        <v>0</v>
      </c>
      <c r="JL12" s="675">
        <v>0</v>
      </c>
      <c r="JM12" s="675">
        <v>0</v>
      </c>
      <c r="JN12" s="675">
        <v>32469</v>
      </c>
      <c r="JO12" s="675">
        <v>0</v>
      </c>
      <c r="JP12" s="675">
        <v>0</v>
      </c>
      <c r="JQ12" s="675">
        <v>0</v>
      </c>
      <c r="JR12" s="675">
        <v>0</v>
      </c>
      <c r="JS12" s="675">
        <v>0</v>
      </c>
      <c r="JT12" s="675">
        <v>0</v>
      </c>
      <c r="JU12" s="675">
        <v>0</v>
      </c>
      <c r="JV12" s="675">
        <v>0</v>
      </c>
      <c r="JW12" s="675">
        <v>0</v>
      </c>
      <c r="JX12" s="675">
        <v>0</v>
      </c>
      <c r="JY12" s="675">
        <v>0</v>
      </c>
      <c r="JZ12" s="675">
        <v>0</v>
      </c>
      <c r="KA12" s="675">
        <v>0</v>
      </c>
      <c r="KB12" s="675">
        <v>0</v>
      </c>
      <c r="KC12" s="675">
        <v>0</v>
      </c>
      <c r="KD12" s="675">
        <v>0</v>
      </c>
      <c r="KE12" s="675">
        <v>0</v>
      </c>
      <c r="KF12" s="675">
        <v>0</v>
      </c>
    </row>
    <row r="13" spans="1:292" x14ac:dyDescent="0.25">
      <c r="A13" s="675">
        <v>15807</v>
      </c>
      <c r="B13" s="675">
        <v>32570</v>
      </c>
      <c r="C13" s="675">
        <v>35</v>
      </c>
      <c r="D13" s="675">
        <v>2022</v>
      </c>
      <c r="E13" s="675">
        <v>5392</v>
      </c>
      <c r="F13" s="675">
        <v>0</v>
      </c>
      <c r="G13" s="675">
        <v>835.51</v>
      </c>
      <c r="H13" s="675">
        <v>754.81100000000004</v>
      </c>
      <c r="I13" s="675">
        <v>754.81100000000004</v>
      </c>
      <c r="J13" s="675">
        <v>835.51</v>
      </c>
      <c r="K13" s="675">
        <v>0</v>
      </c>
      <c r="L13" s="675">
        <v>6554</v>
      </c>
      <c r="M13" s="675">
        <v>0</v>
      </c>
      <c r="N13" s="675">
        <v>0</v>
      </c>
      <c r="O13" s="675">
        <v>0</v>
      </c>
      <c r="P13" s="675">
        <v>857.90200000000004</v>
      </c>
      <c r="Q13" s="675">
        <v>0</v>
      </c>
      <c r="R13" s="675">
        <v>274282</v>
      </c>
      <c r="S13" s="675">
        <v>319.71300000000002</v>
      </c>
      <c r="T13" s="675">
        <v>0</v>
      </c>
      <c r="U13" s="675">
        <v>274282</v>
      </c>
      <c r="V13" s="675">
        <v>71.153999999999996</v>
      </c>
      <c r="W13" s="675">
        <v>46634</v>
      </c>
      <c r="X13" s="675">
        <v>46634</v>
      </c>
      <c r="Y13" s="675">
        <v>0</v>
      </c>
      <c r="Z13" s="675">
        <v>0</v>
      </c>
      <c r="AA13" s="675">
        <v>1</v>
      </c>
      <c r="AB13" s="675">
        <v>1</v>
      </c>
      <c r="AC13" s="675">
        <v>0</v>
      </c>
      <c r="AD13" s="675" t="s">
        <v>316</v>
      </c>
      <c r="AE13" s="675">
        <v>0</v>
      </c>
      <c r="AF13" s="675">
        <v>0</v>
      </c>
      <c r="AG13" s="675">
        <v>0</v>
      </c>
      <c r="AH13" s="675">
        <v>0</v>
      </c>
      <c r="AI13" s="675">
        <v>0</v>
      </c>
      <c r="AJ13" s="675">
        <v>5104</v>
      </c>
      <c r="AK13" s="675" t="s">
        <v>671</v>
      </c>
      <c r="AL13" s="675" t="s">
        <v>39</v>
      </c>
      <c r="AM13" s="675">
        <v>0</v>
      </c>
      <c r="AN13" s="675">
        <v>0</v>
      </c>
      <c r="AO13" s="675">
        <v>0</v>
      </c>
      <c r="AP13" s="675">
        <v>0</v>
      </c>
      <c r="AQ13" s="675">
        <v>0</v>
      </c>
      <c r="AR13" s="675">
        <v>0</v>
      </c>
      <c r="AS13" s="675">
        <v>0</v>
      </c>
      <c r="AT13" s="675">
        <v>0</v>
      </c>
      <c r="AU13" s="675">
        <v>0</v>
      </c>
      <c r="AV13" s="675">
        <v>232102</v>
      </c>
      <c r="AW13" s="675">
        <v>8706541</v>
      </c>
      <c r="AX13" s="675">
        <v>8456391</v>
      </c>
      <c r="AY13" s="675">
        <v>8994293</v>
      </c>
      <c r="AZ13" s="675">
        <v>341480</v>
      </c>
      <c r="BA13" s="675">
        <v>36.082999999999998</v>
      </c>
      <c r="BB13" s="675">
        <v>32856</v>
      </c>
      <c r="BC13" s="675">
        <v>32856</v>
      </c>
      <c r="BD13" s="675">
        <v>41.776000000000003</v>
      </c>
      <c r="BE13" s="675">
        <v>0</v>
      </c>
      <c r="BF13" s="675">
        <v>7175934</v>
      </c>
      <c r="BG13" s="675">
        <v>0</v>
      </c>
      <c r="BH13" s="675">
        <v>244.358</v>
      </c>
      <c r="BI13" s="675">
        <v>67198</v>
      </c>
      <c r="BJ13" s="675">
        <v>12</v>
      </c>
      <c r="BK13" s="675">
        <v>0</v>
      </c>
      <c r="BL13" s="675">
        <v>0</v>
      </c>
      <c r="BM13" s="675">
        <v>0</v>
      </c>
      <c r="BN13" s="675">
        <v>0</v>
      </c>
      <c r="BO13" s="675">
        <v>0</v>
      </c>
      <c r="BP13" s="675">
        <v>0</v>
      </c>
      <c r="BQ13" s="675">
        <v>5392</v>
      </c>
      <c r="BR13" s="675">
        <v>1</v>
      </c>
      <c r="BS13" s="675">
        <v>0</v>
      </c>
      <c r="BT13" s="675">
        <v>0</v>
      </c>
      <c r="BU13" s="675">
        <v>0</v>
      </c>
      <c r="BV13" s="675">
        <v>0</v>
      </c>
      <c r="BW13" s="675">
        <v>0</v>
      </c>
      <c r="BX13" s="675">
        <v>0</v>
      </c>
      <c r="BY13" s="675">
        <v>0</v>
      </c>
      <c r="BZ13" s="675">
        <v>0</v>
      </c>
      <c r="CA13" s="675">
        <v>0</v>
      </c>
      <c r="CB13" s="675">
        <v>0</v>
      </c>
      <c r="CC13" s="675">
        <v>0</v>
      </c>
      <c r="CD13" s="675">
        <v>0</v>
      </c>
      <c r="CE13" s="675">
        <v>0</v>
      </c>
      <c r="CF13" s="675">
        <v>0</v>
      </c>
      <c r="CG13" s="675">
        <v>0</v>
      </c>
      <c r="CH13" s="675">
        <v>182952</v>
      </c>
      <c r="CI13" s="675">
        <v>0</v>
      </c>
      <c r="CJ13" s="675">
        <v>4</v>
      </c>
      <c r="CK13" s="675">
        <v>0</v>
      </c>
      <c r="CL13" s="675">
        <v>0</v>
      </c>
      <c r="CM13" s="675">
        <v>0</v>
      </c>
      <c r="CN13" s="675">
        <v>0</v>
      </c>
      <c r="CO13" s="675">
        <v>0</v>
      </c>
      <c r="CP13" s="675">
        <v>0</v>
      </c>
      <c r="CQ13" s="675">
        <v>1</v>
      </c>
      <c r="CR13" s="675">
        <v>857.90200000000004</v>
      </c>
      <c r="CS13" s="675">
        <v>0</v>
      </c>
      <c r="CT13" s="675">
        <v>0</v>
      </c>
      <c r="CU13" s="675">
        <v>0</v>
      </c>
      <c r="CV13" s="675">
        <v>0</v>
      </c>
      <c r="CW13" s="675">
        <v>0</v>
      </c>
      <c r="CX13" s="675">
        <v>0</v>
      </c>
      <c r="CY13" s="675">
        <v>0</v>
      </c>
      <c r="CZ13" s="675">
        <v>0</v>
      </c>
      <c r="DA13" s="675">
        <v>1</v>
      </c>
      <c r="DB13" s="675">
        <v>4947031</v>
      </c>
      <c r="DC13" s="675">
        <v>0</v>
      </c>
      <c r="DD13" s="675">
        <v>0</v>
      </c>
      <c r="DE13" s="675">
        <v>1073545</v>
      </c>
      <c r="DF13" s="675">
        <v>1073545</v>
      </c>
      <c r="DG13" s="675">
        <v>819</v>
      </c>
      <c r="DH13" s="675">
        <v>0</v>
      </c>
      <c r="DI13" s="675">
        <v>0</v>
      </c>
      <c r="DJ13" s="675">
        <v>0</v>
      </c>
      <c r="DK13" s="675">
        <v>5392</v>
      </c>
      <c r="DL13" s="675">
        <v>0</v>
      </c>
      <c r="DM13" s="675">
        <v>778632</v>
      </c>
      <c r="DN13" s="675">
        <v>0</v>
      </c>
      <c r="DO13" s="675">
        <v>0</v>
      </c>
      <c r="DP13" s="675">
        <v>0</v>
      </c>
      <c r="DQ13" s="675">
        <v>0</v>
      </c>
      <c r="DR13" s="675">
        <v>0</v>
      </c>
      <c r="DS13" s="675">
        <v>0</v>
      </c>
      <c r="DT13" s="675">
        <v>0</v>
      </c>
      <c r="DU13" s="675">
        <v>0</v>
      </c>
      <c r="DV13" s="675">
        <v>0</v>
      </c>
      <c r="DW13" s="675">
        <v>0</v>
      </c>
      <c r="DX13" s="675">
        <v>0</v>
      </c>
      <c r="DY13" s="675">
        <v>0</v>
      </c>
      <c r="DZ13" s="675">
        <v>0</v>
      </c>
      <c r="EA13" s="675">
        <v>0</v>
      </c>
      <c r="EB13" s="675">
        <v>0</v>
      </c>
      <c r="EC13" s="675">
        <v>36.315000000000005</v>
      </c>
      <c r="ED13" s="675">
        <v>261809</v>
      </c>
      <c r="EE13" s="675">
        <v>0</v>
      </c>
      <c r="EF13" s="675">
        <v>0</v>
      </c>
      <c r="EG13" s="675">
        <v>0</v>
      </c>
      <c r="EH13" s="675">
        <v>488221</v>
      </c>
      <c r="EI13" s="675">
        <v>28602</v>
      </c>
      <c r="EJ13" s="675">
        <v>1.091</v>
      </c>
      <c r="EK13" s="675">
        <v>21.567</v>
      </c>
      <c r="EL13" s="675">
        <v>0</v>
      </c>
      <c r="EM13" s="675">
        <v>0.65700000000000003</v>
      </c>
      <c r="EN13" s="675">
        <v>1.5640000000000001</v>
      </c>
      <c r="EO13" s="675">
        <v>0</v>
      </c>
      <c r="EP13" s="675">
        <v>0</v>
      </c>
      <c r="EQ13" s="675">
        <v>24.879000000000001</v>
      </c>
      <c r="ER13" s="675">
        <v>0</v>
      </c>
      <c r="ES13" s="675">
        <v>74.492000000000004</v>
      </c>
      <c r="ET13" s="675">
        <v>18292</v>
      </c>
      <c r="EU13" s="675">
        <v>341480</v>
      </c>
      <c r="EV13" s="675">
        <v>0</v>
      </c>
      <c r="EW13" s="675">
        <v>0</v>
      </c>
      <c r="EX13" s="675">
        <v>0</v>
      </c>
      <c r="EY13" s="675">
        <v>0</v>
      </c>
      <c r="EZ13" s="675">
        <v>7117723</v>
      </c>
      <c r="FA13" s="675">
        <v>0</v>
      </c>
      <c r="FB13" s="675">
        <v>7459203</v>
      </c>
      <c r="FC13" s="675">
        <v>0.97327799999999998</v>
      </c>
      <c r="FD13" s="675">
        <v>0</v>
      </c>
      <c r="FE13" s="675">
        <v>1092479</v>
      </c>
      <c r="FF13" s="675">
        <v>246189</v>
      </c>
      <c r="FG13" s="675">
        <v>6.1239999999999996E-2</v>
      </c>
      <c r="FH13" s="675">
        <v>5.4803999999999999E-2</v>
      </c>
      <c r="FI13" s="675">
        <v>0</v>
      </c>
      <c r="FJ13" s="675">
        <v>0</v>
      </c>
      <c r="FK13" s="675">
        <v>1405.992</v>
      </c>
      <c r="FL13" s="675">
        <v>8980823</v>
      </c>
      <c r="FM13" s="675">
        <v>0</v>
      </c>
      <c r="FN13" s="675">
        <v>0</v>
      </c>
      <c r="FO13" s="675">
        <v>19047</v>
      </c>
      <c r="FP13" s="675">
        <v>0</v>
      </c>
      <c r="FQ13" s="675">
        <v>19047</v>
      </c>
      <c r="FR13" s="675">
        <v>19047</v>
      </c>
      <c r="FS13" s="675">
        <v>0</v>
      </c>
      <c r="FT13" s="675">
        <v>0</v>
      </c>
      <c r="FU13" s="675">
        <v>0</v>
      </c>
      <c r="FV13" s="675">
        <v>0</v>
      </c>
      <c r="FW13" s="675">
        <v>0</v>
      </c>
      <c r="FX13" s="675">
        <v>0</v>
      </c>
      <c r="FY13" s="675">
        <v>0</v>
      </c>
      <c r="FZ13" s="675">
        <v>370</v>
      </c>
      <c r="GA13" s="675">
        <v>7.4</v>
      </c>
      <c r="GB13" s="675">
        <v>494260</v>
      </c>
      <c r="GC13" s="675">
        <v>494260</v>
      </c>
      <c r="GD13" s="675">
        <v>55.82</v>
      </c>
      <c r="GE13" s="675">
        <v>0</v>
      </c>
      <c r="GF13" s="675">
        <v>0</v>
      </c>
      <c r="GG13" s="675">
        <v>0</v>
      </c>
      <c r="GH13" s="675">
        <v>0</v>
      </c>
      <c r="GI13" s="675">
        <v>0</v>
      </c>
      <c r="GJ13" s="675">
        <v>0</v>
      </c>
      <c r="GK13" s="675">
        <v>5220</v>
      </c>
      <c r="GL13" s="675">
        <v>23309</v>
      </c>
      <c r="GM13" s="675">
        <v>0</v>
      </c>
      <c r="GN13" s="675">
        <v>0</v>
      </c>
      <c r="GO13" s="675">
        <v>0</v>
      </c>
      <c r="GP13" s="675">
        <v>8797871</v>
      </c>
      <c r="GQ13" s="675">
        <v>8797871</v>
      </c>
      <c r="GR13" s="675">
        <v>0</v>
      </c>
      <c r="GS13" s="675">
        <v>0</v>
      </c>
      <c r="GT13" s="675">
        <v>0</v>
      </c>
      <c r="GU13" s="675">
        <v>0</v>
      </c>
      <c r="GV13" s="675">
        <v>0</v>
      </c>
      <c r="GW13" s="675">
        <v>0</v>
      </c>
      <c r="GX13" s="675">
        <v>0</v>
      </c>
      <c r="GY13" s="675">
        <v>0</v>
      </c>
      <c r="GZ13" s="675">
        <v>0</v>
      </c>
      <c r="HA13" s="675">
        <v>0</v>
      </c>
      <c r="HB13" s="675">
        <v>260786259</v>
      </c>
      <c r="HC13" s="675">
        <v>5.0923999999999997E-2</v>
      </c>
      <c r="HD13" s="675">
        <v>164660</v>
      </c>
      <c r="HE13" s="675">
        <v>0</v>
      </c>
      <c r="HF13" s="675">
        <v>0</v>
      </c>
      <c r="HG13" s="675">
        <v>0</v>
      </c>
      <c r="HH13" s="675">
        <v>0</v>
      </c>
      <c r="HI13" s="675">
        <v>0</v>
      </c>
      <c r="HJ13" s="675">
        <v>0</v>
      </c>
      <c r="HK13" s="675">
        <v>0</v>
      </c>
      <c r="HL13" s="675">
        <v>0</v>
      </c>
      <c r="HM13" s="675">
        <v>0</v>
      </c>
      <c r="HN13" s="675">
        <v>0</v>
      </c>
      <c r="HO13" s="675">
        <v>0</v>
      </c>
      <c r="HP13" s="675">
        <v>0</v>
      </c>
      <c r="HQ13" s="675">
        <v>0</v>
      </c>
      <c r="HR13" s="675">
        <v>0</v>
      </c>
      <c r="HS13" s="675">
        <v>0</v>
      </c>
      <c r="HT13" s="675">
        <v>0</v>
      </c>
      <c r="HU13" s="675">
        <v>0</v>
      </c>
      <c r="HV13" s="675">
        <v>0</v>
      </c>
      <c r="HW13" s="675">
        <v>0</v>
      </c>
      <c r="HX13" s="675">
        <v>0</v>
      </c>
      <c r="HY13" s="675">
        <v>0</v>
      </c>
      <c r="HZ13" s="675">
        <v>0</v>
      </c>
      <c r="IA13" s="675">
        <v>0</v>
      </c>
      <c r="IB13" s="675">
        <v>0</v>
      </c>
      <c r="IC13" s="675">
        <v>0</v>
      </c>
      <c r="ID13" s="675">
        <v>0</v>
      </c>
      <c r="IE13" s="675">
        <v>0</v>
      </c>
      <c r="IF13" s="675">
        <v>0</v>
      </c>
      <c r="IG13" s="675">
        <v>0</v>
      </c>
      <c r="IH13" s="675">
        <v>0</v>
      </c>
      <c r="II13" s="675">
        <v>0</v>
      </c>
      <c r="IJ13" s="675">
        <v>0</v>
      </c>
      <c r="IK13" s="675">
        <v>0</v>
      </c>
      <c r="IL13" s="675">
        <v>0</v>
      </c>
      <c r="IM13" s="675">
        <v>0</v>
      </c>
      <c r="IN13" s="675">
        <v>0</v>
      </c>
      <c r="IO13" s="675">
        <v>0</v>
      </c>
      <c r="IP13" s="675">
        <v>0</v>
      </c>
      <c r="IQ13" s="675">
        <v>0</v>
      </c>
      <c r="IR13" s="675">
        <v>0</v>
      </c>
      <c r="IS13" s="675">
        <v>0</v>
      </c>
      <c r="IT13" s="675">
        <v>0</v>
      </c>
      <c r="IU13" s="675">
        <v>0</v>
      </c>
      <c r="IV13" s="675">
        <v>0</v>
      </c>
      <c r="IW13" s="675">
        <v>0</v>
      </c>
      <c r="IX13" s="675">
        <v>0</v>
      </c>
      <c r="IY13" s="675">
        <v>0</v>
      </c>
      <c r="IZ13" s="675">
        <v>0</v>
      </c>
      <c r="JA13" s="675">
        <v>0</v>
      </c>
      <c r="JB13" s="675">
        <v>0</v>
      </c>
      <c r="JC13" s="675">
        <v>0</v>
      </c>
      <c r="JD13" s="675">
        <v>0</v>
      </c>
      <c r="JE13" s="675">
        <v>0</v>
      </c>
      <c r="JF13" s="675">
        <v>0</v>
      </c>
      <c r="JG13" s="675">
        <v>0</v>
      </c>
      <c r="JH13" s="675">
        <v>0</v>
      </c>
      <c r="JI13" s="675">
        <v>0</v>
      </c>
      <c r="JJ13" s="675">
        <v>0</v>
      </c>
      <c r="JK13" s="675">
        <v>0</v>
      </c>
      <c r="JL13" s="675">
        <v>0</v>
      </c>
      <c r="JM13" s="675">
        <v>0</v>
      </c>
      <c r="JN13" s="675">
        <v>32469</v>
      </c>
      <c r="JO13" s="675">
        <v>0</v>
      </c>
      <c r="JP13" s="675">
        <v>0</v>
      </c>
      <c r="JQ13" s="675">
        <v>0</v>
      </c>
      <c r="JR13" s="675">
        <v>0</v>
      </c>
      <c r="JS13" s="675">
        <v>0</v>
      </c>
      <c r="JT13" s="675">
        <v>0</v>
      </c>
      <c r="JU13" s="675">
        <v>0</v>
      </c>
      <c r="JV13" s="675">
        <v>0</v>
      </c>
      <c r="JW13" s="675">
        <v>0</v>
      </c>
      <c r="JX13" s="675">
        <v>0</v>
      </c>
      <c r="JY13" s="675">
        <v>0</v>
      </c>
      <c r="JZ13" s="675">
        <v>0</v>
      </c>
      <c r="KA13" s="675">
        <v>0</v>
      </c>
      <c r="KB13" s="675">
        <v>0</v>
      </c>
      <c r="KC13" s="675">
        <v>0</v>
      </c>
      <c r="KD13" s="675">
        <v>0</v>
      </c>
      <c r="KE13" s="675">
        <v>0</v>
      </c>
      <c r="KF13" s="675">
        <v>0</v>
      </c>
    </row>
    <row r="14" spans="1:292" x14ac:dyDescent="0.25">
      <c r="A14" s="675">
        <v>15808</v>
      </c>
      <c r="B14" s="675">
        <v>32570</v>
      </c>
      <c r="C14" s="675">
        <v>35</v>
      </c>
      <c r="D14" s="675">
        <v>2022</v>
      </c>
      <c r="E14" s="675">
        <v>5392</v>
      </c>
      <c r="F14" s="675">
        <v>0</v>
      </c>
      <c r="G14" s="675">
        <v>768.048</v>
      </c>
      <c r="H14" s="675">
        <v>621.35300000000007</v>
      </c>
      <c r="I14" s="675">
        <v>621.35300000000007</v>
      </c>
      <c r="J14" s="675">
        <v>768.048</v>
      </c>
      <c r="K14" s="675">
        <v>0</v>
      </c>
      <c r="L14" s="675">
        <v>6554</v>
      </c>
      <c r="M14" s="675">
        <v>0</v>
      </c>
      <c r="N14" s="675">
        <v>0</v>
      </c>
      <c r="O14" s="675">
        <v>0</v>
      </c>
      <c r="P14" s="675">
        <v>806.97900000000004</v>
      </c>
      <c r="Q14" s="675">
        <v>0</v>
      </c>
      <c r="R14" s="675">
        <v>258002</v>
      </c>
      <c r="S14" s="675">
        <v>319.71300000000002</v>
      </c>
      <c r="T14" s="675">
        <v>0</v>
      </c>
      <c r="U14" s="675">
        <v>258002</v>
      </c>
      <c r="V14" s="675">
        <v>8.1150000000000002</v>
      </c>
      <c r="W14" s="675">
        <v>5319</v>
      </c>
      <c r="X14" s="675">
        <v>5319</v>
      </c>
      <c r="Y14" s="675">
        <v>0</v>
      </c>
      <c r="Z14" s="675">
        <v>0</v>
      </c>
      <c r="AA14" s="675">
        <v>1</v>
      </c>
      <c r="AB14" s="675">
        <v>1</v>
      </c>
      <c r="AC14" s="675">
        <v>0</v>
      </c>
      <c r="AD14" s="675" t="s">
        <v>316</v>
      </c>
      <c r="AE14" s="675">
        <v>0</v>
      </c>
      <c r="AF14" s="675">
        <v>0</v>
      </c>
      <c r="AG14" s="675">
        <v>0</v>
      </c>
      <c r="AH14" s="675">
        <v>0</v>
      </c>
      <c r="AI14" s="675">
        <v>0</v>
      </c>
      <c r="AJ14" s="675">
        <v>5104</v>
      </c>
      <c r="AK14" s="675" t="s">
        <v>671</v>
      </c>
      <c r="AL14" s="675" t="s">
        <v>444</v>
      </c>
      <c r="AM14" s="675">
        <v>0</v>
      </c>
      <c r="AN14" s="675">
        <v>0</v>
      </c>
      <c r="AO14" s="675">
        <v>0</v>
      </c>
      <c r="AP14" s="675">
        <v>0</v>
      </c>
      <c r="AQ14" s="675">
        <v>0</v>
      </c>
      <c r="AR14" s="675">
        <v>0</v>
      </c>
      <c r="AS14" s="675">
        <v>0</v>
      </c>
      <c r="AT14" s="675">
        <v>0</v>
      </c>
      <c r="AU14" s="675">
        <v>0</v>
      </c>
      <c r="AV14" s="675">
        <v>415669</v>
      </c>
      <c r="AW14" s="675">
        <v>10468941</v>
      </c>
      <c r="AX14" s="675">
        <v>10213249</v>
      </c>
      <c r="AY14" s="675">
        <v>10555878</v>
      </c>
      <c r="AZ14" s="675">
        <v>362329</v>
      </c>
      <c r="BA14" s="675">
        <v>0</v>
      </c>
      <c r="BB14" s="675">
        <v>0</v>
      </c>
      <c r="BC14" s="675">
        <v>0</v>
      </c>
      <c r="BD14" s="675">
        <v>0</v>
      </c>
      <c r="BE14" s="675">
        <v>0</v>
      </c>
      <c r="BF14" s="675">
        <v>8625372</v>
      </c>
      <c r="BG14" s="675">
        <v>0</v>
      </c>
      <c r="BH14" s="675">
        <v>379.37100000000004</v>
      </c>
      <c r="BI14" s="675">
        <v>104327</v>
      </c>
      <c r="BJ14" s="675">
        <v>12</v>
      </c>
      <c r="BK14" s="675">
        <v>0</v>
      </c>
      <c r="BL14" s="675">
        <v>0</v>
      </c>
      <c r="BM14" s="675">
        <v>0</v>
      </c>
      <c r="BN14" s="675">
        <v>0</v>
      </c>
      <c r="BO14" s="675">
        <v>0</v>
      </c>
      <c r="BP14" s="675">
        <v>0</v>
      </c>
      <c r="BQ14" s="675">
        <v>5392</v>
      </c>
      <c r="BR14" s="675">
        <v>1</v>
      </c>
      <c r="BS14" s="675">
        <v>0</v>
      </c>
      <c r="BT14" s="675">
        <v>0</v>
      </c>
      <c r="BU14" s="675">
        <v>0</v>
      </c>
      <c r="BV14" s="675">
        <v>0</v>
      </c>
      <c r="BW14" s="675">
        <v>0</v>
      </c>
      <c r="BX14" s="675">
        <v>0</v>
      </c>
      <c r="BY14" s="675">
        <v>0</v>
      </c>
      <c r="BZ14" s="675">
        <v>0</v>
      </c>
      <c r="CA14" s="675">
        <v>0</v>
      </c>
      <c r="CB14" s="675">
        <v>0</v>
      </c>
      <c r="CC14" s="675">
        <v>0</v>
      </c>
      <c r="CD14" s="675">
        <v>0</v>
      </c>
      <c r="CE14" s="675">
        <v>0</v>
      </c>
      <c r="CF14" s="675">
        <v>0</v>
      </c>
      <c r="CG14" s="675">
        <v>0</v>
      </c>
      <c r="CH14" s="675">
        <v>151365</v>
      </c>
      <c r="CI14" s="675">
        <v>0</v>
      </c>
      <c r="CJ14" s="675">
        <v>4</v>
      </c>
      <c r="CK14" s="675">
        <v>0</v>
      </c>
      <c r="CL14" s="675">
        <v>0</v>
      </c>
      <c r="CM14" s="675">
        <v>0</v>
      </c>
      <c r="CN14" s="675">
        <v>0</v>
      </c>
      <c r="CO14" s="675">
        <v>0</v>
      </c>
      <c r="CP14" s="675">
        <v>0</v>
      </c>
      <c r="CQ14" s="675">
        <v>0</v>
      </c>
      <c r="CR14" s="675">
        <v>806.97900000000004</v>
      </c>
      <c r="CS14" s="675">
        <v>0</v>
      </c>
      <c r="CT14" s="675">
        <v>0</v>
      </c>
      <c r="CU14" s="675">
        <v>0</v>
      </c>
      <c r="CV14" s="675">
        <v>0</v>
      </c>
      <c r="CW14" s="675">
        <v>0</v>
      </c>
      <c r="CX14" s="675">
        <v>0</v>
      </c>
      <c r="CY14" s="675">
        <v>0</v>
      </c>
      <c r="CZ14" s="675">
        <v>0</v>
      </c>
      <c r="DA14" s="675">
        <v>1</v>
      </c>
      <c r="DB14" s="675">
        <v>4072348</v>
      </c>
      <c r="DC14" s="675">
        <v>0</v>
      </c>
      <c r="DD14" s="675">
        <v>0</v>
      </c>
      <c r="DE14" s="675">
        <v>757420</v>
      </c>
      <c r="DF14" s="675">
        <v>757420</v>
      </c>
      <c r="DG14" s="675">
        <v>577.83000000000004</v>
      </c>
      <c r="DH14" s="675">
        <v>0</v>
      </c>
      <c r="DI14" s="675">
        <v>0</v>
      </c>
      <c r="DJ14" s="675">
        <v>0</v>
      </c>
      <c r="DK14" s="675">
        <v>5392</v>
      </c>
      <c r="DL14" s="675">
        <v>0</v>
      </c>
      <c r="DM14" s="675">
        <v>4027105</v>
      </c>
      <c r="DN14" s="675">
        <v>0</v>
      </c>
      <c r="DO14" s="675">
        <v>0</v>
      </c>
      <c r="DP14" s="675">
        <v>0</v>
      </c>
      <c r="DQ14" s="675">
        <v>0</v>
      </c>
      <c r="DR14" s="675">
        <v>0</v>
      </c>
      <c r="DS14" s="675">
        <v>0</v>
      </c>
      <c r="DT14" s="675">
        <v>0</v>
      </c>
      <c r="DU14" s="675">
        <v>0</v>
      </c>
      <c r="DV14" s="675">
        <v>0</v>
      </c>
      <c r="DW14" s="675">
        <v>0</v>
      </c>
      <c r="DX14" s="675">
        <v>0</v>
      </c>
      <c r="DY14" s="675">
        <v>0</v>
      </c>
      <c r="DZ14" s="675">
        <v>0</v>
      </c>
      <c r="EA14" s="675">
        <v>5.5E-2</v>
      </c>
      <c r="EB14" s="675">
        <v>0</v>
      </c>
      <c r="EC14" s="675">
        <v>30.809000000000001</v>
      </c>
      <c r="ED14" s="675">
        <v>222114</v>
      </c>
      <c r="EE14" s="675">
        <v>0</v>
      </c>
      <c r="EF14" s="675">
        <v>0</v>
      </c>
      <c r="EG14" s="675">
        <v>0</v>
      </c>
      <c r="EH14" s="675">
        <v>197538</v>
      </c>
      <c r="EI14" s="675">
        <v>3607453</v>
      </c>
      <c r="EJ14" s="675">
        <v>137.60500000000002</v>
      </c>
      <c r="EK14" s="675">
        <v>7.6550000000000002</v>
      </c>
      <c r="EL14" s="675">
        <v>0</v>
      </c>
      <c r="EM14" s="675">
        <v>0</v>
      </c>
      <c r="EN14" s="675">
        <v>1.3800000000000001</v>
      </c>
      <c r="EO14" s="675">
        <v>0</v>
      </c>
      <c r="EP14" s="675">
        <v>0</v>
      </c>
      <c r="EQ14" s="675">
        <v>146.69499999999999</v>
      </c>
      <c r="ER14" s="675">
        <v>0</v>
      </c>
      <c r="ES14" s="675">
        <v>30.14</v>
      </c>
      <c r="ET14" s="675">
        <v>0</v>
      </c>
      <c r="EU14" s="675">
        <v>362329</v>
      </c>
      <c r="EV14" s="675">
        <v>0</v>
      </c>
      <c r="EW14" s="675">
        <v>0</v>
      </c>
      <c r="EX14" s="675">
        <v>0</v>
      </c>
      <c r="EY14" s="675">
        <v>0</v>
      </c>
      <c r="EZ14" s="675">
        <v>8604190</v>
      </c>
      <c r="FA14" s="675">
        <v>0</v>
      </c>
      <c r="FB14" s="675">
        <v>8966519</v>
      </c>
      <c r="FC14" s="675">
        <v>0.97327799999999998</v>
      </c>
      <c r="FD14" s="675">
        <v>0</v>
      </c>
      <c r="FE14" s="675">
        <v>1313144</v>
      </c>
      <c r="FF14" s="675">
        <v>295915</v>
      </c>
      <c r="FG14" s="675">
        <v>6.1239999999999996E-2</v>
      </c>
      <c r="FH14" s="675">
        <v>5.4803999999999999E-2</v>
      </c>
      <c r="FI14" s="675">
        <v>0</v>
      </c>
      <c r="FJ14" s="675">
        <v>0</v>
      </c>
      <c r="FK14" s="675">
        <v>1689.982</v>
      </c>
      <c r="FL14" s="675">
        <v>10726943</v>
      </c>
      <c r="FM14" s="675">
        <v>0</v>
      </c>
      <c r="FN14" s="675">
        <v>0</v>
      </c>
      <c r="FO14" s="675">
        <v>0</v>
      </c>
      <c r="FP14" s="675">
        <v>0</v>
      </c>
      <c r="FQ14" s="675">
        <v>0</v>
      </c>
      <c r="FR14" s="675">
        <v>0</v>
      </c>
      <c r="FS14" s="675">
        <v>0</v>
      </c>
      <c r="FT14" s="675">
        <v>0</v>
      </c>
      <c r="FU14" s="675">
        <v>0</v>
      </c>
      <c r="FV14" s="675">
        <v>0</v>
      </c>
      <c r="FW14" s="675">
        <v>0</v>
      </c>
      <c r="FX14" s="675">
        <v>0</v>
      </c>
      <c r="FY14" s="675">
        <v>0</v>
      </c>
      <c r="FZ14" s="675">
        <v>0</v>
      </c>
      <c r="GA14" s="675">
        <v>0</v>
      </c>
      <c r="GB14" s="675">
        <v>0</v>
      </c>
      <c r="GC14" s="675">
        <v>0</v>
      </c>
      <c r="GD14" s="675">
        <v>0</v>
      </c>
      <c r="GE14" s="675">
        <v>0</v>
      </c>
      <c r="GF14" s="675">
        <v>0</v>
      </c>
      <c r="GG14" s="675">
        <v>0</v>
      </c>
      <c r="GH14" s="675">
        <v>0</v>
      </c>
      <c r="GI14" s="675">
        <v>0</v>
      </c>
      <c r="GJ14" s="675">
        <v>0</v>
      </c>
      <c r="GK14" s="675">
        <v>5115</v>
      </c>
      <c r="GL14" s="675">
        <v>21253</v>
      </c>
      <c r="GM14" s="675">
        <v>0</v>
      </c>
      <c r="GN14" s="675">
        <v>0</v>
      </c>
      <c r="GO14" s="675">
        <v>0</v>
      </c>
      <c r="GP14" s="675">
        <v>10575578</v>
      </c>
      <c r="GQ14" s="675">
        <v>10575578</v>
      </c>
      <c r="GR14" s="675">
        <v>0</v>
      </c>
      <c r="GS14" s="675">
        <v>0</v>
      </c>
      <c r="GT14" s="675">
        <v>0</v>
      </c>
      <c r="GU14" s="675">
        <v>0</v>
      </c>
      <c r="GV14" s="675">
        <v>0</v>
      </c>
      <c r="GW14" s="675">
        <v>0</v>
      </c>
      <c r="GX14" s="675">
        <v>0</v>
      </c>
      <c r="GY14" s="675">
        <v>0</v>
      </c>
      <c r="GZ14" s="675">
        <v>0</v>
      </c>
      <c r="HA14" s="675">
        <v>0</v>
      </c>
      <c r="HB14" s="675">
        <v>260786259</v>
      </c>
      <c r="HC14" s="675">
        <v>5.0923999999999997E-2</v>
      </c>
      <c r="HD14" s="675">
        <v>151365</v>
      </c>
      <c r="HE14" s="675">
        <v>0</v>
      </c>
      <c r="HF14" s="675">
        <v>0</v>
      </c>
      <c r="HG14" s="675">
        <v>0</v>
      </c>
      <c r="HH14" s="675">
        <v>0</v>
      </c>
      <c r="HI14" s="675">
        <v>0</v>
      </c>
      <c r="HJ14" s="675">
        <v>0</v>
      </c>
      <c r="HK14" s="675">
        <v>0</v>
      </c>
      <c r="HL14" s="675">
        <v>0</v>
      </c>
      <c r="HM14" s="675">
        <v>0</v>
      </c>
      <c r="HN14" s="675">
        <v>0</v>
      </c>
      <c r="HO14" s="675">
        <v>0</v>
      </c>
      <c r="HP14" s="675">
        <v>0</v>
      </c>
      <c r="HQ14" s="675">
        <v>0</v>
      </c>
      <c r="HR14" s="675">
        <v>0</v>
      </c>
      <c r="HS14" s="675">
        <v>0</v>
      </c>
      <c r="HT14" s="675">
        <v>0</v>
      </c>
      <c r="HU14" s="675">
        <v>0</v>
      </c>
      <c r="HV14" s="675">
        <v>0</v>
      </c>
      <c r="HW14" s="675">
        <v>0</v>
      </c>
      <c r="HX14" s="675">
        <v>0</v>
      </c>
      <c r="HY14" s="675">
        <v>0</v>
      </c>
      <c r="HZ14" s="675">
        <v>0</v>
      </c>
      <c r="IA14" s="675">
        <v>0</v>
      </c>
      <c r="IB14" s="675">
        <v>0</v>
      </c>
      <c r="IC14" s="675">
        <v>0</v>
      </c>
      <c r="ID14" s="675">
        <v>0</v>
      </c>
      <c r="IE14" s="675">
        <v>0</v>
      </c>
      <c r="IF14" s="675">
        <v>0</v>
      </c>
      <c r="IG14" s="675">
        <v>0</v>
      </c>
      <c r="IH14" s="675">
        <v>0</v>
      </c>
      <c r="II14" s="675">
        <v>0</v>
      </c>
      <c r="IJ14" s="675">
        <v>0</v>
      </c>
      <c r="IK14" s="675">
        <v>0</v>
      </c>
      <c r="IL14" s="675">
        <v>0</v>
      </c>
      <c r="IM14" s="675">
        <v>0</v>
      </c>
      <c r="IN14" s="675">
        <v>0</v>
      </c>
      <c r="IO14" s="675">
        <v>0</v>
      </c>
      <c r="IP14" s="675">
        <v>0</v>
      </c>
      <c r="IQ14" s="675">
        <v>0</v>
      </c>
      <c r="IR14" s="675">
        <v>0</v>
      </c>
      <c r="IS14" s="675">
        <v>0</v>
      </c>
      <c r="IT14" s="675">
        <v>0</v>
      </c>
      <c r="IU14" s="675">
        <v>0</v>
      </c>
      <c r="IV14" s="675">
        <v>0</v>
      </c>
      <c r="IW14" s="675">
        <v>0</v>
      </c>
      <c r="IX14" s="675">
        <v>0</v>
      </c>
      <c r="IY14" s="675">
        <v>0</v>
      </c>
      <c r="IZ14" s="675">
        <v>0</v>
      </c>
      <c r="JA14" s="675">
        <v>0</v>
      </c>
      <c r="JB14" s="675">
        <v>0</v>
      </c>
      <c r="JC14" s="675">
        <v>0</v>
      </c>
      <c r="JD14" s="675">
        <v>0</v>
      </c>
      <c r="JE14" s="675">
        <v>0</v>
      </c>
      <c r="JF14" s="675">
        <v>0</v>
      </c>
      <c r="JG14" s="675">
        <v>0</v>
      </c>
      <c r="JH14" s="675">
        <v>0</v>
      </c>
      <c r="JI14" s="675">
        <v>0</v>
      </c>
      <c r="JJ14" s="675">
        <v>0</v>
      </c>
      <c r="JK14" s="675">
        <v>0</v>
      </c>
      <c r="JL14" s="675">
        <v>0</v>
      </c>
      <c r="JM14" s="675">
        <v>0</v>
      </c>
      <c r="JN14" s="675">
        <v>32469</v>
      </c>
      <c r="JO14" s="675">
        <v>0</v>
      </c>
      <c r="JP14" s="675">
        <v>0</v>
      </c>
      <c r="JQ14" s="675">
        <v>0</v>
      </c>
      <c r="JR14" s="675">
        <v>0</v>
      </c>
      <c r="JS14" s="675">
        <v>0</v>
      </c>
      <c r="JT14" s="675">
        <v>0</v>
      </c>
      <c r="JU14" s="675">
        <v>0</v>
      </c>
      <c r="JV14" s="675">
        <v>0</v>
      </c>
      <c r="JW14" s="675">
        <v>0</v>
      </c>
      <c r="JX14" s="675">
        <v>0</v>
      </c>
      <c r="JY14" s="675">
        <v>0</v>
      </c>
      <c r="JZ14" s="675">
        <v>0</v>
      </c>
      <c r="KA14" s="675">
        <v>0</v>
      </c>
      <c r="KB14" s="675">
        <v>0</v>
      </c>
      <c r="KC14" s="675">
        <v>0</v>
      </c>
      <c r="KD14" s="675">
        <v>0</v>
      </c>
      <c r="KE14" s="675">
        <v>0</v>
      </c>
      <c r="KF14" s="675">
        <v>0</v>
      </c>
    </row>
    <row r="15" spans="1:292" x14ac:dyDescent="0.25">
      <c r="A15" s="675">
        <v>15809</v>
      </c>
      <c r="B15" s="675">
        <v>32570</v>
      </c>
      <c r="C15" s="675">
        <v>35</v>
      </c>
      <c r="D15" s="675">
        <v>2022</v>
      </c>
      <c r="E15" s="675">
        <v>5392</v>
      </c>
      <c r="F15" s="675">
        <v>0</v>
      </c>
      <c r="G15" s="675">
        <v>278.81100000000004</v>
      </c>
      <c r="H15" s="675">
        <v>267.69900000000001</v>
      </c>
      <c r="I15" s="675">
        <v>267.69900000000001</v>
      </c>
      <c r="J15" s="675">
        <v>278.81100000000004</v>
      </c>
      <c r="K15" s="675">
        <v>0</v>
      </c>
      <c r="L15" s="675">
        <v>6554</v>
      </c>
      <c r="M15" s="675">
        <v>0</v>
      </c>
      <c r="N15" s="675">
        <v>0</v>
      </c>
      <c r="O15" s="675">
        <v>0</v>
      </c>
      <c r="P15" s="675">
        <v>270.78300000000002</v>
      </c>
      <c r="Q15" s="675">
        <v>0</v>
      </c>
      <c r="R15" s="675">
        <v>86573</v>
      </c>
      <c r="S15" s="675">
        <v>319.71300000000002</v>
      </c>
      <c r="T15" s="675">
        <v>0</v>
      </c>
      <c r="U15" s="675">
        <v>86573</v>
      </c>
      <c r="V15" s="675">
        <v>77.537999999999997</v>
      </c>
      <c r="W15" s="675">
        <v>50818</v>
      </c>
      <c r="X15" s="675">
        <v>50818</v>
      </c>
      <c r="Y15" s="675">
        <v>0</v>
      </c>
      <c r="Z15" s="675">
        <v>0</v>
      </c>
      <c r="AA15" s="675">
        <v>1</v>
      </c>
      <c r="AB15" s="675">
        <v>1</v>
      </c>
      <c r="AC15" s="675">
        <v>0</v>
      </c>
      <c r="AD15" s="675" t="s">
        <v>316</v>
      </c>
      <c r="AE15" s="675">
        <v>0</v>
      </c>
      <c r="AF15" s="675">
        <v>0</v>
      </c>
      <c r="AG15" s="675">
        <v>0</v>
      </c>
      <c r="AH15" s="675">
        <v>0</v>
      </c>
      <c r="AI15" s="675">
        <v>0</v>
      </c>
      <c r="AJ15" s="675">
        <v>5104</v>
      </c>
      <c r="AK15" s="675" t="s">
        <v>671</v>
      </c>
      <c r="AL15" s="675" t="s">
        <v>38</v>
      </c>
      <c r="AM15" s="675">
        <v>0</v>
      </c>
      <c r="AN15" s="675">
        <v>0</v>
      </c>
      <c r="AO15" s="675">
        <v>0</v>
      </c>
      <c r="AP15" s="675">
        <v>0</v>
      </c>
      <c r="AQ15" s="675">
        <v>0</v>
      </c>
      <c r="AR15" s="675">
        <v>0</v>
      </c>
      <c r="AS15" s="675">
        <v>0</v>
      </c>
      <c r="AT15" s="675">
        <v>0</v>
      </c>
      <c r="AU15" s="675">
        <v>0</v>
      </c>
      <c r="AV15" s="675">
        <v>204960</v>
      </c>
      <c r="AW15" s="675">
        <v>2945529</v>
      </c>
      <c r="AX15" s="675">
        <v>2890582</v>
      </c>
      <c r="AY15" s="675">
        <v>3277193</v>
      </c>
      <c r="AZ15" s="675">
        <v>86573</v>
      </c>
      <c r="BA15" s="675">
        <v>0</v>
      </c>
      <c r="BB15" s="675">
        <v>0</v>
      </c>
      <c r="BC15" s="675">
        <v>0</v>
      </c>
      <c r="BD15" s="675">
        <v>0</v>
      </c>
      <c r="BE15" s="675">
        <v>0</v>
      </c>
      <c r="BF15" s="675">
        <v>2452340</v>
      </c>
      <c r="BG15" s="675">
        <v>0</v>
      </c>
      <c r="BH15" s="675">
        <v>0</v>
      </c>
      <c r="BI15" s="675">
        <v>0</v>
      </c>
      <c r="BJ15" s="675">
        <v>12</v>
      </c>
      <c r="BK15" s="675">
        <v>0</v>
      </c>
      <c r="BL15" s="675">
        <v>0</v>
      </c>
      <c r="BM15" s="675">
        <v>0</v>
      </c>
      <c r="BN15" s="675">
        <v>0</v>
      </c>
      <c r="BO15" s="675">
        <v>0</v>
      </c>
      <c r="BP15" s="675">
        <v>0</v>
      </c>
      <c r="BQ15" s="675">
        <v>5392</v>
      </c>
      <c r="BR15" s="675">
        <v>1</v>
      </c>
      <c r="BS15" s="675">
        <v>0</v>
      </c>
      <c r="BT15" s="675">
        <v>0</v>
      </c>
      <c r="BU15" s="675">
        <v>0</v>
      </c>
      <c r="BV15" s="675">
        <v>0</v>
      </c>
      <c r="BW15" s="675">
        <v>0</v>
      </c>
      <c r="BX15" s="675">
        <v>0</v>
      </c>
      <c r="BY15" s="675">
        <v>0</v>
      </c>
      <c r="BZ15" s="675">
        <v>0</v>
      </c>
      <c r="CA15" s="675">
        <v>0</v>
      </c>
      <c r="CB15" s="675">
        <v>0</v>
      </c>
      <c r="CC15" s="675">
        <v>0</v>
      </c>
      <c r="CD15" s="675">
        <v>0</v>
      </c>
      <c r="CE15" s="675">
        <v>0</v>
      </c>
      <c r="CF15" s="675">
        <v>0</v>
      </c>
      <c r="CG15" s="675">
        <v>0</v>
      </c>
      <c r="CH15" s="675">
        <v>54947</v>
      </c>
      <c r="CI15" s="675">
        <v>0</v>
      </c>
      <c r="CJ15" s="675">
        <v>4</v>
      </c>
      <c r="CK15" s="675">
        <v>0</v>
      </c>
      <c r="CL15" s="675">
        <v>0</v>
      </c>
      <c r="CM15" s="675">
        <v>0</v>
      </c>
      <c r="CN15" s="675">
        <v>0</v>
      </c>
      <c r="CO15" s="675">
        <v>0</v>
      </c>
      <c r="CP15" s="675">
        <v>0</v>
      </c>
      <c r="CQ15" s="675">
        <v>0</v>
      </c>
      <c r="CR15" s="675">
        <v>270.78300000000002</v>
      </c>
      <c r="CS15" s="675">
        <v>0</v>
      </c>
      <c r="CT15" s="675">
        <v>0</v>
      </c>
      <c r="CU15" s="675">
        <v>0</v>
      </c>
      <c r="CV15" s="675">
        <v>0</v>
      </c>
      <c r="CW15" s="675">
        <v>0</v>
      </c>
      <c r="CX15" s="675">
        <v>0</v>
      </c>
      <c r="CY15" s="675">
        <v>0</v>
      </c>
      <c r="CZ15" s="675">
        <v>0</v>
      </c>
      <c r="DA15" s="675">
        <v>1</v>
      </c>
      <c r="DB15" s="675">
        <v>1754499</v>
      </c>
      <c r="DC15" s="675">
        <v>0</v>
      </c>
      <c r="DD15" s="675">
        <v>0</v>
      </c>
      <c r="DE15" s="675">
        <v>458780</v>
      </c>
      <c r="DF15" s="675">
        <v>458780</v>
      </c>
      <c r="DG15" s="675">
        <v>350</v>
      </c>
      <c r="DH15" s="675">
        <v>0</v>
      </c>
      <c r="DI15" s="675">
        <v>0</v>
      </c>
      <c r="DJ15" s="675">
        <v>0</v>
      </c>
      <c r="DK15" s="675">
        <v>5392</v>
      </c>
      <c r="DL15" s="675">
        <v>0</v>
      </c>
      <c r="DM15" s="675">
        <v>255575</v>
      </c>
      <c r="DN15" s="675">
        <v>0</v>
      </c>
      <c r="DO15" s="675">
        <v>0</v>
      </c>
      <c r="DP15" s="675">
        <v>0</v>
      </c>
      <c r="DQ15" s="675">
        <v>0</v>
      </c>
      <c r="DR15" s="675">
        <v>0</v>
      </c>
      <c r="DS15" s="675">
        <v>0</v>
      </c>
      <c r="DT15" s="675">
        <v>0</v>
      </c>
      <c r="DU15" s="675">
        <v>0</v>
      </c>
      <c r="DV15" s="675">
        <v>0</v>
      </c>
      <c r="DW15" s="675">
        <v>0</v>
      </c>
      <c r="DX15" s="675">
        <v>0</v>
      </c>
      <c r="DY15" s="675">
        <v>0</v>
      </c>
      <c r="DZ15" s="675">
        <v>0</v>
      </c>
      <c r="EA15" s="675">
        <v>0</v>
      </c>
      <c r="EB15" s="675">
        <v>0</v>
      </c>
      <c r="EC15" s="675">
        <v>3.8940000000000001</v>
      </c>
      <c r="ED15" s="675">
        <v>28073</v>
      </c>
      <c r="EE15" s="675">
        <v>0</v>
      </c>
      <c r="EF15" s="675">
        <v>0</v>
      </c>
      <c r="EG15" s="675">
        <v>0</v>
      </c>
      <c r="EH15" s="675">
        <v>227502</v>
      </c>
      <c r="EI15" s="675">
        <v>0</v>
      </c>
      <c r="EJ15" s="675">
        <v>0</v>
      </c>
      <c r="EK15" s="675">
        <v>10.267000000000001</v>
      </c>
      <c r="EL15" s="675">
        <v>0</v>
      </c>
      <c r="EM15" s="675">
        <v>0.157</v>
      </c>
      <c r="EN15" s="675">
        <v>0.68800000000000006</v>
      </c>
      <c r="EO15" s="675">
        <v>0</v>
      </c>
      <c r="EP15" s="675">
        <v>0</v>
      </c>
      <c r="EQ15" s="675">
        <v>11.112</v>
      </c>
      <c r="ER15" s="675">
        <v>0</v>
      </c>
      <c r="ES15" s="675">
        <v>34.712000000000003</v>
      </c>
      <c r="ET15" s="675">
        <v>0</v>
      </c>
      <c r="EU15" s="675">
        <v>86573</v>
      </c>
      <c r="EV15" s="675">
        <v>0</v>
      </c>
      <c r="EW15" s="675">
        <v>0</v>
      </c>
      <c r="EX15" s="675">
        <v>0</v>
      </c>
      <c r="EY15" s="675">
        <v>0</v>
      </c>
      <c r="EZ15" s="675">
        <v>2433099</v>
      </c>
      <c r="FA15" s="675">
        <v>0</v>
      </c>
      <c r="FB15" s="675">
        <v>2519672</v>
      </c>
      <c r="FC15" s="675">
        <v>0.97327799999999998</v>
      </c>
      <c r="FD15" s="675">
        <v>0</v>
      </c>
      <c r="FE15" s="675">
        <v>373349</v>
      </c>
      <c r="FF15" s="675">
        <v>84134</v>
      </c>
      <c r="FG15" s="675">
        <v>6.1239999999999996E-2</v>
      </c>
      <c r="FH15" s="675">
        <v>5.4803999999999999E-2</v>
      </c>
      <c r="FI15" s="675">
        <v>0</v>
      </c>
      <c r="FJ15" s="675">
        <v>0</v>
      </c>
      <c r="FK15" s="675">
        <v>480.49100000000004</v>
      </c>
      <c r="FL15" s="675">
        <v>3032102</v>
      </c>
      <c r="FM15" s="675">
        <v>0</v>
      </c>
      <c r="FN15" s="675">
        <v>0</v>
      </c>
      <c r="FO15" s="675">
        <v>0</v>
      </c>
      <c r="FP15" s="675">
        <v>0</v>
      </c>
      <c r="FQ15" s="675">
        <v>0</v>
      </c>
      <c r="FR15" s="675">
        <v>0</v>
      </c>
      <c r="FS15" s="675">
        <v>0</v>
      </c>
      <c r="FT15" s="675">
        <v>0</v>
      </c>
      <c r="FU15" s="675">
        <v>0</v>
      </c>
      <c r="FV15" s="675">
        <v>0</v>
      </c>
      <c r="FW15" s="675">
        <v>0</v>
      </c>
      <c r="FX15" s="675">
        <v>0</v>
      </c>
      <c r="FY15" s="675">
        <v>0</v>
      </c>
      <c r="FZ15" s="675">
        <v>0</v>
      </c>
      <c r="GA15" s="675">
        <v>0</v>
      </c>
      <c r="GB15" s="675">
        <v>0</v>
      </c>
      <c r="GC15" s="675">
        <v>0</v>
      </c>
      <c r="GD15" s="675">
        <v>0</v>
      </c>
      <c r="GE15" s="675">
        <v>0</v>
      </c>
      <c r="GF15" s="675">
        <v>0</v>
      </c>
      <c r="GG15" s="675">
        <v>0</v>
      </c>
      <c r="GH15" s="675">
        <v>0</v>
      </c>
      <c r="GI15" s="675">
        <v>0</v>
      </c>
      <c r="GJ15" s="675">
        <v>0</v>
      </c>
      <c r="GK15" s="675">
        <v>4886</v>
      </c>
      <c r="GL15" s="675">
        <v>12553</v>
      </c>
      <c r="GM15" s="675">
        <v>0</v>
      </c>
      <c r="GN15" s="675">
        <v>0</v>
      </c>
      <c r="GO15" s="675">
        <v>0</v>
      </c>
      <c r="GP15" s="675">
        <v>2977155</v>
      </c>
      <c r="GQ15" s="675">
        <v>2977155</v>
      </c>
      <c r="GR15" s="675">
        <v>0</v>
      </c>
      <c r="GS15" s="675">
        <v>0</v>
      </c>
      <c r="GT15" s="675">
        <v>0</v>
      </c>
      <c r="GU15" s="675">
        <v>0</v>
      </c>
      <c r="GV15" s="675">
        <v>0</v>
      </c>
      <c r="GW15" s="675">
        <v>0</v>
      </c>
      <c r="GX15" s="675">
        <v>0</v>
      </c>
      <c r="GY15" s="675">
        <v>0</v>
      </c>
      <c r="GZ15" s="675">
        <v>0</v>
      </c>
      <c r="HA15" s="675">
        <v>0</v>
      </c>
      <c r="HB15" s="675">
        <v>260786259</v>
      </c>
      <c r="HC15" s="675">
        <v>5.0923999999999997E-2</v>
      </c>
      <c r="HD15" s="675">
        <v>54947</v>
      </c>
      <c r="HE15" s="675">
        <v>0</v>
      </c>
      <c r="HF15" s="675">
        <v>0</v>
      </c>
      <c r="HG15" s="675">
        <v>0</v>
      </c>
      <c r="HH15" s="675">
        <v>0</v>
      </c>
      <c r="HI15" s="675">
        <v>0</v>
      </c>
      <c r="HJ15" s="675">
        <v>0</v>
      </c>
      <c r="HK15" s="675">
        <v>0</v>
      </c>
      <c r="HL15" s="675">
        <v>0</v>
      </c>
      <c r="HM15" s="675">
        <v>0</v>
      </c>
      <c r="HN15" s="675">
        <v>0</v>
      </c>
      <c r="HO15" s="675">
        <v>0</v>
      </c>
      <c r="HP15" s="675">
        <v>0</v>
      </c>
      <c r="HQ15" s="675">
        <v>0</v>
      </c>
      <c r="HR15" s="675">
        <v>0</v>
      </c>
      <c r="HS15" s="675">
        <v>0</v>
      </c>
      <c r="HT15" s="675">
        <v>0</v>
      </c>
      <c r="HU15" s="675">
        <v>0</v>
      </c>
      <c r="HV15" s="675">
        <v>0</v>
      </c>
      <c r="HW15" s="675">
        <v>0</v>
      </c>
      <c r="HX15" s="675">
        <v>0</v>
      </c>
      <c r="HY15" s="675">
        <v>0</v>
      </c>
      <c r="HZ15" s="675">
        <v>0</v>
      </c>
      <c r="IA15" s="675">
        <v>0</v>
      </c>
      <c r="IB15" s="675">
        <v>0</v>
      </c>
      <c r="IC15" s="675">
        <v>0</v>
      </c>
      <c r="ID15" s="675">
        <v>0</v>
      </c>
      <c r="IE15" s="675">
        <v>0</v>
      </c>
      <c r="IF15" s="675">
        <v>0</v>
      </c>
      <c r="IG15" s="675">
        <v>0</v>
      </c>
      <c r="IH15" s="675">
        <v>0</v>
      </c>
      <c r="II15" s="675">
        <v>0</v>
      </c>
      <c r="IJ15" s="675">
        <v>0</v>
      </c>
      <c r="IK15" s="675">
        <v>0</v>
      </c>
      <c r="IL15" s="675">
        <v>0</v>
      </c>
      <c r="IM15" s="675">
        <v>0</v>
      </c>
      <c r="IN15" s="675">
        <v>0</v>
      </c>
      <c r="IO15" s="675">
        <v>0</v>
      </c>
      <c r="IP15" s="675">
        <v>0</v>
      </c>
      <c r="IQ15" s="675">
        <v>0</v>
      </c>
      <c r="IR15" s="675">
        <v>0</v>
      </c>
      <c r="IS15" s="675">
        <v>0</v>
      </c>
      <c r="IT15" s="675">
        <v>0</v>
      </c>
      <c r="IU15" s="675">
        <v>0</v>
      </c>
      <c r="IV15" s="675">
        <v>0</v>
      </c>
      <c r="IW15" s="675">
        <v>0</v>
      </c>
      <c r="IX15" s="675">
        <v>0</v>
      </c>
      <c r="IY15" s="675">
        <v>0</v>
      </c>
      <c r="IZ15" s="675">
        <v>0</v>
      </c>
      <c r="JA15" s="675">
        <v>0</v>
      </c>
      <c r="JB15" s="675">
        <v>0</v>
      </c>
      <c r="JC15" s="675">
        <v>0</v>
      </c>
      <c r="JD15" s="675">
        <v>0</v>
      </c>
      <c r="JE15" s="675">
        <v>0</v>
      </c>
      <c r="JF15" s="675">
        <v>0</v>
      </c>
      <c r="JG15" s="675">
        <v>0</v>
      </c>
      <c r="JH15" s="675">
        <v>0</v>
      </c>
      <c r="JI15" s="675">
        <v>0</v>
      </c>
      <c r="JJ15" s="675">
        <v>0</v>
      </c>
      <c r="JK15" s="675">
        <v>0</v>
      </c>
      <c r="JL15" s="675">
        <v>0</v>
      </c>
      <c r="JM15" s="675">
        <v>0</v>
      </c>
      <c r="JN15" s="675">
        <v>34493</v>
      </c>
      <c r="JO15" s="675">
        <v>0</v>
      </c>
      <c r="JP15" s="675">
        <v>0</v>
      </c>
      <c r="JQ15" s="675">
        <v>0</v>
      </c>
      <c r="JR15" s="675">
        <v>0</v>
      </c>
      <c r="JS15" s="675">
        <v>0</v>
      </c>
      <c r="JT15" s="675">
        <v>0</v>
      </c>
      <c r="JU15" s="675">
        <v>0</v>
      </c>
      <c r="JV15" s="675">
        <v>0</v>
      </c>
      <c r="JW15" s="675">
        <v>0</v>
      </c>
      <c r="JX15" s="675">
        <v>0</v>
      </c>
      <c r="JY15" s="675">
        <v>0</v>
      </c>
      <c r="JZ15" s="675">
        <v>0</v>
      </c>
      <c r="KA15" s="675">
        <v>0</v>
      </c>
      <c r="KB15" s="675">
        <v>0</v>
      </c>
      <c r="KC15" s="675">
        <v>0</v>
      </c>
      <c r="KD15" s="675">
        <v>0</v>
      </c>
      <c r="KE15" s="675">
        <v>0</v>
      </c>
      <c r="KF15" s="675">
        <v>0</v>
      </c>
    </row>
    <row r="16" spans="1:292" x14ac:dyDescent="0.25">
      <c r="A16" s="675">
        <v>15814</v>
      </c>
      <c r="B16" s="675">
        <v>32570</v>
      </c>
      <c r="C16" s="675">
        <v>35</v>
      </c>
      <c r="D16" s="675">
        <v>2022</v>
      </c>
      <c r="E16" s="675">
        <v>5392</v>
      </c>
      <c r="F16" s="675">
        <v>0</v>
      </c>
      <c r="G16" s="675">
        <v>111.08500000000001</v>
      </c>
      <c r="H16" s="675">
        <v>108.35300000000001</v>
      </c>
      <c r="I16" s="675">
        <v>108.35300000000001</v>
      </c>
      <c r="J16" s="675">
        <v>111.08500000000001</v>
      </c>
      <c r="K16" s="675">
        <v>0</v>
      </c>
      <c r="L16" s="675">
        <v>6554</v>
      </c>
      <c r="M16" s="675">
        <v>0</v>
      </c>
      <c r="N16" s="675">
        <v>0</v>
      </c>
      <c r="O16" s="675">
        <v>0</v>
      </c>
      <c r="P16" s="675">
        <v>102.14200000000001</v>
      </c>
      <c r="Q16" s="675">
        <v>0</v>
      </c>
      <c r="R16" s="675">
        <v>32656</v>
      </c>
      <c r="S16" s="675">
        <v>319.71300000000002</v>
      </c>
      <c r="T16" s="675">
        <v>0</v>
      </c>
      <c r="U16" s="675">
        <v>32656</v>
      </c>
      <c r="V16" s="675">
        <v>0</v>
      </c>
      <c r="W16" s="675">
        <v>0</v>
      </c>
      <c r="X16" s="675">
        <v>0</v>
      </c>
      <c r="Y16" s="675">
        <v>0</v>
      </c>
      <c r="Z16" s="675">
        <v>0</v>
      </c>
      <c r="AA16" s="675">
        <v>1</v>
      </c>
      <c r="AB16" s="675">
        <v>1</v>
      </c>
      <c r="AC16" s="675">
        <v>0</v>
      </c>
      <c r="AD16" s="675" t="s">
        <v>316</v>
      </c>
      <c r="AE16" s="675">
        <v>0</v>
      </c>
      <c r="AF16" s="675">
        <v>0</v>
      </c>
      <c r="AG16" s="675">
        <v>0</v>
      </c>
      <c r="AH16" s="675">
        <v>0</v>
      </c>
      <c r="AI16" s="675">
        <v>0</v>
      </c>
      <c r="AJ16" s="675">
        <v>5104</v>
      </c>
      <c r="AK16" s="675" t="s">
        <v>671</v>
      </c>
      <c r="AL16" s="675" t="s">
        <v>40</v>
      </c>
      <c r="AM16" s="675">
        <v>0</v>
      </c>
      <c r="AN16" s="675">
        <v>0</v>
      </c>
      <c r="AO16" s="675">
        <v>0</v>
      </c>
      <c r="AP16" s="675">
        <v>0</v>
      </c>
      <c r="AQ16" s="675">
        <v>0</v>
      </c>
      <c r="AR16" s="675">
        <v>0</v>
      </c>
      <c r="AS16" s="675">
        <v>0</v>
      </c>
      <c r="AT16" s="675">
        <v>0</v>
      </c>
      <c r="AU16" s="675">
        <v>0</v>
      </c>
      <c r="AV16" s="675">
        <v>1599</v>
      </c>
      <c r="AW16" s="675">
        <v>1231363</v>
      </c>
      <c r="AX16" s="675">
        <v>1178924</v>
      </c>
      <c r="AY16" s="675">
        <v>1229669</v>
      </c>
      <c r="AZ16" s="675">
        <v>63203</v>
      </c>
      <c r="BA16" s="675">
        <v>0</v>
      </c>
      <c r="BB16" s="675">
        <v>0</v>
      </c>
      <c r="BC16" s="675">
        <v>0</v>
      </c>
      <c r="BD16" s="675">
        <v>0</v>
      </c>
      <c r="BE16" s="675">
        <v>0</v>
      </c>
      <c r="BF16" s="675">
        <v>993965</v>
      </c>
      <c r="BG16" s="675">
        <v>0</v>
      </c>
      <c r="BH16" s="675">
        <v>111.081</v>
      </c>
      <c r="BI16" s="675">
        <v>30547</v>
      </c>
      <c r="BJ16" s="675">
        <v>12</v>
      </c>
      <c r="BK16" s="675">
        <v>0</v>
      </c>
      <c r="BL16" s="675">
        <v>0</v>
      </c>
      <c r="BM16" s="675">
        <v>0</v>
      </c>
      <c r="BN16" s="675">
        <v>0</v>
      </c>
      <c r="BO16" s="675">
        <v>0</v>
      </c>
      <c r="BP16" s="675">
        <v>0</v>
      </c>
      <c r="BQ16" s="675">
        <v>5392</v>
      </c>
      <c r="BR16" s="675">
        <v>1</v>
      </c>
      <c r="BS16" s="675">
        <v>0</v>
      </c>
      <c r="BT16" s="675">
        <v>0</v>
      </c>
      <c r="BU16" s="675">
        <v>0</v>
      </c>
      <c r="BV16" s="675">
        <v>0</v>
      </c>
      <c r="BW16" s="675">
        <v>0</v>
      </c>
      <c r="BX16" s="675">
        <v>0</v>
      </c>
      <c r="BY16" s="675">
        <v>0</v>
      </c>
      <c r="BZ16" s="675">
        <v>0</v>
      </c>
      <c r="CA16" s="675">
        <v>0</v>
      </c>
      <c r="CB16" s="675">
        <v>0</v>
      </c>
      <c r="CC16" s="675">
        <v>0</v>
      </c>
      <c r="CD16" s="675">
        <v>0</v>
      </c>
      <c r="CE16" s="675">
        <v>0</v>
      </c>
      <c r="CF16" s="675">
        <v>0</v>
      </c>
      <c r="CG16" s="675">
        <v>0</v>
      </c>
      <c r="CH16" s="675">
        <v>21892</v>
      </c>
      <c r="CI16" s="675">
        <v>0</v>
      </c>
      <c r="CJ16" s="675">
        <v>4</v>
      </c>
      <c r="CK16" s="675">
        <v>0</v>
      </c>
      <c r="CL16" s="675">
        <v>0</v>
      </c>
      <c r="CM16" s="675">
        <v>0</v>
      </c>
      <c r="CN16" s="675">
        <v>0</v>
      </c>
      <c r="CO16" s="675">
        <v>0</v>
      </c>
      <c r="CP16" s="675">
        <v>0.47500000000000003</v>
      </c>
      <c r="CQ16" s="675">
        <v>0</v>
      </c>
      <c r="CR16" s="675">
        <v>102.14200000000001</v>
      </c>
      <c r="CS16" s="675">
        <v>0</v>
      </c>
      <c r="CT16" s="675">
        <v>0</v>
      </c>
      <c r="CU16" s="675">
        <v>0</v>
      </c>
      <c r="CV16" s="675">
        <v>0</v>
      </c>
      <c r="CW16" s="675">
        <v>0</v>
      </c>
      <c r="CX16" s="675">
        <v>0</v>
      </c>
      <c r="CY16" s="675">
        <v>0</v>
      </c>
      <c r="CZ16" s="675">
        <v>0</v>
      </c>
      <c r="DA16" s="675">
        <v>1</v>
      </c>
      <c r="DB16" s="675">
        <v>710146</v>
      </c>
      <c r="DC16" s="675">
        <v>0</v>
      </c>
      <c r="DD16" s="675">
        <v>0</v>
      </c>
      <c r="DE16" s="675">
        <v>164938</v>
      </c>
      <c r="DF16" s="675">
        <v>172441</v>
      </c>
      <c r="DG16" s="675">
        <v>125.83</v>
      </c>
      <c r="DH16" s="675">
        <v>0</v>
      </c>
      <c r="DI16" s="675">
        <v>7503</v>
      </c>
      <c r="DJ16" s="675">
        <v>0</v>
      </c>
      <c r="DK16" s="675">
        <v>5392</v>
      </c>
      <c r="DL16" s="675">
        <v>0</v>
      </c>
      <c r="DM16" s="675">
        <v>114593</v>
      </c>
      <c r="DN16" s="675">
        <v>0</v>
      </c>
      <c r="DO16" s="675">
        <v>0</v>
      </c>
      <c r="DP16" s="675">
        <v>0</v>
      </c>
      <c r="DQ16" s="675">
        <v>0</v>
      </c>
      <c r="DR16" s="675">
        <v>0</v>
      </c>
      <c r="DS16" s="675">
        <v>0</v>
      </c>
      <c r="DT16" s="675">
        <v>0</v>
      </c>
      <c r="DU16" s="675">
        <v>0</v>
      </c>
      <c r="DV16" s="675">
        <v>0</v>
      </c>
      <c r="DW16" s="675">
        <v>0</v>
      </c>
      <c r="DX16" s="675">
        <v>0</v>
      </c>
      <c r="DY16" s="675">
        <v>0</v>
      </c>
      <c r="DZ16" s="675">
        <v>0</v>
      </c>
      <c r="EA16" s="675">
        <v>0</v>
      </c>
      <c r="EB16" s="675">
        <v>0</v>
      </c>
      <c r="EC16" s="675">
        <v>15.845000000000001</v>
      </c>
      <c r="ED16" s="675">
        <v>114233</v>
      </c>
      <c r="EE16" s="675">
        <v>0</v>
      </c>
      <c r="EF16" s="675">
        <v>0</v>
      </c>
      <c r="EG16" s="675">
        <v>0</v>
      </c>
      <c r="EH16" s="675">
        <v>360</v>
      </c>
      <c r="EI16" s="675">
        <v>0</v>
      </c>
      <c r="EJ16" s="675">
        <v>0</v>
      </c>
      <c r="EK16" s="675">
        <v>0</v>
      </c>
      <c r="EL16" s="675">
        <v>0</v>
      </c>
      <c r="EM16" s="675">
        <v>0</v>
      </c>
      <c r="EN16" s="675">
        <v>1.1000000000000001E-2</v>
      </c>
      <c r="EO16" s="675">
        <v>0</v>
      </c>
      <c r="EP16" s="675">
        <v>0</v>
      </c>
      <c r="EQ16" s="675">
        <v>1.1000000000000001E-2</v>
      </c>
      <c r="ER16" s="675">
        <v>0</v>
      </c>
      <c r="ES16" s="675">
        <v>5.5E-2</v>
      </c>
      <c r="ET16" s="675">
        <v>0</v>
      </c>
      <c r="EU16" s="675">
        <v>63203</v>
      </c>
      <c r="EV16" s="675">
        <v>0</v>
      </c>
      <c r="EW16" s="675">
        <v>0</v>
      </c>
      <c r="EX16" s="675">
        <v>0</v>
      </c>
      <c r="EY16" s="675">
        <v>0</v>
      </c>
      <c r="EZ16" s="675">
        <v>993501</v>
      </c>
      <c r="FA16" s="675">
        <v>0</v>
      </c>
      <c r="FB16" s="675">
        <v>1056704</v>
      </c>
      <c r="FC16" s="675">
        <v>0.97327799999999998</v>
      </c>
      <c r="FD16" s="675">
        <v>0</v>
      </c>
      <c r="FE16" s="675">
        <v>151323</v>
      </c>
      <c r="FF16" s="675">
        <v>34100</v>
      </c>
      <c r="FG16" s="675">
        <v>6.1239999999999996E-2</v>
      </c>
      <c r="FH16" s="675">
        <v>5.4803999999999999E-2</v>
      </c>
      <c r="FI16" s="675">
        <v>0</v>
      </c>
      <c r="FJ16" s="675">
        <v>0</v>
      </c>
      <c r="FK16" s="675">
        <v>194.749</v>
      </c>
      <c r="FL16" s="675">
        <v>1264019</v>
      </c>
      <c r="FM16" s="675">
        <v>0</v>
      </c>
      <c r="FN16" s="675">
        <v>0</v>
      </c>
      <c r="FO16" s="675">
        <v>4902</v>
      </c>
      <c r="FP16" s="675">
        <v>0</v>
      </c>
      <c r="FQ16" s="675">
        <v>4902</v>
      </c>
      <c r="FR16" s="675">
        <v>4902</v>
      </c>
      <c r="FS16" s="675">
        <v>0</v>
      </c>
      <c r="FT16" s="675">
        <v>0</v>
      </c>
      <c r="FU16" s="675">
        <v>0</v>
      </c>
      <c r="FV16" s="675">
        <v>0</v>
      </c>
      <c r="FW16" s="675">
        <v>0</v>
      </c>
      <c r="FX16" s="675">
        <v>0</v>
      </c>
      <c r="FY16" s="675">
        <v>0</v>
      </c>
      <c r="FZ16" s="675">
        <v>0</v>
      </c>
      <c r="GA16" s="675">
        <v>0</v>
      </c>
      <c r="GB16" s="675">
        <v>24075</v>
      </c>
      <c r="GC16" s="675">
        <v>24075</v>
      </c>
      <c r="GD16" s="675">
        <v>2.7210000000000001</v>
      </c>
      <c r="GE16" s="675">
        <v>0</v>
      </c>
      <c r="GF16" s="675">
        <v>0</v>
      </c>
      <c r="GG16" s="675">
        <v>0</v>
      </c>
      <c r="GH16" s="675">
        <v>0</v>
      </c>
      <c r="GI16" s="675">
        <v>0</v>
      </c>
      <c r="GJ16" s="675">
        <v>0</v>
      </c>
      <c r="GK16" s="675">
        <v>5225</v>
      </c>
      <c r="GL16" s="675">
        <v>4759</v>
      </c>
      <c r="GM16" s="675">
        <v>0</v>
      </c>
      <c r="GN16" s="675">
        <v>13245</v>
      </c>
      <c r="GO16" s="675">
        <v>0</v>
      </c>
      <c r="GP16" s="675">
        <v>1242127</v>
      </c>
      <c r="GQ16" s="675">
        <v>1242127</v>
      </c>
      <c r="GR16" s="675">
        <v>0</v>
      </c>
      <c r="GS16" s="675">
        <v>0</v>
      </c>
      <c r="GT16" s="675">
        <v>0</v>
      </c>
      <c r="GU16" s="675">
        <v>0</v>
      </c>
      <c r="GV16" s="675">
        <v>0</v>
      </c>
      <c r="GW16" s="675">
        <v>0</v>
      </c>
      <c r="GX16" s="675">
        <v>0</v>
      </c>
      <c r="GY16" s="675">
        <v>0</v>
      </c>
      <c r="GZ16" s="675">
        <v>0</v>
      </c>
      <c r="HA16" s="675">
        <v>0</v>
      </c>
      <c r="HB16" s="675">
        <v>260786259</v>
      </c>
      <c r="HC16" s="675">
        <v>5.0923999999999997E-2</v>
      </c>
      <c r="HD16" s="675">
        <v>21892</v>
      </c>
      <c r="HE16" s="675">
        <v>0</v>
      </c>
      <c r="HF16" s="675">
        <v>0</v>
      </c>
      <c r="HG16" s="675">
        <v>0</v>
      </c>
      <c r="HH16" s="675">
        <v>0</v>
      </c>
      <c r="HI16" s="675">
        <v>0</v>
      </c>
      <c r="HJ16" s="675">
        <v>0</v>
      </c>
      <c r="HK16" s="675">
        <v>0</v>
      </c>
      <c r="HL16" s="675">
        <v>0</v>
      </c>
      <c r="HM16" s="675">
        <v>0</v>
      </c>
      <c r="HN16" s="675">
        <v>0</v>
      </c>
      <c r="HO16" s="675">
        <v>0</v>
      </c>
      <c r="HP16" s="675">
        <v>0</v>
      </c>
      <c r="HQ16" s="675">
        <v>0</v>
      </c>
      <c r="HR16" s="675">
        <v>0</v>
      </c>
      <c r="HS16" s="675">
        <v>0</v>
      </c>
      <c r="HT16" s="675">
        <v>0</v>
      </c>
      <c r="HU16" s="675">
        <v>0</v>
      </c>
      <c r="HV16" s="675">
        <v>0</v>
      </c>
      <c r="HW16" s="675">
        <v>0</v>
      </c>
      <c r="HX16" s="675">
        <v>0</v>
      </c>
      <c r="HY16" s="675">
        <v>0</v>
      </c>
      <c r="HZ16" s="675">
        <v>0</v>
      </c>
      <c r="IA16" s="675">
        <v>0</v>
      </c>
      <c r="IB16" s="675">
        <v>0</v>
      </c>
      <c r="IC16" s="675">
        <v>0</v>
      </c>
      <c r="ID16" s="675">
        <v>0</v>
      </c>
      <c r="IE16" s="675">
        <v>0</v>
      </c>
      <c r="IF16" s="675">
        <v>0</v>
      </c>
      <c r="IG16" s="675">
        <v>0</v>
      </c>
      <c r="IH16" s="675">
        <v>0</v>
      </c>
      <c r="II16" s="675">
        <v>0</v>
      </c>
      <c r="IJ16" s="675">
        <v>0</v>
      </c>
      <c r="IK16" s="675">
        <v>0</v>
      </c>
      <c r="IL16" s="675">
        <v>0</v>
      </c>
      <c r="IM16" s="675">
        <v>0</v>
      </c>
      <c r="IN16" s="675">
        <v>0</v>
      </c>
      <c r="IO16" s="675">
        <v>0</v>
      </c>
      <c r="IP16" s="675">
        <v>0</v>
      </c>
      <c r="IQ16" s="675">
        <v>0</v>
      </c>
      <c r="IR16" s="675">
        <v>0</v>
      </c>
      <c r="IS16" s="675">
        <v>0</v>
      </c>
      <c r="IT16" s="675">
        <v>0</v>
      </c>
      <c r="IU16" s="675">
        <v>0</v>
      </c>
      <c r="IV16" s="675">
        <v>0</v>
      </c>
      <c r="IW16" s="675">
        <v>0</v>
      </c>
      <c r="IX16" s="675">
        <v>0</v>
      </c>
      <c r="IY16" s="675">
        <v>0</v>
      </c>
      <c r="IZ16" s="675">
        <v>0</v>
      </c>
      <c r="JA16" s="675">
        <v>0</v>
      </c>
      <c r="JB16" s="675">
        <v>0</v>
      </c>
      <c r="JC16" s="675">
        <v>0</v>
      </c>
      <c r="JD16" s="675">
        <v>0</v>
      </c>
      <c r="JE16" s="675">
        <v>0</v>
      </c>
      <c r="JF16" s="675">
        <v>0</v>
      </c>
      <c r="JG16" s="675">
        <v>0</v>
      </c>
      <c r="JH16" s="675">
        <v>0</v>
      </c>
      <c r="JI16" s="675">
        <v>0</v>
      </c>
      <c r="JJ16" s="675">
        <v>0</v>
      </c>
      <c r="JK16" s="675">
        <v>0</v>
      </c>
      <c r="JL16" s="675">
        <v>0</v>
      </c>
      <c r="JM16" s="675">
        <v>0</v>
      </c>
      <c r="JN16" s="675">
        <v>32469</v>
      </c>
      <c r="JO16" s="675">
        <v>0</v>
      </c>
      <c r="JP16" s="675">
        <v>0</v>
      </c>
      <c r="JQ16" s="675">
        <v>0</v>
      </c>
      <c r="JR16" s="675">
        <v>0</v>
      </c>
      <c r="JS16" s="675">
        <v>0</v>
      </c>
      <c r="JT16" s="675">
        <v>0</v>
      </c>
      <c r="JU16" s="675">
        <v>0</v>
      </c>
      <c r="JV16" s="675">
        <v>0</v>
      </c>
      <c r="JW16" s="675">
        <v>0</v>
      </c>
      <c r="JX16" s="675">
        <v>0</v>
      </c>
      <c r="JY16" s="675">
        <v>0</v>
      </c>
      <c r="JZ16" s="675">
        <v>0</v>
      </c>
      <c r="KA16" s="675">
        <v>0</v>
      </c>
      <c r="KB16" s="675">
        <v>0</v>
      </c>
      <c r="KC16" s="675">
        <v>0</v>
      </c>
      <c r="KD16" s="675">
        <v>0</v>
      </c>
      <c r="KE16" s="675">
        <v>0</v>
      </c>
      <c r="KF16" s="675">
        <v>0</v>
      </c>
    </row>
    <row r="17" spans="1:292" x14ac:dyDescent="0.25">
      <c r="A17" s="675">
        <v>15815</v>
      </c>
      <c r="B17" s="675">
        <v>32570</v>
      </c>
      <c r="C17" s="675">
        <v>35</v>
      </c>
      <c r="D17" s="675">
        <v>2022</v>
      </c>
      <c r="E17" s="675">
        <v>5392</v>
      </c>
      <c r="F17" s="675">
        <v>0</v>
      </c>
      <c r="G17" s="675">
        <v>607.85900000000004</v>
      </c>
      <c r="H17" s="675">
        <v>563.43900000000008</v>
      </c>
      <c r="I17" s="675">
        <v>563.43900000000008</v>
      </c>
      <c r="J17" s="675">
        <v>607.85900000000004</v>
      </c>
      <c r="K17" s="675">
        <v>0</v>
      </c>
      <c r="L17" s="675">
        <v>6554</v>
      </c>
      <c r="M17" s="675">
        <v>0</v>
      </c>
      <c r="N17" s="675">
        <v>0</v>
      </c>
      <c r="O17" s="675">
        <v>0</v>
      </c>
      <c r="P17" s="675">
        <v>585.303</v>
      </c>
      <c r="Q17" s="675">
        <v>0</v>
      </c>
      <c r="R17" s="675">
        <v>187129</v>
      </c>
      <c r="S17" s="675">
        <v>319.71300000000002</v>
      </c>
      <c r="T17" s="675">
        <v>0</v>
      </c>
      <c r="U17" s="675">
        <v>187129</v>
      </c>
      <c r="V17" s="675">
        <v>243.309</v>
      </c>
      <c r="W17" s="675">
        <v>159465</v>
      </c>
      <c r="X17" s="675">
        <v>159465</v>
      </c>
      <c r="Y17" s="675">
        <v>0</v>
      </c>
      <c r="Z17" s="675">
        <v>0</v>
      </c>
      <c r="AA17" s="675">
        <v>1</v>
      </c>
      <c r="AB17" s="675">
        <v>1</v>
      </c>
      <c r="AC17" s="675">
        <v>0</v>
      </c>
      <c r="AD17" s="675" t="s">
        <v>316</v>
      </c>
      <c r="AE17" s="675">
        <v>0</v>
      </c>
      <c r="AF17" s="675">
        <v>0</v>
      </c>
      <c r="AG17" s="675">
        <v>0</v>
      </c>
      <c r="AH17" s="675">
        <v>0</v>
      </c>
      <c r="AI17" s="675">
        <v>0</v>
      </c>
      <c r="AJ17" s="675">
        <v>5104</v>
      </c>
      <c r="AK17" s="675" t="s">
        <v>671</v>
      </c>
      <c r="AL17" s="675" t="s">
        <v>391</v>
      </c>
      <c r="AM17" s="675">
        <v>0</v>
      </c>
      <c r="AN17" s="675">
        <v>0</v>
      </c>
      <c r="AO17" s="675">
        <v>0</v>
      </c>
      <c r="AP17" s="675">
        <v>0</v>
      </c>
      <c r="AQ17" s="675">
        <v>0</v>
      </c>
      <c r="AR17" s="675">
        <v>0</v>
      </c>
      <c r="AS17" s="675">
        <v>0</v>
      </c>
      <c r="AT17" s="675">
        <v>0</v>
      </c>
      <c r="AU17" s="675">
        <v>0</v>
      </c>
      <c r="AV17" s="675">
        <v>145766</v>
      </c>
      <c r="AW17" s="675">
        <v>6124879</v>
      </c>
      <c r="AX17" s="675">
        <v>5940607</v>
      </c>
      <c r="AY17" s="675">
        <v>6336429</v>
      </c>
      <c r="AZ17" s="675">
        <v>244981</v>
      </c>
      <c r="BA17" s="675">
        <v>13.25</v>
      </c>
      <c r="BB17" s="675">
        <v>15658</v>
      </c>
      <c r="BC17" s="675">
        <v>15658</v>
      </c>
      <c r="BD17" s="675">
        <v>19.909000000000002</v>
      </c>
      <c r="BE17" s="675">
        <v>0</v>
      </c>
      <c r="BF17" s="675">
        <v>5047535</v>
      </c>
      <c r="BG17" s="675">
        <v>0</v>
      </c>
      <c r="BH17" s="675">
        <v>153.43100000000001</v>
      </c>
      <c r="BI17" s="675">
        <v>42194</v>
      </c>
      <c r="BJ17" s="675">
        <v>12</v>
      </c>
      <c r="BK17" s="675">
        <v>0</v>
      </c>
      <c r="BL17" s="675">
        <v>0</v>
      </c>
      <c r="BM17" s="675">
        <v>0</v>
      </c>
      <c r="BN17" s="675">
        <v>0</v>
      </c>
      <c r="BO17" s="675">
        <v>0</v>
      </c>
      <c r="BP17" s="675">
        <v>0</v>
      </c>
      <c r="BQ17" s="675">
        <v>5392</v>
      </c>
      <c r="BR17" s="675">
        <v>1</v>
      </c>
      <c r="BS17" s="675">
        <v>0</v>
      </c>
      <c r="BT17" s="675">
        <v>0</v>
      </c>
      <c r="BU17" s="675">
        <v>0</v>
      </c>
      <c r="BV17" s="675">
        <v>0</v>
      </c>
      <c r="BW17" s="675">
        <v>0</v>
      </c>
      <c r="BX17" s="675">
        <v>0</v>
      </c>
      <c r="BY17" s="675">
        <v>0</v>
      </c>
      <c r="BZ17" s="675">
        <v>0</v>
      </c>
      <c r="CA17" s="675">
        <v>40.960999999999999</v>
      </c>
      <c r="CB17" s="675">
        <v>15658</v>
      </c>
      <c r="CC17" s="675">
        <v>0</v>
      </c>
      <c r="CD17" s="675">
        <v>0</v>
      </c>
      <c r="CE17" s="675">
        <v>0</v>
      </c>
      <c r="CF17" s="675">
        <v>0</v>
      </c>
      <c r="CG17" s="675">
        <v>0</v>
      </c>
      <c r="CH17" s="675">
        <v>126420</v>
      </c>
      <c r="CI17" s="675">
        <v>0</v>
      </c>
      <c r="CJ17" s="675">
        <v>4</v>
      </c>
      <c r="CK17" s="675">
        <v>0</v>
      </c>
      <c r="CL17" s="675">
        <v>0</v>
      </c>
      <c r="CM17" s="675">
        <v>0</v>
      </c>
      <c r="CN17" s="675">
        <v>0</v>
      </c>
      <c r="CO17" s="675">
        <v>0</v>
      </c>
      <c r="CP17" s="675">
        <v>0</v>
      </c>
      <c r="CQ17" s="675">
        <v>0</v>
      </c>
      <c r="CR17" s="675">
        <v>585.303</v>
      </c>
      <c r="CS17" s="675">
        <v>0</v>
      </c>
      <c r="CT17" s="675">
        <v>0</v>
      </c>
      <c r="CU17" s="675">
        <v>0</v>
      </c>
      <c r="CV17" s="675">
        <v>0</v>
      </c>
      <c r="CW17" s="675">
        <v>0</v>
      </c>
      <c r="CX17" s="675">
        <v>0</v>
      </c>
      <c r="CY17" s="675">
        <v>0</v>
      </c>
      <c r="CZ17" s="675">
        <v>0</v>
      </c>
      <c r="DA17" s="675">
        <v>1</v>
      </c>
      <c r="DB17" s="675">
        <v>3692779</v>
      </c>
      <c r="DC17" s="675">
        <v>0</v>
      </c>
      <c r="DD17" s="675">
        <v>0</v>
      </c>
      <c r="DE17" s="675">
        <v>680305</v>
      </c>
      <c r="DF17" s="675">
        <v>680305</v>
      </c>
      <c r="DG17" s="675">
        <v>519</v>
      </c>
      <c r="DH17" s="675">
        <v>0</v>
      </c>
      <c r="DI17" s="675">
        <v>0</v>
      </c>
      <c r="DJ17" s="675">
        <v>0</v>
      </c>
      <c r="DK17" s="675">
        <v>5392</v>
      </c>
      <c r="DL17" s="675">
        <v>0</v>
      </c>
      <c r="DM17" s="675">
        <v>347322</v>
      </c>
      <c r="DN17" s="675">
        <v>0</v>
      </c>
      <c r="DO17" s="675">
        <v>0</v>
      </c>
      <c r="DP17" s="675">
        <v>0</v>
      </c>
      <c r="DQ17" s="675">
        <v>0</v>
      </c>
      <c r="DR17" s="675">
        <v>0</v>
      </c>
      <c r="DS17" s="675">
        <v>0</v>
      </c>
      <c r="DT17" s="675">
        <v>0</v>
      </c>
      <c r="DU17" s="675">
        <v>0</v>
      </c>
      <c r="DV17" s="675">
        <v>0</v>
      </c>
      <c r="DW17" s="675">
        <v>0</v>
      </c>
      <c r="DX17" s="675">
        <v>0</v>
      </c>
      <c r="DY17" s="675">
        <v>0</v>
      </c>
      <c r="DZ17" s="675">
        <v>0</v>
      </c>
      <c r="EA17" s="675">
        <v>0</v>
      </c>
      <c r="EB17" s="675">
        <v>0</v>
      </c>
      <c r="EC17" s="675">
        <v>15.008000000000001</v>
      </c>
      <c r="ED17" s="675">
        <v>108199</v>
      </c>
      <c r="EE17" s="675">
        <v>0</v>
      </c>
      <c r="EF17" s="675">
        <v>0</v>
      </c>
      <c r="EG17" s="675">
        <v>0</v>
      </c>
      <c r="EH17" s="675">
        <v>239123</v>
      </c>
      <c r="EI17" s="675">
        <v>0</v>
      </c>
      <c r="EJ17" s="675">
        <v>0</v>
      </c>
      <c r="EK17" s="675">
        <v>8.1270000000000007</v>
      </c>
      <c r="EL17" s="675">
        <v>0</v>
      </c>
      <c r="EM17" s="675">
        <v>2.573</v>
      </c>
      <c r="EN17" s="675">
        <v>0.877</v>
      </c>
      <c r="EO17" s="675">
        <v>0</v>
      </c>
      <c r="EP17" s="675">
        <v>0</v>
      </c>
      <c r="EQ17" s="675">
        <v>11.577</v>
      </c>
      <c r="ER17" s="675">
        <v>0</v>
      </c>
      <c r="ES17" s="675">
        <v>36.484999999999999</v>
      </c>
      <c r="ET17" s="675">
        <v>6625</v>
      </c>
      <c r="EU17" s="675">
        <v>244981</v>
      </c>
      <c r="EV17" s="675">
        <v>0</v>
      </c>
      <c r="EW17" s="675">
        <v>0</v>
      </c>
      <c r="EX17" s="675">
        <v>0</v>
      </c>
      <c r="EY17" s="675">
        <v>0</v>
      </c>
      <c r="EZ17" s="675">
        <v>4998992</v>
      </c>
      <c r="FA17" s="675">
        <v>0</v>
      </c>
      <c r="FB17" s="675">
        <v>5243973</v>
      </c>
      <c r="FC17" s="675">
        <v>0.97327799999999998</v>
      </c>
      <c r="FD17" s="675">
        <v>0</v>
      </c>
      <c r="FE17" s="675">
        <v>768447</v>
      </c>
      <c r="FF17" s="675">
        <v>173168</v>
      </c>
      <c r="FG17" s="675">
        <v>6.1239999999999996E-2</v>
      </c>
      <c r="FH17" s="675">
        <v>5.4803999999999999E-2</v>
      </c>
      <c r="FI17" s="675">
        <v>0</v>
      </c>
      <c r="FJ17" s="675">
        <v>0</v>
      </c>
      <c r="FK17" s="675">
        <v>988.971</v>
      </c>
      <c r="FL17" s="675">
        <v>6312008</v>
      </c>
      <c r="FM17" s="675">
        <v>0</v>
      </c>
      <c r="FN17" s="675">
        <v>0</v>
      </c>
      <c r="FO17" s="675">
        <v>0</v>
      </c>
      <c r="FP17" s="675">
        <v>0</v>
      </c>
      <c r="FQ17" s="675">
        <v>0</v>
      </c>
      <c r="FR17" s="675">
        <v>0</v>
      </c>
      <c r="FS17" s="675">
        <v>0</v>
      </c>
      <c r="FT17" s="675">
        <v>0</v>
      </c>
      <c r="FU17" s="675">
        <v>0</v>
      </c>
      <c r="FV17" s="675">
        <v>0</v>
      </c>
      <c r="FW17" s="675">
        <v>0</v>
      </c>
      <c r="FX17" s="675">
        <v>0</v>
      </c>
      <c r="FY17" s="675">
        <v>0</v>
      </c>
      <c r="FZ17" s="675">
        <v>0</v>
      </c>
      <c r="GA17" s="675">
        <v>0</v>
      </c>
      <c r="GB17" s="675">
        <v>290592</v>
      </c>
      <c r="GC17" s="675">
        <v>290592</v>
      </c>
      <c r="GD17" s="675">
        <v>32.843000000000004</v>
      </c>
      <c r="GE17" s="675">
        <v>0</v>
      </c>
      <c r="GF17" s="675">
        <v>0</v>
      </c>
      <c r="GG17" s="675">
        <v>0</v>
      </c>
      <c r="GH17" s="675">
        <v>0</v>
      </c>
      <c r="GI17" s="675">
        <v>0</v>
      </c>
      <c r="GJ17" s="675">
        <v>0</v>
      </c>
      <c r="GK17" s="675">
        <v>5063</v>
      </c>
      <c r="GL17" s="675">
        <v>24155</v>
      </c>
      <c r="GM17" s="675">
        <v>0</v>
      </c>
      <c r="GN17" s="675">
        <v>6455</v>
      </c>
      <c r="GO17" s="675">
        <v>0</v>
      </c>
      <c r="GP17" s="675">
        <v>6185588</v>
      </c>
      <c r="GQ17" s="675">
        <v>6185588</v>
      </c>
      <c r="GR17" s="675">
        <v>0</v>
      </c>
      <c r="GS17" s="675">
        <v>0</v>
      </c>
      <c r="GT17" s="675">
        <v>0</v>
      </c>
      <c r="GU17" s="675">
        <v>0</v>
      </c>
      <c r="GV17" s="675">
        <v>0</v>
      </c>
      <c r="GW17" s="675">
        <v>0</v>
      </c>
      <c r="GX17" s="675">
        <v>0</v>
      </c>
      <c r="GY17" s="675">
        <v>0</v>
      </c>
      <c r="GZ17" s="675">
        <v>0</v>
      </c>
      <c r="HA17" s="675">
        <v>0</v>
      </c>
      <c r="HB17" s="675">
        <v>260786259</v>
      </c>
      <c r="HC17" s="675">
        <v>5.0923999999999997E-2</v>
      </c>
      <c r="HD17" s="675">
        <v>119795</v>
      </c>
      <c r="HE17" s="675">
        <v>0</v>
      </c>
      <c r="HF17" s="675">
        <v>0</v>
      </c>
      <c r="HG17" s="675">
        <v>0</v>
      </c>
      <c r="HH17" s="675">
        <v>0</v>
      </c>
      <c r="HI17" s="675">
        <v>0</v>
      </c>
      <c r="HJ17" s="675">
        <v>0</v>
      </c>
      <c r="HK17" s="675">
        <v>0</v>
      </c>
      <c r="HL17" s="675">
        <v>0</v>
      </c>
      <c r="HM17" s="675">
        <v>0</v>
      </c>
      <c r="HN17" s="675">
        <v>0</v>
      </c>
      <c r="HO17" s="675">
        <v>0</v>
      </c>
      <c r="HP17" s="675">
        <v>0</v>
      </c>
      <c r="HQ17" s="675">
        <v>0</v>
      </c>
      <c r="HR17" s="675">
        <v>0</v>
      </c>
      <c r="HS17" s="675">
        <v>0</v>
      </c>
      <c r="HT17" s="675">
        <v>0</v>
      </c>
      <c r="HU17" s="675">
        <v>0</v>
      </c>
      <c r="HV17" s="675">
        <v>0</v>
      </c>
      <c r="HW17" s="675">
        <v>0</v>
      </c>
      <c r="HX17" s="675">
        <v>0</v>
      </c>
      <c r="HY17" s="675">
        <v>0</v>
      </c>
      <c r="HZ17" s="675">
        <v>0</v>
      </c>
      <c r="IA17" s="675">
        <v>0</v>
      </c>
      <c r="IB17" s="675">
        <v>0</v>
      </c>
      <c r="IC17" s="675">
        <v>0</v>
      </c>
      <c r="ID17" s="675">
        <v>0</v>
      </c>
      <c r="IE17" s="675">
        <v>0</v>
      </c>
      <c r="IF17" s="675">
        <v>0</v>
      </c>
      <c r="IG17" s="675">
        <v>0</v>
      </c>
      <c r="IH17" s="675">
        <v>0</v>
      </c>
      <c r="II17" s="675">
        <v>0</v>
      </c>
      <c r="IJ17" s="675">
        <v>0</v>
      </c>
      <c r="IK17" s="675">
        <v>0</v>
      </c>
      <c r="IL17" s="675">
        <v>0</v>
      </c>
      <c r="IM17" s="675">
        <v>0</v>
      </c>
      <c r="IN17" s="675">
        <v>0</v>
      </c>
      <c r="IO17" s="675">
        <v>0</v>
      </c>
      <c r="IP17" s="675">
        <v>0</v>
      </c>
      <c r="IQ17" s="675">
        <v>0</v>
      </c>
      <c r="IR17" s="675">
        <v>0</v>
      </c>
      <c r="IS17" s="675">
        <v>0</v>
      </c>
      <c r="IT17" s="675">
        <v>0</v>
      </c>
      <c r="IU17" s="675">
        <v>0</v>
      </c>
      <c r="IV17" s="675">
        <v>0</v>
      </c>
      <c r="IW17" s="675">
        <v>0</v>
      </c>
      <c r="IX17" s="675">
        <v>0</v>
      </c>
      <c r="IY17" s="675">
        <v>0</v>
      </c>
      <c r="IZ17" s="675">
        <v>0</v>
      </c>
      <c r="JA17" s="675">
        <v>0</v>
      </c>
      <c r="JB17" s="675">
        <v>0</v>
      </c>
      <c r="JC17" s="675">
        <v>0</v>
      </c>
      <c r="JD17" s="675">
        <v>0</v>
      </c>
      <c r="JE17" s="675">
        <v>0</v>
      </c>
      <c r="JF17" s="675">
        <v>0</v>
      </c>
      <c r="JG17" s="675">
        <v>0</v>
      </c>
      <c r="JH17" s="675">
        <v>0</v>
      </c>
      <c r="JI17" s="675">
        <v>0</v>
      </c>
      <c r="JJ17" s="675">
        <v>0</v>
      </c>
      <c r="JK17" s="675">
        <v>0</v>
      </c>
      <c r="JL17" s="675">
        <v>0</v>
      </c>
      <c r="JM17" s="675">
        <v>0</v>
      </c>
      <c r="JN17" s="675">
        <v>32469</v>
      </c>
      <c r="JO17" s="675">
        <v>0</v>
      </c>
      <c r="JP17" s="675">
        <v>0</v>
      </c>
      <c r="JQ17" s="675">
        <v>0</v>
      </c>
      <c r="JR17" s="675">
        <v>0</v>
      </c>
      <c r="JS17" s="675">
        <v>0</v>
      </c>
      <c r="JT17" s="675">
        <v>0</v>
      </c>
      <c r="JU17" s="675">
        <v>0</v>
      </c>
      <c r="JV17" s="675">
        <v>0</v>
      </c>
      <c r="JW17" s="675">
        <v>0</v>
      </c>
      <c r="JX17" s="675">
        <v>0</v>
      </c>
      <c r="JY17" s="675">
        <v>0</v>
      </c>
      <c r="JZ17" s="675">
        <v>0</v>
      </c>
      <c r="KA17" s="675">
        <v>0</v>
      </c>
      <c r="KB17" s="675">
        <v>0</v>
      </c>
      <c r="KC17" s="675">
        <v>0</v>
      </c>
      <c r="KD17" s="675">
        <v>0</v>
      </c>
      <c r="KE17" s="675">
        <v>0</v>
      </c>
      <c r="KF17" s="675">
        <v>0</v>
      </c>
    </row>
    <row r="18" spans="1:292" x14ac:dyDescent="0.25">
      <c r="A18" s="675">
        <v>15822</v>
      </c>
      <c r="B18" s="675">
        <v>32570</v>
      </c>
      <c r="C18" s="675">
        <v>35</v>
      </c>
      <c r="D18" s="675">
        <v>2022</v>
      </c>
      <c r="E18" s="675">
        <v>5392</v>
      </c>
      <c r="F18" s="675">
        <v>0</v>
      </c>
      <c r="G18" s="675">
        <v>5959.4009999999998</v>
      </c>
      <c r="H18" s="675">
        <v>5722.6910000000007</v>
      </c>
      <c r="I18" s="675">
        <v>5722.6910000000007</v>
      </c>
      <c r="J18" s="675">
        <v>5959.4009999999998</v>
      </c>
      <c r="K18" s="675">
        <v>0</v>
      </c>
      <c r="L18" s="675">
        <v>6554</v>
      </c>
      <c r="M18" s="675">
        <v>0</v>
      </c>
      <c r="N18" s="675">
        <v>0</v>
      </c>
      <c r="O18" s="675">
        <v>0</v>
      </c>
      <c r="P18" s="675">
        <v>5469.125</v>
      </c>
      <c r="Q18" s="675">
        <v>0</v>
      </c>
      <c r="R18" s="675">
        <v>1748550</v>
      </c>
      <c r="S18" s="675">
        <v>319.71300000000002</v>
      </c>
      <c r="T18" s="675">
        <v>0</v>
      </c>
      <c r="U18" s="675">
        <v>1748550</v>
      </c>
      <c r="V18" s="675">
        <v>1227.116</v>
      </c>
      <c r="W18" s="675">
        <v>804252</v>
      </c>
      <c r="X18" s="675">
        <v>804252</v>
      </c>
      <c r="Y18" s="675">
        <v>0</v>
      </c>
      <c r="Z18" s="675">
        <v>0</v>
      </c>
      <c r="AA18" s="675">
        <v>1</v>
      </c>
      <c r="AB18" s="675">
        <v>1</v>
      </c>
      <c r="AC18" s="675">
        <v>0</v>
      </c>
      <c r="AD18" s="675" t="s">
        <v>316</v>
      </c>
      <c r="AE18" s="675">
        <v>0</v>
      </c>
      <c r="AF18" s="675">
        <v>0</v>
      </c>
      <c r="AG18" s="675">
        <v>0</v>
      </c>
      <c r="AH18" s="675">
        <v>0</v>
      </c>
      <c r="AI18" s="675">
        <v>0</v>
      </c>
      <c r="AJ18" s="675">
        <v>5104</v>
      </c>
      <c r="AK18" s="675" t="s">
        <v>671</v>
      </c>
      <c r="AL18" s="675" t="s">
        <v>430</v>
      </c>
      <c r="AM18" s="675">
        <v>0</v>
      </c>
      <c r="AN18" s="675">
        <v>0</v>
      </c>
      <c r="AO18" s="675">
        <v>0</v>
      </c>
      <c r="AP18" s="675">
        <v>0</v>
      </c>
      <c r="AQ18" s="675">
        <v>0</v>
      </c>
      <c r="AR18" s="675">
        <v>0</v>
      </c>
      <c r="AS18" s="675">
        <v>0</v>
      </c>
      <c r="AT18" s="675">
        <v>0</v>
      </c>
      <c r="AU18" s="675">
        <v>0</v>
      </c>
      <c r="AV18" s="675">
        <v>1018853</v>
      </c>
      <c r="AW18" s="675">
        <v>58778779</v>
      </c>
      <c r="AX18" s="675">
        <v>57146659</v>
      </c>
      <c r="AY18" s="675">
        <v>63031416</v>
      </c>
      <c r="AZ18" s="675">
        <v>2206205</v>
      </c>
      <c r="BA18" s="675">
        <v>0</v>
      </c>
      <c r="BB18" s="675">
        <v>234347</v>
      </c>
      <c r="BC18" s="675">
        <v>234347</v>
      </c>
      <c r="BD18" s="675">
        <v>297.97000000000003</v>
      </c>
      <c r="BE18" s="675">
        <v>0</v>
      </c>
      <c r="BF18" s="675">
        <v>48479967</v>
      </c>
      <c r="BG18" s="675">
        <v>0</v>
      </c>
      <c r="BH18" s="675">
        <v>685.52600000000007</v>
      </c>
      <c r="BI18" s="675">
        <v>188520</v>
      </c>
      <c r="BJ18" s="675">
        <v>12</v>
      </c>
      <c r="BK18" s="675">
        <v>0</v>
      </c>
      <c r="BL18" s="675">
        <v>0</v>
      </c>
      <c r="BM18" s="675">
        <v>0</v>
      </c>
      <c r="BN18" s="675">
        <v>0</v>
      </c>
      <c r="BO18" s="675">
        <v>0</v>
      </c>
      <c r="BP18" s="675">
        <v>0</v>
      </c>
      <c r="BQ18" s="675">
        <v>5392</v>
      </c>
      <c r="BR18" s="675">
        <v>1</v>
      </c>
      <c r="BS18" s="675">
        <v>0</v>
      </c>
      <c r="BT18" s="675">
        <v>0</v>
      </c>
      <c r="BU18" s="675">
        <v>0</v>
      </c>
      <c r="BV18" s="675">
        <v>0</v>
      </c>
      <c r="BW18" s="675">
        <v>0</v>
      </c>
      <c r="BX18" s="675">
        <v>0</v>
      </c>
      <c r="BY18" s="675">
        <v>0</v>
      </c>
      <c r="BZ18" s="675">
        <v>0</v>
      </c>
      <c r="CA18" s="675">
        <v>704.06299999999999</v>
      </c>
      <c r="CB18" s="675">
        <v>269135</v>
      </c>
      <c r="CC18" s="675">
        <v>0</v>
      </c>
      <c r="CD18" s="675">
        <v>0</v>
      </c>
      <c r="CE18" s="675">
        <v>0</v>
      </c>
      <c r="CF18" s="675">
        <v>0</v>
      </c>
      <c r="CG18" s="675">
        <v>0</v>
      </c>
      <c r="CH18" s="675">
        <v>1174465</v>
      </c>
      <c r="CI18" s="675">
        <v>0</v>
      </c>
      <c r="CJ18" s="675">
        <v>5</v>
      </c>
      <c r="CK18" s="675">
        <v>0</v>
      </c>
      <c r="CL18" s="675">
        <v>0</v>
      </c>
      <c r="CM18" s="675">
        <v>0</v>
      </c>
      <c r="CN18" s="675">
        <v>0</v>
      </c>
      <c r="CO18" s="675">
        <v>0</v>
      </c>
      <c r="CP18" s="675">
        <v>0</v>
      </c>
      <c r="CQ18" s="675">
        <v>0</v>
      </c>
      <c r="CR18" s="675">
        <v>5469.125</v>
      </c>
      <c r="CS18" s="675">
        <v>0</v>
      </c>
      <c r="CT18" s="675">
        <v>0</v>
      </c>
      <c r="CU18" s="675">
        <v>0</v>
      </c>
      <c r="CV18" s="675">
        <v>0</v>
      </c>
      <c r="CW18" s="675">
        <v>0</v>
      </c>
      <c r="CX18" s="675">
        <v>0</v>
      </c>
      <c r="CY18" s="675">
        <v>0</v>
      </c>
      <c r="CZ18" s="675">
        <v>0</v>
      </c>
      <c r="DA18" s="675">
        <v>1</v>
      </c>
      <c r="DB18" s="675">
        <v>37506517</v>
      </c>
      <c r="DC18" s="675">
        <v>0</v>
      </c>
      <c r="DD18" s="675">
        <v>0</v>
      </c>
      <c r="DE18" s="675">
        <v>6885632</v>
      </c>
      <c r="DF18" s="675">
        <v>6885632</v>
      </c>
      <c r="DG18" s="675">
        <v>5253</v>
      </c>
      <c r="DH18" s="675">
        <v>0</v>
      </c>
      <c r="DI18" s="675">
        <v>0</v>
      </c>
      <c r="DJ18" s="675">
        <v>0</v>
      </c>
      <c r="DK18" s="675">
        <v>5392</v>
      </c>
      <c r="DL18" s="675">
        <v>0</v>
      </c>
      <c r="DM18" s="675">
        <v>3258556</v>
      </c>
      <c r="DN18" s="675">
        <v>0</v>
      </c>
      <c r="DO18" s="675">
        <v>0</v>
      </c>
      <c r="DP18" s="675">
        <v>0</v>
      </c>
      <c r="DQ18" s="675">
        <v>0</v>
      </c>
      <c r="DR18" s="675">
        <v>0</v>
      </c>
      <c r="DS18" s="675">
        <v>0</v>
      </c>
      <c r="DT18" s="675">
        <v>0</v>
      </c>
      <c r="DU18" s="675">
        <v>0</v>
      </c>
      <c r="DV18" s="675">
        <v>0</v>
      </c>
      <c r="DW18" s="675">
        <v>0</v>
      </c>
      <c r="DX18" s="675">
        <v>0</v>
      </c>
      <c r="DY18" s="675">
        <v>0</v>
      </c>
      <c r="DZ18" s="675">
        <v>0</v>
      </c>
      <c r="EA18" s="675">
        <v>0.23300000000000001</v>
      </c>
      <c r="EB18" s="675">
        <v>0</v>
      </c>
      <c r="EC18" s="675">
        <v>136.09800000000001</v>
      </c>
      <c r="ED18" s="675">
        <v>981185</v>
      </c>
      <c r="EE18" s="675">
        <v>0</v>
      </c>
      <c r="EF18" s="675">
        <v>0</v>
      </c>
      <c r="EG18" s="675">
        <v>0</v>
      </c>
      <c r="EH18" s="675">
        <v>2277371</v>
      </c>
      <c r="EI18" s="675">
        <v>0</v>
      </c>
      <c r="EJ18" s="675">
        <v>0</v>
      </c>
      <c r="EK18" s="675">
        <v>87.843000000000004</v>
      </c>
      <c r="EL18" s="675">
        <v>0</v>
      </c>
      <c r="EM18" s="675">
        <v>13.248000000000001</v>
      </c>
      <c r="EN18" s="675">
        <v>8.6080000000000005</v>
      </c>
      <c r="EO18" s="675">
        <v>0</v>
      </c>
      <c r="EP18" s="675">
        <v>0</v>
      </c>
      <c r="EQ18" s="675">
        <v>109.932</v>
      </c>
      <c r="ER18" s="675">
        <v>0</v>
      </c>
      <c r="ES18" s="675">
        <v>347.47800000000001</v>
      </c>
      <c r="ET18" s="675">
        <v>0</v>
      </c>
      <c r="EU18" s="675">
        <v>2206205</v>
      </c>
      <c r="EV18" s="675">
        <v>0</v>
      </c>
      <c r="EW18" s="675">
        <v>0</v>
      </c>
      <c r="EX18" s="675">
        <v>0</v>
      </c>
      <c r="EY18" s="675">
        <v>0</v>
      </c>
      <c r="EZ18" s="675">
        <v>48102746</v>
      </c>
      <c r="FA18" s="675">
        <v>0</v>
      </c>
      <c r="FB18" s="675">
        <v>50308951</v>
      </c>
      <c r="FC18" s="675">
        <v>0.97327799999999998</v>
      </c>
      <c r="FD18" s="675">
        <v>0</v>
      </c>
      <c r="FE18" s="675">
        <v>7380686</v>
      </c>
      <c r="FF18" s="675">
        <v>1663227</v>
      </c>
      <c r="FG18" s="675">
        <v>6.1239999999999996E-2</v>
      </c>
      <c r="FH18" s="675">
        <v>5.4803999999999999E-2</v>
      </c>
      <c r="FI18" s="675">
        <v>0</v>
      </c>
      <c r="FJ18" s="675">
        <v>0</v>
      </c>
      <c r="FK18" s="675">
        <v>9498.7520000000004</v>
      </c>
      <c r="FL18" s="675">
        <v>60527329</v>
      </c>
      <c r="FM18" s="675">
        <v>0</v>
      </c>
      <c r="FN18" s="675">
        <v>0</v>
      </c>
      <c r="FO18" s="675">
        <v>40254</v>
      </c>
      <c r="FP18" s="675">
        <v>0</v>
      </c>
      <c r="FQ18" s="675">
        <v>40254</v>
      </c>
      <c r="FR18" s="675">
        <v>40254</v>
      </c>
      <c r="FS18" s="675">
        <v>0</v>
      </c>
      <c r="FT18" s="675">
        <v>0</v>
      </c>
      <c r="FU18" s="675">
        <v>0</v>
      </c>
      <c r="FV18" s="675">
        <v>0</v>
      </c>
      <c r="FW18" s="675">
        <v>0</v>
      </c>
      <c r="FX18" s="675">
        <v>0</v>
      </c>
      <c r="FY18" s="675">
        <v>0</v>
      </c>
      <c r="FZ18" s="675">
        <v>18</v>
      </c>
      <c r="GA18" s="675">
        <v>0.36899999999999999</v>
      </c>
      <c r="GB18" s="675">
        <v>1121738</v>
      </c>
      <c r="GC18" s="675">
        <v>1121738</v>
      </c>
      <c r="GD18" s="675">
        <v>126.77800000000001</v>
      </c>
      <c r="GE18" s="675">
        <v>0</v>
      </c>
      <c r="GF18" s="675">
        <v>0</v>
      </c>
      <c r="GG18" s="675">
        <v>0</v>
      </c>
      <c r="GH18" s="675">
        <v>0</v>
      </c>
      <c r="GI18" s="675">
        <v>0</v>
      </c>
      <c r="GJ18" s="675">
        <v>0</v>
      </c>
      <c r="GK18" s="675">
        <v>5015</v>
      </c>
      <c r="GL18" s="675">
        <v>20669</v>
      </c>
      <c r="GM18" s="675">
        <v>0</v>
      </c>
      <c r="GN18" s="675">
        <v>0</v>
      </c>
      <c r="GO18" s="675">
        <v>0</v>
      </c>
      <c r="GP18" s="675">
        <v>59352864</v>
      </c>
      <c r="GQ18" s="675">
        <v>59352864</v>
      </c>
      <c r="GR18" s="675">
        <v>0</v>
      </c>
      <c r="GS18" s="675">
        <v>0</v>
      </c>
      <c r="GT18" s="675">
        <v>0</v>
      </c>
      <c r="GU18" s="675">
        <v>0</v>
      </c>
      <c r="GV18" s="675">
        <v>0</v>
      </c>
      <c r="GW18" s="675">
        <v>0</v>
      </c>
      <c r="GX18" s="675">
        <v>0</v>
      </c>
      <c r="GY18" s="675">
        <v>0</v>
      </c>
      <c r="GZ18" s="675">
        <v>0</v>
      </c>
      <c r="HA18" s="675">
        <v>0</v>
      </c>
      <c r="HB18" s="675">
        <v>260786259</v>
      </c>
      <c r="HC18" s="675">
        <v>5.0923999999999997E-2</v>
      </c>
      <c r="HD18" s="675">
        <v>1174465</v>
      </c>
      <c r="HE18" s="675">
        <v>0</v>
      </c>
      <c r="HF18" s="675">
        <v>0</v>
      </c>
      <c r="HG18" s="675">
        <v>0</v>
      </c>
      <c r="HH18" s="675">
        <v>0</v>
      </c>
      <c r="HI18" s="675">
        <v>0</v>
      </c>
      <c r="HJ18" s="675">
        <v>0</v>
      </c>
      <c r="HK18" s="675">
        <v>0</v>
      </c>
      <c r="HL18" s="675">
        <v>0</v>
      </c>
      <c r="HM18" s="675">
        <v>0</v>
      </c>
      <c r="HN18" s="675">
        <v>0</v>
      </c>
      <c r="HO18" s="675">
        <v>0</v>
      </c>
      <c r="HP18" s="675">
        <v>0</v>
      </c>
      <c r="HQ18" s="675">
        <v>0</v>
      </c>
      <c r="HR18" s="675">
        <v>0</v>
      </c>
      <c r="HS18" s="675">
        <v>0</v>
      </c>
      <c r="HT18" s="675">
        <v>0</v>
      </c>
      <c r="HU18" s="675">
        <v>0</v>
      </c>
      <c r="HV18" s="675">
        <v>0</v>
      </c>
      <c r="HW18" s="675">
        <v>0</v>
      </c>
      <c r="HX18" s="675">
        <v>0</v>
      </c>
      <c r="HY18" s="675">
        <v>0</v>
      </c>
      <c r="HZ18" s="675">
        <v>0</v>
      </c>
      <c r="IA18" s="675">
        <v>0</v>
      </c>
      <c r="IB18" s="675">
        <v>0</v>
      </c>
      <c r="IC18" s="675">
        <v>0</v>
      </c>
      <c r="ID18" s="675">
        <v>0</v>
      </c>
      <c r="IE18" s="675">
        <v>0</v>
      </c>
      <c r="IF18" s="675">
        <v>0</v>
      </c>
      <c r="IG18" s="675">
        <v>0</v>
      </c>
      <c r="IH18" s="675">
        <v>0</v>
      </c>
      <c r="II18" s="675">
        <v>0</v>
      </c>
      <c r="IJ18" s="675">
        <v>0</v>
      </c>
      <c r="IK18" s="675">
        <v>0</v>
      </c>
      <c r="IL18" s="675">
        <v>0</v>
      </c>
      <c r="IM18" s="675">
        <v>0</v>
      </c>
      <c r="IN18" s="675">
        <v>0</v>
      </c>
      <c r="IO18" s="675">
        <v>0</v>
      </c>
      <c r="IP18" s="675">
        <v>0</v>
      </c>
      <c r="IQ18" s="675">
        <v>0</v>
      </c>
      <c r="IR18" s="675">
        <v>0</v>
      </c>
      <c r="IS18" s="675">
        <v>0</v>
      </c>
      <c r="IT18" s="675">
        <v>0</v>
      </c>
      <c r="IU18" s="675">
        <v>0</v>
      </c>
      <c r="IV18" s="675">
        <v>0</v>
      </c>
      <c r="IW18" s="675">
        <v>0</v>
      </c>
      <c r="IX18" s="675">
        <v>0</v>
      </c>
      <c r="IY18" s="675">
        <v>0</v>
      </c>
      <c r="IZ18" s="675">
        <v>0</v>
      </c>
      <c r="JA18" s="675">
        <v>0</v>
      </c>
      <c r="JB18" s="675">
        <v>0</v>
      </c>
      <c r="JC18" s="675">
        <v>0</v>
      </c>
      <c r="JD18" s="675">
        <v>0</v>
      </c>
      <c r="JE18" s="675">
        <v>0</v>
      </c>
      <c r="JF18" s="675">
        <v>0</v>
      </c>
      <c r="JG18" s="675">
        <v>0</v>
      </c>
      <c r="JH18" s="675">
        <v>0</v>
      </c>
      <c r="JI18" s="675">
        <v>0</v>
      </c>
      <c r="JJ18" s="675">
        <v>0</v>
      </c>
      <c r="JK18" s="675">
        <v>0</v>
      </c>
      <c r="JL18" s="675">
        <v>0</v>
      </c>
      <c r="JM18" s="675">
        <v>0</v>
      </c>
      <c r="JN18" s="675">
        <v>32469</v>
      </c>
      <c r="JO18" s="675">
        <v>0</v>
      </c>
      <c r="JP18" s="675">
        <v>0</v>
      </c>
      <c r="JQ18" s="675">
        <v>0</v>
      </c>
      <c r="JR18" s="675">
        <v>0</v>
      </c>
      <c r="JS18" s="675">
        <v>0</v>
      </c>
      <c r="JT18" s="675">
        <v>0</v>
      </c>
      <c r="JU18" s="675">
        <v>0</v>
      </c>
      <c r="JV18" s="675">
        <v>0</v>
      </c>
      <c r="JW18" s="675">
        <v>0</v>
      </c>
      <c r="JX18" s="675">
        <v>0</v>
      </c>
      <c r="JY18" s="675">
        <v>0</v>
      </c>
      <c r="JZ18" s="675">
        <v>0</v>
      </c>
      <c r="KA18" s="675">
        <v>0</v>
      </c>
      <c r="KB18" s="675">
        <v>0</v>
      </c>
      <c r="KC18" s="675">
        <v>0</v>
      </c>
      <c r="KD18" s="675">
        <v>0</v>
      </c>
      <c r="KE18" s="675">
        <v>0</v>
      </c>
      <c r="KF18" s="675">
        <v>0</v>
      </c>
    </row>
    <row r="19" spans="1:292" x14ac:dyDescent="0.25">
      <c r="A19" s="675">
        <v>15825</v>
      </c>
      <c r="B19" s="675">
        <v>32570</v>
      </c>
      <c r="C19" s="675">
        <v>35</v>
      </c>
      <c r="D19" s="675">
        <v>2022</v>
      </c>
      <c r="E19" s="675">
        <v>5392</v>
      </c>
      <c r="F19" s="675">
        <v>0</v>
      </c>
      <c r="G19" s="675">
        <v>281.44800000000004</v>
      </c>
      <c r="H19" s="675">
        <v>270.94200000000001</v>
      </c>
      <c r="I19" s="675">
        <v>270.94200000000001</v>
      </c>
      <c r="J19" s="675">
        <v>281.44800000000004</v>
      </c>
      <c r="K19" s="675">
        <v>0</v>
      </c>
      <c r="L19" s="675">
        <v>6554</v>
      </c>
      <c r="M19" s="675">
        <v>0</v>
      </c>
      <c r="N19" s="675">
        <v>0</v>
      </c>
      <c r="O19" s="675">
        <v>0</v>
      </c>
      <c r="P19" s="675">
        <v>293.13300000000004</v>
      </c>
      <c r="Q19" s="675">
        <v>0</v>
      </c>
      <c r="R19" s="675">
        <v>93718</v>
      </c>
      <c r="S19" s="675">
        <v>319.71300000000002</v>
      </c>
      <c r="T19" s="675">
        <v>0</v>
      </c>
      <c r="U19" s="675">
        <v>93718</v>
      </c>
      <c r="V19" s="675">
        <v>75.296999999999997</v>
      </c>
      <c r="W19" s="675">
        <v>49350</v>
      </c>
      <c r="X19" s="675">
        <v>49350</v>
      </c>
      <c r="Y19" s="675">
        <v>0</v>
      </c>
      <c r="Z19" s="675">
        <v>0</v>
      </c>
      <c r="AA19" s="675">
        <v>1</v>
      </c>
      <c r="AB19" s="675">
        <v>1</v>
      </c>
      <c r="AC19" s="675">
        <v>0</v>
      </c>
      <c r="AD19" s="675" t="s">
        <v>316</v>
      </c>
      <c r="AE19" s="675">
        <v>0</v>
      </c>
      <c r="AF19" s="675">
        <v>0</v>
      </c>
      <c r="AG19" s="675">
        <v>0</v>
      </c>
      <c r="AH19" s="675">
        <v>0</v>
      </c>
      <c r="AI19" s="675">
        <v>0</v>
      </c>
      <c r="AJ19" s="675">
        <v>5104</v>
      </c>
      <c r="AK19" s="675" t="s">
        <v>671</v>
      </c>
      <c r="AL19" s="675" t="s">
        <v>62</v>
      </c>
      <c r="AM19" s="675">
        <v>0</v>
      </c>
      <c r="AN19" s="675">
        <v>0</v>
      </c>
      <c r="AO19" s="675">
        <v>0</v>
      </c>
      <c r="AP19" s="675">
        <v>0</v>
      </c>
      <c r="AQ19" s="675">
        <v>0</v>
      </c>
      <c r="AR19" s="675">
        <v>0</v>
      </c>
      <c r="AS19" s="675">
        <v>0</v>
      </c>
      <c r="AT19" s="675">
        <v>0</v>
      </c>
      <c r="AU19" s="675">
        <v>0</v>
      </c>
      <c r="AV19" s="675">
        <v>193079</v>
      </c>
      <c r="AW19" s="675">
        <v>2860077</v>
      </c>
      <c r="AX19" s="675">
        <v>2799568</v>
      </c>
      <c r="AY19" s="675">
        <v>3119033</v>
      </c>
      <c r="AZ19" s="675">
        <v>93718</v>
      </c>
      <c r="BA19" s="675">
        <v>9.5830000000000002</v>
      </c>
      <c r="BB19" s="675">
        <v>11068</v>
      </c>
      <c r="BC19" s="675">
        <v>11068</v>
      </c>
      <c r="BD19" s="675">
        <v>14.072000000000001</v>
      </c>
      <c r="BE19" s="675">
        <v>0</v>
      </c>
      <c r="BF19" s="675">
        <v>2383255</v>
      </c>
      <c r="BG19" s="675">
        <v>0</v>
      </c>
      <c r="BH19" s="675">
        <v>0</v>
      </c>
      <c r="BI19" s="675">
        <v>0</v>
      </c>
      <c r="BJ19" s="675">
        <v>12</v>
      </c>
      <c r="BK19" s="675">
        <v>0</v>
      </c>
      <c r="BL19" s="675">
        <v>0</v>
      </c>
      <c r="BM19" s="675">
        <v>0</v>
      </c>
      <c r="BN19" s="675">
        <v>0</v>
      </c>
      <c r="BO19" s="675">
        <v>0</v>
      </c>
      <c r="BP19" s="675">
        <v>0</v>
      </c>
      <c r="BQ19" s="675">
        <v>5392</v>
      </c>
      <c r="BR19" s="675">
        <v>1</v>
      </c>
      <c r="BS19" s="675">
        <v>0</v>
      </c>
      <c r="BT19" s="675">
        <v>0</v>
      </c>
      <c r="BU19" s="675">
        <v>0</v>
      </c>
      <c r="BV19" s="675">
        <v>0</v>
      </c>
      <c r="BW19" s="675">
        <v>0</v>
      </c>
      <c r="BX19" s="675">
        <v>0</v>
      </c>
      <c r="BY19" s="675">
        <v>0</v>
      </c>
      <c r="BZ19" s="675">
        <v>0</v>
      </c>
      <c r="CA19" s="675">
        <v>0</v>
      </c>
      <c r="CB19" s="675">
        <v>0</v>
      </c>
      <c r="CC19" s="675">
        <v>0</v>
      </c>
      <c r="CD19" s="675">
        <v>0</v>
      </c>
      <c r="CE19" s="675">
        <v>0</v>
      </c>
      <c r="CF19" s="675">
        <v>0</v>
      </c>
      <c r="CG19" s="675">
        <v>0</v>
      </c>
      <c r="CH19" s="675">
        <v>60509</v>
      </c>
      <c r="CI19" s="675">
        <v>0</v>
      </c>
      <c r="CJ19" s="675">
        <v>4</v>
      </c>
      <c r="CK19" s="675">
        <v>0</v>
      </c>
      <c r="CL19" s="675">
        <v>0</v>
      </c>
      <c r="CM19" s="675">
        <v>0</v>
      </c>
      <c r="CN19" s="675">
        <v>0</v>
      </c>
      <c r="CO19" s="675">
        <v>0</v>
      </c>
      <c r="CP19" s="675">
        <v>0</v>
      </c>
      <c r="CQ19" s="675">
        <v>1</v>
      </c>
      <c r="CR19" s="675">
        <v>293.13300000000004</v>
      </c>
      <c r="CS19" s="675">
        <v>0</v>
      </c>
      <c r="CT19" s="675">
        <v>0</v>
      </c>
      <c r="CU19" s="675">
        <v>0</v>
      </c>
      <c r="CV19" s="675">
        <v>0</v>
      </c>
      <c r="CW19" s="675">
        <v>0</v>
      </c>
      <c r="CX19" s="675">
        <v>0</v>
      </c>
      <c r="CY19" s="675">
        <v>0</v>
      </c>
      <c r="CZ19" s="675">
        <v>0</v>
      </c>
      <c r="DA19" s="675">
        <v>1</v>
      </c>
      <c r="DB19" s="675">
        <v>1775754</v>
      </c>
      <c r="DC19" s="675">
        <v>0</v>
      </c>
      <c r="DD19" s="675">
        <v>0</v>
      </c>
      <c r="DE19" s="675">
        <v>398260</v>
      </c>
      <c r="DF19" s="675">
        <v>398260</v>
      </c>
      <c r="DG19" s="675">
        <v>303.83</v>
      </c>
      <c r="DH19" s="675">
        <v>0</v>
      </c>
      <c r="DI19" s="675">
        <v>0</v>
      </c>
      <c r="DJ19" s="675">
        <v>0</v>
      </c>
      <c r="DK19" s="675">
        <v>5392</v>
      </c>
      <c r="DL19" s="675">
        <v>0</v>
      </c>
      <c r="DM19" s="675">
        <v>214258</v>
      </c>
      <c r="DN19" s="675">
        <v>0</v>
      </c>
      <c r="DO19" s="675">
        <v>0</v>
      </c>
      <c r="DP19" s="675">
        <v>0</v>
      </c>
      <c r="DQ19" s="675">
        <v>0</v>
      </c>
      <c r="DR19" s="675">
        <v>0</v>
      </c>
      <c r="DS19" s="675">
        <v>0</v>
      </c>
      <c r="DT19" s="675">
        <v>0</v>
      </c>
      <c r="DU19" s="675">
        <v>0</v>
      </c>
      <c r="DV19" s="675">
        <v>0</v>
      </c>
      <c r="DW19" s="675">
        <v>0</v>
      </c>
      <c r="DX19" s="675">
        <v>0</v>
      </c>
      <c r="DY19" s="675">
        <v>0</v>
      </c>
      <c r="DZ19" s="675">
        <v>0</v>
      </c>
      <c r="EA19" s="675">
        <v>0</v>
      </c>
      <c r="EB19" s="675">
        <v>0</v>
      </c>
      <c r="EC19" s="675">
        <v>0.40100000000000002</v>
      </c>
      <c r="ED19" s="675">
        <v>2891</v>
      </c>
      <c r="EE19" s="675">
        <v>0</v>
      </c>
      <c r="EF19" s="675">
        <v>0</v>
      </c>
      <c r="EG19" s="675">
        <v>0</v>
      </c>
      <c r="EH19" s="675">
        <v>211367</v>
      </c>
      <c r="EI19" s="675">
        <v>0</v>
      </c>
      <c r="EJ19" s="675">
        <v>0</v>
      </c>
      <c r="EK19" s="675">
        <v>10.14</v>
      </c>
      <c r="EL19" s="675">
        <v>0</v>
      </c>
      <c r="EM19" s="675">
        <v>0</v>
      </c>
      <c r="EN19" s="675">
        <v>0.36599999999999999</v>
      </c>
      <c r="EO19" s="675">
        <v>0</v>
      </c>
      <c r="EP19" s="675">
        <v>0</v>
      </c>
      <c r="EQ19" s="675">
        <v>10.506</v>
      </c>
      <c r="ER19" s="675">
        <v>0</v>
      </c>
      <c r="ES19" s="675">
        <v>32.25</v>
      </c>
      <c r="ET19" s="675">
        <v>5042</v>
      </c>
      <c r="EU19" s="675">
        <v>93718</v>
      </c>
      <c r="EV19" s="675">
        <v>0</v>
      </c>
      <c r="EW19" s="675">
        <v>0</v>
      </c>
      <c r="EX19" s="675">
        <v>0</v>
      </c>
      <c r="EY19" s="675">
        <v>0</v>
      </c>
      <c r="EZ19" s="675">
        <v>2354972</v>
      </c>
      <c r="FA19" s="675">
        <v>0</v>
      </c>
      <c r="FB19" s="675">
        <v>2448690</v>
      </c>
      <c r="FC19" s="675">
        <v>0.97327799999999998</v>
      </c>
      <c r="FD19" s="675">
        <v>0</v>
      </c>
      <c r="FE19" s="675">
        <v>362832</v>
      </c>
      <c r="FF19" s="675">
        <v>81764</v>
      </c>
      <c r="FG19" s="675">
        <v>6.1239999999999996E-2</v>
      </c>
      <c r="FH19" s="675">
        <v>5.4803999999999999E-2</v>
      </c>
      <c r="FI19" s="675">
        <v>0</v>
      </c>
      <c r="FJ19" s="675">
        <v>0</v>
      </c>
      <c r="FK19" s="675">
        <v>466.95500000000004</v>
      </c>
      <c r="FL19" s="675">
        <v>2953795</v>
      </c>
      <c r="FM19" s="675">
        <v>0</v>
      </c>
      <c r="FN19" s="675">
        <v>0</v>
      </c>
      <c r="FO19" s="675">
        <v>0</v>
      </c>
      <c r="FP19" s="675">
        <v>0</v>
      </c>
      <c r="FQ19" s="675">
        <v>0</v>
      </c>
      <c r="FR19" s="675">
        <v>0</v>
      </c>
      <c r="FS19" s="675">
        <v>0</v>
      </c>
      <c r="FT19" s="675">
        <v>0</v>
      </c>
      <c r="FU19" s="675">
        <v>0</v>
      </c>
      <c r="FV19" s="675">
        <v>0</v>
      </c>
      <c r="FW19" s="675">
        <v>0</v>
      </c>
      <c r="FX19" s="675">
        <v>0</v>
      </c>
      <c r="FY19" s="675">
        <v>0</v>
      </c>
      <c r="FZ19" s="675">
        <v>0</v>
      </c>
      <c r="GA19" s="675">
        <v>0</v>
      </c>
      <c r="GB19" s="675">
        <v>0</v>
      </c>
      <c r="GC19" s="675">
        <v>0</v>
      </c>
      <c r="GD19" s="675">
        <v>0</v>
      </c>
      <c r="GE19" s="675">
        <v>0</v>
      </c>
      <c r="GF19" s="675">
        <v>0</v>
      </c>
      <c r="GG19" s="675">
        <v>0</v>
      </c>
      <c r="GH19" s="675">
        <v>0</v>
      </c>
      <c r="GI19" s="675">
        <v>0</v>
      </c>
      <c r="GJ19" s="675">
        <v>0</v>
      </c>
      <c r="GK19" s="675">
        <v>5100</v>
      </c>
      <c r="GL19" s="675">
        <v>5520</v>
      </c>
      <c r="GM19" s="675">
        <v>0</v>
      </c>
      <c r="GN19" s="675">
        <v>0</v>
      </c>
      <c r="GO19" s="675">
        <v>0</v>
      </c>
      <c r="GP19" s="675">
        <v>2893286</v>
      </c>
      <c r="GQ19" s="675">
        <v>2893286</v>
      </c>
      <c r="GR19" s="675">
        <v>0</v>
      </c>
      <c r="GS19" s="675">
        <v>0</v>
      </c>
      <c r="GT19" s="675">
        <v>0</v>
      </c>
      <c r="GU19" s="675">
        <v>0</v>
      </c>
      <c r="GV19" s="675">
        <v>0</v>
      </c>
      <c r="GW19" s="675">
        <v>0</v>
      </c>
      <c r="GX19" s="675">
        <v>0</v>
      </c>
      <c r="GY19" s="675">
        <v>0</v>
      </c>
      <c r="GZ19" s="675">
        <v>0</v>
      </c>
      <c r="HA19" s="675">
        <v>0</v>
      </c>
      <c r="HB19" s="675">
        <v>260786259</v>
      </c>
      <c r="HC19" s="675">
        <v>5.0923999999999997E-2</v>
      </c>
      <c r="HD19" s="675">
        <v>55467</v>
      </c>
      <c r="HE19" s="675">
        <v>0</v>
      </c>
      <c r="HF19" s="675">
        <v>0</v>
      </c>
      <c r="HG19" s="675">
        <v>0</v>
      </c>
      <c r="HH19" s="675">
        <v>0</v>
      </c>
      <c r="HI19" s="675">
        <v>0</v>
      </c>
      <c r="HJ19" s="675">
        <v>0</v>
      </c>
      <c r="HK19" s="675">
        <v>0</v>
      </c>
      <c r="HL19" s="675">
        <v>0</v>
      </c>
      <c r="HM19" s="675">
        <v>0</v>
      </c>
      <c r="HN19" s="675">
        <v>0</v>
      </c>
      <c r="HO19" s="675">
        <v>0</v>
      </c>
      <c r="HP19" s="675">
        <v>0</v>
      </c>
      <c r="HQ19" s="675">
        <v>0</v>
      </c>
      <c r="HR19" s="675">
        <v>0</v>
      </c>
      <c r="HS19" s="675">
        <v>0</v>
      </c>
      <c r="HT19" s="675">
        <v>0</v>
      </c>
      <c r="HU19" s="675">
        <v>0</v>
      </c>
      <c r="HV19" s="675">
        <v>0</v>
      </c>
      <c r="HW19" s="675">
        <v>0</v>
      </c>
      <c r="HX19" s="675">
        <v>0</v>
      </c>
      <c r="HY19" s="675">
        <v>0</v>
      </c>
      <c r="HZ19" s="675">
        <v>0</v>
      </c>
      <c r="IA19" s="675">
        <v>0</v>
      </c>
      <c r="IB19" s="675">
        <v>0</v>
      </c>
      <c r="IC19" s="675">
        <v>0</v>
      </c>
      <c r="ID19" s="675">
        <v>0</v>
      </c>
      <c r="IE19" s="675">
        <v>0</v>
      </c>
      <c r="IF19" s="675">
        <v>0</v>
      </c>
      <c r="IG19" s="675">
        <v>0</v>
      </c>
      <c r="IH19" s="675">
        <v>0</v>
      </c>
      <c r="II19" s="675">
        <v>0</v>
      </c>
      <c r="IJ19" s="675">
        <v>0</v>
      </c>
      <c r="IK19" s="675">
        <v>0</v>
      </c>
      <c r="IL19" s="675">
        <v>0</v>
      </c>
      <c r="IM19" s="675">
        <v>0</v>
      </c>
      <c r="IN19" s="675">
        <v>0</v>
      </c>
      <c r="IO19" s="675">
        <v>0</v>
      </c>
      <c r="IP19" s="675">
        <v>0</v>
      </c>
      <c r="IQ19" s="675">
        <v>0</v>
      </c>
      <c r="IR19" s="675">
        <v>0</v>
      </c>
      <c r="IS19" s="675">
        <v>0</v>
      </c>
      <c r="IT19" s="675">
        <v>0</v>
      </c>
      <c r="IU19" s="675">
        <v>0</v>
      </c>
      <c r="IV19" s="675">
        <v>0</v>
      </c>
      <c r="IW19" s="675">
        <v>0</v>
      </c>
      <c r="IX19" s="675">
        <v>0</v>
      </c>
      <c r="IY19" s="675">
        <v>0</v>
      </c>
      <c r="IZ19" s="675">
        <v>0</v>
      </c>
      <c r="JA19" s="675">
        <v>0</v>
      </c>
      <c r="JB19" s="675">
        <v>0</v>
      </c>
      <c r="JC19" s="675">
        <v>0</v>
      </c>
      <c r="JD19" s="675">
        <v>0</v>
      </c>
      <c r="JE19" s="675">
        <v>0</v>
      </c>
      <c r="JF19" s="675">
        <v>0</v>
      </c>
      <c r="JG19" s="675">
        <v>0</v>
      </c>
      <c r="JH19" s="675">
        <v>0</v>
      </c>
      <c r="JI19" s="675">
        <v>0</v>
      </c>
      <c r="JJ19" s="675">
        <v>0</v>
      </c>
      <c r="JK19" s="675">
        <v>0</v>
      </c>
      <c r="JL19" s="675">
        <v>0</v>
      </c>
      <c r="JM19" s="675">
        <v>0</v>
      </c>
      <c r="JN19" s="675">
        <v>32469</v>
      </c>
      <c r="JO19" s="675">
        <v>0</v>
      </c>
      <c r="JP19" s="675">
        <v>0</v>
      </c>
      <c r="JQ19" s="675">
        <v>0</v>
      </c>
      <c r="JR19" s="675">
        <v>0</v>
      </c>
      <c r="JS19" s="675">
        <v>0</v>
      </c>
      <c r="JT19" s="675">
        <v>0</v>
      </c>
      <c r="JU19" s="675">
        <v>0</v>
      </c>
      <c r="JV19" s="675">
        <v>0</v>
      </c>
      <c r="JW19" s="675">
        <v>0</v>
      </c>
      <c r="JX19" s="675">
        <v>0</v>
      </c>
      <c r="JY19" s="675">
        <v>0</v>
      </c>
      <c r="JZ19" s="675">
        <v>0</v>
      </c>
      <c r="KA19" s="675">
        <v>0</v>
      </c>
      <c r="KB19" s="675">
        <v>0</v>
      </c>
      <c r="KC19" s="675">
        <v>0</v>
      </c>
      <c r="KD19" s="675">
        <v>0</v>
      </c>
      <c r="KE19" s="675">
        <v>0</v>
      </c>
      <c r="KF19" s="675">
        <v>0</v>
      </c>
    </row>
    <row r="20" spans="1:292" x14ac:dyDescent="0.25">
      <c r="A20" s="675">
        <v>15827</v>
      </c>
      <c r="B20" s="675">
        <v>32570</v>
      </c>
      <c r="C20" s="675">
        <v>35</v>
      </c>
      <c r="D20" s="675">
        <v>2022</v>
      </c>
      <c r="E20" s="675">
        <v>5392</v>
      </c>
      <c r="F20" s="675">
        <v>0</v>
      </c>
      <c r="G20" s="675">
        <v>2052.6770000000001</v>
      </c>
      <c r="H20" s="675">
        <v>1953.3970000000002</v>
      </c>
      <c r="I20" s="675">
        <v>1953.3970000000002</v>
      </c>
      <c r="J20" s="675">
        <v>2052.6770000000001</v>
      </c>
      <c r="K20" s="675">
        <v>0</v>
      </c>
      <c r="L20" s="675">
        <v>6554</v>
      </c>
      <c r="M20" s="675">
        <v>0</v>
      </c>
      <c r="N20" s="675">
        <v>0</v>
      </c>
      <c r="O20" s="675">
        <v>0</v>
      </c>
      <c r="P20" s="675">
        <v>1708.173</v>
      </c>
      <c r="Q20" s="675">
        <v>0</v>
      </c>
      <c r="R20" s="675">
        <v>546125</v>
      </c>
      <c r="S20" s="675">
        <v>319.71300000000002</v>
      </c>
      <c r="T20" s="675">
        <v>0</v>
      </c>
      <c r="U20" s="675">
        <v>546125</v>
      </c>
      <c r="V20" s="675">
        <v>359.86099999999999</v>
      </c>
      <c r="W20" s="675">
        <v>235853</v>
      </c>
      <c r="X20" s="675">
        <v>235853</v>
      </c>
      <c r="Y20" s="675">
        <v>0</v>
      </c>
      <c r="Z20" s="675">
        <v>0</v>
      </c>
      <c r="AA20" s="675">
        <v>1</v>
      </c>
      <c r="AB20" s="675">
        <v>1</v>
      </c>
      <c r="AC20" s="675">
        <v>0</v>
      </c>
      <c r="AD20" s="675" t="s">
        <v>316</v>
      </c>
      <c r="AE20" s="675">
        <v>0</v>
      </c>
      <c r="AF20" s="675">
        <v>0</v>
      </c>
      <c r="AG20" s="675">
        <v>0</v>
      </c>
      <c r="AH20" s="675">
        <v>0</v>
      </c>
      <c r="AI20" s="675">
        <v>0</v>
      </c>
      <c r="AJ20" s="675">
        <v>5104</v>
      </c>
      <c r="AK20" s="675" t="s">
        <v>671</v>
      </c>
      <c r="AL20" s="675" t="s">
        <v>15</v>
      </c>
      <c r="AM20" s="675">
        <v>0</v>
      </c>
      <c r="AN20" s="675">
        <v>0</v>
      </c>
      <c r="AO20" s="675">
        <v>0</v>
      </c>
      <c r="AP20" s="675">
        <v>0</v>
      </c>
      <c r="AQ20" s="675">
        <v>0</v>
      </c>
      <c r="AR20" s="675">
        <v>0</v>
      </c>
      <c r="AS20" s="675">
        <v>0</v>
      </c>
      <c r="AT20" s="675">
        <v>0</v>
      </c>
      <c r="AU20" s="675">
        <v>0</v>
      </c>
      <c r="AV20" s="675">
        <v>-445553</v>
      </c>
      <c r="AW20" s="675">
        <v>19637644</v>
      </c>
      <c r="AX20" s="675">
        <v>19004664</v>
      </c>
      <c r="AY20" s="675">
        <v>20516949</v>
      </c>
      <c r="AZ20" s="675">
        <v>752359</v>
      </c>
      <c r="BA20" s="675">
        <v>44.417000000000002</v>
      </c>
      <c r="BB20" s="675">
        <v>80719</v>
      </c>
      <c r="BC20" s="675">
        <v>80719</v>
      </c>
      <c r="BD20" s="675">
        <v>102.634</v>
      </c>
      <c r="BE20" s="675">
        <v>0</v>
      </c>
      <c r="BF20" s="675">
        <v>16104364</v>
      </c>
      <c r="BG20" s="675">
        <v>0</v>
      </c>
      <c r="BH20" s="675">
        <v>284.50800000000004</v>
      </c>
      <c r="BI20" s="675">
        <v>78240</v>
      </c>
      <c r="BJ20" s="675">
        <v>12</v>
      </c>
      <c r="BK20" s="675">
        <v>0</v>
      </c>
      <c r="BL20" s="675">
        <v>0</v>
      </c>
      <c r="BM20" s="675">
        <v>0</v>
      </c>
      <c r="BN20" s="675">
        <v>0</v>
      </c>
      <c r="BO20" s="675">
        <v>0</v>
      </c>
      <c r="BP20" s="675">
        <v>0</v>
      </c>
      <c r="BQ20" s="675">
        <v>5392</v>
      </c>
      <c r="BR20" s="675">
        <v>1</v>
      </c>
      <c r="BS20" s="675">
        <v>0</v>
      </c>
      <c r="BT20" s="675">
        <v>0</v>
      </c>
      <c r="BU20" s="675">
        <v>0</v>
      </c>
      <c r="BV20" s="675">
        <v>0</v>
      </c>
      <c r="BW20" s="675">
        <v>0</v>
      </c>
      <c r="BX20" s="675">
        <v>0</v>
      </c>
      <c r="BY20" s="675">
        <v>0</v>
      </c>
      <c r="BZ20" s="675">
        <v>0</v>
      </c>
      <c r="CA20" s="675">
        <v>334.83600000000001</v>
      </c>
      <c r="CB20" s="675">
        <v>127994</v>
      </c>
      <c r="CC20" s="675">
        <v>0</v>
      </c>
      <c r="CD20" s="675">
        <v>0</v>
      </c>
      <c r="CE20" s="675">
        <v>0</v>
      </c>
      <c r="CF20" s="675">
        <v>0</v>
      </c>
      <c r="CG20" s="675">
        <v>0</v>
      </c>
      <c r="CH20" s="675">
        <v>426746</v>
      </c>
      <c r="CI20" s="675">
        <v>0</v>
      </c>
      <c r="CJ20" s="675">
        <v>4</v>
      </c>
      <c r="CK20" s="675">
        <v>0</v>
      </c>
      <c r="CL20" s="675">
        <v>0</v>
      </c>
      <c r="CM20" s="675">
        <v>0</v>
      </c>
      <c r="CN20" s="675">
        <v>0</v>
      </c>
      <c r="CO20" s="675">
        <v>0</v>
      </c>
      <c r="CP20" s="675">
        <v>0</v>
      </c>
      <c r="CQ20" s="675">
        <v>0</v>
      </c>
      <c r="CR20" s="675">
        <v>1708.173</v>
      </c>
      <c r="CS20" s="675">
        <v>0</v>
      </c>
      <c r="CT20" s="675">
        <v>0</v>
      </c>
      <c r="CU20" s="675">
        <v>0</v>
      </c>
      <c r="CV20" s="675">
        <v>0</v>
      </c>
      <c r="CW20" s="675">
        <v>0</v>
      </c>
      <c r="CX20" s="675">
        <v>0</v>
      </c>
      <c r="CY20" s="675">
        <v>0</v>
      </c>
      <c r="CZ20" s="675">
        <v>0</v>
      </c>
      <c r="DA20" s="675">
        <v>1</v>
      </c>
      <c r="DB20" s="675">
        <v>12802564</v>
      </c>
      <c r="DC20" s="675">
        <v>0</v>
      </c>
      <c r="DD20" s="675">
        <v>0</v>
      </c>
      <c r="DE20" s="675">
        <v>1657729</v>
      </c>
      <c r="DF20" s="675">
        <v>1657729</v>
      </c>
      <c r="DG20" s="675">
        <v>1264.67</v>
      </c>
      <c r="DH20" s="675">
        <v>0</v>
      </c>
      <c r="DI20" s="675">
        <v>0</v>
      </c>
      <c r="DJ20" s="675">
        <v>0</v>
      </c>
      <c r="DK20" s="675">
        <v>5392</v>
      </c>
      <c r="DL20" s="675">
        <v>0</v>
      </c>
      <c r="DM20" s="675">
        <v>1251831</v>
      </c>
      <c r="DN20" s="675">
        <v>0</v>
      </c>
      <c r="DO20" s="675">
        <v>0</v>
      </c>
      <c r="DP20" s="675">
        <v>0</v>
      </c>
      <c r="DQ20" s="675">
        <v>0</v>
      </c>
      <c r="DR20" s="675">
        <v>0</v>
      </c>
      <c r="DS20" s="675">
        <v>0</v>
      </c>
      <c r="DT20" s="675">
        <v>0</v>
      </c>
      <c r="DU20" s="675">
        <v>0</v>
      </c>
      <c r="DV20" s="675">
        <v>0</v>
      </c>
      <c r="DW20" s="675">
        <v>0</v>
      </c>
      <c r="DX20" s="675">
        <v>0</v>
      </c>
      <c r="DY20" s="675">
        <v>0</v>
      </c>
      <c r="DZ20" s="675">
        <v>0</v>
      </c>
      <c r="EA20" s="675">
        <v>0</v>
      </c>
      <c r="EB20" s="675">
        <v>0</v>
      </c>
      <c r="EC20" s="675">
        <v>56.155000000000001</v>
      </c>
      <c r="ED20" s="675">
        <v>404844</v>
      </c>
      <c r="EE20" s="675">
        <v>0</v>
      </c>
      <c r="EF20" s="675">
        <v>0</v>
      </c>
      <c r="EG20" s="675">
        <v>0</v>
      </c>
      <c r="EH20" s="675">
        <v>846987</v>
      </c>
      <c r="EI20" s="675">
        <v>0</v>
      </c>
      <c r="EJ20" s="675">
        <v>0</v>
      </c>
      <c r="EK20" s="675">
        <v>34.914000000000001</v>
      </c>
      <c r="EL20" s="675">
        <v>0</v>
      </c>
      <c r="EM20" s="675">
        <v>2.5100000000000002</v>
      </c>
      <c r="EN20" s="675">
        <v>3.3920000000000003</v>
      </c>
      <c r="EO20" s="675">
        <v>0</v>
      </c>
      <c r="EP20" s="675">
        <v>0</v>
      </c>
      <c r="EQ20" s="675">
        <v>40.816000000000003</v>
      </c>
      <c r="ER20" s="675">
        <v>0</v>
      </c>
      <c r="ES20" s="675">
        <v>129.232</v>
      </c>
      <c r="ET20" s="675">
        <v>22209</v>
      </c>
      <c r="EU20" s="675">
        <v>752359</v>
      </c>
      <c r="EV20" s="675">
        <v>0</v>
      </c>
      <c r="EW20" s="675">
        <v>0</v>
      </c>
      <c r="EX20" s="675">
        <v>0</v>
      </c>
      <c r="EY20" s="675">
        <v>0</v>
      </c>
      <c r="EZ20" s="675">
        <v>16000403</v>
      </c>
      <c r="FA20" s="675">
        <v>0</v>
      </c>
      <c r="FB20" s="675">
        <v>16752762</v>
      </c>
      <c r="FC20" s="675">
        <v>0.97327799999999998</v>
      </c>
      <c r="FD20" s="675">
        <v>0</v>
      </c>
      <c r="FE20" s="675">
        <v>2451760</v>
      </c>
      <c r="FF20" s="675">
        <v>552501</v>
      </c>
      <c r="FG20" s="675">
        <v>6.1239999999999996E-2</v>
      </c>
      <c r="FH20" s="675">
        <v>5.4803999999999999E-2</v>
      </c>
      <c r="FI20" s="675">
        <v>0</v>
      </c>
      <c r="FJ20" s="675">
        <v>0</v>
      </c>
      <c r="FK20" s="675">
        <v>3155.3520000000003</v>
      </c>
      <c r="FL20" s="675">
        <v>20183769</v>
      </c>
      <c r="FM20" s="675">
        <v>0</v>
      </c>
      <c r="FN20" s="675">
        <v>0</v>
      </c>
      <c r="FO20" s="675">
        <v>0</v>
      </c>
      <c r="FP20" s="675">
        <v>0</v>
      </c>
      <c r="FQ20" s="675">
        <v>0</v>
      </c>
      <c r="FR20" s="675">
        <v>0</v>
      </c>
      <c r="FS20" s="675">
        <v>0</v>
      </c>
      <c r="FT20" s="675">
        <v>0</v>
      </c>
      <c r="FU20" s="675">
        <v>0</v>
      </c>
      <c r="FV20" s="675">
        <v>0</v>
      </c>
      <c r="FW20" s="675">
        <v>0</v>
      </c>
      <c r="FX20" s="675">
        <v>0</v>
      </c>
      <c r="FY20" s="675">
        <v>0</v>
      </c>
      <c r="FZ20" s="675">
        <v>548</v>
      </c>
      <c r="GA20" s="675">
        <v>10.963000000000001</v>
      </c>
      <c r="GB20" s="675">
        <v>517832</v>
      </c>
      <c r="GC20" s="675">
        <v>517832</v>
      </c>
      <c r="GD20" s="675">
        <v>58.464000000000006</v>
      </c>
      <c r="GE20" s="675">
        <v>0</v>
      </c>
      <c r="GF20" s="675">
        <v>0</v>
      </c>
      <c r="GG20" s="675">
        <v>0</v>
      </c>
      <c r="GH20" s="675">
        <v>0</v>
      </c>
      <c r="GI20" s="675">
        <v>0</v>
      </c>
      <c r="GJ20" s="675">
        <v>0</v>
      </c>
      <c r="GK20" s="675">
        <v>5177</v>
      </c>
      <c r="GL20" s="675">
        <v>11947</v>
      </c>
      <c r="GM20" s="675">
        <v>0</v>
      </c>
      <c r="GN20" s="675">
        <v>0</v>
      </c>
      <c r="GO20" s="675">
        <v>0</v>
      </c>
      <c r="GP20" s="675">
        <v>19757023</v>
      </c>
      <c r="GQ20" s="675">
        <v>19757023</v>
      </c>
      <c r="GR20" s="675">
        <v>0</v>
      </c>
      <c r="GS20" s="675">
        <v>0</v>
      </c>
      <c r="GT20" s="675">
        <v>0</v>
      </c>
      <c r="GU20" s="675">
        <v>0</v>
      </c>
      <c r="GV20" s="675">
        <v>0</v>
      </c>
      <c r="GW20" s="675">
        <v>0</v>
      </c>
      <c r="GX20" s="675">
        <v>0</v>
      </c>
      <c r="GY20" s="675">
        <v>0</v>
      </c>
      <c r="GZ20" s="675">
        <v>0</v>
      </c>
      <c r="HA20" s="675">
        <v>0</v>
      </c>
      <c r="HB20" s="675">
        <v>260786259</v>
      </c>
      <c r="HC20" s="675">
        <v>5.0923999999999997E-2</v>
      </c>
      <c r="HD20" s="675">
        <v>404537</v>
      </c>
      <c r="HE20" s="675">
        <v>0</v>
      </c>
      <c r="HF20" s="675">
        <v>0</v>
      </c>
      <c r="HG20" s="675">
        <v>0</v>
      </c>
      <c r="HH20" s="675">
        <v>0</v>
      </c>
      <c r="HI20" s="675">
        <v>0</v>
      </c>
      <c r="HJ20" s="675">
        <v>0</v>
      </c>
      <c r="HK20" s="675">
        <v>0</v>
      </c>
      <c r="HL20" s="675">
        <v>0</v>
      </c>
      <c r="HM20" s="675">
        <v>0</v>
      </c>
      <c r="HN20" s="675">
        <v>0</v>
      </c>
      <c r="HO20" s="675">
        <v>0</v>
      </c>
      <c r="HP20" s="675">
        <v>0</v>
      </c>
      <c r="HQ20" s="675">
        <v>0</v>
      </c>
      <c r="HR20" s="675">
        <v>0</v>
      </c>
      <c r="HS20" s="675">
        <v>0</v>
      </c>
      <c r="HT20" s="675">
        <v>0</v>
      </c>
      <c r="HU20" s="675">
        <v>0</v>
      </c>
      <c r="HV20" s="675">
        <v>0</v>
      </c>
      <c r="HW20" s="675">
        <v>0</v>
      </c>
      <c r="HX20" s="675">
        <v>0</v>
      </c>
      <c r="HY20" s="675">
        <v>0</v>
      </c>
      <c r="HZ20" s="675">
        <v>0</v>
      </c>
      <c r="IA20" s="675">
        <v>0</v>
      </c>
      <c r="IB20" s="675">
        <v>0</v>
      </c>
      <c r="IC20" s="675">
        <v>0</v>
      </c>
      <c r="ID20" s="675">
        <v>0</v>
      </c>
      <c r="IE20" s="675">
        <v>0</v>
      </c>
      <c r="IF20" s="675">
        <v>0</v>
      </c>
      <c r="IG20" s="675">
        <v>0</v>
      </c>
      <c r="IH20" s="675">
        <v>0</v>
      </c>
      <c r="II20" s="675">
        <v>0</v>
      </c>
      <c r="IJ20" s="675">
        <v>0</v>
      </c>
      <c r="IK20" s="675">
        <v>0</v>
      </c>
      <c r="IL20" s="675">
        <v>0</v>
      </c>
      <c r="IM20" s="675">
        <v>0</v>
      </c>
      <c r="IN20" s="675">
        <v>0</v>
      </c>
      <c r="IO20" s="675">
        <v>0</v>
      </c>
      <c r="IP20" s="675">
        <v>0</v>
      </c>
      <c r="IQ20" s="675">
        <v>0</v>
      </c>
      <c r="IR20" s="675">
        <v>0</v>
      </c>
      <c r="IS20" s="675">
        <v>0</v>
      </c>
      <c r="IT20" s="675">
        <v>0</v>
      </c>
      <c r="IU20" s="675">
        <v>0</v>
      </c>
      <c r="IV20" s="675">
        <v>0</v>
      </c>
      <c r="IW20" s="675">
        <v>0</v>
      </c>
      <c r="IX20" s="675">
        <v>0</v>
      </c>
      <c r="IY20" s="675">
        <v>0</v>
      </c>
      <c r="IZ20" s="675">
        <v>0</v>
      </c>
      <c r="JA20" s="675">
        <v>0</v>
      </c>
      <c r="JB20" s="675">
        <v>0</v>
      </c>
      <c r="JC20" s="675">
        <v>0</v>
      </c>
      <c r="JD20" s="675">
        <v>0</v>
      </c>
      <c r="JE20" s="675">
        <v>0</v>
      </c>
      <c r="JF20" s="675">
        <v>0</v>
      </c>
      <c r="JG20" s="675">
        <v>0</v>
      </c>
      <c r="JH20" s="675">
        <v>0</v>
      </c>
      <c r="JI20" s="675">
        <v>0</v>
      </c>
      <c r="JJ20" s="675">
        <v>0</v>
      </c>
      <c r="JK20" s="675">
        <v>0</v>
      </c>
      <c r="JL20" s="675">
        <v>0</v>
      </c>
      <c r="JM20" s="675">
        <v>0</v>
      </c>
      <c r="JN20" s="675">
        <v>32469</v>
      </c>
      <c r="JO20" s="675">
        <v>0</v>
      </c>
      <c r="JP20" s="675">
        <v>0</v>
      </c>
      <c r="JQ20" s="675">
        <v>0</v>
      </c>
      <c r="JR20" s="675">
        <v>0</v>
      </c>
      <c r="JS20" s="675">
        <v>0</v>
      </c>
      <c r="JT20" s="675">
        <v>0</v>
      </c>
      <c r="JU20" s="675">
        <v>0</v>
      </c>
      <c r="JV20" s="675">
        <v>0</v>
      </c>
      <c r="JW20" s="675">
        <v>0</v>
      </c>
      <c r="JX20" s="675">
        <v>0</v>
      </c>
      <c r="JY20" s="675">
        <v>0</v>
      </c>
      <c r="JZ20" s="675">
        <v>0</v>
      </c>
      <c r="KA20" s="675">
        <v>0</v>
      </c>
      <c r="KB20" s="675">
        <v>0</v>
      </c>
      <c r="KC20" s="675">
        <v>0</v>
      </c>
      <c r="KD20" s="675">
        <v>0</v>
      </c>
      <c r="KE20" s="675">
        <v>0</v>
      </c>
      <c r="KF20" s="675">
        <v>0</v>
      </c>
    </row>
    <row r="21" spans="1:292" x14ac:dyDescent="0.25">
      <c r="A21" s="675">
        <v>15828</v>
      </c>
      <c r="B21" s="675">
        <v>32570</v>
      </c>
      <c r="C21" s="675">
        <v>35</v>
      </c>
      <c r="D21" s="675">
        <v>2022</v>
      </c>
      <c r="E21" s="675">
        <v>5392</v>
      </c>
      <c r="F21" s="675">
        <v>0</v>
      </c>
      <c r="G21" s="675">
        <v>4146.1860000000006</v>
      </c>
      <c r="H21" s="675">
        <v>3747.9630000000002</v>
      </c>
      <c r="I21" s="675">
        <v>3747.9630000000002</v>
      </c>
      <c r="J21" s="675">
        <v>4146.1860000000006</v>
      </c>
      <c r="K21" s="675">
        <v>0</v>
      </c>
      <c r="L21" s="675">
        <v>6554</v>
      </c>
      <c r="M21" s="675">
        <v>0</v>
      </c>
      <c r="N21" s="675">
        <v>0</v>
      </c>
      <c r="O21" s="675">
        <v>0</v>
      </c>
      <c r="P21" s="675">
        <v>4226.0600000000004</v>
      </c>
      <c r="Q21" s="675">
        <v>0</v>
      </c>
      <c r="R21" s="675">
        <v>1351126</v>
      </c>
      <c r="S21" s="675">
        <v>319.71300000000002</v>
      </c>
      <c r="T21" s="675">
        <v>0</v>
      </c>
      <c r="U21" s="675">
        <v>1351126</v>
      </c>
      <c r="V21" s="675">
        <v>1325.066</v>
      </c>
      <c r="W21" s="675">
        <v>868448</v>
      </c>
      <c r="X21" s="675">
        <v>868448</v>
      </c>
      <c r="Y21" s="675">
        <v>0</v>
      </c>
      <c r="Z21" s="675">
        <v>0</v>
      </c>
      <c r="AA21" s="675">
        <v>1</v>
      </c>
      <c r="AB21" s="675">
        <v>1</v>
      </c>
      <c r="AC21" s="675">
        <v>0</v>
      </c>
      <c r="AD21" s="675" t="s">
        <v>316</v>
      </c>
      <c r="AE21" s="675">
        <v>0</v>
      </c>
      <c r="AF21" s="675">
        <v>0</v>
      </c>
      <c r="AG21" s="675">
        <v>0</v>
      </c>
      <c r="AH21" s="675">
        <v>0</v>
      </c>
      <c r="AI21" s="675">
        <v>0</v>
      </c>
      <c r="AJ21" s="675">
        <v>5104</v>
      </c>
      <c r="AK21" s="675" t="s">
        <v>671</v>
      </c>
      <c r="AL21" s="675" t="s">
        <v>16</v>
      </c>
      <c r="AM21" s="675">
        <v>0</v>
      </c>
      <c r="AN21" s="675">
        <v>0</v>
      </c>
      <c r="AO21" s="675">
        <v>0</v>
      </c>
      <c r="AP21" s="675">
        <v>0</v>
      </c>
      <c r="AQ21" s="675">
        <v>0</v>
      </c>
      <c r="AR21" s="675">
        <v>0</v>
      </c>
      <c r="AS21" s="675">
        <v>0</v>
      </c>
      <c r="AT21" s="675">
        <v>0</v>
      </c>
      <c r="AU21" s="675">
        <v>0</v>
      </c>
      <c r="AV21" s="675">
        <v>787778</v>
      </c>
      <c r="AW21" s="675">
        <v>42426015</v>
      </c>
      <c r="AX21" s="675">
        <v>41262892</v>
      </c>
      <c r="AY21" s="675">
        <v>44335585</v>
      </c>
      <c r="AZ21" s="675">
        <v>1646169</v>
      </c>
      <c r="BA21" s="675">
        <v>101.917</v>
      </c>
      <c r="BB21" s="675">
        <v>163045</v>
      </c>
      <c r="BC21" s="675">
        <v>163045</v>
      </c>
      <c r="BD21" s="675">
        <v>207.309</v>
      </c>
      <c r="BE21" s="675">
        <v>0</v>
      </c>
      <c r="BF21" s="675">
        <v>35101992</v>
      </c>
      <c r="BG21" s="675">
        <v>0</v>
      </c>
      <c r="BH21" s="675">
        <v>1072.8820000000001</v>
      </c>
      <c r="BI21" s="675">
        <v>295043</v>
      </c>
      <c r="BJ21" s="675">
        <v>12</v>
      </c>
      <c r="BK21" s="675">
        <v>0</v>
      </c>
      <c r="BL21" s="675">
        <v>0</v>
      </c>
      <c r="BM21" s="675">
        <v>0</v>
      </c>
      <c r="BN21" s="675">
        <v>0</v>
      </c>
      <c r="BO21" s="675">
        <v>0</v>
      </c>
      <c r="BP21" s="675">
        <v>0</v>
      </c>
      <c r="BQ21" s="675">
        <v>5392</v>
      </c>
      <c r="BR21" s="675">
        <v>1</v>
      </c>
      <c r="BS21" s="675">
        <v>0</v>
      </c>
      <c r="BT21" s="675">
        <v>0</v>
      </c>
      <c r="BU21" s="675">
        <v>0</v>
      </c>
      <c r="BV21" s="675">
        <v>0</v>
      </c>
      <c r="BW21" s="675">
        <v>0</v>
      </c>
      <c r="BX21" s="675">
        <v>0</v>
      </c>
      <c r="BY21" s="675">
        <v>0</v>
      </c>
      <c r="BZ21" s="675">
        <v>0</v>
      </c>
      <c r="CA21" s="675">
        <v>0</v>
      </c>
      <c r="CB21" s="675">
        <v>0</v>
      </c>
      <c r="CC21" s="675">
        <v>0</v>
      </c>
      <c r="CD21" s="675">
        <v>0</v>
      </c>
      <c r="CE21" s="675">
        <v>0</v>
      </c>
      <c r="CF21" s="675">
        <v>0</v>
      </c>
      <c r="CG21" s="675">
        <v>0</v>
      </c>
      <c r="CH21" s="675">
        <v>868080</v>
      </c>
      <c r="CI21" s="675">
        <v>0</v>
      </c>
      <c r="CJ21" s="675">
        <v>4</v>
      </c>
      <c r="CK21" s="675">
        <v>0</v>
      </c>
      <c r="CL21" s="675">
        <v>0</v>
      </c>
      <c r="CM21" s="675">
        <v>0</v>
      </c>
      <c r="CN21" s="675">
        <v>0</v>
      </c>
      <c r="CO21" s="675">
        <v>0</v>
      </c>
      <c r="CP21" s="675">
        <v>0</v>
      </c>
      <c r="CQ21" s="675">
        <v>0</v>
      </c>
      <c r="CR21" s="675">
        <v>4226.0600000000004</v>
      </c>
      <c r="CS21" s="675">
        <v>0</v>
      </c>
      <c r="CT21" s="675">
        <v>0</v>
      </c>
      <c r="CU21" s="675">
        <v>0</v>
      </c>
      <c r="CV21" s="675">
        <v>0</v>
      </c>
      <c r="CW21" s="675">
        <v>0</v>
      </c>
      <c r="CX21" s="675">
        <v>0</v>
      </c>
      <c r="CY21" s="675">
        <v>0</v>
      </c>
      <c r="CZ21" s="675">
        <v>0</v>
      </c>
      <c r="DA21" s="675">
        <v>1</v>
      </c>
      <c r="DB21" s="675">
        <v>24564150</v>
      </c>
      <c r="DC21" s="675">
        <v>0</v>
      </c>
      <c r="DD21" s="675">
        <v>0</v>
      </c>
      <c r="DE21" s="675">
        <v>4912446</v>
      </c>
      <c r="DF21" s="675">
        <v>4912446</v>
      </c>
      <c r="DG21" s="675">
        <v>3747.67</v>
      </c>
      <c r="DH21" s="675">
        <v>0</v>
      </c>
      <c r="DI21" s="675">
        <v>0</v>
      </c>
      <c r="DJ21" s="675">
        <v>0</v>
      </c>
      <c r="DK21" s="675">
        <v>5392</v>
      </c>
      <c r="DL21" s="675">
        <v>0</v>
      </c>
      <c r="DM21" s="675">
        <v>3196337</v>
      </c>
      <c r="DN21" s="675">
        <v>0</v>
      </c>
      <c r="DO21" s="675">
        <v>0</v>
      </c>
      <c r="DP21" s="675">
        <v>0</v>
      </c>
      <c r="DQ21" s="675">
        <v>0</v>
      </c>
      <c r="DR21" s="675">
        <v>0</v>
      </c>
      <c r="DS21" s="675">
        <v>0</v>
      </c>
      <c r="DT21" s="675">
        <v>0</v>
      </c>
      <c r="DU21" s="675">
        <v>0</v>
      </c>
      <c r="DV21" s="675">
        <v>0</v>
      </c>
      <c r="DW21" s="675">
        <v>0</v>
      </c>
      <c r="DX21" s="675">
        <v>0</v>
      </c>
      <c r="DY21" s="675">
        <v>0</v>
      </c>
      <c r="DZ21" s="675">
        <v>0</v>
      </c>
      <c r="EA21" s="675">
        <v>0.29100000000000004</v>
      </c>
      <c r="EB21" s="675">
        <v>0</v>
      </c>
      <c r="EC21" s="675">
        <v>70.356000000000009</v>
      </c>
      <c r="ED21" s="675">
        <v>507225</v>
      </c>
      <c r="EE21" s="675">
        <v>0</v>
      </c>
      <c r="EF21" s="675">
        <v>0</v>
      </c>
      <c r="EG21" s="675">
        <v>0</v>
      </c>
      <c r="EH21" s="675">
        <v>2681300</v>
      </c>
      <c r="EI21" s="675">
        <v>7812</v>
      </c>
      <c r="EJ21" s="675">
        <v>0.29799999999999999</v>
      </c>
      <c r="EK21" s="675">
        <v>103.173</v>
      </c>
      <c r="EL21" s="675">
        <v>0</v>
      </c>
      <c r="EM21" s="675">
        <v>20.775000000000002</v>
      </c>
      <c r="EN21" s="675">
        <v>7.1619999999999999</v>
      </c>
      <c r="EO21" s="675">
        <v>0</v>
      </c>
      <c r="EP21" s="675">
        <v>0</v>
      </c>
      <c r="EQ21" s="675">
        <v>131.69900000000001</v>
      </c>
      <c r="ER21" s="675">
        <v>0</v>
      </c>
      <c r="ES21" s="675">
        <v>409.10900000000004</v>
      </c>
      <c r="ET21" s="675">
        <v>50959</v>
      </c>
      <c r="EU21" s="675">
        <v>1646169</v>
      </c>
      <c r="EV21" s="675">
        <v>0</v>
      </c>
      <c r="EW21" s="675">
        <v>0</v>
      </c>
      <c r="EX21" s="675">
        <v>0</v>
      </c>
      <c r="EY21" s="675">
        <v>0</v>
      </c>
      <c r="EZ21" s="675">
        <v>34714633</v>
      </c>
      <c r="FA21" s="675">
        <v>0</v>
      </c>
      <c r="FB21" s="675">
        <v>36360802</v>
      </c>
      <c r="FC21" s="675">
        <v>0.97327799999999998</v>
      </c>
      <c r="FD21" s="675">
        <v>0</v>
      </c>
      <c r="FE21" s="675">
        <v>5343997</v>
      </c>
      <c r="FF21" s="675">
        <v>1204262</v>
      </c>
      <c r="FG21" s="675">
        <v>6.1239999999999996E-2</v>
      </c>
      <c r="FH21" s="675">
        <v>5.4803999999999999E-2</v>
      </c>
      <c r="FI21" s="675">
        <v>0</v>
      </c>
      <c r="FJ21" s="675">
        <v>0</v>
      </c>
      <c r="FK21" s="675">
        <v>6877.5860000000002</v>
      </c>
      <c r="FL21" s="675">
        <v>43777141</v>
      </c>
      <c r="FM21" s="675">
        <v>0</v>
      </c>
      <c r="FN21" s="675">
        <v>0</v>
      </c>
      <c r="FO21" s="675">
        <v>0</v>
      </c>
      <c r="FP21" s="675">
        <v>0</v>
      </c>
      <c r="FQ21" s="675">
        <v>0</v>
      </c>
      <c r="FR21" s="675">
        <v>0</v>
      </c>
      <c r="FS21" s="675">
        <v>0</v>
      </c>
      <c r="FT21" s="675">
        <v>0</v>
      </c>
      <c r="FU21" s="675">
        <v>0</v>
      </c>
      <c r="FV21" s="675">
        <v>0</v>
      </c>
      <c r="FW21" s="675">
        <v>0</v>
      </c>
      <c r="FX21" s="675">
        <v>0</v>
      </c>
      <c r="FY21" s="675">
        <v>0</v>
      </c>
      <c r="FZ21" s="675">
        <v>3156</v>
      </c>
      <c r="GA21" s="675">
        <v>63.113</v>
      </c>
      <c r="GB21" s="675">
        <v>2361333</v>
      </c>
      <c r="GC21" s="675">
        <v>2361333</v>
      </c>
      <c r="GD21" s="675">
        <v>266.524</v>
      </c>
      <c r="GE21" s="675">
        <v>0</v>
      </c>
      <c r="GF21" s="675">
        <v>0</v>
      </c>
      <c r="GG21" s="675">
        <v>0</v>
      </c>
      <c r="GH21" s="675">
        <v>0</v>
      </c>
      <c r="GI21" s="675">
        <v>0</v>
      </c>
      <c r="GJ21" s="675">
        <v>0</v>
      </c>
      <c r="GK21" s="675">
        <v>5112.5940000000001</v>
      </c>
      <c r="GL21" s="675">
        <v>17957</v>
      </c>
      <c r="GM21" s="675">
        <v>0</v>
      </c>
      <c r="GN21" s="675">
        <v>0</v>
      </c>
      <c r="GO21" s="675">
        <v>0</v>
      </c>
      <c r="GP21" s="675">
        <v>42909061</v>
      </c>
      <c r="GQ21" s="675">
        <v>42909061</v>
      </c>
      <c r="GR21" s="675">
        <v>0</v>
      </c>
      <c r="GS21" s="675">
        <v>0</v>
      </c>
      <c r="GT21" s="675">
        <v>0</v>
      </c>
      <c r="GU21" s="675">
        <v>0</v>
      </c>
      <c r="GV21" s="675">
        <v>0</v>
      </c>
      <c r="GW21" s="675">
        <v>0</v>
      </c>
      <c r="GX21" s="675">
        <v>0</v>
      </c>
      <c r="GY21" s="675">
        <v>0</v>
      </c>
      <c r="GZ21" s="675">
        <v>0</v>
      </c>
      <c r="HA21" s="675">
        <v>0</v>
      </c>
      <c r="HB21" s="675">
        <v>260786259</v>
      </c>
      <c r="HC21" s="675">
        <v>5.0923999999999997E-2</v>
      </c>
      <c r="HD21" s="675">
        <v>817121</v>
      </c>
      <c r="HE21" s="675">
        <v>0</v>
      </c>
      <c r="HF21" s="675">
        <v>0</v>
      </c>
      <c r="HG21" s="675">
        <v>0</v>
      </c>
      <c r="HH21" s="675">
        <v>0</v>
      </c>
      <c r="HI21" s="675">
        <v>0</v>
      </c>
      <c r="HJ21" s="675">
        <v>0</v>
      </c>
      <c r="HK21" s="675">
        <v>0</v>
      </c>
      <c r="HL21" s="675">
        <v>0</v>
      </c>
      <c r="HM21" s="675">
        <v>0</v>
      </c>
      <c r="HN21" s="675">
        <v>0</v>
      </c>
      <c r="HO21" s="675">
        <v>0</v>
      </c>
      <c r="HP21" s="675">
        <v>0</v>
      </c>
      <c r="HQ21" s="675">
        <v>0</v>
      </c>
      <c r="HR21" s="675">
        <v>0</v>
      </c>
      <c r="HS21" s="675">
        <v>0</v>
      </c>
      <c r="HT21" s="675">
        <v>0</v>
      </c>
      <c r="HU21" s="675">
        <v>0</v>
      </c>
      <c r="HV21" s="675">
        <v>0</v>
      </c>
      <c r="HW21" s="675">
        <v>0</v>
      </c>
      <c r="HX21" s="675">
        <v>0</v>
      </c>
      <c r="HY21" s="675">
        <v>0</v>
      </c>
      <c r="HZ21" s="675">
        <v>0</v>
      </c>
      <c r="IA21" s="675">
        <v>0</v>
      </c>
      <c r="IB21" s="675">
        <v>0</v>
      </c>
      <c r="IC21" s="675">
        <v>0</v>
      </c>
      <c r="ID21" s="675">
        <v>0</v>
      </c>
      <c r="IE21" s="675">
        <v>0</v>
      </c>
      <c r="IF21" s="675">
        <v>0</v>
      </c>
      <c r="IG21" s="675">
        <v>0</v>
      </c>
      <c r="IH21" s="675">
        <v>0</v>
      </c>
      <c r="II21" s="675">
        <v>0</v>
      </c>
      <c r="IJ21" s="675">
        <v>0</v>
      </c>
      <c r="IK21" s="675">
        <v>0</v>
      </c>
      <c r="IL21" s="675">
        <v>0</v>
      </c>
      <c r="IM21" s="675">
        <v>0</v>
      </c>
      <c r="IN21" s="675">
        <v>0</v>
      </c>
      <c r="IO21" s="675">
        <v>0</v>
      </c>
      <c r="IP21" s="675">
        <v>0</v>
      </c>
      <c r="IQ21" s="675">
        <v>0</v>
      </c>
      <c r="IR21" s="675">
        <v>0</v>
      </c>
      <c r="IS21" s="675">
        <v>0</v>
      </c>
      <c r="IT21" s="675">
        <v>0</v>
      </c>
      <c r="IU21" s="675">
        <v>0</v>
      </c>
      <c r="IV21" s="675">
        <v>0</v>
      </c>
      <c r="IW21" s="675">
        <v>0</v>
      </c>
      <c r="IX21" s="675">
        <v>0</v>
      </c>
      <c r="IY21" s="675">
        <v>0</v>
      </c>
      <c r="IZ21" s="675">
        <v>0</v>
      </c>
      <c r="JA21" s="675">
        <v>0</v>
      </c>
      <c r="JB21" s="675">
        <v>0</v>
      </c>
      <c r="JC21" s="675">
        <v>0</v>
      </c>
      <c r="JD21" s="675">
        <v>0</v>
      </c>
      <c r="JE21" s="675">
        <v>0</v>
      </c>
      <c r="JF21" s="675">
        <v>0</v>
      </c>
      <c r="JG21" s="675">
        <v>0</v>
      </c>
      <c r="JH21" s="675">
        <v>0</v>
      </c>
      <c r="JI21" s="675">
        <v>0</v>
      </c>
      <c r="JJ21" s="675">
        <v>0</v>
      </c>
      <c r="JK21" s="675">
        <v>0</v>
      </c>
      <c r="JL21" s="675">
        <v>0</v>
      </c>
      <c r="JM21" s="675">
        <v>0</v>
      </c>
      <c r="JN21" s="675">
        <v>32469</v>
      </c>
      <c r="JO21" s="675">
        <v>0</v>
      </c>
      <c r="JP21" s="675">
        <v>0</v>
      </c>
      <c r="JQ21" s="675">
        <v>0</v>
      </c>
      <c r="JR21" s="675">
        <v>0</v>
      </c>
      <c r="JS21" s="675">
        <v>0</v>
      </c>
      <c r="JT21" s="675">
        <v>0</v>
      </c>
      <c r="JU21" s="675">
        <v>0</v>
      </c>
      <c r="JV21" s="675">
        <v>0</v>
      </c>
      <c r="JW21" s="675">
        <v>0</v>
      </c>
      <c r="JX21" s="675">
        <v>0</v>
      </c>
      <c r="JY21" s="675">
        <v>0</v>
      </c>
      <c r="JZ21" s="675">
        <v>0</v>
      </c>
      <c r="KA21" s="675">
        <v>0</v>
      </c>
      <c r="KB21" s="675">
        <v>0</v>
      </c>
      <c r="KC21" s="675">
        <v>0</v>
      </c>
      <c r="KD21" s="675">
        <v>0</v>
      </c>
      <c r="KE21" s="675">
        <v>0</v>
      </c>
      <c r="KF21" s="675">
        <v>0</v>
      </c>
    </row>
    <row r="22" spans="1:292" x14ac:dyDescent="0.25">
      <c r="A22" s="675">
        <v>15830</v>
      </c>
      <c r="B22" s="675">
        <v>32570</v>
      </c>
      <c r="C22" s="675">
        <v>35</v>
      </c>
      <c r="D22" s="675">
        <v>2022</v>
      </c>
      <c r="E22" s="675">
        <v>5392</v>
      </c>
      <c r="F22" s="675">
        <v>0</v>
      </c>
      <c r="G22" s="675">
        <v>3041.2960000000003</v>
      </c>
      <c r="H22" s="675">
        <v>2783.9850000000001</v>
      </c>
      <c r="I22" s="675">
        <v>2783.9850000000001</v>
      </c>
      <c r="J22" s="675">
        <v>3041.2960000000003</v>
      </c>
      <c r="K22" s="675">
        <v>0</v>
      </c>
      <c r="L22" s="675">
        <v>6554</v>
      </c>
      <c r="M22" s="675">
        <v>0</v>
      </c>
      <c r="N22" s="675">
        <v>0</v>
      </c>
      <c r="O22" s="675">
        <v>0</v>
      </c>
      <c r="P22" s="675">
        <v>3018.06</v>
      </c>
      <c r="Q22" s="675">
        <v>0</v>
      </c>
      <c r="R22" s="675">
        <v>964913</v>
      </c>
      <c r="S22" s="675">
        <v>319.71300000000002</v>
      </c>
      <c r="T22" s="675">
        <v>0</v>
      </c>
      <c r="U22" s="675">
        <v>964913</v>
      </c>
      <c r="V22" s="675">
        <v>191.084</v>
      </c>
      <c r="W22" s="675">
        <v>125236</v>
      </c>
      <c r="X22" s="675">
        <v>125236</v>
      </c>
      <c r="Y22" s="675">
        <v>0</v>
      </c>
      <c r="Z22" s="675">
        <v>0</v>
      </c>
      <c r="AA22" s="675">
        <v>1</v>
      </c>
      <c r="AB22" s="675">
        <v>1</v>
      </c>
      <c r="AC22" s="675">
        <v>0</v>
      </c>
      <c r="AD22" s="675" t="s">
        <v>316</v>
      </c>
      <c r="AE22" s="675">
        <v>0</v>
      </c>
      <c r="AF22" s="675">
        <v>0</v>
      </c>
      <c r="AG22" s="675">
        <v>0</v>
      </c>
      <c r="AH22" s="675">
        <v>0</v>
      </c>
      <c r="AI22" s="675">
        <v>0</v>
      </c>
      <c r="AJ22" s="675">
        <v>5104</v>
      </c>
      <c r="AK22" s="675" t="s">
        <v>671</v>
      </c>
      <c r="AL22" s="675" t="s">
        <v>461</v>
      </c>
      <c r="AM22" s="675">
        <v>0</v>
      </c>
      <c r="AN22" s="675">
        <v>0</v>
      </c>
      <c r="AO22" s="675">
        <v>0</v>
      </c>
      <c r="AP22" s="675">
        <v>0</v>
      </c>
      <c r="AQ22" s="675">
        <v>0</v>
      </c>
      <c r="AR22" s="675">
        <v>0</v>
      </c>
      <c r="AS22" s="675">
        <v>0</v>
      </c>
      <c r="AT22" s="675">
        <v>0</v>
      </c>
      <c r="AU22" s="675">
        <v>0</v>
      </c>
      <c r="AV22" s="675">
        <v>617258</v>
      </c>
      <c r="AW22" s="675">
        <v>30356873</v>
      </c>
      <c r="AX22" s="675">
        <v>29548967</v>
      </c>
      <c r="AY22" s="675">
        <v>31958802</v>
      </c>
      <c r="AZ22" s="675">
        <v>1173447</v>
      </c>
      <c r="BA22" s="675">
        <v>0</v>
      </c>
      <c r="BB22" s="675">
        <v>119596</v>
      </c>
      <c r="BC22" s="675">
        <v>119596</v>
      </c>
      <c r="BD22" s="675">
        <v>152.065</v>
      </c>
      <c r="BE22" s="675">
        <v>0</v>
      </c>
      <c r="BF22" s="675">
        <v>25134874</v>
      </c>
      <c r="BG22" s="675">
        <v>0</v>
      </c>
      <c r="BH22" s="675">
        <v>658.28700000000003</v>
      </c>
      <c r="BI22" s="675">
        <v>181029</v>
      </c>
      <c r="BJ22" s="675">
        <v>12</v>
      </c>
      <c r="BK22" s="675">
        <v>0</v>
      </c>
      <c r="BL22" s="675">
        <v>0</v>
      </c>
      <c r="BM22" s="675">
        <v>0</v>
      </c>
      <c r="BN22" s="675">
        <v>0</v>
      </c>
      <c r="BO22" s="675">
        <v>0</v>
      </c>
      <c r="BP22" s="675">
        <v>0</v>
      </c>
      <c r="BQ22" s="675">
        <v>5392</v>
      </c>
      <c r="BR22" s="675">
        <v>1</v>
      </c>
      <c r="BS22" s="675">
        <v>0</v>
      </c>
      <c r="BT22" s="675">
        <v>0</v>
      </c>
      <c r="BU22" s="675">
        <v>0</v>
      </c>
      <c r="BV22" s="675">
        <v>0</v>
      </c>
      <c r="BW22" s="675">
        <v>0</v>
      </c>
      <c r="BX22" s="675">
        <v>0</v>
      </c>
      <c r="BY22" s="675">
        <v>0</v>
      </c>
      <c r="BZ22" s="675">
        <v>0</v>
      </c>
      <c r="CA22" s="675">
        <v>71.953000000000003</v>
      </c>
      <c r="CB22" s="675">
        <v>27505</v>
      </c>
      <c r="CC22" s="675">
        <v>0</v>
      </c>
      <c r="CD22" s="675">
        <v>0</v>
      </c>
      <c r="CE22" s="675">
        <v>0</v>
      </c>
      <c r="CF22" s="675">
        <v>0</v>
      </c>
      <c r="CG22" s="675">
        <v>0</v>
      </c>
      <c r="CH22" s="675">
        <v>599372</v>
      </c>
      <c r="CI22" s="675">
        <v>0</v>
      </c>
      <c r="CJ22" s="675">
        <v>4</v>
      </c>
      <c r="CK22" s="675">
        <v>0</v>
      </c>
      <c r="CL22" s="675">
        <v>0</v>
      </c>
      <c r="CM22" s="675">
        <v>0</v>
      </c>
      <c r="CN22" s="675">
        <v>0</v>
      </c>
      <c r="CO22" s="675">
        <v>0</v>
      </c>
      <c r="CP22" s="675">
        <v>0</v>
      </c>
      <c r="CQ22" s="675">
        <v>0</v>
      </c>
      <c r="CR22" s="675">
        <v>3018.06</v>
      </c>
      <c r="CS22" s="675">
        <v>0</v>
      </c>
      <c r="CT22" s="675">
        <v>0</v>
      </c>
      <c r="CU22" s="675">
        <v>0</v>
      </c>
      <c r="CV22" s="675">
        <v>0</v>
      </c>
      <c r="CW22" s="675">
        <v>0</v>
      </c>
      <c r="CX22" s="675">
        <v>0</v>
      </c>
      <c r="CY22" s="675">
        <v>0</v>
      </c>
      <c r="CZ22" s="675">
        <v>0</v>
      </c>
      <c r="DA22" s="675">
        <v>1</v>
      </c>
      <c r="DB22" s="675">
        <v>18246238</v>
      </c>
      <c r="DC22" s="675">
        <v>0</v>
      </c>
      <c r="DD22" s="675">
        <v>0</v>
      </c>
      <c r="DE22" s="675">
        <v>2934658</v>
      </c>
      <c r="DF22" s="675">
        <v>2934658</v>
      </c>
      <c r="DG22" s="675">
        <v>2238.83</v>
      </c>
      <c r="DH22" s="675">
        <v>0</v>
      </c>
      <c r="DI22" s="675">
        <v>0</v>
      </c>
      <c r="DJ22" s="675">
        <v>0</v>
      </c>
      <c r="DK22" s="675">
        <v>5392</v>
      </c>
      <c r="DL22" s="675">
        <v>0</v>
      </c>
      <c r="DM22" s="675">
        <v>3108863</v>
      </c>
      <c r="DN22" s="675">
        <v>0</v>
      </c>
      <c r="DO22" s="675">
        <v>2743</v>
      </c>
      <c r="DP22" s="675">
        <v>0</v>
      </c>
      <c r="DQ22" s="675">
        <v>0</v>
      </c>
      <c r="DR22" s="675">
        <v>0</v>
      </c>
      <c r="DS22" s="675">
        <v>0</v>
      </c>
      <c r="DT22" s="675">
        <v>7.400000000000001E-2</v>
      </c>
      <c r="DU22" s="675">
        <v>0</v>
      </c>
      <c r="DV22" s="675">
        <v>0.112</v>
      </c>
      <c r="DW22" s="675">
        <v>0</v>
      </c>
      <c r="DX22" s="675">
        <v>0</v>
      </c>
      <c r="DY22" s="675">
        <v>0</v>
      </c>
      <c r="DZ22" s="675">
        <v>0.55800000000000005</v>
      </c>
      <c r="EA22" s="675">
        <v>0.69500000000000006</v>
      </c>
      <c r="EB22" s="675">
        <v>0</v>
      </c>
      <c r="EC22" s="675">
        <v>112.35300000000001</v>
      </c>
      <c r="ED22" s="675">
        <v>809998</v>
      </c>
      <c r="EE22" s="675">
        <v>0</v>
      </c>
      <c r="EF22" s="675">
        <v>0</v>
      </c>
      <c r="EG22" s="675">
        <v>0</v>
      </c>
      <c r="EH22" s="675">
        <v>2296122</v>
      </c>
      <c r="EI22" s="675">
        <v>0</v>
      </c>
      <c r="EJ22" s="675">
        <v>0</v>
      </c>
      <c r="EK22" s="675">
        <v>68.855000000000004</v>
      </c>
      <c r="EL22" s="675">
        <v>2.5390000000000001</v>
      </c>
      <c r="EM22" s="675">
        <v>35.078000000000003</v>
      </c>
      <c r="EN22" s="675">
        <v>7.0129999999999999</v>
      </c>
      <c r="EO22" s="675">
        <v>0</v>
      </c>
      <c r="EP22" s="675">
        <v>0</v>
      </c>
      <c r="EQ22" s="675">
        <v>111.64100000000001</v>
      </c>
      <c r="ER22" s="675">
        <v>0</v>
      </c>
      <c r="ES22" s="675">
        <v>350.339</v>
      </c>
      <c r="ET22" s="675">
        <v>0</v>
      </c>
      <c r="EU22" s="675">
        <v>1173447</v>
      </c>
      <c r="EV22" s="675">
        <v>0</v>
      </c>
      <c r="EW22" s="675">
        <v>0</v>
      </c>
      <c r="EX22" s="675">
        <v>0</v>
      </c>
      <c r="EY22" s="675">
        <v>0</v>
      </c>
      <c r="EZ22" s="675">
        <v>24860069</v>
      </c>
      <c r="FA22" s="675">
        <v>0</v>
      </c>
      <c r="FB22" s="675">
        <v>26033516</v>
      </c>
      <c r="FC22" s="675">
        <v>0.97327799999999998</v>
      </c>
      <c r="FD22" s="675">
        <v>0</v>
      </c>
      <c r="FE22" s="675">
        <v>3826583</v>
      </c>
      <c r="FF22" s="675">
        <v>862315</v>
      </c>
      <c r="FG22" s="675">
        <v>6.1239999999999996E-2</v>
      </c>
      <c r="FH22" s="675">
        <v>5.4803999999999999E-2</v>
      </c>
      <c r="FI22" s="675">
        <v>0</v>
      </c>
      <c r="FJ22" s="675">
        <v>0</v>
      </c>
      <c r="FK22" s="675">
        <v>4924.7130000000006</v>
      </c>
      <c r="FL22" s="675">
        <v>31321786</v>
      </c>
      <c r="FM22" s="675">
        <v>0</v>
      </c>
      <c r="FN22" s="675">
        <v>0</v>
      </c>
      <c r="FO22" s="675">
        <v>0</v>
      </c>
      <c r="FP22" s="675">
        <v>0</v>
      </c>
      <c r="FQ22" s="675">
        <v>0</v>
      </c>
      <c r="FR22" s="675">
        <v>0</v>
      </c>
      <c r="FS22" s="675">
        <v>0</v>
      </c>
      <c r="FT22" s="675">
        <v>0</v>
      </c>
      <c r="FU22" s="675">
        <v>0</v>
      </c>
      <c r="FV22" s="675">
        <v>0</v>
      </c>
      <c r="FW22" s="675">
        <v>0</v>
      </c>
      <c r="FX22" s="675">
        <v>0</v>
      </c>
      <c r="FY22" s="675">
        <v>0</v>
      </c>
      <c r="FZ22" s="675">
        <v>1517</v>
      </c>
      <c r="GA22" s="675">
        <v>30.347000000000001</v>
      </c>
      <c r="GB22" s="675">
        <v>1290391</v>
      </c>
      <c r="GC22" s="675">
        <v>1290391</v>
      </c>
      <c r="GD22" s="675">
        <v>145.67000000000002</v>
      </c>
      <c r="GE22" s="675">
        <v>0</v>
      </c>
      <c r="GF22" s="675">
        <v>0</v>
      </c>
      <c r="GG22" s="675">
        <v>0</v>
      </c>
      <c r="GH22" s="675">
        <v>0</v>
      </c>
      <c r="GI22" s="675">
        <v>0</v>
      </c>
      <c r="GJ22" s="675">
        <v>0</v>
      </c>
      <c r="GK22" s="675">
        <v>5043</v>
      </c>
      <c r="GL22" s="675">
        <v>19083</v>
      </c>
      <c r="GM22" s="675">
        <v>0</v>
      </c>
      <c r="GN22" s="675">
        <v>0</v>
      </c>
      <c r="GO22" s="675">
        <v>0</v>
      </c>
      <c r="GP22" s="675">
        <v>30722414</v>
      </c>
      <c r="GQ22" s="675">
        <v>30722414</v>
      </c>
      <c r="GR22" s="675">
        <v>0</v>
      </c>
      <c r="GS22" s="675">
        <v>0</v>
      </c>
      <c r="GT22" s="675">
        <v>0</v>
      </c>
      <c r="GU22" s="675">
        <v>0</v>
      </c>
      <c r="GV22" s="675">
        <v>0</v>
      </c>
      <c r="GW22" s="675">
        <v>0</v>
      </c>
      <c r="GX22" s="675">
        <v>0</v>
      </c>
      <c r="GY22" s="675">
        <v>0</v>
      </c>
      <c r="GZ22" s="675">
        <v>0</v>
      </c>
      <c r="HA22" s="675">
        <v>0</v>
      </c>
      <c r="HB22" s="675">
        <v>260786259</v>
      </c>
      <c r="HC22" s="675">
        <v>5.0923999999999997E-2</v>
      </c>
      <c r="HD22" s="675">
        <v>599372</v>
      </c>
      <c r="HE22" s="675">
        <v>0</v>
      </c>
      <c r="HF22" s="675">
        <v>0</v>
      </c>
      <c r="HG22" s="675">
        <v>0</v>
      </c>
      <c r="HH22" s="675">
        <v>0</v>
      </c>
      <c r="HI22" s="675">
        <v>0</v>
      </c>
      <c r="HJ22" s="675">
        <v>0</v>
      </c>
      <c r="HK22" s="675">
        <v>0</v>
      </c>
      <c r="HL22" s="675">
        <v>0</v>
      </c>
      <c r="HM22" s="675">
        <v>0</v>
      </c>
      <c r="HN22" s="675">
        <v>0</v>
      </c>
      <c r="HO22" s="675">
        <v>0</v>
      </c>
      <c r="HP22" s="675">
        <v>0</v>
      </c>
      <c r="HQ22" s="675">
        <v>0</v>
      </c>
      <c r="HR22" s="675">
        <v>0</v>
      </c>
      <c r="HS22" s="675">
        <v>0</v>
      </c>
      <c r="HT22" s="675">
        <v>0</v>
      </c>
      <c r="HU22" s="675">
        <v>0</v>
      </c>
      <c r="HV22" s="675">
        <v>0</v>
      </c>
      <c r="HW22" s="675">
        <v>0</v>
      </c>
      <c r="HX22" s="675">
        <v>0</v>
      </c>
      <c r="HY22" s="675">
        <v>0</v>
      </c>
      <c r="HZ22" s="675">
        <v>0</v>
      </c>
      <c r="IA22" s="675">
        <v>0</v>
      </c>
      <c r="IB22" s="675">
        <v>0</v>
      </c>
      <c r="IC22" s="675">
        <v>0</v>
      </c>
      <c r="ID22" s="675">
        <v>0</v>
      </c>
      <c r="IE22" s="675">
        <v>0</v>
      </c>
      <c r="IF22" s="675">
        <v>0</v>
      </c>
      <c r="IG22" s="675">
        <v>0</v>
      </c>
      <c r="IH22" s="675">
        <v>0</v>
      </c>
      <c r="II22" s="675">
        <v>0</v>
      </c>
      <c r="IJ22" s="675">
        <v>0</v>
      </c>
      <c r="IK22" s="675">
        <v>0</v>
      </c>
      <c r="IL22" s="675">
        <v>0</v>
      </c>
      <c r="IM22" s="675">
        <v>0</v>
      </c>
      <c r="IN22" s="675">
        <v>0</v>
      </c>
      <c r="IO22" s="675">
        <v>0</v>
      </c>
      <c r="IP22" s="675">
        <v>0</v>
      </c>
      <c r="IQ22" s="675">
        <v>0</v>
      </c>
      <c r="IR22" s="675">
        <v>0</v>
      </c>
      <c r="IS22" s="675">
        <v>0</v>
      </c>
      <c r="IT22" s="675">
        <v>0</v>
      </c>
      <c r="IU22" s="675">
        <v>0</v>
      </c>
      <c r="IV22" s="675">
        <v>0</v>
      </c>
      <c r="IW22" s="675">
        <v>0</v>
      </c>
      <c r="IX22" s="675">
        <v>0</v>
      </c>
      <c r="IY22" s="675">
        <v>0</v>
      </c>
      <c r="IZ22" s="675">
        <v>0</v>
      </c>
      <c r="JA22" s="675">
        <v>0</v>
      </c>
      <c r="JB22" s="675">
        <v>0</v>
      </c>
      <c r="JC22" s="675">
        <v>0</v>
      </c>
      <c r="JD22" s="675">
        <v>0</v>
      </c>
      <c r="JE22" s="675">
        <v>0</v>
      </c>
      <c r="JF22" s="675">
        <v>0</v>
      </c>
      <c r="JG22" s="675">
        <v>0</v>
      </c>
      <c r="JH22" s="675">
        <v>0</v>
      </c>
      <c r="JI22" s="675">
        <v>0</v>
      </c>
      <c r="JJ22" s="675">
        <v>0</v>
      </c>
      <c r="JK22" s="675">
        <v>0</v>
      </c>
      <c r="JL22" s="675">
        <v>0</v>
      </c>
      <c r="JM22" s="675">
        <v>0</v>
      </c>
      <c r="JN22" s="675">
        <v>32469</v>
      </c>
      <c r="JO22" s="675">
        <v>0</v>
      </c>
      <c r="JP22" s="675">
        <v>0</v>
      </c>
      <c r="JQ22" s="675">
        <v>0</v>
      </c>
      <c r="JR22" s="675">
        <v>0</v>
      </c>
      <c r="JS22" s="675">
        <v>0</v>
      </c>
      <c r="JT22" s="675">
        <v>0</v>
      </c>
      <c r="JU22" s="675">
        <v>0</v>
      </c>
      <c r="JV22" s="675">
        <v>0</v>
      </c>
      <c r="JW22" s="675">
        <v>0</v>
      </c>
      <c r="JX22" s="675">
        <v>0</v>
      </c>
      <c r="JY22" s="675">
        <v>0</v>
      </c>
      <c r="JZ22" s="675">
        <v>0</v>
      </c>
      <c r="KA22" s="675">
        <v>0</v>
      </c>
      <c r="KB22" s="675">
        <v>0</v>
      </c>
      <c r="KC22" s="675">
        <v>0</v>
      </c>
      <c r="KD22" s="675">
        <v>0</v>
      </c>
      <c r="KE22" s="675">
        <v>0</v>
      </c>
      <c r="KF22" s="675">
        <v>0</v>
      </c>
    </row>
    <row r="23" spans="1:292" x14ac:dyDescent="0.25">
      <c r="A23" s="675">
        <v>15831</v>
      </c>
      <c r="B23" s="675">
        <v>32570</v>
      </c>
      <c r="C23" s="675">
        <v>35</v>
      </c>
      <c r="D23" s="675">
        <v>2022</v>
      </c>
      <c r="E23" s="675">
        <v>5392</v>
      </c>
      <c r="F23" s="675">
        <v>0</v>
      </c>
      <c r="G23" s="675">
        <v>3049.1060000000002</v>
      </c>
      <c r="H23" s="675">
        <v>2959.6220000000003</v>
      </c>
      <c r="I23" s="675">
        <v>2959.6220000000003</v>
      </c>
      <c r="J23" s="675">
        <v>3049.1060000000002</v>
      </c>
      <c r="K23" s="675">
        <v>0</v>
      </c>
      <c r="L23" s="675">
        <v>6554</v>
      </c>
      <c r="M23" s="675">
        <v>0</v>
      </c>
      <c r="N23" s="675">
        <v>0</v>
      </c>
      <c r="O23" s="675">
        <v>0</v>
      </c>
      <c r="P23" s="675">
        <v>2172.5350000000003</v>
      </c>
      <c r="Q23" s="675">
        <v>0</v>
      </c>
      <c r="R23" s="675">
        <v>694588</v>
      </c>
      <c r="S23" s="675">
        <v>319.71300000000002</v>
      </c>
      <c r="T23" s="675">
        <v>0</v>
      </c>
      <c r="U23" s="675">
        <v>694588</v>
      </c>
      <c r="V23" s="675">
        <v>418.39</v>
      </c>
      <c r="W23" s="675">
        <v>274213</v>
      </c>
      <c r="X23" s="675">
        <v>274213</v>
      </c>
      <c r="Y23" s="675">
        <v>0</v>
      </c>
      <c r="Z23" s="675">
        <v>0</v>
      </c>
      <c r="AA23" s="675">
        <v>1</v>
      </c>
      <c r="AB23" s="675">
        <v>1</v>
      </c>
      <c r="AC23" s="675">
        <v>0</v>
      </c>
      <c r="AD23" s="675" t="s">
        <v>316</v>
      </c>
      <c r="AE23" s="675">
        <v>0</v>
      </c>
      <c r="AF23" s="675">
        <v>0</v>
      </c>
      <c r="AG23" s="675">
        <v>0</v>
      </c>
      <c r="AH23" s="675">
        <v>0</v>
      </c>
      <c r="AI23" s="675">
        <v>0</v>
      </c>
      <c r="AJ23" s="675">
        <v>5104</v>
      </c>
      <c r="AK23" s="675" t="s">
        <v>671</v>
      </c>
      <c r="AL23" s="675" t="s">
        <v>318</v>
      </c>
      <c r="AM23" s="675">
        <v>0</v>
      </c>
      <c r="AN23" s="675">
        <v>0</v>
      </c>
      <c r="AO23" s="675">
        <v>0</v>
      </c>
      <c r="AP23" s="675">
        <v>0</v>
      </c>
      <c r="AQ23" s="675">
        <v>0</v>
      </c>
      <c r="AR23" s="675">
        <v>0</v>
      </c>
      <c r="AS23" s="675">
        <v>0</v>
      </c>
      <c r="AT23" s="675">
        <v>0</v>
      </c>
      <c r="AU23" s="675">
        <v>0</v>
      </c>
      <c r="AV23" s="675">
        <v>397104</v>
      </c>
      <c r="AW23" s="675">
        <v>28928185</v>
      </c>
      <c r="AX23" s="675">
        <v>27868471</v>
      </c>
      <c r="AY23" s="675">
        <v>31606645</v>
      </c>
      <c r="AZ23" s="675">
        <v>1117932</v>
      </c>
      <c r="BA23" s="675">
        <v>70.917000000000002</v>
      </c>
      <c r="BB23" s="675">
        <v>119903</v>
      </c>
      <c r="BC23" s="675">
        <v>119903</v>
      </c>
      <c r="BD23" s="675">
        <v>152.45500000000001</v>
      </c>
      <c r="BE23" s="675">
        <v>0</v>
      </c>
      <c r="BF23" s="675">
        <v>23527945</v>
      </c>
      <c r="BG23" s="675">
        <v>0</v>
      </c>
      <c r="BH23" s="675">
        <v>169.14500000000001</v>
      </c>
      <c r="BI23" s="675">
        <v>46515</v>
      </c>
      <c r="BJ23" s="675">
        <v>12</v>
      </c>
      <c r="BK23" s="675">
        <v>0</v>
      </c>
      <c r="BL23" s="675">
        <v>0</v>
      </c>
      <c r="BM23" s="675">
        <v>0</v>
      </c>
      <c r="BN23" s="675">
        <v>0</v>
      </c>
      <c r="BO23" s="675">
        <v>0</v>
      </c>
      <c r="BP23" s="675">
        <v>0</v>
      </c>
      <c r="BQ23" s="675">
        <v>5392</v>
      </c>
      <c r="BR23" s="675">
        <v>1</v>
      </c>
      <c r="BS23" s="675">
        <v>0</v>
      </c>
      <c r="BT23" s="675">
        <v>0</v>
      </c>
      <c r="BU23" s="675">
        <v>0</v>
      </c>
      <c r="BV23" s="675">
        <v>0</v>
      </c>
      <c r="BW23" s="675">
        <v>0</v>
      </c>
      <c r="BX23" s="675">
        <v>0</v>
      </c>
      <c r="BY23" s="675">
        <v>0</v>
      </c>
      <c r="BZ23" s="675">
        <v>0</v>
      </c>
      <c r="CA23" s="675">
        <v>985.79300000000001</v>
      </c>
      <c r="CB23" s="675">
        <v>376829</v>
      </c>
      <c r="CC23" s="675">
        <v>0</v>
      </c>
      <c r="CD23" s="675">
        <v>0</v>
      </c>
      <c r="CE23" s="675">
        <v>0</v>
      </c>
      <c r="CF23" s="675">
        <v>0</v>
      </c>
      <c r="CG23" s="675">
        <v>0</v>
      </c>
      <c r="CH23" s="675">
        <v>636370</v>
      </c>
      <c r="CI23" s="675">
        <v>0</v>
      </c>
      <c r="CJ23" s="675">
        <v>4</v>
      </c>
      <c r="CK23" s="675">
        <v>0</v>
      </c>
      <c r="CL23" s="675">
        <v>0</v>
      </c>
      <c r="CM23" s="675">
        <v>0</v>
      </c>
      <c r="CN23" s="675">
        <v>0</v>
      </c>
      <c r="CO23" s="675">
        <v>0</v>
      </c>
      <c r="CP23" s="675">
        <v>0</v>
      </c>
      <c r="CQ23" s="675">
        <v>0</v>
      </c>
      <c r="CR23" s="675">
        <v>2172.5350000000003</v>
      </c>
      <c r="CS23" s="675">
        <v>0</v>
      </c>
      <c r="CT23" s="675">
        <v>0</v>
      </c>
      <c r="CU23" s="675">
        <v>0</v>
      </c>
      <c r="CV23" s="675">
        <v>0</v>
      </c>
      <c r="CW23" s="675">
        <v>0</v>
      </c>
      <c r="CX23" s="675">
        <v>0</v>
      </c>
      <c r="CY23" s="675">
        <v>0</v>
      </c>
      <c r="CZ23" s="675">
        <v>0</v>
      </c>
      <c r="DA23" s="675">
        <v>1</v>
      </c>
      <c r="DB23" s="675">
        <v>19397363</v>
      </c>
      <c r="DC23" s="675">
        <v>0</v>
      </c>
      <c r="DD23" s="675">
        <v>0</v>
      </c>
      <c r="DE23" s="675">
        <v>2366872</v>
      </c>
      <c r="DF23" s="675">
        <v>2366872</v>
      </c>
      <c r="DG23" s="675">
        <v>1805.67</v>
      </c>
      <c r="DH23" s="675">
        <v>0</v>
      </c>
      <c r="DI23" s="675">
        <v>0</v>
      </c>
      <c r="DJ23" s="675">
        <v>0</v>
      </c>
      <c r="DK23" s="675">
        <v>5392</v>
      </c>
      <c r="DL23" s="675">
        <v>0</v>
      </c>
      <c r="DM23" s="675">
        <v>1844215</v>
      </c>
      <c r="DN23" s="675">
        <v>0</v>
      </c>
      <c r="DO23" s="675">
        <v>0</v>
      </c>
      <c r="DP23" s="675">
        <v>0</v>
      </c>
      <c r="DQ23" s="675">
        <v>0</v>
      </c>
      <c r="DR23" s="675">
        <v>0</v>
      </c>
      <c r="DS23" s="675">
        <v>0</v>
      </c>
      <c r="DT23" s="675">
        <v>0</v>
      </c>
      <c r="DU23" s="675">
        <v>0</v>
      </c>
      <c r="DV23" s="675">
        <v>0</v>
      </c>
      <c r="DW23" s="675">
        <v>0</v>
      </c>
      <c r="DX23" s="675">
        <v>0</v>
      </c>
      <c r="DY23" s="675">
        <v>0</v>
      </c>
      <c r="DZ23" s="675">
        <v>0</v>
      </c>
      <c r="EA23" s="675">
        <v>0</v>
      </c>
      <c r="EB23" s="675">
        <v>0</v>
      </c>
      <c r="EC23" s="675">
        <v>54.627000000000002</v>
      </c>
      <c r="ED23" s="675">
        <v>393828</v>
      </c>
      <c r="EE23" s="675">
        <v>0</v>
      </c>
      <c r="EF23" s="675">
        <v>0</v>
      </c>
      <c r="EG23" s="675">
        <v>0</v>
      </c>
      <c r="EH23" s="675">
        <v>1450387</v>
      </c>
      <c r="EI23" s="675">
        <v>0</v>
      </c>
      <c r="EJ23" s="675">
        <v>0</v>
      </c>
      <c r="EK23" s="675">
        <v>56.886000000000003</v>
      </c>
      <c r="EL23" s="675">
        <v>0</v>
      </c>
      <c r="EM23" s="675">
        <v>7.7750000000000004</v>
      </c>
      <c r="EN23" s="675">
        <v>5.4630000000000001</v>
      </c>
      <c r="EO23" s="675">
        <v>0</v>
      </c>
      <c r="EP23" s="675">
        <v>0</v>
      </c>
      <c r="EQ23" s="675">
        <v>70.124000000000009</v>
      </c>
      <c r="ER23" s="675">
        <v>0</v>
      </c>
      <c r="ES23" s="675">
        <v>221.298</v>
      </c>
      <c r="ET23" s="675">
        <v>35459</v>
      </c>
      <c r="EU23" s="675">
        <v>1117932</v>
      </c>
      <c r="EV23" s="675">
        <v>0</v>
      </c>
      <c r="EW23" s="675">
        <v>0</v>
      </c>
      <c r="EX23" s="675">
        <v>0</v>
      </c>
      <c r="EY23" s="675">
        <v>0</v>
      </c>
      <c r="EZ23" s="675">
        <v>23479345</v>
      </c>
      <c r="FA23" s="675">
        <v>0</v>
      </c>
      <c r="FB23" s="675">
        <v>24597277</v>
      </c>
      <c r="FC23" s="675">
        <v>0.97327799999999998</v>
      </c>
      <c r="FD23" s="675">
        <v>0</v>
      </c>
      <c r="FE23" s="675">
        <v>3581941</v>
      </c>
      <c r="FF23" s="675">
        <v>807185</v>
      </c>
      <c r="FG23" s="675">
        <v>6.1239999999999996E-2</v>
      </c>
      <c r="FH23" s="675">
        <v>5.4803999999999999E-2</v>
      </c>
      <c r="FI23" s="675">
        <v>0</v>
      </c>
      <c r="FJ23" s="675">
        <v>0</v>
      </c>
      <c r="FK23" s="675">
        <v>4609.8649999999998</v>
      </c>
      <c r="FL23" s="675">
        <v>29622773</v>
      </c>
      <c r="FM23" s="675">
        <v>0</v>
      </c>
      <c r="FN23" s="675">
        <v>0</v>
      </c>
      <c r="FO23" s="675">
        <v>0</v>
      </c>
      <c r="FP23" s="675">
        <v>0</v>
      </c>
      <c r="FQ23" s="675">
        <v>0</v>
      </c>
      <c r="FR23" s="675">
        <v>0</v>
      </c>
      <c r="FS23" s="675">
        <v>0</v>
      </c>
      <c r="FT23" s="675">
        <v>0</v>
      </c>
      <c r="FU23" s="675">
        <v>0</v>
      </c>
      <c r="FV23" s="675">
        <v>0</v>
      </c>
      <c r="FW23" s="675">
        <v>0</v>
      </c>
      <c r="FX23" s="675">
        <v>0</v>
      </c>
      <c r="FY23" s="675">
        <v>0</v>
      </c>
      <c r="FZ23" s="675">
        <v>71</v>
      </c>
      <c r="GA23" s="675">
        <v>1.4240000000000002</v>
      </c>
      <c r="GB23" s="675">
        <v>171367</v>
      </c>
      <c r="GC23" s="675">
        <v>171367</v>
      </c>
      <c r="GD23" s="675">
        <v>19.36</v>
      </c>
      <c r="GE23" s="675">
        <v>0</v>
      </c>
      <c r="GF23" s="675">
        <v>0</v>
      </c>
      <c r="GG23" s="675">
        <v>0</v>
      </c>
      <c r="GH23" s="675">
        <v>0</v>
      </c>
      <c r="GI23" s="675">
        <v>0</v>
      </c>
      <c r="GJ23" s="675">
        <v>0</v>
      </c>
      <c r="GK23" s="675">
        <v>5104.8670000000002</v>
      </c>
      <c r="GL23" s="675">
        <v>8860</v>
      </c>
      <c r="GM23" s="675">
        <v>0</v>
      </c>
      <c r="GN23" s="675">
        <v>0</v>
      </c>
      <c r="GO23" s="675">
        <v>0</v>
      </c>
      <c r="GP23" s="675">
        <v>28986403</v>
      </c>
      <c r="GQ23" s="675">
        <v>28986403</v>
      </c>
      <c r="GR23" s="675">
        <v>0</v>
      </c>
      <c r="GS23" s="675">
        <v>0</v>
      </c>
      <c r="GT23" s="675">
        <v>0</v>
      </c>
      <c r="GU23" s="675">
        <v>0</v>
      </c>
      <c r="GV23" s="675">
        <v>0</v>
      </c>
      <c r="GW23" s="675">
        <v>0</v>
      </c>
      <c r="GX23" s="675">
        <v>0</v>
      </c>
      <c r="GY23" s="675">
        <v>0</v>
      </c>
      <c r="GZ23" s="675">
        <v>0</v>
      </c>
      <c r="HA23" s="675">
        <v>0</v>
      </c>
      <c r="HB23" s="675">
        <v>260786259</v>
      </c>
      <c r="HC23" s="675">
        <v>5.0923999999999997E-2</v>
      </c>
      <c r="HD23" s="675">
        <v>600911</v>
      </c>
      <c r="HE23" s="675">
        <v>0</v>
      </c>
      <c r="HF23" s="675">
        <v>0</v>
      </c>
      <c r="HG23" s="675">
        <v>0</v>
      </c>
      <c r="HH23" s="675">
        <v>0</v>
      </c>
      <c r="HI23" s="675">
        <v>0</v>
      </c>
      <c r="HJ23" s="675">
        <v>0</v>
      </c>
      <c r="HK23" s="675">
        <v>0</v>
      </c>
      <c r="HL23" s="675">
        <v>0</v>
      </c>
      <c r="HM23" s="675">
        <v>0</v>
      </c>
      <c r="HN23" s="675">
        <v>0</v>
      </c>
      <c r="HO23" s="675">
        <v>0</v>
      </c>
      <c r="HP23" s="675">
        <v>0</v>
      </c>
      <c r="HQ23" s="675">
        <v>0</v>
      </c>
      <c r="HR23" s="675">
        <v>0</v>
      </c>
      <c r="HS23" s="675">
        <v>0</v>
      </c>
      <c r="HT23" s="675">
        <v>0</v>
      </c>
      <c r="HU23" s="675">
        <v>0</v>
      </c>
      <c r="HV23" s="675">
        <v>0</v>
      </c>
      <c r="HW23" s="675">
        <v>0</v>
      </c>
      <c r="HX23" s="675">
        <v>0</v>
      </c>
      <c r="HY23" s="675">
        <v>0</v>
      </c>
      <c r="HZ23" s="675">
        <v>0</v>
      </c>
      <c r="IA23" s="675">
        <v>0</v>
      </c>
      <c r="IB23" s="675">
        <v>0</v>
      </c>
      <c r="IC23" s="675">
        <v>0</v>
      </c>
      <c r="ID23" s="675">
        <v>0</v>
      </c>
      <c r="IE23" s="675">
        <v>0</v>
      </c>
      <c r="IF23" s="675">
        <v>0</v>
      </c>
      <c r="IG23" s="675">
        <v>0</v>
      </c>
      <c r="IH23" s="675">
        <v>0</v>
      </c>
      <c r="II23" s="675">
        <v>0</v>
      </c>
      <c r="IJ23" s="675">
        <v>0</v>
      </c>
      <c r="IK23" s="675">
        <v>0</v>
      </c>
      <c r="IL23" s="675">
        <v>0</v>
      </c>
      <c r="IM23" s="675">
        <v>0</v>
      </c>
      <c r="IN23" s="675">
        <v>0</v>
      </c>
      <c r="IO23" s="675">
        <v>0</v>
      </c>
      <c r="IP23" s="675">
        <v>0</v>
      </c>
      <c r="IQ23" s="675">
        <v>0</v>
      </c>
      <c r="IR23" s="675">
        <v>0</v>
      </c>
      <c r="IS23" s="675">
        <v>0</v>
      </c>
      <c r="IT23" s="675">
        <v>0</v>
      </c>
      <c r="IU23" s="675">
        <v>0</v>
      </c>
      <c r="IV23" s="675">
        <v>0</v>
      </c>
      <c r="IW23" s="675">
        <v>0</v>
      </c>
      <c r="IX23" s="675">
        <v>0</v>
      </c>
      <c r="IY23" s="675">
        <v>0</v>
      </c>
      <c r="IZ23" s="675">
        <v>0</v>
      </c>
      <c r="JA23" s="675">
        <v>0</v>
      </c>
      <c r="JB23" s="675">
        <v>0</v>
      </c>
      <c r="JC23" s="675">
        <v>0</v>
      </c>
      <c r="JD23" s="675">
        <v>0</v>
      </c>
      <c r="JE23" s="675">
        <v>0</v>
      </c>
      <c r="JF23" s="675">
        <v>0</v>
      </c>
      <c r="JG23" s="675">
        <v>0</v>
      </c>
      <c r="JH23" s="675">
        <v>0</v>
      </c>
      <c r="JI23" s="675">
        <v>0</v>
      </c>
      <c r="JJ23" s="675">
        <v>0</v>
      </c>
      <c r="JK23" s="675">
        <v>0</v>
      </c>
      <c r="JL23" s="675">
        <v>0</v>
      </c>
      <c r="JM23" s="675">
        <v>0</v>
      </c>
      <c r="JN23" s="675">
        <v>32469</v>
      </c>
      <c r="JO23" s="675">
        <v>0</v>
      </c>
      <c r="JP23" s="675">
        <v>0</v>
      </c>
      <c r="JQ23" s="675">
        <v>0</v>
      </c>
      <c r="JR23" s="675">
        <v>0</v>
      </c>
      <c r="JS23" s="675">
        <v>0</v>
      </c>
      <c r="JT23" s="675">
        <v>0</v>
      </c>
      <c r="JU23" s="675">
        <v>0</v>
      </c>
      <c r="JV23" s="675">
        <v>0</v>
      </c>
      <c r="JW23" s="675">
        <v>0</v>
      </c>
      <c r="JX23" s="675">
        <v>0</v>
      </c>
      <c r="JY23" s="675">
        <v>0</v>
      </c>
      <c r="JZ23" s="675">
        <v>0</v>
      </c>
      <c r="KA23" s="675">
        <v>0</v>
      </c>
      <c r="KB23" s="675">
        <v>0</v>
      </c>
      <c r="KC23" s="675">
        <v>0</v>
      </c>
      <c r="KD23" s="675">
        <v>0</v>
      </c>
      <c r="KE23" s="675">
        <v>0</v>
      </c>
      <c r="KF23" s="675">
        <v>0</v>
      </c>
    </row>
    <row r="24" spans="1:292" x14ac:dyDescent="0.25">
      <c r="A24" s="675">
        <v>15833</v>
      </c>
      <c r="B24" s="675">
        <v>32570</v>
      </c>
      <c r="C24" s="675">
        <v>35</v>
      </c>
      <c r="D24" s="675">
        <v>2022</v>
      </c>
      <c r="E24" s="675">
        <v>5392</v>
      </c>
      <c r="F24" s="675">
        <v>0</v>
      </c>
      <c r="G24" s="675">
        <v>105.376</v>
      </c>
      <c r="H24" s="675">
        <v>93.874000000000009</v>
      </c>
      <c r="I24" s="675">
        <v>93.874000000000009</v>
      </c>
      <c r="J24" s="675">
        <v>105.376</v>
      </c>
      <c r="K24" s="675">
        <v>0</v>
      </c>
      <c r="L24" s="675">
        <v>6554</v>
      </c>
      <c r="M24" s="675">
        <v>0</v>
      </c>
      <c r="N24" s="675">
        <v>0</v>
      </c>
      <c r="O24" s="675">
        <v>0</v>
      </c>
      <c r="P24" s="675">
        <v>118.378</v>
      </c>
      <c r="Q24" s="675">
        <v>0</v>
      </c>
      <c r="R24" s="675">
        <v>37847</v>
      </c>
      <c r="S24" s="675">
        <v>319.71300000000002</v>
      </c>
      <c r="T24" s="675">
        <v>0</v>
      </c>
      <c r="U24" s="675">
        <v>37847</v>
      </c>
      <c r="V24" s="675">
        <v>0</v>
      </c>
      <c r="W24" s="675">
        <v>0</v>
      </c>
      <c r="X24" s="675">
        <v>0</v>
      </c>
      <c r="Y24" s="675">
        <v>0</v>
      </c>
      <c r="Z24" s="675">
        <v>0</v>
      </c>
      <c r="AA24" s="675">
        <v>1</v>
      </c>
      <c r="AB24" s="675">
        <v>1</v>
      </c>
      <c r="AC24" s="675">
        <v>0</v>
      </c>
      <c r="AD24" s="675" t="s">
        <v>316</v>
      </c>
      <c r="AE24" s="675">
        <v>0</v>
      </c>
      <c r="AF24" s="675">
        <v>0</v>
      </c>
      <c r="AG24" s="675">
        <v>0</v>
      </c>
      <c r="AH24" s="675">
        <v>0</v>
      </c>
      <c r="AI24" s="675">
        <v>0</v>
      </c>
      <c r="AJ24" s="675">
        <v>5104</v>
      </c>
      <c r="AK24" s="675" t="s">
        <v>671</v>
      </c>
      <c r="AL24" s="675" t="s">
        <v>95</v>
      </c>
      <c r="AM24" s="675">
        <v>0</v>
      </c>
      <c r="AN24" s="675">
        <v>0</v>
      </c>
      <c r="AO24" s="675">
        <v>0</v>
      </c>
      <c r="AP24" s="675">
        <v>0</v>
      </c>
      <c r="AQ24" s="675">
        <v>0</v>
      </c>
      <c r="AR24" s="675">
        <v>0</v>
      </c>
      <c r="AS24" s="675">
        <v>0</v>
      </c>
      <c r="AT24" s="675">
        <v>0</v>
      </c>
      <c r="AU24" s="675">
        <v>0</v>
      </c>
      <c r="AV24" s="675">
        <v>36225</v>
      </c>
      <c r="AW24" s="675">
        <v>1045668</v>
      </c>
      <c r="AX24" s="675">
        <v>995923</v>
      </c>
      <c r="AY24" s="675">
        <v>1086419</v>
      </c>
      <c r="AZ24" s="675">
        <v>66825</v>
      </c>
      <c r="BA24" s="675">
        <v>0</v>
      </c>
      <c r="BB24" s="675">
        <v>0</v>
      </c>
      <c r="BC24" s="675">
        <v>0</v>
      </c>
      <c r="BD24" s="675">
        <v>0</v>
      </c>
      <c r="BE24" s="675">
        <v>0</v>
      </c>
      <c r="BF24" s="675">
        <v>847154</v>
      </c>
      <c r="BG24" s="675">
        <v>0</v>
      </c>
      <c r="BH24" s="675">
        <v>105.37400000000001</v>
      </c>
      <c r="BI24" s="675">
        <v>28978</v>
      </c>
      <c r="BJ24" s="675">
        <v>12</v>
      </c>
      <c r="BK24" s="675">
        <v>0</v>
      </c>
      <c r="BL24" s="675">
        <v>0</v>
      </c>
      <c r="BM24" s="675">
        <v>0</v>
      </c>
      <c r="BN24" s="675">
        <v>0</v>
      </c>
      <c r="BO24" s="675">
        <v>0</v>
      </c>
      <c r="BP24" s="675">
        <v>0</v>
      </c>
      <c r="BQ24" s="675">
        <v>5392</v>
      </c>
      <c r="BR24" s="675">
        <v>1</v>
      </c>
      <c r="BS24" s="675">
        <v>0</v>
      </c>
      <c r="BT24" s="675">
        <v>0</v>
      </c>
      <c r="BU24" s="675">
        <v>0</v>
      </c>
      <c r="BV24" s="675">
        <v>0</v>
      </c>
      <c r="BW24" s="675">
        <v>0</v>
      </c>
      <c r="BX24" s="675">
        <v>0</v>
      </c>
      <c r="BY24" s="675">
        <v>0</v>
      </c>
      <c r="BZ24" s="675">
        <v>0</v>
      </c>
      <c r="CA24" s="675">
        <v>0</v>
      </c>
      <c r="CB24" s="675">
        <v>0</v>
      </c>
      <c r="CC24" s="675">
        <v>0</v>
      </c>
      <c r="CD24" s="675">
        <v>0</v>
      </c>
      <c r="CE24" s="675">
        <v>0</v>
      </c>
      <c r="CF24" s="675">
        <v>0</v>
      </c>
      <c r="CG24" s="675">
        <v>0</v>
      </c>
      <c r="CH24" s="675">
        <v>20767</v>
      </c>
      <c r="CI24" s="675">
        <v>0</v>
      </c>
      <c r="CJ24" s="675">
        <v>4</v>
      </c>
      <c r="CK24" s="675">
        <v>0</v>
      </c>
      <c r="CL24" s="675">
        <v>0</v>
      </c>
      <c r="CM24" s="675">
        <v>0</v>
      </c>
      <c r="CN24" s="675">
        <v>0</v>
      </c>
      <c r="CO24" s="675">
        <v>0</v>
      </c>
      <c r="CP24" s="675">
        <v>0</v>
      </c>
      <c r="CQ24" s="675">
        <v>0</v>
      </c>
      <c r="CR24" s="675">
        <v>118.378</v>
      </c>
      <c r="CS24" s="675">
        <v>0</v>
      </c>
      <c r="CT24" s="675">
        <v>0</v>
      </c>
      <c r="CU24" s="675">
        <v>0</v>
      </c>
      <c r="CV24" s="675">
        <v>0</v>
      </c>
      <c r="CW24" s="675">
        <v>0</v>
      </c>
      <c r="CX24" s="675">
        <v>0</v>
      </c>
      <c r="CY24" s="675">
        <v>0</v>
      </c>
      <c r="CZ24" s="675">
        <v>0</v>
      </c>
      <c r="DA24" s="675">
        <v>1</v>
      </c>
      <c r="DB24" s="675">
        <v>615250</v>
      </c>
      <c r="DC24" s="675">
        <v>0</v>
      </c>
      <c r="DD24" s="675">
        <v>0</v>
      </c>
      <c r="DE24" s="675">
        <v>92844</v>
      </c>
      <c r="DF24" s="675">
        <v>92844</v>
      </c>
      <c r="DG24" s="675">
        <v>70.83</v>
      </c>
      <c r="DH24" s="675">
        <v>0</v>
      </c>
      <c r="DI24" s="675">
        <v>0</v>
      </c>
      <c r="DJ24" s="675">
        <v>0</v>
      </c>
      <c r="DK24" s="675">
        <v>5392</v>
      </c>
      <c r="DL24" s="675">
        <v>0</v>
      </c>
      <c r="DM24" s="675">
        <v>81874</v>
      </c>
      <c r="DN24" s="675">
        <v>0</v>
      </c>
      <c r="DO24" s="675">
        <v>0</v>
      </c>
      <c r="DP24" s="675">
        <v>0</v>
      </c>
      <c r="DQ24" s="675">
        <v>0</v>
      </c>
      <c r="DR24" s="675">
        <v>0</v>
      </c>
      <c r="DS24" s="675">
        <v>0</v>
      </c>
      <c r="DT24" s="675">
        <v>0</v>
      </c>
      <c r="DU24" s="675">
        <v>0</v>
      </c>
      <c r="DV24" s="675">
        <v>0</v>
      </c>
      <c r="DW24" s="675">
        <v>0</v>
      </c>
      <c r="DX24" s="675">
        <v>0</v>
      </c>
      <c r="DY24" s="675">
        <v>0</v>
      </c>
      <c r="DZ24" s="675">
        <v>0</v>
      </c>
      <c r="EA24" s="675">
        <v>0</v>
      </c>
      <c r="EB24" s="675">
        <v>0</v>
      </c>
      <c r="EC24" s="675">
        <v>4.7730000000000006</v>
      </c>
      <c r="ED24" s="675">
        <v>34410</v>
      </c>
      <c r="EE24" s="675">
        <v>0</v>
      </c>
      <c r="EF24" s="675">
        <v>0</v>
      </c>
      <c r="EG24" s="675">
        <v>0</v>
      </c>
      <c r="EH24" s="675">
        <v>47464</v>
      </c>
      <c r="EI24" s="675">
        <v>0</v>
      </c>
      <c r="EJ24" s="675">
        <v>0</v>
      </c>
      <c r="EK24" s="675">
        <v>2.4140000000000001</v>
      </c>
      <c r="EL24" s="675">
        <v>0</v>
      </c>
      <c r="EM24" s="675">
        <v>0</v>
      </c>
      <c r="EN24" s="675">
        <v>0</v>
      </c>
      <c r="EO24" s="675">
        <v>0</v>
      </c>
      <c r="EP24" s="675">
        <v>0</v>
      </c>
      <c r="EQ24" s="675">
        <v>2.4140000000000001</v>
      </c>
      <c r="ER24" s="675">
        <v>0</v>
      </c>
      <c r="ES24" s="675">
        <v>7.242</v>
      </c>
      <c r="ET24" s="675">
        <v>0</v>
      </c>
      <c r="EU24" s="675">
        <v>66825</v>
      </c>
      <c r="EV24" s="675">
        <v>0</v>
      </c>
      <c r="EW24" s="675">
        <v>0</v>
      </c>
      <c r="EX24" s="675">
        <v>0</v>
      </c>
      <c r="EY24" s="675">
        <v>0</v>
      </c>
      <c r="EZ24" s="675">
        <v>837887</v>
      </c>
      <c r="FA24" s="675">
        <v>0</v>
      </c>
      <c r="FB24" s="675">
        <v>904712</v>
      </c>
      <c r="FC24" s="675">
        <v>0.97327799999999998</v>
      </c>
      <c r="FD24" s="675">
        <v>0</v>
      </c>
      <c r="FE24" s="675">
        <v>128972</v>
      </c>
      <c r="FF24" s="675">
        <v>29064</v>
      </c>
      <c r="FG24" s="675">
        <v>6.1239999999999996E-2</v>
      </c>
      <c r="FH24" s="675">
        <v>5.4803999999999999E-2</v>
      </c>
      <c r="FI24" s="675">
        <v>0</v>
      </c>
      <c r="FJ24" s="675">
        <v>0</v>
      </c>
      <c r="FK24" s="675">
        <v>165.98400000000001</v>
      </c>
      <c r="FL24" s="675">
        <v>1083515</v>
      </c>
      <c r="FM24" s="675">
        <v>0</v>
      </c>
      <c r="FN24" s="675">
        <v>0</v>
      </c>
      <c r="FO24" s="675">
        <v>5320</v>
      </c>
      <c r="FP24" s="675">
        <v>0</v>
      </c>
      <c r="FQ24" s="675">
        <v>5320</v>
      </c>
      <c r="FR24" s="675">
        <v>5320</v>
      </c>
      <c r="FS24" s="675">
        <v>0</v>
      </c>
      <c r="FT24" s="675">
        <v>0</v>
      </c>
      <c r="FU24" s="675">
        <v>0</v>
      </c>
      <c r="FV24" s="675">
        <v>0</v>
      </c>
      <c r="FW24" s="675">
        <v>0</v>
      </c>
      <c r="FX24" s="675">
        <v>0</v>
      </c>
      <c r="FY24" s="675">
        <v>0</v>
      </c>
      <c r="FZ24" s="675">
        <v>36</v>
      </c>
      <c r="GA24" s="675">
        <v>0.72400000000000009</v>
      </c>
      <c r="GB24" s="675">
        <v>80446</v>
      </c>
      <c r="GC24" s="675">
        <v>80446</v>
      </c>
      <c r="GD24" s="675">
        <v>9.088000000000001</v>
      </c>
      <c r="GE24" s="675">
        <v>0</v>
      </c>
      <c r="GF24" s="675">
        <v>0</v>
      </c>
      <c r="GG24" s="675">
        <v>0</v>
      </c>
      <c r="GH24" s="675">
        <v>0</v>
      </c>
      <c r="GI24" s="675">
        <v>0</v>
      </c>
      <c r="GJ24" s="675">
        <v>0</v>
      </c>
      <c r="GK24" s="675">
        <v>5153</v>
      </c>
      <c r="GL24" s="675">
        <v>0</v>
      </c>
      <c r="GM24" s="675">
        <v>0</v>
      </c>
      <c r="GN24" s="675">
        <v>0</v>
      </c>
      <c r="GO24" s="675">
        <v>0</v>
      </c>
      <c r="GP24" s="675">
        <v>1062748</v>
      </c>
      <c r="GQ24" s="675">
        <v>1062748</v>
      </c>
      <c r="GR24" s="675">
        <v>0</v>
      </c>
      <c r="GS24" s="675">
        <v>0</v>
      </c>
      <c r="GT24" s="675">
        <v>0</v>
      </c>
      <c r="GU24" s="675">
        <v>0</v>
      </c>
      <c r="GV24" s="675">
        <v>0</v>
      </c>
      <c r="GW24" s="675">
        <v>0</v>
      </c>
      <c r="GX24" s="675">
        <v>0</v>
      </c>
      <c r="GY24" s="675">
        <v>0</v>
      </c>
      <c r="GZ24" s="675">
        <v>0</v>
      </c>
      <c r="HA24" s="675">
        <v>0</v>
      </c>
      <c r="HB24" s="675">
        <v>260786259</v>
      </c>
      <c r="HC24" s="675">
        <v>5.0923999999999997E-2</v>
      </c>
      <c r="HD24" s="675">
        <v>20767</v>
      </c>
      <c r="HE24" s="675">
        <v>0</v>
      </c>
      <c r="HF24" s="675">
        <v>0</v>
      </c>
      <c r="HG24" s="675">
        <v>0</v>
      </c>
      <c r="HH24" s="675">
        <v>0</v>
      </c>
      <c r="HI24" s="675">
        <v>0</v>
      </c>
      <c r="HJ24" s="675">
        <v>0</v>
      </c>
      <c r="HK24" s="675">
        <v>0</v>
      </c>
      <c r="HL24" s="675">
        <v>0</v>
      </c>
      <c r="HM24" s="675">
        <v>0</v>
      </c>
      <c r="HN24" s="675">
        <v>0</v>
      </c>
      <c r="HO24" s="675">
        <v>0</v>
      </c>
      <c r="HP24" s="675">
        <v>0</v>
      </c>
      <c r="HQ24" s="675">
        <v>0</v>
      </c>
      <c r="HR24" s="675">
        <v>0</v>
      </c>
      <c r="HS24" s="675">
        <v>0</v>
      </c>
      <c r="HT24" s="675">
        <v>0</v>
      </c>
      <c r="HU24" s="675">
        <v>0</v>
      </c>
      <c r="HV24" s="675">
        <v>0</v>
      </c>
      <c r="HW24" s="675">
        <v>0</v>
      </c>
      <c r="HX24" s="675">
        <v>0</v>
      </c>
      <c r="HY24" s="675">
        <v>0</v>
      </c>
      <c r="HZ24" s="675">
        <v>0</v>
      </c>
      <c r="IA24" s="675">
        <v>0</v>
      </c>
      <c r="IB24" s="675">
        <v>0</v>
      </c>
      <c r="IC24" s="675">
        <v>0</v>
      </c>
      <c r="ID24" s="675">
        <v>0</v>
      </c>
      <c r="IE24" s="675">
        <v>0</v>
      </c>
      <c r="IF24" s="675">
        <v>0</v>
      </c>
      <c r="IG24" s="675">
        <v>0</v>
      </c>
      <c r="IH24" s="675">
        <v>0</v>
      </c>
      <c r="II24" s="675">
        <v>0</v>
      </c>
      <c r="IJ24" s="675">
        <v>0</v>
      </c>
      <c r="IK24" s="675">
        <v>0</v>
      </c>
      <c r="IL24" s="675">
        <v>0</v>
      </c>
      <c r="IM24" s="675">
        <v>0</v>
      </c>
      <c r="IN24" s="675">
        <v>0</v>
      </c>
      <c r="IO24" s="675">
        <v>0</v>
      </c>
      <c r="IP24" s="675">
        <v>0</v>
      </c>
      <c r="IQ24" s="675">
        <v>0</v>
      </c>
      <c r="IR24" s="675">
        <v>0</v>
      </c>
      <c r="IS24" s="675">
        <v>0</v>
      </c>
      <c r="IT24" s="675">
        <v>0</v>
      </c>
      <c r="IU24" s="675">
        <v>0</v>
      </c>
      <c r="IV24" s="675">
        <v>0</v>
      </c>
      <c r="IW24" s="675">
        <v>0</v>
      </c>
      <c r="IX24" s="675">
        <v>0</v>
      </c>
      <c r="IY24" s="675">
        <v>0</v>
      </c>
      <c r="IZ24" s="675">
        <v>0</v>
      </c>
      <c r="JA24" s="675">
        <v>0</v>
      </c>
      <c r="JB24" s="675">
        <v>0</v>
      </c>
      <c r="JC24" s="675">
        <v>0</v>
      </c>
      <c r="JD24" s="675">
        <v>0</v>
      </c>
      <c r="JE24" s="675">
        <v>0</v>
      </c>
      <c r="JF24" s="675">
        <v>0</v>
      </c>
      <c r="JG24" s="675">
        <v>0</v>
      </c>
      <c r="JH24" s="675">
        <v>0</v>
      </c>
      <c r="JI24" s="675">
        <v>0</v>
      </c>
      <c r="JJ24" s="675">
        <v>0</v>
      </c>
      <c r="JK24" s="675">
        <v>0</v>
      </c>
      <c r="JL24" s="675">
        <v>0</v>
      </c>
      <c r="JM24" s="675">
        <v>0</v>
      </c>
      <c r="JN24" s="675">
        <v>32469</v>
      </c>
      <c r="JO24" s="675">
        <v>0</v>
      </c>
      <c r="JP24" s="675">
        <v>0</v>
      </c>
      <c r="JQ24" s="675">
        <v>0</v>
      </c>
      <c r="JR24" s="675">
        <v>0</v>
      </c>
      <c r="JS24" s="675">
        <v>0</v>
      </c>
      <c r="JT24" s="675">
        <v>0</v>
      </c>
      <c r="JU24" s="675">
        <v>0</v>
      </c>
      <c r="JV24" s="675">
        <v>0</v>
      </c>
      <c r="JW24" s="675">
        <v>0</v>
      </c>
      <c r="JX24" s="675">
        <v>0</v>
      </c>
      <c r="JY24" s="675">
        <v>0</v>
      </c>
      <c r="JZ24" s="675">
        <v>0</v>
      </c>
      <c r="KA24" s="675">
        <v>0</v>
      </c>
      <c r="KB24" s="675">
        <v>0</v>
      </c>
      <c r="KC24" s="675">
        <v>0</v>
      </c>
      <c r="KD24" s="675">
        <v>0</v>
      </c>
      <c r="KE24" s="675">
        <v>0</v>
      </c>
      <c r="KF24" s="675">
        <v>0</v>
      </c>
    </row>
    <row r="25" spans="1:292" x14ac:dyDescent="0.25">
      <c r="A25" s="675">
        <v>15834</v>
      </c>
      <c r="B25" s="675">
        <v>32570</v>
      </c>
      <c r="C25" s="675">
        <v>35</v>
      </c>
      <c r="D25" s="675">
        <v>2022</v>
      </c>
      <c r="E25" s="675">
        <v>5392</v>
      </c>
      <c r="F25" s="675">
        <v>0</v>
      </c>
      <c r="G25" s="675">
        <v>2444.9949999999999</v>
      </c>
      <c r="H25" s="675">
        <v>2436.2380000000003</v>
      </c>
      <c r="I25" s="675">
        <v>2436.2380000000003</v>
      </c>
      <c r="J25" s="675">
        <v>2444.9949999999999</v>
      </c>
      <c r="K25" s="675">
        <v>0</v>
      </c>
      <c r="L25" s="675">
        <v>6554</v>
      </c>
      <c r="M25" s="675">
        <v>0</v>
      </c>
      <c r="N25" s="675">
        <v>0</v>
      </c>
      <c r="O25" s="675">
        <v>0</v>
      </c>
      <c r="P25" s="675">
        <v>2464.2560000000003</v>
      </c>
      <c r="Q25" s="675">
        <v>0</v>
      </c>
      <c r="R25" s="675">
        <v>787855</v>
      </c>
      <c r="S25" s="675">
        <v>319.71300000000002</v>
      </c>
      <c r="T25" s="675">
        <v>0</v>
      </c>
      <c r="U25" s="675">
        <v>787855</v>
      </c>
      <c r="V25" s="675">
        <v>314.60400000000004</v>
      </c>
      <c r="W25" s="675">
        <v>206191</v>
      </c>
      <c r="X25" s="675">
        <v>206191</v>
      </c>
      <c r="Y25" s="675">
        <v>0</v>
      </c>
      <c r="Z25" s="675">
        <v>0</v>
      </c>
      <c r="AA25" s="675">
        <v>1</v>
      </c>
      <c r="AB25" s="675">
        <v>1</v>
      </c>
      <c r="AC25" s="675">
        <v>0</v>
      </c>
      <c r="AD25" s="675" t="s">
        <v>316</v>
      </c>
      <c r="AE25" s="675">
        <v>0</v>
      </c>
      <c r="AF25" s="675">
        <v>0</v>
      </c>
      <c r="AG25" s="675">
        <v>0</v>
      </c>
      <c r="AH25" s="675">
        <v>0</v>
      </c>
      <c r="AI25" s="675">
        <v>0</v>
      </c>
      <c r="AJ25" s="675">
        <v>5104</v>
      </c>
      <c r="AK25" s="675" t="s">
        <v>671</v>
      </c>
      <c r="AL25" s="675" t="s">
        <v>319</v>
      </c>
      <c r="AM25" s="675">
        <v>0</v>
      </c>
      <c r="AN25" s="675">
        <v>0</v>
      </c>
      <c r="AO25" s="675">
        <v>0</v>
      </c>
      <c r="AP25" s="675">
        <v>0</v>
      </c>
      <c r="AQ25" s="675">
        <v>0</v>
      </c>
      <c r="AR25" s="675">
        <v>0</v>
      </c>
      <c r="AS25" s="675">
        <v>0</v>
      </c>
      <c r="AT25" s="675">
        <v>0</v>
      </c>
      <c r="AU25" s="675">
        <v>0</v>
      </c>
      <c r="AV25" s="675">
        <v>456083</v>
      </c>
      <c r="AW25" s="675">
        <v>19201713</v>
      </c>
      <c r="AX25" s="675">
        <v>18626062</v>
      </c>
      <c r="AY25" s="675">
        <v>21037682</v>
      </c>
      <c r="AZ25" s="675">
        <v>881652</v>
      </c>
      <c r="BA25" s="675">
        <v>0</v>
      </c>
      <c r="BB25" s="675">
        <v>0</v>
      </c>
      <c r="BC25" s="675">
        <v>0</v>
      </c>
      <c r="BD25" s="675">
        <v>0</v>
      </c>
      <c r="BE25" s="675">
        <v>0</v>
      </c>
      <c r="BF25" s="675">
        <v>15991619</v>
      </c>
      <c r="BG25" s="675">
        <v>0</v>
      </c>
      <c r="BH25" s="675">
        <v>341.08</v>
      </c>
      <c r="BI25" s="675">
        <v>93797</v>
      </c>
      <c r="BJ25" s="675">
        <v>12</v>
      </c>
      <c r="BK25" s="675">
        <v>0</v>
      </c>
      <c r="BL25" s="675">
        <v>0</v>
      </c>
      <c r="BM25" s="675">
        <v>0</v>
      </c>
      <c r="BN25" s="675">
        <v>0</v>
      </c>
      <c r="BO25" s="675">
        <v>0</v>
      </c>
      <c r="BP25" s="675">
        <v>0</v>
      </c>
      <c r="BQ25" s="675">
        <v>5392</v>
      </c>
      <c r="BR25" s="675">
        <v>1</v>
      </c>
      <c r="BS25" s="675">
        <v>0</v>
      </c>
      <c r="BT25" s="675">
        <v>0</v>
      </c>
      <c r="BU25" s="675">
        <v>0</v>
      </c>
      <c r="BV25" s="675">
        <v>0</v>
      </c>
      <c r="BW25" s="675">
        <v>0</v>
      </c>
      <c r="BX25" s="675">
        <v>0</v>
      </c>
      <c r="BY25" s="675">
        <v>0</v>
      </c>
      <c r="BZ25" s="675">
        <v>0</v>
      </c>
      <c r="CA25" s="675">
        <v>0</v>
      </c>
      <c r="CB25" s="675">
        <v>0</v>
      </c>
      <c r="CC25" s="675">
        <v>0</v>
      </c>
      <c r="CD25" s="675">
        <v>0</v>
      </c>
      <c r="CE25" s="675">
        <v>0</v>
      </c>
      <c r="CF25" s="675">
        <v>0</v>
      </c>
      <c r="CG25" s="675">
        <v>0</v>
      </c>
      <c r="CH25" s="675">
        <v>481854</v>
      </c>
      <c r="CI25" s="675">
        <v>0</v>
      </c>
      <c r="CJ25" s="675">
        <v>5</v>
      </c>
      <c r="CK25" s="675">
        <v>0</v>
      </c>
      <c r="CL25" s="675">
        <v>0</v>
      </c>
      <c r="CM25" s="675">
        <v>0</v>
      </c>
      <c r="CN25" s="675">
        <v>0</v>
      </c>
      <c r="CO25" s="675">
        <v>0</v>
      </c>
      <c r="CP25" s="675">
        <v>0</v>
      </c>
      <c r="CQ25" s="675">
        <v>0</v>
      </c>
      <c r="CR25" s="675">
        <v>2464.2560000000003</v>
      </c>
      <c r="CS25" s="675">
        <v>0</v>
      </c>
      <c r="CT25" s="675">
        <v>0</v>
      </c>
      <c r="CU25" s="675">
        <v>0</v>
      </c>
      <c r="CV25" s="675">
        <v>0</v>
      </c>
      <c r="CW25" s="675">
        <v>0</v>
      </c>
      <c r="CX25" s="675">
        <v>0</v>
      </c>
      <c r="CY25" s="675">
        <v>0</v>
      </c>
      <c r="CZ25" s="675">
        <v>0</v>
      </c>
      <c r="DA25" s="675">
        <v>1</v>
      </c>
      <c r="DB25" s="675">
        <v>15967104</v>
      </c>
      <c r="DC25" s="675">
        <v>0</v>
      </c>
      <c r="DD25" s="675">
        <v>0</v>
      </c>
      <c r="DE25" s="675">
        <v>0</v>
      </c>
      <c r="DF25" s="675">
        <v>0</v>
      </c>
      <c r="DG25" s="675">
        <v>0</v>
      </c>
      <c r="DH25" s="675">
        <v>0</v>
      </c>
      <c r="DI25" s="675">
        <v>0</v>
      </c>
      <c r="DJ25" s="675">
        <v>0</v>
      </c>
      <c r="DK25" s="675">
        <v>5392</v>
      </c>
      <c r="DL25" s="675">
        <v>0</v>
      </c>
      <c r="DM25" s="675">
        <v>257393</v>
      </c>
      <c r="DN25" s="675">
        <v>0</v>
      </c>
      <c r="DO25" s="675">
        <v>0</v>
      </c>
      <c r="DP25" s="675">
        <v>0</v>
      </c>
      <c r="DQ25" s="675">
        <v>0</v>
      </c>
      <c r="DR25" s="675">
        <v>0</v>
      </c>
      <c r="DS25" s="675">
        <v>0</v>
      </c>
      <c r="DT25" s="675">
        <v>0</v>
      </c>
      <c r="DU25" s="675">
        <v>0</v>
      </c>
      <c r="DV25" s="675">
        <v>0</v>
      </c>
      <c r="DW25" s="675">
        <v>0</v>
      </c>
      <c r="DX25" s="675">
        <v>0</v>
      </c>
      <c r="DY25" s="675">
        <v>0</v>
      </c>
      <c r="DZ25" s="675">
        <v>0</v>
      </c>
      <c r="EA25" s="675">
        <v>0</v>
      </c>
      <c r="EB25" s="675">
        <v>0</v>
      </c>
      <c r="EC25" s="675">
        <v>9.8559999999999999</v>
      </c>
      <c r="ED25" s="675">
        <v>71056</v>
      </c>
      <c r="EE25" s="675">
        <v>0</v>
      </c>
      <c r="EF25" s="675">
        <v>0</v>
      </c>
      <c r="EG25" s="675">
        <v>0</v>
      </c>
      <c r="EH25" s="675">
        <v>186337</v>
      </c>
      <c r="EI25" s="675">
        <v>0</v>
      </c>
      <c r="EJ25" s="675">
        <v>0</v>
      </c>
      <c r="EK25" s="675">
        <v>7.6770000000000005</v>
      </c>
      <c r="EL25" s="675">
        <v>0</v>
      </c>
      <c r="EM25" s="675">
        <v>0</v>
      </c>
      <c r="EN25" s="675">
        <v>1.08</v>
      </c>
      <c r="EO25" s="675">
        <v>0</v>
      </c>
      <c r="EP25" s="675">
        <v>0</v>
      </c>
      <c r="EQ25" s="675">
        <v>8.7569999999999997</v>
      </c>
      <c r="ER25" s="675">
        <v>0</v>
      </c>
      <c r="ES25" s="675">
        <v>28.431000000000001</v>
      </c>
      <c r="ET25" s="675">
        <v>0</v>
      </c>
      <c r="EU25" s="675">
        <v>881652</v>
      </c>
      <c r="EV25" s="675">
        <v>0</v>
      </c>
      <c r="EW25" s="675">
        <v>0</v>
      </c>
      <c r="EX25" s="675">
        <v>0</v>
      </c>
      <c r="EY25" s="675">
        <v>0</v>
      </c>
      <c r="EZ25" s="675">
        <v>15642833</v>
      </c>
      <c r="FA25" s="675">
        <v>0</v>
      </c>
      <c r="FB25" s="675">
        <v>16524485</v>
      </c>
      <c r="FC25" s="675">
        <v>0.97327799999999998</v>
      </c>
      <c r="FD25" s="675">
        <v>0</v>
      </c>
      <c r="FE25" s="675">
        <v>2434596</v>
      </c>
      <c r="FF25" s="675">
        <v>548633</v>
      </c>
      <c r="FG25" s="675">
        <v>6.1239999999999996E-2</v>
      </c>
      <c r="FH25" s="675">
        <v>5.4803999999999999E-2</v>
      </c>
      <c r="FI25" s="675">
        <v>0</v>
      </c>
      <c r="FJ25" s="675">
        <v>0</v>
      </c>
      <c r="FK25" s="675">
        <v>3133.2620000000002</v>
      </c>
      <c r="FL25" s="675">
        <v>19989568</v>
      </c>
      <c r="FM25" s="675">
        <v>0</v>
      </c>
      <c r="FN25" s="675">
        <v>0</v>
      </c>
      <c r="FO25" s="675">
        <v>0</v>
      </c>
      <c r="FP25" s="675">
        <v>0</v>
      </c>
      <c r="FQ25" s="675">
        <v>0</v>
      </c>
      <c r="FR25" s="675">
        <v>0</v>
      </c>
      <c r="FS25" s="675">
        <v>0</v>
      </c>
      <c r="FT25" s="675">
        <v>0</v>
      </c>
      <c r="FU25" s="675">
        <v>0</v>
      </c>
      <c r="FV25" s="675">
        <v>0</v>
      </c>
      <c r="FW25" s="675">
        <v>0</v>
      </c>
      <c r="FX25" s="675">
        <v>0</v>
      </c>
      <c r="FY25" s="675">
        <v>0</v>
      </c>
      <c r="FZ25" s="675">
        <v>0</v>
      </c>
      <c r="GA25" s="675">
        <v>0</v>
      </c>
      <c r="GB25" s="675">
        <v>0</v>
      </c>
      <c r="GC25" s="675">
        <v>0</v>
      </c>
      <c r="GD25" s="675">
        <v>0</v>
      </c>
      <c r="GE25" s="675">
        <v>0</v>
      </c>
      <c r="GF25" s="675">
        <v>0</v>
      </c>
      <c r="GG25" s="675">
        <v>0</v>
      </c>
      <c r="GH25" s="675">
        <v>0</v>
      </c>
      <c r="GI25" s="675">
        <v>0</v>
      </c>
      <c r="GJ25" s="675">
        <v>0</v>
      </c>
      <c r="GK25" s="675">
        <v>4971</v>
      </c>
      <c r="GL25" s="675">
        <v>0</v>
      </c>
      <c r="GM25" s="675">
        <v>0</v>
      </c>
      <c r="GN25" s="675">
        <v>0</v>
      </c>
      <c r="GO25" s="675">
        <v>0</v>
      </c>
      <c r="GP25" s="675">
        <v>19507714</v>
      </c>
      <c r="GQ25" s="675">
        <v>19507714</v>
      </c>
      <c r="GR25" s="675">
        <v>0</v>
      </c>
      <c r="GS25" s="675">
        <v>0</v>
      </c>
      <c r="GT25" s="675">
        <v>0</v>
      </c>
      <c r="GU25" s="675">
        <v>0</v>
      </c>
      <c r="GV25" s="675">
        <v>0</v>
      </c>
      <c r="GW25" s="675">
        <v>0</v>
      </c>
      <c r="GX25" s="675">
        <v>0</v>
      </c>
      <c r="GY25" s="675">
        <v>0</v>
      </c>
      <c r="GZ25" s="675">
        <v>0</v>
      </c>
      <c r="HA25" s="675">
        <v>0</v>
      </c>
      <c r="HB25" s="675">
        <v>260786259</v>
      </c>
      <c r="HC25" s="675">
        <v>5.0923999999999997E-2</v>
      </c>
      <c r="HD25" s="675">
        <v>481854</v>
      </c>
      <c r="HE25" s="675">
        <v>0</v>
      </c>
      <c r="HF25" s="675">
        <v>0</v>
      </c>
      <c r="HG25" s="675">
        <v>0</v>
      </c>
      <c r="HH25" s="675">
        <v>0</v>
      </c>
      <c r="HI25" s="675">
        <v>0</v>
      </c>
      <c r="HJ25" s="675">
        <v>0</v>
      </c>
      <c r="HK25" s="675">
        <v>0</v>
      </c>
      <c r="HL25" s="675">
        <v>0</v>
      </c>
      <c r="HM25" s="675">
        <v>0</v>
      </c>
      <c r="HN25" s="675">
        <v>0</v>
      </c>
      <c r="HO25" s="675">
        <v>0</v>
      </c>
      <c r="HP25" s="675">
        <v>0</v>
      </c>
      <c r="HQ25" s="675">
        <v>0</v>
      </c>
      <c r="HR25" s="675">
        <v>0</v>
      </c>
      <c r="HS25" s="675">
        <v>0</v>
      </c>
      <c r="HT25" s="675">
        <v>0</v>
      </c>
      <c r="HU25" s="675">
        <v>0</v>
      </c>
      <c r="HV25" s="675">
        <v>0</v>
      </c>
      <c r="HW25" s="675">
        <v>0</v>
      </c>
      <c r="HX25" s="675">
        <v>0</v>
      </c>
      <c r="HY25" s="675">
        <v>0</v>
      </c>
      <c r="HZ25" s="675">
        <v>0</v>
      </c>
      <c r="IA25" s="675">
        <v>0</v>
      </c>
      <c r="IB25" s="675">
        <v>0</v>
      </c>
      <c r="IC25" s="675">
        <v>0</v>
      </c>
      <c r="ID25" s="675">
        <v>0</v>
      </c>
      <c r="IE25" s="675">
        <v>0</v>
      </c>
      <c r="IF25" s="675">
        <v>0</v>
      </c>
      <c r="IG25" s="675">
        <v>0</v>
      </c>
      <c r="IH25" s="675">
        <v>0</v>
      </c>
      <c r="II25" s="675">
        <v>0</v>
      </c>
      <c r="IJ25" s="675">
        <v>0</v>
      </c>
      <c r="IK25" s="675">
        <v>0</v>
      </c>
      <c r="IL25" s="675">
        <v>0</v>
      </c>
      <c r="IM25" s="675">
        <v>0</v>
      </c>
      <c r="IN25" s="675">
        <v>0</v>
      </c>
      <c r="IO25" s="675">
        <v>0</v>
      </c>
      <c r="IP25" s="675">
        <v>0</v>
      </c>
      <c r="IQ25" s="675">
        <v>0</v>
      </c>
      <c r="IR25" s="675">
        <v>0</v>
      </c>
      <c r="IS25" s="675">
        <v>0</v>
      </c>
      <c r="IT25" s="675">
        <v>0</v>
      </c>
      <c r="IU25" s="675">
        <v>0</v>
      </c>
      <c r="IV25" s="675">
        <v>0</v>
      </c>
      <c r="IW25" s="675">
        <v>0</v>
      </c>
      <c r="IX25" s="675">
        <v>0</v>
      </c>
      <c r="IY25" s="675">
        <v>0</v>
      </c>
      <c r="IZ25" s="675">
        <v>0</v>
      </c>
      <c r="JA25" s="675">
        <v>0</v>
      </c>
      <c r="JB25" s="675">
        <v>0</v>
      </c>
      <c r="JC25" s="675">
        <v>0</v>
      </c>
      <c r="JD25" s="675">
        <v>0</v>
      </c>
      <c r="JE25" s="675">
        <v>0</v>
      </c>
      <c r="JF25" s="675">
        <v>0</v>
      </c>
      <c r="JG25" s="675">
        <v>0</v>
      </c>
      <c r="JH25" s="675">
        <v>0</v>
      </c>
      <c r="JI25" s="675">
        <v>0</v>
      </c>
      <c r="JJ25" s="675">
        <v>0</v>
      </c>
      <c r="JK25" s="675">
        <v>0</v>
      </c>
      <c r="JL25" s="675">
        <v>0</v>
      </c>
      <c r="JM25" s="675">
        <v>0</v>
      </c>
      <c r="JN25" s="675">
        <v>32469</v>
      </c>
      <c r="JO25" s="675">
        <v>0</v>
      </c>
      <c r="JP25" s="675">
        <v>0</v>
      </c>
      <c r="JQ25" s="675">
        <v>0</v>
      </c>
      <c r="JR25" s="675">
        <v>0</v>
      </c>
      <c r="JS25" s="675">
        <v>0</v>
      </c>
      <c r="JT25" s="675">
        <v>0</v>
      </c>
      <c r="JU25" s="675">
        <v>0</v>
      </c>
      <c r="JV25" s="675">
        <v>0</v>
      </c>
      <c r="JW25" s="675">
        <v>0</v>
      </c>
      <c r="JX25" s="675">
        <v>0</v>
      </c>
      <c r="JY25" s="675">
        <v>0</v>
      </c>
      <c r="JZ25" s="675">
        <v>0</v>
      </c>
      <c r="KA25" s="675">
        <v>0</v>
      </c>
      <c r="KB25" s="675">
        <v>0</v>
      </c>
      <c r="KC25" s="675">
        <v>0</v>
      </c>
      <c r="KD25" s="675">
        <v>0</v>
      </c>
      <c r="KE25" s="675">
        <v>0</v>
      </c>
      <c r="KF25" s="675">
        <v>0</v>
      </c>
    </row>
    <row r="26" spans="1:292" x14ac:dyDescent="0.25">
      <c r="A26" s="675">
        <v>15835</v>
      </c>
      <c r="B26" s="675">
        <v>32570</v>
      </c>
      <c r="C26" s="675">
        <v>35</v>
      </c>
      <c r="D26" s="675">
        <v>2022</v>
      </c>
      <c r="E26" s="675">
        <v>5392</v>
      </c>
      <c r="F26" s="675">
        <v>0</v>
      </c>
      <c r="G26" s="675">
        <v>4610.0110000000004</v>
      </c>
      <c r="H26" s="675">
        <v>4517.1720000000005</v>
      </c>
      <c r="I26" s="675">
        <v>4517.1720000000005</v>
      </c>
      <c r="J26" s="675">
        <v>4610.0110000000004</v>
      </c>
      <c r="K26" s="675">
        <v>0</v>
      </c>
      <c r="L26" s="675">
        <v>6554</v>
      </c>
      <c r="M26" s="675">
        <v>0</v>
      </c>
      <c r="N26" s="675">
        <v>0</v>
      </c>
      <c r="O26" s="675">
        <v>0</v>
      </c>
      <c r="P26" s="675">
        <v>3437.5420000000004</v>
      </c>
      <c r="Q26" s="675">
        <v>0</v>
      </c>
      <c r="R26" s="675">
        <v>1099027</v>
      </c>
      <c r="S26" s="675">
        <v>319.71300000000002</v>
      </c>
      <c r="T26" s="675">
        <v>0</v>
      </c>
      <c r="U26" s="675">
        <v>1099027</v>
      </c>
      <c r="V26" s="675">
        <v>288.47900000000004</v>
      </c>
      <c r="W26" s="675">
        <v>189069</v>
      </c>
      <c r="X26" s="675">
        <v>189069</v>
      </c>
      <c r="Y26" s="675">
        <v>0</v>
      </c>
      <c r="Z26" s="675">
        <v>0</v>
      </c>
      <c r="AA26" s="675">
        <v>1</v>
      </c>
      <c r="AB26" s="675">
        <v>1</v>
      </c>
      <c r="AC26" s="675">
        <v>0</v>
      </c>
      <c r="AD26" s="675" t="s">
        <v>316</v>
      </c>
      <c r="AE26" s="675">
        <v>0</v>
      </c>
      <c r="AF26" s="675">
        <v>0</v>
      </c>
      <c r="AG26" s="675">
        <v>0</v>
      </c>
      <c r="AH26" s="675">
        <v>0</v>
      </c>
      <c r="AI26" s="675">
        <v>0</v>
      </c>
      <c r="AJ26" s="675">
        <v>5104</v>
      </c>
      <c r="AK26" s="675" t="s">
        <v>671</v>
      </c>
      <c r="AL26" s="675" t="s">
        <v>320</v>
      </c>
      <c r="AM26" s="675">
        <v>0</v>
      </c>
      <c r="AN26" s="675">
        <v>0</v>
      </c>
      <c r="AO26" s="675">
        <v>0</v>
      </c>
      <c r="AP26" s="675">
        <v>0</v>
      </c>
      <c r="AQ26" s="675">
        <v>0</v>
      </c>
      <c r="AR26" s="675">
        <v>0</v>
      </c>
      <c r="AS26" s="675">
        <v>0</v>
      </c>
      <c r="AT26" s="675">
        <v>0</v>
      </c>
      <c r="AU26" s="675">
        <v>0</v>
      </c>
      <c r="AV26" s="675">
        <v>809</v>
      </c>
      <c r="AW26" s="675">
        <v>39378821</v>
      </c>
      <c r="AX26" s="675">
        <v>37880279</v>
      </c>
      <c r="AY26" s="675">
        <v>42014839</v>
      </c>
      <c r="AZ26" s="675">
        <v>1689039</v>
      </c>
      <c r="BA26" s="675">
        <v>0</v>
      </c>
      <c r="BB26" s="675">
        <v>0</v>
      </c>
      <c r="BC26" s="675">
        <v>0</v>
      </c>
      <c r="BD26" s="675">
        <v>0</v>
      </c>
      <c r="BE26" s="675">
        <v>0</v>
      </c>
      <c r="BF26" s="675">
        <v>32108010</v>
      </c>
      <c r="BG26" s="675">
        <v>0</v>
      </c>
      <c r="BH26" s="675">
        <v>549.53399999999999</v>
      </c>
      <c r="BI26" s="675">
        <v>151122</v>
      </c>
      <c r="BJ26" s="675">
        <v>12</v>
      </c>
      <c r="BK26" s="675">
        <v>0</v>
      </c>
      <c r="BL26" s="675">
        <v>0</v>
      </c>
      <c r="BM26" s="675">
        <v>0</v>
      </c>
      <c r="BN26" s="675">
        <v>0</v>
      </c>
      <c r="BO26" s="675">
        <v>0</v>
      </c>
      <c r="BP26" s="675">
        <v>0</v>
      </c>
      <c r="BQ26" s="675">
        <v>5392</v>
      </c>
      <c r="BR26" s="675">
        <v>1</v>
      </c>
      <c r="BS26" s="675">
        <v>0</v>
      </c>
      <c r="BT26" s="675">
        <v>0</v>
      </c>
      <c r="BU26" s="675">
        <v>0</v>
      </c>
      <c r="BV26" s="675">
        <v>0</v>
      </c>
      <c r="BW26" s="675">
        <v>0</v>
      </c>
      <c r="BX26" s="675">
        <v>0</v>
      </c>
      <c r="BY26" s="675">
        <v>0</v>
      </c>
      <c r="BZ26" s="675">
        <v>0</v>
      </c>
      <c r="CA26" s="675">
        <v>1148.144</v>
      </c>
      <c r="CB26" s="675">
        <v>438890</v>
      </c>
      <c r="CC26" s="675">
        <v>0</v>
      </c>
      <c r="CD26" s="675">
        <v>0</v>
      </c>
      <c r="CE26" s="675">
        <v>0</v>
      </c>
      <c r="CF26" s="675">
        <v>0</v>
      </c>
      <c r="CG26" s="675">
        <v>0</v>
      </c>
      <c r="CH26" s="675">
        <v>908530</v>
      </c>
      <c r="CI26" s="675">
        <v>0</v>
      </c>
      <c r="CJ26" s="675">
        <v>4</v>
      </c>
      <c r="CK26" s="675">
        <v>0</v>
      </c>
      <c r="CL26" s="675">
        <v>0</v>
      </c>
      <c r="CM26" s="675">
        <v>0</v>
      </c>
      <c r="CN26" s="675">
        <v>0</v>
      </c>
      <c r="CO26" s="675">
        <v>0</v>
      </c>
      <c r="CP26" s="675">
        <v>0</v>
      </c>
      <c r="CQ26" s="675">
        <v>0</v>
      </c>
      <c r="CR26" s="675">
        <v>3437.5420000000004</v>
      </c>
      <c r="CS26" s="675">
        <v>0</v>
      </c>
      <c r="CT26" s="675">
        <v>0</v>
      </c>
      <c r="CU26" s="675">
        <v>0</v>
      </c>
      <c r="CV26" s="675">
        <v>0</v>
      </c>
      <c r="CW26" s="675">
        <v>0</v>
      </c>
      <c r="CX26" s="675">
        <v>0</v>
      </c>
      <c r="CY26" s="675">
        <v>0</v>
      </c>
      <c r="CZ26" s="675">
        <v>0</v>
      </c>
      <c r="DA26" s="675">
        <v>1</v>
      </c>
      <c r="DB26" s="675">
        <v>29605545</v>
      </c>
      <c r="DC26" s="675">
        <v>0</v>
      </c>
      <c r="DD26" s="675">
        <v>0</v>
      </c>
      <c r="DE26" s="675">
        <v>1001451</v>
      </c>
      <c r="DF26" s="675">
        <v>1001451</v>
      </c>
      <c r="DG26" s="675">
        <v>764</v>
      </c>
      <c r="DH26" s="675">
        <v>0</v>
      </c>
      <c r="DI26" s="675">
        <v>0</v>
      </c>
      <c r="DJ26" s="675">
        <v>0</v>
      </c>
      <c r="DK26" s="675">
        <v>5392</v>
      </c>
      <c r="DL26" s="675">
        <v>0</v>
      </c>
      <c r="DM26" s="675">
        <v>2193508</v>
      </c>
      <c r="DN26" s="675">
        <v>0</v>
      </c>
      <c r="DO26" s="675">
        <v>0</v>
      </c>
      <c r="DP26" s="675">
        <v>0</v>
      </c>
      <c r="DQ26" s="675">
        <v>0</v>
      </c>
      <c r="DR26" s="675">
        <v>0</v>
      </c>
      <c r="DS26" s="675">
        <v>0</v>
      </c>
      <c r="DT26" s="675">
        <v>0</v>
      </c>
      <c r="DU26" s="675">
        <v>0</v>
      </c>
      <c r="DV26" s="675">
        <v>0</v>
      </c>
      <c r="DW26" s="675">
        <v>0</v>
      </c>
      <c r="DX26" s="675">
        <v>0</v>
      </c>
      <c r="DY26" s="675">
        <v>0</v>
      </c>
      <c r="DZ26" s="675">
        <v>0</v>
      </c>
      <c r="EA26" s="675">
        <v>5.2000000000000005E-2</v>
      </c>
      <c r="EB26" s="675">
        <v>0</v>
      </c>
      <c r="EC26" s="675">
        <v>37.483000000000004</v>
      </c>
      <c r="ED26" s="675">
        <v>270230</v>
      </c>
      <c r="EE26" s="675">
        <v>0</v>
      </c>
      <c r="EF26" s="675">
        <v>0</v>
      </c>
      <c r="EG26" s="675">
        <v>0</v>
      </c>
      <c r="EH26" s="675">
        <v>1923278</v>
      </c>
      <c r="EI26" s="675">
        <v>0</v>
      </c>
      <c r="EJ26" s="675">
        <v>0</v>
      </c>
      <c r="EK26" s="675">
        <v>74.996000000000009</v>
      </c>
      <c r="EL26" s="675">
        <v>0</v>
      </c>
      <c r="EM26" s="675">
        <v>10.376000000000001</v>
      </c>
      <c r="EN26" s="675">
        <v>7.415</v>
      </c>
      <c r="EO26" s="675">
        <v>0</v>
      </c>
      <c r="EP26" s="675">
        <v>0</v>
      </c>
      <c r="EQ26" s="675">
        <v>92.838999999999999</v>
      </c>
      <c r="ER26" s="675">
        <v>0</v>
      </c>
      <c r="ES26" s="675">
        <v>293.45100000000002</v>
      </c>
      <c r="ET26" s="675">
        <v>0</v>
      </c>
      <c r="EU26" s="675">
        <v>1689039</v>
      </c>
      <c r="EV26" s="675">
        <v>0</v>
      </c>
      <c r="EW26" s="675">
        <v>0</v>
      </c>
      <c r="EX26" s="675">
        <v>0</v>
      </c>
      <c r="EY26" s="675">
        <v>0</v>
      </c>
      <c r="EZ26" s="675">
        <v>31890546</v>
      </c>
      <c r="FA26" s="675">
        <v>0</v>
      </c>
      <c r="FB26" s="675">
        <v>33579585</v>
      </c>
      <c r="FC26" s="675">
        <v>0.97327799999999998</v>
      </c>
      <c r="FD26" s="675">
        <v>0</v>
      </c>
      <c r="FE26" s="675">
        <v>4888187</v>
      </c>
      <c r="FF26" s="675">
        <v>1101546</v>
      </c>
      <c r="FG26" s="675">
        <v>6.1239999999999996E-2</v>
      </c>
      <c r="FH26" s="675">
        <v>5.4803999999999999E-2</v>
      </c>
      <c r="FI26" s="675">
        <v>0</v>
      </c>
      <c r="FJ26" s="675">
        <v>0</v>
      </c>
      <c r="FK26" s="675">
        <v>6290.97</v>
      </c>
      <c r="FL26" s="675">
        <v>40477848</v>
      </c>
      <c r="FM26" s="675">
        <v>0</v>
      </c>
      <c r="FN26" s="675">
        <v>0</v>
      </c>
      <c r="FO26" s="675">
        <v>0</v>
      </c>
      <c r="FP26" s="675">
        <v>0</v>
      </c>
      <c r="FQ26" s="675">
        <v>0</v>
      </c>
      <c r="FR26" s="675">
        <v>0</v>
      </c>
      <c r="FS26" s="675">
        <v>0</v>
      </c>
      <c r="FT26" s="675">
        <v>0</v>
      </c>
      <c r="FU26" s="675">
        <v>0</v>
      </c>
      <c r="FV26" s="675">
        <v>0</v>
      </c>
      <c r="FW26" s="675">
        <v>0</v>
      </c>
      <c r="FX26" s="675">
        <v>0</v>
      </c>
      <c r="FY26" s="675">
        <v>0</v>
      </c>
      <c r="FZ26" s="675">
        <v>0</v>
      </c>
      <c r="GA26" s="675">
        <v>0</v>
      </c>
      <c r="GB26" s="675">
        <v>0</v>
      </c>
      <c r="GC26" s="675">
        <v>0</v>
      </c>
      <c r="GD26" s="675">
        <v>0</v>
      </c>
      <c r="GE26" s="675">
        <v>0</v>
      </c>
      <c r="GF26" s="675">
        <v>0</v>
      </c>
      <c r="GG26" s="675">
        <v>0</v>
      </c>
      <c r="GH26" s="675">
        <v>0</v>
      </c>
      <c r="GI26" s="675">
        <v>0</v>
      </c>
      <c r="GJ26" s="675">
        <v>0</v>
      </c>
      <c r="GK26" s="675">
        <v>0</v>
      </c>
      <c r="GL26" s="675">
        <v>0</v>
      </c>
      <c r="GM26" s="675">
        <v>0</v>
      </c>
      <c r="GN26" s="675">
        <v>0</v>
      </c>
      <c r="GO26" s="675">
        <v>0</v>
      </c>
      <c r="GP26" s="675">
        <v>39569318</v>
      </c>
      <c r="GQ26" s="675">
        <v>39569318</v>
      </c>
      <c r="GR26" s="675">
        <v>0</v>
      </c>
      <c r="GS26" s="675">
        <v>0</v>
      </c>
      <c r="GT26" s="675">
        <v>0</v>
      </c>
      <c r="GU26" s="675">
        <v>0</v>
      </c>
      <c r="GV26" s="675">
        <v>0</v>
      </c>
      <c r="GW26" s="675">
        <v>0</v>
      </c>
      <c r="GX26" s="675">
        <v>0</v>
      </c>
      <c r="GY26" s="675">
        <v>0</v>
      </c>
      <c r="GZ26" s="675">
        <v>0</v>
      </c>
      <c r="HA26" s="675">
        <v>0</v>
      </c>
      <c r="HB26" s="675">
        <v>260786259</v>
      </c>
      <c r="HC26" s="675">
        <v>5.0923999999999997E-2</v>
      </c>
      <c r="HD26" s="675">
        <v>908530</v>
      </c>
      <c r="HE26" s="675">
        <v>0</v>
      </c>
      <c r="HF26" s="675">
        <v>0</v>
      </c>
      <c r="HG26" s="675">
        <v>0</v>
      </c>
      <c r="HH26" s="675">
        <v>0</v>
      </c>
      <c r="HI26" s="675">
        <v>0</v>
      </c>
      <c r="HJ26" s="675">
        <v>0</v>
      </c>
      <c r="HK26" s="675">
        <v>0</v>
      </c>
      <c r="HL26" s="675">
        <v>0</v>
      </c>
      <c r="HM26" s="675">
        <v>0</v>
      </c>
      <c r="HN26" s="675">
        <v>0</v>
      </c>
      <c r="HO26" s="675">
        <v>0</v>
      </c>
      <c r="HP26" s="675">
        <v>0</v>
      </c>
      <c r="HQ26" s="675">
        <v>0</v>
      </c>
      <c r="HR26" s="675">
        <v>0</v>
      </c>
      <c r="HS26" s="675">
        <v>0</v>
      </c>
      <c r="HT26" s="675">
        <v>0</v>
      </c>
      <c r="HU26" s="675">
        <v>0</v>
      </c>
      <c r="HV26" s="675">
        <v>0</v>
      </c>
      <c r="HW26" s="675">
        <v>0</v>
      </c>
      <c r="HX26" s="675">
        <v>0</v>
      </c>
      <c r="HY26" s="675">
        <v>0</v>
      </c>
      <c r="HZ26" s="675">
        <v>0</v>
      </c>
      <c r="IA26" s="675">
        <v>0</v>
      </c>
      <c r="IB26" s="675">
        <v>0</v>
      </c>
      <c r="IC26" s="675">
        <v>0</v>
      </c>
      <c r="ID26" s="675">
        <v>0</v>
      </c>
      <c r="IE26" s="675">
        <v>0</v>
      </c>
      <c r="IF26" s="675">
        <v>0</v>
      </c>
      <c r="IG26" s="675">
        <v>0</v>
      </c>
      <c r="IH26" s="675">
        <v>0</v>
      </c>
      <c r="II26" s="675">
        <v>0</v>
      </c>
      <c r="IJ26" s="675">
        <v>0</v>
      </c>
      <c r="IK26" s="675">
        <v>0</v>
      </c>
      <c r="IL26" s="675">
        <v>0</v>
      </c>
      <c r="IM26" s="675">
        <v>0</v>
      </c>
      <c r="IN26" s="675">
        <v>0</v>
      </c>
      <c r="IO26" s="675">
        <v>0</v>
      </c>
      <c r="IP26" s="675">
        <v>0</v>
      </c>
      <c r="IQ26" s="675">
        <v>0</v>
      </c>
      <c r="IR26" s="675">
        <v>0</v>
      </c>
      <c r="IS26" s="675">
        <v>0</v>
      </c>
      <c r="IT26" s="675">
        <v>0</v>
      </c>
      <c r="IU26" s="675">
        <v>0</v>
      </c>
      <c r="IV26" s="675">
        <v>0</v>
      </c>
      <c r="IW26" s="675">
        <v>0</v>
      </c>
      <c r="IX26" s="675">
        <v>0</v>
      </c>
      <c r="IY26" s="675">
        <v>0</v>
      </c>
      <c r="IZ26" s="675">
        <v>0</v>
      </c>
      <c r="JA26" s="675">
        <v>0</v>
      </c>
      <c r="JB26" s="675">
        <v>0</v>
      </c>
      <c r="JC26" s="675">
        <v>0</v>
      </c>
      <c r="JD26" s="675">
        <v>0</v>
      </c>
      <c r="JE26" s="675">
        <v>0</v>
      </c>
      <c r="JF26" s="675">
        <v>0</v>
      </c>
      <c r="JG26" s="675">
        <v>0</v>
      </c>
      <c r="JH26" s="675">
        <v>0</v>
      </c>
      <c r="JI26" s="675">
        <v>0</v>
      </c>
      <c r="JJ26" s="675">
        <v>0</v>
      </c>
      <c r="JK26" s="675">
        <v>0</v>
      </c>
      <c r="JL26" s="675">
        <v>0</v>
      </c>
      <c r="JM26" s="675">
        <v>0</v>
      </c>
      <c r="JN26" s="675">
        <v>32469</v>
      </c>
      <c r="JO26" s="675">
        <v>0</v>
      </c>
      <c r="JP26" s="675">
        <v>0</v>
      </c>
      <c r="JQ26" s="675">
        <v>0</v>
      </c>
      <c r="JR26" s="675">
        <v>0</v>
      </c>
      <c r="JS26" s="675">
        <v>0</v>
      </c>
      <c r="JT26" s="675">
        <v>0</v>
      </c>
      <c r="JU26" s="675">
        <v>0</v>
      </c>
      <c r="JV26" s="675">
        <v>0</v>
      </c>
      <c r="JW26" s="675">
        <v>0</v>
      </c>
      <c r="JX26" s="675">
        <v>0</v>
      </c>
      <c r="JY26" s="675">
        <v>0</v>
      </c>
      <c r="JZ26" s="675">
        <v>0</v>
      </c>
      <c r="KA26" s="675">
        <v>0</v>
      </c>
      <c r="KB26" s="675">
        <v>0</v>
      </c>
      <c r="KC26" s="675">
        <v>0</v>
      </c>
      <c r="KD26" s="675">
        <v>0</v>
      </c>
      <c r="KE26" s="675">
        <v>0</v>
      </c>
      <c r="KF26" s="675">
        <v>0</v>
      </c>
    </row>
    <row r="27" spans="1:292" x14ac:dyDescent="0.25">
      <c r="A27" s="675">
        <v>15836</v>
      </c>
      <c r="B27" s="675">
        <v>32570</v>
      </c>
      <c r="C27" s="675">
        <v>35</v>
      </c>
      <c r="D27" s="675">
        <v>2022</v>
      </c>
      <c r="E27" s="675">
        <v>5392</v>
      </c>
      <c r="F27" s="675">
        <v>0</v>
      </c>
      <c r="G27" s="675">
        <v>408.84700000000004</v>
      </c>
      <c r="H27" s="675">
        <v>401.37100000000004</v>
      </c>
      <c r="I27" s="675">
        <v>401.37100000000004</v>
      </c>
      <c r="J27" s="675">
        <v>408.84700000000004</v>
      </c>
      <c r="K27" s="675">
        <v>0</v>
      </c>
      <c r="L27" s="675">
        <v>6554</v>
      </c>
      <c r="M27" s="675">
        <v>0</v>
      </c>
      <c r="N27" s="675">
        <v>0</v>
      </c>
      <c r="O27" s="675">
        <v>0</v>
      </c>
      <c r="P27" s="675">
        <v>325.017</v>
      </c>
      <c r="Q27" s="675">
        <v>0</v>
      </c>
      <c r="R27" s="675">
        <v>103912</v>
      </c>
      <c r="S27" s="675">
        <v>319.71300000000002</v>
      </c>
      <c r="T27" s="675">
        <v>0</v>
      </c>
      <c r="U27" s="675">
        <v>103912</v>
      </c>
      <c r="V27" s="675">
        <v>20.628</v>
      </c>
      <c r="W27" s="675">
        <v>13520</v>
      </c>
      <c r="X27" s="675">
        <v>13520</v>
      </c>
      <c r="Y27" s="675">
        <v>0</v>
      </c>
      <c r="Z27" s="675">
        <v>0</v>
      </c>
      <c r="AA27" s="675">
        <v>1</v>
      </c>
      <c r="AB27" s="675">
        <v>1</v>
      </c>
      <c r="AC27" s="675">
        <v>0</v>
      </c>
      <c r="AD27" s="675" t="s">
        <v>316</v>
      </c>
      <c r="AE27" s="675">
        <v>0</v>
      </c>
      <c r="AF27" s="675">
        <v>0</v>
      </c>
      <c r="AG27" s="675">
        <v>0</v>
      </c>
      <c r="AH27" s="675">
        <v>0</v>
      </c>
      <c r="AI27" s="675">
        <v>0</v>
      </c>
      <c r="AJ27" s="675">
        <v>5104</v>
      </c>
      <c r="AK27" s="675" t="s">
        <v>671</v>
      </c>
      <c r="AL27" s="675" t="s">
        <v>321</v>
      </c>
      <c r="AM27" s="675">
        <v>0</v>
      </c>
      <c r="AN27" s="675">
        <v>0</v>
      </c>
      <c r="AO27" s="675">
        <v>0</v>
      </c>
      <c r="AP27" s="675">
        <v>0</v>
      </c>
      <c r="AQ27" s="675">
        <v>0</v>
      </c>
      <c r="AR27" s="675">
        <v>0</v>
      </c>
      <c r="AS27" s="675">
        <v>0</v>
      </c>
      <c r="AT27" s="675">
        <v>0</v>
      </c>
      <c r="AU27" s="675">
        <v>0</v>
      </c>
      <c r="AV27" s="675">
        <v>73</v>
      </c>
      <c r="AW27" s="675">
        <v>3410772</v>
      </c>
      <c r="AX27" s="675">
        <v>3330197</v>
      </c>
      <c r="AY27" s="675">
        <v>3599610</v>
      </c>
      <c r="AZ27" s="675">
        <v>103912</v>
      </c>
      <c r="BA27" s="675">
        <v>0</v>
      </c>
      <c r="BB27" s="675">
        <v>0</v>
      </c>
      <c r="BC27" s="675">
        <v>0</v>
      </c>
      <c r="BD27" s="675">
        <v>0</v>
      </c>
      <c r="BE27" s="675">
        <v>0</v>
      </c>
      <c r="BF27" s="675">
        <v>2828742</v>
      </c>
      <c r="BG27" s="675">
        <v>0</v>
      </c>
      <c r="BH27" s="675">
        <v>0</v>
      </c>
      <c r="BI27" s="675">
        <v>0</v>
      </c>
      <c r="BJ27" s="675">
        <v>12</v>
      </c>
      <c r="BK27" s="675">
        <v>0</v>
      </c>
      <c r="BL27" s="675">
        <v>0</v>
      </c>
      <c r="BM27" s="675">
        <v>0</v>
      </c>
      <c r="BN27" s="675">
        <v>0</v>
      </c>
      <c r="BO27" s="675">
        <v>0</v>
      </c>
      <c r="BP27" s="675">
        <v>0</v>
      </c>
      <c r="BQ27" s="675">
        <v>5392</v>
      </c>
      <c r="BR27" s="675">
        <v>1</v>
      </c>
      <c r="BS27" s="675">
        <v>0</v>
      </c>
      <c r="BT27" s="675">
        <v>0</v>
      </c>
      <c r="BU27" s="675">
        <v>0</v>
      </c>
      <c r="BV27" s="675">
        <v>0</v>
      </c>
      <c r="BW27" s="675">
        <v>0</v>
      </c>
      <c r="BX27" s="675">
        <v>0</v>
      </c>
      <c r="BY27" s="675">
        <v>0</v>
      </c>
      <c r="BZ27" s="675">
        <v>0</v>
      </c>
      <c r="CA27" s="675">
        <v>0</v>
      </c>
      <c r="CB27" s="675">
        <v>0</v>
      </c>
      <c r="CC27" s="675">
        <v>0</v>
      </c>
      <c r="CD27" s="675">
        <v>0</v>
      </c>
      <c r="CE27" s="675">
        <v>0</v>
      </c>
      <c r="CF27" s="675">
        <v>0</v>
      </c>
      <c r="CG27" s="675">
        <v>0</v>
      </c>
      <c r="CH27" s="675">
        <v>80575</v>
      </c>
      <c r="CI27" s="675">
        <v>0</v>
      </c>
      <c r="CJ27" s="675">
        <v>4</v>
      </c>
      <c r="CK27" s="675">
        <v>0</v>
      </c>
      <c r="CL27" s="675">
        <v>0</v>
      </c>
      <c r="CM27" s="675">
        <v>0</v>
      </c>
      <c r="CN27" s="675">
        <v>0</v>
      </c>
      <c r="CO27" s="675">
        <v>0</v>
      </c>
      <c r="CP27" s="675">
        <v>0</v>
      </c>
      <c r="CQ27" s="675">
        <v>0</v>
      </c>
      <c r="CR27" s="675">
        <v>325.017</v>
      </c>
      <c r="CS27" s="675">
        <v>0</v>
      </c>
      <c r="CT27" s="675">
        <v>0</v>
      </c>
      <c r="CU27" s="675">
        <v>0</v>
      </c>
      <c r="CV27" s="675">
        <v>0</v>
      </c>
      <c r="CW27" s="675">
        <v>0</v>
      </c>
      <c r="CX27" s="675">
        <v>0</v>
      </c>
      <c r="CY27" s="675">
        <v>0</v>
      </c>
      <c r="CZ27" s="675">
        <v>0</v>
      </c>
      <c r="DA27" s="675">
        <v>1</v>
      </c>
      <c r="DB27" s="675">
        <v>2630586</v>
      </c>
      <c r="DC27" s="675">
        <v>0</v>
      </c>
      <c r="DD27" s="675">
        <v>0</v>
      </c>
      <c r="DE27" s="675">
        <v>65973</v>
      </c>
      <c r="DF27" s="675">
        <v>65973</v>
      </c>
      <c r="DG27" s="675">
        <v>50.33</v>
      </c>
      <c r="DH27" s="675">
        <v>0</v>
      </c>
      <c r="DI27" s="675">
        <v>0</v>
      </c>
      <c r="DJ27" s="675">
        <v>0</v>
      </c>
      <c r="DK27" s="675">
        <v>5392</v>
      </c>
      <c r="DL27" s="675">
        <v>0</v>
      </c>
      <c r="DM27" s="675">
        <v>196329</v>
      </c>
      <c r="DN27" s="675">
        <v>0</v>
      </c>
      <c r="DO27" s="675">
        <v>0</v>
      </c>
      <c r="DP27" s="675">
        <v>0</v>
      </c>
      <c r="DQ27" s="675">
        <v>0</v>
      </c>
      <c r="DR27" s="675">
        <v>0</v>
      </c>
      <c r="DS27" s="675">
        <v>0</v>
      </c>
      <c r="DT27" s="675">
        <v>0</v>
      </c>
      <c r="DU27" s="675">
        <v>0</v>
      </c>
      <c r="DV27" s="675">
        <v>0</v>
      </c>
      <c r="DW27" s="675">
        <v>0</v>
      </c>
      <c r="DX27" s="675">
        <v>0</v>
      </c>
      <c r="DY27" s="675">
        <v>0</v>
      </c>
      <c r="DZ27" s="675">
        <v>0</v>
      </c>
      <c r="EA27" s="675">
        <v>0</v>
      </c>
      <c r="EB27" s="675">
        <v>0</v>
      </c>
      <c r="EC27" s="675">
        <v>5.5070000000000006</v>
      </c>
      <c r="ED27" s="675">
        <v>39702</v>
      </c>
      <c r="EE27" s="675">
        <v>0</v>
      </c>
      <c r="EF27" s="675">
        <v>0</v>
      </c>
      <c r="EG27" s="675">
        <v>0</v>
      </c>
      <c r="EH27" s="675">
        <v>156627</v>
      </c>
      <c r="EI27" s="675">
        <v>0</v>
      </c>
      <c r="EJ27" s="675">
        <v>0</v>
      </c>
      <c r="EK27" s="675">
        <v>6.5460000000000003</v>
      </c>
      <c r="EL27" s="675">
        <v>0</v>
      </c>
      <c r="EM27" s="675">
        <v>0.19500000000000001</v>
      </c>
      <c r="EN27" s="675">
        <v>0.73499999999999999</v>
      </c>
      <c r="EO27" s="675">
        <v>0</v>
      </c>
      <c r="EP27" s="675">
        <v>0</v>
      </c>
      <c r="EQ27" s="675">
        <v>7.476</v>
      </c>
      <c r="ER27" s="675">
        <v>0</v>
      </c>
      <c r="ES27" s="675">
        <v>23.898</v>
      </c>
      <c r="ET27" s="675">
        <v>0</v>
      </c>
      <c r="EU27" s="675">
        <v>103912</v>
      </c>
      <c r="EV27" s="675">
        <v>0</v>
      </c>
      <c r="EW27" s="675">
        <v>0</v>
      </c>
      <c r="EX27" s="675">
        <v>0</v>
      </c>
      <c r="EY27" s="675">
        <v>0</v>
      </c>
      <c r="EZ27" s="675">
        <v>2802496</v>
      </c>
      <c r="FA27" s="675">
        <v>0</v>
      </c>
      <c r="FB27" s="675">
        <v>2906408</v>
      </c>
      <c r="FC27" s="675">
        <v>0.97327799999999998</v>
      </c>
      <c r="FD27" s="675">
        <v>0</v>
      </c>
      <c r="FE27" s="675">
        <v>430654</v>
      </c>
      <c r="FF27" s="675">
        <v>97047</v>
      </c>
      <c r="FG27" s="675">
        <v>6.1239999999999996E-2</v>
      </c>
      <c r="FH27" s="675">
        <v>5.4803999999999999E-2</v>
      </c>
      <c r="FI27" s="675">
        <v>0</v>
      </c>
      <c r="FJ27" s="675">
        <v>0</v>
      </c>
      <c r="FK27" s="675">
        <v>554.24</v>
      </c>
      <c r="FL27" s="675">
        <v>3514684</v>
      </c>
      <c r="FM27" s="675">
        <v>0</v>
      </c>
      <c r="FN27" s="675">
        <v>0</v>
      </c>
      <c r="FO27" s="675">
        <v>0</v>
      </c>
      <c r="FP27" s="675">
        <v>0</v>
      </c>
      <c r="FQ27" s="675">
        <v>0</v>
      </c>
      <c r="FR27" s="675">
        <v>0</v>
      </c>
      <c r="FS27" s="675">
        <v>0</v>
      </c>
      <c r="FT27" s="675">
        <v>0</v>
      </c>
      <c r="FU27" s="675">
        <v>0</v>
      </c>
      <c r="FV27" s="675">
        <v>0</v>
      </c>
      <c r="FW27" s="675">
        <v>0</v>
      </c>
      <c r="FX27" s="675">
        <v>0</v>
      </c>
      <c r="FY27" s="675">
        <v>0</v>
      </c>
      <c r="FZ27" s="675">
        <v>0</v>
      </c>
      <c r="GA27" s="675">
        <v>0</v>
      </c>
      <c r="GB27" s="675">
        <v>0</v>
      </c>
      <c r="GC27" s="675">
        <v>0</v>
      </c>
      <c r="GD27" s="675">
        <v>0</v>
      </c>
      <c r="GE27" s="675">
        <v>0</v>
      </c>
      <c r="GF27" s="675">
        <v>0</v>
      </c>
      <c r="GG27" s="675">
        <v>0</v>
      </c>
      <c r="GH27" s="675">
        <v>0</v>
      </c>
      <c r="GI27" s="675">
        <v>0</v>
      </c>
      <c r="GJ27" s="675">
        <v>0</v>
      </c>
      <c r="GK27" s="675">
        <v>4971</v>
      </c>
      <c r="GL27" s="675">
        <v>0</v>
      </c>
      <c r="GM27" s="675">
        <v>0</v>
      </c>
      <c r="GN27" s="675">
        <v>0</v>
      </c>
      <c r="GO27" s="675">
        <v>0</v>
      </c>
      <c r="GP27" s="675">
        <v>3434109</v>
      </c>
      <c r="GQ27" s="675">
        <v>3434109</v>
      </c>
      <c r="GR27" s="675">
        <v>0</v>
      </c>
      <c r="GS27" s="675">
        <v>0</v>
      </c>
      <c r="GT27" s="675">
        <v>0</v>
      </c>
      <c r="GU27" s="675">
        <v>0</v>
      </c>
      <c r="GV27" s="675">
        <v>0</v>
      </c>
      <c r="GW27" s="675">
        <v>0</v>
      </c>
      <c r="GX27" s="675">
        <v>0</v>
      </c>
      <c r="GY27" s="675">
        <v>0</v>
      </c>
      <c r="GZ27" s="675">
        <v>0</v>
      </c>
      <c r="HA27" s="675">
        <v>0</v>
      </c>
      <c r="HB27" s="675">
        <v>260786259</v>
      </c>
      <c r="HC27" s="675">
        <v>5.0923999999999997E-2</v>
      </c>
      <c r="HD27" s="675">
        <v>80575</v>
      </c>
      <c r="HE27" s="675">
        <v>0</v>
      </c>
      <c r="HF27" s="675">
        <v>0</v>
      </c>
      <c r="HG27" s="675">
        <v>0</v>
      </c>
      <c r="HH27" s="675">
        <v>0</v>
      </c>
      <c r="HI27" s="675">
        <v>0</v>
      </c>
      <c r="HJ27" s="675">
        <v>0</v>
      </c>
      <c r="HK27" s="675">
        <v>0</v>
      </c>
      <c r="HL27" s="675">
        <v>0</v>
      </c>
      <c r="HM27" s="675">
        <v>0</v>
      </c>
      <c r="HN27" s="675">
        <v>0</v>
      </c>
      <c r="HO27" s="675">
        <v>0</v>
      </c>
      <c r="HP27" s="675">
        <v>0</v>
      </c>
      <c r="HQ27" s="675">
        <v>0</v>
      </c>
      <c r="HR27" s="675">
        <v>0</v>
      </c>
      <c r="HS27" s="675">
        <v>0</v>
      </c>
      <c r="HT27" s="675">
        <v>0</v>
      </c>
      <c r="HU27" s="675">
        <v>0</v>
      </c>
      <c r="HV27" s="675">
        <v>0</v>
      </c>
      <c r="HW27" s="675">
        <v>0</v>
      </c>
      <c r="HX27" s="675">
        <v>0</v>
      </c>
      <c r="HY27" s="675">
        <v>0</v>
      </c>
      <c r="HZ27" s="675">
        <v>0</v>
      </c>
      <c r="IA27" s="675">
        <v>0</v>
      </c>
      <c r="IB27" s="675">
        <v>0</v>
      </c>
      <c r="IC27" s="675">
        <v>0</v>
      </c>
      <c r="ID27" s="675">
        <v>0</v>
      </c>
      <c r="IE27" s="675">
        <v>0</v>
      </c>
      <c r="IF27" s="675">
        <v>0</v>
      </c>
      <c r="IG27" s="675">
        <v>0</v>
      </c>
      <c r="IH27" s="675">
        <v>0</v>
      </c>
      <c r="II27" s="675">
        <v>0</v>
      </c>
      <c r="IJ27" s="675">
        <v>0</v>
      </c>
      <c r="IK27" s="675">
        <v>0</v>
      </c>
      <c r="IL27" s="675">
        <v>0</v>
      </c>
      <c r="IM27" s="675">
        <v>0</v>
      </c>
      <c r="IN27" s="675">
        <v>0</v>
      </c>
      <c r="IO27" s="675">
        <v>0</v>
      </c>
      <c r="IP27" s="675">
        <v>0</v>
      </c>
      <c r="IQ27" s="675">
        <v>0</v>
      </c>
      <c r="IR27" s="675">
        <v>0</v>
      </c>
      <c r="IS27" s="675">
        <v>0</v>
      </c>
      <c r="IT27" s="675">
        <v>0</v>
      </c>
      <c r="IU27" s="675">
        <v>0</v>
      </c>
      <c r="IV27" s="675">
        <v>0</v>
      </c>
      <c r="IW27" s="675">
        <v>0</v>
      </c>
      <c r="IX27" s="675">
        <v>0</v>
      </c>
      <c r="IY27" s="675">
        <v>0</v>
      </c>
      <c r="IZ27" s="675">
        <v>0</v>
      </c>
      <c r="JA27" s="675">
        <v>0</v>
      </c>
      <c r="JB27" s="675">
        <v>0</v>
      </c>
      <c r="JC27" s="675">
        <v>0</v>
      </c>
      <c r="JD27" s="675">
        <v>0</v>
      </c>
      <c r="JE27" s="675">
        <v>0</v>
      </c>
      <c r="JF27" s="675">
        <v>0</v>
      </c>
      <c r="JG27" s="675">
        <v>0</v>
      </c>
      <c r="JH27" s="675">
        <v>0</v>
      </c>
      <c r="JI27" s="675">
        <v>0</v>
      </c>
      <c r="JJ27" s="675">
        <v>0</v>
      </c>
      <c r="JK27" s="675">
        <v>0</v>
      </c>
      <c r="JL27" s="675">
        <v>0</v>
      </c>
      <c r="JM27" s="675">
        <v>0</v>
      </c>
      <c r="JN27" s="675">
        <v>32469</v>
      </c>
      <c r="JO27" s="675">
        <v>0</v>
      </c>
      <c r="JP27" s="675">
        <v>0</v>
      </c>
      <c r="JQ27" s="675">
        <v>0</v>
      </c>
      <c r="JR27" s="675">
        <v>0</v>
      </c>
      <c r="JS27" s="675">
        <v>0</v>
      </c>
      <c r="JT27" s="675">
        <v>0</v>
      </c>
      <c r="JU27" s="675">
        <v>0</v>
      </c>
      <c r="JV27" s="675">
        <v>0</v>
      </c>
      <c r="JW27" s="675">
        <v>0</v>
      </c>
      <c r="JX27" s="675">
        <v>0</v>
      </c>
      <c r="JY27" s="675">
        <v>0</v>
      </c>
      <c r="JZ27" s="675">
        <v>0</v>
      </c>
      <c r="KA27" s="675">
        <v>0</v>
      </c>
      <c r="KB27" s="675">
        <v>0</v>
      </c>
      <c r="KC27" s="675">
        <v>0</v>
      </c>
      <c r="KD27" s="675">
        <v>0</v>
      </c>
      <c r="KE27" s="675">
        <v>0</v>
      </c>
      <c r="KF27" s="675">
        <v>0</v>
      </c>
    </row>
    <row r="28" spans="1:292" x14ac:dyDescent="0.25">
      <c r="A28" s="675">
        <v>15838</v>
      </c>
      <c r="B28" s="675">
        <v>32570</v>
      </c>
      <c r="C28" s="675">
        <v>35</v>
      </c>
      <c r="D28" s="675">
        <v>2022</v>
      </c>
      <c r="E28" s="675">
        <v>5392</v>
      </c>
      <c r="F28" s="675">
        <v>0</v>
      </c>
      <c r="G28" s="675">
        <v>333.50600000000003</v>
      </c>
      <c r="H28" s="675">
        <v>318.76800000000003</v>
      </c>
      <c r="I28" s="675">
        <v>318.76800000000003</v>
      </c>
      <c r="J28" s="675">
        <v>333.50600000000003</v>
      </c>
      <c r="K28" s="675">
        <v>0</v>
      </c>
      <c r="L28" s="675">
        <v>6554</v>
      </c>
      <c r="M28" s="675">
        <v>0</v>
      </c>
      <c r="N28" s="675">
        <v>0</v>
      </c>
      <c r="O28" s="675">
        <v>0</v>
      </c>
      <c r="P28" s="675">
        <v>175.797</v>
      </c>
      <c r="Q28" s="675">
        <v>0</v>
      </c>
      <c r="R28" s="675">
        <v>56205</v>
      </c>
      <c r="S28" s="675">
        <v>319.71300000000002</v>
      </c>
      <c r="T28" s="675">
        <v>0</v>
      </c>
      <c r="U28" s="675">
        <v>56205</v>
      </c>
      <c r="V28" s="675">
        <v>13.044</v>
      </c>
      <c r="W28" s="675">
        <v>8549</v>
      </c>
      <c r="X28" s="675">
        <v>8549</v>
      </c>
      <c r="Y28" s="675">
        <v>0</v>
      </c>
      <c r="Z28" s="675">
        <v>0</v>
      </c>
      <c r="AA28" s="675">
        <v>1</v>
      </c>
      <c r="AB28" s="675">
        <v>1</v>
      </c>
      <c r="AC28" s="675">
        <v>0</v>
      </c>
      <c r="AD28" s="675" t="s">
        <v>316</v>
      </c>
      <c r="AE28" s="675">
        <v>0</v>
      </c>
      <c r="AF28" s="675">
        <v>0</v>
      </c>
      <c r="AG28" s="675">
        <v>0</v>
      </c>
      <c r="AH28" s="675">
        <v>0</v>
      </c>
      <c r="AI28" s="675">
        <v>0</v>
      </c>
      <c r="AJ28" s="675">
        <v>5104</v>
      </c>
      <c r="AK28" s="675" t="s">
        <v>671</v>
      </c>
      <c r="AL28" s="675" t="s">
        <v>419</v>
      </c>
      <c r="AM28" s="675">
        <v>0</v>
      </c>
      <c r="AN28" s="675">
        <v>0</v>
      </c>
      <c r="AO28" s="675">
        <v>0</v>
      </c>
      <c r="AP28" s="675">
        <v>0</v>
      </c>
      <c r="AQ28" s="675">
        <v>0</v>
      </c>
      <c r="AR28" s="675">
        <v>0</v>
      </c>
      <c r="AS28" s="675">
        <v>0</v>
      </c>
      <c r="AT28" s="675">
        <v>0</v>
      </c>
      <c r="AU28" s="675">
        <v>0</v>
      </c>
      <c r="AV28" s="675">
        <v>141456</v>
      </c>
      <c r="AW28" s="675">
        <v>3289647</v>
      </c>
      <c r="AX28" s="675">
        <v>3205362</v>
      </c>
      <c r="AY28" s="675">
        <v>3659035</v>
      </c>
      <c r="AZ28" s="675">
        <v>74763</v>
      </c>
      <c r="BA28" s="675">
        <v>0</v>
      </c>
      <c r="BB28" s="675">
        <v>0</v>
      </c>
      <c r="BC28" s="675">
        <v>0</v>
      </c>
      <c r="BD28" s="675">
        <v>0</v>
      </c>
      <c r="BE28" s="675">
        <v>0</v>
      </c>
      <c r="BF28" s="675">
        <v>2672816</v>
      </c>
      <c r="BG28" s="675">
        <v>0</v>
      </c>
      <c r="BH28" s="675">
        <v>67.484000000000009</v>
      </c>
      <c r="BI28" s="675">
        <v>18558</v>
      </c>
      <c r="BJ28" s="675">
        <v>12</v>
      </c>
      <c r="BK28" s="675">
        <v>0</v>
      </c>
      <c r="BL28" s="675">
        <v>0</v>
      </c>
      <c r="BM28" s="675">
        <v>0</v>
      </c>
      <c r="BN28" s="675">
        <v>0</v>
      </c>
      <c r="BO28" s="675">
        <v>0</v>
      </c>
      <c r="BP28" s="675">
        <v>0</v>
      </c>
      <c r="BQ28" s="675">
        <v>5392</v>
      </c>
      <c r="BR28" s="675">
        <v>1</v>
      </c>
      <c r="BS28" s="675">
        <v>0</v>
      </c>
      <c r="BT28" s="675">
        <v>0</v>
      </c>
      <c r="BU28" s="675">
        <v>0</v>
      </c>
      <c r="BV28" s="675">
        <v>0</v>
      </c>
      <c r="BW28" s="675">
        <v>0</v>
      </c>
      <c r="BX28" s="675">
        <v>0</v>
      </c>
      <c r="BY28" s="675">
        <v>0</v>
      </c>
      <c r="BZ28" s="675">
        <v>0</v>
      </c>
      <c r="CA28" s="675">
        <v>0</v>
      </c>
      <c r="CB28" s="675">
        <v>0</v>
      </c>
      <c r="CC28" s="675">
        <v>0</v>
      </c>
      <c r="CD28" s="675">
        <v>0</v>
      </c>
      <c r="CE28" s="675">
        <v>0</v>
      </c>
      <c r="CF28" s="675">
        <v>0</v>
      </c>
      <c r="CG28" s="675">
        <v>0</v>
      </c>
      <c r="CH28" s="675">
        <v>65727</v>
      </c>
      <c r="CI28" s="675">
        <v>0</v>
      </c>
      <c r="CJ28" s="675">
        <v>5</v>
      </c>
      <c r="CK28" s="675">
        <v>0</v>
      </c>
      <c r="CL28" s="675">
        <v>0</v>
      </c>
      <c r="CM28" s="675">
        <v>0</v>
      </c>
      <c r="CN28" s="675">
        <v>0</v>
      </c>
      <c r="CO28" s="675">
        <v>0</v>
      </c>
      <c r="CP28" s="675">
        <v>0</v>
      </c>
      <c r="CQ28" s="675">
        <v>0</v>
      </c>
      <c r="CR28" s="675">
        <v>175.797</v>
      </c>
      <c r="CS28" s="675">
        <v>0</v>
      </c>
      <c r="CT28" s="675">
        <v>0</v>
      </c>
      <c r="CU28" s="675">
        <v>0</v>
      </c>
      <c r="CV28" s="675">
        <v>0</v>
      </c>
      <c r="CW28" s="675">
        <v>0</v>
      </c>
      <c r="CX28" s="675">
        <v>0</v>
      </c>
      <c r="CY28" s="675">
        <v>0</v>
      </c>
      <c r="CZ28" s="675">
        <v>0</v>
      </c>
      <c r="DA28" s="675">
        <v>1</v>
      </c>
      <c r="DB28" s="675">
        <v>2089205</v>
      </c>
      <c r="DC28" s="675">
        <v>0</v>
      </c>
      <c r="DD28" s="675">
        <v>0</v>
      </c>
      <c r="DE28" s="675">
        <v>277234</v>
      </c>
      <c r="DF28" s="675">
        <v>277234</v>
      </c>
      <c r="DG28" s="675">
        <v>211.5</v>
      </c>
      <c r="DH28" s="675">
        <v>0</v>
      </c>
      <c r="DI28" s="675">
        <v>0</v>
      </c>
      <c r="DJ28" s="675">
        <v>0</v>
      </c>
      <c r="DK28" s="675">
        <v>5392</v>
      </c>
      <c r="DL28" s="675">
        <v>0</v>
      </c>
      <c r="DM28" s="675">
        <v>273081</v>
      </c>
      <c r="DN28" s="675">
        <v>0</v>
      </c>
      <c r="DO28" s="675">
        <v>0</v>
      </c>
      <c r="DP28" s="675">
        <v>0</v>
      </c>
      <c r="DQ28" s="675">
        <v>0</v>
      </c>
      <c r="DR28" s="675">
        <v>0</v>
      </c>
      <c r="DS28" s="675">
        <v>0</v>
      </c>
      <c r="DT28" s="675">
        <v>0</v>
      </c>
      <c r="DU28" s="675">
        <v>0</v>
      </c>
      <c r="DV28" s="675">
        <v>0</v>
      </c>
      <c r="DW28" s="675">
        <v>0</v>
      </c>
      <c r="DX28" s="675">
        <v>0</v>
      </c>
      <c r="DY28" s="675">
        <v>0</v>
      </c>
      <c r="DZ28" s="675">
        <v>0</v>
      </c>
      <c r="EA28" s="675">
        <v>0</v>
      </c>
      <c r="EB28" s="675">
        <v>0</v>
      </c>
      <c r="EC28" s="675">
        <v>27.592000000000002</v>
      </c>
      <c r="ED28" s="675">
        <v>198922</v>
      </c>
      <c r="EE28" s="675">
        <v>0</v>
      </c>
      <c r="EF28" s="675">
        <v>0</v>
      </c>
      <c r="EG28" s="675">
        <v>0</v>
      </c>
      <c r="EH28" s="675">
        <v>74159</v>
      </c>
      <c r="EI28" s="675">
        <v>0</v>
      </c>
      <c r="EJ28" s="675">
        <v>0</v>
      </c>
      <c r="EK28" s="675">
        <v>0.88900000000000001</v>
      </c>
      <c r="EL28" s="675">
        <v>0</v>
      </c>
      <c r="EM28" s="675">
        <v>2.5710000000000002</v>
      </c>
      <c r="EN28" s="675">
        <v>0.187</v>
      </c>
      <c r="EO28" s="675">
        <v>0</v>
      </c>
      <c r="EP28" s="675">
        <v>0</v>
      </c>
      <c r="EQ28" s="675">
        <v>3.6470000000000002</v>
      </c>
      <c r="ER28" s="675">
        <v>0</v>
      </c>
      <c r="ES28" s="675">
        <v>11.315000000000001</v>
      </c>
      <c r="ET28" s="675">
        <v>0</v>
      </c>
      <c r="EU28" s="675">
        <v>74763</v>
      </c>
      <c r="EV28" s="675">
        <v>0</v>
      </c>
      <c r="EW28" s="675">
        <v>0</v>
      </c>
      <c r="EX28" s="675">
        <v>0</v>
      </c>
      <c r="EY28" s="675">
        <v>0</v>
      </c>
      <c r="EZ28" s="675">
        <v>2706749</v>
      </c>
      <c r="FA28" s="675">
        <v>0</v>
      </c>
      <c r="FB28" s="675">
        <v>2781512</v>
      </c>
      <c r="FC28" s="675">
        <v>0.97327799999999998</v>
      </c>
      <c r="FD28" s="675">
        <v>0</v>
      </c>
      <c r="FE28" s="675">
        <v>406915</v>
      </c>
      <c r="FF28" s="675">
        <v>91698</v>
      </c>
      <c r="FG28" s="675">
        <v>6.1239999999999996E-2</v>
      </c>
      <c r="FH28" s="675">
        <v>5.4803999999999999E-2</v>
      </c>
      <c r="FI28" s="675">
        <v>0</v>
      </c>
      <c r="FJ28" s="675">
        <v>0</v>
      </c>
      <c r="FK28" s="675">
        <v>523.68900000000008</v>
      </c>
      <c r="FL28" s="675">
        <v>3345852</v>
      </c>
      <c r="FM28" s="675">
        <v>0</v>
      </c>
      <c r="FN28" s="675">
        <v>0</v>
      </c>
      <c r="FO28" s="675">
        <v>16753</v>
      </c>
      <c r="FP28" s="675">
        <v>0</v>
      </c>
      <c r="FQ28" s="675">
        <v>16753</v>
      </c>
      <c r="FR28" s="675">
        <v>16753</v>
      </c>
      <c r="FS28" s="675">
        <v>0</v>
      </c>
      <c r="FT28" s="675">
        <v>0</v>
      </c>
      <c r="FU28" s="675">
        <v>0</v>
      </c>
      <c r="FV28" s="675">
        <v>0</v>
      </c>
      <c r="FW28" s="675">
        <v>0</v>
      </c>
      <c r="FX28" s="675">
        <v>0</v>
      </c>
      <c r="FY28" s="675">
        <v>0</v>
      </c>
      <c r="FZ28" s="675">
        <v>0</v>
      </c>
      <c r="GA28" s="675">
        <v>0</v>
      </c>
      <c r="GB28" s="675">
        <v>98132</v>
      </c>
      <c r="GC28" s="675">
        <v>98132</v>
      </c>
      <c r="GD28" s="675">
        <v>11.091000000000001</v>
      </c>
      <c r="GE28" s="675">
        <v>0</v>
      </c>
      <c r="GF28" s="675">
        <v>0</v>
      </c>
      <c r="GG28" s="675">
        <v>0</v>
      </c>
      <c r="GH28" s="675">
        <v>0</v>
      </c>
      <c r="GI28" s="675">
        <v>0</v>
      </c>
      <c r="GJ28" s="675">
        <v>0</v>
      </c>
      <c r="GK28" s="675">
        <v>0</v>
      </c>
      <c r="GL28" s="675">
        <v>0</v>
      </c>
      <c r="GM28" s="675">
        <v>0</v>
      </c>
      <c r="GN28" s="675">
        <v>0</v>
      </c>
      <c r="GO28" s="675">
        <v>0</v>
      </c>
      <c r="GP28" s="675">
        <v>3280125</v>
      </c>
      <c r="GQ28" s="675">
        <v>3280125</v>
      </c>
      <c r="GR28" s="675">
        <v>0</v>
      </c>
      <c r="GS28" s="675">
        <v>0</v>
      </c>
      <c r="GT28" s="675">
        <v>0</v>
      </c>
      <c r="GU28" s="675">
        <v>0</v>
      </c>
      <c r="GV28" s="675">
        <v>0</v>
      </c>
      <c r="GW28" s="675">
        <v>0</v>
      </c>
      <c r="GX28" s="675">
        <v>0</v>
      </c>
      <c r="GY28" s="675">
        <v>0</v>
      </c>
      <c r="GZ28" s="675">
        <v>0</v>
      </c>
      <c r="HA28" s="675">
        <v>0</v>
      </c>
      <c r="HB28" s="675">
        <v>260786259</v>
      </c>
      <c r="HC28" s="675">
        <v>5.0923999999999997E-2</v>
      </c>
      <c r="HD28" s="675">
        <v>65727</v>
      </c>
      <c r="HE28" s="675">
        <v>0</v>
      </c>
      <c r="HF28" s="675">
        <v>0</v>
      </c>
      <c r="HG28" s="675">
        <v>0</v>
      </c>
      <c r="HH28" s="675">
        <v>0</v>
      </c>
      <c r="HI28" s="675">
        <v>0</v>
      </c>
      <c r="HJ28" s="675">
        <v>0</v>
      </c>
      <c r="HK28" s="675">
        <v>0</v>
      </c>
      <c r="HL28" s="675">
        <v>0</v>
      </c>
      <c r="HM28" s="675">
        <v>0</v>
      </c>
      <c r="HN28" s="675">
        <v>0</v>
      </c>
      <c r="HO28" s="675">
        <v>0</v>
      </c>
      <c r="HP28" s="675">
        <v>0</v>
      </c>
      <c r="HQ28" s="675">
        <v>0</v>
      </c>
      <c r="HR28" s="675">
        <v>0</v>
      </c>
      <c r="HS28" s="675">
        <v>0</v>
      </c>
      <c r="HT28" s="675">
        <v>0</v>
      </c>
      <c r="HU28" s="675">
        <v>0</v>
      </c>
      <c r="HV28" s="675">
        <v>0</v>
      </c>
      <c r="HW28" s="675">
        <v>0</v>
      </c>
      <c r="HX28" s="675">
        <v>0</v>
      </c>
      <c r="HY28" s="675">
        <v>0</v>
      </c>
      <c r="HZ28" s="675">
        <v>0</v>
      </c>
      <c r="IA28" s="675">
        <v>0</v>
      </c>
      <c r="IB28" s="675">
        <v>0</v>
      </c>
      <c r="IC28" s="675">
        <v>0</v>
      </c>
      <c r="ID28" s="675">
        <v>0</v>
      </c>
      <c r="IE28" s="675">
        <v>0</v>
      </c>
      <c r="IF28" s="675">
        <v>0</v>
      </c>
      <c r="IG28" s="675">
        <v>0</v>
      </c>
      <c r="IH28" s="675">
        <v>0</v>
      </c>
      <c r="II28" s="675">
        <v>0</v>
      </c>
      <c r="IJ28" s="675">
        <v>0</v>
      </c>
      <c r="IK28" s="675">
        <v>0</v>
      </c>
      <c r="IL28" s="675">
        <v>0</v>
      </c>
      <c r="IM28" s="675">
        <v>0</v>
      </c>
      <c r="IN28" s="675">
        <v>0</v>
      </c>
      <c r="IO28" s="675">
        <v>0</v>
      </c>
      <c r="IP28" s="675">
        <v>0</v>
      </c>
      <c r="IQ28" s="675">
        <v>0</v>
      </c>
      <c r="IR28" s="675">
        <v>0</v>
      </c>
      <c r="IS28" s="675">
        <v>0</v>
      </c>
      <c r="IT28" s="675">
        <v>0</v>
      </c>
      <c r="IU28" s="675">
        <v>0</v>
      </c>
      <c r="IV28" s="675">
        <v>0</v>
      </c>
      <c r="IW28" s="675">
        <v>0</v>
      </c>
      <c r="IX28" s="675">
        <v>0</v>
      </c>
      <c r="IY28" s="675">
        <v>0</v>
      </c>
      <c r="IZ28" s="675">
        <v>0</v>
      </c>
      <c r="JA28" s="675">
        <v>0</v>
      </c>
      <c r="JB28" s="675">
        <v>0</v>
      </c>
      <c r="JC28" s="675">
        <v>0</v>
      </c>
      <c r="JD28" s="675">
        <v>0</v>
      </c>
      <c r="JE28" s="675">
        <v>0</v>
      </c>
      <c r="JF28" s="675">
        <v>0</v>
      </c>
      <c r="JG28" s="675">
        <v>0</v>
      </c>
      <c r="JH28" s="675">
        <v>0</v>
      </c>
      <c r="JI28" s="675">
        <v>0</v>
      </c>
      <c r="JJ28" s="675">
        <v>0</v>
      </c>
      <c r="JK28" s="675">
        <v>0</v>
      </c>
      <c r="JL28" s="675">
        <v>0</v>
      </c>
      <c r="JM28" s="675">
        <v>0</v>
      </c>
      <c r="JN28" s="675">
        <v>32469</v>
      </c>
      <c r="JO28" s="675">
        <v>0</v>
      </c>
      <c r="JP28" s="675">
        <v>0</v>
      </c>
      <c r="JQ28" s="675">
        <v>0</v>
      </c>
      <c r="JR28" s="675">
        <v>0</v>
      </c>
      <c r="JS28" s="675">
        <v>0</v>
      </c>
      <c r="JT28" s="675">
        <v>0</v>
      </c>
      <c r="JU28" s="675">
        <v>0</v>
      </c>
      <c r="JV28" s="675">
        <v>0</v>
      </c>
      <c r="JW28" s="675">
        <v>0</v>
      </c>
      <c r="JX28" s="675">
        <v>0</v>
      </c>
      <c r="JY28" s="675">
        <v>0</v>
      </c>
      <c r="JZ28" s="675">
        <v>0</v>
      </c>
      <c r="KA28" s="675">
        <v>0</v>
      </c>
      <c r="KB28" s="675">
        <v>0</v>
      </c>
      <c r="KC28" s="675">
        <v>0</v>
      </c>
      <c r="KD28" s="675">
        <v>0</v>
      </c>
      <c r="KE28" s="675">
        <v>0</v>
      </c>
      <c r="KF28" s="675">
        <v>0</v>
      </c>
    </row>
    <row r="29" spans="1:292" x14ac:dyDescent="0.25">
      <c r="A29" s="675">
        <v>15839</v>
      </c>
      <c r="B29" s="675">
        <v>32570</v>
      </c>
      <c r="C29" s="675">
        <v>35</v>
      </c>
      <c r="D29" s="675">
        <v>2022</v>
      </c>
      <c r="E29" s="675">
        <v>5392</v>
      </c>
      <c r="F29" s="675">
        <v>0</v>
      </c>
      <c r="G29" s="675">
        <v>0</v>
      </c>
      <c r="H29" s="675">
        <v>0</v>
      </c>
      <c r="I29" s="675">
        <v>0</v>
      </c>
      <c r="J29" s="675">
        <v>0</v>
      </c>
      <c r="K29" s="675">
        <v>0</v>
      </c>
      <c r="L29" s="675">
        <v>6554</v>
      </c>
      <c r="M29" s="675">
        <v>0</v>
      </c>
      <c r="N29" s="675">
        <v>0</v>
      </c>
      <c r="O29" s="675">
        <v>0</v>
      </c>
      <c r="P29" s="675">
        <v>0</v>
      </c>
      <c r="Q29" s="675">
        <v>0</v>
      </c>
      <c r="R29" s="675">
        <v>0</v>
      </c>
      <c r="S29" s="675">
        <v>319.71300000000002</v>
      </c>
      <c r="T29" s="675">
        <v>0</v>
      </c>
      <c r="U29" s="675">
        <v>0</v>
      </c>
      <c r="V29" s="675">
        <v>0</v>
      </c>
      <c r="W29" s="675">
        <v>0</v>
      </c>
      <c r="X29" s="675">
        <v>0</v>
      </c>
      <c r="Y29" s="675">
        <v>0</v>
      </c>
      <c r="Z29" s="675">
        <v>0</v>
      </c>
      <c r="AA29" s="675">
        <v>1</v>
      </c>
      <c r="AB29" s="675">
        <v>1</v>
      </c>
      <c r="AC29" s="675">
        <v>0</v>
      </c>
      <c r="AD29" s="675" t="s">
        <v>316</v>
      </c>
      <c r="AE29" s="675">
        <v>0</v>
      </c>
      <c r="AF29" s="675">
        <v>0</v>
      </c>
      <c r="AG29" s="675">
        <v>0</v>
      </c>
      <c r="AH29" s="675">
        <v>0</v>
      </c>
      <c r="AI29" s="675">
        <v>0</v>
      </c>
      <c r="AJ29" s="675">
        <v>5104</v>
      </c>
      <c r="AK29" s="675" t="s">
        <v>671</v>
      </c>
      <c r="AL29" s="675" t="s">
        <v>462</v>
      </c>
      <c r="AM29" s="675">
        <v>0</v>
      </c>
      <c r="AN29" s="675">
        <v>0</v>
      </c>
      <c r="AO29" s="675">
        <v>0</v>
      </c>
      <c r="AP29" s="675">
        <v>0</v>
      </c>
      <c r="AQ29" s="675">
        <v>0</v>
      </c>
      <c r="AR29" s="675">
        <v>0</v>
      </c>
      <c r="AS29" s="675">
        <v>0</v>
      </c>
      <c r="AT29" s="675">
        <v>0</v>
      </c>
      <c r="AU29" s="675">
        <v>0</v>
      </c>
      <c r="AV29" s="675">
        <v>0</v>
      </c>
      <c r="AW29" s="675">
        <v>0</v>
      </c>
      <c r="AX29" s="675">
        <v>0</v>
      </c>
      <c r="AY29" s="675">
        <v>0</v>
      </c>
      <c r="AZ29" s="675">
        <v>0</v>
      </c>
      <c r="BA29" s="675">
        <v>0</v>
      </c>
      <c r="BB29" s="675">
        <v>0</v>
      </c>
      <c r="BC29" s="675">
        <v>0</v>
      </c>
      <c r="BD29" s="675">
        <v>0</v>
      </c>
      <c r="BE29" s="675">
        <v>0</v>
      </c>
      <c r="BF29" s="675">
        <v>0</v>
      </c>
      <c r="BG29" s="675">
        <v>0</v>
      </c>
      <c r="BH29" s="675">
        <v>0</v>
      </c>
      <c r="BI29" s="675">
        <v>0</v>
      </c>
      <c r="BJ29" s="675">
        <v>12</v>
      </c>
      <c r="BK29" s="675">
        <v>0</v>
      </c>
      <c r="BL29" s="675">
        <v>0</v>
      </c>
      <c r="BM29" s="675">
        <v>0</v>
      </c>
      <c r="BN29" s="675">
        <v>0</v>
      </c>
      <c r="BO29" s="675">
        <v>0</v>
      </c>
      <c r="BP29" s="675">
        <v>0</v>
      </c>
      <c r="BQ29" s="675">
        <v>5392</v>
      </c>
      <c r="BR29" s="675">
        <v>1</v>
      </c>
      <c r="BS29" s="675">
        <v>0</v>
      </c>
      <c r="BT29" s="675">
        <v>0</v>
      </c>
      <c r="BU29" s="675">
        <v>0</v>
      </c>
      <c r="BV29" s="675">
        <v>0</v>
      </c>
      <c r="BW29" s="675">
        <v>0</v>
      </c>
      <c r="BX29" s="675">
        <v>0</v>
      </c>
      <c r="BY29" s="675">
        <v>0</v>
      </c>
      <c r="BZ29" s="675">
        <v>0</v>
      </c>
      <c r="CA29" s="675">
        <v>0</v>
      </c>
      <c r="CB29" s="675">
        <v>0</v>
      </c>
      <c r="CC29" s="675">
        <v>0</v>
      </c>
      <c r="CD29" s="675">
        <v>0</v>
      </c>
      <c r="CE29" s="675">
        <v>0</v>
      </c>
      <c r="CF29" s="675">
        <v>0</v>
      </c>
      <c r="CG29" s="675">
        <v>0</v>
      </c>
      <c r="CH29" s="675">
        <v>0</v>
      </c>
      <c r="CI29" s="675">
        <v>0</v>
      </c>
      <c r="CJ29" s="675">
        <v>4</v>
      </c>
      <c r="CK29" s="675">
        <v>0</v>
      </c>
      <c r="CL29" s="675">
        <v>0</v>
      </c>
      <c r="CM29" s="675">
        <v>0</v>
      </c>
      <c r="CN29" s="675">
        <v>0</v>
      </c>
      <c r="CO29" s="675">
        <v>1</v>
      </c>
      <c r="CP29" s="675">
        <v>0</v>
      </c>
      <c r="CQ29" s="675">
        <v>0</v>
      </c>
      <c r="CR29" s="675">
        <v>0</v>
      </c>
      <c r="CS29" s="675">
        <v>0</v>
      </c>
      <c r="CT29" s="675">
        <v>0</v>
      </c>
      <c r="CU29" s="675">
        <v>0</v>
      </c>
      <c r="CV29" s="675">
        <v>0</v>
      </c>
      <c r="CW29" s="675">
        <v>0</v>
      </c>
      <c r="CX29" s="675">
        <v>0</v>
      </c>
      <c r="CY29" s="675">
        <v>0</v>
      </c>
      <c r="CZ29" s="675">
        <v>0</v>
      </c>
      <c r="DA29" s="675">
        <v>1</v>
      </c>
      <c r="DB29" s="675">
        <v>0</v>
      </c>
      <c r="DC29" s="675">
        <v>0</v>
      </c>
      <c r="DD29" s="675">
        <v>0</v>
      </c>
      <c r="DE29" s="675">
        <v>0</v>
      </c>
      <c r="DF29" s="675">
        <v>0</v>
      </c>
      <c r="DG29" s="675">
        <v>0</v>
      </c>
      <c r="DH29" s="675">
        <v>0</v>
      </c>
      <c r="DI29" s="675">
        <v>0</v>
      </c>
      <c r="DJ29" s="675">
        <v>0</v>
      </c>
      <c r="DK29" s="675">
        <v>5392</v>
      </c>
      <c r="DL29" s="675">
        <v>0</v>
      </c>
      <c r="DM29" s="675">
        <v>0</v>
      </c>
      <c r="DN29" s="675">
        <v>0</v>
      </c>
      <c r="DO29" s="675">
        <v>0</v>
      </c>
      <c r="DP29" s="675">
        <v>0</v>
      </c>
      <c r="DQ29" s="675">
        <v>0</v>
      </c>
      <c r="DR29" s="675">
        <v>0</v>
      </c>
      <c r="DS29" s="675">
        <v>0</v>
      </c>
      <c r="DT29" s="675">
        <v>0</v>
      </c>
      <c r="DU29" s="675">
        <v>0</v>
      </c>
      <c r="DV29" s="675">
        <v>0</v>
      </c>
      <c r="DW29" s="675">
        <v>0</v>
      </c>
      <c r="DX29" s="675">
        <v>0</v>
      </c>
      <c r="DY29" s="675">
        <v>0</v>
      </c>
      <c r="DZ29" s="675">
        <v>0</v>
      </c>
      <c r="EA29" s="675">
        <v>0</v>
      </c>
      <c r="EB29" s="675">
        <v>0</v>
      </c>
      <c r="EC29" s="675">
        <v>0</v>
      </c>
      <c r="ED29" s="675">
        <v>0</v>
      </c>
      <c r="EE29" s="675">
        <v>0</v>
      </c>
      <c r="EF29" s="675">
        <v>0</v>
      </c>
      <c r="EG29" s="675">
        <v>0</v>
      </c>
      <c r="EH29" s="675">
        <v>0</v>
      </c>
      <c r="EI29" s="675">
        <v>0</v>
      </c>
      <c r="EJ29" s="675">
        <v>0</v>
      </c>
      <c r="EK29" s="675">
        <v>0</v>
      </c>
      <c r="EL29" s="675">
        <v>0</v>
      </c>
      <c r="EM29" s="675">
        <v>0</v>
      </c>
      <c r="EN29" s="675">
        <v>0</v>
      </c>
      <c r="EO29" s="675">
        <v>0</v>
      </c>
      <c r="EP29" s="675">
        <v>0</v>
      </c>
      <c r="EQ29" s="675">
        <v>0</v>
      </c>
      <c r="ER29" s="675">
        <v>0</v>
      </c>
      <c r="ES29" s="675">
        <v>0</v>
      </c>
      <c r="ET29" s="675">
        <v>0</v>
      </c>
      <c r="EU29" s="675">
        <v>0</v>
      </c>
      <c r="EV29" s="675">
        <v>0</v>
      </c>
      <c r="EW29" s="675">
        <v>0</v>
      </c>
      <c r="EX29" s="675">
        <v>0</v>
      </c>
      <c r="EY29" s="675">
        <v>0</v>
      </c>
      <c r="EZ29" s="675">
        <v>0</v>
      </c>
      <c r="FA29" s="675">
        <v>0</v>
      </c>
      <c r="FB29" s="675">
        <v>0</v>
      </c>
      <c r="FC29" s="675">
        <v>0.97327799999999998</v>
      </c>
      <c r="FD29" s="675">
        <v>0</v>
      </c>
      <c r="FE29" s="675">
        <v>0</v>
      </c>
      <c r="FF29" s="675">
        <v>0</v>
      </c>
      <c r="FG29" s="675">
        <v>6.0988999999999995E-2</v>
      </c>
      <c r="FH29" s="675">
        <v>5.4558999999999996E-2</v>
      </c>
      <c r="FI29" s="675">
        <v>0</v>
      </c>
      <c r="FJ29" s="675">
        <v>0</v>
      </c>
      <c r="FK29" s="675">
        <v>0</v>
      </c>
      <c r="FL29" s="675">
        <v>0</v>
      </c>
      <c r="FM29" s="675">
        <v>0</v>
      </c>
      <c r="FN29" s="675">
        <v>0</v>
      </c>
      <c r="FO29" s="675">
        <v>0</v>
      </c>
      <c r="FP29" s="675">
        <v>0</v>
      </c>
      <c r="FQ29" s="675">
        <v>0</v>
      </c>
      <c r="FR29" s="675">
        <v>0</v>
      </c>
      <c r="FS29" s="675">
        <v>0</v>
      </c>
      <c r="FT29" s="675">
        <v>0</v>
      </c>
      <c r="FU29" s="675">
        <v>0</v>
      </c>
      <c r="FV29" s="675">
        <v>0</v>
      </c>
      <c r="FW29" s="675">
        <v>0</v>
      </c>
      <c r="FX29" s="675">
        <v>0</v>
      </c>
      <c r="FY29" s="675">
        <v>0</v>
      </c>
      <c r="FZ29" s="675">
        <v>0</v>
      </c>
      <c r="GA29" s="675">
        <v>0</v>
      </c>
      <c r="GB29" s="675">
        <v>0</v>
      </c>
      <c r="GC29" s="675">
        <v>0</v>
      </c>
      <c r="GD29" s="675">
        <v>0</v>
      </c>
      <c r="GE29" s="675">
        <v>0</v>
      </c>
      <c r="GF29" s="675">
        <v>0</v>
      </c>
      <c r="GG29" s="675">
        <v>0</v>
      </c>
      <c r="GH29" s="675">
        <v>0</v>
      </c>
      <c r="GI29" s="675">
        <v>0</v>
      </c>
      <c r="GJ29" s="675">
        <v>0</v>
      </c>
      <c r="GK29" s="675">
        <v>0</v>
      </c>
      <c r="GL29" s="675">
        <v>0</v>
      </c>
      <c r="GM29" s="675">
        <v>0</v>
      </c>
      <c r="GN29" s="675">
        <v>0</v>
      </c>
      <c r="GO29" s="675">
        <v>0</v>
      </c>
      <c r="GP29" s="675">
        <v>0</v>
      </c>
      <c r="GQ29" s="675">
        <v>0</v>
      </c>
      <c r="GR29" s="675">
        <v>0</v>
      </c>
      <c r="GS29" s="675">
        <v>0</v>
      </c>
      <c r="GT29" s="675">
        <v>0</v>
      </c>
      <c r="GU29" s="675">
        <v>0</v>
      </c>
      <c r="GV29" s="675">
        <v>0</v>
      </c>
      <c r="GW29" s="675">
        <v>0</v>
      </c>
      <c r="GX29" s="675">
        <v>0</v>
      </c>
      <c r="GY29" s="675">
        <v>0</v>
      </c>
      <c r="GZ29" s="675">
        <v>0</v>
      </c>
      <c r="HA29" s="675">
        <v>0</v>
      </c>
      <c r="HB29" s="675">
        <v>0</v>
      </c>
      <c r="HC29" s="675">
        <v>0</v>
      </c>
      <c r="HD29" s="675">
        <v>0</v>
      </c>
      <c r="HE29" s="675">
        <v>0</v>
      </c>
      <c r="HF29" s="675">
        <v>0</v>
      </c>
      <c r="HG29" s="675">
        <v>0</v>
      </c>
      <c r="HH29" s="675">
        <v>0</v>
      </c>
      <c r="HI29" s="675">
        <v>0</v>
      </c>
      <c r="HJ29" s="675">
        <v>0</v>
      </c>
      <c r="HK29" s="675">
        <v>0</v>
      </c>
      <c r="HL29" s="675">
        <v>0</v>
      </c>
      <c r="HM29" s="675">
        <v>0</v>
      </c>
      <c r="HN29" s="675">
        <v>0</v>
      </c>
      <c r="HO29" s="675">
        <v>0</v>
      </c>
      <c r="HP29" s="675">
        <v>0</v>
      </c>
      <c r="HQ29" s="675">
        <v>0</v>
      </c>
      <c r="HR29" s="675">
        <v>0</v>
      </c>
      <c r="HS29" s="675">
        <v>0</v>
      </c>
      <c r="HT29" s="675">
        <v>0</v>
      </c>
      <c r="HU29" s="675">
        <v>0</v>
      </c>
      <c r="HV29" s="675">
        <v>0</v>
      </c>
      <c r="HW29" s="675">
        <v>0</v>
      </c>
      <c r="HX29" s="675">
        <v>0</v>
      </c>
      <c r="HY29" s="675">
        <v>0</v>
      </c>
      <c r="HZ29" s="675">
        <v>0</v>
      </c>
      <c r="IA29" s="675">
        <v>0</v>
      </c>
      <c r="IB29" s="675">
        <v>0</v>
      </c>
      <c r="IC29" s="675">
        <v>0</v>
      </c>
      <c r="ID29" s="675">
        <v>0</v>
      </c>
      <c r="IE29" s="675">
        <v>0</v>
      </c>
      <c r="IF29" s="675">
        <v>0</v>
      </c>
      <c r="IG29" s="675">
        <v>0</v>
      </c>
      <c r="IH29" s="675">
        <v>0</v>
      </c>
      <c r="II29" s="675">
        <v>0</v>
      </c>
      <c r="IJ29" s="675">
        <v>0</v>
      </c>
      <c r="IK29" s="675">
        <v>0</v>
      </c>
      <c r="IL29" s="675">
        <v>0</v>
      </c>
      <c r="IM29" s="675">
        <v>0</v>
      </c>
      <c r="IN29" s="675">
        <v>0</v>
      </c>
      <c r="IO29" s="675">
        <v>0</v>
      </c>
      <c r="IP29" s="675">
        <v>0</v>
      </c>
      <c r="IQ29" s="675">
        <v>0</v>
      </c>
      <c r="IR29" s="675">
        <v>0</v>
      </c>
      <c r="IS29" s="675">
        <v>0</v>
      </c>
      <c r="IT29" s="675">
        <v>0</v>
      </c>
      <c r="IU29" s="675">
        <v>0</v>
      </c>
      <c r="IV29" s="675">
        <v>0</v>
      </c>
      <c r="IW29" s="675">
        <v>0</v>
      </c>
      <c r="IX29" s="675">
        <v>0</v>
      </c>
      <c r="IY29" s="675">
        <v>0</v>
      </c>
      <c r="IZ29" s="675">
        <v>0</v>
      </c>
      <c r="JA29" s="675">
        <v>0</v>
      </c>
      <c r="JB29" s="675">
        <v>0</v>
      </c>
      <c r="JC29" s="675">
        <v>0</v>
      </c>
      <c r="JD29" s="675">
        <v>0</v>
      </c>
      <c r="JE29" s="675">
        <v>0</v>
      </c>
      <c r="JF29" s="675">
        <v>0</v>
      </c>
      <c r="JG29" s="675">
        <v>0</v>
      </c>
      <c r="JH29" s="675">
        <v>0</v>
      </c>
      <c r="JI29" s="675">
        <v>0</v>
      </c>
      <c r="JJ29" s="675">
        <v>0</v>
      </c>
      <c r="JK29" s="675">
        <v>0</v>
      </c>
      <c r="JL29" s="675">
        <v>0</v>
      </c>
      <c r="JM29" s="675">
        <v>0</v>
      </c>
      <c r="JN29" s="675">
        <v>29136</v>
      </c>
      <c r="JO29" s="675">
        <v>0</v>
      </c>
      <c r="JP29" s="675">
        <v>0</v>
      </c>
      <c r="JQ29" s="675">
        <v>0</v>
      </c>
      <c r="JR29" s="675">
        <v>0</v>
      </c>
      <c r="JS29" s="675">
        <v>0</v>
      </c>
      <c r="JT29" s="675">
        <v>0</v>
      </c>
      <c r="JU29" s="675">
        <v>0</v>
      </c>
      <c r="JV29" s="675">
        <v>0</v>
      </c>
      <c r="JW29" s="675">
        <v>0</v>
      </c>
      <c r="JX29" s="675">
        <v>0</v>
      </c>
      <c r="JY29" s="675">
        <v>0</v>
      </c>
      <c r="JZ29" s="675">
        <v>0</v>
      </c>
      <c r="KA29" s="675">
        <v>0</v>
      </c>
      <c r="KB29" s="675">
        <v>0</v>
      </c>
      <c r="KC29" s="675">
        <v>0</v>
      </c>
      <c r="KD29" s="675">
        <v>0</v>
      </c>
      <c r="KE29" s="675">
        <v>0</v>
      </c>
      <c r="KF29" s="675">
        <v>0</v>
      </c>
    </row>
    <row r="30" spans="1:292" ht="13" x14ac:dyDescent="0.3">
      <c r="A30" s="675">
        <v>15840</v>
      </c>
      <c r="B30" s="675">
        <v>32570</v>
      </c>
      <c r="C30" s="675">
        <v>35</v>
      </c>
      <c r="D30" s="675">
        <v>2022</v>
      </c>
      <c r="E30" s="675">
        <v>5392</v>
      </c>
      <c r="F30" s="675">
        <v>0</v>
      </c>
      <c r="G30" s="675">
        <v>0</v>
      </c>
      <c r="H30" s="675">
        <v>0</v>
      </c>
      <c r="I30" s="675">
        <v>0</v>
      </c>
      <c r="J30" s="675">
        <v>0</v>
      </c>
      <c r="K30" s="675">
        <v>0</v>
      </c>
      <c r="L30" s="675">
        <v>6554</v>
      </c>
      <c r="M30" s="675">
        <v>0</v>
      </c>
      <c r="N30" s="675">
        <v>0</v>
      </c>
      <c r="O30" s="675">
        <v>0</v>
      </c>
      <c r="P30" s="675">
        <v>0</v>
      </c>
      <c r="Q30" s="675">
        <v>0</v>
      </c>
      <c r="R30" s="676">
        <v>0</v>
      </c>
      <c r="S30" s="675">
        <v>319.71300000000002</v>
      </c>
      <c r="T30" s="675">
        <v>0</v>
      </c>
      <c r="U30" s="676">
        <v>0</v>
      </c>
      <c r="V30" s="676">
        <v>0</v>
      </c>
      <c r="W30" s="676">
        <v>0</v>
      </c>
      <c r="X30" s="676">
        <v>0</v>
      </c>
      <c r="Y30" s="675">
        <v>0</v>
      </c>
      <c r="Z30" s="675">
        <v>0</v>
      </c>
      <c r="AA30" s="675">
        <v>1</v>
      </c>
      <c r="AB30" s="675">
        <v>1</v>
      </c>
      <c r="AC30" s="675">
        <v>0</v>
      </c>
      <c r="AD30" s="675" t="s">
        <v>316</v>
      </c>
      <c r="AE30" s="675">
        <v>0</v>
      </c>
      <c r="AF30" s="675">
        <v>0</v>
      </c>
      <c r="AG30" s="675">
        <v>0</v>
      </c>
      <c r="AH30" s="675">
        <v>0</v>
      </c>
      <c r="AI30" s="675">
        <v>0</v>
      </c>
      <c r="AJ30" s="675">
        <v>5104</v>
      </c>
      <c r="AK30" s="675" t="s">
        <v>809</v>
      </c>
      <c r="AM30" s="675">
        <v>0</v>
      </c>
      <c r="AN30" s="675">
        <v>0</v>
      </c>
      <c r="AO30" s="675">
        <v>0</v>
      </c>
      <c r="AP30" s="675">
        <v>0</v>
      </c>
      <c r="AQ30" s="675">
        <v>0</v>
      </c>
      <c r="AR30" s="675">
        <v>0</v>
      </c>
      <c r="AS30" s="675">
        <v>0</v>
      </c>
      <c r="AT30" s="675">
        <v>0</v>
      </c>
      <c r="AU30" s="675">
        <v>0</v>
      </c>
      <c r="AV30" s="675">
        <v>0</v>
      </c>
      <c r="AW30" s="675">
        <v>0</v>
      </c>
      <c r="AX30" s="675">
        <v>0</v>
      </c>
      <c r="AY30" s="675">
        <v>0</v>
      </c>
      <c r="AZ30" s="675">
        <v>0</v>
      </c>
      <c r="BA30" s="676">
        <v>0</v>
      </c>
      <c r="BB30" s="675">
        <v>0</v>
      </c>
      <c r="BC30" s="675">
        <v>0</v>
      </c>
      <c r="BD30" s="675">
        <v>0</v>
      </c>
      <c r="BE30" s="675">
        <v>0</v>
      </c>
      <c r="BF30" s="675">
        <v>0</v>
      </c>
      <c r="BG30" s="675">
        <v>0</v>
      </c>
      <c r="BH30" s="676">
        <v>0</v>
      </c>
      <c r="BI30" s="676">
        <v>0</v>
      </c>
      <c r="BJ30" s="675">
        <v>12</v>
      </c>
      <c r="BK30" s="675">
        <v>0</v>
      </c>
      <c r="BL30" s="675">
        <v>0</v>
      </c>
      <c r="BM30" s="675">
        <v>0</v>
      </c>
      <c r="BN30" s="675">
        <v>0</v>
      </c>
      <c r="BO30" s="675">
        <v>0</v>
      </c>
      <c r="BP30" s="675">
        <v>0</v>
      </c>
      <c r="BQ30" s="675">
        <v>5392</v>
      </c>
      <c r="BR30" s="675">
        <v>1</v>
      </c>
      <c r="BS30" s="675">
        <v>0</v>
      </c>
      <c r="BT30" s="675">
        <v>0</v>
      </c>
      <c r="BU30" s="675">
        <v>0</v>
      </c>
      <c r="BV30" s="675">
        <v>0</v>
      </c>
      <c r="BW30" s="675">
        <v>0</v>
      </c>
      <c r="BX30" s="675">
        <v>0</v>
      </c>
      <c r="BY30" s="675">
        <v>0</v>
      </c>
      <c r="BZ30" s="675">
        <v>0</v>
      </c>
      <c r="CA30" s="675">
        <v>0</v>
      </c>
      <c r="CB30" s="675">
        <v>0</v>
      </c>
      <c r="CC30" s="675">
        <v>0</v>
      </c>
      <c r="CD30" s="675">
        <v>0</v>
      </c>
      <c r="CE30" s="675">
        <v>0</v>
      </c>
      <c r="CF30" s="675">
        <v>0</v>
      </c>
      <c r="CG30" s="675">
        <v>0</v>
      </c>
      <c r="CH30" s="676">
        <v>0</v>
      </c>
      <c r="CI30" s="675">
        <v>0</v>
      </c>
      <c r="CJ30" s="675">
        <v>4</v>
      </c>
      <c r="CK30" s="675">
        <v>0</v>
      </c>
      <c r="CL30" s="675">
        <v>0</v>
      </c>
      <c r="CM30" s="675">
        <v>0</v>
      </c>
      <c r="CN30" s="675">
        <v>0</v>
      </c>
      <c r="CO30" s="675">
        <v>1</v>
      </c>
      <c r="CP30" s="675">
        <v>0</v>
      </c>
      <c r="CQ30" s="675">
        <v>0</v>
      </c>
      <c r="CR30" s="675">
        <v>0</v>
      </c>
      <c r="CS30" s="675">
        <v>0</v>
      </c>
      <c r="CT30" s="675">
        <v>0</v>
      </c>
      <c r="CU30" s="675">
        <v>0</v>
      </c>
      <c r="CV30" s="675">
        <v>0</v>
      </c>
      <c r="CW30" s="675">
        <v>0</v>
      </c>
      <c r="CX30" s="675">
        <v>0</v>
      </c>
      <c r="CY30" s="675">
        <v>0</v>
      </c>
      <c r="CZ30" s="675">
        <v>0</v>
      </c>
      <c r="DA30" s="675">
        <v>1</v>
      </c>
      <c r="DB30" s="675">
        <v>0</v>
      </c>
      <c r="DC30" s="675">
        <v>0</v>
      </c>
      <c r="DD30" s="675">
        <v>0</v>
      </c>
      <c r="DE30" s="675">
        <v>0</v>
      </c>
      <c r="DF30" s="675">
        <v>0</v>
      </c>
      <c r="DG30" s="675">
        <v>0</v>
      </c>
      <c r="DH30" s="675">
        <v>0</v>
      </c>
      <c r="DI30" s="675">
        <v>0</v>
      </c>
      <c r="DJ30" s="675">
        <v>0</v>
      </c>
      <c r="DK30" s="675">
        <v>5392</v>
      </c>
      <c r="DL30" s="675">
        <v>0</v>
      </c>
      <c r="DM30" s="675">
        <v>0</v>
      </c>
      <c r="DN30" s="675">
        <v>0</v>
      </c>
      <c r="DO30" s="675">
        <v>0</v>
      </c>
      <c r="DP30" s="675">
        <v>0</v>
      </c>
      <c r="DQ30" s="675">
        <v>0</v>
      </c>
      <c r="DR30" s="675">
        <v>0</v>
      </c>
      <c r="DS30" s="675">
        <v>0</v>
      </c>
      <c r="DT30" s="675">
        <v>0</v>
      </c>
      <c r="DU30" s="675">
        <v>0</v>
      </c>
      <c r="DV30" s="675">
        <v>0</v>
      </c>
      <c r="DW30" s="675">
        <v>0</v>
      </c>
      <c r="DX30" s="675">
        <v>0</v>
      </c>
      <c r="DY30" s="675">
        <v>0</v>
      </c>
      <c r="DZ30" s="675">
        <v>0</v>
      </c>
      <c r="EA30" s="675">
        <v>0</v>
      </c>
      <c r="EB30" s="675">
        <v>0</v>
      </c>
      <c r="EC30" s="675">
        <v>0</v>
      </c>
      <c r="ED30" s="675">
        <v>0</v>
      </c>
      <c r="EE30" s="675">
        <v>0</v>
      </c>
      <c r="EF30" s="675">
        <v>0</v>
      </c>
      <c r="EG30" s="675">
        <v>0</v>
      </c>
      <c r="EH30" s="675">
        <v>0</v>
      </c>
      <c r="EI30" s="675">
        <v>0</v>
      </c>
      <c r="EJ30" s="675">
        <v>0</v>
      </c>
      <c r="EK30" s="675">
        <v>0</v>
      </c>
      <c r="EL30" s="675">
        <v>0</v>
      </c>
      <c r="EM30" s="675">
        <v>0</v>
      </c>
      <c r="EN30" s="675">
        <v>0</v>
      </c>
      <c r="EO30" s="675">
        <v>0</v>
      </c>
      <c r="EP30" s="675">
        <v>0</v>
      </c>
      <c r="EQ30" s="675">
        <v>0</v>
      </c>
      <c r="ER30" s="675">
        <v>0</v>
      </c>
      <c r="ES30" s="675">
        <v>0</v>
      </c>
      <c r="ET30" s="676">
        <v>0</v>
      </c>
      <c r="EU30" s="675">
        <v>0</v>
      </c>
      <c r="EV30" s="675">
        <v>0</v>
      </c>
      <c r="EW30" s="675">
        <v>0</v>
      </c>
      <c r="EX30" s="675">
        <v>0</v>
      </c>
      <c r="EY30" s="675">
        <v>0</v>
      </c>
      <c r="EZ30" s="675">
        <v>0</v>
      </c>
      <c r="FA30" s="675">
        <v>0</v>
      </c>
      <c r="FB30" s="676">
        <v>0</v>
      </c>
      <c r="FC30" s="675">
        <v>0.97327799999999998</v>
      </c>
      <c r="FD30" s="675">
        <v>0</v>
      </c>
      <c r="FE30" s="675">
        <v>0</v>
      </c>
      <c r="FF30" s="675">
        <v>0</v>
      </c>
      <c r="FG30" s="675">
        <v>6.0988999999999995E-2</v>
      </c>
      <c r="FH30" s="675">
        <v>5.4558999999999996E-2</v>
      </c>
      <c r="FI30" s="675">
        <v>0</v>
      </c>
      <c r="FJ30" s="675">
        <v>0</v>
      </c>
      <c r="FK30" s="675">
        <v>0</v>
      </c>
      <c r="FL30" s="675">
        <v>0</v>
      </c>
      <c r="FM30" s="675">
        <v>0</v>
      </c>
      <c r="FN30" s="675">
        <v>0</v>
      </c>
      <c r="FO30" s="675">
        <v>0</v>
      </c>
      <c r="FP30" s="675">
        <v>0</v>
      </c>
      <c r="FQ30" s="675">
        <v>0</v>
      </c>
      <c r="FR30" s="675">
        <v>0</v>
      </c>
      <c r="FS30" s="675">
        <v>0</v>
      </c>
      <c r="FT30" s="675">
        <v>0</v>
      </c>
      <c r="FU30" s="675">
        <v>0</v>
      </c>
      <c r="FV30" s="675">
        <v>0</v>
      </c>
      <c r="FW30" s="675">
        <v>0</v>
      </c>
      <c r="FX30" s="675">
        <v>0</v>
      </c>
      <c r="FY30" s="675">
        <v>0</v>
      </c>
      <c r="FZ30" s="675">
        <v>0</v>
      </c>
      <c r="GA30" s="675">
        <v>0</v>
      </c>
      <c r="GB30" s="676">
        <v>0</v>
      </c>
      <c r="GC30" s="676">
        <v>0</v>
      </c>
      <c r="GD30" s="676">
        <v>0</v>
      </c>
      <c r="GE30" s="675">
        <v>0</v>
      </c>
      <c r="GF30" s="675">
        <v>0</v>
      </c>
      <c r="GG30" s="675">
        <v>0</v>
      </c>
      <c r="GH30" s="675">
        <v>0</v>
      </c>
      <c r="GI30" s="675">
        <v>0</v>
      </c>
      <c r="GJ30" s="675">
        <v>0</v>
      </c>
      <c r="GK30" s="675">
        <v>0</v>
      </c>
      <c r="GL30" s="675">
        <v>0</v>
      </c>
      <c r="GM30" s="675">
        <v>0</v>
      </c>
      <c r="GN30" s="675">
        <v>0</v>
      </c>
      <c r="GO30" s="675">
        <v>0</v>
      </c>
      <c r="GP30" s="675">
        <v>0</v>
      </c>
      <c r="GQ30" s="675">
        <v>0</v>
      </c>
      <c r="GR30" s="675">
        <v>0</v>
      </c>
      <c r="GS30" s="675">
        <v>0</v>
      </c>
      <c r="GT30" s="675">
        <v>0</v>
      </c>
      <c r="GU30" s="675">
        <v>0</v>
      </c>
      <c r="GV30" s="675">
        <v>0</v>
      </c>
      <c r="GW30" s="675">
        <v>0</v>
      </c>
      <c r="GX30" s="675">
        <v>0</v>
      </c>
      <c r="GY30" s="675">
        <v>0</v>
      </c>
      <c r="GZ30" s="675">
        <v>0</v>
      </c>
      <c r="HA30" s="675">
        <v>0</v>
      </c>
      <c r="HB30" s="675">
        <v>0</v>
      </c>
      <c r="HC30" s="675">
        <v>0</v>
      </c>
      <c r="HD30" s="676">
        <v>0</v>
      </c>
      <c r="HE30" s="675">
        <v>0</v>
      </c>
      <c r="HF30" s="675">
        <v>0</v>
      </c>
      <c r="HG30" s="675">
        <v>0</v>
      </c>
      <c r="HH30" s="675">
        <v>0</v>
      </c>
      <c r="HI30" s="675">
        <v>0</v>
      </c>
      <c r="HJ30" s="675">
        <v>0</v>
      </c>
      <c r="HK30" s="675">
        <v>0</v>
      </c>
      <c r="HL30" s="675">
        <v>0</v>
      </c>
      <c r="HM30" s="675">
        <v>0</v>
      </c>
      <c r="HN30" s="675">
        <v>0</v>
      </c>
      <c r="HO30" s="675">
        <v>0</v>
      </c>
      <c r="HP30" s="675">
        <v>0</v>
      </c>
      <c r="HQ30" s="675">
        <v>0</v>
      </c>
      <c r="HR30" s="675">
        <v>0</v>
      </c>
      <c r="HS30" s="675">
        <v>0</v>
      </c>
      <c r="HT30" s="675">
        <v>0</v>
      </c>
      <c r="HU30" s="675">
        <v>0</v>
      </c>
      <c r="HV30" s="675">
        <v>0</v>
      </c>
      <c r="HW30" s="675">
        <v>0</v>
      </c>
      <c r="HX30" s="675">
        <v>0</v>
      </c>
      <c r="HY30" s="675">
        <v>0</v>
      </c>
      <c r="HZ30" s="675">
        <v>0</v>
      </c>
      <c r="IA30" s="675">
        <v>0</v>
      </c>
      <c r="IB30" s="675">
        <v>0</v>
      </c>
      <c r="IC30" s="675">
        <v>0</v>
      </c>
      <c r="ID30" s="675">
        <v>0</v>
      </c>
      <c r="IE30" s="675">
        <v>0</v>
      </c>
      <c r="IF30" s="675">
        <v>0</v>
      </c>
      <c r="IG30" s="675">
        <v>0</v>
      </c>
      <c r="IH30" s="675">
        <v>0</v>
      </c>
      <c r="II30" s="675">
        <v>0</v>
      </c>
      <c r="IJ30" s="675">
        <v>0</v>
      </c>
      <c r="IK30" s="675">
        <v>0</v>
      </c>
      <c r="IL30" s="675">
        <v>0</v>
      </c>
      <c r="IM30" s="675">
        <v>0</v>
      </c>
      <c r="IN30" s="675">
        <v>0</v>
      </c>
      <c r="IO30" s="675">
        <v>0</v>
      </c>
      <c r="IP30" s="675">
        <v>0</v>
      </c>
      <c r="IQ30" s="675">
        <v>0</v>
      </c>
      <c r="IR30" s="675">
        <v>0</v>
      </c>
      <c r="IS30" s="675">
        <v>0</v>
      </c>
      <c r="IT30" s="675">
        <v>0</v>
      </c>
      <c r="IU30" s="675">
        <v>0</v>
      </c>
      <c r="IV30" s="675">
        <v>0</v>
      </c>
      <c r="IW30" s="675">
        <v>0</v>
      </c>
      <c r="IX30" s="675">
        <v>0</v>
      </c>
      <c r="IY30" s="675">
        <v>0</v>
      </c>
      <c r="IZ30" s="675">
        <v>0</v>
      </c>
      <c r="JA30" s="675">
        <v>0</v>
      </c>
      <c r="JB30" s="675">
        <v>0</v>
      </c>
      <c r="JC30" s="675">
        <v>0</v>
      </c>
      <c r="JD30" s="675">
        <v>0</v>
      </c>
      <c r="JE30" s="675">
        <v>0</v>
      </c>
      <c r="JF30" s="675">
        <v>0</v>
      </c>
      <c r="JG30" s="675">
        <v>0</v>
      </c>
      <c r="JH30" s="675">
        <v>0</v>
      </c>
      <c r="JI30" s="675">
        <v>0</v>
      </c>
      <c r="JJ30" s="675">
        <v>0</v>
      </c>
      <c r="JK30" s="675">
        <v>0</v>
      </c>
      <c r="JL30" s="675">
        <v>0</v>
      </c>
      <c r="JM30" s="675">
        <v>0</v>
      </c>
    </row>
    <row r="31" spans="1:292" ht="13" x14ac:dyDescent="0.3">
      <c r="A31" s="675">
        <v>15841</v>
      </c>
      <c r="B31" s="675">
        <v>32570</v>
      </c>
      <c r="C31" s="675">
        <v>35</v>
      </c>
      <c r="D31" s="675">
        <v>2022</v>
      </c>
      <c r="E31" s="675">
        <v>5392</v>
      </c>
      <c r="F31" s="675">
        <v>0</v>
      </c>
      <c r="G31" s="675">
        <v>0</v>
      </c>
      <c r="H31" s="675">
        <v>0</v>
      </c>
      <c r="I31" s="675">
        <v>0</v>
      </c>
      <c r="J31" s="675">
        <v>0</v>
      </c>
      <c r="K31" s="675">
        <v>0</v>
      </c>
      <c r="L31" s="675">
        <v>6554</v>
      </c>
      <c r="M31" s="675">
        <v>0</v>
      </c>
      <c r="N31" s="675">
        <v>0</v>
      </c>
      <c r="O31" s="675">
        <v>0</v>
      </c>
      <c r="P31" s="675">
        <v>0</v>
      </c>
      <c r="Q31" s="675">
        <v>0</v>
      </c>
      <c r="R31" s="676">
        <v>0</v>
      </c>
      <c r="S31" s="675">
        <v>319.71300000000002</v>
      </c>
      <c r="T31" s="675">
        <v>0</v>
      </c>
      <c r="U31" s="676">
        <v>0</v>
      </c>
      <c r="V31" s="676">
        <v>0</v>
      </c>
      <c r="W31" s="676">
        <v>0</v>
      </c>
      <c r="X31" s="676">
        <v>0</v>
      </c>
      <c r="Y31" s="675">
        <v>0</v>
      </c>
      <c r="Z31" s="675">
        <v>0</v>
      </c>
      <c r="AA31" s="675">
        <v>1</v>
      </c>
      <c r="AB31" s="675">
        <v>1</v>
      </c>
      <c r="AC31" s="675">
        <v>0</v>
      </c>
      <c r="AD31" s="675" t="s">
        <v>316</v>
      </c>
      <c r="AE31" s="675">
        <v>0</v>
      </c>
      <c r="AF31" s="675">
        <v>0</v>
      </c>
      <c r="AG31" s="675">
        <v>0</v>
      </c>
      <c r="AH31" s="675">
        <v>0</v>
      </c>
      <c r="AI31" s="675">
        <v>0</v>
      </c>
      <c r="AJ31" s="675">
        <v>5104</v>
      </c>
      <c r="AK31" s="675" t="s">
        <v>810</v>
      </c>
      <c r="AM31" s="675">
        <v>0</v>
      </c>
      <c r="AN31" s="675">
        <v>0</v>
      </c>
      <c r="AO31" s="675">
        <v>0</v>
      </c>
      <c r="AP31" s="675">
        <v>0</v>
      </c>
      <c r="AQ31" s="675">
        <v>0</v>
      </c>
      <c r="AR31" s="675">
        <v>0</v>
      </c>
      <c r="AS31" s="675">
        <v>0</v>
      </c>
      <c r="AT31" s="675">
        <v>0</v>
      </c>
      <c r="AU31" s="675">
        <v>0</v>
      </c>
      <c r="AV31" s="675">
        <v>0</v>
      </c>
      <c r="AW31" s="675">
        <v>0</v>
      </c>
      <c r="AX31" s="675">
        <v>0</v>
      </c>
      <c r="AY31" s="675">
        <v>0</v>
      </c>
      <c r="AZ31" s="675">
        <v>0</v>
      </c>
      <c r="BA31" s="676">
        <v>0</v>
      </c>
      <c r="BB31" s="675">
        <v>0</v>
      </c>
      <c r="BC31" s="675">
        <v>0</v>
      </c>
      <c r="BD31" s="675">
        <v>0</v>
      </c>
      <c r="BE31" s="675">
        <v>0</v>
      </c>
      <c r="BF31" s="675">
        <v>0</v>
      </c>
      <c r="BG31" s="675">
        <v>0</v>
      </c>
      <c r="BH31" s="676">
        <v>0</v>
      </c>
      <c r="BI31" s="676">
        <v>0</v>
      </c>
      <c r="BJ31" s="675">
        <v>12</v>
      </c>
      <c r="BK31" s="675">
        <v>0</v>
      </c>
      <c r="BL31" s="675">
        <v>0</v>
      </c>
      <c r="BM31" s="675">
        <v>0</v>
      </c>
      <c r="BN31" s="675">
        <v>0</v>
      </c>
      <c r="BO31" s="675">
        <v>0</v>
      </c>
      <c r="BP31" s="675">
        <v>0</v>
      </c>
      <c r="BQ31" s="675">
        <v>5392</v>
      </c>
      <c r="BR31" s="675">
        <v>1</v>
      </c>
      <c r="BS31" s="675">
        <v>0</v>
      </c>
      <c r="BT31" s="675">
        <v>0</v>
      </c>
      <c r="BU31" s="675">
        <v>0</v>
      </c>
      <c r="BV31" s="675">
        <v>0</v>
      </c>
      <c r="BW31" s="675">
        <v>0</v>
      </c>
      <c r="BX31" s="675">
        <v>0</v>
      </c>
      <c r="BY31" s="675">
        <v>0</v>
      </c>
      <c r="BZ31" s="675">
        <v>0</v>
      </c>
      <c r="CA31" s="675">
        <v>0</v>
      </c>
      <c r="CB31" s="675">
        <v>0</v>
      </c>
      <c r="CC31" s="675">
        <v>0</v>
      </c>
      <c r="CD31" s="675">
        <v>0</v>
      </c>
      <c r="CE31" s="675">
        <v>0</v>
      </c>
      <c r="CF31" s="675">
        <v>0</v>
      </c>
      <c r="CG31" s="675">
        <v>0</v>
      </c>
      <c r="CH31" s="676">
        <v>0</v>
      </c>
      <c r="CI31" s="675">
        <v>0</v>
      </c>
      <c r="CJ31" s="675">
        <v>4</v>
      </c>
      <c r="CK31" s="675">
        <v>0</v>
      </c>
      <c r="CL31" s="675">
        <v>0</v>
      </c>
      <c r="CM31" s="675">
        <v>0</v>
      </c>
      <c r="CN31" s="675">
        <v>0</v>
      </c>
      <c r="CO31" s="675">
        <v>1</v>
      </c>
      <c r="CP31" s="675">
        <v>0</v>
      </c>
      <c r="CQ31" s="675">
        <v>0</v>
      </c>
      <c r="CR31" s="675">
        <v>0</v>
      </c>
      <c r="CS31" s="675">
        <v>0</v>
      </c>
      <c r="CT31" s="675">
        <v>0</v>
      </c>
      <c r="CU31" s="675">
        <v>0</v>
      </c>
      <c r="CV31" s="675">
        <v>0</v>
      </c>
      <c r="CW31" s="675">
        <v>0</v>
      </c>
      <c r="CX31" s="675">
        <v>0</v>
      </c>
      <c r="CY31" s="675">
        <v>0</v>
      </c>
      <c r="CZ31" s="675">
        <v>0</v>
      </c>
      <c r="DA31" s="675">
        <v>1</v>
      </c>
      <c r="DB31" s="675">
        <v>0</v>
      </c>
      <c r="DC31" s="675">
        <v>0</v>
      </c>
      <c r="DD31" s="675">
        <v>0</v>
      </c>
      <c r="DE31" s="675">
        <v>0</v>
      </c>
      <c r="DF31" s="675">
        <v>0</v>
      </c>
      <c r="DG31" s="675">
        <v>0</v>
      </c>
      <c r="DH31" s="675">
        <v>0</v>
      </c>
      <c r="DI31" s="675">
        <v>0</v>
      </c>
      <c r="DJ31" s="675">
        <v>0</v>
      </c>
      <c r="DK31" s="675">
        <v>5392</v>
      </c>
      <c r="DL31" s="675">
        <v>0</v>
      </c>
      <c r="DM31" s="675">
        <v>0</v>
      </c>
      <c r="DN31" s="675">
        <v>0</v>
      </c>
      <c r="DO31" s="675">
        <v>0</v>
      </c>
      <c r="DP31" s="675">
        <v>0</v>
      </c>
      <c r="DQ31" s="675">
        <v>0</v>
      </c>
      <c r="DR31" s="675">
        <v>0</v>
      </c>
      <c r="DS31" s="675">
        <v>0</v>
      </c>
      <c r="DT31" s="675">
        <v>0</v>
      </c>
      <c r="DU31" s="675">
        <v>0</v>
      </c>
      <c r="DV31" s="675">
        <v>0</v>
      </c>
      <c r="DW31" s="675">
        <v>0</v>
      </c>
      <c r="DX31" s="675">
        <v>0</v>
      </c>
      <c r="DY31" s="675">
        <v>0</v>
      </c>
      <c r="DZ31" s="675">
        <v>0</v>
      </c>
      <c r="EA31" s="675">
        <v>0</v>
      </c>
      <c r="EB31" s="675">
        <v>0</v>
      </c>
      <c r="EC31" s="675">
        <v>0</v>
      </c>
      <c r="ED31" s="675">
        <v>0</v>
      </c>
      <c r="EE31" s="675">
        <v>0</v>
      </c>
      <c r="EF31" s="675">
        <v>0</v>
      </c>
      <c r="EG31" s="675">
        <v>0</v>
      </c>
      <c r="EH31" s="675">
        <v>0</v>
      </c>
      <c r="EI31" s="675">
        <v>0</v>
      </c>
      <c r="EJ31" s="675">
        <v>0</v>
      </c>
      <c r="EK31" s="675">
        <v>0</v>
      </c>
      <c r="EL31" s="675">
        <v>0</v>
      </c>
      <c r="EM31" s="675">
        <v>0</v>
      </c>
      <c r="EN31" s="675">
        <v>0</v>
      </c>
      <c r="EO31" s="675">
        <v>0</v>
      </c>
      <c r="EP31" s="675">
        <v>0</v>
      </c>
      <c r="EQ31" s="675">
        <v>0</v>
      </c>
      <c r="ER31" s="675">
        <v>0</v>
      </c>
      <c r="ES31" s="675">
        <v>0</v>
      </c>
      <c r="ET31" s="676">
        <v>0</v>
      </c>
      <c r="EU31" s="675">
        <v>0</v>
      </c>
      <c r="EV31" s="675">
        <v>0</v>
      </c>
      <c r="EW31" s="675">
        <v>0</v>
      </c>
      <c r="EX31" s="675">
        <v>0</v>
      </c>
      <c r="EY31" s="675">
        <v>0</v>
      </c>
      <c r="EZ31" s="675">
        <v>0</v>
      </c>
      <c r="FA31" s="675">
        <v>0</v>
      </c>
      <c r="FB31" s="676">
        <v>0</v>
      </c>
      <c r="FC31" s="675">
        <v>0.97327799999999998</v>
      </c>
      <c r="FD31" s="675">
        <v>0</v>
      </c>
      <c r="FE31" s="675">
        <v>0</v>
      </c>
      <c r="FF31" s="675">
        <v>0</v>
      </c>
      <c r="FG31" s="675">
        <v>6.0988999999999995E-2</v>
      </c>
      <c r="FH31" s="675">
        <v>5.4558999999999996E-2</v>
      </c>
      <c r="FI31" s="675">
        <v>0</v>
      </c>
      <c r="FJ31" s="675">
        <v>0</v>
      </c>
      <c r="FK31" s="675">
        <v>0</v>
      </c>
      <c r="FL31" s="675">
        <v>0</v>
      </c>
      <c r="FM31" s="675">
        <v>0</v>
      </c>
      <c r="FN31" s="675">
        <v>0</v>
      </c>
      <c r="FO31" s="675">
        <v>0</v>
      </c>
      <c r="FP31" s="675">
        <v>0</v>
      </c>
      <c r="FQ31" s="675">
        <v>0</v>
      </c>
      <c r="FR31" s="675">
        <v>0</v>
      </c>
      <c r="FS31" s="675">
        <v>0</v>
      </c>
      <c r="FT31" s="675">
        <v>0</v>
      </c>
      <c r="FU31" s="675">
        <v>0</v>
      </c>
      <c r="FV31" s="675">
        <v>0</v>
      </c>
      <c r="FW31" s="675">
        <v>0</v>
      </c>
      <c r="FX31" s="675">
        <v>0</v>
      </c>
      <c r="FY31" s="675">
        <v>0</v>
      </c>
      <c r="FZ31" s="675">
        <v>0</v>
      </c>
      <c r="GA31" s="675">
        <v>0</v>
      </c>
      <c r="GB31" s="676">
        <v>0</v>
      </c>
      <c r="GC31" s="676">
        <v>0</v>
      </c>
      <c r="GD31" s="676">
        <v>0</v>
      </c>
      <c r="GE31" s="675">
        <v>0</v>
      </c>
      <c r="GF31" s="675">
        <v>0</v>
      </c>
      <c r="GG31" s="675">
        <v>0</v>
      </c>
      <c r="GH31" s="675">
        <v>0</v>
      </c>
      <c r="GI31" s="675">
        <v>0</v>
      </c>
      <c r="GJ31" s="675">
        <v>0</v>
      </c>
      <c r="GK31" s="675">
        <v>0</v>
      </c>
      <c r="GL31" s="675">
        <v>0</v>
      </c>
      <c r="GM31" s="675">
        <v>0</v>
      </c>
      <c r="GN31" s="675">
        <v>0</v>
      </c>
      <c r="GO31" s="675">
        <v>0</v>
      </c>
      <c r="GP31" s="675">
        <v>0</v>
      </c>
      <c r="GQ31" s="675">
        <v>0</v>
      </c>
      <c r="GR31" s="675">
        <v>0</v>
      </c>
      <c r="GS31" s="675">
        <v>0</v>
      </c>
      <c r="GT31" s="675">
        <v>0</v>
      </c>
      <c r="GU31" s="675">
        <v>0</v>
      </c>
      <c r="GV31" s="675">
        <v>0</v>
      </c>
      <c r="GW31" s="675">
        <v>0</v>
      </c>
      <c r="GX31" s="675">
        <v>0</v>
      </c>
      <c r="GY31" s="675">
        <v>0</v>
      </c>
      <c r="GZ31" s="675">
        <v>0</v>
      </c>
      <c r="HA31" s="675">
        <v>0</v>
      </c>
      <c r="HB31" s="675">
        <v>0</v>
      </c>
      <c r="HC31" s="675">
        <v>0</v>
      </c>
      <c r="HD31" s="676">
        <v>0</v>
      </c>
      <c r="HE31" s="675">
        <v>0</v>
      </c>
      <c r="HF31" s="675">
        <v>0</v>
      </c>
      <c r="HG31" s="675">
        <v>0</v>
      </c>
      <c r="HH31" s="675">
        <v>0</v>
      </c>
      <c r="HI31" s="675">
        <v>0</v>
      </c>
      <c r="HJ31" s="675">
        <v>0</v>
      </c>
      <c r="HK31" s="675">
        <v>0</v>
      </c>
      <c r="HL31" s="675">
        <v>0</v>
      </c>
      <c r="HM31" s="675">
        <v>0</v>
      </c>
      <c r="HN31" s="675">
        <v>0</v>
      </c>
      <c r="HO31" s="675">
        <v>0</v>
      </c>
      <c r="HP31" s="675">
        <v>0</v>
      </c>
      <c r="HQ31" s="675">
        <v>0</v>
      </c>
      <c r="HR31" s="675">
        <v>0</v>
      </c>
      <c r="HS31" s="675">
        <v>0</v>
      </c>
      <c r="HT31" s="675">
        <v>0</v>
      </c>
      <c r="HU31" s="675">
        <v>0</v>
      </c>
      <c r="HV31" s="675">
        <v>0</v>
      </c>
      <c r="HW31" s="675">
        <v>0</v>
      </c>
      <c r="HX31" s="675">
        <v>0</v>
      </c>
      <c r="HY31" s="675">
        <v>0</v>
      </c>
      <c r="HZ31" s="675">
        <v>0</v>
      </c>
      <c r="IA31" s="675">
        <v>0</v>
      </c>
      <c r="IB31" s="675">
        <v>0</v>
      </c>
      <c r="IC31" s="675">
        <v>0</v>
      </c>
      <c r="ID31" s="675">
        <v>0</v>
      </c>
      <c r="IE31" s="675">
        <v>0</v>
      </c>
      <c r="IF31" s="675">
        <v>0</v>
      </c>
      <c r="IG31" s="675">
        <v>0</v>
      </c>
      <c r="IH31" s="675">
        <v>0</v>
      </c>
      <c r="II31" s="675">
        <v>0</v>
      </c>
      <c r="IJ31" s="675">
        <v>0</v>
      </c>
      <c r="IK31" s="675">
        <v>0</v>
      </c>
      <c r="IL31" s="675">
        <v>0</v>
      </c>
      <c r="IM31" s="675">
        <v>0</v>
      </c>
      <c r="IN31" s="675">
        <v>0</v>
      </c>
      <c r="IO31" s="675">
        <v>0</v>
      </c>
      <c r="IP31" s="675">
        <v>0</v>
      </c>
      <c r="IQ31" s="675">
        <v>0</v>
      </c>
      <c r="IR31" s="675">
        <v>0</v>
      </c>
      <c r="IS31" s="675">
        <v>0</v>
      </c>
      <c r="IT31" s="675">
        <v>0</v>
      </c>
      <c r="IU31" s="675">
        <v>0</v>
      </c>
      <c r="IV31" s="675">
        <v>0</v>
      </c>
      <c r="IW31" s="675">
        <v>0</v>
      </c>
      <c r="IX31" s="675">
        <v>0</v>
      </c>
      <c r="IY31" s="675">
        <v>0</v>
      </c>
      <c r="IZ31" s="675">
        <v>0</v>
      </c>
      <c r="JA31" s="675">
        <v>0</v>
      </c>
      <c r="JB31" s="675">
        <v>0</v>
      </c>
      <c r="JC31" s="675">
        <v>0</v>
      </c>
      <c r="JD31" s="675">
        <v>0</v>
      </c>
      <c r="JE31" s="675">
        <v>0</v>
      </c>
      <c r="JF31" s="675">
        <v>0</v>
      </c>
      <c r="JG31" s="675">
        <v>0</v>
      </c>
      <c r="JH31" s="675">
        <v>0</v>
      </c>
      <c r="JI31" s="675">
        <v>0</v>
      </c>
      <c r="JJ31" s="675">
        <v>0</v>
      </c>
      <c r="JK31" s="675">
        <v>0</v>
      </c>
      <c r="JL31" s="675">
        <v>0</v>
      </c>
      <c r="JM31" s="675">
        <v>0</v>
      </c>
    </row>
    <row r="32" spans="1:292" ht="14.5" x14ac:dyDescent="0.35">
      <c r="A32" s="675">
        <v>15842</v>
      </c>
      <c r="B32" s="675">
        <v>32570</v>
      </c>
      <c r="C32" s="816">
        <v>0</v>
      </c>
      <c r="D32" s="816">
        <v>0</v>
      </c>
      <c r="E32" s="675">
        <v>5392</v>
      </c>
      <c r="F32" s="816">
        <v>0</v>
      </c>
      <c r="G32" s="816">
        <v>0</v>
      </c>
      <c r="H32" s="816">
        <v>0</v>
      </c>
      <c r="I32" s="816">
        <v>0</v>
      </c>
      <c r="J32" s="816">
        <v>0</v>
      </c>
      <c r="K32" s="816">
        <v>0</v>
      </c>
      <c r="L32" s="675">
        <v>6554</v>
      </c>
      <c r="M32" s="816">
        <v>0</v>
      </c>
      <c r="N32" s="816">
        <v>0</v>
      </c>
      <c r="O32" s="816">
        <v>0</v>
      </c>
      <c r="P32" s="816">
        <v>0</v>
      </c>
      <c r="Q32" s="816">
        <v>0</v>
      </c>
      <c r="R32" s="816">
        <v>0</v>
      </c>
      <c r="S32" s="675">
        <v>319.71300000000002</v>
      </c>
      <c r="T32" s="816">
        <v>0</v>
      </c>
      <c r="U32" s="816">
        <v>0</v>
      </c>
      <c r="V32" s="816">
        <v>0</v>
      </c>
      <c r="W32" s="816">
        <v>0</v>
      </c>
      <c r="X32" s="816">
        <v>0</v>
      </c>
      <c r="Y32" s="816">
        <v>0</v>
      </c>
      <c r="Z32" s="816">
        <v>0</v>
      </c>
      <c r="AA32" s="816">
        <v>0</v>
      </c>
      <c r="AB32" s="816">
        <v>0</v>
      </c>
      <c r="AC32" s="816">
        <v>0</v>
      </c>
      <c r="AD32" s="816">
        <v>0</v>
      </c>
      <c r="AE32" s="816">
        <v>0</v>
      </c>
      <c r="AF32" s="816">
        <v>0</v>
      </c>
      <c r="AG32" s="816">
        <v>0</v>
      </c>
      <c r="AH32" s="816">
        <v>0</v>
      </c>
      <c r="AI32" s="816">
        <v>0</v>
      </c>
      <c r="AJ32" s="816">
        <v>0</v>
      </c>
      <c r="AK32" s="816">
        <v>0</v>
      </c>
      <c r="AL32" s="817" t="s">
        <v>805</v>
      </c>
      <c r="AM32" s="816">
        <v>0</v>
      </c>
      <c r="AN32" s="816">
        <v>0</v>
      </c>
      <c r="AO32" s="816">
        <v>0</v>
      </c>
      <c r="AP32" s="816">
        <v>0</v>
      </c>
      <c r="AQ32" s="816">
        <v>0</v>
      </c>
      <c r="AR32" s="816">
        <v>0</v>
      </c>
      <c r="AS32" s="816">
        <v>0</v>
      </c>
      <c r="AT32" s="816">
        <v>0</v>
      </c>
      <c r="AU32" s="816">
        <v>0</v>
      </c>
      <c r="AV32" s="816">
        <v>0</v>
      </c>
      <c r="AW32" s="816">
        <v>0</v>
      </c>
      <c r="AX32" s="816">
        <v>0</v>
      </c>
      <c r="AY32" s="816">
        <v>0</v>
      </c>
      <c r="AZ32" s="816">
        <v>0</v>
      </c>
      <c r="BA32" s="816">
        <v>0</v>
      </c>
      <c r="BB32" s="816">
        <v>0</v>
      </c>
      <c r="BC32" s="816">
        <v>0</v>
      </c>
      <c r="BD32" s="816">
        <v>0</v>
      </c>
      <c r="BE32" s="816">
        <v>0</v>
      </c>
      <c r="BF32" s="816">
        <v>0</v>
      </c>
      <c r="BG32" s="816">
        <v>0</v>
      </c>
      <c r="BH32" s="816">
        <v>0</v>
      </c>
      <c r="BI32" s="816">
        <v>0</v>
      </c>
      <c r="BJ32" s="816">
        <v>0</v>
      </c>
      <c r="BK32" s="816">
        <v>0</v>
      </c>
      <c r="BL32" s="816">
        <v>0</v>
      </c>
      <c r="BM32" s="816">
        <v>0</v>
      </c>
      <c r="BN32" s="816">
        <v>0</v>
      </c>
      <c r="BO32" s="816">
        <v>0</v>
      </c>
      <c r="BP32" s="816">
        <v>0</v>
      </c>
      <c r="BQ32" s="675">
        <v>5392</v>
      </c>
      <c r="BR32" s="816">
        <v>0</v>
      </c>
      <c r="BS32" s="816">
        <v>0</v>
      </c>
      <c r="BT32" s="816">
        <v>0</v>
      </c>
      <c r="BU32" s="816">
        <v>0</v>
      </c>
      <c r="BV32" s="816">
        <v>0</v>
      </c>
      <c r="BW32" s="816">
        <v>0</v>
      </c>
      <c r="BX32" s="816">
        <v>0</v>
      </c>
      <c r="BY32" s="816">
        <v>0</v>
      </c>
      <c r="BZ32" s="816">
        <v>0</v>
      </c>
      <c r="CA32" s="816">
        <v>0</v>
      </c>
      <c r="CB32" s="816">
        <v>0</v>
      </c>
      <c r="CC32" s="816">
        <v>0</v>
      </c>
      <c r="CD32" s="816">
        <v>0</v>
      </c>
      <c r="CE32" s="816">
        <v>0</v>
      </c>
      <c r="CF32" s="816">
        <v>0</v>
      </c>
      <c r="CG32" s="816">
        <v>0</v>
      </c>
      <c r="CH32" s="816">
        <v>0</v>
      </c>
      <c r="CI32" s="816">
        <v>0</v>
      </c>
      <c r="CJ32" s="816">
        <v>0</v>
      </c>
      <c r="CK32" s="816">
        <v>0</v>
      </c>
      <c r="CL32" s="816">
        <v>0</v>
      </c>
      <c r="CM32" s="816">
        <v>0</v>
      </c>
      <c r="CN32" s="816">
        <v>0</v>
      </c>
      <c r="CO32" s="816">
        <v>0</v>
      </c>
      <c r="CP32" s="816">
        <v>0</v>
      </c>
      <c r="CQ32" s="816">
        <v>0</v>
      </c>
      <c r="CR32" s="816">
        <v>0</v>
      </c>
      <c r="CS32" s="816">
        <v>0</v>
      </c>
      <c r="CT32" s="816">
        <v>0</v>
      </c>
      <c r="CU32" s="816">
        <v>0</v>
      </c>
      <c r="CV32" s="816">
        <v>0</v>
      </c>
      <c r="CW32" s="816">
        <v>0</v>
      </c>
      <c r="CX32" s="816">
        <v>0</v>
      </c>
      <c r="CY32" s="816">
        <v>0</v>
      </c>
      <c r="CZ32" s="816">
        <v>0</v>
      </c>
      <c r="DA32" s="816">
        <v>0</v>
      </c>
      <c r="DB32" s="816">
        <v>0</v>
      </c>
      <c r="DC32" s="816">
        <v>0</v>
      </c>
      <c r="DD32" s="816">
        <v>0</v>
      </c>
      <c r="DE32" s="816">
        <v>0</v>
      </c>
      <c r="DF32" s="816">
        <v>0</v>
      </c>
      <c r="DG32" s="816">
        <v>0</v>
      </c>
      <c r="DH32" s="816">
        <v>0</v>
      </c>
      <c r="DI32" s="816">
        <v>0</v>
      </c>
      <c r="DJ32" s="816">
        <v>0</v>
      </c>
      <c r="DK32" s="675">
        <v>5392</v>
      </c>
      <c r="DL32" s="816">
        <v>0</v>
      </c>
      <c r="DM32" s="816">
        <v>0</v>
      </c>
      <c r="DN32" s="816">
        <v>0</v>
      </c>
      <c r="DO32" s="816">
        <v>0</v>
      </c>
      <c r="DP32" s="816">
        <v>0</v>
      </c>
      <c r="DQ32" s="816">
        <v>0</v>
      </c>
      <c r="DR32" s="816">
        <v>0</v>
      </c>
      <c r="DS32" s="816">
        <v>0</v>
      </c>
      <c r="DT32" s="816">
        <v>0</v>
      </c>
      <c r="DU32" s="816">
        <v>0</v>
      </c>
      <c r="DV32" s="816">
        <v>0</v>
      </c>
      <c r="DW32" s="816">
        <v>0</v>
      </c>
      <c r="DX32" s="816">
        <v>0</v>
      </c>
      <c r="DY32" s="816">
        <v>0</v>
      </c>
      <c r="DZ32" s="816">
        <v>0</v>
      </c>
      <c r="EA32" s="816">
        <v>0</v>
      </c>
      <c r="EB32" s="816">
        <v>0</v>
      </c>
      <c r="EC32" s="816">
        <v>0</v>
      </c>
      <c r="ED32" s="816">
        <v>0</v>
      </c>
      <c r="EE32" s="816">
        <v>0</v>
      </c>
      <c r="EF32" s="816">
        <v>0</v>
      </c>
      <c r="EG32" s="816">
        <v>0</v>
      </c>
      <c r="EH32" s="816">
        <v>0</v>
      </c>
      <c r="EI32" s="816">
        <v>0</v>
      </c>
      <c r="EJ32" s="816">
        <v>0</v>
      </c>
      <c r="EK32" s="816">
        <v>0</v>
      </c>
      <c r="EL32" s="816">
        <v>0</v>
      </c>
      <c r="EM32" s="816">
        <v>0</v>
      </c>
      <c r="EN32" s="816">
        <v>0</v>
      </c>
      <c r="EO32" s="816">
        <v>0</v>
      </c>
      <c r="EP32" s="816">
        <v>0</v>
      </c>
      <c r="EQ32" s="816">
        <v>0</v>
      </c>
      <c r="ER32" s="816">
        <v>0</v>
      </c>
      <c r="ES32" s="816">
        <v>0</v>
      </c>
      <c r="ET32" s="816">
        <v>0</v>
      </c>
      <c r="EU32" s="816">
        <v>0</v>
      </c>
      <c r="EV32" s="816">
        <v>0</v>
      </c>
      <c r="EW32" s="816">
        <v>0</v>
      </c>
      <c r="EX32" s="816">
        <v>0</v>
      </c>
      <c r="EY32" s="816">
        <v>0</v>
      </c>
      <c r="EZ32" s="816">
        <v>0</v>
      </c>
      <c r="FA32" s="816">
        <v>0</v>
      </c>
      <c r="FB32" s="816">
        <v>0</v>
      </c>
      <c r="FC32" s="675">
        <v>0.97327799999999998</v>
      </c>
      <c r="FD32" s="816">
        <v>0</v>
      </c>
      <c r="FE32" s="816">
        <v>0</v>
      </c>
      <c r="FF32" s="816">
        <v>0</v>
      </c>
      <c r="FG32" s="675">
        <v>6.1239999999999996E-2</v>
      </c>
      <c r="FH32" s="675">
        <v>5.4803999999999999E-2</v>
      </c>
      <c r="FI32" s="816">
        <v>0</v>
      </c>
      <c r="FJ32" s="816">
        <v>0</v>
      </c>
      <c r="FK32" s="816">
        <v>0</v>
      </c>
      <c r="FL32" s="816">
        <v>0</v>
      </c>
      <c r="FM32" s="816">
        <v>0</v>
      </c>
      <c r="FN32" s="816">
        <v>0</v>
      </c>
      <c r="FO32" s="816">
        <v>0</v>
      </c>
      <c r="FP32" s="816">
        <v>0</v>
      </c>
      <c r="FQ32" s="816">
        <v>0</v>
      </c>
      <c r="FR32" s="816">
        <v>0</v>
      </c>
      <c r="FS32" s="816">
        <v>0</v>
      </c>
      <c r="FT32" s="816">
        <v>0</v>
      </c>
      <c r="FU32" s="816">
        <v>0</v>
      </c>
      <c r="FV32" s="816">
        <v>0</v>
      </c>
      <c r="FW32" s="816">
        <v>0</v>
      </c>
      <c r="FX32" s="816">
        <v>0</v>
      </c>
      <c r="FY32" s="816">
        <v>0</v>
      </c>
      <c r="FZ32" s="816">
        <v>0</v>
      </c>
      <c r="GA32" s="816">
        <v>0</v>
      </c>
      <c r="GB32" s="816">
        <v>0</v>
      </c>
      <c r="GC32" s="816">
        <v>0</v>
      </c>
      <c r="GD32" s="816">
        <v>0</v>
      </c>
      <c r="GE32" s="816">
        <v>0</v>
      </c>
      <c r="GF32" s="816">
        <v>0</v>
      </c>
      <c r="GG32" s="816">
        <v>0</v>
      </c>
      <c r="GH32" s="816">
        <v>0</v>
      </c>
      <c r="GI32" s="816">
        <v>0</v>
      </c>
      <c r="GJ32" s="816">
        <v>0</v>
      </c>
      <c r="GK32" s="816">
        <v>0</v>
      </c>
      <c r="GL32" s="816">
        <v>0</v>
      </c>
      <c r="GM32" s="816">
        <v>0</v>
      </c>
      <c r="GN32" s="816">
        <v>0</v>
      </c>
      <c r="GO32" s="816">
        <v>0</v>
      </c>
      <c r="GP32" s="816">
        <v>0</v>
      </c>
      <c r="GQ32" s="816">
        <v>0</v>
      </c>
      <c r="GR32" s="816">
        <v>0</v>
      </c>
      <c r="GS32" s="816">
        <v>0</v>
      </c>
      <c r="GT32" s="816">
        <v>0</v>
      </c>
      <c r="GU32" s="816">
        <v>0</v>
      </c>
      <c r="GV32" s="816">
        <v>0</v>
      </c>
      <c r="GW32" s="816">
        <v>0</v>
      </c>
      <c r="GX32" s="816">
        <v>0</v>
      </c>
      <c r="GY32" s="816">
        <v>0</v>
      </c>
      <c r="GZ32" s="816">
        <v>0</v>
      </c>
      <c r="HA32" s="816">
        <v>0</v>
      </c>
      <c r="HB32" s="816">
        <v>0</v>
      </c>
      <c r="HC32" s="675">
        <v>5.0923999999999997E-2</v>
      </c>
      <c r="HD32" s="816">
        <v>0</v>
      </c>
      <c r="HE32" s="816">
        <v>0</v>
      </c>
      <c r="HF32" s="816">
        <v>0</v>
      </c>
      <c r="HG32" s="816">
        <v>0</v>
      </c>
      <c r="HH32" s="816">
        <v>0</v>
      </c>
      <c r="HI32" s="816">
        <v>0</v>
      </c>
      <c r="HJ32" s="816">
        <v>0</v>
      </c>
      <c r="HK32" s="816">
        <v>0</v>
      </c>
      <c r="HL32" s="816">
        <v>0</v>
      </c>
      <c r="HM32" s="816">
        <v>0</v>
      </c>
      <c r="HN32" s="816">
        <v>0</v>
      </c>
      <c r="HO32" s="816">
        <v>0</v>
      </c>
      <c r="HP32" s="816">
        <v>0</v>
      </c>
      <c r="HQ32" s="816">
        <v>0</v>
      </c>
      <c r="HR32" s="816">
        <v>0</v>
      </c>
      <c r="HS32" s="816">
        <v>0</v>
      </c>
      <c r="HT32" s="816">
        <v>0</v>
      </c>
      <c r="HU32" s="816">
        <v>0</v>
      </c>
      <c r="HV32" s="816">
        <v>0</v>
      </c>
      <c r="HW32" s="816">
        <v>0</v>
      </c>
      <c r="HX32" s="816">
        <v>0</v>
      </c>
      <c r="HY32" s="816">
        <v>0</v>
      </c>
      <c r="HZ32" s="816">
        <v>0</v>
      </c>
      <c r="IA32" s="816">
        <v>0</v>
      </c>
      <c r="IB32" s="816">
        <v>0</v>
      </c>
      <c r="IC32" s="816">
        <v>0</v>
      </c>
      <c r="ID32" s="816">
        <v>0</v>
      </c>
      <c r="IE32" s="816">
        <v>0</v>
      </c>
      <c r="IF32" s="816">
        <v>0</v>
      </c>
      <c r="IG32" s="816">
        <v>0</v>
      </c>
      <c r="IH32" s="816">
        <v>0</v>
      </c>
      <c r="II32" s="816">
        <v>0</v>
      </c>
      <c r="IJ32" s="816">
        <v>0</v>
      </c>
      <c r="IK32" s="816">
        <v>0</v>
      </c>
      <c r="IL32" s="816">
        <v>0</v>
      </c>
      <c r="IM32" s="816">
        <v>0</v>
      </c>
      <c r="IN32" s="816">
        <v>0</v>
      </c>
      <c r="IO32" s="816">
        <v>0</v>
      </c>
      <c r="IP32" s="816">
        <v>0</v>
      </c>
      <c r="IQ32" s="816">
        <v>0</v>
      </c>
      <c r="IR32" s="816">
        <v>0</v>
      </c>
      <c r="IS32" s="816">
        <v>0</v>
      </c>
      <c r="IT32" s="816">
        <v>0</v>
      </c>
      <c r="IU32" s="816">
        <v>0</v>
      </c>
      <c r="IV32" s="816">
        <v>0</v>
      </c>
      <c r="IW32" s="816">
        <v>0</v>
      </c>
      <c r="IX32" s="816">
        <v>0</v>
      </c>
      <c r="IY32" s="816">
        <v>0</v>
      </c>
      <c r="IZ32" s="816">
        <v>0</v>
      </c>
      <c r="JA32" s="816">
        <v>0</v>
      </c>
      <c r="JB32" s="816">
        <v>0</v>
      </c>
      <c r="JC32" s="816">
        <v>0</v>
      </c>
      <c r="JD32" s="816">
        <v>0</v>
      </c>
      <c r="JE32" s="816">
        <v>0</v>
      </c>
      <c r="JF32" s="816">
        <v>0</v>
      </c>
      <c r="JG32" s="816">
        <v>0</v>
      </c>
      <c r="JH32" s="816">
        <v>0</v>
      </c>
      <c r="JI32" s="816">
        <v>0</v>
      </c>
      <c r="JJ32" s="816">
        <v>0</v>
      </c>
      <c r="JK32" s="816">
        <v>0</v>
      </c>
      <c r="JL32" s="816">
        <v>0</v>
      </c>
      <c r="JM32" s="816">
        <v>0</v>
      </c>
      <c r="JN32" s="816">
        <v>0</v>
      </c>
    </row>
    <row r="33" spans="1:292" ht="14.5" x14ac:dyDescent="0.35">
      <c r="A33" s="675">
        <v>15843</v>
      </c>
      <c r="B33" s="675">
        <v>32570</v>
      </c>
      <c r="C33" s="816">
        <v>0</v>
      </c>
      <c r="D33" s="816">
        <v>0</v>
      </c>
      <c r="E33" s="675">
        <v>5392</v>
      </c>
      <c r="F33" s="816">
        <v>0</v>
      </c>
      <c r="G33" s="816">
        <v>0</v>
      </c>
      <c r="H33" s="816">
        <v>0</v>
      </c>
      <c r="I33" s="816">
        <v>0</v>
      </c>
      <c r="J33" s="816">
        <v>0</v>
      </c>
      <c r="K33" s="816">
        <v>0</v>
      </c>
      <c r="L33" s="675">
        <v>6554</v>
      </c>
      <c r="M33" s="816">
        <v>0</v>
      </c>
      <c r="N33" s="816">
        <v>0</v>
      </c>
      <c r="O33" s="816">
        <v>0</v>
      </c>
      <c r="P33" s="816">
        <v>0</v>
      </c>
      <c r="Q33" s="816">
        <v>0</v>
      </c>
      <c r="R33" s="816">
        <v>0</v>
      </c>
      <c r="S33" s="675">
        <v>319.71300000000002</v>
      </c>
      <c r="T33" s="816">
        <v>0</v>
      </c>
      <c r="U33" s="816">
        <v>0</v>
      </c>
      <c r="V33" s="816">
        <v>0</v>
      </c>
      <c r="W33" s="816">
        <v>0</v>
      </c>
      <c r="X33" s="816">
        <v>0</v>
      </c>
      <c r="Y33" s="816">
        <v>0</v>
      </c>
      <c r="Z33" s="816">
        <v>0</v>
      </c>
      <c r="AA33" s="816">
        <v>0</v>
      </c>
      <c r="AB33" s="816">
        <v>0</v>
      </c>
      <c r="AC33" s="816">
        <v>0</v>
      </c>
      <c r="AD33" s="816">
        <v>0</v>
      </c>
      <c r="AE33" s="816">
        <v>0</v>
      </c>
      <c r="AF33" s="816">
        <v>0</v>
      </c>
      <c r="AG33" s="816">
        <v>0</v>
      </c>
      <c r="AH33" s="816">
        <v>0</v>
      </c>
      <c r="AI33" s="816">
        <v>0</v>
      </c>
      <c r="AJ33" s="816">
        <v>0</v>
      </c>
      <c r="AK33" s="816">
        <v>0</v>
      </c>
      <c r="AL33" s="817" t="s">
        <v>804</v>
      </c>
      <c r="AM33" s="816">
        <v>0</v>
      </c>
      <c r="AN33" s="816">
        <v>0</v>
      </c>
      <c r="AO33" s="816">
        <v>0</v>
      </c>
      <c r="AP33" s="816">
        <v>0</v>
      </c>
      <c r="AQ33" s="816">
        <v>0</v>
      </c>
      <c r="AR33" s="816">
        <v>0</v>
      </c>
      <c r="AS33" s="816">
        <v>0</v>
      </c>
      <c r="AT33" s="816">
        <v>0</v>
      </c>
      <c r="AU33" s="816">
        <v>0</v>
      </c>
      <c r="AV33" s="816">
        <v>0</v>
      </c>
      <c r="AW33" s="816">
        <v>0</v>
      </c>
      <c r="AX33" s="816">
        <v>0</v>
      </c>
      <c r="AY33" s="816">
        <v>0</v>
      </c>
      <c r="AZ33" s="816">
        <v>0</v>
      </c>
      <c r="BA33" s="816">
        <v>0</v>
      </c>
      <c r="BB33" s="816">
        <v>0</v>
      </c>
      <c r="BC33" s="816">
        <v>0</v>
      </c>
      <c r="BD33" s="816">
        <v>0</v>
      </c>
      <c r="BE33" s="816">
        <v>0</v>
      </c>
      <c r="BF33" s="816">
        <v>0</v>
      </c>
      <c r="BG33" s="816">
        <v>0</v>
      </c>
      <c r="BH33" s="816">
        <v>0</v>
      </c>
      <c r="BI33" s="816">
        <v>0</v>
      </c>
      <c r="BJ33" s="816">
        <v>0</v>
      </c>
      <c r="BK33" s="816">
        <v>0</v>
      </c>
      <c r="BL33" s="816">
        <v>0</v>
      </c>
      <c r="BM33" s="816">
        <v>0</v>
      </c>
      <c r="BN33" s="816">
        <v>0</v>
      </c>
      <c r="BO33" s="816">
        <v>0</v>
      </c>
      <c r="BP33" s="816">
        <v>0</v>
      </c>
      <c r="BQ33" s="675">
        <v>5392</v>
      </c>
      <c r="BR33" s="816">
        <v>0</v>
      </c>
      <c r="BS33" s="816">
        <v>0</v>
      </c>
      <c r="BT33" s="816">
        <v>0</v>
      </c>
      <c r="BU33" s="816">
        <v>0</v>
      </c>
      <c r="BV33" s="816">
        <v>0</v>
      </c>
      <c r="BW33" s="816">
        <v>0</v>
      </c>
      <c r="BX33" s="816">
        <v>0</v>
      </c>
      <c r="BY33" s="816">
        <v>0</v>
      </c>
      <c r="BZ33" s="816">
        <v>0</v>
      </c>
      <c r="CA33" s="816">
        <v>0</v>
      </c>
      <c r="CB33" s="816">
        <v>0</v>
      </c>
      <c r="CC33" s="816">
        <v>0</v>
      </c>
      <c r="CD33" s="816">
        <v>0</v>
      </c>
      <c r="CE33" s="816">
        <v>0</v>
      </c>
      <c r="CF33" s="816">
        <v>0</v>
      </c>
      <c r="CG33" s="816">
        <v>0</v>
      </c>
      <c r="CH33" s="816">
        <v>0</v>
      </c>
      <c r="CI33" s="816">
        <v>0</v>
      </c>
      <c r="CJ33" s="816">
        <v>0</v>
      </c>
      <c r="CK33" s="816">
        <v>0</v>
      </c>
      <c r="CL33" s="816">
        <v>0</v>
      </c>
      <c r="CM33" s="816">
        <v>0</v>
      </c>
      <c r="CN33" s="816">
        <v>0</v>
      </c>
      <c r="CO33" s="816">
        <v>0</v>
      </c>
      <c r="CP33" s="816">
        <v>0</v>
      </c>
      <c r="CQ33" s="816">
        <v>0</v>
      </c>
      <c r="CR33" s="816">
        <v>0</v>
      </c>
      <c r="CS33" s="816">
        <v>0</v>
      </c>
      <c r="CT33" s="816">
        <v>0</v>
      </c>
      <c r="CU33" s="816">
        <v>0</v>
      </c>
      <c r="CV33" s="816">
        <v>0</v>
      </c>
      <c r="CW33" s="816">
        <v>0</v>
      </c>
      <c r="CX33" s="816">
        <v>0</v>
      </c>
      <c r="CY33" s="816">
        <v>0</v>
      </c>
      <c r="CZ33" s="816">
        <v>0</v>
      </c>
      <c r="DA33" s="816">
        <v>0</v>
      </c>
      <c r="DB33" s="816">
        <v>0</v>
      </c>
      <c r="DC33" s="816">
        <v>0</v>
      </c>
      <c r="DD33" s="816">
        <v>0</v>
      </c>
      <c r="DE33" s="816">
        <v>0</v>
      </c>
      <c r="DF33" s="816">
        <v>0</v>
      </c>
      <c r="DG33" s="816">
        <v>0</v>
      </c>
      <c r="DH33" s="816">
        <v>0</v>
      </c>
      <c r="DI33" s="816">
        <v>0</v>
      </c>
      <c r="DJ33" s="816">
        <v>0</v>
      </c>
      <c r="DK33" s="675">
        <v>5392</v>
      </c>
      <c r="DL33" s="816">
        <v>0</v>
      </c>
      <c r="DM33" s="816">
        <v>0</v>
      </c>
      <c r="DN33" s="816">
        <v>0</v>
      </c>
      <c r="DO33" s="816">
        <v>0</v>
      </c>
      <c r="DP33" s="816">
        <v>0</v>
      </c>
      <c r="DQ33" s="816">
        <v>0</v>
      </c>
      <c r="DR33" s="816">
        <v>0</v>
      </c>
      <c r="DS33" s="816">
        <v>0</v>
      </c>
      <c r="DT33" s="816">
        <v>0</v>
      </c>
      <c r="DU33" s="816">
        <v>0</v>
      </c>
      <c r="DV33" s="816">
        <v>0</v>
      </c>
      <c r="DW33" s="816">
        <v>0</v>
      </c>
      <c r="DX33" s="816">
        <v>0</v>
      </c>
      <c r="DY33" s="816">
        <v>0</v>
      </c>
      <c r="DZ33" s="816">
        <v>0</v>
      </c>
      <c r="EA33" s="816">
        <v>0</v>
      </c>
      <c r="EB33" s="816">
        <v>0</v>
      </c>
      <c r="EC33" s="816">
        <v>0</v>
      </c>
      <c r="ED33" s="816">
        <v>0</v>
      </c>
      <c r="EE33" s="816">
        <v>0</v>
      </c>
      <c r="EF33" s="816">
        <v>0</v>
      </c>
      <c r="EG33" s="816">
        <v>0</v>
      </c>
      <c r="EH33" s="816">
        <v>0</v>
      </c>
      <c r="EI33" s="816">
        <v>0</v>
      </c>
      <c r="EJ33" s="816">
        <v>0</v>
      </c>
      <c r="EK33" s="816">
        <v>0</v>
      </c>
      <c r="EL33" s="816">
        <v>0</v>
      </c>
      <c r="EM33" s="816">
        <v>0</v>
      </c>
      <c r="EN33" s="816">
        <v>0</v>
      </c>
      <c r="EO33" s="816">
        <v>0</v>
      </c>
      <c r="EP33" s="816">
        <v>0</v>
      </c>
      <c r="EQ33" s="816">
        <v>0</v>
      </c>
      <c r="ER33" s="816">
        <v>0</v>
      </c>
      <c r="ES33" s="816">
        <v>0</v>
      </c>
      <c r="ET33" s="816">
        <v>0</v>
      </c>
      <c r="EU33" s="816">
        <v>0</v>
      </c>
      <c r="EV33" s="816">
        <v>0</v>
      </c>
      <c r="EW33" s="816">
        <v>0</v>
      </c>
      <c r="EX33" s="816">
        <v>0</v>
      </c>
      <c r="EY33" s="816">
        <v>0</v>
      </c>
      <c r="EZ33" s="816">
        <v>0</v>
      </c>
      <c r="FA33" s="816">
        <v>0</v>
      </c>
      <c r="FB33" s="816">
        <v>0</v>
      </c>
      <c r="FC33" s="675">
        <v>0.97327799999999998</v>
      </c>
      <c r="FD33" s="816">
        <v>0</v>
      </c>
      <c r="FE33" s="816">
        <v>0</v>
      </c>
      <c r="FF33" s="816">
        <v>0</v>
      </c>
      <c r="FG33" s="675">
        <v>6.1239999999999996E-2</v>
      </c>
      <c r="FH33" s="675">
        <v>5.4803999999999999E-2</v>
      </c>
      <c r="FI33" s="816">
        <v>0</v>
      </c>
      <c r="FJ33" s="816">
        <v>0</v>
      </c>
      <c r="FK33" s="816">
        <v>0</v>
      </c>
      <c r="FL33" s="816">
        <v>0</v>
      </c>
      <c r="FM33" s="816">
        <v>0</v>
      </c>
      <c r="FN33" s="816">
        <v>0</v>
      </c>
      <c r="FO33" s="816">
        <v>0</v>
      </c>
      <c r="FP33" s="816">
        <v>0</v>
      </c>
      <c r="FQ33" s="816">
        <v>0</v>
      </c>
      <c r="FR33" s="816">
        <v>0</v>
      </c>
      <c r="FS33" s="816">
        <v>0</v>
      </c>
      <c r="FT33" s="816">
        <v>0</v>
      </c>
      <c r="FU33" s="816">
        <v>0</v>
      </c>
      <c r="FV33" s="816">
        <v>0</v>
      </c>
      <c r="FW33" s="816">
        <v>0</v>
      </c>
      <c r="FX33" s="816">
        <v>0</v>
      </c>
      <c r="FY33" s="816">
        <v>0</v>
      </c>
      <c r="FZ33" s="816">
        <v>0</v>
      </c>
      <c r="GA33" s="816">
        <v>0</v>
      </c>
      <c r="GB33" s="816">
        <v>0</v>
      </c>
      <c r="GC33" s="816">
        <v>0</v>
      </c>
      <c r="GD33" s="816">
        <v>0</v>
      </c>
      <c r="GE33" s="816">
        <v>0</v>
      </c>
      <c r="GF33" s="816">
        <v>0</v>
      </c>
      <c r="GG33" s="816">
        <v>0</v>
      </c>
      <c r="GH33" s="816">
        <v>0</v>
      </c>
      <c r="GI33" s="816">
        <v>0</v>
      </c>
      <c r="GJ33" s="816">
        <v>0</v>
      </c>
      <c r="GK33" s="816">
        <v>0</v>
      </c>
      <c r="GL33" s="816">
        <v>0</v>
      </c>
      <c r="GM33" s="816">
        <v>0</v>
      </c>
      <c r="GN33" s="816">
        <v>0</v>
      </c>
      <c r="GO33" s="816">
        <v>0</v>
      </c>
      <c r="GP33" s="816">
        <v>0</v>
      </c>
      <c r="GQ33" s="816">
        <v>0</v>
      </c>
      <c r="GR33" s="816">
        <v>0</v>
      </c>
      <c r="GS33" s="816">
        <v>0</v>
      </c>
      <c r="GT33" s="816">
        <v>0</v>
      </c>
      <c r="GU33" s="816">
        <v>0</v>
      </c>
      <c r="GV33" s="816">
        <v>0</v>
      </c>
      <c r="GW33" s="816">
        <v>0</v>
      </c>
      <c r="GX33" s="816">
        <v>0</v>
      </c>
      <c r="GY33" s="816">
        <v>0</v>
      </c>
      <c r="GZ33" s="816">
        <v>0</v>
      </c>
      <c r="HA33" s="816">
        <v>0</v>
      </c>
      <c r="HB33" s="816">
        <v>0</v>
      </c>
      <c r="HC33" s="675">
        <v>5.0923999999999997E-2</v>
      </c>
      <c r="HD33" s="816">
        <v>0</v>
      </c>
      <c r="HE33" s="816">
        <v>0</v>
      </c>
      <c r="HF33" s="816">
        <v>0</v>
      </c>
      <c r="HG33" s="816">
        <v>0</v>
      </c>
      <c r="HH33" s="816">
        <v>0</v>
      </c>
      <c r="HI33" s="816">
        <v>0</v>
      </c>
      <c r="HJ33" s="816">
        <v>0</v>
      </c>
      <c r="HK33" s="816">
        <v>0</v>
      </c>
      <c r="HL33" s="816">
        <v>0</v>
      </c>
      <c r="HM33" s="816">
        <v>0</v>
      </c>
      <c r="HN33" s="816">
        <v>0</v>
      </c>
      <c r="HO33" s="816">
        <v>0</v>
      </c>
      <c r="HP33" s="816">
        <v>0</v>
      </c>
      <c r="HQ33" s="816">
        <v>0</v>
      </c>
      <c r="HR33" s="816">
        <v>0</v>
      </c>
      <c r="HS33" s="816">
        <v>0</v>
      </c>
      <c r="HT33" s="816">
        <v>0</v>
      </c>
      <c r="HU33" s="816">
        <v>0</v>
      </c>
      <c r="HV33" s="816">
        <v>0</v>
      </c>
      <c r="HW33" s="816">
        <v>0</v>
      </c>
      <c r="HX33" s="816">
        <v>0</v>
      </c>
      <c r="HY33" s="816">
        <v>0</v>
      </c>
      <c r="HZ33" s="816">
        <v>0</v>
      </c>
      <c r="IA33" s="816">
        <v>0</v>
      </c>
      <c r="IB33" s="816">
        <v>0</v>
      </c>
      <c r="IC33" s="816">
        <v>0</v>
      </c>
      <c r="ID33" s="816">
        <v>0</v>
      </c>
      <c r="IE33" s="816">
        <v>0</v>
      </c>
      <c r="IF33" s="816">
        <v>0</v>
      </c>
      <c r="IG33" s="816">
        <v>0</v>
      </c>
      <c r="IH33" s="816">
        <v>0</v>
      </c>
      <c r="II33" s="816">
        <v>0</v>
      </c>
      <c r="IJ33" s="816">
        <v>0</v>
      </c>
      <c r="IK33" s="816">
        <v>0</v>
      </c>
      <c r="IL33" s="816">
        <v>0</v>
      </c>
      <c r="IM33" s="816">
        <v>0</v>
      </c>
      <c r="IN33" s="816">
        <v>0</v>
      </c>
      <c r="IO33" s="816">
        <v>0</v>
      </c>
      <c r="IP33" s="816">
        <v>0</v>
      </c>
      <c r="IQ33" s="816">
        <v>0</v>
      </c>
      <c r="IR33" s="816">
        <v>0</v>
      </c>
      <c r="IS33" s="816">
        <v>0</v>
      </c>
      <c r="IT33" s="816">
        <v>0</v>
      </c>
      <c r="IU33" s="816">
        <v>0</v>
      </c>
      <c r="IV33" s="816">
        <v>0</v>
      </c>
      <c r="IW33" s="816">
        <v>0</v>
      </c>
      <c r="IX33" s="816">
        <v>0</v>
      </c>
      <c r="IY33" s="816">
        <v>0</v>
      </c>
      <c r="IZ33" s="816">
        <v>0</v>
      </c>
      <c r="JA33" s="816">
        <v>0</v>
      </c>
      <c r="JB33" s="816">
        <v>0</v>
      </c>
      <c r="JC33" s="816">
        <v>0</v>
      </c>
      <c r="JD33" s="816">
        <v>0</v>
      </c>
      <c r="JE33" s="816">
        <v>0</v>
      </c>
      <c r="JF33" s="816">
        <v>0</v>
      </c>
      <c r="JG33" s="816">
        <v>0</v>
      </c>
      <c r="JH33" s="816">
        <v>0</v>
      </c>
      <c r="JI33" s="816">
        <v>0</v>
      </c>
      <c r="JJ33" s="816">
        <v>0</v>
      </c>
      <c r="JK33" s="816">
        <v>0</v>
      </c>
      <c r="JL33" s="816">
        <v>0</v>
      </c>
      <c r="JM33" s="816">
        <v>0</v>
      </c>
      <c r="JN33" s="816">
        <v>0</v>
      </c>
    </row>
    <row r="34" spans="1:292" x14ac:dyDescent="0.25">
      <c r="A34" s="675">
        <v>21803</v>
      </c>
      <c r="B34" s="675">
        <v>32570</v>
      </c>
      <c r="C34" s="675">
        <v>35</v>
      </c>
      <c r="D34" s="675">
        <v>2022</v>
      </c>
      <c r="E34" s="675">
        <v>5392</v>
      </c>
      <c r="F34" s="675">
        <v>0</v>
      </c>
      <c r="G34" s="675">
        <v>295.654</v>
      </c>
      <c r="H34" s="675">
        <v>287.81800000000004</v>
      </c>
      <c r="I34" s="675">
        <v>287.81800000000004</v>
      </c>
      <c r="J34" s="675">
        <v>295.654</v>
      </c>
      <c r="K34" s="675">
        <v>0</v>
      </c>
      <c r="L34" s="675">
        <v>6554</v>
      </c>
      <c r="M34" s="675">
        <v>0</v>
      </c>
      <c r="N34" s="675">
        <v>0</v>
      </c>
      <c r="O34" s="675">
        <v>0</v>
      </c>
      <c r="P34" s="675">
        <v>318.74600000000004</v>
      </c>
      <c r="Q34" s="675">
        <v>0</v>
      </c>
      <c r="R34" s="675">
        <v>101907</v>
      </c>
      <c r="S34" s="675">
        <v>319.71300000000002</v>
      </c>
      <c r="T34" s="675">
        <v>0</v>
      </c>
      <c r="U34" s="675">
        <v>101907</v>
      </c>
      <c r="V34" s="675">
        <v>104.105</v>
      </c>
      <c r="W34" s="675">
        <v>68230</v>
      </c>
      <c r="X34" s="675">
        <v>68230</v>
      </c>
      <c r="Y34" s="675">
        <v>0</v>
      </c>
      <c r="Z34" s="675">
        <v>0</v>
      </c>
      <c r="AA34" s="675">
        <v>1</v>
      </c>
      <c r="AB34" s="675">
        <v>1</v>
      </c>
      <c r="AC34" s="675">
        <v>0</v>
      </c>
      <c r="AD34" s="675" t="s">
        <v>316</v>
      </c>
      <c r="AE34" s="675">
        <v>0</v>
      </c>
      <c r="AF34" s="675">
        <v>0</v>
      </c>
      <c r="AG34" s="675">
        <v>0</v>
      </c>
      <c r="AH34" s="675">
        <v>0</v>
      </c>
      <c r="AI34" s="675">
        <v>0</v>
      </c>
      <c r="AJ34" s="675">
        <v>5104</v>
      </c>
      <c r="AK34" s="675" t="s">
        <v>671</v>
      </c>
      <c r="AL34" s="675" t="s">
        <v>41</v>
      </c>
      <c r="AM34" s="675">
        <v>0</v>
      </c>
      <c r="AN34" s="675">
        <v>0</v>
      </c>
      <c r="AO34" s="675">
        <v>0</v>
      </c>
      <c r="AP34" s="675">
        <v>0</v>
      </c>
      <c r="AQ34" s="675">
        <v>0</v>
      </c>
      <c r="AR34" s="675">
        <v>0</v>
      </c>
      <c r="AS34" s="675">
        <v>0</v>
      </c>
      <c r="AT34" s="675">
        <v>0</v>
      </c>
      <c r="AU34" s="675">
        <v>0</v>
      </c>
      <c r="AV34" s="675">
        <v>177943</v>
      </c>
      <c r="AW34" s="675">
        <v>3096450</v>
      </c>
      <c r="AX34" s="675">
        <v>3028766</v>
      </c>
      <c r="AY34" s="675">
        <v>3405530</v>
      </c>
      <c r="AZ34" s="675">
        <v>101907</v>
      </c>
      <c r="BA34" s="675">
        <v>17.833000000000002</v>
      </c>
      <c r="BB34" s="675">
        <v>0</v>
      </c>
      <c r="BC34" s="675">
        <v>0</v>
      </c>
      <c r="BD34" s="675">
        <v>0</v>
      </c>
      <c r="BE34" s="675">
        <v>0</v>
      </c>
      <c r="BF34" s="675">
        <v>2562791</v>
      </c>
      <c r="BG34" s="675">
        <v>0</v>
      </c>
      <c r="BH34" s="675">
        <v>0</v>
      </c>
      <c r="BI34" s="675">
        <v>0</v>
      </c>
      <c r="BJ34" s="675">
        <v>12</v>
      </c>
      <c r="BK34" s="675">
        <v>0</v>
      </c>
      <c r="BL34" s="675">
        <v>0</v>
      </c>
      <c r="BM34" s="675">
        <v>0</v>
      </c>
      <c r="BN34" s="675">
        <v>0</v>
      </c>
      <c r="BO34" s="675">
        <v>0</v>
      </c>
      <c r="BP34" s="675">
        <v>0</v>
      </c>
      <c r="BQ34" s="675">
        <v>5392</v>
      </c>
      <c r="BR34" s="675">
        <v>1</v>
      </c>
      <c r="BS34" s="675">
        <v>0</v>
      </c>
      <c r="BT34" s="675">
        <v>0</v>
      </c>
      <c r="BU34" s="675">
        <v>0</v>
      </c>
      <c r="BV34" s="675">
        <v>0</v>
      </c>
      <c r="BW34" s="675">
        <v>0</v>
      </c>
      <c r="BX34" s="675">
        <v>0</v>
      </c>
      <c r="BY34" s="675">
        <v>0</v>
      </c>
      <c r="BZ34" s="675">
        <v>0</v>
      </c>
      <c r="CA34" s="675">
        <v>0</v>
      </c>
      <c r="CB34" s="675">
        <v>0</v>
      </c>
      <c r="CC34" s="675">
        <v>0</v>
      </c>
      <c r="CD34" s="675">
        <v>0</v>
      </c>
      <c r="CE34" s="675">
        <v>0</v>
      </c>
      <c r="CF34" s="675">
        <v>0</v>
      </c>
      <c r="CG34" s="675">
        <v>0</v>
      </c>
      <c r="CH34" s="675">
        <v>67684</v>
      </c>
      <c r="CI34" s="675">
        <v>0</v>
      </c>
      <c r="CJ34" s="675">
        <v>4</v>
      </c>
      <c r="CK34" s="675">
        <v>0</v>
      </c>
      <c r="CL34" s="675">
        <v>0</v>
      </c>
      <c r="CM34" s="675">
        <v>0</v>
      </c>
      <c r="CN34" s="675">
        <v>0</v>
      </c>
      <c r="CO34" s="675">
        <v>0</v>
      </c>
      <c r="CP34" s="675">
        <v>0</v>
      </c>
      <c r="CQ34" s="675">
        <v>2</v>
      </c>
      <c r="CR34" s="675">
        <v>318.74600000000004</v>
      </c>
      <c r="CS34" s="675">
        <v>0</v>
      </c>
      <c r="CT34" s="675">
        <v>0</v>
      </c>
      <c r="CU34" s="675">
        <v>0</v>
      </c>
      <c r="CV34" s="675">
        <v>0</v>
      </c>
      <c r="CW34" s="675">
        <v>0</v>
      </c>
      <c r="CX34" s="675">
        <v>0</v>
      </c>
      <c r="CY34" s="675">
        <v>0</v>
      </c>
      <c r="CZ34" s="675">
        <v>0</v>
      </c>
      <c r="DA34" s="675">
        <v>1</v>
      </c>
      <c r="DB34" s="675">
        <v>1886359</v>
      </c>
      <c r="DC34" s="675">
        <v>0</v>
      </c>
      <c r="DD34" s="675">
        <v>0</v>
      </c>
      <c r="DE34" s="675">
        <v>511645</v>
      </c>
      <c r="DF34" s="675">
        <v>511645</v>
      </c>
      <c r="DG34" s="675">
        <v>390.33</v>
      </c>
      <c r="DH34" s="675">
        <v>0</v>
      </c>
      <c r="DI34" s="675">
        <v>0</v>
      </c>
      <c r="DJ34" s="675">
        <v>0</v>
      </c>
      <c r="DK34" s="675">
        <v>5392</v>
      </c>
      <c r="DL34" s="675">
        <v>0</v>
      </c>
      <c r="DM34" s="675">
        <v>166921</v>
      </c>
      <c r="DN34" s="675">
        <v>0</v>
      </c>
      <c r="DO34" s="675">
        <v>4670</v>
      </c>
      <c r="DP34" s="675">
        <v>0</v>
      </c>
      <c r="DQ34" s="675">
        <v>0</v>
      </c>
      <c r="DR34" s="675">
        <v>0</v>
      </c>
      <c r="DS34" s="675">
        <v>0</v>
      </c>
      <c r="DT34" s="675">
        <v>0.09</v>
      </c>
      <c r="DU34" s="675">
        <v>0</v>
      </c>
      <c r="DV34" s="675">
        <v>0</v>
      </c>
      <c r="DW34" s="675">
        <v>0.13600000000000001</v>
      </c>
      <c r="DX34" s="675">
        <v>0</v>
      </c>
      <c r="DY34" s="675">
        <v>0</v>
      </c>
      <c r="DZ34" s="675">
        <v>0.95000000000000007</v>
      </c>
      <c r="EA34" s="675">
        <v>0</v>
      </c>
      <c r="EB34" s="675">
        <v>0</v>
      </c>
      <c r="EC34" s="675">
        <v>0</v>
      </c>
      <c r="ED34" s="675">
        <v>0</v>
      </c>
      <c r="EE34" s="675">
        <v>0</v>
      </c>
      <c r="EF34" s="675">
        <v>0</v>
      </c>
      <c r="EG34" s="675">
        <v>0</v>
      </c>
      <c r="EH34" s="675">
        <v>162251</v>
      </c>
      <c r="EI34" s="675">
        <v>0</v>
      </c>
      <c r="EJ34" s="675">
        <v>0</v>
      </c>
      <c r="EK34" s="675">
        <v>7.2120000000000006</v>
      </c>
      <c r="EL34" s="675">
        <v>0</v>
      </c>
      <c r="EM34" s="675">
        <v>0</v>
      </c>
      <c r="EN34" s="675">
        <v>0.624</v>
      </c>
      <c r="EO34" s="675">
        <v>0</v>
      </c>
      <c r="EP34" s="675">
        <v>0</v>
      </c>
      <c r="EQ34" s="675">
        <v>7.8360000000000003</v>
      </c>
      <c r="ER34" s="675">
        <v>0</v>
      </c>
      <c r="ES34" s="675">
        <v>24.756</v>
      </c>
      <c r="ET34" s="675">
        <v>9417</v>
      </c>
      <c r="EU34" s="675">
        <v>101907</v>
      </c>
      <c r="EV34" s="675">
        <v>0</v>
      </c>
      <c r="EW34" s="675">
        <v>0</v>
      </c>
      <c r="EX34" s="675">
        <v>0</v>
      </c>
      <c r="EY34" s="675">
        <v>0</v>
      </c>
      <c r="EZ34" s="675">
        <v>2550679</v>
      </c>
      <c r="FA34" s="675">
        <v>0</v>
      </c>
      <c r="FB34" s="675">
        <v>2652586</v>
      </c>
      <c r="FC34" s="675">
        <v>0.97327799999999998</v>
      </c>
      <c r="FD34" s="675">
        <v>0</v>
      </c>
      <c r="FE34" s="675">
        <v>390164</v>
      </c>
      <c r="FF34" s="675">
        <v>87923</v>
      </c>
      <c r="FG34" s="675">
        <v>6.1239999999999996E-2</v>
      </c>
      <c r="FH34" s="675">
        <v>5.4803999999999999E-2</v>
      </c>
      <c r="FI34" s="675">
        <v>0</v>
      </c>
      <c r="FJ34" s="675">
        <v>0</v>
      </c>
      <c r="FK34" s="675">
        <v>502.13100000000003</v>
      </c>
      <c r="FL34" s="675">
        <v>3198357</v>
      </c>
      <c r="FM34" s="675">
        <v>0</v>
      </c>
      <c r="FN34" s="675">
        <v>0</v>
      </c>
      <c r="FO34" s="675">
        <v>19431</v>
      </c>
      <c r="FP34" s="675">
        <v>0</v>
      </c>
      <c r="FQ34" s="675">
        <v>19431</v>
      </c>
      <c r="FR34" s="675">
        <v>19431</v>
      </c>
      <c r="FS34" s="675">
        <v>0</v>
      </c>
      <c r="FT34" s="675">
        <v>0</v>
      </c>
      <c r="FU34" s="675">
        <v>0</v>
      </c>
      <c r="FV34" s="675">
        <v>0</v>
      </c>
      <c r="FW34" s="675">
        <v>0</v>
      </c>
      <c r="FX34" s="675">
        <v>0</v>
      </c>
      <c r="FY34" s="675">
        <v>0</v>
      </c>
      <c r="FZ34" s="675">
        <v>0</v>
      </c>
      <c r="GA34" s="675">
        <v>0</v>
      </c>
      <c r="GB34" s="675">
        <v>0</v>
      </c>
      <c r="GC34" s="675">
        <v>0</v>
      </c>
      <c r="GD34" s="675">
        <v>0</v>
      </c>
      <c r="GE34" s="675">
        <v>0</v>
      </c>
      <c r="GF34" s="675">
        <v>0</v>
      </c>
      <c r="GG34" s="675">
        <v>0</v>
      </c>
      <c r="GH34" s="675">
        <v>0</v>
      </c>
      <c r="GI34" s="675">
        <v>0</v>
      </c>
      <c r="GJ34" s="675">
        <v>0</v>
      </c>
      <c r="GK34" s="675">
        <v>5192</v>
      </c>
      <c r="GL34" s="675">
        <v>14077</v>
      </c>
      <c r="GM34" s="675">
        <v>0</v>
      </c>
      <c r="GN34" s="675">
        <v>49454</v>
      </c>
      <c r="GO34" s="675">
        <v>0</v>
      </c>
      <c r="GP34" s="675">
        <v>3130673</v>
      </c>
      <c r="GQ34" s="675">
        <v>3130673</v>
      </c>
      <c r="GR34" s="675">
        <v>0</v>
      </c>
      <c r="GS34" s="675">
        <v>0</v>
      </c>
      <c r="GT34" s="675">
        <v>0</v>
      </c>
      <c r="GU34" s="675">
        <v>0</v>
      </c>
      <c r="GV34" s="675">
        <v>0</v>
      </c>
      <c r="GW34" s="675">
        <v>0</v>
      </c>
      <c r="GX34" s="675">
        <v>0</v>
      </c>
      <c r="GY34" s="675">
        <v>0</v>
      </c>
      <c r="GZ34" s="675">
        <v>0</v>
      </c>
      <c r="HA34" s="675">
        <v>0</v>
      </c>
      <c r="HB34" s="675">
        <v>260786259</v>
      </c>
      <c r="HC34" s="675">
        <v>5.0923999999999997E-2</v>
      </c>
      <c r="HD34" s="675">
        <v>58267</v>
      </c>
      <c r="HE34" s="675">
        <v>0</v>
      </c>
      <c r="HF34" s="675">
        <v>0</v>
      </c>
      <c r="HG34" s="675">
        <v>0</v>
      </c>
      <c r="HH34" s="675">
        <v>0</v>
      </c>
      <c r="HI34" s="675">
        <v>0</v>
      </c>
      <c r="HJ34" s="675">
        <v>0</v>
      </c>
      <c r="HK34" s="675">
        <v>0</v>
      </c>
      <c r="HL34" s="675">
        <v>0</v>
      </c>
      <c r="HM34" s="675">
        <v>0</v>
      </c>
      <c r="HN34" s="675">
        <v>0</v>
      </c>
      <c r="HO34" s="675">
        <v>0</v>
      </c>
      <c r="HP34" s="675">
        <v>0</v>
      </c>
      <c r="HQ34" s="675">
        <v>0</v>
      </c>
      <c r="HR34" s="675">
        <v>0</v>
      </c>
      <c r="HS34" s="675">
        <v>0</v>
      </c>
      <c r="HT34" s="675">
        <v>0</v>
      </c>
      <c r="HU34" s="675">
        <v>0</v>
      </c>
      <c r="HV34" s="675">
        <v>0</v>
      </c>
      <c r="HW34" s="675">
        <v>0</v>
      </c>
      <c r="HX34" s="675">
        <v>0</v>
      </c>
      <c r="HY34" s="675">
        <v>0</v>
      </c>
      <c r="HZ34" s="675">
        <v>0</v>
      </c>
      <c r="IA34" s="675">
        <v>0</v>
      </c>
      <c r="IB34" s="675">
        <v>0</v>
      </c>
      <c r="IC34" s="675">
        <v>0</v>
      </c>
      <c r="ID34" s="675">
        <v>0</v>
      </c>
      <c r="IE34" s="675">
        <v>0</v>
      </c>
      <c r="IF34" s="675">
        <v>0</v>
      </c>
      <c r="IG34" s="675">
        <v>0</v>
      </c>
      <c r="IH34" s="675">
        <v>0</v>
      </c>
      <c r="II34" s="675">
        <v>0</v>
      </c>
      <c r="IJ34" s="675">
        <v>0</v>
      </c>
      <c r="IK34" s="675">
        <v>0</v>
      </c>
      <c r="IL34" s="675">
        <v>0</v>
      </c>
      <c r="IM34" s="675">
        <v>0</v>
      </c>
      <c r="IN34" s="675">
        <v>0</v>
      </c>
      <c r="IO34" s="675">
        <v>0</v>
      </c>
      <c r="IP34" s="675">
        <v>0</v>
      </c>
      <c r="IQ34" s="675">
        <v>0</v>
      </c>
      <c r="IR34" s="675">
        <v>0</v>
      </c>
      <c r="IS34" s="675">
        <v>0</v>
      </c>
      <c r="IT34" s="675">
        <v>0</v>
      </c>
      <c r="IU34" s="675">
        <v>0</v>
      </c>
      <c r="IV34" s="675">
        <v>0</v>
      </c>
      <c r="IW34" s="675">
        <v>0</v>
      </c>
      <c r="IX34" s="675">
        <v>0</v>
      </c>
      <c r="IY34" s="675">
        <v>0</v>
      </c>
      <c r="IZ34" s="675">
        <v>0</v>
      </c>
      <c r="JA34" s="675">
        <v>0</v>
      </c>
      <c r="JB34" s="675">
        <v>0</v>
      </c>
      <c r="JC34" s="675">
        <v>0</v>
      </c>
      <c r="JD34" s="675">
        <v>0</v>
      </c>
      <c r="JE34" s="675">
        <v>0</v>
      </c>
      <c r="JF34" s="675">
        <v>0</v>
      </c>
      <c r="JG34" s="675">
        <v>0</v>
      </c>
      <c r="JH34" s="675">
        <v>0</v>
      </c>
      <c r="JI34" s="675">
        <v>0</v>
      </c>
      <c r="JJ34" s="675">
        <v>0</v>
      </c>
      <c r="JK34" s="675">
        <v>0</v>
      </c>
      <c r="JL34" s="675">
        <v>0</v>
      </c>
      <c r="JM34" s="675">
        <v>0</v>
      </c>
      <c r="JN34" s="675">
        <v>32469</v>
      </c>
      <c r="JO34" s="675">
        <v>0</v>
      </c>
      <c r="JP34" s="675">
        <v>0</v>
      </c>
      <c r="JQ34" s="675">
        <v>0</v>
      </c>
      <c r="JR34" s="675">
        <v>0</v>
      </c>
      <c r="JS34" s="675">
        <v>0</v>
      </c>
      <c r="JT34" s="675">
        <v>0</v>
      </c>
      <c r="JU34" s="675">
        <v>0</v>
      </c>
      <c r="JV34" s="675">
        <v>0</v>
      </c>
      <c r="JW34" s="675">
        <v>0</v>
      </c>
      <c r="JX34" s="675">
        <v>0</v>
      </c>
      <c r="JY34" s="675">
        <v>0</v>
      </c>
      <c r="JZ34" s="675">
        <v>0</v>
      </c>
      <c r="KA34" s="675">
        <v>0</v>
      </c>
      <c r="KB34" s="675">
        <v>0</v>
      </c>
      <c r="KC34" s="675">
        <v>0</v>
      </c>
      <c r="KD34" s="675">
        <v>0</v>
      </c>
      <c r="KE34" s="675">
        <v>0</v>
      </c>
      <c r="KF34" s="675">
        <v>0</v>
      </c>
    </row>
    <row r="35" spans="1:292" x14ac:dyDescent="0.25">
      <c r="A35" s="675">
        <v>21805</v>
      </c>
      <c r="B35" s="675">
        <v>32570</v>
      </c>
      <c r="C35" s="675">
        <v>35</v>
      </c>
      <c r="D35" s="675">
        <v>2022</v>
      </c>
      <c r="E35" s="675">
        <v>5392</v>
      </c>
      <c r="F35" s="675">
        <v>0</v>
      </c>
      <c r="G35" s="675">
        <v>711.49800000000005</v>
      </c>
      <c r="H35" s="675">
        <v>696.02100000000007</v>
      </c>
      <c r="I35" s="675">
        <v>696.02100000000007</v>
      </c>
      <c r="J35" s="675">
        <v>711.49800000000005</v>
      </c>
      <c r="K35" s="675">
        <v>0</v>
      </c>
      <c r="L35" s="675">
        <v>6554</v>
      </c>
      <c r="M35" s="675">
        <v>0</v>
      </c>
      <c r="N35" s="675">
        <v>0</v>
      </c>
      <c r="O35" s="675">
        <v>0</v>
      </c>
      <c r="P35" s="675">
        <v>644.125</v>
      </c>
      <c r="Q35" s="675">
        <v>0</v>
      </c>
      <c r="R35" s="675">
        <v>205935</v>
      </c>
      <c r="S35" s="675">
        <v>319.71300000000002</v>
      </c>
      <c r="T35" s="675">
        <v>0</v>
      </c>
      <c r="U35" s="675">
        <v>205935</v>
      </c>
      <c r="V35" s="675">
        <v>88.132000000000005</v>
      </c>
      <c r="W35" s="675">
        <v>57762</v>
      </c>
      <c r="X35" s="675">
        <v>57762</v>
      </c>
      <c r="Y35" s="675">
        <v>0</v>
      </c>
      <c r="Z35" s="675">
        <v>0</v>
      </c>
      <c r="AA35" s="675">
        <v>1</v>
      </c>
      <c r="AB35" s="675">
        <v>1</v>
      </c>
      <c r="AC35" s="675">
        <v>0</v>
      </c>
      <c r="AD35" s="675" t="s">
        <v>316</v>
      </c>
      <c r="AE35" s="675">
        <v>0</v>
      </c>
      <c r="AF35" s="675">
        <v>0</v>
      </c>
      <c r="AG35" s="675">
        <v>0</v>
      </c>
      <c r="AH35" s="675">
        <v>0</v>
      </c>
      <c r="AI35" s="675">
        <v>0</v>
      </c>
      <c r="AJ35" s="675">
        <v>5104</v>
      </c>
      <c r="AK35" s="675" t="s">
        <v>671</v>
      </c>
      <c r="AL35" s="675" t="s">
        <v>322</v>
      </c>
      <c r="AM35" s="675">
        <v>0</v>
      </c>
      <c r="AN35" s="675">
        <v>0</v>
      </c>
      <c r="AO35" s="675">
        <v>0</v>
      </c>
      <c r="AP35" s="675">
        <v>0</v>
      </c>
      <c r="AQ35" s="675">
        <v>0</v>
      </c>
      <c r="AR35" s="675">
        <v>0</v>
      </c>
      <c r="AS35" s="675">
        <v>0</v>
      </c>
      <c r="AT35" s="675">
        <v>0</v>
      </c>
      <c r="AU35" s="675">
        <v>0</v>
      </c>
      <c r="AV35" s="675">
        <v>291198</v>
      </c>
      <c r="AW35" s="675">
        <v>7079624</v>
      </c>
      <c r="AX35" s="675">
        <v>6939404</v>
      </c>
      <c r="AY35" s="675">
        <v>7589448</v>
      </c>
      <c r="AZ35" s="675">
        <v>205935</v>
      </c>
      <c r="BA35" s="675">
        <v>0</v>
      </c>
      <c r="BB35" s="675">
        <v>7666</v>
      </c>
      <c r="BC35" s="675">
        <v>7666</v>
      </c>
      <c r="BD35" s="675">
        <v>9.7469999999999999</v>
      </c>
      <c r="BE35" s="675">
        <v>0</v>
      </c>
      <c r="BF35" s="675">
        <v>5863696</v>
      </c>
      <c r="BG35" s="675">
        <v>0</v>
      </c>
      <c r="BH35" s="675">
        <v>0</v>
      </c>
      <c r="BI35" s="675">
        <v>0</v>
      </c>
      <c r="BJ35" s="675">
        <v>12</v>
      </c>
      <c r="BK35" s="675">
        <v>0</v>
      </c>
      <c r="BL35" s="675">
        <v>0</v>
      </c>
      <c r="BM35" s="675">
        <v>0</v>
      </c>
      <c r="BN35" s="675">
        <v>0</v>
      </c>
      <c r="BO35" s="675">
        <v>0</v>
      </c>
      <c r="BP35" s="675">
        <v>0</v>
      </c>
      <c r="BQ35" s="675">
        <v>5392</v>
      </c>
      <c r="BR35" s="675">
        <v>1</v>
      </c>
      <c r="BS35" s="675">
        <v>0</v>
      </c>
      <c r="BT35" s="675">
        <v>0</v>
      </c>
      <c r="BU35" s="675">
        <v>0</v>
      </c>
      <c r="BV35" s="675">
        <v>0</v>
      </c>
      <c r="BW35" s="675">
        <v>0</v>
      </c>
      <c r="BX35" s="675">
        <v>0</v>
      </c>
      <c r="BY35" s="675">
        <v>0</v>
      </c>
      <c r="BZ35" s="675">
        <v>0</v>
      </c>
      <c r="CA35" s="675">
        <v>0</v>
      </c>
      <c r="CB35" s="675">
        <v>0</v>
      </c>
      <c r="CC35" s="675">
        <v>0</v>
      </c>
      <c r="CD35" s="675">
        <v>0</v>
      </c>
      <c r="CE35" s="675">
        <v>0</v>
      </c>
      <c r="CF35" s="675">
        <v>0</v>
      </c>
      <c r="CG35" s="675">
        <v>0</v>
      </c>
      <c r="CH35" s="675">
        <v>140220</v>
      </c>
      <c r="CI35" s="675">
        <v>0</v>
      </c>
      <c r="CJ35" s="675">
        <v>4</v>
      </c>
      <c r="CK35" s="675">
        <v>0</v>
      </c>
      <c r="CL35" s="675">
        <v>0</v>
      </c>
      <c r="CM35" s="675">
        <v>0</v>
      </c>
      <c r="CN35" s="675">
        <v>0</v>
      </c>
      <c r="CO35" s="675">
        <v>0</v>
      </c>
      <c r="CP35" s="675">
        <v>0</v>
      </c>
      <c r="CQ35" s="675">
        <v>0</v>
      </c>
      <c r="CR35" s="675">
        <v>644.125</v>
      </c>
      <c r="CS35" s="675">
        <v>0</v>
      </c>
      <c r="CT35" s="675">
        <v>0</v>
      </c>
      <c r="CU35" s="675">
        <v>0</v>
      </c>
      <c r="CV35" s="675">
        <v>0</v>
      </c>
      <c r="CW35" s="675">
        <v>0</v>
      </c>
      <c r="CX35" s="675">
        <v>0</v>
      </c>
      <c r="CY35" s="675">
        <v>0</v>
      </c>
      <c r="CZ35" s="675">
        <v>0</v>
      </c>
      <c r="DA35" s="675">
        <v>1</v>
      </c>
      <c r="DB35" s="675">
        <v>4561722</v>
      </c>
      <c r="DC35" s="675">
        <v>0</v>
      </c>
      <c r="DD35" s="675">
        <v>0</v>
      </c>
      <c r="DE35" s="675">
        <v>974803</v>
      </c>
      <c r="DF35" s="675">
        <v>974803</v>
      </c>
      <c r="DG35" s="675">
        <v>743.67</v>
      </c>
      <c r="DH35" s="675">
        <v>0</v>
      </c>
      <c r="DI35" s="675">
        <v>0</v>
      </c>
      <c r="DJ35" s="675">
        <v>0</v>
      </c>
      <c r="DK35" s="675">
        <v>5392</v>
      </c>
      <c r="DL35" s="675">
        <v>0</v>
      </c>
      <c r="DM35" s="675">
        <v>422738</v>
      </c>
      <c r="DN35" s="675">
        <v>0</v>
      </c>
      <c r="DO35" s="675">
        <v>147</v>
      </c>
      <c r="DP35" s="675">
        <v>0</v>
      </c>
      <c r="DQ35" s="675">
        <v>0</v>
      </c>
      <c r="DR35" s="675">
        <v>0</v>
      </c>
      <c r="DS35" s="675">
        <v>0</v>
      </c>
      <c r="DT35" s="675">
        <v>0</v>
      </c>
      <c r="DU35" s="675">
        <v>0</v>
      </c>
      <c r="DV35" s="675">
        <v>0</v>
      </c>
      <c r="DW35" s="675">
        <v>6.0000000000000001E-3</v>
      </c>
      <c r="DX35" s="675">
        <v>0</v>
      </c>
      <c r="DY35" s="675">
        <v>0</v>
      </c>
      <c r="DZ35" s="675">
        <v>0.03</v>
      </c>
      <c r="EA35" s="675">
        <v>0</v>
      </c>
      <c r="EB35" s="675">
        <v>0</v>
      </c>
      <c r="EC35" s="675">
        <v>14.843</v>
      </c>
      <c r="ED35" s="675">
        <v>107009</v>
      </c>
      <c r="EE35" s="675">
        <v>0</v>
      </c>
      <c r="EF35" s="675">
        <v>0</v>
      </c>
      <c r="EG35" s="675">
        <v>0</v>
      </c>
      <c r="EH35" s="675">
        <v>315582</v>
      </c>
      <c r="EI35" s="675">
        <v>0</v>
      </c>
      <c r="EJ35" s="675">
        <v>0</v>
      </c>
      <c r="EK35" s="675">
        <v>13.905000000000001</v>
      </c>
      <c r="EL35" s="675">
        <v>0</v>
      </c>
      <c r="EM35" s="675">
        <v>0.71200000000000008</v>
      </c>
      <c r="EN35" s="675">
        <v>0.86</v>
      </c>
      <c r="EO35" s="675">
        <v>0</v>
      </c>
      <c r="EP35" s="675">
        <v>0</v>
      </c>
      <c r="EQ35" s="675">
        <v>15.477</v>
      </c>
      <c r="ER35" s="675">
        <v>0</v>
      </c>
      <c r="ES35" s="675">
        <v>48.151000000000003</v>
      </c>
      <c r="ET35" s="675">
        <v>0</v>
      </c>
      <c r="EU35" s="675">
        <v>205935</v>
      </c>
      <c r="EV35" s="675">
        <v>0</v>
      </c>
      <c r="EW35" s="675">
        <v>0</v>
      </c>
      <c r="EX35" s="675">
        <v>0</v>
      </c>
      <c r="EY35" s="675">
        <v>0</v>
      </c>
      <c r="EZ35" s="675">
        <v>5845534</v>
      </c>
      <c r="FA35" s="675">
        <v>0</v>
      </c>
      <c r="FB35" s="675">
        <v>6051469</v>
      </c>
      <c r="FC35" s="675">
        <v>0.97327799999999998</v>
      </c>
      <c r="FD35" s="675">
        <v>0</v>
      </c>
      <c r="FE35" s="675">
        <v>892701</v>
      </c>
      <c r="FF35" s="675">
        <v>201169</v>
      </c>
      <c r="FG35" s="675">
        <v>6.1239999999999996E-2</v>
      </c>
      <c r="FH35" s="675">
        <v>5.4803999999999999E-2</v>
      </c>
      <c r="FI35" s="675">
        <v>0</v>
      </c>
      <c r="FJ35" s="675">
        <v>0</v>
      </c>
      <c r="FK35" s="675">
        <v>1148.883</v>
      </c>
      <c r="FL35" s="675">
        <v>7285559</v>
      </c>
      <c r="FM35" s="675">
        <v>0</v>
      </c>
      <c r="FN35" s="675">
        <v>0</v>
      </c>
      <c r="FO35" s="675">
        <v>26778</v>
      </c>
      <c r="FP35" s="675">
        <v>0</v>
      </c>
      <c r="FQ35" s="675">
        <v>26778</v>
      </c>
      <c r="FR35" s="675">
        <v>26778</v>
      </c>
      <c r="FS35" s="675">
        <v>0</v>
      </c>
      <c r="FT35" s="675">
        <v>0</v>
      </c>
      <c r="FU35" s="675">
        <v>0</v>
      </c>
      <c r="FV35" s="675">
        <v>0</v>
      </c>
      <c r="FW35" s="675">
        <v>0</v>
      </c>
      <c r="FX35" s="675">
        <v>0</v>
      </c>
      <c r="FY35" s="675">
        <v>0</v>
      </c>
      <c r="FZ35" s="675">
        <v>0</v>
      </c>
      <c r="GA35" s="675">
        <v>0</v>
      </c>
      <c r="GB35" s="675">
        <v>0</v>
      </c>
      <c r="GC35" s="675">
        <v>0</v>
      </c>
      <c r="GD35" s="675">
        <v>0</v>
      </c>
      <c r="GE35" s="675">
        <v>0</v>
      </c>
      <c r="GF35" s="675">
        <v>0</v>
      </c>
      <c r="GG35" s="675">
        <v>0</v>
      </c>
      <c r="GH35" s="675">
        <v>0</v>
      </c>
      <c r="GI35" s="675">
        <v>0</v>
      </c>
      <c r="GJ35" s="675">
        <v>0</v>
      </c>
      <c r="GK35" s="675">
        <v>4971</v>
      </c>
      <c r="GL35" s="675">
        <v>0</v>
      </c>
      <c r="GM35" s="675">
        <v>0</v>
      </c>
      <c r="GN35" s="675">
        <v>0</v>
      </c>
      <c r="GO35" s="675">
        <v>0</v>
      </c>
      <c r="GP35" s="675">
        <v>7145339</v>
      </c>
      <c r="GQ35" s="675">
        <v>7145339</v>
      </c>
      <c r="GR35" s="675">
        <v>0</v>
      </c>
      <c r="GS35" s="675">
        <v>0</v>
      </c>
      <c r="GT35" s="675">
        <v>0</v>
      </c>
      <c r="GU35" s="675">
        <v>0</v>
      </c>
      <c r="GV35" s="675">
        <v>0</v>
      </c>
      <c r="GW35" s="675">
        <v>0</v>
      </c>
      <c r="GX35" s="675">
        <v>0</v>
      </c>
      <c r="GY35" s="675">
        <v>0</v>
      </c>
      <c r="GZ35" s="675">
        <v>0</v>
      </c>
      <c r="HA35" s="675">
        <v>0</v>
      </c>
      <c r="HB35" s="675">
        <v>260786259</v>
      </c>
      <c r="HC35" s="675">
        <v>5.0923999999999997E-2</v>
      </c>
      <c r="HD35" s="675">
        <v>140220</v>
      </c>
      <c r="HE35" s="675">
        <v>0</v>
      </c>
      <c r="HF35" s="675">
        <v>0</v>
      </c>
      <c r="HG35" s="675">
        <v>0</v>
      </c>
      <c r="HH35" s="675">
        <v>0</v>
      </c>
      <c r="HI35" s="675">
        <v>0</v>
      </c>
      <c r="HJ35" s="675">
        <v>0</v>
      </c>
      <c r="HK35" s="675">
        <v>0</v>
      </c>
      <c r="HL35" s="675">
        <v>0</v>
      </c>
      <c r="HM35" s="675">
        <v>0</v>
      </c>
      <c r="HN35" s="675">
        <v>0</v>
      </c>
      <c r="HO35" s="675">
        <v>0</v>
      </c>
      <c r="HP35" s="675">
        <v>0</v>
      </c>
      <c r="HQ35" s="675">
        <v>0</v>
      </c>
      <c r="HR35" s="675">
        <v>0</v>
      </c>
      <c r="HS35" s="675">
        <v>0</v>
      </c>
      <c r="HT35" s="675">
        <v>0</v>
      </c>
      <c r="HU35" s="675">
        <v>0</v>
      </c>
      <c r="HV35" s="675">
        <v>0</v>
      </c>
      <c r="HW35" s="675">
        <v>0</v>
      </c>
      <c r="HX35" s="675">
        <v>0</v>
      </c>
      <c r="HY35" s="675">
        <v>0</v>
      </c>
      <c r="HZ35" s="675">
        <v>0</v>
      </c>
      <c r="IA35" s="675">
        <v>0</v>
      </c>
      <c r="IB35" s="675">
        <v>0</v>
      </c>
      <c r="IC35" s="675">
        <v>0</v>
      </c>
      <c r="ID35" s="675">
        <v>0</v>
      </c>
      <c r="IE35" s="675">
        <v>0</v>
      </c>
      <c r="IF35" s="675">
        <v>0</v>
      </c>
      <c r="IG35" s="675">
        <v>0</v>
      </c>
      <c r="IH35" s="675">
        <v>0</v>
      </c>
      <c r="II35" s="675">
        <v>0</v>
      </c>
      <c r="IJ35" s="675">
        <v>0</v>
      </c>
      <c r="IK35" s="675">
        <v>0</v>
      </c>
      <c r="IL35" s="675">
        <v>0</v>
      </c>
      <c r="IM35" s="675">
        <v>0</v>
      </c>
      <c r="IN35" s="675">
        <v>0</v>
      </c>
      <c r="IO35" s="675">
        <v>0</v>
      </c>
      <c r="IP35" s="675">
        <v>0</v>
      </c>
      <c r="IQ35" s="675">
        <v>0</v>
      </c>
      <c r="IR35" s="675">
        <v>0</v>
      </c>
      <c r="IS35" s="675">
        <v>0</v>
      </c>
      <c r="IT35" s="675">
        <v>0</v>
      </c>
      <c r="IU35" s="675">
        <v>0</v>
      </c>
      <c r="IV35" s="675">
        <v>0</v>
      </c>
      <c r="IW35" s="675">
        <v>0</v>
      </c>
      <c r="IX35" s="675">
        <v>0</v>
      </c>
      <c r="IY35" s="675">
        <v>0</v>
      </c>
      <c r="IZ35" s="675">
        <v>0</v>
      </c>
      <c r="JA35" s="675">
        <v>0</v>
      </c>
      <c r="JB35" s="675">
        <v>0</v>
      </c>
      <c r="JC35" s="675">
        <v>0</v>
      </c>
      <c r="JD35" s="675">
        <v>0</v>
      </c>
      <c r="JE35" s="675">
        <v>0</v>
      </c>
      <c r="JF35" s="675">
        <v>0</v>
      </c>
      <c r="JG35" s="675">
        <v>0</v>
      </c>
      <c r="JH35" s="675">
        <v>0</v>
      </c>
      <c r="JI35" s="675">
        <v>0</v>
      </c>
      <c r="JJ35" s="675">
        <v>0</v>
      </c>
      <c r="JK35" s="675">
        <v>0</v>
      </c>
      <c r="JL35" s="675">
        <v>0</v>
      </c>
      <c r="JM35" s="675">
        <v>0</v>
      </c>
      <c r="JN35" s="675">
        <v>32469</v>
      </c>
      <c r="JO35" s="675">
        <v>0</v>
      </c>
      <c r="JP35" s="675">
        <v>0</v>
      </c>
      <c r="JQ35" s="675">
        <v>0</v>
      </c>
      <c r="JR35" s="675">
        <v>0</v>
      </c>
      <c r="JS35" s="675">
        <v>0</v>
      </c>
      <c r="JT35" s="675">
        <v>0</v>
      </c>
      <c r="JU35" s="675">
        <v>0</v>
      </c>
      <c r="JV35" s="675">
        <v>0</v>
      </c>
      <c r="JW35" s="675">
        <v>0</v>
      </c>
      <c r="JX35" s="675">
        <v>0</v>
      </c>
      <c r="JY35" s="675">
        <v>0</v>
      </c>
      <c r="JZ35" s="675">
        <v>0</v>
      </c>
      <c r="KA35" s="675">
        <v>0</v>
      </c>
      <c r="KB35" s="675">
        <v>0</v>
      </c>
      <c r="KC35" s="675">
        <v>0</v>
      </c>
      <c r="KD35" s="675">
        <v>0</v>
      </c>
      <c r="KE35" s="675">
        <v>0</v>
      </c>
      <c r="KF35" s="675">
        <v>0</v>
      </c>
    </row>
    <row r="36" spans="1:292" ht="13" x14ac:dyDescent="0.3">
      <c r="A36" s="675">
        <v>43801</v>
      </c>
      <c r="B36" s="675">
        <v>32570</v>
      </c>
      <c r="C36" s="675">
        <v>35</v>
      </c>
      <c r="D36" s="675">
        <v>2022</v>
      </c>
      <c r="E36" s="675">
        <v>5392</v>
      </c>
      <c r="F36" s="675">
        <v>0</v>
      </c>
      <c r="G36" s="675">
        <v>1350.2250000000001</v>
      </c>
      <c r="H36" s="675">
        <v>1342.9870000000001</v>
      </c>
      <c r="I36" s="675">
        <v>1342.9870000000001</v>
      </c>
      <c r="J36" s="675">
        <v>1350.2250000000001</v>
      </c>
      <c r="K36" s="675">
        <v>0</v>
      </c>
      <c r="L36" s="675">
        <v>6554</v>
      </c>
      <c r="M36" s="675">
        <v>0</v>
      </c>
      <c r="N36" s="675">
        <v>0</v>
      </c>
      <c r="O36" s="675">
        <v>0</v>
      </c>
      <c r="P36" s="675">
        <v>1343.549</v>
      </c>
      <c r="Q36" s="675">
        <v>0</v>
      </c>
      <c r="R36" s="676">
        <v>429550</v>
      </c>
      <c r="S36" s="675">
        <v>319.71300000000002</v>
      </c>
      <c r="T36" s="675">
        <v>0</v>
      </c>
      <c r="U36" s="676">
        <v>429550</v>
      </c>
      <c r="V36" s="676">
        <v>135.12900000000002</v>
      </c>
      <c r="W36" s="676">
        <v>88564</v>
      </c>
      <c r="X36" s="676">
        <v>88564</v>
      </c>
      <c r="Y36" s="675">
        <v>0</v>
      </c>
      <c r="Z36" s="675">
        <v>0</v>
      </c>
      <c r="AA36" s="675">
        <v>1</v>
      </c>
      <c r="AB36" s="675">
        <v>1</v>
      </c>
      <c r="AC36" s="675">
        <v>0</v>
      </c>
      <c r="AD36" s="675" t="s">
        <v>316</v>
      </c>
      <c r="AE36" s="675">
        <v>0</v>
      </c>
      <c r="AF36" s="675">
        <v>0</v>
      </c>
      <c r="AG36" s="675">
        <v>0</v>
      </c>
      <c r="AH36" s="675">
        <v>0</v>
      </c>
      <c r="AI36" s="675">
        <v>0</v>
      </c>
      <c r="AJ36" s="675">
        <v>5104</v>
      </c>
      <c r="AK36" s="675" t="s">
        <v>671</v>
      </c>
      <c r="AL36" s="675" t="s">
        <v>323</v>
      </c>
      <c r="AM36" s="675">
        <v>0</v>
      </c>
      <c r="AN36" s="675">
        <v>0</v>
      </c>
      <c r="AO36" s="675">
        <v>0</v>
      </c>
      <c r="AP36" s="675">
        <v>0</v>
      </c>
      <c r="AQ36" s="675">
        <v>0</v>
      </c>
      <c r="AR36" s="675">
        <v>0</v>
      </c>
      <c r="AS36" s="675">
        <v>0</v>
      </c>
      <c r="AT36" s="675">
        <v>0</v>
      </c>
      <c r="AU36" s="675">
        <v>0</v>
      </c>
      <c r="AV36" s="675">
        <v>52440</v>
      </c>
      <c r="AW36" s="675">
        <v>11115215</v>
      </c>
      <c r="AX36" s="675">
        <v>10783167</v>
      </c>
      <c r="AY36" s="675">
        <v>11631291</v>
      </c>
      <c r="AZ36" s="675">
        <v>495499</v>
      </c>
      <c r="BA36" s="676">
        <v>0</v>
      </c>
      <c r="BB36" s="675">
        <v>0</v>
      </c>
      <c r="BC36" s="675">
        <v>0</v>
      </c>
      <c r="BD36" s="675">
        <v>0</v>
      </c>
      <c r="BE36" s="675">
        <v>0</v>
      </c>
      <c r="BF36" s="675">
        <v>9236132</v>
      </c>
      <c r="BG36" s="675">
        <v>0</v>
      </c>
      <c r="BH36" s="676">
        <v>239.816</v>
      </c>
      <c r="BI36" s="676">
        <v>65949</v>
      </c>
      <c r="BJ36" s="675">
        <v>12</v>
      </c>
      <c r="BK36" s="675">
        <v>0</v>
      </c>
      <c r="BL36" s="675">
        <v>0</v>
      </c>
      <c r="BM36" s="675">
        <v>0</v>
      </c>
      <c r="BN36" s="675">
        <v>0</v>
      </c>
      <c r="BO36" s="675">
        <v>0</v>
      </c>
      <c r="BP36" s="675">
        <v>0</v>
      </c>
      <c r="BQ36" s="675">
        <v>5392</v>
      </c>
      <c r="BR36" s="675">
        <v>1</v>
      </c>
      <c r="BS36" s="675">
        <v>0</v>
      </c>
      <c r="BT36" s="675">
        <v>0</v>
      </c>
      <c r="BU36" s="675">
        <v>0</v>
      </c>
      <c r="BV36" s="675">
        <v>0</v>
      </c>
      <c r="BW36" s="675">
        <v>0</v>
      </c>
      <c r="BX36" s="675">
        <v>0</v>
      </c>
      <c r="BY36" s="675">
        <v>0</v>
      </c>
      <c r="BZ36" s="675">
        <v>0</v>
      </c>
      <c r="CA36" s="675">
        <v>0</v>
      </c>
      <c r="CB36" s="675">
        <v>0</v>
      </c>
      <c r="CC36" s="675">
        <v>0</v>
      </c>
      <c r="CD36" s="675">
        <v>0</v>
      </c>
      <c r="CE36" s="675">
        <v>0</v>
      </c>
      <c r="CF36" s="675">
        <v>0</v>
      </c>
      <c r="CG36" s="675">
        <v>0</v>
      </c>
      <c r="CH36" s="676">
        <v>266099</v>
      </c>
      <c r="CI36" s="675">
        <v>0</v>
      </c>
      <c r="CJ36" s="675">
        <v>4</v>
      </c>
      <c r="CK36" s="675">
        <v>0</v>
      </c>
      <c r="CL36" s="675">
        <v>0</v>
      </c>
      <c r="CM36" s="675">
        <v>0</v>
      </c>
      <c r="CN36" s="675">
        <v>0</v>
      </c>
      <c r="CO36" s="675">
        <v>0</v>
      </c>
      <c r="CP36" s="675">
        <v>0</v>
      </c>
      <c r="CQ36" s="675">
        <v>0</v>
      </c>
      <c r="CR36" s="675">
        <v>1343.549</v>
      </c>
      <c r="CS36" s="675">
        <v>0</v>
      </c>
      <c r="CT36" s="675">
        <v>0</v>
      </c>
      <c r="CU36" s="675">
        <v>0</v>
      </c>
      <c r="CV36" s="675">
        <v>0</v>
      </c>
      <c r="CW36" s="675">
        <v>0</v>
      </c>
      <c r="CX36" s="675">
        <v>0</v>
      </c>
      <c r="CY36" s="675">
        <v>0</v>
      </c>
      <c r="CZ36" s="675">
        <v>0</v>
      </c>
      <c r="DA36" s="675">
        <v>1</v>
      </c>
      <c r="DB36" s="675">
        <v>8801937</v>
      </c>
      <c r="DC36" s="675">
        <v>0</v>
      </c>
      <c r="DD36" s="675">
        <v>0</v>
      </c>
      <c r="DE36" s="675">
        <v>192688</v>
      </c>
      <c r="DF36" s="675">
        <v>192688</v>
      </c>
      <c r="DG36" s="675">
        <v>147</v>
      </c>
      <c r="DH36" s="675">
        <v>0</v>
      </c>
      <c r="DI36" s="675">
        <v>0</v>
      </c>
      <c r="DJ36" s="675">
        <v>0</v>
      </c>
      <c r="DK36" s="675">
        <v>5392</v>
      </c>
      <c r="DL36" s="675">
        <v>0</v>
      </c>
      <c r="DM36" s="675">
        <v>406532</v>
      </c>
      <c r="DN36" s="675">
        <v>0</v>
      </c>
      <c r="DO36" s="675">
        <v>796</v>
      </c>
      <c r="DP36" s="675">
        <v>0</v>
      </c>
      <c r="DQ36" s="675">
        <v>0</v>
      </c>
      <c r="DR36" s="675">
        <v>0</v>
      </c>
      <c r="DS36" s="675">
        <v>0</v>
      </c>
      <c r="DT36" s="675">
        <v>5.3999999999999999E-2</v>
      </c>
      <c r="DU36" s="675">
        <v>0</v>
      </c>
      <c r="DV36" s="675">
        <v>0</v>
      </c>
      <c r="DW36" s="675">
        <v>0</v>
      </c>
      <c r="DX36" s="675">
        <v>0</v>
      </c>
      <c r="DY36" s="675">
        <v>0</v>
      </c>
      <c r="DZ36" s="675">
        <v>0.16200000000000001</v>
      </c>
      <c r="EA36" s="675">
        <v>0</v>
      </c>
      <c r="EB36" s="675">
        <v>0</v>
      </c>
      <c r="EC36" s="675">
        <v>34.036999999999999</v>
      </c>
      <c r="ED36" s="675">
        <v>245386</v>
      </c>
      <c r="EE36" s="675">
        <v>0</v>
      </c>
      <c r="EF36" s="675">
        <v>0</v>
      </c>
      <c r="EG36" s="675">
        <v>0</v>
      </c>
      <c r="EH36" s="675">
        <v>160350</v>
      </c>
      <c r="EI36" s="675">
        <v>0</v>
      </c>
      <c r="EJ36" s="675">
        <v>0</v>
      </c>
      <c r="EK36" s="675">
        <v>5.7629999999999999</v>
      </c>
      <c r="EL36" s="675">
        <v>0</v>
      </c>
      <c r="EM36" s="675">
        <v>9.9000000000000005E-2</v>
      </c>
      <c r="EN36" s="675">
        <v>1.3760000000000001</v>
      </c>
      <c r="EO36" s="675">
        <v>0</v>
      </c>
      <c r="EP36" s="675">
        <v>0</v>
      </c>
      <c r="EQ36" s="675">
        <v>7.2380000000000004</v>
      </c>
      <c r="ER36" s="675">
        <v>0</v>
      </c>
      <c r="ES36" s="675">
        <v>24.466000000000001</v>
      </c>
      <c r="ET36" s="676">
        <v>0</v>
      </c>
      <c r="EU36" s="675">
        <v>495499</v>
      </c>
      <c r="EV36" s="675">
        <v>0</v>
      </c>
      <c r="EW36" s="675">
        <v>0</v>
      </c>
      <c r="EX36" s="675">
        <v>0</v>
      </c>
      <c r="EY36" s="675">
        <v>0</v>
      </c>
      <c r="EZ36" s="675">
        <v>9060171</v>
      </c>
      <c r="FA36" s="675">
        <v>0</v>
      </c>
      <c r="FB36" s="676">
        <v>9555670</v>
      </c>
      <c r="FC36" s="675">
        <v>0.97327799999999998</v>
      </c>
      <c r="FD36" s="675">
        <v>0</v>
      </c>
      <c r="FE36" s="675">
        <v>1406127</v>
      </c>
      <c r="FF36" s="675">
        <v>316869</v>
      </c>
      <c r="FG36" s="675">
        <v>6.1239999999999996E-2</v>
      </c>
      <c r="FH36" s="675">
        <v>5.4803999999999999E-2</v>
      </c>
      <c r="FI36" s="675">
        <v>0</v>
      </c>
      <c r="FJ36" s="675">
        <v>0</v>
      </c>
      <c r="FK36" s="675">
        <v>1809.6490000000001</v>
      </c>
      <c r="FL36" s="675">
        <v>11544765</v>
      </c>
      <c r="FM36" s="675">
        <v>0</v>
      </c>
      <c r="FN36" s="675">
        <v>0</v>
      </c>
      <c r="FO36" s="675">
        <v>0</v>
      </c>
      <c r="FP36" s="675">
        <v>0</v>
      </c>
      <c r="FQ36" s="675">
        <v>0</v>
      </c>
      <c r="FR36" s="675">
        <v>0</v>
      </c>
      <c r="FS36" s="675">
        <v>0</v>
      </c>
      <c r="FT36" s="675">
        <v>0</v>
      </c>
      <c r="FU36" s="675">
        <v>0</v>
      </c>
      <c r="FV36" s="675">
        <v>0</v>
      </c>
      <c r="FW36" s="675">
        <v>0</v>
      </c>
      <c r="FX36" s="675">
        <v>0</v>
      </c>
      <c r="FY36" s="675">
        <v>0</v>
      </c>
      <c r="FZ36" s="675">
        <v>0</v>
      </c>
      <c r="GA36" s="675">
        <v>0</v>
      </c>
      <c r="GB36" s="676">
        <v>0</v>
      </c>
      <c r="GC36" s="676">
        <v>0</v>
      </c>
      <c r="GD36" s="676">
        <v>0</v>
      </c>
      <c r="GE36" s="675">
        <v>0</v>
      </c>
      <c r="GF36" s="675">
        <v>0</v>
      </c>
      <c r="GG36" s="675">
        <v>0</v>
      </c>
      <c r="GH36" s="675">
        <v>0</v>
      </c>
      <c r="GI36" s="675">
        <v>0</v>
      </c>
      <c r="GJ36" s="675">
        <v>0</v>
      </c>
      <c r="GK36" s="675">
        <v>4971</v>
      </c>
      <c r="GL36" s="675">
        <v>0</v>
      </c>
      <c r="GM36" s="675">
        <v>0</v>
      </c>
      <c r="GN36" s="675">
        <v>0</v>
      </c>
      <c r="GO36" s="675">
        <v>0</v>
      </c>
      <c r="GP36" s="675">
        <v>11278666</v>
      </c>
      <c r="GQ36" s="675">
        <v>11278666</v>
      </c>
      <c r="GR36" s="675">
        <v>0</v>
      </c>
      <c r="GS36" s="675">
        <v>0</v>
      </c>
      <c r="GT36" s="675">
        <v>0</v>
      </c>
      <c r="GU36" s="675">
        <v>0</v>
      </c>
      <c r="GV36" s="675">
        <v>0</v>
      </c>
      <c r="GW36" s="675">
        <v>0</v>
      </c>
      <c r="GX36" s="675">
        <v>0</v>
      </c>
      <c r="GY36" s="675">
        <v>0</v>
      </c>
      <c r="GZ36" s="675">
        <v>0</v>
      </c>
      <c r="HA36" s="675">
        <v>0</v>
      </c>
      <c r="HB36" s="675">
        <v>260786259</v>
      </c>
      <c r="HC36" s="675">
        <v>5.0923999999999997E-2</v>
      </c>
      <c r="HD36" s="676">
        <v>266099</v>
      </c>
      <c r="HE36" s="675">
        <v>0</v>
      </c>
      <c r="HF36" s="675">
        <v>0</v>
      </c>
      <c r="HG36" s="675">
        <v>0</v>
      </c>
      <c r="HH36" s="675">
        <v>0</v>
      </c>
      <c r="HI36" s="675">
        <v>0</v>
      </c>
      <c r="HJ36" s="675">
        <v>0</v>
      </c>
      <c r="HK36" s="675">
        <v>0</v>
      </c>
      <c r="HL36" s="675">
        <v>0</v>
      </c>
      <c r="HM36" s="675">
        <v>0</v>
      </c>
      <c r="HN36" s="675">
        <v>0</v>
      </c>
      <c r="HO36" s="675">
        <v>0</v>
      </c>
      <c r="HP36" s="675">
        <v>0</v>
      </c>
      <c r="HQ36" s="675">
        <v>0</v>
      </c>
      <c r="HR36" s="675">
        <v>0</v>
      </c>
      <c r="HS36" s="675">
        <v>0</v>
      </c>
      <c r="HT36" s="675">
        <v>0</v>
      </c>
      <c r="HU36" s="675">
        <v>0</v>
      </c>
      <c r="HV36" s="675">
        <v>0</v>
      </c>
      <c r="HW36" s="675">
        <v>0</v>
      </c>
      <c r="HX36" s="675">
        <v>0</v>
      </c>
      <c r="HY36" s="675">
        <v>0</v>
      </c>
      <c r="HZ36" s="675">
        <v>0</v>
      </c>
      <c r="IA36" s="675">
        <v>0</v>
      </c>
      <c r="IB36" s="675">
        <v>0</v>
      </c>
      <c r="IC36" s="675">
        <v>0</v>
      </c>
      <c r="ID36" s="675">
        <v>0</v>
      </c>
      <c r="IE36" s="675">
        <v>0</v>
      </c>
      <c r="IF36" s="675">
        <v>0</v>
      </c>
      <c r="IG36" s="675">
        <v>0</v>
      </c>
      <c r="IH36" s="675">
        <v>0</v>
      </c>
      <c r="II36" s="675">
        <v>0</v>
      </c>
      <c r="IJ36" s="675">
        <v>0</v>
      </c>
      <c r="IK36" s="675">
        <v>0</v>
      </c>
      <c r="IL36" s="675">
        <v>0</v>
      </c>
      <c r="IM36" s="675">
        <v>0</v>
      </c>
      <c r="IN36" s="675">
        <v>0</v>
      </c>
      <c r="IO36" s="675">
        <v>0</v>
      </c>
      <c r="IP36" s="675">
        <v>0</v>
      </c>
      <c r="IQ36" s="675">
        <v>0</v>
      </c>
      <c r="IR36" s="675">
        <v>0</v>
      </c>
      <c r="IS36" s="675">
        <v>0</v>
      </c>
      <c r="IT36" s="675">
        <v>0</v>
      </c>
      <c r="IU36" s="675">
        <v>0</v>
      </c>
      <c r="IV36" s="675">
        <v>0</v>
      </c>
      <c r="IW36" s="675">
        <v>0</v>
      </c>
      <c r="IX36" s="675">
        <v>0</v>
      </c>
      <c r="IY36" s="675">
        <v>0</v>
      </c>
      <c r="IZ36" s="675">
        <v>0</v>
      </c>
      <c r="JA36" s="675">
        <v>0</v>
      </c>
      <c r="JB36" s="675">
        <v>0</v>
      </c>
      <c r="JC36" s="675">
        <v>0</v>
      </c>
      <c r="JD36" s="675">
        <v>0</v>
      </c>
      <c r="JE36" s="675">
        <v>0</v>
      </c>
      <c r="JF36" s="675">
        <v>0</v>
      </c>
      <c r="JG36" s="675">
        <v>0</v>
      </c>
      <c r="JH36" s="675">
        <v>0</v>
      </c>
      <c r="JI36" s="675">
        <v>0</v>
      </c>
      <c r="JJ36" s="675">
        <v>0</v>
      </c>
      <c r="JK36" s="675">
        <v>0</v>
      </c>
      <c r="JL36" s="675">
        <v>0</v>
      </c>
      <c r="JM36" s="675">
        <v>0</v>
      </c>
      <c r="JN36" s="675">
        <v>32469</v>
      </c>
      <c r="JO36" s="675">
        <v>0</v>
      </c>
      <c r="JP36" s="675">
        <v>0</v>
      </c>
      <c r="JQ36" s="675">
        <v>0</v>
      </c>
      <c r="JR36" s="675">
        <v>0</v>
      </c>
      <c r="JS36" s="675">
        <v>0</v>
      </c>
      <c r="JT36" s="675">
        <v>0</v>
      </c>
      <c r="JU36" s="675">
        <v>0</v>
      </c>
      <c r="JV36" s="675">
        <v>0</v>
      </c>
      <c r="JW36" s="675">
        <v>0</v>
      </c>
      <c r="JX36" s="675">
        <v>0</v>
      </c>
      <c r="JY36" s="675">
        <v>0</v>
      </c>
      <c r="JZ36" s="675">
        <v>0</v>
      </c>
      <c r="KA36" s="675">
        <v>0</v>
      </c>
      <c r="KB36" s="675">
        <v>0</v>
      </c>
      <c r="KC36" s="675">
        <v>0</v>
      </c>
      <c r="KD36" s="675">
        <v>0</v>
      </c>
      <c r="KE36" s="675">
        <v>0</v>
      </c>
      <c r="KF36" s="675">
        <v>0</v>
      </c>
    </row>
    <row r="37" spans="1:292" ht="13" x14ac:dyDescent="0.3">
      <c r="A37" s="675">
        <v>43802</v>
      </c>
      <c r="B37" s="675">
        <v>32570</v>
      </c>
      <c r="C37" s="675">
        <v>35</v>
      </c>
      <c r="D37" s="675">
        <v>2022</v>
      </c>
      <c r="E37" s="675">
        <v>5392</v>
      </c>
      <c r="F37" s="675">
        <v>0</v>
      </c>
      <c r="G37" s="675">
        <v>178.446</v>
      </c>
      <c r="H37" s="675">
        <v>174.636</v>
      </c>
      <c r="I37" s="675">
        <v>174.636</v>
      </c>
      <c r="J37" s="675">
        <v>178.446</v>
      </c>
      <c r="K37" s="675">
        <v>0</v>
      </c>
      <c r="L37" s="675">
        <v>6554</v>
      </c>
      <c r="M37" s="675">
        <v>0</v>
      </c>
      <c r="N37" s="675">
        <v>0</v>
      </c>
      <c r="O37" s="675">
        <v>0</v>
      </c>
      <c r="P37" s="675">
        <v>160.12100000000001</v>
      </c>
      <c r="Q37" s="675">
        <v>0</v>
      </c>
      <c r="R37" s="676">
        <v>51193</v>
      </c>
      <c r="S37" s="675">
        <v>319.71300000000002</v>
      </c>
      <c r="T37" s="675">
        <v>0</v>
      </c>
      <c r="U37" s="676">
        <v>51193</v>
      </c>
      <c r="V37" s="676">
        <v>18.958000000000002</v>
      </c>
      <c r="W37" s="676">
        <v>12425</v>
      </c>
      <c r="X37" s="676">
        <v>12425</v>
      </c>
      <c r="Y37" s="675">
        <v>0</v>
      </c>
      <c r="Z37" s="675">
        <v>0</v>
      </c>
      <c r="AA37" s="675">
        <v>1</v>
      </c>
      <c r="AB37" s="675">
        <v>1</v>
      </c>
      <c r="AC37" s="675">
        <v>0</v>
      </c>
      <c r="AD37" s="675" t="s">
        <v>316</v>
      </c>
      <c r="AE37" s="675">
        <v>0</v>
      </c>
      <c r="AF37" s="675">
        <v>0</v>
      </c>
      <c r="AG37" s="675">
        <v>0</v>
      </c>
      <c r="AH37" s="675">
        <v>0</v>
      </c>
      <c r="AI37" s="675">
        <v>0</v>
      </c>
      <c r="AJ37" s="675">
        <v>5104</v>
      </c>
      <c r="AK37" s="675" t="s">
        <v>671</v>
      </c>
      <c r="AL37" s="675" t="s">
        <v>446</v>
      </c>
      <c r="AM37" s="675">
        <v>0</v>
      </c>
      <c r="AN37" s="675">
        <v>0</v>
      </c>
      <c r="AO37" s="675">
        <v>0</v>
      </c>
      <c r="AP37" s="675">
        <v>0</v>
      </c>
      <c r="AQ37" s="675">
        <v>0</v>
      </c>
      <c r="AR37" s="675">
        <v>0</v>
      </c>
      <c r="AS37" s="675">
        <v>0</v>
      </c>
      <c r="AT37" s="675">
        <v>0</v>
      </c>
      <c r="AU37" s="675">
        <v>0</v>
      </c>
      <c r="AV37" s="675">
        <v>47360</v>
      </c>
      <c r="AW37" s="675">
        <v>1454098</v>
      </c>
      <c r="AX37" s="675">
        <v>1418930</v>
      </c>
      <c r="AY37" s="675">
        <v>1572026</v>
      </c>
      <c r="AZ37" s="675">
        <v>51193</v>
      </c>
      <c r="BA37" s="676">
        <v>0</v>
      </c>
      <c r="BB37" s="675">
        <v>7017</v>
      </c>
      <c r="BC37" s="675">
        <v>7017</v>
      </c>
      <c r="BD37" s="675">
        <v>8.9220000000000006</v>
      </c>
      <c r="BE37" s="675">
        <v>0</v>
      </c>
      <c r="BF37" s="675">
        <v>1210969</v>
      </c>
      <c r="BG37" s="675">
        <v>0</v>
      </c>
      <c r="BH37" s="676">
        <v>0</v>
      </c>
      <c r="BI37" s="676">
        <v>0</v>
      </c>
      <c r="BJ37" s="675">
        <v>12</v>
      </c>
      <c r="BK37" s="675">
        <v>0</v>
      </c>
      <c r="BL37" s="675">
        <v>0</v>
      </c>
      <c r="BM37" s="675">
        <v>0</v>
      </c>
      <c r="BN37" s="675">
        <v>0</v>
      </c>
      <c r="BO37" s="675">
        <v>0</v>
      </c>
      <c r="BP37" s="675">
        <v>0</v>
      </c>
      <c r="BQ37" s="675">
        <v>5392</v>
      </c>
      <c r="BR37" s="675">
        <v>1</v>
      </c>
      <c r="BS37" s="675">
        <v>0</v>
      </c>
      <c r="BT37" s="675">
        <v>0</v>
      </c>
      <c r="BU37" s="675">
        <v>0</v>
      </c>
      <c r="BV37" s="675">
        <v>0</v>
      </c>
      <c r="BW37" s="675">
        <v>0</v>
      </c>
      <c r="BX37" s="675">
        <v>0</v>
      </c>
      <c r="BY37" s="675">
        <v>0</v>
      </c>
      <c r="BZ37" s="675">
        <v>0</v>
      </c>
      <c r="CA37" s="675">
        <v>0</v>
      </c>
      <c r="CB37" s="675">
        <v>0</v>
      </c>
      <c r="CC37" s="675">
        <v>0</v>
      </c>
      <c r="CD37" s="675">
        <v>0</v>
      </c>
      <c r="CE37" s="675">
        <v>0</v>
      </c>
      <c r="CF37" s="675">
        <v>0</v>
      </c>
      <c r="CG37" s="675">
        <v>0</v>
      </c>
      <c r="CH37" s="676">
        <v>35168</v>
      </c>
      <c r="CI37" s="675">
        <v>0</v>
      </c>
      <c r="CJ37" s="675">
        <v>5</v>
      </c>
      <c r="CK37" s="675">
        <v>0</v>
      </c>
      <c r="CL37" s="675">
        <v>0</v>
      </c>
      <c r="CM37" s="675">
        <v>0</v>
      </c>
      <c r="CN37" s="675">
        <v>0</v>
      </c>
      <c r="CO37" s="675">
        <v>0</v>
      </c>
      <c r="CP37" s="675">
        <v>0</v>
      </c>
      <c r="CQ37" s="675">
        <v>0</v>
      </c>
      <c r="CR37" s="675">
        <v>160.12100000000001</v>
      </c>
      <c r="CS37" s="675">
        <v>0</v>
      </c>
      <c r="CT37" s="675">
        <v>0</v>
      </c>
      <c r="CU37" s="675">
        <v>0</v>
      </c>
      <c r="CV37" s="675">
        <v>0</v>
      </c>
      <c r="CW37" s="675">
        <v>0</v>
      </c>
      <c r="CX37" s="675">
        <v>0</v>
      </c>
      <c r="CY37" s="675">
        <v>0</v>
      </c>
      <c r="CZ37" s="675">
        <v>0</v>
      </c>
      <c r="DA37" s="675">
        <v>1</v>
      </c>
      <c r="DB37" s="675">
        <v>1144564</v>
      </c>
      <c r="DC37" s="675">
        <v>0</v>
      </c>
      <c r="DD37" s="675">
        <v>0</v>
      </c>
      <c r="DE37" s="675">
        <v>0</v>
      </c>
      <c r="DF37" s="675">
        <v>0</v>
      </c>
      <c r="DG37" s="675">
        <v>0</v>
      </c>
      <c r="DH37" s="675">
        <v>0</v>
      </c>
      <c r="DI37" s="675">
        <v>0</v>
      </c>
      <c r="DJ37" s="675">
        <v>0</v>
      </c>
      <c r="DK37" s="675">
        <v>5392</v>
      </c>
      <c r="DL37" s="675">
        <v>0</v>
      </c>
      <c r="DM37" s="675">
        <v>80212</v>
      </c>
      <c r="DN37" s="675">
        <v>0</v>
      </c>
      <c r="DO37" s="675">
        <v>0</v>
      </c>
      <c r="DP37" s="675">
        <v>0</v>
      </c>
      <c r="DQ37" s="675">
        <v>0</v>
      </c>
      <c r="DR37" s="675">
        <v>0</v>
      </c>
      <c r="DS37" s="675">
        <v>0</v>
      </c>
      <c r="DT37" s="675">
        <v>0</v>
      </c>
      <c r="DU37" s="675">
        <v>0</v>
      </c>
      <c r="DV37" s="675">
        <v>0</v>
      </c>
      <c r="DW37" s="675">
        <v>0</v>
      </c>
      <c r="DX37" s="675">
        <v>0</v>
      </c>
      <c r="DY37" s="675">
        <v>0</v>
      </c>
      <c r="DZ37" s="675">
        <v>0</v>
      </c>
      <c r="EA37" s="675">
        <v>0</v>
      </c>
      <c r="EB37" s="675">
        <v>0</v>
      </c>
      <c r="EC37" s="675">
        <v>4.5999999999999999E-2</v>
      </c>
      <c r="ED37" s="675">
        <v>332</v>
      </c>
      <c r="EE37" s="675">
        <v>0</v>
      </c>
      <c r="EF37" s="675">
        <v>0</v>
      </c>
      <c r="EG37" s="675">
        <v>0</v>
      </c>
      <c r="EH37" s="675">
        <v>79880</v>
      </c>
      <c r="EI37" s="675">
        <v>0</v>
      </c>
      <c r="EJ37" s="675">
        <v>0</v>
      </c>
      <c r="EK37" s="675">
        <v>2.512</v>
      </c>
      <c r="EL37" s="675">
        <v>0</v>
      </c>
      <c r="EM37" s="675">
        <v>0.91900000000000004</v>
      </c>
      <c r="EN37" s="675">
        <v>0.379</v>
      </c>
      <c r="EO37" s="675">
        <v>0</v>
      </c>
      <c r="EP37" s="675">
        <v>0</v>
      </c>
      <c r="EQ37" s="675">
        <v>3.81</v>
      </c>
      <c r="ER37" s="675">
        <v>0</v>
      </c>
      <c r="ES37" s="675">
        <v>12.188000000000001</v>
      </c>
      <c r="ET37" s="676">
        <v>0</v>
      </c>
      <c r="EU37" s="675">
        <v>51193</v>
      </c>
      <c r="EV37" s="675">
        <v>0</v>
      </c>
      <c r="EW37" s="675">
        <v>0</v>
      </c>
      <c r="EX37" s="675">
        <v>0</v>
      </c>
      <c r="EY37" s="675">
        <v>0</v>
      </c>
      <c r="EZ37" s="675">
        <v>1193025</v>
      </c>
      <c r="FA37" s="675">
        <v>0</v>
      </c>
      <c r="FB37" s="676">
        <v>1244218</v>
      </c>
      <c r="FC37" s="675">
        <v>0.97327799999999998</v>
      </c>
      <c r="FD37" s="675">
        <v>0</v>
      </c>
      <c r="FE37" s="675">
        <v>184360</v>
      </c>
      <c r="FF37" s="675">
        <v>41545</v>
      </c>
      <c r="FG37" s="675">
        <v>6.1239999999999996E-2</v>
      </c>
      <c r="FH37" s="675">
        <v>5.4803999999999999E-2</v>
      </c>
      <c r="FI37" s="675">
        <v>0</v>
      </c>
      <c r="FJ37" s="675">
        <v>0</v>
      </c>
      <c r="FK37" s="675">
        <v>237.26700000000002</v>
      </c>
      <c r="FL37" s="675">
        <v>1505291</v>
      </c>
      <c r="FM37" s="675">
        <v>0</v>
      </c>
      <c r="FN37" s="675">
        <v>0</v>
      </c>
      <c r="FO37" s="675">
        <v>0</v>
      </c>
      <c r="FP37" s="675">
        <v>0</v>
      </c>
      <c r="FQ37" s="675">
        <v>0</v>
      </c>
      <c r="FR37" s="675">
        <v>0</v>
      </c>
      <c r="FS37" s="675">
        <v>0</v>
      </c>
      <c r="FT37" s="675">
        <v>0</v>
      </c>
      <c r="FU37" s="675">
        <v>0</v>
      </c>
      <c r="FV37" s="675">
        <v>0</v>
      </c>
      <c r="FW37" s="675">
        <v>0</v>
      </c>
      <c r="FX37" s="675">
        <v>0</v>
      </c>
      <c r="FY37" s="675">
        <v>0</v>
      </c>
      <c r="FZ37" s="675">
        <v>0</v>
      </c>
      <c r="GA37" s="675">
        <v>0</v>
      </c>
      <c r="GB37" s="676">
        <v>0</v>
      </c>
      <c r="GC37" s="676">
        <v>0</v>
      </c>
      <c r="GD37" s="676">
        <v>0</v>
      </c>
      <c r="GE37" s="675">
        <v>0</v>
      </c>
      <c r="GF37" s="675">
        <v>0</v>
      </c>
      <c r="GG37" s="675">
        <v>0</v>
      </c>
      <c r="GH37" s="675">
        <v>0</v>
      </c>
      <c r="GI37" s="675">
        <v>0</v>
      </c>
      <c r="GJ37" s="675">
        <v>0</v>
      </c>
      <c r="GK37" s="675">
        <v>0</v>
      </c>
      <c r="GL37" s="675">
        <v>0</v>
      </c>
      <c r="GM37" s="675">
        <v>0</v>
      </c>
      <c r="GN37" s="675">
        <v>0</v>
      </c>
      <c r="GO37" s="675">
        <v>0</v>
      </c>
      <c r="GP37" s="675">
        <v>1470123</v>
      </c>
      <c r="GQ37" s="675">
        <v>1470123</v>
      </c>
      <c r="GR37" s="675">
        <v>0</v>
      </c>
      <c r="GS37" s="675">
        <v>0</v>
      </c>
      <c r="GT37" s="675">
        <v>0</v>
      </c>
      <c r="GU37" s="675">
        <v>0</v>
      </c>
      <c r="GV37" s="675">
        <v>0</v>
      </c>
      <c r="GW37" s="675">
        <v>0</v>
      </c>
      <c r="GX37" s="675">
        <v>0</v>
      </c>
      <c r="GY37" s="675">
        <v>0</v>
      </c>
      <c r="GZ37" s="675">
        <v>0</v>
      </c>
      <c r="HA37" s="675">
        <v>0</v>
      </c>
      <c r="HB37" s="675">
        <v>260786259</v>
      </c>
      <c r="HC37" s="675">
        <v>5.0923999999999997E-2</v>
      </c>
      <c r="HD37" s="676">
        <v>35168</v>
      </c>
      <c r="HE37" s="675">
        <v>0</v>
      </c>
      <c r="HF37" s="675">
        <v>0</v>
      </c>
      <c r="HG37" s="675">
        <v>0</v>
      </c>
      <c r="HH37" s="675">
        <v>0</v>
      </c>
      <c r="HI37" s="675">
        <v>0</v>
      </c>
      <c r="HJ37" s="675">
        <v>0</v>
      </c>
      <c r="HK37" s="675">
        <v>0</v>
      </c>
      <c r="HL37" s="675">
        <v>0</v>
      </c>
      <c r="HM37" s="675">
        <v>0</v>
      </c>
      <c r="HN37" s="675">
        <v>0</v>
      </c>
      <c r="HO37" s="675">
        <v>0</v>
      </c>
      <c r="HP37" s="675">
        <v>0</v>
      </c>
      <c r="HQ37" s="675">
        <v>0</v>
      </c>
      <c r="HR37" s="675">
        <v>0</v>
      </c>
      <c r="HS37" s="675">
        <v>0</v>
      </c>
      <c r="HT37" s="675">
        <v>0</v>
      </c>
      <c r="HU37" s="675">
        <v>0</v>
      </c>
      <c r="HV37" s="675">
        <v>0</v>
      </c>
      <c r="HW37" s="675">
        <v>0</v>
      </c>
      <c r="HX37" s="675">
        <v>0</v>
      </c>
      <c r="HY37" s="675">
        <v>0</v>
      </c>
      <c r="HZ37" s="675">
        <v>0</v>
      </c>
      <c r="IA37" s="675">
        <v>0</v>
      </c>
      <c r="IB37" s="675">
        <v>0</v>
      </c>
      <c r="IC37" s="675">
        <v>0</v>
      </c>
      <c r="ID37" s="675">
        <v>0</v>
      </c>
      <c r="IE37" s="675">
        <v>0</v>
      </c>
      <c r="IF37" s="675">
        <v>0</v>
      </c>
      <c r="IG37" s="675">
        <v>0</v>
      </c>
      <c r="IH37" s="675">
        <v>0</v>
      </c>
      <c r="II37" s="675">
        <v>0</v>
      </c>
      <c r="IJ37" s="675">
        <v>0</v>
      </c>
      <c r="IK37" s="675">
        <v>0</v>
      </c>
      <c r="IL37" s="675">
        <v>0</v>
      </c>
      <c r="IM37" s="675">
        <v>0</v>
      </c>
      <c r="IN37" s="675">
        <v>0</v>
      </c>
      <c r="IO37" s="675">
        <v>0</v>
      </c>
      <c r="IP37" s="675">
        <v>0</v>
      </c>
      <c r="IQ37" s="675">
        <v>0</v>
      </c>
      <c r="IR37" s="675">
        <v>0</v>
      </c>
      <c r="IS37" s="675">
        <v>0</v>
      </c>
      <c r="IT37" s="675">
        <v>0</v>
      </c>
      <c r="IU37" s="675">
        <v>0</v>
      </c>
      <c r="IV37" s="675">
        <v>0</v>
      </c>
      <c r="IW37" s="675">
        <v>0</v>
      </c>
      <c r="IX37" s="675">
        <v>0</v>
      </c>
      <c r="IY37" s="675">
        <v>0</v>
      </c>
      <c r="IZ37" s="675">
        <v>0</v>
      </c>
      <c r="JA37" s="675">
        <v>0</v>
      </c>
      <c r="JB37" s="675">
        <v>0</v>
      </c>
      <c r="JC37" s="675">
        <v>0</v>
      </c>
      <c r="JD37" s="675">
        <v>0</v>
      </c>
      <c r="JE37" s="675">
        <v>0</v>
      </c>
      <c r="JF37" s="675">
        <v>0</v>
      </c>
      <c r="JG37" s="675">
        <v>0</v>
      </c>
      <c r="JH37" s="675">
        <v>0</v>
      </c>
      <c r="JI37" s="675">
        <v>0</v>
      </c>
      <c r="JJ37" s="675">
        <v>0</v>
      </c>
      <c r="JK37" s="675">
        <v>0</v>
      </c>
      <c r="JL37" s="675">
        <v>0</v>
      </c>
      <c r="JM37" s="675">
        <v>0</v>
      </c>
      <c r="JN37" s="675">
        <v>32469</v>
      </c>
      <c r="JO37" s="675">
        <v>0</v>
      </c>
      <c r="JP37" s="675">
        <v>0</v>
      </c>
      <c r="JQ37" s="675">
        <v>0</v>
      </c>
      <c r="JR37" s="675">
        <v>0</v>
      </c>
      <c r="JS37" s="675">
        <v>0</v>
      </c>
      <c r="JT37" s="675">
        <v>0</v>
      </c>
      <c r="JU37" s="675">
        <v>0</v>
      </c>
      <c r="JV37" s="675">
        <v>0</v>
      </c>
      <c r="JW37" s="675">
        <v>0</v>
      </c>
      <c r="JX37" s="675">
        <v>0</v>
      </c>
      <c r="JY37" s="675">
        <v>0</v>
      </c>
      <c r="JZ37" s="675">
        <v>0</v>
      </c>
      <c r="KA37" s="675">
        <v>0</v>
      </c>
      <c r="KB37" s="675">
        <v>0</v>
      </c>
      <c r="KC37" s="675">
        <v>0</v>
      </c>
      <c r="KD37" s="675">
        <v>0</v>
      </c>
      <c r="KE37" s="675">
        <v>0</v>
      </c>
      <c r="KF37" s="675">
        <v>0</v>
      </c>
    </row>
    <row r="38" spans="1:292" ht="13" x14ac:dyDescent="0.3">
      <c r="A38" s="675">
        <v>46802</v>
      </c>
      <c r="B38" s="675">
        <v>32570</v>
      </c>
      <c r="C38" s="675">
        <v>35</v>
      </c>
      <c r="D38" s="675">
        <v>2022</v>
      </c>
      <c r="E38" s="675">
        <v>5392</v>
      </c>
      <c r="F38" s="675">
        <v>0</v>
      </c>
      <c r="G38" s="675">
        <v>402.625</v>
      </c>
      <c r="H38" s="675">
        <v>239.33500000000001</v>
      </c>
      <c r="I38" s="675">
        <v>239.33500000000001</v>
      </c>
      <c r="J38" s="675">
        <v>402.625</v>
      </c>
      <c r="K38" s="675">
        <v>0</v>
      </c>
      <c r="L38" s="675">
        <v>6554</v>
      </c>
      <c r="M38" s="675">
        <v>0</v>
      </c>
      <c r="N38" s="675">
        <v>0</v>
      </c>
      <c r="O38" s="675">
        <v>0</v>
      </c>
      <c r="P38" s="675">
        <v>412.13500000000005</v>
      </c>
      <c r="Q38" s="675">
        <v>0</v>
      </c>
      <c r="R38" s="676">
        <v>131765</v>
      </c>
      <c r="S38" s="675">
        <v>319.71300000000002</v>
      </c>
      <c r="T38" s="675">
        <v>0</v>
      </c>
      <c r="U38" s="676">
        <v>131765</v>
      </c>
      <c r="V38" s="676">
        <v>16.126000000000001</v>
      </c>
      <c r="W38" s="676">
        <v>10569</v>
      </c>
      <c r="X38" s="676">
        <v>10569</v>
      </c>
      <c r="Y38" s="675">
        <v>0</v>
      </c>
      <c r="Z38" s="675">
        <v>0</v>
      </c>
      <c r="AA38" s="675">
        <v>1</v>
      </c>
      <c r="AB38" s="675">
        <v>1</v>
      </c>
      <c r="AC38" s="675">
        <v>0</v>
      </c>
      <c r="AD38" s="675" t="s">
        <v>316</v>
      </c>
      <c r="AE38" s="675">
        <v>0</v>
      </c>
      <c r="AF38" s="675">
        <v>0</v>
      </c>
      <c r="AG38" s="675">
        <v>0</v>
      </c>
      <c r="AH38" s="675">
        <v>0</v>
      </c>
      <c r="AI38" s="675">
        <v>0</v>
      </c>
      <c r="AJ38" s="675">
        <v>5104</v>
      </c>
      <c r="AK38" s="675" t="s">
        <v>671</v>
      </c>
      <c r="AL38" s="675" t="s">
        <v>42</v>
      </c>
      <c r="AM38" s="675">
        <v>0</v>
      </c>
      <c r="AN38" s="675">
        <v>0</v>
      </c>
      <c r="AO38" s="675">
        <v>0</v>
      </c>
      <c r="AP38" s="675">
        <v>0</v>
      </c>
      <c r="AQ38" s="675">
        <v>0</v>
      </c>
      <c r="AR38" s="675">
        <v>0</v>
      </c>
      <c r="AS38" s="675">
        <v>0</v>
      </c>
      <c r="AT38" s="675">
        <v>0</v>
      </c>
      <c r="AU38" s="675">
        <v>0</v>
      </c>
      <c r="AV38" s="675">
        <v>347064</v>
      </c>
      <c r="AW38" s="675">
        <v>7297699</v>
      </c>
      <c r="AX38" s="675">
        <v>7125542</v>
      </c>
      <c r="AY38" s="675">
        <v>7341088</v>
      </c>
      <c r="AZ38" s="675">
        <v>203532</v>
      </c>
      <c r="BA38" s="676">
        <v>42.083000000000006</v>
      </c>
      <c r="BB38" s="675">
        <v>0</v>
      </c>
      <c r="BC38" s="675">
        <v>0</v>
      </c>
      <c r="BD38" s="675">
        <v>0</v>
      </c>
      <c r="BE38" s="675">
        <v>0</v>
      </c>
      <c r="BF38" s="675">
        <v>5977984</v>
      </c>
      <c r="BG38" s="675">
        <v>0</v>
      </c>
      <c r="BH38" s="676">
        <v>260.971</v>
      </c>
      <c r="BI38" s="676">
        <v>71767</v>
      </c>
      <c r="BJ38" s="675">
        <v>12</v>
      </c>
      <c r="BK38" s="675">
        <v>0</v>
      </c>
      <c r="BL38" s="675">
        <v>0</v>
      </c>
      <c r="BM38" s="675">
        <v>0</v>
      </c>
      <c r="BN38" s="675">
        <v>0</v>
      </c>
      <c r="BO38" s="675">
        <v>0</v>
      </c>
      <c r="BP38" s="675">
        <v>0</v>
      </c>
      <c r="BQ38" s="675">
        <v>5392</v>
      </c>
      <c r="BR38" s="675">
        <v>1</v>
      </c>
      <c r="BS38" s="675">
        <v>0</v>
      </c>
      <c r="BT38" s="675">
        <v>0</v>
      </c>
      <c r="BU38" s="675">
        <v>0</v>
      </c>
      <c r="BV38" s="675">
        <v>0</v>
      </c>
      <c r="BW38" s="675">
        <v>0</v>
      </c>
      <c r="BX38" s="675">
        <v>0</v>
      </c>
      <c r="BY38" s="675">
        <v>0</v>
      </c>
      <c r="BZ38" s="675">
        <v>0</v>
      </c>
      <c r="CA38" s="675">
        <v>0</v>
      </c>
      <c r="CB38" s="675">
        <v>0</v>
      </c>
      <c r="CC38" s="675">
        <v>0</v>
      </c>
      <c r="CD38" s="675">
        <v>0</v>
      </c>
      <c r="CE38" s="675">
        <v>0</v>
      </c>
      <c r="CF38" s="675">
        <v>0</v>
      </c>
      <c r="CG38" s="675">
        <v>0</v>
      </c>
      <c r="CH38" s="676">
        <v>100390</v>
      </c>
      <c r="CI38" s="675">
        <v>0</v>
      </c>
      <c r="CJ38" s="675">
        <v>4</v>
      </c>
      <c r="CK38" s="675">
        <v>0</v>
      </c>
      <c r="CL38" s="675">
        <v>0</v>
      </c>
      <c r="CM38" s="675">
        <v>0</v>
      </c>
      <c r="CN38" s="675">
        <v>0</v>
      </c>
      <c r="CO38" s="675">
        <v>0</v>
      </c>
      <c r="CP38" s="675">
        <v>0</v>
      </c>
      <c r="CQ38" s="675">
        <v>0</v>
      </c>
      <c r="CR38" s="675">
        <v>412.13500000000005</v>
      </c>
      <c r="CS38" s="675">
        <v>0</v>
      </c>
      <c r="CT38" s="675">
        <v>0</v>
      </c>
      <c r="CU38" s="675">
        <v>0</v>
      </c>
      <c r="CV38" s="675">
        <v>0</v>
      </c>
      <c r="CW38" s="675">
        <v>0</v>
      </c>
      <c r="CX38" s="675">
        <v>0</v>
      </c>
      <c r="CY38" s="675">
        <v>0</v>
      </c>
      <c r="CZ38" s="675">
        <v>0</v>
      </c>
      <c r="DA38" s="675">
        <v>1</v>
      </c>
      <c r="DB38" s="675">
        <v>1568602</v>
      </c>
      <c r="DC38" s="675">
        <v>0</v>
      </c>
      <c r="DD38" s="675">
        <v>0</v>
      </c>
      <c r="DE38" s="675">
        <v>588326</v>
      </c>
      <c r="DF38" s="675">
        <v>588326</v>
      </c>
      <c r="DG38" s="675">
        <v>448.83</v>
      </c>
      <c r="DH38" s="675">
        <v>0</v>
      </c>
      <c r="DI38" s="675">
        <v>0</v>
      </c>
      <c r="DJ38" s="675">
        <v>0</v>
      </c>
      <c r="DK38" s="675">
        <v>5392</v>
      </c>
      <c r="DL38" s="675">
        <v>0</v>
      </c>
      <c r="DM38" s="675">
        <v>3817508</v>
      </c>
      <c r="DN38" s="675">
        <v>0</v>
      </c>
      <c r="DO38" s="675">
        <v>0</v>
      </c>
      <c r="DP38" s="675">
        <v>0</v>
      </c>
      <c r="DQ38" s="675">
        <v>0</v>
      </c>
      <c r="DR38" s="675">
        <v>0</v>
      </c>
      <c r="DS38" s="675">
        <v>0</v>
      </c>
      <c r="DT38" s="675">
        <v>0</v>
      </c>
      <c r="DU38" s="675">
        <v>0</v>
      </c>
      <c r="DV38" s="675">
        <v>0</v>
      </c>
      <c r="DW38" s="675">
        <v>0</v>
      </c>
      <c r="DX38" s="675">
        <v>0</v>
      </c>
      <c r="DY38" s="675">
        <v>0</v>
      </c>
      <c r="DZ38" s="675">
        <v>0</v>
      </c>
      <c r="EA38" s="675">
        <v>0</v>
      </c>
      <c r="EB38" s="675">
        <v>0</v>
      </c>
      <c r="EC38" s="675">
        <v>0</v>
      </c>
      <c r="ED38" s="675">
        <v>0</v>
      </c>
      <c r="EE38" s="675">
        <v>0</v>
      </c>
      <c r="EF38" s="675">
        <v>0</v>
      </c>
      <c r="EG38" s="675">
        <v>0</v>
      </c>
      <c r="EH38" s="675">
        <v>11076</v>
      </c>
      <c r="EI38" s="675">
        <v>3806432</v>
      </c>
      <c r="EJ38" s="675">
        <v>145.19499999999999</v>
      </c>
      <c r="EK38" s="675">
        <v>0</v>
      </c>
      <c r="EL38" s="675">
        <v>0</v>
      </c>
      <c r="EM38" s="675">
        <v>0</v>
      </c>
      <c r="EN38" s="675">
        <v>0.33800000000000002</v>
      </c>
      <c r="EO38" s="675">
        <v>0</v>
      </c>
      <c r="EP38" s="675">
        <v>0</v>
      </c>
      <c r="EQ38" s="675">
        <v>145.53300000000002</v>
      </c>
      <c r="ER38" s="675">
        <v>0</v>
      </c>
      <c r="ES38" s="675">
        <v>1.69</v>
      </c>
      <c r="ET38" s="676">
        <v>21042</v>
      </c>
      <c r="EU38" s="675">
        <v>203532</v>
      </c>
      <c r="EV38" s="675">
        <v>0</v>
      </c>
      <c r="EW38" s="675">
        <v>0</v>
      </c>
      <c r="EX38" s="675">
        <v>0</v>
      </c>
      <c r="EY38" s="675">
        <v>0</v>
      </c>
      <c r="EZ38" s="675">
        <v>6010352</v>
      </c>
      <c r="FA38" s="675">
        <v>0</v>
      </c>
      <c r="FB38" s="676">
        <v>6213884</v>
      </c>
      <c r="FC38" s="675">
        <v>0.97327799999999998</v>
      </c>
      <c r="FD38" s="675">
        <v>0</v>
      </c>
      <c r="FE38" s="675">
        <v>910100</v>
      </c>
      <c r="FF38" s="675">
        <v>205090</v>
      </c>
      <c r="FG38" s="675">
        <v>6.1239999999999996E-2</v>
      </c>
      <c r="FH38" s="675">
        <v>5.4803999999999999E-2</v>
      </c>
      <c r="FI38" s="675">
        <v>0</v>
      </c>
      <c r="FJ38" s="675">
        <v>0</v>
      </c>
      <c r="FK38" s="675">
        <v>1171.2750000000001</v>
      </c>
      <c r="FL38" s="675">
        <v>7429464</v>
      </c>
      <c r="FM38" s="675">
        <v>0</v>
      </c>
      <c r="FN38" s="675">
        <v>0</v>
      </c>
      <c r="FO38" s="675">
        <v>0</v>
      </c>
      <c r="FP38" s="675">
        <v>0</v>
      </c>
      <c r="FQ38" s="675">
        <v>0</v>
      </c>
      <c r="FR38" s="675">
        <v>0</v>
      </c>
      <c r="FS38" s="675">
        <v>0</v>
      </c>
      <c r="FT38" s="675">
        <v>0</v>
      </c>
      <c r="FU38" s="675">
        <v>0</v>
      </c>
      <c r="FV38" s="675">
        <v>0</v>
      </c>
      <c r="FW38" s="675">
        <v>0</v>
      </c>
      <c r="FX38" s="675">
        <v>0</v>
      </c>
      <c r="FY38" s="675">
        <v>0</v>
      </c>
      <c r="FZ38" s="675">
        <v>0</v>
      </c>
      <c r="GA38" s="675">
        <v>0</v>
      </c>
      <c r="GB38" s="676">
        <v>157112</v>
      </c>
      <c r="GC38" s="676">
        <v>157112</v>
      </c>
      <c r="GD38" s="676">
        <v>17.757000000000001</v>
      </c>
      <c r="GE38" s="675">
        <v>0</v>
      </c>
      <c r="GF38" s="675">
        <v>0</v>
      </c>
      <c r="GG38" s="675">
        <v>0</v>
      </c>
      <c r="GH38" s="675">
        <v>0</v>
      </c>
      <c r="GI38" s="675">
        <v>0</v>
      </c>
      <c r="GJ38" s="675">
        <v>0</v>
      </c>
      <c r="GK38" s="675">
        <v>5091</v>
      </c>
      <c r="GL38" s="675">
        <v>26007</v>
      </c>
      <c r="GM38" s="675">
        <v>0</v>
      </c>
      <c r="GN38" s="675">
        <v>0</v>
      </c>
      <c r="GO38" s="675">
        <v>0</v>
      </c>
      <c r="GP38" s="675">
        <v>7329074</v>
      </c>
      <c r="GQ38" s="675">
        <v>7329074</v>
      </c>
      <c r="GR38" s="675">
        <v>0</v>
      </c>
      <c r="GS38" s="675">
        <v>0</v>
      </c>
      <c r="GT38" s="675">
        <v>0</v>
      </c>
      <c r="GU38" s="675">
        <v>0</v>
      </c>
      <c r="GV38" s="675">
        <v>0</v>
      </c>
      <c r="GW38" s="675">
        <v>0</v>
      </c>
      <c r="GX38" s="675">
        <v>0</v>
      </c>
      <c r="GY38" s="675">
        <v>0</v>
      </c>
      <c r="GZ38" s="675">
        <v>0</v>
      </c>
      <c r="HA38" s="675">
        <v>0</v>
      </c>
      <c r="HB38" s="675">
        <v>260786259</v>
      </c>
      <c r="HC38" s="675">
        <v>5.0923999999999997E-2</v>
      </c>
      <c r="HD38" s="676">
        <v>79348</v>
      </c>
      <c r="HE38" s="675">
        <v>0</v>
      </c>
      <c r="HF38" s="675">
        <v>0</v>
      </c>
      <c r="HG38" s="675">
        <v>0</v>
      </c>
      <c r="HH38" s="675">
        <v>0</v>
      </c>
      <c r="HI38" s="675">
        <v>0</v>
      </c>
      <c r="HJ38" s="675">
        <v>0</v>
      </c>
      <c r="HK38" s="675">
        <v>0</v>
      </c>
      <c r="HL38" s="675">
        <v>0</v>
      </c>
      <c r="HM38" s="675">
        <v>0</v>
      </c>
      <c r="HN38" s="675">
        <v>0</v>
      </c>
      <c r="HO38" s="675">
        <v>0</v>
      </c>
      <c r="HP38" s="675">
        <v>0</v>
      </c>
      <c r="HQ38" s="675">
        <v>0</v>
      </c>
      <c r="HR38" s="675">
        <v>0</v>
      </c>
      <c r="HS38" s="675">
        <v>0</v>
      </c>
      <c r="HT38" s="675">
        <v>0</v>
      </c>
      <c r="HU38" s="675">
        <v>0</v>
      </c>
      <c r="HV38" s="675">
        <v>0</v>
      </c>
      <c r="HW38" s="675">
        <v>0</v>
      </c>
      <c r="HX38" s="675">
        <v>0</v>
      </c>
      <c r="HY38" s="675">
        <v>0</v>
      </c>
      <c r="HZ38" s="675">
        <v>0</v>
      </c>
      <c r="IA38" s="675">
        <v>0</v>
      </c>
      <c r="IB38" s="675">
        <v>0</v>
      </c>
      <c r="IC38" s="675">
        <v>0</v>
      </c>
      <c r="ID38" s="675">
        <v>0</v>
      </c>
      <c r="IE38" s="675">
        <v>0</v>
      </c>
      <c r="IF38" s="675">
        <v>0</v>
      </c>
      <c r="IG38" s="675">
        <v>0</v>
      </c>
      <c r="IH38" s="675">
        <v>0</v>
      </c>
      <c r="II38" s="675">
        <v>0</v>
      </c>
      <c r="IJ38" s="675">
        <v>0</v>
      </c>
      <c r="IK38" s="675">
        <v>0</v>
      </c>
      <c r="IL38" s="675">
        <v>0</v>
      </c>
      <c r="IM38" s="675">
        <v>0</v>
      </c>
      <c r="IN38" s="675">
        <v>0</v>
      </c>
      <c r="IO38" s="675">
        <v>0</v>
      </c>
      <c r="IP38" s="675">
        <v>0</v>
      </c>
      <c r="IQ38" s="675">
        <v>0</v>
      </c>
      <c r="IR38" s="675">
        <v>0</v>
      </c>
      <c r="IS38" s="675">
        <v>0</v>
      </c>
      <c r="IT38" s="675">
        <v>0</v>
      </c>
      <c r="IU38" s="675">
        <v>0</v>
      </c>
      <c r="IV38" s="675">
        <v>0</v>
      </c>
      <c r="IW38" s="675">
        <v>0</v>
      </c>
      <c r="IX38" s="675">
        <v>0</v>
      </c>
      <c r="IY38" s="675">
        <v>0</v>
      </c>
      <c r="IZ38" s="675">
        <v>0</v>
      </c>
      <c r="JA38" s="675">
        <v>0</v>
      </c>
      <c r="JB38" s="675">
        <v>0</v>
      </c>
      <c r="JC38" s="675">
        <v>0</v>
      </c>
      <c r="JD38" s="675">
        <v>0</v>
      </c>
      <c r="JE38" s="675">
        <v>0</v>
      </c>
      <c r="JF38" s="675">
        <v>0</v>
      </c>
      <c r="JG38" s="675">
        <v>0</v>
      </c>
      <c r="JH38" s="675">
        <v>0</v>
      </c>
      <c r="JI38" s="675">
        <v>0</v>
      </c>
      <c r="JJ38" s="675">
        <v>0</v>
      </c>
      <c r="JK38" s="675">
        <v>0</v>
      </c>
      <c r="JL38" s="675">
        <v>0</v>
      </c>
      <c r="JM38" s="675">
        <v>0</v>
      </c>
      <c r="JN38" s="675">
        <v>32469</v>
      </c>
      <c r="JO38" s="675">
        <v>0</v>
      </c>
      <c r="JP38" s="675">
        <v>0</v>
      </c>
      <c r="JQ38" s="675">
        <v>0</v>
      </c>
      <c r="JR38" s="675">
        <v>0</v>
      </c>
      <c r="JS38" s="675">
        <v>0</v>
      </c>
      <c r="JT38" s="675">
        <v>0</v>
      </c>
      <c r="JU38" s="675">
        <v>0</v>
      </c>
      <c r="JV38" s="675">
        <v>0</v>
      </c>
      <c r="JW38" s="675">
        <v>0</v>
      </c>
      <c r="JX38" s="675">
        <v>0</v>
      </c>
      <c r="JY38" s="675">
        <v>0</v>
      </c>
      <c r="JZ38" s="675">
        <v>0</v>
      </c>
      <c r="KA38" s="675">
        <v>0</v>
      </c>
      <c r="KB38" s="675">
        <v>0</v>
      </c>
      <c r="KC38" s="675">
        <v>0</v>
      </c>
      <c r="KD38" s="675">
        <v>0</v>
      </c>
      <c r="KE38" s="675">
        <v>0</v>
      </c>
      <c r="KF38" s="675">
        <v>0</v>
      </c>
    </row>
    <row r="39" spans="1:292" x14ac:dyDescent="0.25">
      <c r="A39" s="675">
        <v>57802</v>
      </c>
      <c r="B39" s="675">
        <v>32570</v>
      </c>
      <c r="C39" s="675">
        <v>35</v>
      </c>
      <c r="D39" s="675">
        <v>2022</v>
      </c>
      <c r="E39" s="675">
        <v>5392</v>
      </c>
      <c r="F39" s="675">
        <v>0</v>
      </c>
      <c r="G39" s="675">
        <v>566.98</v>
      </c>
      <c r="H39" s="675">
        <v>550.10199999999998</v>
      </c>
      <c r="I39" s="675">
        <v>550.10199999999998</v>
      </c>
      <c r="J39" s="675">
        <v>566.98</v>
      </c>
      <c r="K39" s="675">
        <v>0</v>
      </c>
      <c r="L39" s="675">
        <v>6554</v>
      </c>
      <c r="M39" s="675">
        <v>0</v>
      </c>
      <c r="N39" s="675">
        <v>0</v>
      </c>
      <c r="O39" s="675">
        <v>0</v>
      </c>
      <c r="P39" s="675">
        <v>625.57600000000002</v>
      </c>
      <c r="Q39" s="675">
        <v>0</v>
      </c>
      <c r="R39" s="675">
        <v>200005</v>
      </c>
      <c r="S39" s="675">
        <v>319.71300000000002</v>
      </c>
      <c r="T39" s="675">
        <v>0</v>
      </c>
      <c r="U39" s="675">
        <v>200005</v>
      </c>
      <c r="V39" s="675">
        <v>136.43800000000002</v>
      </c>
      <c r="W39" s="675">
        <v>89421</v>
      </c>
      <c r="X39" s="675">
        <v>89421</v>
      </c>
      <c r="Y39" s="675">
        <v>0</v>
      </c>
      <c r="Z39" s="675">
        <v>0</v>
      </c>
      <c r="AA39" s="675">
        <v>1</v>
      </c>
      <c r="AB39" s="675">
        <v>1</v>
      </c>
      <c r="AC39" s="675">
        <v>0</v>
      </c>
      <c r="AD39" s="675" t="s">
        <v>316</v>
      </c>
      <c r="AE39" s="675">
        <v>0</v>
      </c>
      <c r="AF39" s="675">
        <v>0</v>
      </c>
      <c r="AG39" s="675">
        <v>0</v>
      </c>
      <c r="AH39" s="675">
        <v>0</v>
      </c>
      <c r="AI39" s="675">
        <v>0</v>
      </c>
      <c r="AJ39" s="675">
        <v>5104</v>
      </c>
      <c r="AK39" s="675" t="s">
        <v>671</v>
      </c>
      <c r="AL39" s="675" t="s">
        <v>17</v>
      </c>
      <c r="AM39" s="675">
        <v>0</v>
      </c>
      <c r="AN39" s="675">
        <v>0</v>
      </c>
      <c r="AO39" s="675">
        <v>0</v>
      </c>
      <c r="AP39" s="675">
        <v>0</v>
      </c>
      <c r="AQ39" s="675">
        <v>0</v>
      </c>
      <c r="AR39" s="675">
        <v>0</v>
      </c>
      <c r="AS39" s="675">
        <v>0</v>
      </c>
      <c r="AT39" s="675">
        <v>0</v>
      </c>
      <c r="AU39" s="675">
        <v>0</v>
      </c>
      <c r="AV39" s="675">
        <v>294494</v>
      </c>
      <c r="AW39" s="675">
        <v>5916468</v>
      </c>
      <c r="AX39" s="675">
        <v>5761228</v>
      </c>
      <c r="AY39" s="675">
        <v>6141421</v>
      </c>
      <c r="AZ39" s="675">
        <v>236172</v>
      </c>
      <c r="BA39" s="675">
        <v>14.667</v>
      </c>
      <c r="BB39" s="675">
        <v>0</v>
      </c>
      <c r="BC39" s="675">
        <v>0</v>
      </c>
      <c r="BD39" s="675">
        <v>0</v>
      </c>
      <c r="BE39" s="675">
        <v>0</v>
      </c>
      <c r="BF39" s="675">
        <v>4770812</v>
      </c>
      <c r="BG39" s="675">
        <v>0</v>
      </c>
      <c r="BH39" s="675">
        <v>131.51500000000001</v>
      </c>
      <c r="BI39" s="675">
        <v>36167</v>
      </c>
      <c r="BJ39" s="675">
        <v>12</v>
      </c>
      <c r="BK39" s="675">
        <v>0</v>
      </c>
      <c r="BL39" s="675">
        <v>0</v>
      </c>
      <c r="BM39" s="675">
        <v>0</v>
      </c>
      <c r="BN39" s="675">
        <v>0</v>
      </c>
      <c r="BO39" s="675">
        <v>0</v>
      </c>
      <c r="BP39" s="675">
        <v>0</v>
      </c>
      <c r="BQ39" s="675">
        <v>5392</v>
      </c>
      <c r="BR39" s="675">
        <v>1</v>
      </c>
      <c r="BS39" s="675">
        <v>0</v>
      </c>
      <c r="BT39" s="675">
        <v>0</v>
      </c>
      <c r="BU39" s="675">
        <v>0</v>
      </c>
      <c r="BV39" s="675">
        <v>0</v>
      </c>
      <c r="BW39" s="675">
        <v>0</v>
      </c>
      <c r="BX39" s="675">
        <v>0</v>
      </c>
      <c r="BY39" s="675">
        <v>0</v>
      </c>
      <c r="BZ39" s="675">
        <v>0</v>
      </c>
      <c r="CA39" s="675">
        <v>0</v>
      </c>
      <c r="CB39" s="675">
        <v>0</v>
      </c>
      <c r="CC39" s="675">
        <v>0</v>
      </c>
      <c r="CD39" s="675">
        <v>0</v>
      </c>
      <c r="CE39" s="675">
        <v>0</v>
      </c>
      <c r="CF39" s="675">
        <v>0</v>
      </c>
      <c r="CG39" s="675">
        <v>0</v>
      </c>
      <c r="CH39" s="675">
        <v>119073</v>
      </c>
      <c r="CI39" s="675">
        <v>0</v>
      </c>
      <c r="CJ39" s="675">
        <v>4</v>
      </c>
      <c r="CK39" s="675">
        <v>0</v>
      </c>
      <c r="CL39" s="675">
        <v>0</v>
      </c>
      <c r="CM39" s="675">
        <v>0</v>
      </c>
      <c r="CN39" s="675">
        <v>0</v>
      </c>
      <c r="CO39" s="675">
        <v>0</v>
      </c>
      <c r="CP39" s="675">
        <v>0</v>
      </c>
      <c r="CQ39" s="675">
        <v>0</v>
      </c>
      <c r="CR39" s="675">
        <v>625.57600000000002</v>
      </c>
      <c r="CS39" s="675">
        <v>0</v>
      </c>
      <c r="CT39" s="675">
        <v>0</v>
      </c>
      <c r="CU39" s="675">
        <v>0</v>
      </c>
      <c r="CV39" s="675">
        <v>0</v>
      </c>
      <c r="CW39" s="675">
        <v>0</v>
      </c>
      <c r="CX39" s="675">
        <v>0</v>
      </c>
      <c r="CY39" s="675">
        <v>0</v>
      </c>
      <c r="CZ39" s="675">
        <v>0</v>
      </c>
      <c r="DA39" s="675">
        <v>1</v>
      </c>
      <c r="DB39" s="675">
        <v>3605369</v>
      </c>
      <c r="DC39" s="675">
        <v>0</v>
      </c>
      <c r="DD39" s="675">
        <v>0</v>
      </c>
      <c r="DE39" s="675">
        <v>742568</v>
      </c>
      <c r="DF39" s="675">
        <v>742568</v>
      </c>
      <c r="DG39" s="675">
        <v>566.5</v>
      </c>
      <c r="DH39" s="675">
        <v>0</v>
      </c>
      <c r="DI39" s="675">
        <v>0</v>
      </c>
      <c r="DJ39" s="675">
        <v>0</v>
      </c>
      <c r="DK39" s="675">
        <v>5392</v>
      </c>
      <c r="DL39" s="675">
        <v>0</v>
      </c>
      <c r="DM39" s="675">
        <v>464442</v>
      </c>
      <c r="DN39" s="675">
        <v>0</v>
      </c>
      <c r="DO39" s="675">
        <v>0</v>
      </c>
      <c r="DP39" s="675">
        <v>0</v>
      </c>
      <c r="DQ39" s="675">
        <v>0</v>
      </c>
      <c r="DR39" s="675">
        <v>0</v>
      </c>
      <c r="DS39" s="675">
        <v>0</v>
      </c>
      <c r="DT39" s="675">
        <v>0</v>
      </c>
      <c r="DU39" s="675">
        <v>0</v>
      </c>
      <c r="DV39" s="675">
        <v>0</v>
      </c>
      <c r="DW39" s="675">
        <v>0</v>
      </c>
      <c r="DX39" s="675">
        <v>0</v>
      </c>
      <c r="DY39" s="675">
        <v>0</v>
      </c>
      <c r="DZ39" s="675">
        <v>0</v>
      </c>
      <c r="EA39" s="675">
        <v>0</v>
      </c>
      <c r="EB39" s="675">
        <v>0</v>
      </c>
      <c r="EC39" s="675">
        <v>16.84</v>
      </c>
      <c r="ED39" s="675">
        <v>121406</v>
      </c>
      <c r="EE39" s="675">
        <v>0</v>
      </c>
      <c r="EF39" s="675">
        <v>0</v>
      </c>
      <c r="EG39" s="675">
        <v>0</v>
      </c>
      <c r="EH39" s="675">
        <v>343036</v>
      </c>
      <c r="EI39" s="675">
        <v>0</v>
      </c>
      <c r="EJ39" s="675">
        <v>0</v>
      </c>
      <c r="EK39" s="675">
        <v>16.025000000000002</v>
      </c>
      <c r="EL39" s="675">
        <v>0</v>
      </c>
      <c r="EM39" s="675">
        <v>0</v>
      </c>
      <c r="EN39" s="675">
        <v>0.85300000000000009</v>
      </c>
      <c r="EO39" s="675">
        <v>0</v>
      </c>
      <c r="EP39" s="675">
        <v>0</v>
      </c>
      <c r="EQ39" s="675">
        <v>16.878</v>
      </c>
      <c r="ER39" s="675">
        <v>0</v>
      </c>
      <c r="ES39" s="675">
        <v>52.34</v>
      </c>
      <c r="ET39" s="675">
        <v>7334</v>
      </c>
      <c r="EU39" s="675">
        <v>236172</v>
      </c>
      <c r="EV39" s="675">
        <v>0</v>
      </c>
      <c r="EW39" s="675">
        <v>0</v>
      </c>
      <c r="EX39" s="675">
        <v>0</v>
      </c>
      <c r="EY39" s="675">
        <v>0</v>
      </c>
      <c r="EZ39" s="675">
        <v>4871235</v>
      </c>
      <c r="FA39" s="675">
        <v>0</v>
      </c>
      <c r="FB39" s="675">
        <v>5107407</v>
      </c>
      <c r="FC39" s="675">
        <v>0.97327799999999998</v>
      </c>
      <c r="FD39" s="675">
        <v>0</v>
      </c>
      <c r="FE39" s="675">
        <v>726318</v>
      </c>
      <c r="FF39" s="675">
        <v>163675</v>
      </c>
      <c r="FG39" s="675">
        <v>6.1239999999999996E-2</v>
      </c>
      <c r="FH39" s="675">
        <v>5.4803999999999999E-2</v>
      </c>
      <c r="FI39" s="675">
        <v>0</v>
      </c>
      <c r="FJ39" s="675">
        <v>0</v>
      </c>
      <c r="FK39" s="675">
        <v>934.75200000000007</v>
      </c>
      <c r="FL39" s="675">
        <v>6116473</v>
      </c>
      <c r="FM39" s="675">
        <v>0</v>
      </c>
      <c r="FN39" s="675">
        <v>0</v>
      </c>
      <c r="FO39" s="675">
        <v>169440</v>
      </c>
      <c r="FP39" s="675">
        <v>0</v>
      </c>
      <c r="FQ39" s="675">
        <v>169440</v>
      </c>
      <c r="FR39" s="675">
        <v>169440</v>
      </c>
      <c r="FS39" s="675">
        <v>0</v>
      </c>
      <c r="FT39" s="675">
        <v>0</v>
      </c>
      <c r="FU39" s="675">
        <v>0</v>
      </c>
      <c r="FV39" s="675">
        <v>0</v>
      </c>
      <c r="FW39" s="675">
        <v>0</v>
      </c>
      <c r="FX39" s="675">
        <v>0</v>
      </c>
      <c r="FY39" s="675">
        <v>0</v>
      </c>
      <c r="FZ39" s="675">
        <v>0</v>
      </c>
      <c r="GA39" s="675">
        <v>0</v>
      </c>
      <c r="GB39" s="675">
        <v>0</v>
      </c>
      <c r="GC39" s="675">
        <v>0</v>
      </c>
      <c r="GD39" s="675">
        <v>0</v>
      </c>
      <c r="GE39" s="675">
        <v>0</v>
      </c>
      <c r="GF39" s="675">
        <v>0</v>
      </c>
      <c r="GG39" s="675">
        <v>0</v>
      </c>
      <c r="GH39" s="675">
        <v>0</v>
      </c>
      <c r="GI39" s="675">
        <v>0</v>
      </c>
      <c r="GJ39" s="675">
        <v>0</v>
      </c>
      <c r="GK39" s="675">
        <v>5361</v>
      </c>
      <c r="GL39" s="675">
        <v>15527</v>
      </c>
      <c r="GM39" s="675">
        <v>0</v>
      </c>
      <c r="GN39" s="675">
        <v>0</v>
      </c>
      <c r="GO39" s="675">
        <v>0</v>
      </c>
      <c r="GP39" s="675">
        <v>5997400</v>
      </c>
      <c r="GQ39" s="675">
        <v>5997400</v>
      </c>
      <c r="GR39" s="675">
        <v>0</v>
      </c>
      <c r="GS39" s="675">
        <v>0</v>
      </c>
      <c r="GT39" s="675">
        <v>0</v>
      </c>
      <c r="GU39" s="675">
        <v>0</v>
      </c>
      <c r="GV39" s="675">
        <v>0</v>
      </c>
      <c r="GW39" s="675">
        <v>0</v>
      </c>
      <c r="GX39" s="675">
        <v>0</v>
      </c>
      <c r="GY39" s="675">
        <v>0</v>
      </c>
      <c r="GZ39" s="675">
        <v>0</v>
      </c>
      <c r="HA39" s="675">
        <v>0</v>
      </c>
      <c r="HB39" s="675">
        <v>260786259</v>
      </c>
      <c r="HC39" s="675">
        <v>5.0923999999999997E-2</v>
      </c>
      <c r="HD39" s="675">
        <v>111739</v>
      </c>
      <c r="HE39" s="675">
        <v>0</v>
      </c>
      <c r="HF39" s="675">
        <v>0</v>
      </c>
      <c r="HG39" s="675">
        <v>0</v>
      </c>
      <c r="HH39" s="675">
        <v>0</v>
      </c>
      <c r="HI39" s="675">
        <v>0</v>
      </c>
      <c r="HJ39" s="675">
        <v>0</v>
      </c>
      <c r="HK39" s="675">
        <v>0</v>
      </c>
      <c r="HL39" s="675">
        <v>0</v>
      </c>
      <c r="HM39" s="675">
        <v>0</v>
      </c>
      <c r="HN39" s="675">
        <v>0</v>
      </c>
      <c r="HO39" s="675">
        <v>0</v>
      </c>
      <c r="HP39" s="675">
        <v>0</v>
      </c>
      <c r="HQ39" s="675">
        <v>0</v>
      </c>
      <c r="HR39" s="675">
        <v>0</v>
      </c>
      <c r="HS39" s="675">
        <v>0</v>
      </c>
      <c r="HT39" s="675">
        <v>0</v>
      </c>
      <c r="HU39" s="675">
        <v>0</v>
      </c>
      <c r="HV39" s="675">
        <v>0</v>
      </c>
      <c r="HW39" s="675">
        <v>0</v>
      </c>
      <c r="HX39" s="675">
        <v>0</v>
      </c>
      <c r="HY39" s="675">
        <v>0</v>
      </c>
      <c r="HZ39" s="675">
        <v>0</v>
      </c>
      <c r="IA39" s="675">
        <v>0</v>
      </c>
      <c r="IB39" s="675">
        <v>0</v>
      </c>
      <c r="IC39" s="675">
        <v>0</v>
      </c>
      <c r="ID39" s="675">
        <v>0</v>
      </c>
      <c r="IE39" s="675">
        <v>0</v>
      </c>
      <c r="IF39" s="675">
        <v>0</v>
      </c>
      <c r="IG39" s="675">
        <v>0</v>
      </c>
      <c r="IH39" s="675">
        <v>0</v>
      </c>
      <c r="II39" s="675">
        <v>0</v>
      </c>
      <c r="IJ39" s="675">
        <v>0</v>
      </c>
      <c r="IK39" s="675">
        <v>0</v>
      </c>
      <c r="IL39" s="675">
        <v>0</v>
      </c>
      <c r="IM39" s="675">
        <v>0</v>
      </c>
      <c r="IN39" s="675">
        <v>0</v>
      </c>
      <c r="IO39" s="675">
        <v>0</v>
      </c>
      <c r="IP39" s="675">
        <v>0</v>
      </c>
      <c r="IQ39" s="675">
        <v>0</v>
      </c>
      <c r="IR39" s="675">
        <v>0</v>
      </c>
      <c r="IS39" s="675">
        <v>0</v>
      </c>
      <c r="IT39" s="675">
        <v>0</v>
      </c>
      <c r="IU39" s="675">
        <v>0</v>
      </c>
      <c r="IV39" s="675">
        <v>0</v>
      </c>
      <c r="IW39" s="675">
        <v>0</v>
      </c>
      <c r="IX39" s="675">
        <v>0</v>
      </c>
      <c r="IY39" s="675">
        <v>0</v>
      </c>
      <c r="IZ39" s="675">
        <v>0</v>
      </c>
      <c r="JA39" s="675">
        <v>0</v>
      </c>
      <c r="JB39" s="675">
        <v>0</v>
      </c>
      <c r="JC39" s="675">
        <v>0</v>
      </c>
      <c r="JD39" s="675">
        <v>0</v>
      </c>
      <c r="JE39" s="675">
        <v>0</v>
      </c>
      <c r="JF39" s="675">
        <v>0</v>
      </c>
      <c r="JG39" s="675">
        <v>0</v>
      </c>
      <c r="JH39" s="675">
        <v>0</v>
      </c>
      <c r="JI39" s="675">
        <v>0</v>
      </c>
      <c r="JJ39" s="675">
        <v>0</v>
      </c>
      <c r="JK39" s="675">
        <v>0</v>
      </c>
      <c r="JL39" s="675">
        <v>0</v>
      </c>
      <c r="JM39" s="675">
        <v>0</v>
      </c>
      <c r="JN39" s="675">
        <v>32469</v>
      </c>
      <c r="JO39" s="675">
        <v>0</v>
      </c>
      <c r="JP39" s="675">
        <v>0</v>
      </c>
      <c r="JQ39" s="675">
        <v>0</v>
      </c>
      <c r="JR39" s="675">
        <v>0</v>
      </c>
      <c r="JS39" s="675">
        <v>0</v>
      </c>
      <c r="JT39" s="675">
        <v>0</v>
      </c>
      <c r="JU39" s="675">
        <v>0</v>
      </c>
      <c r="JV39" s="675">
        <v>0</v>
      </c>
      <c r="JW39" s="675">
        <v>0</v>
      </c>
      <c r="JX39" s="675">
        <v>0</v>
      </c>
      <c r="JY39" s="675">
        <v>0</v>
      </c>
      <c r="JZ39" s="675">
        <v>0</v>
      </c>
      <c r="KA39" s="675">
        <v>0</v>
      </c>
      <c r="KB39" s="675">
        <v>0</v>
      </c>
      <c r="KC39" s="675">
        <v>0</v>
      </c>
      <c r="KD39" s="675">
        <v>0</v>
      </c>
      <c r="KE39" s="675">
        <v>0</v>
      </c>
      <c r="KF39" s="675">
        <v>0</v>
      </c>
    </row>
    <row r="40" spans="1:292" x14ac:dyDescent="0.25">
      <c r="A40" s="675">
        <v>57803</v>
      </c>
      <c r="B40" s="675">
        <v>32570</v>
      </c>
      <c r="C40" s="675">
        <v>35</v>
      </c>
      <c r="D40" s="675">
        <v>2022</v>
      </c>
      <c r="E40" s="675">
        <v>5392</v>
      </c>
      <c r="F40" s="675">
        <v>0</v>
      </c>
      <c r="G40" s="675">
        <v>18751.648000000001</v>
      </c>
      <c r="H40" s="675">
        <v>17371.876</v>
      </c>
      <c r="I40" s="675">
        <v>17371.876</v>
      </c>
      <c r="J40" s="675">
        <v>18751.648000000001</v>
      </c>
      <c r="K40" s="675">
        <v>0</v>
      </c>
      <c r="L40" s="675">
        <v>6554</v>
      </c>
      <c r="M40" s="675">
        <v>0</v>
      </c>
      <c r="N40" s="675">
        <v>0</v>
      </c>
      <c r="O40" s="675">
        <v>0</v>
      </c>
      <c r="P40" s="675">
        <v>17530.063999999998</v>
      </c>
      <c r="Q40" s="675">
        <v>0</v>
      </c>
      <c r="R40" s="675">
        <v>5604589</v>
      </c>
      <c r="S40" s="675">
        <v>319.71300000000002</v>
      </c>
      <c r="T40" s="675">
        <v>0</v>
      </c>
      <c r="U40" s="675">
        <v>5604589</v>
      </c>
      <c r="V40" s="675">
        <v>5417.6930000000002</v>
      </c>
      <c r="W40" s="675">
        <v>3550756</v>
      </c>
      <c r="X40" s="675">
        <v>3550756</v>
      </c>
      <c r="Y40" s="675">
        <v>0</v>
      </c>
      <c r="Z40" s="675">
        <v>0</v>
      </c>
      <c r="AA40" s="675">
        <v>1</v>
      </c>
      <c r="AB40" s="675">
        <v>1</v>
      </c>
      <c r="AC40" s="675">
        <v>0</v>
      </c>
      <c r="AD40" s="675" t="s">
        <v>316</v>
      </c>
      <c r="AE40" s="675">
        <v>0</v>
      </c>
      <c r="AF40" s="675">
        <v>0</v>
      </c>
      <c r="AG40" s="675">
        <v>0</v>
      </c>
      <c r="AH40" s="675">
        <v>0</v>
      </c>
      <c r="AI40" s="675">
        <v>0</v>
      </c>
      <c r="AJ40" s="675">
        <v>5104</v>
      </c>
      <c r="AK40" s="675" t="s">
        <v>671</v>
      </c>
      <c r="AL40" s="675" t="s">
        <v>386</v>
      </c>
      <c r="AM40" s="675">
        <v>0</v>
      </c>
      <c r="AN40" s="675">
        <v>0</v>
      </c>
      <c r="AO40" s="675">
        <v>0</v>
      </c>
      <c r="AP40" s="675">
        <v>0</v>
      </c>
      <c r="AQ40" s="675">
        <v>0</v>
      </c>
      <c r="AR40" s="675">
        <v>0</v>
      </c>
      <c r="AS40" s="675">
        <v>0</v>
      </c>
      <c r="AT40" s="675">
        <v>0</v>
      </c>
      <c r="AU40" s="675">
        <v>0</v>
      </c>
      <c r="AV40" s="675">
        <v>2679028</v>
      </c>
      <c r="AW40" s="675">
        <v>185258664</v>
      </c>
      <c r="AX40" s="675">
        <v>179964796</v>
      </c>
      <c r="AY40" s="675">
        <v>198154935</v>
      </c>
      <c r="AZ40" s="675">
        <v>7029300</v>
      </c>
      <c r="BA40" s="675">
        <v>345.91700000000003</v>
      </c>
      <c r="BB40" s="675">
        <v>0</v>
      </c>
      <c r="BC40" s="675">
        <v>0</v>
      </c>
      <c r="BD40" s="675">
        <v>0</v>
      </c>
      <c r="BE40" s="675">
        <v>0</v>
      </c>
      <c r="BF40" s="675">
        <v>152857099</v>
      </c>
      <c r="BG40" s="675">
        <v>0</v>
      </c>
      <c r="BH40" s="675">
        <v>4178.7560000000003</v>
      </c>
      <c r="BI40" s="675">
        <v>1149158</v>
      </c>
      <c r="BJ40" s="675">
        <v>12</v>
      </c>
      <c r="BK40" s="675">
        <v>0</v>
      </c>
      <c r="BL40" s="675">
        <v>0</v>
      </c>
      <c r="BM40" s="675">
        <v>0</v>
      </c>
      <c r="BN40" s="675">
        <v>0</v>
      </c>
      <c r="BO40" s="675">
        <v>0</v>
      </c>
      <c r="BP40" s="675">
        <v>0</v>
      </c>
      <c r="BQ40" s="675">
        <v>5392</v>
      </c>
      <c r="BR40" s="675">
        <v>1</v>
      </c>
      <c r="BS40" s="675">
        <v>0</v>
      </c>
      <c r="BT40" s="675">
        <v>0</v>
      </c>
      <c r="BU40" s="675">
        <v>0</v>
      </c>
      <c r="BV40" s="675">
        <v>0</v>
      </c>
      <c r="BW40" s="675">
        <v>0</v>
      </c>
      <c r="BX40" s="675">
        <v>0</v>
      </c>
      <c r="BY40" s="675">
        <v>0</v>
      </c>
      <c r="BZ40" s="675">
        <v>0</v>
      </c>
      <c r="CA40" s="675">
        <v>720.851</v>
      </c>
      <c r="CB40" s="675">
        <v>275553</v>
      </c>
      <c r="CC40" s="675">
        <v>0</v>
      </c>
      <c r="CD40" s="675">
        <v>0</v>
      </c>
      <c r="CE40" s="675">
        <v>0</v>
      </c>
      <c r="CF40" s="675">
        <v>0</v>
      </c>
      <c r="CG40" s="675">
        <v>0</v>
      </c>
      <c r="CH40" s="675">
        <v>3869157</v>
      </c>
      <c r="CI40" s="675">
        <v>0</v>
      </c>
      <c r="CJ40" s="675">
        <v>4</v>
      </c>
      <c r="CK40" s="675">
        <v>0</v>
      </c>
      <c r="CL40" s="675">
        <v>0</v>
      </c>
      <c r="CM40" s="675">
        <v>0</v>
      </c>
      <c r="CN40" s="675">
        <v>0</v>
      </c>
      <c r="CO40" s="675">
        <v>0</v>
      </c>
      <c r="CP40" s="675">
        <v>0</v>
      </c>
      <c r="CQ40" s="675">
        <v>2.6670000000000003</v>
      </c>
      <c r="CR40" s="675">
        <v>17530.063999999998</v>
      </c>
      <c r="CS40" s="675">
        <v>0</v>
      </c>
      <c r="CT40" s="675">
        <v>0</v>
      </c>
      <c r="CU40" s="675">
        <v>0</v>
      </c>
      <c r="CV40" s="675">
        <v>0</v>
      </c>
      <c r="CW40" s="675">
        <v>0</v>
      </c>
      <c r="CX40" s="675">
        <v>0</v>
      </c>
      <c r="CY40" s="675">
        <v>0</v>
      </c>
      <c r="CZ40" s="675">
        <v>0</v>
      </c>
      <c r="DA40" s="675">
        <v>1</v>
      </c>
      <c r="DB40" s="675">
        <v>113855275</v>
      </c>
      <c r="DC40" s="675">
        <v>0</v>
      </c>
      <c r="DD40" s="675">
        <v>0</v>
      </c>
      <c r="DE40" s="675">
        <v>19810553</v>
      </c>
      <c r="DF40" s="675">
        <v>19810553</v>
      </c>
      <c r="DG40" s="675">
        <v>15113.33</v>
      </c>
      <c r="DH40" s="675">
        <v>0</v>
      </c>
      <c r="DI40" s="675">
        <v>0</v>
      </c>
      <c r="DJ40" s="675">
        <v>0</v>
      </c>
      <c r="DK40" s="675">
        <v>5392</v>
      </c>
      <c r="DL40" s="675">
        <v>0</v>
      </c>
      <c r="DM40" s="675">
        <v>12497796</v>
      </c>
      <c r="DN40" s="675">
        <v>0</v>
      </c>
      <c r="DO40" s="675">
        <v>21692</v>
      </c>
      <c r="DP40" s="675">
        <v>0</v>
      </c>
      <c r="DQ40" s="675">
        <v>0</v>
      </c>
      <c r="DR40" s="675">
        <v>0</v>
      </c>
      <c r="DS40" s="675">
        <v>0</v>
      </c>
      <c r="DT40" s="675">
        <v>9.2999999999999999E-2</v>
      </c>
      <c r="DU40" s="675">
        <v>0</v>
      </c>
      <c r="DV40" s="675">
        <v>1.3780000000000001</v>
      </c>
      <c r="DW40" s="675">
        <v>0</v>
      </c>
      <c r="DX40" s="675">
        <v>0</v>
      </c>
      <c r="DY40" s="675">
        <v>0</v>
      </c>
      <c r="DZ40" s="675">
        <v>4.4130000000000003</v>
      </c>
      <c r="EA40" s="675">
        <v>0.77</v>
      </c>
      <c r="EB40" s="675">
        <v>0</v>
      </c>
      <c r="EC40" s="675">
        <v>170.88200000000001</v>
      </c>
      <c r="ED40" s="675">
        <v>1231957</v>
      </c>
      <c r="EE40" s="675">
        <v>11142</v>
      </c>
      <c r="EF40" s="675">
        <v>1</v>
      </c>
      <c r="EG40" s="675">
        <v>0</v>
      </c>
      <c r="EH40" s="675">
        <v>11233005</v>
      </c>
      <c r="EI40" s="675">
        <v>0</v>
      </c>
      <c r="EJ40" s="675">
        <v>0</v>
      </c>
      <c r="EK40" s="675">
        <v>421.06</v>
      </c>
      <c r="EL40" s="675">
        <v>0</v>
      </c>
      <c r="EM40" s="675">
        <v>98.562000000000012</v>
      </c>
      <c r="EN40" s="675">
        <v>30.240000000000002</v>
      </c>
      <c r="EO40" s="675">
        <v>0</v>
      </c>
      <c r="EP40" s="675">
        <v>0</v>
      </c>
      <c r="EQ40" s="675">
        <v>550.63200000000006</v>
      </c>
      <c r="ER40" s="675">
        <v>0</v>
      </c>
      <c r="ES40" s="675">
        <v>1713.9160000000002</v>
      </c>
      <c r="ET40" s="675">
        <v>173625</v>
      </c>
      <c r="EU40" s="675">
        <v>7029300</v>
      </c>
      <c r="EV40" s="675">
        <v>0</v>
      </c>
      <c r="EW40" s="675">
        <v>0</v>
      </c>
      <c r="EX40" s="675">
        <v>0</v>
      </c>
      <c r="EY40" s="675">
        <v>0</v>
      </c>
      <c r="EZ40" s="675">
        <v>151449382</v>
      </c>
      <c r="FA40" s="675">
        <v>0</v>
      </c>
      <c r="FB40" s="675">
        <v>158478682</v>
      </c>
      <c r="FC40" s="675">
        <v>0.97327799999999998</v>
      </c>
      <c r="FD40" s="675">
        <v>0</v>
      </c>
      <c r="FE40" s="675">
        <v>23271267</v>
      </c>
      <c r="FF40" s="675">
        <v>5244147</v>
      </c>
      <c r="FG40" s="675">
        <v>6.1239999999999996E-2</v>
      </c>
      <c r="FH40" s="675">
        <v>5.4803999999999999E-2</v>
      </c>
      <c r="FI40" s="675">
        <v>0</v>
      </c>
      <c r="FJ40" s="675">
        <v>0</v>
      </c>
      <c r="FK40" s="675">
        <v>29949.52</v>
      </c>
      <c r="FL40" s="675">
        <v>190863253</v>
      </c>
      <c r="FM40" s="675">
        <v>0</v>
      </c>
      <c r="FN40" s="675">
        <v>0</v>
      </c>
      <c r="FO40" s="675">
        <v>0</v>
      </c>
      <c r="FP40" s="675">
        <v>0</v>
      </c>
      <c r="FQ40" s="675">
        <v>0</v>
      </c>
      <c r="FR40" s="675">
        <v>0</v>
      </c>
      <c r="FS40" s="675">
        <v>0</v>
      </c>
      <c r="FT40" s="675">
        <v>0</v>
      </c>
      <c r="FU40" s="675">
        <v>1</v>
      </c>
      <c r="FV40" s="675">
        <v>0</v>
      </c>
      <c r="FW40" s="675">
        <v>0</v>
      </c>
      <c r="FX40" s="675">
        <v>0</v>
      </c>
      <c r="FY40" s="675">
        <v>0</v>
      </c>
      <c r="FZ40" s="675">
        <v>3443</v>
      </c>
      <c r="GA40" s="675">
        <v>68.867000000000004</v>
      </c>
      <c r="GB40" s="675">
        <v>7339591</v>
      </c>
      <c r="GC40" s="675">
        <v>7339591</v>
      </c>
      <c r="GD40" s="675">
        <v>829.14</v>
      </c>
      <c r="GE40" s="675">
        <v>0</v>
      </c>
      <c r="GF40" s="675">
        <v>0</v>
      </c>
      <c r="GG40" s="675">
        <v>0</v>
      </c>
      <c r="GH40" s="675">
        <v>0</v>
      </c>
      <c r="GI40" s="675">
        <v>0</v>
      </c>
      <c r="GJ40" s="675">
        <v>0</v>
      </c>
      <c r="GK40" s="675">
        <v>5360</v>
      </c>
      <c r="GL40" s="675">
        <v>35199</v>
      </c>
      <c r="GM40" s="675">
        <v>0</v>
      </c>
      <c r="GN40" s="675">
        <v>0</v>
      </c>
      <c r="GO40" s="675">
        <v>0</v>
      </c>
      <c r="GP40" s="675">
        <v>186994096</v>
      </c>
      <c r="GQ40" s="675">
        <v>186994096</v>
      </c>
      <c r="GR40" s="675">
        <v>0</v>
      </c>
      <c r="GS40" s="675">
        <v>0</v>
      </c>
      <c r="GT40" s="675">
        <v>0</v>
      </c>
      <c r="GU40" s="675">
        <v>0</v>
      </c>
      <c r="GV40" s="675">
        <v>0</v>
      </c>
      <c r="GW40" s="675">
        <v>0</v>
      </c>
      <c r="GX40" s="675">
        <v>0</v>
      </c>
      <c r="GY40" s="675">
        <v>0</v>
      </c>
      <c r="GZ40" s="675">
        <v>0</v>
      </c>
      <c r="HA40" s="675">
        <v>0</v>
      </c>
      <c r="HB40" s="675">
        <v>260786259</v>
      </c>
      <c r="HC40" s="675">
        <v>5.0923999999999997E-2</v>
      </c>
      <c r="HD40" s="675">
        <v>3695532</v>
      </c>
      <c r="HE40" s="675">
        <v>0</v>
      </c>
      <c r="HF40" s="675">
        <v>0</v>
      </c>
      <c r="HG40" s="675">
        <v>0</v>
      </c>
      <c r="HH40" s="675">
        <v>0</v>
      </c>
      <c r="HI40" s="675">
        <v>0</v>
      </c>
      <c r="HJ40" s="675">
        <v>0</v>
      </c>
      <c r="HK40" s="675">
        <v>0</v>
      </c>
      <c r="HL40" s="675">
        <v>0</v>
      </c>
      <c r="HM40" s="675">
        <v>0</v>
      </c>
      <c r="HN40" s="675">
        <v>0</v>
      </c>
      <c r="HO40" s="675">
        <v>0</v>
      </c>
      <c r="HP40" s="675">
        <v>0</v>
      </c>
      <c r="HQ40" s="675">
        <v>0</v>
      </c>
      <c r="HR40" s="675">
        <v>0</v>
      </c>
      <c r="HS40" s="675">
        <v>0</v>
      </c>
      <c r="HT40" s="675">
        <v>0</v>
      </c>
      <c r="HU40" s="675">
        <v>0</v>
      </c>
      <c r="HV40" s="675">
        <v>0</v>
      </c>
      <c r="HW40" s="675">
        <v>0</v>
      </c>
      <c r="HX40" s="675">
        <v>0</v>
      </c>
      <c r="HY40" s="675">
        <v>0</v>
      </c>
      <c r="HZ40" s="675">
        <v>0</v>
      </c>
      <c r="IA40" s="675">
        <v>0</v>
      </c>
      <c r="IB40" s="675">
        <v>0</v>
      </c>
      <c r="IC40" s="675">
        <v>0</v>
      </c>
      <c r="ID40" s="675">
        <v>0</v>
      </c>
      <c r="IE40" s="675">
        <v>0</v>
      </c>
      <c r="IF40" s="675">
        <v>0</v>
      </c>
      <c r="IG40" s="675">
        <v>0</v>
      </c>
      <c r="IH40" s="675">
        <v>0</v>
      </c>
      <c r="II40" s="675">
        <v>0</v>
      </c>
      <c r="IJ40" s="675">
        <v>0</v>
      </c>
      <c r="IK40" s="675">
        <v>0</v>
      </c>
      <c r="IL40" s="675">
        <v>0</v>
      </c>
      <c r="IM40" s="675">
        <v>0</v>
      </c>
      <c r="IN40" s="675">
        <v>0</v>
      </c>
      <c r="IO40" s="675">
        <v>0</v>
      </c>
      <c r="IP40" s="675">
        <v>0</v>
      </c>
      <c r="IQ40" s="675">
        <v>0</v>
      </c>
      <c r="IR40" s="675">
        <v>0</v>
      </c>
      <c r="IS40" s="675">
        <v>0</v>
      </c>
      <c r="IT40" s="675">
        <v>0</v>
      </c>
      <c r="IU40" s="675">
        <v>0</v>
      </c>
      <c r="IV40" s="675">
        <v>0</v>
      </c>
      <c r="IW40" s="675">
        <v>0</v>
      </c>
      <c r="IX40" s="675">
        <v>0</v>
      </c>
      <c r="IY40" s="675">
        <v>0</v>
      </c>
      <c r="IZ40" s="675">
        <v>0</v>
      </c>
      <c r="JA40" s="675">
        <v>0</v>
      </c>
      <c r="JB40" s="675">
        <v>0</v>
      </c>
      <c r="JC40" s="675">
        <v>0</v>
      </c>
      <c r="JD40" s="675">
        <v>0</v>
      </c>
      <c r="JE40" s="675">
        <v>0</v>
      </c>
      <c r="JF40" s="675">
        <v>0</v>
      </c>
      <c r="JG40" s="675">
        <v>0</v>
      </c>
      <c r="JH40" s="675">
        <v>0</v>
      </c>
      <c r="JI40" s="675">
        <v>0</v>
      </c>
      <c r="JJ40" s="675">
        <v>0</v>
      </c>
      <c r="JK40" s="675">
        <v>0</v>
      </c>
      <c r="JL40" s="675">
        <v>0</v>
      </c>
      <c r="JM40" s="675">
        <v>0</v>
      </c>
      <c r="JN40" s="675">
        <v>32469</v>
      </c>
      <c r="JO40" s="675">
        <v>0</v>
      </c>
      <c r="JP40" s="675">
        <v>0</v>
      </c>
      <c r="JQ40" s="675">
        <v>0</v>
      </c>
      <c r="JR40" s="675">
        <v>0</v>
      </c>
      <c r="JS40" s="675">
        <v>0</v>
      </c>
      <c r="JT40" s="675">
        <v>0</v>
      </c>
      <c r="JU40" s="675">
        <v>0</v>
      </c>
      <c r="JV40" s="675">
        <v>0</v>
      </c>
      <c r="JW40" s="675">
        <v>0</v>
      </c>
      <c r="JX40" s="675">
        <v>0</v>
      </c>
      <c r="JY40" s="675">
        <v>0</v>
      </c>
      <c r="JZ40" s="675">
        <v>0</v>
      </c>
      <c r="KA40" s="675">
        <v>0</v>
      </c>
      <c r="KB40" s="675">
        <v>0</v>
      </c>
      <c r="KC40" s="675">
        <v>0</v>
      </c>
      <c r="KD40" s="675">
        <v>0</v>
      </c>
      <c r="KE40" s="675">
        <v>0</v>
      </c>
      <c r="KF40" s="675">
        <v>0</v>
      </c>
    </row>
    <row r="41" spans="1:292" x14ac:dyDescent="0.25">
      <c r="A41" s="675">
        <v>57804</v>
      </c>
      <c r="B41" s="675">
        <v>32570</v>
      </c>
      <c r="C41" s="675">
        <v>35</v>
      </c>
      <c r="D41" s="675">
        <v>2022</v>
      </c>
      <c r="E41" s="675">
        <v>5392</v>
      </c>
      <c r="F41" s="675">
        <v>0</v>
      </c>
      <c r="G41" s="675">
        <v>4474.8950000000004</v>
      </c>
      <c r="H41" s="675">
        <v>4115.0720000000001</v>
      </c>
      <c r="I41" s="675">
        <v>4115.0720000000001</v>
      </c>
      <c r="J41" s="675">
        <v>4474.8950000000004</v>
      </c>
      <c r="K41" s="675">
        <v>0</v>
      </c>
      <c r="L41" s="675">
        <v>6554</v>
      </c>
      <c r="M41" s="675">
        <v>0</v>
      </c>
      <c r="N41" s="675">
        <v>0</v>
      </c>
      <c r="O41" s="675">
        <v>0</v>
      </c>
      <c r="P41" s="675">
        <v>4587.973</v>
      </c>
      <c r="Q41" s="675">
        <v>0</v>
      </c>
      <c r="R41" s="675">
        <v>1466835</v>
      </c>
      <c r="S41" s="675">
        <v>319.71300000000002</v>
      </c>
      <c r="T41" s="675">
        <v>0</v>
      </c>
      <c r="U41" s="675">
        <v>1466835</v>
      </c>
      <c r="V41" s="675">
        <v>1059.9850000000001</v>
      </c>
      <c r="W41" s="675">
        <v>694714</v>
      </c>
      <c r="X41" s="675">
        <v>694714</v>
      </c>
      <c r="Y41" s="675">
        <v>0</v>
      </c>
      <c r="Z41" s="675">
        <v>0</v>
      </c>
      <c r="AA41" s="675">
        <v>1</v>
      </c>
      <c r="AB41" s="675">
        <v>1</v>
      </c>
      <c r="AC41" s="675">
        <v>0</v>
      </c>
      <c r="AD41" s="675" t="s">
        <v>316</v>
      </c>
      <c r="AE41" s="675">
        <v>0</v>
      </c>
      <c r="AF41" s="675">
        <v>0</v>
      </c>
      <c r="AG41" s="675">
        <v>0</v>
      </c>
      <c r="AH41" s="675">
        <v>0</v>
      </c>
      <c r="AI41" s="675">
        <v>0</v>
      </c>
      <c r="AJ41" s="675">
        <v>5104</v>
      </c>
      <c r="AK41" s="675" t="s">
        <v>671</v>
      </c>
      <c r="AL41" s="675" t="s">
        <v>324</v>
      </c>
      <c r="AM41" s="675">
        <v>0</v>
      </c>
      <c r="AN41" s="675">
        <v>0</v>
      </c>
      <c r="AO41" s="675">
        <v>0</v>
      </c>
      <c r="AP41" s="675">
        <v>0</v>
      </c>
      <c r="AQ41" s="675">
        <v>0</v>
      </c>
      <c r="AR41" s="675">
        <v>0</v>
      </c>
      <c r="AS41" s="675">
        <v>0</v>
      </c>
      <c r="AT41" s="675">
        <v>0</v>
      </c>
      <c r="AU41" s="675">
        <v>0</v>
      </c>
      <c r="AV41" s="675">
        <v>2719535</v>
      </c>
      <c r="AW41" s="675">
        <v>47590801</v>
      </c>
      <c r="AX41" s="675">
        <v>45479220</v>
      </c>
      <c r="AY41" s="675">
        <v>50945967</v>
      </c>
      <c r="AZ41" s="675">
        <v>2696514</v>
      </c>
      <c r="BA41" s="675">
        <v>0</v>
      </c>
      <c r="BB41" s="675">
        <v>0</v>
      </c>
      <c r="BC41" s="675">
        <v>0</v>
      </c>
      <c r="BD41" s="675">
        <v>0</v>
      </c>
      <c r="BE41" s="675">
        <v>0</v>
      </c>
      <c r="BF41" s="675">
        <v>38036869</v>
      </c>
      <c r="BG41" s="675">
        <v>0</v>
      </c>
      <c r="BH41" s="675">
        <v>4471.5590000000002</v>
      </c>
      <c r="BI41" s="675">
        <v>1229679</v>
      </c>
      <c r="BJ41" s="675">
        <v>12</v>
      </c>
      <c r="BK41" s="675">
        <v>0</v>
      </c>
      <c r="BL41" s="675">
        <v>0</v>
      </c>
      <c r="BM41" s="675">
        <v>0</v>
      </c>
      <c r="BN41" s="675">
        <v>0</v>
      </c>
      <c r="BO41" s="675">
        <v>0</v>
      </c>
      <c r="BP41" s="675">
        <v>0</v>
      </c>
      <c r="BQ41" s="675">
        <v>5392</v>
      </c>
      <c r="BR41" s="675">
        <v>1</v>
      </c>
      <c r="BS41" s="675">
        <v>0</v>
      </c>
      <c r="BT41" s="675">
        <v>0</v>
      </c>
      <c r="BU41" s="675">
        <v>0</v>
      </c>
      <c r="BV41" s="675">
        <v>0</v>
      </c>
      <c r="BW41" s="675">
        <v>0</v>
      </c>
      <c r="BX41" s="675">
        <v>0</v>
      </c>
      <c r="BY41" s="675">
        <v>0</v>
      </c>
      <c r="BZ41" s="675">
        <v>0</v>
      </c>
      <c r="CA41" s="675">
        <v>0</v>
      </c>
      <c r="CB41" s="675">
        <v>0</v>
      </c>
      <c r="CC41" s="675">
        <v>0</v>
      </c>
      <c r="CD41" s="675">
        <v>0</v>
      </c>
      <c r="CE41" s="675">
        <v>0</v>
      </c>
      <c r="CF41" s="675">
        <v>0</v>
      </c>
      <c r="CG41" s="675">
        <v>0</v>
      </c>
      <c r="CH41" s="675">
        <v>881902</v>
      </c>
      <c r="CI41" s="675">
        <v>0</v>
      </c>
      <c r="CJ41" s="675">
        <v>4</v>
      </c>
      <c r="CK41" s="675">
        <v>0</v>
      </c>
      <c r="CL41" s="675">
        <v>0</v>
      </c>
      <c r="CM41" s="675">
        <v>0</v>
      </c>
      <c r="CN41" s="675">
        <v>0</v>
      </c>
      <c r="CO41" s="675">
        <v>0</v>
      </c>
      <c r="CP41" s="675">
        <v>0</v>
      </c>
      <c r="CQ41" s="675">
        <v>0</v>
      </c>
      <c r="CR41" s="675">
        <v>4587.973</v>
      </c>
      <c r="CS41" s="675">
        <v>0</v>
      </c>
      <c r="CT41" s="675">
        <v>0</v>
      </c>
      <c r="CU41" s="675">
        <v>0</v>
      </c>
      <c r="CV41" s="675">
        <v>0</v>
      </c>
      <c r="CW41" s="675">
        <v>0</v>
      </c>
      <c r="CX41" s="675">
        <v>0</v>
      </c>
      <c r="CY41" s="675">
        <v>0</v>
      </c>
      <c r="CZ41" s="675">
        <v>0</v>
      </c>
      <c r="DA41" s="675">
        <v>1</v>
      </c>
      <c r="DB41" s="675">
        <v>26970182</v>
      </c>
      <c r="DC41" s="675">
        <v>0</v>
      </c>
      <c r="DD41" s="675">
        <v>0</v>
      </c>
      <c r="DE41" s="675">
        <v>6045187</v>
      </c>
      <c r="DF41" s="675">
        <v>6045187</v>
      </c>
      <c r="DG41" s="675">
        <v>4611.83</v>
      </c>
      <c r="DH41" s="675">
        <v>0</v>
      </c>
      <c r="DI41" s="675">
        <v>0</v>
      </c>
      <c r="DJ41" s="675">
        <v>0</v>
      </c>
      <c r="DK41" s="675">
        <v>5392</v>
      </c>
      <c r="DL41" s="675">
        <v>0</v>
      </c>
      <c r="DM41" s="675">
        <v>2751639</v>
      </c>
      <c r="DN41" s="675">
        <v>0</v>
      </c>
      <c r="DO41" s="675">
        <v>0</v>
      </c>
      <c r="DP41" s="675">
        <v>0</v>
      </c>
      <c r="DQ41" s="675">
        <v>0</v>
      </c>
      <c r="DR41" s="675">
        <v>0</v>
      </c>
      <c r="DS41" s="675">
        <v>0</v>
      </c>
      <c r="DT41" s="675">
        <v>0</v>
      </c>
      <c r="DU41" s="675">
        <v>0</v>
      </c>
      <c r="DV41" s="675">
        <v>0</v>
      </c>
      <c r="DW41" s="675">
        <v>0</v>
      </c>
      <c r="DX41" s="675">
        <v>0</v>
      </c>
      <c r="DY41" s="675">
        <v>0</v>
      </c>
      <c r="DZ41" s="675">
        <v>0</v>
      </c>
      <c r="EA41" s="675">
        <v>0</v>
      </c>
      <c r="EB41" s="675">
        <v>0</v>
      </c>
      <c r="EC41" s="675">
        <v>206.583</v>
      </c>
      <c r="ED41" s="675">
        <v>1489339</v>
      </c>
      <c r="EE41" s="675">
        <v>0</v>
      </c>
      <c r="EF41" s="675">
        <v>0</v>
      </c>
      <c r="EG41" s="675">
        <v>0</v>
      </c>
      <c r="EH41" s="675">
        <v>1262300</v>
      </c>
      <c r="EI41" s="675">
        <v>0</v>
      </c>
      <c r="EJ41" s="675">
        <v>0</v>
      </c>
      <c r="EK41" s="675">
        <v>63.195</v>
      </c>
      <c r="EL41" s="675">
        <v>0</v>
      </c>
      <c r="EM41" s="675">
        <v>0</v>
      </c>
      <c r="EN41" s="675">
        <v>0.60299999999999998</v>
      </c>
      <c r="EO41" s="675">
        <v>0</v>
      </c>
      <c r="EP41" s="675">
        <v>0</v>
      </c>
      <c r="EQ41" s="675">
        <v>63.798000000000002</v>
      </c>
      <c r="ER41" s="675">
        <v>0</v>
      </c>
      <c r="ES41" s="675">
        <v>192.6</v>
      </c>
      <c r="ET41" s="675">
        <v>0</v>
      </c>
      <c r="EU41" s="675">
        <v>2696514</v>
      </c>
      <c r="EV41" s="675">
        <v>0</v>
      </c>
      <c r="EW41" s="675">
        <v>0</v>
      </c>
      <c r="EX41" s="675">
        <v>0</v>
      </c>
      <c r="EY41" s="675">
        <v>0</v>
      </c>
      <c r="EZ41" s="675">
        <v>38383462</v>
      </c>
      <c r="FA41" s="675">
        <v>0</v>
      </c>
      <c r="FB41" s="675">
        <v>41079976</v>
      </c>
      <c r="FC41" s="675">
        <v>0.97327799999999998</v>
      </c>
      <c r="FD41" s="675">
        <v>0</v>
      </c>
      <c r="FE41" s="675">
        <v>5790808</v>
      </c>
      <c r="FF41" s="675">
        <v>1304950</v>
      </c>
      <c r="FG41" s="675">
        <v>6.1239999999999996E-2</v>
      </c>
      <c r="FH41" s="675">
        <v>5.4803999999999999E-2</v>
      </c>
      <c r="FI41" s="675">
        <v>0</v>
      </c>
      <c r="FJ41" s="675">
        <v>0</v>
      </c>
      <c r="FK41" s="675">
        <v>7452.6210000000001</v>
      </c>
      <c r="FL41" s="675">
        <v>49057636</v>
      </c>
      <c r="FM41" s="675">
        <v>0</v>
      </c>
      <c r="FN41" s="675">
        <v>0</v>
      </c>
      <c r="FO41" s="675">
        <v>769081</v>
      </c>
      <c r="FP41" s="675">
        <v>0</v>
      </c>
      <c r="FQ41" s="675">
        <v>769081</v>
      </c>
      <c r="FR41" s="675">
        <v>769081</v>
      </c>
      <c r="FS41" s="675">
        <v>0</v>
      </c>
      <c r="FT41" s="675">
        <v>0</v>
      </c>
      <c r="FU41" s="675">
        <v>0</v>
      </c>
      <c r="FV41" s="675">
        <v>0</v>
      </c>
      <c r="FW41" s="675">
        <v>0</v>
      </c>
      <c r="FX41" s="675">
        <v>0</v>
      </c>
      <c r="FY41" s="675">
        <v>0</v>
      </c>
      <c r="FZ41" s="675">
        <v>294</v>
      </c>
      <c r="GA41" s="675">
        <v>5.8840000000000003</v>
      </c>
      <c r="GB41" s="675">
        <v>2619494</v>
      </c>
      <c r="GC41" s="675">
        <v>2619494</v>
      </c>
      <c r="GD41" s="675">
        <v>296.02500000000003</v>
      </c>
      <c r="GE41" s="675">
        <v>0</v>
      </c>
      <c r="GF41" s="675">
        <v>0</v>
      </c>
      <c r="GG41" s="675">
        <v>0</v>
      </c>
      <c r="GH41" s="675">
        <v>0</v>
      </c>
      <c r="GI41" s="675">
        <v>0</v>
      </c>
      <c r="GJ41" s="675">
        <v>0</v>
      </c>
      <c r="GK41" s="675">
        <v>5340.4940000000006</v>
      </c>
      <c r="GL41" s="675">
        <v>64453</v>
      </c>
      <c r="GM41" s="675">
        <v>0</v>
      </c>
      <c r="GN41" s="675">
        <v>413599</v>
      </c>
      <c r="GO41" s="675">
        <v>0</v>
      </c>
      <c r="GP41" s="675">
        <v>48175734</v>
      </c>
      <c r="GQ41" s="675">
        <v>48175734</v>
      </c>
      <c r="GR41" s="675">
        <v>0</v>
      </c>
      <c r="GS41" s="675">
        <v>0</v>
      </c>
      <c r="GT41" s="675">
        <v>0</v>
      </c>
      <c r="GU41" s="675">
        <v>0</v>
      </c>
      <c r="GV41" s="675">
        <v>0</v>
      </c>
      <c r="GW41" s="675">
        <v>0</v>
      </c>
      <c r="GX41" s="675">
        <v>0</v>
      </c>
      <c r="GY41" s="675">
        <v>0</v>
      </c>
      <c r="GZ41" s="675">
        <v>0</v>
      </c>
      <c r="HA41" s="675">
        <v>0</v>
      </c>
      <c r="HB41" s="675">
        <v>260786259</v>
      </c>
      <c r="HC41" s="675">
        <v>5.0923999999999997E-2</v>
      </c>
      <c r="HD41" s="675">
        <v>881902</v>
      </c>
      <c r="HE41" s="675">
        <v>0</v>
      </c>
      <c r="HF41" s="675">
        <v>0</v>
      </c>
      <c r="HG41" s="675">
        <v>0</v>
      </c>
      <c r="HH41" s="675">
        <v>0</v>
      </c>
      <c r="HI41" s="675">
        <v>0</v>
      </c>
      <c r="HJ41" s="675">
        <v>0</v>
      </c>
      <c r="HK41" s="675">
        <v>0</v>
      </c>
      <c r="HL41" s="675">
        <v>0</v>
      </c>
      <c r="HM41" s="675">
        <v>0</v>
      </c>
      <c r="HN41" s="675">
        <v>0</v>
      </c>
      <c r="HO41" s="675">
        <v>0</v>
      </c>
      <c r="HP41" s="675">
        <v>0</v>
      </c>
      <c r="HQ41" s="675">
        <v>0</v>
      </c>
      <c r="HR41" s="675">
        <v>0</v>
      </c>
      <c r="HS41" s="675">
        <v>0</v>
      </c>
      <c r="HT41" s="675">
        <v>0</v>
      </c>
      <c r="HU41" s="675">
        <v>0</v>
      </c>
      <c r="HV41" s="675">
        <v>0</v>
      </c>
      <c r="HW41" s="675">
        <v>0</v>
      </c>
      <c r="HX41" s="675">
        <v>0</v>
      </c>
      <c r="HY41" s="675">
        <v>0</v>
      </c>
      <c r="HZ41" s="675">
        <v>0</v>
      </c>
      <c r="IA41" s="675">
        <v>0</v>
      </c>
      <c r="IB41" s="675">
        <v>0</v>
      </c>
      <c r="IC41" s="675">
        <v>0</v>
      </c>
      <c r="ID41" s="675">
        <v>0</v>
      </c>
      <c r="IE41" s="675">
        <v>0</v>
      </c>
      <c r="IF41" s="675">
        <v>0</v>
      </c>
      <c r="IG41" s="675">
        <v>0</v>
      </c>
      <c r="IH41" s="675">
        <v>0</v>
      </c>
      <c r="II41" s="675">
        <v>0</v>
      </c>
      <c r="IJ41" s="675">
        <v>0</v>
      </c>
      <c r="IK41" s="675">
        <v>0</v>
      </c>
      <c r="IL41" s="675">
        <v>0</v>
      </c>
      <c r="IM41" s="675">
        <v>0</v>
      </c>
      <c r="IN41" s="675">
        <v>0</v>
      </c>
      <c r="IO41" s="675">
        <v>0</v>
      </c>
      <c r="IP41" s="675">
        <v>0</v>
      </c>
      <c r="IQ41" s="675">
        <v>0</v>
      </c>
      <c r="IR41" s="675">
        <v>0</v>
      </c>
      <c r="IS41" s="675">
        <v>0</v>
      </c>
      <c r="IT41" s="675">
        <v>0</v>
      </c>
      <c r="IU41" s="675">
        <v>0</v>
      </c>
      <c r="IV41" s="675">
        <v>0</v>
      </c>
      <c r="IW41" s="675">
        <v>0</v>
      </c>
      <c r="IX41" s="675">
        <v>0</v>
      </c>
      <c r="IY41" s="675">
        <v>0</v>
      </c>
      <c r="IZ41" s="675">
        <v>0</v>
      </c>
      <c r="JA41" s="675">
        <v>0</v>
      </c>
      <c r="JB41" s="675">
        <v>0</v>
      </c>
      <c r="JC41" s="675">
        <v>0</v>
      </c>
      <c r="JD41" s="675">
        <v>0</v>
      </c>
      <c r="JE41" s="675">
        <v>0</v>
      </c>
      <c r="JF41" s="675">
        <v>0</v>
      </c>
      <c r="JG41" s="675">
        <v>0</v>
      </c>
      <c r="JH41" s="675">
        <v>0</v>
      </c>
      <c r="JI41" s="675">
        <v>0</v>
      </c>
      <c r="JJ41" s="675">
        <v>0</v>
      </c>
      <c r="JK41" s="675">
        <v>0</v>
      </c>
      <c r="JL41" s="675">
        <v>0</v>
      </c>
      <c r="JM41" s="675">
        <v>0</v>
      </c>
      <c r="JN41" s="675">
        <v>32469</v>
      </c>
      <c r="JO41" s="675">
        <v>0</v>
      </c>
      <c r="JP41" s="675">
        <v>0</v>
      </c>
      <c r="JQ41" s="675">
        <v>0</v>
      </c>
      <c r="JR41" s="675">
        <v>0</v>
      </c>
      <c r="JS41" s="675">
        <v>0</v>
      </c>
      <c r="JT41" s="675">
        <v>0</v>
      </c>
      <c r="JU41" s="675">
        <v>0</v>
      </c>
      <c r="JV41" s="675">
        <v>0</v>
      </c>
      <c r="JW41" s="675">
        <v>0</v>
      </c>
      <c r="JX41" s="675">
        <v>0</v>
      </c>
      <c r="JY41" s="675">
        <v>0</v>
      </c>
      <c r="JZ41" s="675">
        <v>0</v>
      </c>
      <c r="KA41" s="675">
        <v>0</v>
      </c>
      <c r="KB41" s="675">
        <v>0</v>
      </c>
      <c r="KC41" s="675">
        <v>0</v>
      </c>
      <c r="KD41" s="675">
        <v>0</v>
      </c>
      <c r="KE41" s="675">
        <v>0</v>
      </c>
      <c r="KF41" s="675">
        <v>0</v>
      </c>
    </row>
    <row r="42" spans="1:292" x14ac:dyDescent="0.25">
      <c r="A42" s="675">
        <v>57805</v>
      </c>
      <c r="B42" s="675">
        <v>32570</v>
      </c>
      <c r="C42" s="675">
        <v>35</v>
      </c>
      <c r="D42" s="675">
        <v>2022</v>
      </c>
      <c r="E42" s="675">
        <v>5392</v>
      </c>
      <c r="F42" s="675">
        <v>0</v>
      </c>
      <c r="G42" s="675">
        <v>207.44500000000002</v>
      </c>
      <c r="H42" s="675">
        <v>200.47800000000001</v>
      </c>
      <c r="I42" s="675">
        <v>200.47800000000001</v>
      </c>
      <c r="J42" s="675">
        <v>207.44500000000002</v>
      </c>
      <c r="K42" s="675">
        <v>0</v>
      </c>
      <c r="L42" s="675">
        <v>6554</v>
      </c>
      <c r="M42" s="675">
        <v>0</v>
      </c>
      <c r="N42" s="675">
        <v>0</v>
      </c>
      <c r="O42" s="675">
        <v>0</v>
      </c>
      <c r="P42" s="675">
        <v>210.572</v>
      </c>
      <c r="Q42" s="675">
        <v>0</v>
      </c>
      <c r="R42" s="675">
        <v>67323</v>
      </c>
      <c r="S42" s="675">
        <v>319.71300000000002</v>
      </c>
      <c r="T42" s="675">
        <v>0</v>
      </c>
      <c r="U42" s="675">
        <v>67323</v>
      </c>
      <c r="V42" s="675">
        <v>80.608000000000004</v>
      </c>
      <c r="W42" s="675">
        <v>52830</v>
      </c>
      <c r="X42" s="675">
        <v>52830</v>
      </c>
      <c r="Y42" s="675">
        <v>0</v>
      </c>
      <c r="Z42" s="675">
        <v>0</v>
      </c>
      <c r="AA42" s="675">
        <v>1</v>
      </c>
      <c r="AB42" s="675">
        <v>1</v>
      </c>
      <c r="AC42" s="675">
        <v>0</v>
      </c>
      <c r="AD42" s="675" t="s">
        <v>316</v>
      </c>
      <c r="AE42" s="675">
        <v>0</v>
      </c>
      <c r="AF42" s="675">
        <v>0</v>
      </c>
      <c r="AG42" s="675">
        <v>0</v>
      </c>
      <c r="AH42" s="675">
        <v>0</v>
      </c>
      <c r="AI42" s="675">
        <v>0</v>
      </c>
      <c r="AJ42" s="675">
        <v>5104</v>
      </c>
      <c r="AK42" s="675" t="s">
        <v>671</v>
      </c>
      <c r="AL42" s="675" t="s">
        <v>325</v>
      </c>
      <c r="AM42" s="675">
        <v>0</v>
      </c>
      <c r="AN42" s="675">
        <v>0</v>
      </c>
      <c r="AO42" s="675">
        <v>0</v>
      </c>
      <c r="AP42" s="675">
        <v>0</v>
      </c>
      <c r="AQ42" s="675">
        <v>0</v>
      </c>
      <c r="AR42" s="675">
        <v>0</v>
      </c>
      <c r="AS42" s="675">
        <v>0</v>
      </c>
      <c r="AT42" s="675">
        <v>0</v>
      </c>
      <c r="AU42" s="675">
        <v>0</v>
      </c>
      <c r="AV42" s="675">
        <v>19564</v>
      </c>
      <c r="AW42" s="675">
        <v>2077530</v>
      </c>
      <c r="AX42" s="675">
        <v>2077530</v>
      </c>
      <c r="AY42" s="675">
        <v>2172562</v>
      </c>
      <c r="AZ42" s="675">
        <v>67323</v>
      </c>
      <c r="BA42" s="675">
        <v>0</v>
      </c>
      <c r="BB42" s="675">
        <v>0</v>
      </c>
      <c r="BC42" s="675">
        <v>0</v>
      </c>
      <c r="BD42" s="675">
        <v>0</v>
      </c>
      <c r="BE42" s="675">
        <v>0</v>
      </c>
      <c r="BF42" s="675">
        <v>1766758</v>
      </c>
      <c r="BG42" s="675">
        <v>0</v>
      </c>
      <c r="BH42" s="675">
        <v>0</v>
      </c>
      <c r="BI42" s="675">
        <v>0</v>
      </c>
      <c r="BJ42" s="675">
        <v>12</v>
      </c>
      <c r="BK42" s="675">
        <v>0</v>
      </c>
      <c r="BL42" s="675">
        <v>0</v>
      </c>
      <c r="BM42" s="675">
        <v>0</v>
      </c>
      <c r="BN42" s="675">
        <v>0</v>
      </c>
      <c r="BO42" s="675">
        <v>0</v>
      </c>
      <c r="BP42" s="675">
        <v>0</v>
      </c>
      <c r="BQ42" s="675">
        <v>5392</v>
      </c>
      <c r="BR42" s="675">
        <v>1</v>
      </c>
      <c r="BS42" s="675">
        <v>0</v>
      </c>
      <c r="BT42" s="675">
        <v>0</v>
      </c>
      <c r="BU42" s="675">
        <v>0</v>
      </c>
      <c r="BV42" s="675">
        <v>0</v>
      </c>
      <c r="BW42" s="675">
        <v>0</v>
      </c>
      <c r="BX42" s="675">
        <v>0</v>
      </c>
      <c r="BY42" s="675">
        <v>0</v>
      </c>
      <c r="BZ42" s="675">
        <v>0</v>
      </c>
      <c r="CA42" s="675">
        <v>0</v>
      </c>
      <c r="CB42" s="675">
        <v>0</v>
      </c>
      <c r="CC42" s="675">
        <v>0</v>
      </c>
      <c r="CD42" s="675">
        <v>0</v>
      </c>
      <c r="CE42" s="675">
        <v>0</v>
      </c>
      <c r="CF42" s="675">
        <v>0</v>
      </c>
      <c r="CG42" s="675">
        <v>0</v>
      </c>
      <c r="CH42" s="675">
        <v>0</v>
      </c>
      <c r="CI42" s="675">
        <v>0</v>
      </c>
      <c r="CJ42" s="675">
        <v>4</v>
      </c>
      <c r="CK42" s="675">
        <v>0</v>
      </c>
      <c r="CL42" s="675">
        <v>0</v>
      </c>
      <c r="CM42" s="675">
        <v>0</v>
      </c>
      <c r="CN42" s="675">
        <v>0</v>
      </c>
      <c r="CO42" s="675">
        <v>0</v>
      </c>
      <c r="CP42" s="675">
        <v>0</v>
      </c>
      <c r="CQ42" s="675">
        <v>0</v>
      </c>
      <c r="CR42" s="675">
        <v>210.572</v>
      </c>
      <c r="CS42" s="675">
        <v>0</v>
      </c>
      <c r="CT42" s="675">
        <v>0</v>
      </c>
      <c r="CU42" s="675">
        <v>0</v>
      </c>
      <c r="CV42" s="675">
        <v>0</v>
      </c>
      <c r="CW42" s="675">
        <v>0</v>
      </c>
      <c r="CX42" s="675">
        <v>0</v>
      </c>
      <c r="CY42" s="675">
        <v>0</v>
      </c>
      <c r="CZ42" s="675">
        <v>0</v>
      </c>
      <c r="DA42" s="675">
        <v>1</v>
      </c>
      <c r="DB42" s="675">
        <v>1313933</v>
      </c>
      <c r="DC42" s="675">
        <v>0</v>
      </c>
      <c r="DD42" s="675">
        <v>0</v>
      </c>
      <c r="DE42" s="675">
        <v>299741</v>
      </c>
      <c r="DF42" s="675">
        <v>299741</v>
      </c>
      <c r="DG42" s="675">
        <v>228.67000000000002</v>
      </c>
      <c r="DH42" s="675">
        <v>0</v>
      </c>
      <c r="DI42" s="675">
        <v>0</v>
      </c>
      <c r="DJ42" s="675">
        <v>0</v>
      </c>
      <c r="DK42" s="675">
        <v>5392</v>
      </c>
      <c r="DL42" s="675">
        <v>0</v>
      </c>
      <c r="DM42" s="675">
        <v>148762</v>
      </c>
      <c r="DN42" s="675">
        <v>0</v>
      </c>
      <c r="DO42" s="675">
        <v>0</v>
      </c>
      <c r="DP42" s="675">
        <v>0</v>
      </c>
      <c r="DQ42" s="675">
        <v>0</v>
      </c>
      <c r="DR42" s="675">
        <v>0</v>
      </c>
      <c r="DS42" s="675">
        <v>0</v>
      </c>
      <c r="DT42" s="675">
        <v>0</v>
      </c>
      <c r="DU42" s="675">
        <v>0</v>
      </c>
      <c r="DV42" s="675">
        <v>0</v>
      </c>
      <c r="DW42" s="675">
        <v>0</v>
      </c>
      <c r="DX42" s="675">
        <v>0</v>
      </c>
      <c r="DY42" s="675">
        <v>0</v>
      </c>
      <c r="DZ42" s="675">
        <v>0</v>
      </c>
      <c r="EA42" s="675">
        <v>0</v>
      </c>
      <c r="EB42" s="675">
        <v>0</v>
      </c>
      <c r="EC42" s="675">
        <v>0.20800000000000002</v>
      </c>
      <c r="ED42" s="675">
        <v>1500</v>
      </c>
      <c r="EE42" s="675">
        <v>0</v>
      </c>
      <c r="EF42" s="675">
        <v>0</v>
      </c>
      <c r="EG42" s="675">
        <v>0</v>
      </c>
      <c r="EH42" s="675">
        <v>147262</v>
      </c>
      <c r="EI42" s="675">
        <v>0</v>
      </c>
      <c r="EJ42" s="675">
        <v>0</v>
      </c>
      <c r="EK42" s="675">
        <v>6.1830000000000007</v>
      </c>
      <c r="EL42" s="675">
        <v>0</v>
      </c>
      <c r="EM42" s="675">
        <v>0</v>
      </c>
      <c r="EN42" s="675">
        <v>0.78400000000000003</v>
      </c>
      <c r="EO42" s="675">
        <v>0</v>
      </c>
      <c r="EP42" s="675">
        <v>0</v>
      </c>
      <c r="EQ42" s="675">
        <v>6.9670000000000005</v>
      </c>
      <c r="ER42" s="675">
        <v>0</v>
      </c>
      <c r="ES42" s="675">
        <v>22.469000000000001</v>
      </c>
      <c r="ET42" s="675">
        <v>0</v>
      </c>
      <c r="EU42" s="675">
        <v>67323</v>
      </c>
      <c r="EV42" s="675">
        <v>0</v>
      </c>
      <c r="EW42" s="675">
        <v>0</v>
      </c>
      <c r="EX42" s="675">
        <v>0</v>
      </c>
      <c r="EY42" s="675">
        <v>0</v>
      </c>
      <c r="EZ42" s="675">
        <v>1747943</v>
      </c>
      <c r="FA42" s="675">
        <v>0</v>
      </c>
      <c r="FB42" s="675">
        <v>1815266</v>
      </c>
      <c r="FC42" s="675">
        <v>0.97327799999999998</v>
      </c>
      <c r="FD42" s="675">
        <v>0</v>
      </c>
      <c r="FE42" s="675">
        <v>268974</v>
      </c>
      <c r="FF42" s="675">
        <v>60613</v>
      </c>
      <c r="FG42" s="675">
        <v>6.1239999999999996E-2</v>
      </c>
      <c r="FH42" s="675">
        <v>5.4803999999999999E-2</v>
      </c>
      <c r="FI42" s="675">
        <v>0</v>
      </c>
      <c r="FJ42" s="675">
        <v>0</v>
      </c>
      <c r="FK42" s="675">
        <v>346.16300000000001</v>
      </c>
      <c r="FL42" s="675">
        <v>2144853</v>
      </c>
      <c r="FM42" s="675">
        <v>0</v>
      </c>
      <c r="FN42" s="675">
        <v>0</v>
      </c>
      <c r="FO42" s="675">
        <v>0</v>
      </c>
      <c r="FP42" s="675">
        <v>0</v>
      </c>
      <c r="FQ42" s="675">
        <v>0</v>
      </c>
      <c r="FR42" s="675">
        <v>0</v>
      </c>
      <c r="FS42" s="675">
        <v>0</v>
      </c>
      <c r="FT42" s="675">
        <v>0</v>
      </c>
      <c r="FU42" s="675">
        <v>0</v>
      </c>
      <c r="FV42" s="675">
        <v>0</v>
      </c>
      <c r="FW42" s="675">
        <v>0</v>
      </c>
      <c r="FX42" s="675">
        <v>0</v>
      </c>
      <c r="FY42" s="675">
        <v>0</v>
      </c>
      <c r="FZ42" s="675">
        <v>0</v>
      </c>
      <c r="GA42" s="675">
        <v>0</v>
      </c>
      <c r="GB42" s="675">
        <v>0</v>
      </c>
      <c r="GC42" s="675">
        <v>0</v>
      </c>
      <c r="GD42" s="675">
        <v>0</v>
      </c>
      <c r="GE42" s="675">
        <v>0</v>
      </c>
      <c r="GF42" s="675">
        <v>0</v>
      </c>
      <c r="GG42" s="675">
        <v>0</v>
      </c>
      <c r="GH42" s="675">
        <v>0</v>
      </c>
      <c r="GI42" s="675">
        <v>0</v>
      </c>
      <c r="GJ42" s="675">
        <v>0</v>
      </c>
      <c r="GK42" s="675">
        <v>5183</v>
      </c>
      <c r="GL42" s="675">
        <v>4467</v>
      </c>
      <c r="GM42" s="675">
        <v>0</v>
      </c>
      <c r="GN42" s="675">
        <v>0</v>
      </c>
      <c r="GO42" s="675">
        <v>0</v>
      </c>
      <c r="GP42" s="675">
        <v>2144853</v>
      </c>
      <c r="GQ42" s="675">
        <v>2144853</v>
      </c>
      <c r="GR42" s="675">
        <v>0</v>
      </c>
      <c r="GS42" s="675">
        <v>0</v>
      </c>
      <c r="GT42" s="675">
        <v>0</v>
      </c>
      <c r="GU42" s="675">
        <v>0</v>
      </c>
      <c r="GV42" s="675">
        <v>0</v>
      </c>
      <c r="GW42" s="675">
        <v>0</v>
      </c>
      <c r="GX42" s="675">
        <v>0</v>
      </c>
      <c r="GY42" s="675">
        <v>0</v>
      </c>
      <c r="GZ42" s="675">
        <v>0</v>
      </c>
      <c r="HA42" s="675">
        <v>0</v>
      </c>
      <c r="HB42" s="675">
        <v>0</v>
      </c>
      <c r="HC42" s="675">
        <v>0</v>
      </c>
      <c r="HD42" s="675">
        <v>0</v>
      </c>
      <c r="HE42" s="675">
        <v>0</v>
      </c>
      <c r="HF42" s="675">
        <v>0</v>
      </c>
      <c r="HG42" s="675">
        <v>0</v>
      </c>
      <c r="HH42" s="675">
        <v>0</v>
      </c>
      <c r="HI42" s="675">
        <v>0</v>
      </c>
      <c r="HJ42" s="675">
        <v>0</v>
      </c>
      <c r="HK42" s="675">
        <v>0</v>
      </c>
      <c r="HL42" s="675">
        <v>0</v>
      </c>
      <c r="HM42" s="675">
        <v>0</v>
      </c>
      <c r="HN42" s="675">
        <v>0</v>
      </c>
      <c r="HO42" s="675">
        <v>0</v>
      </c>
      <c r="HP42" s="675">
        <v>0</v>
      </c>
      <c r="HQ42" s="675">
        <v>0</v>
      </c>
      <c r="HR42" s="675">
        <v>0</v>
      </c>
      <c r="HS42" s="675">
        <v>0</v>
      </c>
      <c r="HT42" s="675">
        <v>0</v>
      </c>
      <c r="HU42" s="675">
        <v>0</v>
      </c>
      <c r="HV42" s="675">
        <v>0</v>
      </c>
      <c r="HW42" s="675">
        <v>0</v>
      </c>
      <c r="HX42" s="675">
        <v>0</v>
      </c>
      <c r="HY42" s="675">
        <v>0</v>
      </c>
      <c r="HZ42" s="675">
        <v>0</v>
      </c>
      <c r="IA42" s="675">
        <v>0</v>
      </c>
      <c r="IB42" s="675">
        <v>0</v>
      </c>
      <c r="IC42" s="675">
        <v>0</v>
      </c>
      <c r="ID42" s="675">
        <v>0</v>
      </c>
      <c r="IE42" s="675">
        <v>0</v>
      </c>
      <c r="IF42" s="675">
        <v>0</v>
      </c>
      <c r="IG42" s="675">
        <v>0</v>
      </c>
      <c r="IH42" s="675">
        <v>0</v>
      </c>
      <c r="II42" s="675">
        <v>0</v>
      </c>
      <c r="IJ42" s="675">
        <v>0</v>
      </c>
      <c r="IK42" s="675">
        <v>0</v>
      </c>
      <c r="IL42" s="675">
        <v>0</v>
      </c>
      <c r="IM42" s="675">
        <v>0</v>
      </c>
      <c r="IN42" s="675">
        <v>0</v>
      </c>
      <c r="IO42" s="675">
        <v>0</v>
      </c>
      <c r="IP42" s="675">
        <v>0</v>
      </c>
      <c r="IQ42" s="675">
        <v>0</v>
      </c>
      <c r="IR42" s="675">
        <v>0</v>
      </c>
      <c r="IS42" s="675">
        <v>0</v>
      </c>
      <c r="IT42" s="675">
        <v>0</v>
      </c>
      <c r="IU42" s="675">
        <v>0</v>
      </c>
      <c r="IV42" s="675">
        <v>0</v>
      </c>
      <c r="IW42" s="675">
        <v>0</v>
      </c>
      <c r="IX42" s="675">
        <v>0</v>
      </c>
      <c r="IY42" s="675">
        <v>0</v>
      </c>
      <c r="IZ42" s="675">
        <v>0</v>
      </c>
      <c r="JA42" s="675">
        <v>0</v>
      </c>
      <c r="JB42" s="675">
        <v>0</v>
      </c>
      <c r="JC42" s="675">
        <v>0</v>
      </c>
      <c r="JD42" s="675">
        <v>0</v>
      </c>
      <c r="JE42" s="675">
        <v>0</v>
      </c>
      <c r="JF42" s="675">
        <v>0</v>
      </c>
      <c r="JG42" s="675">
        <v>0</v>
      </c>
      <c r="JH42" s="675">
        <v>0</v>
      </c>
      <c r="JI42" s="675">
        <v>0</v>
      </c>
      <c r="JJ42" s="675">
        <v>0</v>
      </c>
      <c r="JK42" s="675">
        <v>0</v>
      </c>
      <c r="JL42" s="675">
        <v>0</v>
      </c>
      <c r="JM42" s="675">
        <v>0</v>
      </c>
      <c r="JN42" s="675">
        <v>32469</v>
      </c>
      <c r="JO42" s="675">
        <v>0</v>
      </c>
      <c r="JP42" s="675">
        <v>0</v>
      </c>
      <c r="JQ42" s="675">
        <v>0</v>
      </c>
      <c r="JR42" s="675">
        <v>0</v>
      </c>
      <c r="JS42" s="675">
        <v>0</v>
      </c>
      <c r="JT42" s="675">
        <v>0</v>
      </c>
      <c r="JU42" s="675">
        <v>0</v>
      </c>
      <c r="JV42" s="675">
        <v>0</v>
      </c>
      <c r="JW42" s="675">
        <v>0</v>
      </c>
      <c r="JX42" s="675">
        <v>0</v>
      </c>
      <c r="JY42" s="675">
        <v>0</v>
      </c>
      <c r="JZ42" s="675">
        <v>0</v>
      </c>
      <c r="KA42" s="675">
        <v>0</v>
      </c>
      <c r="KB42" s="675">
        <v>0</v>
      </c>
      <c r="KC42" s="675">
        <v>0</v>
      </c>
      <c r="KD42" s="675">
        <v>0</v>
      </c>
      <c r="KE42" s="675">
        <v>0</v>
      </c>
      <c r="KF42" s="675">
        <v>0</v>
      </c>
    </row>
    <row r="43" spans="1:292" x14ac:dyDescent="0.25">
      <c r="A43" s="675">
        <v>57806</v>
      </c>
      <c r="B43" s="675">
        <v>32570</v>
      </c>
      <c r="C43" s="675">
        <v>35</v>
      </c>
      <c r="D43" s="675">
        <v>2022</v>
      </c>
      <c r="E43" s="675">
        <v>5392</v>
      </c>
      <c r="F43" s="675">
        <v>0</v>
      </c>
      <c r="G43" s="675">
        <v>1204.1960000000001</v>
      </c>
      <c r="H43" s="675">
        <v>1141.5720000000001</v>
      </c>
      <c r="I43" s="675">
        <v>1141.5720000000001</v>
      </c>
      <c r="J43" s="675">
        <v>1204.1960000000001</v>
      </c>
      <c r="K43" s="675">
        <v>0</v>
      </c>
      <c r="L43" s="675">
        <v>6554</v>
      </c>
      <c r="M43" s="675">
        <v>0</v>
      </c>
      <c r="N43" s="675">
        <v>0</v>
      </c>
      <c r="O43" s="675">
        <v>0</v>
      </c>
      <c r="P43" s="675">
        <v>1454.258</v>
      </c>
      <c r="Q43" s="675">
        <v>0</v>
      </c>
      <c r="R43" s="675">
        <v>464945</v>
      </c>
      <c r="S43" s="675">
        <v>319.71300000000002</v>
      </c>
      <c r="T43" s="675">
        <v>0</v>
      </c>
      <c r="U43" s="675">
        <v>464945</v>
      </c>
      <c r="V43" s="675">
        <v>261.774</v>
      </c>
      <c r="W43" s="675">
        <v>171567</v>
      </c>
      <c r="X43" s="675">
        <v>171567</v>
      </c>
      <c r="Y43" s="675">
        <v>0</v>
      </c>
      <c r="Z43" s="675">
        <v>0</v>
      </c>
      <c r="AA43" s="675">
        <v>1</v>
      </c>
      <c r="AB43" s="675">
        <v>1</v>
      </c>
      <c r="AC43" s="675">
        <v>0</v>
      </c>
      <c r="AD43" s="675" t="s">
        <v>316</v>
      </c>
      <c r="AE43" s="675">
        <v>0</v>
      </c>
      <c r="AF43" s="675">
        <v>0</v>
      </c>
      <c r="AG43" s="675">
        <v>0</v>
      </c>
      <c r="AH43" s="675">
        <v>0</v>
      </c>
      <c r="AI43" s="675">
        <v>0</v>
      </c>
      <c r="AJ43" s="675">
        <v>5104</v>
      </c>
      <c r="AK43" s="675" t="s">
        <v>671</v>
      </c>
      <c r="AL43" s="675" t="s">
        <v>326</v>
      </c>
      <c r="AM43" s="675">
        <v>0</v>
      </c>
      <c r="AN43" s="675">
        <v>0</v>
      </c>
      <c r="AO43" s="675">
        <v>0</v>
      </c>
      <c r="AP43" s="675">
        <v>0</v>
      </c>
      <c r="AQ43" s="675">
        <v>0</v>
      </c>
      <c r="AR43" s="675">
        <v>0</v>
      </c>
      <c r="AS43" s="675">
        <v>0</v>
      </c>
      <c r="AT43" s="675">
        <v>0</v>
      </c>
      <c r="AU43" s="675">
        <v>0</v>
      </c>
      <c r="AV43" s="675">
        <v>953544</v>
      </c>
      <c r="AW43" s="675">
        <v>12052465</v>
      </c>
      <c r="AX43" s="675">
        <v>11747624</v>
      </c>
      <c r="AY43" s="675">
        <v>13036475</v>
      </c>
      <c r="AZ43" s="675">
        <v>512133</v>
      </c>
      <c r="BA43" s="675">
        <v>40.582999999999998</v>
      </c>
      <c r="BB43" s="675">
        <v>23035</v>
      </c>
      <c r="BC43" s="675">
        <v>23035</v>
      </c>
      <c r="BD43" s="675">
        <v>29.289000000000001</v>
      </c>
      <c r="BE43" s="675">
        <v>0</v>
      </c>
      <c r="BF43" s="675">
        <v>10059730</v>
      </c>
      <c r="BG43" s="675">
        <v>0</v>
      </c>
      <c r="BH43" s="675">
        <v>171.59300000000002</v>
      </c>
      <c r="BI43" s="675">
        <v>47188</v>
      </c>
      <c r="BJ43" s="675">
        <v>12</v>
      </c>
      <c r="BK43" s="675">
        <v>0</v>
      </c>
      <c r="BL43" s="675">
        <v>0</v>
      </c>
      <c r="BM43" s="675">
        <v>0</v>
      </c>
      <c r="BN43" s="675">
        <v>0</v>
      </c>
      <c r="BO43" s="675">
        <v>0</v>
      </c>
      <c r="BP43" s="675">
        <v>0</v>
      </c>
      <c r="BQ43" s="675">
        <v>5392</v>
      </c>
      <c r="BR43" s="675">
        <v>1</v>
      </c>
      <c r="BS43" s="675">
        <v>0</v>
      </c>
      <c r="BT43" s="675">
        <v>0</v>
      </c>
      <c r="BU43" s="675">
        <v>0</v>
      </c>
      <c r="BV43" s="675">
        <v>0</v>
      </c>
      <c r="BW43" s="675">
        <v>0</v>
      </c>
      <c r="BX43" s="675">
        <v>0</v>
      </c>
      <c r="BY43" s="675">
        <v>0</v>
      </c>
      <c r="BZ43" s="675">
        <v>0</v>
      </c>
      <c r="CA43" s="675">
        <v>0</v>
      </c>
      <c r="CB43" s="675">
        <v>0</v>
      </c>
      <c r="CC43" s="675">
        <v>0</v>
      </c>
      <c r="CD43" s="675">
        <v>0</v>
      </c>
      <c r="CE43" s="675">
        <v>0</v>
      </c>
      <c r="CF43" s="675">
        <v>0</v>
      </c>
      <c r="CG43" s="675">
        <v>0</v>
      </c>
      <c r="CH43" s="675">
        <v>257653</v>
      </c>
      <c r="CI43" s="675">
        <v>0</v>
      </c>
      <c r="CJ43" s="675">
        <v>4</v>
      </c>
      <c r="CK43" s="675">
        <v>0</v>
      </c>
      <c r="CL43" s="675">
        <v>0</v>
      </c>
      <c r="CM43" s="675">
        <v>0</v>
      </c>
      <c r="CN43" s="675">
        <v>0</v>
      </c>
      <c r="CO43" s="675">
        <v>0</v>
      </c>
      <c r="CP43" s="675">
        <v>0</v>
      </c>
      <c r="CQ43" s="675">
        <v>0.16700000000000001</v>
      </c>
      <c r="CR43" s="675">
        <v>1454.258</v>
      </c>
      <c r="CS43" s="675">
        <v>0</v>
      </c>
      <c r="CT43" s="675">
        <v>0</v>
      </c>
      <c r="CU43" s="675">
        <v>0</v>
      </c>
      <c r="CV43" s="675">
        <v>0</v>
      </c>
      <c r="CW43" s="675">
        <v>0</v>
      </c>
      <c r="CX43" s="675">
        <v>0</v>
      </c>
      <c r="CY43" s="675">
        <v>0</v>
      </c>
      <c r="CZ43" s="675">
        <v>0</v>
      </c>
      <c r="DA43" s="675">
        <v>1</v>
      </c>
      <c r="DB43" s="675">
        <v>7481863</v>
      </c>
      <c r="DC43" s="675">
        <v>0</v>
      </c>
      <c r="DD43" s="675">
        <v>0</v>
      </c>
      <c r="DE43" s="675">
        <v>1683067</v>
      </c>
      <c r="DF43" s="675">
        <v>1683067</v>
      </c>
      <c r="DG43" s="675">
        <v>1284</v>
      </c>
      <c r="DH43" s="675">
        <v>0</v>
      </c>
      <c r="DI43" s="675">
        <v>0</v>
      </c>
      <c r="DJ43" s="675">
        <v>0</v>
      </c>
      <c r="DK43" s="675">
        <v>5392</v>
      </c>
      <c r="DL43" s="675">
        <v>0</v>
      </c>
      <c r="DM43" s="675">
        <v>569761</v>
      </c>
      <c r="DN43" s="675">
        <v>0</v>
      </c>
      <c r="DO43" s="675">
        <v>0</v>
      </c>
      <c r="DP43" s="675">
        <v>0</v>
      </c>
      <c r="DQ43" s="675">
        <v>0</v>
      </c>
      <c r="DR43" s="675">
        <v>0</v>
      </c>
      <c r="DS43" s="675">
        <v>0</v>
      </c>
      <c r="DT43" s="675">
        <v>0</v>
      </c>
      <c r="DU43" s="675">
        <v>0</v>
      </c>
      <c r="DV43" s="675">
        <v>0</v>
      </c>
      <c r="DW43" s="675">
        <v>0</v>
      </c>
      <c r="DX43" s="675">
        <v>0</v>
      </c>
      <c r="DY43" s="675">
        <v>0</v>
      </c>
      <c r="DZ43" s="675">
        <v>0</v>
      </c>
      <c r="EA43" s="675">
        <v>0</v>
      </c>
      <c r="EB43" s="675">
        <v>0</v>
      </c>
      <c r="EC43" s="675">
        <v>30.743000000000002</v>
      </c>
      <c r="ED43" s="675">
        <v>221639</v>
      </c>
      <c r="EE43" s="675">
        <v>0</v>
      </c>
      <c r="EF43" s="675">
        <v>0</v>
      </c>
      <c r="EG43" s="675">
        <v>0</v>
      </c>
      <c r="EH43" s="675">
        <v>348122</v>
      </c>
      <c r="EI43" s="675">
        <v>0</v>
      </c>
      <c r="EJ43" s="675">
        <v>0</v>
      </c>
      <c r="EK43" s="675">
        <v>15.237</v>
      </c>
      <c r="EL43" s="675">
        <v>0</v>
      </c>
      <c r="EM43" s="675">
        <v>0</v>
      </c>
      <c r="EN43" s="675">
        <v>1.4810000000000001</v>
      </c>
      <c r="EO43" s="675">
        <v>0</v>
      </c>
      <c r="EP43" s="675">
        <v>0</v>
      </c>
      <c r="EQ43" s="675">
        <v>16.718</v>
      </c>
      <c r="ER43" s="675">
        <v>0</v>
      </c>
      <c r="ES43" s="675">
        <v>53.116</v>
      </c>
      <c r="ET43" s="675">
        <v>20333</v>
      </c>
      <c r="EU43" s="675">
        <v>512133</v>
      </c>
      <c r="EV43" s="675">
        <v>0</v>
      </c>
      <c r="EW43" s="675">
        <v>0</v>
      </c>
      <c r="EX43" s="675">
        <v>0</v>
      </c>
      <c r="EY43" s="675">
        <v>0</v>
      </c>
      <c r="EZ43" s="675">
        <v>9870987</v>
      </c>
      <c r="FA43" s="675">
        <v>0</v>
      </c>
      <c r="FB43" s="675">
        <v>10383120</v>
      </c>
      <c r="FC43" s="675">
        <v>0.97327799999999998</v>
      </c>
      <c r="FD43" s="675">
        <v>0</v>
      </c>
      <c r="FE43" s="675">
        <v>1531513</v>
      </c>
      <c r="FF43" s="675">
        <v>345124</v>
      </c>
      <c r="FG43" s="675">
        <v>6.1239999999999996E-2</v>
      </c>
      <c r="FH43" s="675">
        <v>5.4803999999999999E-2</v>
      </c>
      <c r="FI43" s="675">
        <v>0</v>
      </c>
      <c r="FJ43" s="675">
        <v>0</v>
      </c>
      <c r="FK43" s="675">
        <v>1971.018</v>
      </c>
      <c r="FL43" s="675">
        <v>12517410</v>
      </c>
      <c r="FM43" s="675">
        <v>0</v>
      </c>
      <c r="FN43" s="675">
        <v>0</v>
      </c>
      <c r="FO43" s="675">
        <v>0</v>
      </c>
      <c r="FP43" s="675">
        <v>0</v>
      </c>
      <c r="FQ43" s="675">
        <v>0</v>
      </c>
      <c r="FR43" s="675">
        <v>0</v>
      </c>
      <c r="FS43" s="675">
        <v>0</v>
      </c>
      <c r="FT43" s="675">
        <v>0</v>
      </c>
      <c r="FU43" s="675">
        <v>0</v>
      </c>
      <c r="FV43" s="675">
        <v>0</v>
      </c>
      <c r="FW43" s="675">
        <v>0</v>
      </c>
      <c r="FX43" s="675">
        <v>0</v>
      </c>
      <c r="FY43" s="675">
        <v>0</v>
      </c>
      <c r="FZ43" s="675">
        <v>468</v>
      </c>
      <c r="GA43" s="675">
        <v>9.3559999999999999</v>
      </c>
      <c r="GB43" s="675">
        <v>406639</v>
      </c>
      <c r="GC43" s="675">
        <v>406639</v>
      </c>
      <c r="GD43" s="675">
        <v>45.905999999999999</v>
      </c>
      <c r="GE43" s="675">
        <v>0</v>
      </c>
      <c r="GF43" s="675">
        <v>0</v>
      </c>
      <c r="GG43" s="675">
        <v>0</v>
      </c>
      <c r="GH43" s="675">
        <v>0</v>
      </c>
      <c r="GI43" s="675">
        <v>0</v>
      </c>
      <c r="GJ43" s="675">
        <v>0</v>
      </c>
      <c r="GK43" s="675">
        <v>5150</v>
      </c>
      <c r="GL43" s="675">
        <v>45560</v>
      </c>
      <c r="GM43" s="675">
        <v>0</v>
      </c>
      <c r="GN43" s="675">
        <v>0</v>
      </c>
      <c r="GO43" s="675">
        <v>0</v>
      </c>
      <c r="GP43" s="675">
        <v>12259757</v>
      </c>
      <c r="GQ43" s="675">
        <v>12259757</v>
      </c>
      <c r="GR43" s="675">
        <v>0</v>
      </c>
      <c r="GS43" s="675">
        <v>0</v>
      </c>
      <c r="GT43" s="675">
        <v>0</v>
      </c>
      <c r="GU43" s="675">
        <v>0</v>
      </c>
      <c r="GV43" s="675">
        <v>0</v>
      </c>
      <c r="GW43" s="675">
        <v>0</v>
      </c>
      <c r="GX43" s="675">
        <v>0</v>
      </c>
      <c r="GY43" s="675">
        <v>0</v>
      </c>
      <c r="GZ43" s="675">
        <v>0</v>
      </c>
      <c r="HA43" s="675">
        <v>0</v>
      </c>
      <c r="HB43" s="675">
        <v>260786259</v>
      </c>
      <c r="HC43" s="675">
        <v>5.0923999999999997E-2</v>
      </c>
      <c r="HD43" s="675">
        <v>237320</v>
      </c>
      <c r="HE43" s="675">
        <v>0</v>
      </c>
      <c r="HF43" s="675">
        <v>0</v>
      </c>
      <c r="HG43" s="675">
        <v>0</v>
      </c>
      <c r="HH43" s="675">
        <v>0</v>
      </c>
      <c r="HI43" s="675">
        <v>0</v>
      </c>
      <c r="HJ43" s="675">
        <v>0</v>
      </c>
      <c r="HK43" s="675">
        <v>0</v>
      </c>
      <c r="HL43" s="675">
        <v>0</v>
      </c>
      <c r="HM43" s="675">
        <v>0</v>
      </c>
      <c r="HN43" s="675">
        <v>0</v>
      </c>
      <c r="HO43" s="675">
        <v>0</v>
      </c>
      <c r="HP43" s="675">
        <v>0</v>
      </c>
      <c r="HQ43" s="675">
        <v>0</v>
      </c>
      <c r="HR43" s="675">
        <v>0</v>
      </c>
      <c r="HS43" s="675">
        <v>0</v>
      </c>
      <c r="HT43" s="675">
        <v>0</v>
      </c>
      <c r="HU43" s="675">
        <v>0</v>
      </c>
      <c r="HV43" s="675">
        <v>0</v>
      </c>
      <c r="HW43" s="675">
        <v>0</v>
      </c>
      <c r="HX43" s="675">
        <v>0</v>
      </c>
      <c r="HY43" s="675">
        <v>0</v>
      </c>
      <c r="HZ43" s="675">
        <v>0</v>
      </c>
      <c r="IA43" s="675">
        <v>0</v>
      </c>
      <c r="IB43" s="675">
        <v>0</v>
      </c>
      <c r="IC43" s="675">
        <v>0</v>
      </c>
      <c r="ID43" s="675">
        <v>0</v>
      </c>
      <c r="IE43" s="675">
        <v>0</v>
      </c>
      <c r="IF43" s="675">
        <v>0</v>
      </c>
      <c r="IG43" s="675">
        <v>0</v>
      </c>
      <c r="IH43" s="675">
        <v>0</v>
      </c>
      <c r="II43" s="675">
        <v>0</v>
      </c>
      <c r="IJ43" s="675">
        <v>0</v>
      </c>
      <c r="IK43" s="675">
        <v>0</v>
      </c>
      <c r="IL43" s="675">
        <v>0</v>
      </c>
      <c r="IM43" s="675">
        <v>0</v>
      </c>
      <c r="IN43" s="675">
        <v>0</v>
      </c>
      <c r="IO43" s="675">
        <v>0</v>
      </c>
      <c r="IP43" s="675">
        <v>0</v>
      </c>
      <c r="IQ43" s="675">
        <v>0</v>
      </c>
      <c r="IR43" s="675">
        <v>0</v>
      </c>
      <c r="IS43" s="675">
        <v>0</v>
      </c>
      <c r="IT43" s="675">
        <v>0</v>
      </c>
      <c r="IU43" s="675">
        <v>0</v>
      </c>
      <c r="IV43" s="675">
        <v>0</v>
      </c>
      <c r="IW43" s="675">
        <v>0</v>
      </c>
      <c r="IX43" s="675">
        <v>0</v>
      </c>
      <c r="IY43" s="675">
        <v>0</v>
      </c>
      <c r="IZ43" s="675">
        <v>0</v>
      </c>
      <c r="JA43" s="675">
        <v>0</v>
      </c>
      <c r="JB43" s="675">
        <v>0</v>
      </c>
      <c r="JC43" s="675">
        <v>0</v>
      </c>
      <c r="JD43" s="675">
        <v>0</v>
      </c>
      <c r="JE43" s="675">
        <v>0</v>
      </c>
      <c r="JF43" s="675">
        <v>0</v>
      </c>
      <c r="JG43" s="675">
        <v>0</v>
      </c>
      <c r="JH43" s="675">
        <v>0</v>
      </c>
      <c r="JI43" s="675">
        <v>0</v>
      </c>
      <c r="JJ43" s="675">
        <v>0</v>
      </c>
      <c r="JK43" s="675">
        <v>0</v>
      </c>
      <c r="JL43" s="675">
        <v>0</v>
      </c>
      <c r="JM43" s="675">
        <v>0</v>
      </c>
      <c r="JN43" s="675">
        <v>32469</v>
      </c>
      <c r="JO43" s="675">
        <v>0</v>
      </c>
      <c r="JP43" s="675">
        <v>0</v>
      </c>
      <c r="JQ43" s="675">
        <v>0</v>
      </c>
      <c r="JR43" s="675">
        <v>0</v>
      </c>
      <c r="JS43" s="675">
        <v>0</v>
      </c>
      <c r="JT43" s="675">
        <v>0</v>
      </c>
      <c r="JU43" s="675">
        <v>0</v>
      </c>
      <c r="JV43" s="675">
        <v>0</v>
      </c>
      <c r="JW43" s="675">
        <v>0</v>
      </c>
      <c r="JX43" s="675">
        <v>0</v>
      </c>
      <c r="JY43" s="675">
        <v>0</v>
      </c>
      <c r="JZ43" s="675">
        <v>0</v>
      </c>
      <c r="KA43" s="675">
        <v>0</v>
      </c>
      <c r="KB43" s="675">
        <v>0</v>
      </c>
      <c r="KC43" s="675">
        <v>0</v>
      </c>
      <c r="KD43" s="675">
        <v>0</v>
      </c>
      <c r="KE43" s="675">
        <v>0</v>
      </c>
      <c r="KF43" s="675">
        <v>0</v>
      </c>
    </row>
    <row r="44" spans="1:292" x14ac:dyDescent="0.25">
      <c r="A44" s="675">
        <v>57807</v>
      </c>
      <c r="B44" s="675">
        <v>32570</v>
      </c>
      <c r="C44" s="675">
        <v>35</v>
      </c>
      <c r="D44" s="675">
        <v>2022</v>
      </c>
      <c r="E44" s="675">
        <v>5392</v>
      </c>
      <c r="F44" s="675">
        <v>0</v>
      </c>
      <c r="G44" s="675">
        <v>5301.4949999999999</v>
      </c>
      <c r="H44" s="675">
        <v>4741.1390000000001</v>
      </c>
      <c r="I44" s="675">
        <v>4741.1390000000001</v>
      </c>
      <c r="J44" s="675">
        <v>5301.4949999999999</v>
      </c>
      <c r="K44" s="675">
        <v>0</v>
      </c>
      <c r="L44" s="675">
        <v>6554</v>
      </c>
      <c r="M44" s="675">
        <v>0</v>
      </c>
      <c r="N44" s="675">
        <v>0</v>
      </c>
      <c r="O44" s="675">
        <v>0</v>
      </c>
      <c r="P44" s="675">
        <v>5425.4290000000001</v>
      </c>
      <c r="Q44" s="675">
        <v>0</v>
      </c>
      <c r="R44" s="675">
        <v>1734580</v>
      </c>
      <c r="S44" s="675">
        <v>319.71300000000002</v>
      </c>
      <c r="T44" s="675">
        <v>0</v>
      </c>
      <c r="U44" s="675">
        <v>1734580</v>
      </c>
      <c r="V44" s="675">
        <v>481.99800000000005</v>
      </c>
      <c r="W44" s="675">
        <v>315901</v>
      </c>
      <c r="X44" s="675">
        <v>315901</v>
      </c>
      <c r="Y44" s="675">
        <v>0</v>
      </c>
      <c r="Z44" s="675">
        <v>0</v>
      </c>
      <c r="AA44" s="675">
        <v>1</v>
      </c>
      <c r="AB44" s="675">
        <v>1</v>
      </c>
      <c r="AC44" s="675">
        <v>0</v>
      </c>
      <c r="AD44" s="675" t="s">
        <v>316</v>
      </c>
      <c r="AE44" s="675">
        <v>0</v>
      </c>
      <c r="AF44" s="675">
        <v>0</v>
      </c>
      <c r="AG44" s="675">
        <v>0</v>
      </c>
      <c r="AH44" s="675">
        <v>0</v>
      </c>
      <c r="AI44" s="675">
        <v>0</v>
      </c>
      <c r="AJ44" s="675">
        <v>5104</v>
      </c>
      <c r="AK44" s="675" t="s">
        <v>671</v>
      </c>
      <c r="AL44" s="675" t="s">
        <v>18</v>
      </c>
      <c r="AM44" s="675">
        <v>0</v>
      </c>
      <c r="AN44" s="675">
        <v>0</v>
      </c>
      <c r="AO44" s="675">
        <v>0</v>
      </c>
      <c r="AP44" s="675">
        <v>0</v>
      </c>
      <c r="AQ44" s="675">
        <v>0</v>
      </c>
      <c r="AR44" s="675">
        <v>0</v>
      </c>
      <c r="AS44" s="675">
        <v>0</v>
      </c>
      <c r="AT44" s="675">
        <v>0</v>
      </c>
      <c r="AU44" s="675">
        <v>0</v>
      </c>
      <c r="AV44" s="675">
        <v>1149761</v>
      </c>
      <c r="AW44" s="675">
        <v>52320506</v>
      </c>
      <c r="AX44" s="675">
        <v>50833917</v>
      </c>
      <c r="AY44" s="675">
        <v>54311813</v>
      </c>
      <c r="AZ44" s="675">
        <v>2176362</v>
      </c>
      <c r="BA44" s="675">
        <v>0</v>
      </c>
      <c r="BB44" s="675">
        <v>208476</v>
      </c>
      <c r="BC44" s="675">
        <v>208476</v>
      </c>
      <c r="BD44" s="675">
        <v>265.07499999999999</v>
      </c>
      <c r="BE44" s="675">
        <v>0</v>
      </c>
      <c r="BF44" s="675">
        <v>43301690</v>
      </c>
      <c r="BG44" s="675">
        <v>0</v>
      </c>
      <c r="BH44" s="675">
        <v>1351.2760000000001</v>
      </c>
      <c r="BI44" s="675">
        <v>371601</v>
      </c>
      <c r="BJ44" s="675">
        <v>12</v>
      </c>
      <c r="BK44" s="675">
        <v>0</v>
      </c>
      <c r="BL44" s="675">
        <v>0</v>
      </c>
      <c r="BM44" s="675">
        <v>0</v>
      </c>
      <c r="BN44" s="675">
        <v>0</v>
      </c>
      <c r="BO44" s="675">
        <v>0</v>
      </c>
      <c r="BP44" s="675">
        <v>0</v>
      </c>
      <c r="BQ44" s="675">
        <v>5392</v>
      </c>
      <c r="BR44" s="675">
        <v>1</v>
      </c>
      <c r="BS44" s="675">
        <v>0</v>
      </c>
      <c r="BT44" s="675">
        <v>0</v>
      </c>
      <c r="BU44" s="675">
        <v>0</v>
      </c>
      <c r="BV44" s="675">
        <v>0</v>
      </c>
      <c r="BW44" s="675">
        <v>0</v>
      </c>
      <c r="BX44" s="675">
        <v>0</v>
      </c>
      <c r="BY44" s="675">
        <v>0</v>
      </c>
      <c r="BZ44" s="675">
        <v>0</v>
      </c>
      <c r="CA44" s="675">
        <v>183.596</v>
      </c>
      <c r="CB44" s="675">
        <v>70181</v>
      </c>
      <c r="CC44" s="675">
        <v>0</v>
      </c>
      <c r="CD44" s="675">
        <v>0</v>
      </c>
      <c r="CE44" s="675">
        <v>0</v>
      </c>
      <c r="CF44" s="675">
        <v>0</v>
      </c>
      <c r="CG44" s="675">
        <v>0</v>
      </c>
      <c r="CH44" s="675">
        <v>1044807</v>
      </c>
      <c r="CI44" s="675">
        <v>0</v>
      </c>
      <c r="CJ44" s="675">
        <v>4</v>
      </c>
      <c r="CK44" s="675">
        <v>0</v>
      </c>
      <c r="CL44" s="675">
        <v>0</v>
      </c>
      <c r="CM44" s="675">
        <v>0</v>
      </c>
      <c r="CN44" s="675">
        <v>0</v>
      </c>
      <c r="CO44" s="675">
        <v>0</v>
      </c>
      <c r="CP44" s="675">
        <v>0</v>
      </c>
      <c r="CQ44" s="675">
        <v>0</v>
      </c>
      <c r="CR44" s="675">
        <v>5425.4290000000001</v>
      </c>
      <c r="CS44" s="675">
        <v>0</v>
      </c>
      <c r="CT44" s="675">
        <v>0</v>
      </c>
      <c r="CU44" s="675">
        <v>0</v>
      </c>
      <c r="CV44" s="675">
        <v>0</v>
      </c>
      <c r="CW44" s="675">
        <v>0</v>
      </c>
      <c r="CX44" s="675">
        <v>0</v>
      </c>
      <c r="CY44" s="675">
        <v>0</v>
      </c>
      <c r="CZ44" s="675">
        <v>0</v>
      </c>
      <c r="DA44" s="675">
        <v>1</v>
      </c>
      <c r="DB44" s="675">
        <v>31073425</v>
      </c>
      <c r="DC44" s="675">
        <v>0</v>
      </c>
      <c r="DD44" s="675">
        <v>0</v>
      </c>
      <c r="DE44" s="675">
        <v>4749251</v>
      </c>
      <c r="DF44" s="675">
        <v>4749251</v>
      </c>
      <c r="DG44" s="675">
        <v>3623.17</v>
      </c>
      <c r="DH44" s="675">
        <v>0</v>
      </c>
      <c r="DI44" s="675">
        <v>0</v>
      </c>
      <c r="DJ44" s="675">
        <v>0</v>
      </c>
      <c r="DK44" s="675">
        <v>5392</v>
      </c>
      <c r="DL44" s="675">
        <v>0</v>
      </c>
      <c r="DM44" s="675">
        <v>4650748</v>
      </c>
      <c r="DN44" s="675">
        <v>0</v>
      </c>
      <c r="DO44" s="675">
        <v>0</v>
      </c>
      <c r="DP44" s="675">
        <v>0</v>
      </c>
      <c r="DQ44" s="675">
        <v>0</v>
      </c>
      <c r="DR44" s="675">
        <v>0</v>
      </c>
      <c r="DS44" s="675">
        <v>0</v>
      </c>
      <c r="DT44" s="675">
        <v>0</v>
      </c>
      <c r="DU44" s="675">
        <v>0</v>
      </c>
      <c r="DV44" s="675">
        <v>0</v>
      </c>
      <c r="DW44" s="675">
        <v>0</v>
      </c>
      <c r="DX44" s="675">
        <v>0</v>
      </c>
      <c r="DY44" s="675">
        <v>0</v>
      </c>
      <c r="DZ44" s="675">
        <v>0</v>
      </c>
      <c r="EA44" s="675">
        <v>0</v>
      </c>
      <c r="EB44" s="675">
        <v>0</v>
      </c>
      <c r="EC44" s="675">
        <v>173.39400000000001</v>
      </c>
      <c r="ED44" s="675">
        <v>1250067</v>
      </c>
      <c r="EE44" s="675">
        <v>0</v>
      </c>
      <c r="EF44" s="675">
        <v>0</v>
      </c>
      <c r="EG44" s="675">
        <v>0</v>
      </c>
      <c r="EH44" s="675">
        <v>3400681</v>
      </c>
      <c r="EI44" s="675">
        <v>0</v>
      </c>
      <c r="EJ44" s="675">
        <v>0</v>
      </c>
      <c r="EK44" s="675">
        <v>122.167</v>
      </c>
      <c r="EL44" s="675">
        <v>0</v>
      </c>
      <c r="EM44" s="675">
        <v>33.245000000000005</v>
      </c>
      <c r="EN44" s="675">
        <v>10.527000000000001</v>
      </c>
      <c r="EO44" s="675">
        <v>0</v>
      </c>
      <c r="EP44" s="675">
        <v>0</v>
      </c>
      <c r="EQ44" s="675">
        <v>165.93900000000002</v>
      </c>
      <c r="ER44" s="675">
        <v>0</v>
      </c>
      <c r="ES44" s="675">
        <v>518.87099999999998</v>
      </c>
      <c r="ET44" s="675">
        <v>0</v>
      </c>
      <c r="EU44" s="675">
        <v>2176362</v>
      </c>
      <c r="EV44" s="675">
        <v>0</v>
      </c>
      <c r="EW44" s="675">
        <v>0</v>
      </c>
      <c r="EX44" s="675">
        <v>0</v>
      </c>
      <c r="EY44" s="675">
        <v>0</v>
      </c>
      <c r="EZ44" s="675">
        <v>42756009</v>
      </c>
      <c r="FA44" s="675">
        <v>0</v>
      </c>
      <c r="FB44" s="675">
        <v>44932371</v>
      </c>
      <c r="FC44" s="675">
        <v>0.97327799999999998</v>
      </c>
      <c r="FD44" s="675">
        <v>0</v>
      </c>
      <c r="FE44" s="675">
        <v>6592335</v>
      </c>
      <c r="FF44" s="675">
        <v>1485573</v>
      </c>
      <c r="FG44" s="675">
        <v>6.1239999999999996E-2</v>
      </c>
      <c r="FH44" s="675">
        <v>5.4803999999999999E-2</v>
      </c>
      <c r="FI44" s="675">
        <v>0</v>
      </c>
      <c r="FJ44" s="675">
        <v>0</v>
      </c>
      <c r="FK44" s="675">
        <v>8484.1650000000009</v>
      </c>
      <c r="FL44" s="675">
        <v>54055086</v>
      </c>
      <c r="FM44" s="675">
        <v>0</v>
      </c>
      <c r="FN44" s="675">
        <v>0</v>
      </c>
      <c r="FO44" s="675">
        <v>0</v>
      </c>
      <c r="FP44" s="675">
        <v>0</v>
      </c>
      <c r="FQ44" s="675">
        <v>0</v>
      </c>
      <c r="FR44" s="675">
        <v>0</v>
      </c>
      <c r="FS44" s="675">
        <v>0</v>
      </c>
      <c r="FT44" s="675">
        <v>0</v>
      </c>
      <c r="FU44" s="675">
        <v>0</v>
      </c>
      <c r="FV44" s="675">
        <v>0</v>
      </c>
      <c r="FW44" s="675">
        <v>0</v>
      </c>
      <c r="FX44" s="675">
        <v>0</v>
      </c>
      <c r="FY44" s="675">
        <v>0</v>
      </c>
      <c r="FZ44" s="675">
        <v>3025</v>
      </c>
      <c r="GA44" s="675">
        <v>60.508000000000003</v>
      </c>
      <c r="GB44" s="675">
        <v>3492788</v>
      </c>
      <c r="GC44" s="675">
        <v>3492788</v>
      </c>
      <c r="GD44" s="675">
        <v>394.41700000000003</v>
      </c>
      <c r="GE44" s="675">
        <v>0</v>
      </c>
      <c r="GF44" s="675">
        <v>0</v>
      </c>
      <c r="GG44" s="675">
        <v>0</v>
      </c>
      <c r="GH44" s="675">
        <v>0</v>
      </c>
      <c r="GI44" s="675">
        <v>0</v>
      </c>
      <c r="GJ44" s="675">
        <v>0</v>
      </c>
      <c r="GK44" s="675">
        <v>5113</v>
      </c>
      <c r="GL44" s="675">
        <v>97141</v>
      </c>
      <c r="GM44" s="675">
        <v>0</v>
      </c>
      <c r="GN44" s="675">
        <v>0</v>
      </c>
      <c r="GO44" s="675">
        <v>0</v>
      </c>
      <c r="GP44" s="675">
        <v>53010279</v>
      </c>
      <c r="GQ44" s="675">
        <v>53010279</v>
      </c>
      <c r="GR44" s="675">
        <v>0</v>
      </c>
      <c r="GS44" s="675">
        <v>0</v>
      </c>
      <c r="GT44" s="675">
        <v>0</v>
      </c>
      <c r="GU44" s="675">
        <v>0</v>
      </c>
      <c r="GV44" s="675">
        <v>0</v>
      </c>
      <c r="GW44" s="675">
        <v>0</v>
      </c>
      <c r="GX44" s="675">
        <v>0</v>
      </c>
      <c r="GY44" s="675">
        <v>0</v>
      </c>
      <c r="GZ44" s="675">
        <v>0</v>
      </c>
      <c r="HA44" s="675">
        <v>0</v>
      </c>
      <c r="HB44" s="675">
        <v>260786259</v>
      </c>
      <c r="HC44" s="675">
        <v>5.0923999999999997E-2</v>
      </c>
      <c r="HD44" s="675">
        <v>1044807</v>
      </c>
      <c r="HE44" s="675">
        <v>0</v>
      </c>
      <c r="HF44" s="675">
        <v>0</v>
      </c>
      <c r="HG44" s="675">
        <v>0</v>
      </c>
      <c r="HH44" s="675">
        <v>0</v>
      </c>
      <c r="HI44" s="675">
        <v>0</v>
      </c>
      <c r="HJ44" s="675">
        <v>0</v>
      </c>
      <c r="HK44" s="675">
        <v>0</v>
      </c>
      <c r="HL44" s="675">
        <v>0</v>
      </c>
      <c r="HM44" s="675">
        <v>0</v>
      </c>
      <c r="HN44" s="675">
        <v>0</v>
      </c>
      <c r="HO44" s="675">
        <v>0</v>
      </c>
      <c r="HP44" s="675">
        <v>0</v>
      </c>
      <c r="HQ44" s="675">
        <v>0</v>
      </c>
      <c r="HR44" s="675">
        <v>0</v>
      </c>
      <c r="HS44" s="675">
        <v>0</v>
      </c>
      <c r="HT44" s="675">
        <v>0</v>
      </c>
      <c r="HU44" s="675">
        <v>0</v>
      </c>
      <c r="HV44" s="675">
        <v>0</v>
      </c>
      <c r="HW44" s="675">
        <v>0</v>
      </c>
      <c r="HX44" s="675">
        <v>0</v>
      </c>
      <c r="HY44" s="675">
        <v>0</v>
      </c>
      <c r="HZ44" s="675">
        <v>0</v>
      </c>
      <c r="IA44" s="675">
        <v>0</v>
      </c>
      <c r="IB44" s="675">
        <v>0</v>
      </c>
      <c r="IC44" s="675">
        <v>0</v>
      </c>
      <c r="ID44" s="675">
        <v>0</v>
      </c>
      <c r="IE44" s="675">
        <v>0</v>
      </c>
      <c r="IF44" s="675">
        <v>0</v>
      </c>
      <c r="IG44" s="675">
        <v>0</v>
      </c>
      <c r="IH44" s="675">
        <v>0</v>
      </c>
      <c r="II44" s="675">
        <v>0</v>
      </c>
      <c r="IJ44" s="675">
        <v>0</v>
      </c>
      <c r="IK44" s="675">
        <v>0</v>
      </c>
      <c r="IL44" s="675">
        <v>0</v>
      </c>
      <c r="IM44" s="675">
        <v>0</v>
      </c>
      <c r="IN44" s="675">
        <v>0</v>
      </c>
      <c r="IO44" s="675">
        <v>0</v>
      </c>
      <c r="IP44" s="675">
        <v>0</v>
      </c>
      <c r="IQ44" s="675">
        <v>0</v>
      </c>
      <c r="IR44" s="675">
        <v>0</v>
      </c>
      <c r="IS44" s="675">
        <v>0</v>
      </c>
      <c r="IT44" s="675">
        <v>0</v>
      </c>
      <c r="IU44" s="675">
        <v>0</v>
      </c>
      <c r="IV44" s="675">
        <v>0</v>
      </c>
      <c r="IW44" s="675">
        <v>0</v>
      </c>
      <c r="IX44" s="675">
        <v>0</v>
      </c>
      <c r="IY44" s="675">
        <v>0</v>
      </c>
      <c r="IZ44" s="675">
        <v>0</v>
      </c>
      <c r="JA44" s="675">
        <v>0</v>
      </c>
      <c r="JB44" s="675">
        <v>0</v>
      </c>
      <c r="JC44" s="675">
        <v>0</v>
      </c>
      <c r="JD44" s="675">
        <v>0</v>
      </c>
      <c r="JE44" s="675">
        <v>0</v>
      </c>
      <c r="JF44" s="675">
        <v>0</v>
      </c>
      <c r="JG44" s="675">
        <v>0</v>
      </c>
      <c r="JH44" s="675">
        <v>0</v>
      </c>
      <c r="JI44" s="675">
        <v>0</v>
      </c>
      <c r="JJ44" s="675">
        <v>0</v>
      </c>
      <c r="JK44" s="675">
        <v>0</v>
      </c>
      <c r="JL44" s="675">
        <v>0</v>
      </c>
      <c r="JM44" s="675">
        <v>0</v>
      </c>
      <c r="JN44" s="675">
        <v>32469</v>
      </c>
      <c r="JO44" s="675">
        <v>0</v>
      </c>
      <c r="JP44" s="675">
        <v>0</v>
      </c>
      <c r="JQ44" s="675">
        <v>0</v>
      </c>
      <c r="JR44" s="675">
        <v>0</v>
      </c>
      <c r="JS44" s="675">
        <v>0</v>
      </c>
      <c r="JT44" s="675">
        <v>0</v>
      </c>
      <c r="JU44" s="675">
        <v>0</v>
      </c>
      <c r="JV44" s="675">
        <v>0</v>
      </c>
      <c r="JW44" s="675">
        <v>0</v>
      </c>
      <c r="JX44" s="675">
        <v>0</v>
      </c>
      <c r="JY44" s="675">
        <v>0</v>
      </c>
      <c r="JZ44" s="675">
        <v>0</v>
      </c>
      <c r="KA44" s="675">
        <v>0</v>
      </c>
      <c r="KB44" s="675">
        <v>0</v>
      </c>
      <c r="KC44" s="675">
        <v>0</v>
      </c>
      <c r="KD44" s="675">
        <v>0</v>
      </c>
      <c r="KE44" s="675">
        <v>0</v>
      </c>
      <c r="KF44" s="675">
        <v>0</v>
      </c>
    </row>
    <row r="45" spans="1:292" x14ac:dyDescent="0.25">
      <c r="A45" s="675">
        <v>57808</v>
      </c>
      <c r="B45" s="675">
        <v>32570</v>
      </c>
      <c r="C45" s="675">
        <v>35</v>
      </c>
      <c r="D45" s="675">
        <v>2022</v>
      </c>
      <c r="E45" s="675">
        <v>5392</v>
      </c>
      <c r="F45" s="675">
        <v>0</v>
      </c>
      <c r="G45" s="675">
        <v>2001.82</v>
      </c>
      <c r="H45" s="675">
        <v>1978.201</v>
      </c>
      <c r="I45" s="675">
        <v>1978.201</v>
      </c>
      <c r="J45" s="675">
        <v>2001.82</v>
      </c>
      <c r="K45" s="675">
        <v>0</v>
      </c>
      <c r="L45" s="675">
        <v>6554</v>
      </c>
      <c r="M45" s="675">
        <v>0</v>
      </c>
      <c r="N45" s="675">
        <v>0</v>
      </c>
      <c r="O45" s="675">
        <v>0</v>
      </c>
      <c r="P45" s="675">
        <v>1910.5690000000002</v>
      </c>
      <c r="Q45" s="675">
        <v>0</v>
      </c>
      <c r="R45" s="675">
        <v>610834</v>
      </c>
      <c r="S45" s="675">
        <v>319.71300000000002</v>
      </c>
      <c r="T45" s="675">
        <v>0</v>
      </c>
      <c r="U45" s="675">
        <v>610834</v>
      </c>
      <c r="V45" s="675">
        <v>609.029</v>
      </c>
      <c r="W45" s="675">
        <v>399158</v>
      </c>
      <c r="X45" s="675">
        <v>399158</v>
      </c>
      <c r="Y45" s="675">
        <v>0</v>
      </c>
      <c r="Z45" s="675">
        <v>0</v>
      </c>
      <c r="AA45" s="675">
        <v>1</v>
      </c>
      <c r="AB45" s="675">
        <v>1</v>
      </c>
      <c r="AC45" s="675">
        <v>0</v>
      </c>
      <c r="AD45" s="675" t="s">
        <v>316</v>
      </c>
      <c r="AE45" s="675">
        <v>0</v>
      </c>
      <c r="AF45" s="675">
        <v>0</v>
      </c>
      <c r="AG45" s="675">
        <v>0</v>
      </c>
      <c r="AH45" s="675">
        <v>0</v>
      </c>
      <c r="AI45" s="675">
        <v>0</v>
      </c>
      <c r="AJ45" s="675">
        <v>5104</v>
      </c>
      <c r="AK45" s="675" t="s">
        <v>671</v>
      </c>
      <c r="AL45" s="675" t="s">
        <v>43</v>
      </c>
      <c r="AM45" s="675">
        <v>0</v>
      </c>
      <c r="AN45" s="675">
        <v>0</v>
      </c>
      <c r="AO45" s="675">
        <v>0</v>
      </c>
      <c r="AP45" s="675">
        <v>0</v>
      </c>
      <c r="AQ45" s="675">
        <v>0</v>
      </c>
      <c r="AR45" s="675">
        <v>0</v>
      </c>
      <c r="AS45" s="675">
        <v>0</v>
      </c>
      <c r="AT45" s="675">
        <v>0</v>
      </c>
      <c r="AU45" s="675">
        <v>0</v>
      </c>
      <c r="AV45" s="675">
        <v>753436</v>
      </c>
      <c r="AW45" s="675">
        <v>17511192</v>
      </c>
      <c r="AX45" s="675">
        <v>17057484</v>
      </c>
      <c r="AY45" s="675">
        <v>19131512</v>
      </c>
      <c r="AZ45" s="675">
        <v>649049</v>
      </c>
      <c r="BA45" s="675">
        <v>37.25</v>
      </c>
      <c r="BB45" s="675">
        <v>78720</v>
      </c>
      <c r="BC45" s="675">
        <v>78720</v>
      </c>
      <c r="BD45" s="675">
        <v>100.09100000000001</v>
      </c>
      <c r="BE45" s="675">
        <v>0</v>
      </c>
      <c r="BF45" s="675">
        <v>14445616</v>
      </c>
      <c r="BG45" s="675">
        <v>0</v>
      </c>
      <c r="BH45" s="675">
        <v>138.964</v>
      </c>
      <c r="BI45" s="675">
        <v>38215</v>
      </c>
      <c r="BJ45" s="675">
        <v>12</v>
      </c>
      <c r="BK45" s="675">
        <v>0</v>
      </c>
      <c r="BL45" s="675">
        <v>0</v>
      </c>
      <c r="BM45" s="675">
        <v>0</v>
      </c>
      <c r="BN45" s="675">
        <v>0</v>
      </c>
      <c r="BO45" s="675">
        <v>0</v>
      </c>
      <c r="BP45" s="675">
        <v>0</v>
      </c>
      <c r="BQ45" s="675">
        <v>5392</v>
      </c>
      <c r="BR45" s="675">
        <v>1</v>
      </c>
      <c r="BS45" s="675">
        <v>0</v>
      </c>
      <c r="BT45" s="675">
        <v>0</v>
      </c>
      <c r="BU45" s="675">
        <v>0</v>
      </c>
      <c r="BV45" s="675">
        <v>0</v>
      </c>
      <c r="BW45" s="675">
        <v>0</v>
      </c>
      <c r="BX45" s="675">
        <v>0</v>
      </c>
      <c r="BY45" s="675">
        <v>0</v>
      </c>
      <c r="BZ45" s="675">
        <v>0</v>
      </c>
      <c r="CA45" s="675">
        <v>0</v>
      </c>
      <c r="CB45" s="675">
        <v>0</v>
      </c>
      <c r="CC45" s="675">
        <v>0</v>
      </c>
      <c r="CD45" s="675">
        <v>0</v>
      </c>
      <c r="CE45" s="675">
        <v>0</v>
      </c>
      <c r="CF45" s="675">
        <v>0</v>
      </c>
      <c r="CG45" s="675">
        <v>0</v>
      </c>
      <c r="CH45" s="675">
        <v>415493</v>
      </c>
      <c r="CI45" s="675">
        <v>0</v>
      </c>
      <c r="CJ45" s="675">
        <v>4</v>
      </c>
      <c r="CK45" s="675">
        <v>0</v>
      </c>
      <c r="CL45" s="675">
        <v>0</v>
      </c>
      <c r="CM45" s="675">
        <v>0</v>
      </c>
      <c r="CN45" s="675">
        <v>0</v>
      </c>
      <c r="CO45" s="675">
        <v>0</v>
      </c>
      <c r="CP45" s="675">
        <v>0</v>
      </c>
      <c r="CQ45" s="675">
        <v>9.4169999999999998</v>
      </c>
      <c r="CR45" s="675">
        <v>1910.5690000000002</v>
      </c>
      <c r="CS45" s="675">
        <v>0</v>
      </c>
      <c r="CT45" s="675">
        <v>0</v>
      </c>
      <c r="CU45" s="675">
        <v>0</v>
      </c>
      <c r="CV45" s="675">
        <v>0</v>
      </c>
      <c r="CW45" s="675">
        <v>0</v>
      </c>
      <c r="CX45" s="675">
        <v>0</v>
      </c>
      <c r="CY45" s="675">
        <v>0</v>
      </c>
      <c r="CZ45" s="675">
        <v>0</v>
      </c>
      <c r="DA45" s="675">
        <v>1</v>
      </c>
      <c r="DB45" s="675">
        <v>12965129</v>
      </c>
      <c r="DC45" s="675">
        <v>0</v>
      </c>
      <c r="DD45" s="675">
        <v>0</v>
      </c>
      <c r="DE45" s="675">
        <v>958195</v>
      </c>
      <c r="DF45" s="675">
        <v>958195</v>
      </c>
      <c r="DG45" s="675">
        <v>731</v>
      </c>
      <c r="DH45" s="675">
        <v>0</v>
      </c>
      <c r="DI45" s="675">
        <v>0</v>
      </c>
      <c r="DJ45" s="675">
        <v>0</v>
      </c>
      <c r="DK45" s="675">
        <v>5392</v>
      </c>
      <c r="DL45" s="675">
        <v>0</v>
      </c>
      <c r="DM45" s="675">
        <v>351648</v>
      </c>
      <c r="DN45" s="675">
        <v>0</v>
      </c>
      <c r="DO45" s="675">
        <v>0</v>
      </c>
      <c r="DP45" s="675">
        <v>0</v>
      </c>
      <c r="DQ45" s="675">
        <v>0</v>
      </c>
      <c r="DR45" s="675">
        <v>0</v>
      </c>
      <c r="DS45" s="675">
        <v>0</v>
      </c>
      <c r="DT45" s="675">
        <v>0</v>
      </c>
      <c r="DU45" s="675">
        <v>0</v>
      </c>
      <c r="DV45" s="675">
        <v>0</v>
      </c>
      <c r="DW45" s="675">
        <v>0</v>
      </c>
      <c r="DX45" s="675">
        <v>0</v>
      </c>
      <c r="DY45" s="675">
        <v>0</v>
      </c>
      <c r="DZ45" s="675">
        <v>0</v>
      </c>
      <c r="EA45" s="675">
        <v>0</v>
      </c>
      <c r="EB45" s="675">
        <v>0</v>
      </c>
      <c r="EC45" s="675">
        <v>9.7210000000000001</v>
      </c>
      <c r="ED45" s="675">
        <v>70083</v>
      </c>
      <c r="EE45" s="675">
        <v>0</v>
      </c>
      <c r="EF45" s="675">
        <v>0</v>
      </c>
      <c r="EG45" s="675">
        <v>0.65400000000000003</v>
      </c>
      <c r="EH45" s="675">
        <v>281565</v>
      </c>
      <c r="EI45" s="675">
        <v>0</v>
      </c>
      <c r="EJ45" s="675">
        <v>0</v>
      </c>
      <c r="EK45" s="675">
        <v>11.515000000000001</v>
      </c>
      <c r="EL45" s="675">
        <v>0</v>
      </c>
      <c r="EM45" s="675">
        <v>4.5000000000000005E-2</v>
      </c>
      <c r="EN45" s="675">
        <v>1.3030000000000002</v>
      </c>
      <c r="EO45" s="675">
        <v>0</v>
      </c>
      <c r="EP45" s="675">
        <v>0</v>
      </c>
      <c r="EQ45" s="675">
        <v>13.517000000000001</v>
      </c>
      <c r="ER45" s="675">
        <v>0</v>
      </c>
      <c r="ES45" s="675">
        <v>42.960999999999999</v>
      </c>
      <c r="ET45" s="675">
        <v>20979</v>
      </c>
      <c r="EU45" s="675">
        <v>649049</v>
      </c>
      <c r="EV45" s="675">
        <v>0</v>
      </c>
      <c r="EW45" s="675">
        <v>0</v>
      </c>
      <c r="EX45" s="675">
        <v>0</v>
      </c>
      <c r="EY45" s="675">
        <v>0</v>
      </c>
      <c r="EZ45" s="675">
        <v>14362662</v>
      </c>
      <c r="FA45" s="675">
        <v>0</v>
      </c>
      <c r="FB45" s="675">
        <v>15011711</v>
      </c>
      <c r="FC45" s="675">
        <v>0.97327799999999998</v>
      </c>
      <c r="FD45" s="675">
        <v>0</v>
      </c>
      <c r="FE45" s="675">
        <v>2199229</v>
      </c>
      <c r="FF45" s="675">
        <v>495593</v>
      </c>
      <c r="FG45" s="675">
        <v>6.1239999999999996E-2</v>
      </c>
      <c r="FH45" s="675">
        <v>5.4803999999999999E-2</v>
      </c>
      <c r="FI45" s="675">
        <v>0</v>
      </c>
      <c r="FJ45" s="675">
        <v>0</v>
      </c>
      <c r="FK45" s="675">
        <v>2830.3510000000001</v>
      </c>
      <c r="FL45" s="675">
        <v>18122026</v>
      </c>
      <c r="FM45" s="675">
        <v>0</v>
      </c>
      <c r="FN45" s="675">
        <v>0</v>
      </c>
      <c r="FO45" s="675">
        <v>131259</v>
      </c>
      <c r="FP45" s="675">
        <v>0</v>
      </c>
      <c r="FQ45" s="675">
        <v>131259</v>
      </c>
      <c r="FR45" s="675">
        <v>131259</v>
      </c>
      <c r="FS45" s="675">
        <v>0</v>
      </c>
      <c r="FT45" s="675">
        <v>0</v>
      </c>
      <c r="FU45" s="675">
        <v>0</v>
      </c>
      <c r="FV45" s="675">
        <v>0</v>
      </c>
      <c r="FW45" s="675">
        <v>0</v>
      </c>
      <c r="FX45" s="675">
        <v>0</v>
      </c>
      <c r="FY45" s="675">
        <v>0</v>
      </c>
      <c r="FZ45" s="675">
        <v>5</v>
      </c>
      <c r="GA45" s="675">
        <v>0.10400000000000001</v>
      </c>
      <c r="GB45" s="675">
        <v>89387</v>
      </c>
      <c r="GC45" s="675">
        <v>89387</v>
      </c>
      <c r="GD45" s="675">
        <v>10.102</v>
      </c>
      <c r="GE45" s="675">
        <v>0</v>
      </c>
      <c r="GF45" s="675">
        <v>0</v>
      </c>
      <c r="GG45" s="675">
        <v>0</v>
      </c>
      <c r="GH45" s="675">
        <v>0</v>
      </c>
      <c r="GI45" s="675">
        <v>0</v>
      </c>
      <c r="GJ45" s="675">
        <v>0</v>
      </c>
      <c r="GK45" s="675">
        <v>5260</v>
      </c>
      <c r="GL45" s="675">
        <v>42070</v>
      </c>
      <c r="GM45" s="675">
        <v>0</v>
      </c>
      <c r="GN45" s="675">
        <v>68530</v>
      </c>
      <c r="GO45" s="675">
        <v>0</v>
      </c>
      <c r="GP45" s="675">
        <v>17706533</v>
      </c>
      <c r="GQ45" s="675">
        <v>17706533</v>
      </c>
      <c r="GR45" s="675">
        <v>0</v>
      </c>
      <c r="GS45" s="675">
        <v>0</v>
      </c>
      <c r="GT45" s="675">
        <v>0</v>
      </c>
      <c r="GU45" s="675">
        <v>0</v>
      </c>
      <c r="GV45" s="675">
        <v>0</v>
      </c>
      <c r="GW45" s="675">
        <v>0</v>
      </c>
      <c r="GX45" s="675">
        <v>0</v>
      </c>
      <c r="GY45" s="675">
        <v>0</v>
      </c>
      <c r="GZ45" s="675">
        <v>0</v>
      </c>
      <c r="HA45" s="675">
        <v>0</v>
      </c>
      <c r="HB45" s="675">
        <v>260786259</v>
      </c>
      <c r="HC45" s="675">
        <v>5.0923999999999997E-2</v>
      </c>
      <c r="HD45" s="675">
        <v>394514</v>
      </c>
      <c r="HE45" s="675">
        <v>0</v>
      </c>
      <c r="HF45" s="675">
        <v>0</v>
      </c>
      <c r="HG45" s="675">
        <v>0</v>
      </c>
      <c r="HH45" s="675">
        <v>0</v>
      </c>
      <c r="HI45" s="675">
        <v>0</v>
      </c>
      <c r="HJ45" s="675">
        <v>0</v>
      </c>
      <c r="HK45" s="675">
        <v>0</v>
      </c>
      <c r="HL45" s="675">
        <v>0</v>
      </c>
      <c r="HM45" s="675">
        <v>0</v>
      </c>
      <c r="HN45" s="675">
        <v>0</v>
      </c>
      <c r="HO45" s="675">
        <v>0</v>
      </c>
      <c r="HP45" s="675">
        <v>0</v>
      </c>
      <c r="HQ45" s="675">
        <v>0</v>
      </c>
      <c r="HR45" s="675">
        <v>0</v>
      </c>
      <c r="HS45" s="675">
        <v>0</v>
      </c>
      <c r="HT45" s="675">
        <v>0</v>
      </c>
      <c r="HU45" s="675">
        <v>0</v>
      </c>
      <c r="HV45" s="675">
        <v>0</v>
      </c>
      <c r="HW45" s="675">
        <v>0</v>
      </c>
      <c r="HX45" s="675">
        <v>0</v>
      </c>
      <c r="HY45" s="675">
        <v>0</v>
      </c>
      <c r="HZ45" s="675">
        <v>0</v>
      </c>
      <c r="IA45" s="675">
        <v>0</v>
      </c>
      <c r="IB45" s="675">
        <v>0</v>
      </c>
      <c r="IC45" s="675">
        <v>0</v>
      </c>
      <c r="ID45" s="675">
        <v>0</v>
      </c>
      <c r="IE45" s="675">
        <v>0</v>
      </c>
      <c r="IF45" s="675">
        <v>0</v>
      </c>
      <c r="IG45" s="675">
        <v>0</v>
      </c>
      <c r="IH45" s="675">
        <v>0</v>
      </c>
      <c r="II45" s="675">
        <v>0</v>
      </c>
      <c r="IJ45" s="675">
        <v>0</v>
      </c>
      <c r="IK45" s="675">
        <v>0</v>
      </c>
      <c r="IL45" s="675">
        <v>0</v>
      </c>
      <c r="IM45" s="675">
        <v>0</v>
      </c>
      <c r="IN45" s="675">
        <v>0</v>
      </c>
      <c r="IO45" s="675">
        <v>0</v>
      </c>
      <c r="IP45" s="675">
        <v>0</v>
      </c>
      <c r="IQ45" s="675">
        <v>0</v>
      </c>
      <c r="IR45" s="675">
        <v>0</v>
      </c>
      <c r="IS45" s="675">
        <v>0</v>
      </c>
      <c r="IT45" s="675">
        <v>0</v>
      </c>
      <c r="IU45" s="675">
        <v>0</v>
      </c>
      <c r="IV45" s="675">
        <v>0</v>
      </c>
      <c r="IW45" s="675">
        <v>0</v>
      </c>
      <c r="IX45" s="675">
        <v>0</v>
      </c>
      <c r="IY45" s="675">
        <v>0</v>
      </c>
      <c r="IZ45" s="675">
        <v>0</v>
      </c>
      <c r="JA45" s="675">
        <v>0</v>
      </c>
      <c r="JB45" s="675">
        <v>0</v>
      </c>
      <c r="JC45" s="675">
        <v>0</v>
      </c>
      <c r="JD45" s="675">
        <v>0</v>
      </c>
      <c r="JE45" s="675">
        <v>0</v>
      </c>
      <c r="JF45" s="675">
        <v>0</v>
      </c>
      <c r="JG45" s="675">
        <v>0</v>
      </c>
      <c r="JH45" s="675">
        <v>0</v>
      </c>
      <c r="JI45" s="675">
        <v>0</v>
      </c>
      <c r="JJ45" s="675">
        <v>0</v>
      </c>
      <c r="JK45" s="675">
        <v>0</v>
      </c>
      <c r="JL45" s="675">
        <v>0</v>
      </c>
      <c r="JM45" s="675">
        <v>0</v>
      </c>
      <c r="JN45" s="675">
        <v>32469</v>
      </c>
      <c r="JO45" s="675">
        <v>0</v>
      </c>
      <c r="JP45" s="675">
        <v>0</v>
      </c>
      <c r="JQ45" s="675">
        <v>0</v>
      </c>
      <c r="JR45" s="675">
        <v>0</v>
      </c>
      <c r="JS45" s="675">
        <v>0</v>
      </c>
      <c r="JT45" s="675">
        <v>0</v>
      </c>
      <c r="JU45" s="675">
        <v>0</v>
      </c>
      <c r="JV45" s="675">
        <v>0</v>
      </c>
      <c r="JW45" s="675">
        <v>0</v>
      </c>
      <c r="JX45" s="675">
        <v>0</v>
      </c>
      <c r="JY45" s="675">
        <v>0</v>
      </c>
      <c r="JZ45" s="675">
        <v>0</v>
      </c>
      <c r="KA45" s="675">
        <v>0</v>
      </c>
      <c r="KB45" s="675">
        <v>0</v>
      </c>
      <c r="KC45" s="675">
        <v>0</v>
      </c>
      <c r="KD45" s="675">
        <v>0</v>
      </c>
      <c r="KE45" s="675">
        <v>0</v>
      </c>
      <c r="KF45" s="675">
        <v>0</v>
      </c>
    </row>
    <row r="46" spans="1:292" x14ac:dyDescent="0.25">
      <c r="A46" s="675">
        <v>57809</v>
      </c>
      <c r="B46" s="675">
        <v>32570</v>
      </c>
      <c r="C46" s="675">
        <v>35</v>
      </c>
      <c r="D46" s="675">
        <v>2022</v>
      </c>
      <c r="E46" s="675">
        <v>5392</v>
      </c>
      <c r="F46" s="675">
        <v>0</v>
      </c>
      <c r="G46" s="675">
        <v>97.231000000000009</v>
      </c>
      <c r="H46" s="675">
        <v>97.184000000000012</v>
      </c>
      <c r="I46" s="675">
        <v>97.184000000000012</v>
      </c>
      <c r="J46" s="675">
        <v>97.231000000000009</v>
      </c>
      <c r="K46" s="675">
        <v>0</v>
      </c>
      <c r="L46" s="675">
        <v>6554</v>
      </c>
      <c r="M46" s="675">
        <v>0</v>
      </c>
      <c r="N46" s="675">
        <v>0</v>
      </c>
      <c r="O46" s="675">
        <v>0</v>
      </c>
      <c r="P46" s="675">
        <v>107.518</v>
      </c>
      <c r="Q46" s="675">
        <v>0</v>
      </c>
      <c r="R46" s="675">
        <v>34375</v>
      </c>
      <c r="S46" s="675">
        <v>319.71300000000002</v>
      </c>
      <c r="T46" s="675">
        <v>0</v>
      </c>
      <c r="U46" s="675">
        <v>34375</v>
      </c>
      <c r="V46" s="675">
        <v>14.106</v>
      </c>
      <c r="W46" s="675">
        <v>9245</v>
      </c>
      <c r="X46" s="675">
        <v>9245</v>
      </c>
      <c r="Y46" s="675">
        <v>0</v>
      </c>
      <c r="Z46" s="675">
        <v>0</v>
      </c>
      <c r="AA46" s="675">
        <v>1</v>
      </c>
      <c r="AB46" s="675">
        <v>1</v>
      </c>
      <c r="AC46" s="675">
        <v>0</v>
      </c>
      <c r="AD46" s="675" t="s">
        <v>316</v>
      </c>
      <c r="AE46" s="675">
        <v>0</v>
      </c>
      <c r="AF46" s="675">
        <v>0</v>
      </c>
      <c r="AG46" s="675">
        <v>0</v>
      </c>
      <c r="AH46" s="675">
        <v>0</v>
      </c>
      <c r="AI46" s="675">
        <v>0</v>
      </c>
      <c r="AJ46" s="675">
        <v>5104</v>
      </c>
      <c r="AK46" s="675" t="s">
        <v>671</v>
      </c>
      <c r="AL46" s="675" t="s">
        <v>327</v>
      </c>
      <c r="AM46" s="675">
        <v>0</v>
      </c>
      <c r="AN46" s="675">
        <v>0</v>
      </c>
      <c r="AO46" s="675">
        <v>0</v>
      </c>
      <c r="AP46" s="675">
        <v>0</v>
      </c>
      <c r="AQ46" s="675">
        <v>0</v>
      </c>
      <c r="AR46" s="675">
        <v>0</v>
      </c>
      <c r="AS46" s="675">
        <v>0</v>
      </c>
      <c r="AT46" s="675">
        <v>0</v>
      </c>
      <c r="AU46" s="675">
        <v>0</v>
      </c>
      <c r="AV46" s="675">
        <v>124830</v>
      </c>
      <c r="AW46" s="675">
        <v>973428</v>
      </c>
      <c r="AX46" s="675">
        <v>951266</v>
      </c>
      <c r="AY46" s="675">
        <v>1157655</v>
      </c>
      <c r="AZ46" s="675">
        <v>34375</v>
      </c>
      <c r="BA46" s="675">
        <v>6</v>
      </c>
      <c r="BB46" s="675">
        <v>0</v>
      </c>
      <c r="BC46" s="675">
        <v>0</v>
      </c>
      <c r="BD46" s="675">
        <v>0</v>
      </c>
      <c r="BE46" s="675">
        <v>0</v>
      </c>
      <c r="BF46" s="675">
        <v>811892</v>
      </c>
      <c r="BG46" s="675">
        <v>0</v>
      </c>
      <c r="BH46" s="675">
        <v>0</v>
      </c>
      <c r="BI46" s="675">
        <v>0</v>
      </c>
      <c r="BJ46" s="675">
        <v>12</v>
      </c>
      <c r="BK46" s="675">
        <v>0</v>
      </c>
      <c r="BL46" s="675">
        <v>0</v>
      </c>
      <c r="BM46" s="675">
        <v>0</v>
      </c>
      <c r="BN46" s="675">
        <v>0</v>
      </c>
      <c r="BO46" s="675">
        <v>0</v>
      </c>
      <c r="BP46" s="675">
        <v>0</v>
      </c>
      <c r="BQ46" s="675">
        <v>5392</v>
      </c>
      <c r="BR46" s="675">
        <v>1</v>
      </c>
      <c r="BS46" s="675">
        <v>0</v>
      </c>
      <c r="BT46" s="675">
        <v>0</v>
      </c>
      <c r="BU46" s="675">
        <v>0</v>
      </c>
      <c r="BV46" s="675">
        <v>0</v>
      </c>
      <c r="BW46" s="675">
        <v>0</v>
      </c>
      <c r="BX46" s="675">
        <v>0</v>
      </c>
      <c r="BY46" s="675">
        <v>0</v>
      </c>
      <c r="BZ46" s="675">
        <v>0</v>
      </c>
      <c r="CA46" s="675">
        <v>0</v>
      </c>
      <c r="CB46" s="675">
        <v>0</v>
      </c>
      <c r="CC46" s="675">
        <v>0</v>
      </c>
      <c r="CD46" s="675">
        <v>0</v>
      </c>
      <c r="CE46" s="675">
        <v>0</v>
      </c>
      <c r="CF46" s="675">
        <v>0</v>
      </c>
      <c r="CG46" s="675">
        <v>0</v>
      </c>
      <c r="CH46" s="675">
        <v>22162</v>
      </c>
      <c r="CI46" s="675">
        <v>0</v>
      </c>
      <c r="CJ46" s="675">
        <v>4</v>
      </c>
      <c r="CK46" s="675">
        <v>0</v>
      </c>
      <c r="CL46" s="675">
        <v>0</v>
      </c>
      <c r="CM46" s="675">
        <v>0</v>
      </c>
      <c r="CN46" s="675">
        <v>0</v>
      </c>
      <c r="CO46" s="675">
        <v>0</v>
      </c>
      <c r="CP46" s="675">
        <v>0</v>
      </c>
      <c r="CQ46" s="675">
        <v>0</v>
      </c>
      <c r="CR46" s="675">
        <v>107.518</v>
      </c>
      <c r="CS46" s="675">
        <v>0</v>
      </c>
      <c r="CT46" s="675">
        <v>0</v>
      </c>
      <c r="CU46" s="675">
        <v>0</v>
      </c>
      <c r="CV46" s="675">
        <v>0</v>
      </c>
      <c r="CW46" s="675">
        <v>0</v>
      </c>
      <c r="CX46" s="675">
        <v>0</v>
      </c>
      <c r="CY46" s="675">
        <v>0</v>
      </c>
      <c r="CZ46" s="675">
        <v>0</v>
      </c>
      <c r="DA46" s="675">
        <v>1</v>
      </c>
      <c r="DB46" s="675">
        <v>636944</v>
      </c>
      <c r="DC46" s="675">
        <v>0</v>
      </c>
      <c r="DD46" s="675">
        <v>0</v>
      </c>
      <c r="DE46" s="675">
        <v>168661</v>
      </c>
      <c r="DF46" s="675">
        <v>168661</v>
      </c>
      <c r="DG46" s="675">
        <v>128.67000000000002</v>
      </c>
      <c r="DH46" s="675">
        <v>0</v>
      </c>
      <c r="DI46" s="675">
        <v>0</v>
      </c>
      <c r="DJ46" s="675">
        <v>0</v>
      </c>
      <c r="DK46" s="675">
        <v>5392</v>
      </c>
      <c r="DL46" s="675">
        <v>0</v>
      </c>
      <c r="DM46" s="675">
        <v>19333</v>
      </c>
      <c r="DN46" s="675">
        <v>0</v>
      </c>
      <c r="DO46" s="675">
        <v>0</v>
      </c>
      <c r="DP46" s="675">
        <v>0</v>
      </c>
      <c r="DQ46" s="675">
        <v>0</v>
      </c>
      <c r="DR46" s="675">
        <v>0</v>
      </c>
      <c r="DS46" s="675">
        <v>0</v>
      </c>
      <c r="DT46" s="675">
        <v>0</v>
      </c>
      <c r="DU46" s="675">
        <v>0</v>
      </c>
      <c r="DV46" s="675">
        <v>0</v>
      </c>
      <c r="DW46" s="675">
        <v>0</v>
      </c>
      <c r="DX46" s="675">
        <v>0</v>
      </c>
      <c r="DY46" s="675">
        <v>0</v>
      </c>
      <c r="DZ46" s="675">
        <v>0</v>
      </c>
      <c r="EA46" s="675">
        <v>0</v>
      </c>
      <c r="EB46" s="675">
        <v>0</v>
      </c>
      <c r="EC46" s="675">
        <v>2.468</v>
      </c>
      <c r="ED46" s="675">
        <v>17793</v>
      </c>
      <c r="EE46" s="675">
        <v>0</v>
      </c>
      <c r="EF46" s="675">
        <v>0</v>
      </c>
      <c r="EG46" s="675">
        <v>0</v>
      </c>
      <c r="EH46" s="675">
        <v>1540</v>
      </c>
      <c r="EI46" s="675">
        <v>0</v>
      </c>
      <c r="EJ46" s="675">
        <v>0</v>
      </c>
      <c r="EK46" s="675">
        <v>0</v>
      </c>
      <c r="EL46" s="675">
        <v>0</v>
      </c>
      <c r="EM46" s="675">
        <v>0</v>
      </c>
      <c r="EN46" s="675">
        <v>4.7E-2</v>
      </c>
      <c r="EO46" s="675">
        <v>0</v>
      </c>
      <c r="EP46" s="675">
        <v>0</v>
      </c>
      <c r="EQ46" s="675">
        <v>4.7E-2</v>
      </c>
      <c r="ER46" s="675">
        <v>0</v>
      </c>
      <c r="ES46" s="675">
        <v>0.23500000000000001</v>
      </c>
      <c r="ET46" s="675">
        <v>3000</v>
      </c>
      <c r="EU46" s="675">
        <v>34375</v>
      </c>
      <c r="EV46" s="675">
        <v>0</v>
      </c>
      <c r="EW46" s="675">
        <v>0</v>
      </c>
      <c r="EX46" s="675">
        <v>0</v>
      </c>
      <c r="EY46" s="675">
        <v>0</v>
      </c>
      <c r="EZ46" s="675">
        <v>799808</v>
      </c>
      <c r="FA46" s="675">
        <v>0</v>
      </c>
      <c r="FB46" s="675">
        <v>834183</v>
      </c>
      <c r="FC46" s="675">
        <v>0.97327799999999998</v>
      </c>
      <c r="FD46" s="675">
        <v>0</v>
      </c>
      <c r="FE46" s="675">
        <v>123604</v>
      </c>
      <c r="FF46" s="675">
        <v>27854</v>
      </c>
      <c r="FG46" s="675">
        <v>6.1239999999999996E-2</v>
      </c>
      <c r="FH46" s="675">
        <v>5.4803999999999999E-2</v>
      </c>
      <c r="FI46" s="675">
        <v>0</v>
      </c>
      <c r="FJ46" s="675">
        <v>0</v>
      </c>
      <c r="FK46" s="675">
        <v>159.07500000000002</v>
      </c>
      <c r="FL46" s="675">
        <v>1007803</v>
      </c>
      <c r="FM46" s="675">
        <v>0</v>
      </c>
      <c r="FN46" s="675">
        <v>0</v>
      </c>
      <c r="FO46" s="675">
        <v>0</v>
      </c>
      <c r="FP46" s="675">
        <v>0</v>
      </c>
      <c r="FQ46" s="675">
        <v>0</v>
      </c>
      <c r="FR46" s="675">
        <v>0</v>
      </c>
      <c r="FS46" s="675">
        <v>0</v>
      </c>
      <c r="FT46" s="675">
        <v>0</v>
      </c>
      <c r="FU46" s="675">
        <v>0</v>
      </c>
      <c r="FV46" s="675">
        <v>0</v>
      </c>
      <c r="FW46" s="675">
        <v>0</v>
      </c>
      <c r="FX46" s="675">
        <v>0</v>
      </c>
      <c r="FY46" s="675">
        <v>0</v>
      </c>
      <c r="FZ46" s="675">
        <v>0</v>
      </c>
      <c r="GA46" s="675">
        <v>0</v>
      </c>
      <c r="GB46" s="675">
        <v>0</v>
      </c>
      <c r="GC46" s="675">
        <v>0</v>
      </c>
      <c r="GD46" s="675">
        <v>0</v>
      </c>
      <c r="GE46" s="675">
        <v>0</v>
      </c>
      <c r="GF46" s="675">
        <v>0</v>
      </c>
      <c r="GG46" s="675">
        <v>0</v>
      </c>
      <c r="GH46" s="675">
        <v>0</v>
      </c>
      <c r="GI46" s="675">
        <v>0</v>
      </c>
      <c r="GJ46" s="675">
        <v>0</v>
      </c>
      <c r="GK46" s="675">
        <v>5247</v>
      </c>
      <c r="GL46" s="675">
        <v>6421</v>
      </c>
      <c r="GM46" s="675">
        <v>0</v>
      </c>
      <c r="GN46" s="675">
        <v>0</v>
      </c>
      <c r="GO46" s="675">
        <v>0</v>
      </c>
      <c r="GP46" s="675">
        <v>985641</v>
      </c>
      <c r="GQ46" s="675">
        <v>985641</v>
      </c>
      <c r="GR46" s="675">
        <v>0</v>
      </c>
      <c r="GS46" s="675">
        <v>0</v>
      </c>
      <c r="GT46" s="675">
        <v>0</v>
      </c>
      <c r="GU46" s="675">
        <v>0</v>
      </c>
      <c r="GV46" s="675">
        <v>0</v>
      </c>
      <c r="GW46" s="675">
        <v>0</v>
      </c>
      <c r="GX46" s="675">
        <v>0</v>
      </c>
      <c r="GY46" s="675">
        <v>0</v>
      </c>
      <c r="GZ46" s="675">
        <v>0</v>
      </c>
      <c r="HA46" s="675">
        <v>0</v>
      </c>
      <c r="HB46" s="675">
        <v>260786259</v>
      </c>
      <c r="HC46" s="675">
        <v>5.0923999999999997E-2</v>
      </c>
      <c r="HD46" s="675">
        <v>19162</v>
      </c>
      <c r="HE46" s="675">
        <v>0</v>
      </c>
      <c r="HF46" s="675">
        <v>0</v>
      </c>
      <c r="HG46" s="675">
        <v>0</v>
      </c>
      <c r="HH46" s="675">
        <v>0</v>
      </c>
      <c r="HI46" s="675">
        <v>0</v>
      </c>
      <c r="HJ46" s="675">
        <v>0</v>
      </c>
      <c r="HK46" s="675">
        <v>0</v>
      </c>
      <c r="HL46" s="675">
        <v>0</v>
      </c>
      <c r="HM46" s="675">
        <v>0</v>
      </c>
      <c r="HN46" s="675">
        <v>0</v>
      </c>
      <c r="HO46" s="675">
        <v>0</v>
      </c>
      <c r="HP46" s="675">
        <v>0</v>
      </c>
      <c r="HQ46" s="675">
        <v>0</v>
      </c>
      <c r="HR46" s="675">
        <v>0</v>
      </c>
      <c r="HS46" s="675">
        <v>0</v>
      </c>
      <c r="HT46" s="675">
        <v>0</v>
      </c>
      <c r="HU46" s="675">
        <v>0</v>
      </c>
      <c r="HV46" s="675">
        <v>0</v>
      </c>
      <c r="HW46" s="675">
        <v>0</v>
      </c>
      <c r="HX46" s="675">
        <v>0</v>
      </c>
      <c r="HY46" s="675">
        <v>0</v>
      </c>
      <c r="HZ46" s="675">
        <v>0</v>
      </c>
      <c r="IA46" s="675">
        <v>0</v>
      </c>
      <c r="IB46" s="675">
        <v>0</v>
      </c>
      <c r="IC46" s="675">
        <v>0</v>
      </c>
      <c r="ID46" s="675">
        <v>0</v>
      </c>
      <c r="IE46" s="675">
        <v>0</v>
      </c>
      <c r="IF46" s="675">
        <v>0</v>
      </c>
      <c r="IG46" s="675">
        <v>0</v>
      </c>
      <c r="IH46" s="675">
        <v>0</v>
      </c>
      <c r="II46" s="675">
        <v>0</v>
      </c>
      <c r="IJ46" s="675">
        <v>0</v>
      </c>
      <c r="IK46" s="675">
        <v>0</v>
      </c>
      <c r="IL46" s="675">
        <v>0</v>
      </c>
      <c r="IM46" s="675">
        <v>0</v>
      </c>
      <c r="IN46" s="675">
        <v>0</v>
      </c>
      <c r="IO46" s="675">
        <v>0</v>
      </c>
      <c r="IP46" s="675">
        <v>0</v>
      </c>
      <c r="IQ46" s="675">
        <v>0</v>
      </c>
      <c r="IR46" s="675">
        <v>0</v>
      </c>
      <c r="IS46" s="675">
        <v>0</v>
      </c>
      <c r="IT46" s="675">
        <v>0</v>
      </c>
      <c r="IU46" s="675">
        <v>0</v>
      </c>
      <c r="IV46" s="675">
        <v>0</v>
      </c>
      <c r="IW46" s="675">
        <v>0</v>
      </c>
      <c r="IX46" s="675">
        <v>0</v>
      </c>
      <c r="IY46" s="675">
        <v>0</v>
      </c>
      <c r="IZ46" s="675">
        <v>0</v>
      </c>
      <c r="JA46" s="675">
        <v>0</v>
      </c>
      <c r="JB46" s="675">
        <v>0</v>
      </c>
      <c r="JC46" s="675">
        <v>0</v>
      </c>
      <c r="JD46" s="675">
        <v>0</v>
      </c>
      <c r="JE46" s="675">
        <v>0</v>
      </c>
      <c r="JF46" s="675">
        <v>0</v>
      </c>
      <c r="JG46" s="675">
        <v>0</v>
      </c>
      <c r="JH46" s="675">
        <v>0</v>
      </c>
      <c r="JI46" s="675">
        <v>0</v>
      </c>
      <c r="JJ46" s="675">
        <v>0</v>
      </c>
      <c r="JK46" s="675">
        <v>0</v>
      </c>
      <c r="JL46" s="675">
        <v>0</v>
      </c>
      <c r="JM46" s="675">
        <v>0</v>
      </c>
      <c r="JN46" s="675">
        <v>32469</v>
      </c>
      <c r="JO46" s="675">
        <v>0</v>
      </c>
      <c r="JP46" s="675">
        <v>0</v>
      </c>
      <c r="JQ46" s="675">
        <v>0</v>
      </c>
      <c r="JR46" s="675">
        <v>0</v>
      </c>
      <c r="JS46" s="675">
        <v>0</v>
      </c>
      <c r="JT46" s="675">
        <v>0</v>
      </c>
      <c r="JU46" s="675">
        <v>0</v>
      </c>
      <c r="JV46" s="675">
        <v>0</v>
      </c>
      <c r="JW46" s="675">
        <v>0</v>
      </c>
      <c r="JX46" s="675">
        <v>0</v>
      </c>
      <c r="JY46" s="675">
        <v>0</v>
      </c>
      <c r="JZ46" s="675">
        <v>0</v>
      </c>
      <c r="KA46" s="675">
        <v>0</v>
      </c>
      <c r="KB46" s="675">
        <v>0</v>
      </c>
      <c r="KC46" s="675">
        <v>0</v>
      </c>
      <c r="KD46" s="675">
        <v>0</v>
      </c>
      <c r="KE46" s="675">
        <v>0</v>
      </c>
      <c r="KF46" s="675">
        <v>0</v>
      </c>
    </row>
    <row r="47" spans="1:292" x14ac:dyDescent="0.25">
      <c r="A47" s="675">
        <v>57810</v>
      </c>
      <c r="B47" s="675">
        <v>32570</v>
      </c>
      <c r="C47" s="675">
        <v>35</v>
      </c>
      <c r="D47" s="675">
        <v>2022</v>
      </c>
      <c r="E47" s="675">
        <v>5392</v>
      </c>
      <c r="F47" s="675">
        <v>0</v>
      </c>
      <c r="G47" s="675">
        <v>366.30600000000004</v>
      </c>
      <c r="H47" s="675">
        <v>359.17400000000004</v>
      </c>
      <c r="I47" s="675">
        <v>359.17400000000004</v>
      </c>
      <c r="J47" s="675">
        <v>366.30600000000004</v>
      </c>
      <c r="K47" s="675">
        <v>0</v>
      </c>
      <c r="L47" s="675">
        <v>6554</v>
      </c>
      <c r="M47" s="675">
        <v>0</v>
      </c>
      <c r="N47" s="675">
        <v>0</v>
      </c>
      <c r="O47" s="675">
        <v>0</v>
      </c>
      <c r="P47" s="675">
        <v>380.05500000000001</v>
      </c>
      <c r="Q47" s="675">
        <v>0</v>
      </c>
      <c r="R47" s="675">
        <v>121509</v>
      </c>
      <c r="S47" s="675">
        <v>319.71300000000002</v>
      </c>
      <c r="T47" s="675">
        <v>0</v>
      </c>
      <c r="U47" s="675">
        <v>121509</v>
      </c>
      <c r="V47" s="675">
        <v>43.336000000000006</v>
      </c>
      <c r="W47" s="675">
        <v>28402</v>
      </c>
      <c r="X47" s="675">
        <v>28402</v>
      </c>
      <c r="Y47" s="675">
        <v>0</v>
      </c>
      <c r="Z47" s="675">
        <v>0</v>
      </c>
      <c r="AA47" s="675">
        <v>1</v>
      </c>
      <c r="AB47" s="675">
        <v>1</v>
      </c>
      <c r="AC47" s="675">
        <v>0</v>
      </c>
      <c r="AD47" s="675" t="s">
        <v>316</v>
      </c>
      <c r="AE47" s="675">
        <v>0</v>
      </c>
      <c r="AF47" s="675">
        <v>0</v>
      </c>
      <c r="AG47" s="675">
        <v>0</v>
      </c>
      <c r="AH47" s="675">
        <v>0</v>
      </c>
      <c r="AI47" s="675">
        <v>0</v>
      </c>
      <c r="AJ47" s="675">
        <v>5104</v>
      </c>
      <c r="AK47" s="675" t="s">
        <v>671</v>
      </c>
      <c r="AL47" s="675" t="s">
        <v>20</v>
      </c>
      <c r="AM47" s="675">
        <v>0</v>
      </c>
      <c r="AN47" s="675">
        <v>0</v>
      </c>
      <c r="AO47" s="675">
        <v>0</v>
      </c>
      <c r="AP47" s="675">
        <v>0</v>
      </c>
      <c r="AQ47" s="675">
        <v>0</v>
      </c>
      <c r="AR47" s="675">
        <v>0</v>
      </c>
      <c r="AS47" s="675">
        <v>0</v>
      </c>
      <c r="AT47" s="675">
        <v>0</v>
      </c>
      <c r="AU47" s="675">
        <v>0</v>
      </c>
      <c r="AV47" s="675">
        <v>135733</v>
      </c>
      <c r="AW47" s="675">
        <v>3714801</v>
      </c>
      <c r="AX47" s="675">
        <v>3642610</v>
      </c>
      <c r="AY47" s="675">
        <v>3995414</v>
      </c>
      <c r="AZ47" s="675">
        <v>121509</v>
      </c>
      <c r="BA47" s="675">
        <v>0</v>
      </c>
      <c r="BB47" s="675">
        <v>0</v>
      </c>
      <c r="BC47" s="675">
        <v>0</v>
      </c>
      <c r="BD47" s="675">
        <v>0</v>
      </c>
      <c r="BE47" s="675">
        <v>0</v>
      </c>
      <c r="BF47" s="675">
        <v>3100578</v>
      </c>
      <c r="BG47" s="675">
        <v>0</v>
      </c>
      <c r="BH47" s="675">
        <v>0</v>
      </c>
      <c r="BI47" s="675">
        <v>0</v>
      </c>
      <c r="BJ47" s="675">
        <v>12</v>
      </c>
      <c r="BK47" s="675">
        <v>0</v>
      </c>
      <c r="BL47" s="675">
        <v>0</v>
      </c>
      <c r="BM47" s="675">
        <v>0</v>
      </c>
      <c r="BN47" s="675">
        <v>0</v>
      </c>
      <c r="BO47" s="675">
        <v>0</v>
      </c>
      <c r="BP47" s="675">
        <v>0</v>
      </c>
      <c r="BQ47" s="675">
        <v>5392</v>
      </c>
      <c r="BR47" s="675">
        <v>1</v>
      </c>
      <c r="BS47" s="675">
        <v>0</v>
      </c>
      <c r="BT47" s="675">
        <v>0</v>
      </c>
      <c r="BU47" s="675">
        <v>0</v>
      </c>
      <c r="BV47" s="675">
        <v>0</v>
      </c>
      <c r="BW47" s="675">
        <v>0</v>
      </c>
      <c r="BX47" s="675">
        <v>0</v>
      </c>
      <c r="BY47" s="675">
        <v>0</v>
      </c>
      <c r="BZ47" s="675">
        <v>0</v>
      </c>
      <c r="CA47" s="675">
        <v>0</v>
      </c>
      <c r="CB47" s="675">
        <v>0</v>
      </c>
      <c r="CC47" s="675">
        <v>0</v>
      </c>
      <c r="CD47" s="675">
        <v>0</v>
      </c>
      <c r="CE47" s="675">
        <v>0</v>
      </c>
      <c r="CF47" s="675">
        <v>0</v>
      </c>
      <c r="CG47" s="675">
        <v>0</v>
      </c>
      <c r="CH47" s="675">
        <v>72191</v>
      </c>
      <c r="CI47" s="675">
        <v>0</v>
      </c>
      <c r="CJ47" s="675">
        <v>4</v>
      </c>
      <c r="CK47" s="675">
        <v>0</v>
      </c>
      <c r="CL47" s="675">
        <v>0</v>
      </c>
      <c r="CM47" s="675">
        <v>0</v>
      </c>
      <c r="CN47" s="675">
        <v>0</v>
      </c>
      <c r="CO47" s="675">
        <v>0</v>
      </c>
      <c r="CP47" s="675">
        <v>0</v>
      </c>
      <c r="CQ47" s="675">
        <v>0</v>
      </c>
      <c r="CR47" s="675">
        <v>380.05500000000001</v>
      </c>
      <c r="CS47" s="675">
        <v>0</v>
      </c>
      <c r="CT47" s="675">
        <v>0</v>
      </c>
      <c r="CU47" s="675">
        <v>0</v>
      </c>
      <c r="CV47" s="675">
        <v>0</v>
      </c>
      <c r="CW47" s="675">
        <v>0</v>
      </c>
      <c r="CX47" s="675">
        <v>0</v>
      </c>
      <c r="CY47" s="675">
        <v>0</v>
      </c>
      <c r="CZ47" s="675">
        <v>0</v>
      </c>
      <c r="DA47" s="675">
        <v>1</v>
      </c>
      <c r="DB47" s="675">
        <v>2354026</v>
      </c>
      <c r="DC47" s="675">
        <v>0</v>
      </c>
      <c r="DD47" s="675">
        <v>0</v>
      </c>
      <c r="DE47" s="675">
        <v>629407</v>
      </c>
      <c r="DF47" s="675">
        <v>629407</v>
      </c>
      <c r="DG47" s="675">
        <v>480.17</v>
      </c>
      <c r="DH47" s="675">
        <v>0</v>
      </c>
      <c r="DI47" s="675">
        <v>0</v>
      </c>
      <c r="DJ47" s="675">
        <v>0</v>
      </c>
      <c r="DK47" s="675">
        <v>5392</v>
      </c>
      <c r="DL47" s="675">
        <v>0</v>
      </c>
      <c r="DM47" s="675">
        <v>173873</v>
      </c>
      <c r="DN47" s="675">
        <v>0</v>
      </c>
      <c r="DO47" s="675">
        <v>0</v>
      </c>
      <c r="DP47" s="675">
        <v>0</v>
      </c>
      <c r="DQ47" s="675">
        <v>0</v>
      </c>
      <c r="DR47" s="675">
        <v>0</v>
      </c>
      <c r="DS47" s="675">
        <v>0</v>
      </c>
      <c r="DT47" s="675">
        <v>0</v>
      </c>
      <c r="DU47" s="675">
        <v>0</v>
      </c>
      <c r="DV47" s="675">
        <v>0</v>
      </c>
      <c r="DW47" s="675">
        <v>0</v>
      </c>
      <c r="DX47" s="675">
        <v>0</v>
      </c>
      <c r="DY47" s="675">
        <v>0</v>
      </c>
      <c r="DZ47" s="675">
        <v>0</v>
      </c>
      <c r="EA47" s="675">
        <v>0</v>
      </c>
      <c r="EB47" s="675">
        <v>0</v>
      </c>
      <c r="EC47" s="675">
        <v>3.7630000000000003</v>
      </c>
      <c r="ED47" s="675">
        <v>27129</v>
      </c>
      <c r="EE47" s="675">
        <v>0</v>
      </c>
      <c r="EF47" s="675">
        <v>0</v>
      </c>
      <c r="EG47" s="675">
        <v>0</v>
      </c>
      <c r="EH47" s="675">
        <v>146744</v>
      </c>
      <c r="EI47" s="675">
        <v>0</v>
      </c>
      <c r="EJ47" s="675">
        <v>0</v>
      </c>
      <c r="EK47" s="675">
        <v>2.2330000000000001</v>
      </c>
      <c r="EL47" s="675">
        <v>0</v>
      </c>
      <c r="EM47" s="675">
        <v>4.4020000000000001</v>
      </c>
      <c r="EN47" s="675">
        <v>0.497</v>
      </c>
      <c r="EO47" s="675">
        <v>0</v>
      </c>
      <c r="EP47" s="675">
        <v>0</v>
      </c>
      <c r="EQ47" s="675">
        <v>7.1320000000000006</v>
      </c>
      <c r="ER47" s="675">
        <v>0</v>
      </c>
      <c r="ES47" s="675">
        <v>22.39</v>
      </c>
      <c r="ET47" s="675">
        <v>0</v>
      </c>
      <c r="EU47" s="675">
        <v>121509</v>
      </c>
      <c r="EV47" s="675">
        <v>0</v>
      </c>
      <c r="EW47" s="675">
        <v>0</v>
      </c>
      <c r="EX47" s="675">
        <v>0</v>
      </c>
      <c r="EY47" s="675">
        <v>0</v>
      </c>
      <c r="EZ47" s="675">
        <v>3064199</v>
      </c>
      <c r="FA47" s="675">
        <v>0</v>
      </c>
      <c r="FB47" s="675">
        <v>3185708</v>
      </c>
      <c r="FC47" s="675">
        <v>0.97327799999999998</v>
      </c>
      <c r="FD47" s="675">
        <v>0</v>
      </c>
      <c r="FE47" s="675">
        <v>472038</v>
      </c>
      <c r="FF47" s="675">
        <v>106373</v>
      </c>
      <c r="FG47" s="675">
        <v>6.1239999999999996E-2</v>
      </c>
      <c r="FH47" s="675">
        <v>5.4803999999999999E-2</v>
      </c>
      <c r="FI47" s="675">
        <v>0</v>
      </c>
      <c r="FJ47" s="675">
        <v>0</v>
      </c>
      <c r="FK47" s="675">
        <v>607.50099999999998</v>
      </c>
      <c r="FL47" s="675">
        <v>3836310</v>
      </c>
      <c r="FM47" s="675">
        <v>0</v>
      </c>
      <c r="FN47" s="675">
        <v>0</v>
      </c>
      <c r="FO47" s="675">
        <v>0</v>
      </c>
      <c r="FP47" s="675">
        <v>0</v>
      </c>
      <c r="FQ47" s="675">
        <v>0</v>
      </c>
      <c r="FR47" s="675">
        <v>0</v>
      </c>
      <c r="FS47" s="675">
        <v>0</v>
      </c>
      <c r="FT47" s="675">
        <v>0</v>
      </c>
      <c r="FU47" s="675">
        <v>0</v>
      </c>
      <c r="FV47" s="675">
        <v>0</v>
      </c>
      <c r="FW47" s="675">
        <v>0</v>
      </c>
      <c r="FX47" s="675">
        <v>0</v>
      </c>
      <c r="FY47" s="675">
        <v>0</v>
      </c>
      <c r="FZ47" s="675">
        <v>0</v>
      </c>
      <c r="GA47" s="675">
        <v>0</v>
      </c>
      <c r="GB47" s="675">
        <v>0</v>
      </c>
      <c r="GC47" s="675">
        <v>0</v>
      </c>
      <c r="GD47" s="675">
        <v>0</v>
      </c>
      <c r="GE47" s="675">
        <v>0</v>
      </c>
      <c r="GF47" s="675">
        <v>0</v>
      </c>
      <c r="GG47" s="675">
        <v>0</v>
      </c>
      <c r="GH47" s="675">
        <v>0</v>
      </c>
      <c r="GI47" s="675">
        <v>0</v>
      </c>
      <c r="GJ47" s="675">
        <v>0</v>
      </c>
      <c r="GK47" s="675">
        <v>5204</v>
      </c>
      <c r="GL47" s="675">
        <v>14307</v>
      </c>
      <c r="GM47" s="675">
        <v>0</v>
      </c>
      <c r="GN47" s="675">
        <v>0</v>
      </c>
      <c r="GO47" s="675">
        <v>0</v>
      </c>
      <c r="GP47" s="675">
        <v>3764119</v>
      </c>
      <c r="GQ47" s="675">
        <v>3764119</v>
      </c>
      <c r="GR47" s="675">
        <v>0</v>
      </c>
      <c r="GS47" s="675">
        <v>0</v>
      </c>
      <c r="GT47" s="675">
        <v>0</v>
      </c>
      <c r="GU47" s="675">
        <v>0</v>
      </c>
      <c r="GV47" s="675">
        <v>0</v>
      </c>
      <c r="GW47" s="675">
        <v>0</v>
      </c>
      <c r="GX47" s="675">
        <v>0</v>
      </c>
      <c r="GY47" s="675">
        <v>0</v>
      </c>
      <c r="GZ47" s="675">
        <v>0</v>
      </c>
      <c r="HA47" s="675">
        <v>0</v>
      </c>
      <c r="HB47" s="675">
        <v>260786259</v>
      </c>
      <c r="HC47" s="675">
        <v>5.0923999999999997E-2</v>
      </c>
      <c r="HD47" s="675">
        <v>72191</v>
      </c>
      <c r="HE47" s="675">
        <v>0</v>
      </c>
      <c r="HF47" s="675">
        <v>0</v>
      </c>
      <c r="HG47" s="675">
        <v>0</v>
      </c>
      <c r="HH47" s="675">
        <v>0</v>
      </c>
      <c r="HI47" s="675">
        <v>0</v>
      </c>
      <c r="HJ47" s="675">
        <v>0</v>
      </c>
      <c r="HK47" s="675">
        <v>0</v>
      </c>
      <c r="HL47" s="675">
        <v>0</v>
      </c>
      <c r="HM47" s="675">
        <v>0</v>
      </c>
      <c r="HN47" s="675">
        <v>0</v>
      </c>
      <c r="HO47" s="675">
        <v>0</v>
      </c>
      <c r="HP47" s="675">
        <v>0</v>
      </c>
      <c r="HQ47" s="675">
        <v>0</v>
      </c>
      <c r="HR47" s="675">
        <v>0</v>
      </c>
      <c r="HS47" s="675">
        <v>0</v>
      </c>
      <c r="HT47" s="675">
        <v>0</v>
      </c>
      <c r="HU47" s="675">
        <v>0</v>
      </c>
      <c r="HV47" s="675">
        <v>0</v>
      </c>
      <c r="HW47" s="675">
        <v>0</v>
      </c>
      <c r="HX47" s="675">
        <v>0</v>
      </c>
      <c r="HY47" s="675">
        <v>0</v>
      </c>
      <c r="HZ47" s="675">
        <v>0</v>
      </c>
      <c r="IA47" s="675">
        <v>0</v>
      </c>
      <c r="IB47" s="675">
        <v>0</v>
      </c>
      <c r="IC47" s="675">
        <v>0</v>
      </c>
      <c r="ID47" s="675">
        <v>0</v>
      </c>
      <c r="IE47" s="675">
        <v>0</v>
      </c>
      <c r="IF47" s="675">
        <v>0</v>
      </c>
      <c r="IG47" s="675">
        <v>0</v>
      </c>
      <c r="IH47" s="675">
        <v>0</v>
      </c>
      <c r="II47" s="675">
        <v>0</v>
      </c>
      <c r="IJ47" s="675">
        <v>0</v>
      </c>
      <c r="IK47" s="675">
        <v>0</v>
      </c>
      <c r="IL47" s="675">
        <v>0</v>
      </c>
      <c r="IM47" s="675">
        <v>0</v>
      </c>
      <c r="IN47" s="675">
        <v>0</v>
      </c>
      <c r="IO47" s="675">
        <v>0</v>
      </c>
      <c r="IP47" s="675">
        <v>0</v>
      </c>
      <c r="IQ47" s="675">
        <v>0</v>
      </c>
      <c r="IR47" s="675">
        <v>0</v>
      </c>
      <c r="IS47" s="675">
        <v>0</v>
      </c>
      <c r="IT47" s="675">
        <v>0</v>
      </c>
      <c r="IU47" s="675">
        <v>0</v>
      </c>
      <c r="IV47" s="675">
        <v>0</v>
      </c>
      <c r="IW47" s="675">
        <v>0</v>
      </c>
      <c r="IX47" s="675">
        <v>0</v>
      </c>
      <c r="IY47" s="675">
        <v>0</v>
      </c>
      <c r="IZ47" s="675">
        <v>0</v>
      </c>
      <c r="JA47" s="675">
        <v>0</v>
      </c>
      <c r="JB47" s="675">
        <v>0</v>
      </c>
      <c r="JC47" s="675">
        <v>0</v>
      </c>
      <c r="JD47" s="675">
        <v>0</v>
      </c>
      <c r="JE47" s="675">
        <v>0</v>
      </c>
      <c r="JF47" s="675">
        <v>0</v>
      </c>
      <c r="JG47" s="675">
        <v>0</v>
      </c>
      <c r="JH47" s="675">
        <v>0</v>
      </c>
      <c r="JI47" s="675">
        <v>0</v>
      </c>
      <c r="JJ47" s="675">
        <v>0</v>
      </c>
      <c r="JK47" s="675">
        <v>0</v>
      </c>
      <c r="JL47" s="675">
        <v>0</v>
      </c>
      <c r="JM47" s="675">
        <v>0</v>
      </c>
      <c r="JN47" s="675">
        <v>32469</v>
      </c>
      <c r="JO47" s="675">
        <v>0</v>
      </c>
      <c r="JP47" s="675">
        <v>0</v>
      </c>
      <c r="JQ47" s="675">
        <v>0</v>
      </c>
      <c r="JR47" s="675">
        <v>0</v>
      </c>
      <c r="JS47" s="675">
        <v>0</v>
      </c>
      <c r="JT47" s="675">
        <v>0</v>
      </c>
      <c r="JU47" s="675">
        <v>0</v>
      </c>
      <c r="JV47" s="675">
        <v>0</v>
      </c>
      <c r="JW47" s="675">
        <v>0</v>
      </c>
      <c r="JX47" s="675">
        <v>0</v>
      </c>
      <c r="JY47" s="675">
        <v>0</v>
      </c>
      <c r="JZ47" s="675">
        <v>0</v>
      </c>
      <c r="KA47" s="675">
        <v>0</v>
      </c>
      <c r="KB47" s="675">
        <v>0</v>
      </c>
      <c r="KC47" s="675">
        <v>0</v>
      </c>
      <c r="KD47" s="675">
        <v>0</v>
      </c>
      <c r="KE47" s="675">
        <v>0</v>
      </c>
      <c r="KF47" s="675">
        <v>0</v>
      </c>
    </row>
    <row r="48" spans="1:292" x14ac:dyDescent="0.25">
      <c r="A48" s="675">
        <v>57813</v>
      </c>
      <c r="B48" s="675">
        <v>32570</v>
      </c>
      <c r="C48" s="675">
        <v>35</v>
      </c>
      <c r="D48" s="675">
        <v>2022</v>
      </c>
      <c r="E48" s="675">
        <v>5392</v>
      </c>
      <c r="F48" s="675">
        <v>0</v>
      </c>
      <c r="G48" s="675">
        <v>3331.4260000000004</v>
      </c>
      <c r="H48" s="675">
        <v>3228.2360000000003</v>
      </c>
      <c r="I48" s="675">
        <v>3228.2360000000003</v>
      </c>
      <c r="J48" s="675">
        <v>3331.4260000000004</v>
      </c>
      <c r="K48" s="675">
        <v>0</v>
      </c>
      <c r="L48" s="675">
        <v>6554</v>
      </c>
      <c r="M48" s="675">
        <v>0</v>
      </c>
      <c r="N48" s="675">
        <v>0</v>
      </c>
      <c r="O48" s="675">
        <v>0</v>
      </c>
      <c r="P48" s="675">
        <v>3045.759</v>
      </c>
      <c r="Q48" s="675">
        <v>0</v>
      </c>
      <c r="R48" s="675">
        <v>973769</v>
      </c>
      <c r="S48" s="675">
        <v>319.71300000000002</v>
      </c>
      <c r="T48" s="675">
        <v>0</v>
      </c>
      <c r="U48" s="675">
        <v>973769</v>
      </c>
      <c r="V48" s="675">
        <v>1919.106</v>
      </c>
      <c r="W48" s="675">
        <v>1257782</v>
      </c>
      <c r="X48" s="675">
        <v>1257782</v>
      </c>
      <c r="Y48" s="675">
        <v>0</v>
      </c>
      <c r="Z48" s="675">
        <v>0</v>
      </c>
      <c r="AA48" s="675">
        <v>1</v>
      </c>
      <c r="AB48" s="675">
        <v>1</v>
      </c>
      <c r="AC48" s="675">
        <v>0</v>
      </c>
      <c r="AD48" s="675" t="s">
        <v>316</v>
      </c>
      <c r="AE48" s="675">
        <v>0</v>
      </c>
      <c r="AF48" s="675">
        <v>0</v>
      </c>
      <c r="AG48" s="675">
        <v>0</v>
      </c>
      <c r="AH48" s="675">
        <v>0</v>
      </c>
      <c r="AI48" s="675">
        <v>0</v>
      </c>
      <c r="AJ48" s="675">
        <v>5104</v>
      </c>
      <c r="AK48" s="675" t="s">
        <v>671</v>
      </c>
      <c r="AL48" s="675" t="s">
        <v>21</v>
      </c>
      <c r="AM48" s="675">
        <v>0</v>
      </c>
      <c r="AN48" s="675">
        <v>0</v>
      </c>
      <c r="AO48" s="675">
        <v>0</v>
      </c>
      <c r="AP48" s="675">
        <v>0</v>
      </c>
      <c r="AQ48" s="675">
        <v>0</v>
      </c>
      <c r="AR48" s="675">
        <v>0</v>
      </c>
      <c r="AS48" s="675">
        <v>0</v>
      </c>
      <c r="AT48" s="675">
        <v>0</v>
      </c>
      <c r="AU48" s="675">
        <v>0</v>
      </c>
      <c r="AV48" s="675">
        <v>284353</v>
      </c>
      <c r="AW48" s="675">
        <v>34086233</v>
      </c>
      <c r="AX48" s="675">
        <v>33353933</v>
      </c>
      <c r="AY48" s="675">
        <v>36778712</v>
      </c>
      <c r="AZ48" s="675">
        <v>973769</v>
      </c>
      <c r="BA48" s="675">
        <v>143</v>
      </c>
      <c r="BB48" s="675">
        <v>0</v>
      </c>
      <c r="BC48" s="675">
        <v>0</v>
      </c>
      <c r="BD48" s="675">
        <v>0</v>
      </c>
      <c r="BE48" s="675">
        <v>0</v>
      </c>
      <c r="BF48" s="675">
        <v>28276393</v>
      </c>
      <c r="BG48" s="675">
        <v>0</v>
      </c>
      <c r="BH48" s="675">
        <v>0</v>
      </c>
      <c r="BI48" s="675">
        <v>0</v>
      </c>
      <c r="BJ48" s="675">
        <v>12</v>
      </c>
      <c r="BK48" s="675">
        <v>0</v>
      </c>
      <c r="BL48" s="675">
        <v>0</v>
      </c>
      <c r="BM48" s="675">
        <v>0</v>
      </c>
      <c r="BN48" s="675">
        <v>0</v>
      </c>
      <c r="BO48" s="675">
        <v>0</v>
      </c>
      <c r="BP48" s="675">
        <v>0</v>
      </c>
      <c r="BQ48" s="675">
        <v>5392</v>
      </c>
      <c r="BR48" s="675">
        <v>1</v>
      </c>
      <c r="BS48" s="675">
        <v>0</v>
      </c>
      <c r="BT48" s="675">
        <v>0</v>
      </c>
      <c r="BU48" s="675">
        <v>0</v>
      </c>
      <c r="BV48" s="675">
        <v>0</v>
      </c>
      <c r="BW48" s="675">
        <v>0</v>
      </c>
      <c r="BX48" s="675">
        <v>0</v>
      </c>
      <c r="BY48" s="675">
        <v>0</v>
      </c>
      <c r="BZ48" s="675">
        <v>0</v>
      </c>
      <c r="CA48" s="675">
        <v>0</v>
      </c>
      <c r="CB48" s="675">
        <v>0</v>
      </c>
      <c r="CC48" s="675">
        <v>0</v>
      </c>
      <c r="CD48" s="675">
        <v>0</v>
      </c>
      <c r="CE48" s="675">
        <v>0</v>
      </c>
      <c r="CF48" s="675">
        <v>0</v>
      </c>
      <c r="CG48" s="675">
        <v>0</v>
      </c>
      <c r="CH48" s="675">
        <v>732300</v>
      </c>
      <c r="CI48" s="675">
        <v>0</v>
      </c>
      <c r="CJ48" s="675">
        <v>4</v>
      </c>
      <c r="CK48" s="675">
        <v>0</v>
      </c>
      <c r="CL48" s="675">
        <v>0</v>
      </c>
      <c r="CM48" s="675">
        <v>0</v>
      </c>
      <c r="CN48" s="675">
        <v>0</v>
      </c>
      <c r="CO48" s="675">
        <v>0</v>
      </c>
      <c r="CP48" s="675">
        <v>0</v>
      </c>
      <c r="CQ48" s="675">
        <v>17</v>
      </c>
      <c r="CR48" s="675">
        <v>3045.759</v>
      </c>
      <c r="CS48" s="675">
        <v>0</v>
      </c>
      <c r="CT48" s="675">
        <v>0</v>
      </c>
      <c r="CU48" s="675">
        <v>0</v>
      </c>
      <c r="CV48" s="675">
        <v>0</v>
      </c>
      <c r="CW48" s="675">
        <v>0</v>
      </c>
      <c r="CX48" s="675">
        <v>0</v>
      </c>
      <c r="CY48" s="675">
        <v>0</v>
      </c>
      <c r="CZ48" s="675">
        <v>0</v>
      </c>
      <c r="DA48" s="675">
        <v>1</v>
      </c>
      <c r="DB48" s="675">
        <v>21157859</v>
      </c>
      <c r="DC48" s="675">
        <v>0</v>
      </c>
      <c r="DD48" s="675">
        <v>0</v>
      </c>
      <c r="DE48" s="675">
        <v>4295924</v>
      </c>
      <c r="DF48" s="675">
        <v>4295924</v>
      </c>
      <c r="DG48" s="675">
        <v>3277.33</v>
      </c>
      <c r="DH48" s="675">
        <v>0</v>
      </c>
      <c r="DI48" s="675">
        <v>0</v>
      </c>
      <c r="DJ48" s="675">
        <v>0</v>
      </c>
      <c r="DK48" s="675">
        <v>5392</v>
      </c>
      <c r="DL48" s="675">
        <v>0</v>
      </c>
      <c r="DM48" s="675">
        <v>2341190</v>
      </c>
      <c r="DN48" s="675">
        <v>0</v>
      </c>
      <c r="DO48" s="675">
        <v>0</v>
      </c>
      <c r="DP48" s="675">
        <v>0</v>
      </c>
      <c r="DQ48" s="675">
        <v>0</v>
      </c>
      <c r="DR48" s="675">
        <v>0</v>
      </c>
      <c r="DS48" s="675">
        <v>0</v>
      </c>
      <c r="DT48" s="675">
        <v>0</v>
      </c>
      <c r="DU48" s="675">
        <v>0</v>
      </c>
      <c r="DV48" s="675">
        <v>0</v>
      </c>
      <c r="DW48" s="675">
        <v>0</v>
      </c>
      <c r="DX48" s="675">
        <v>0</v>
      </c>
      <c r="DY48" s="675">
        <v>0</v>
      </c>
      <c r="DZ48" s="675">
        <v>0</v>
      </c>
      <c r="EA48" s="675">
        <v>0</v>
      </c>
      <c r="EB48" s="675">
        <v>0</v>
      </c>
      <c r="EC48" s="675">
        <v>29.274000000000001</v>
      </c>
      <c r="ED48" s="675">
        <v>211048</v>
      </c>
      <c r="EE48" s="675">
        <v>0</v>
      </c>
      <c r="EF48" s="675">
        <v>0</v>
      </c>
      <c r="EG48" s="675">
        <v>0</v>
      </c>
      <c r="EH48" s="675">
        <v>2130142</v>
      </c>
      <c r="EI48" s="675">
        <v>0</v>
      </c>
      <c r="EJ48" s="675">
        <v>0</v>
      </c>
      <c r="EK48" s="675">
        <v>70.930000000000007</v>
      </c>
      <c r="EL48" s="675">
        <v>1.609</v>
      </c>
      <c r="EM48" s="675">
        <v>24.538</v>
      </c>
      <c r="EN48" s="675">
        <v>7.7220000000000004</v>
      </c>
      <c r="EO48" s="675">
        <v>0</v>
      </c>
      <c r="EP48" s="675">
        <v>0</v>
      </c>
      <c r="EQ48" s="675">
        <v>103.19</v>
      </c>
      <c r="ER48" s="675">
        <v>0</v>
      </c>
      <c r="ES48" s="675">
        <v>325.01400000000001</v>
      </c>
      <c r="ET48" s="675">
        <v>75750</v>
      </c>
      <c r="EU48" s="675">
        <v>973769</v>
      </c>
      <c r="EV48" s="675">
        <v>0</v>
      </c>
      <c r="EW48" s="675">
        <v>0</v>
      </c>
      <c r="EX48" s="675">
        <v>0</v>
      </c>
      <c r="EY48" s="675">
        <v>0</v>
      </c>
      <c r="EZ48" s="675">
        <v>28078986</v>
      </c>
      <c r="FA48" s="675">
        <v>0</v>
      </c>
      <c r="FB48" s="675">
        <v>29052755</v>
      </c>
      <c r="FC48" s="675">
        <v>0.97327799999999998</v>
      </c>
      <c r="FD48" s="675">
        <v>0</v>
      </c>
      <c r="FE48" s="675">
        <v>4304854</v>
      </c>
      <c r="FF48" s="675">
        <v>970093</v>
      </c>
      <c r="FG48" s="675">
        <v>6.1239999999999996E-2</v>
      </c>
      <c r="FH48" s="675">
        <v>5.4803999999999999E-2</v>
      </c>
      <c r="FI48" s="675">
        <v>0</v>
      </c>
      <c r="FJ48" s="675">
        <v>0</v>
      </c>
      <c r="FK48" s="675">
        <v>5540.2359999999999</v>
      </c>
      <c r="FL48" s="675">
        <v>35060002</v>
      </c>
      <c r="FM48" s="675">
        <v>0</v>
      </c>
      <c r="FN48" s="675">
        <v>0</v>
      </c>
      <c r="FO48" s="675">
        <v>0</v>
      </c>
      <c r="FP48" s="675">
        <v>0</v>
      </c>
      <c r="FQ48" s="675">
        <v>0</v>
      </c>
      <c r="FR48" s="675">
        <v>0</v>
      </c>
      <c r="FS48" s="675">
        <v>0</v>
      </c>
      <c r="FT48" s="675">
        <v>0</v>
      </c>
      <c r="FU48" s="675">
        <v>0</v>
      </c>
      <c r="FV48" s="675">
        <v>0</v>
      </c>
      <c r="FW48" s="675">
        <v>0</v>
      </c>
      <c r="FX48" s="675">
        <v>0</v>
      </c>
      <c r="FY48" s="675">
        <v>0</v>
      </c>
      <c r="FZ48" s="675">
        <v>0</v>
      </c>
      <c r="GA48" s="675">
        <v>0</v>
      </c>
      <c r="GB48" s="675">
        <v>0</v>
      </c>
      <c r="GC48" s="675">
        <v>0</v>
      </c>
      <c r="GD48" s="675">
        <v>0</v>
      </c>
      <c r="GE48" s="675">
        <v>0</v>
      </c>
      <c r="GF48" s="675">
        <v>0</v>
      </c>
      <c r="GG48" s="675">
        <v>0</v>
      </c>
      <c r="GH48" s="675">
        <v>0</v>
      </c>
      <c r="GI48" s="675">
        <v>0</v>
      </c>
      <c r="GJ48" s="675">
        <v>0</v>
      </c>
      <c r="GK48" s="675">
        <v>5246.9390000000003</v>
      </c>
      <c r="GL48" s="675">
        <v>17937</v>
      </c>
      <c r="GM48" s="675">
        <v>0</v>
      </c>
      <c r="GN48" s="675">
        <v>0</v>
      </c>
      <c r="GO48" s="675">
        <v>0</v>
      </c>
      <c r="GP48" s="675">
        <v>34327702</v>
      </c>
      <c r="GQ48" s="675">
        <v>34327702</v>
      </c>
      <c r="GR48" s="675">
        <v>0</v>
      </c>
      <c r="GS48" s="675">
        <v>0</v>
      </c>
      <c r="GT48" s="675">
        <v>0</v>
      </c>
      <c r="GU48" s="675">
        <v>0</v>
      </c>
      <c r="GV48" s="675">
        <v>0</v>
      </c>
      <c r="GW48" s="675">
        <v>0</v>
      </c>
      <c r="GX48" s="675">
        <v>0</v>
      </c>
      <c r="GY48" s="675">
        <v>0</v>
      </c>
      <c r="GZ48" s="675">
        <v>0</v>
      </c>
      <c r="HA48" s="675">
        <v>0</v>
      </c>
      <c r="HB48" s="675">
        <v>260786259</v>
      </c>
      <c r="HC48" s="675">
        <v>5.0923999999999997E-2</v>
      </c>
      <c r="HD48" s="675">
        <v>656550</v>
      </c>
      <c r="HE48" s="675">
        <v>0</v>
      </c>
      <c r="HF48" s="675">
        <v>0</v>
      </c>
      <c r="HG48" s="675">
        <v>0</v>
      </c>
      <c r="HH48" s="675">
        <v>0</v>
      </c>
      <c r="HI48" s="675">
        <v>0</v>
      </c>
      <c r="HJ48" s="675">
        <v>0</v>
      </c>
      <c r="HK48" s="675">
        <v>0</v>
      </c>
      <c r="HL48" s="675">
        <v>0</v>
      </c>
      <c r="HM48" s="675">
        <v>0</v>
      </c>
      <c r="HN48" s="675">
        <v>0</v>
      </c>
      <c r="HO48" s="675">
        <v>0</v>
      </c>
      <c r="HP48" s="675">
        <v>0</v>
      </c>
      <c r="HQ48" s="675">
        <v>0</v>
      </c>
      <c r="HR48" s="675">
        <v>0</v>
      </c>
      <c r="HS48" s="675">
        <v>0</v>
      </c>
      <c r="HT48" s="675">
        <v>0</v>
      </c>
      <c r="HU48" s="675">
        <v>0</v>
      </c>
      <c r="HV48" s="675">
        <v>0</v>
      </c>
      <c r="HW48" s="675">
        <v>0</v>
      </c>
      <c r="HX48" s="675">
        <v>0</v>
      </c>
      <c r="HY48" s="675">
        <v>0</v>
      </c>
      <c r="HZ48" s="675">
        <v>0</v>
      </c>
      <c r="IA48" s="675">
        <v>0</v>
      </c>
      <c r="IB48" s="675">
        <v>0</v>
      </c>
      <c r="IC48" s="675">
        <v>0</v>
      </c>
      <c r="ID48" s="675">
        <v>0</v>
      </c>
      <c r="IE48" s="675">
        <v>0</v>
      </c>
      <c r="IF48" s="675">
        <v>0</v>
      </c>
      <c r="IG48" s="675">
        <v>0</v>
      </c>
      <c r="IH48" s="675">
        <v>0</v>
      </c>
      <c r="II48" s="675">
        <v>0</v>
      </c>
      <c r="IJ48" s="675">
        <v>0</v>
      </c>
      <c r="IK48" s="675">
        <v>0</v>
      </c>
      <c r="IL48" s="675">
        <v>0</v>
      </c>
      <c r="IM48" s="675">
        <v>0</v>
      </c>
      <c r="IN48" s="675">
        <v>0</v>
      </c>
      <c r="IO48" s="675">
        <v>0</v>
      </c>
      <c r="IP48" s="675">
        <v>0</v>
      </c>
      <c r="IQ48" s="675">
        <v>0</v>
      </c>
      <c r="IR48" s="675">
        <v>0</v>
      </c>
      <c r="IS48" s="675">
        <v>0</v>
      </c>
      <c r="IT48" s="675">
        <v>0</v>
      </c>
      <c r="IU48" s="675">
        <v>0</v>
      </c>
      <c r="IV48" s="675">
        <v>0</v>
      </c>
      <c r="IW48" s="675">
        <v>0</v>
      </c>
      <c r="IX48" s="675">
        <v>0</v>
      </c>
      <c r="IY48" s="675">
        <v>0</v>
      </c>
      <c r="IZ48" s="675">
        <v>0</v>
      </c>
      <c r="JA48" s="675">
        <v>0</v>
      </c>
      <c r="JB48" s="675">
        <v>0</v>
      </c>
      <c r="JC48" s="675">
        <v>0</v>
      </c>
      <c r="JD48" s="675">
        <v>0</v>
      </c>
      <c r="JE48" s="675">
        <v>0</v>
      </c>
      <c r="JF48" s="675">
        <v>0</v>
      </c>
      <c r="JG48" s="675">
        <v>0</v>
      </c>
      <c r="JH48" s="675">
        <v>0</v>
      </c>
      <c r="JI48" s="675">
        <v>0</v>
      </c>
      <c r="JJ48" s="675">
        <v>0</v>
      </c>
      <c r="JK48" s="675">
        <v>0</v>
      </c>
      <c r="JL48" s="675">
        <v>0</v>
      </c>
      <c r="JM48" s="675">
        <v>0</v>
      </c>
      <c r="JN48" s="675">
        <v>32469</v>
      </c>
      <c r="JO48" s="675">
        <v>0</v>
      </c>
      <c r="JP48" s="675">
        <v>0</v>
      </c>
      <c r="JQ48" s="675">
        <v>0</v>
      </c>
      <c r="JR48" s="675">
        <v>0</v>
      </c>
      <c r="JS48" s="675">
        <v>0</v>
      </c>
      <c r="JT48" s="675">
        <v>0</v>
      </c>
      <c r="JU48" s="675">
        <v>0</v>
      </c>
      <c r="JV48" s="675">
        <v>0</v>
      </c>
      <c r="JW48" s="675">
        <v>0</v>
      </c>
      <c r="JX48" s="675">
        <v>0</v>
      </c>
      <c r="JY48" s="675">
        <v>0</v>
      </c>
      <c r="JZ48" s="675">
        <v>0</v>
      </c>
      <c r="KA48" s="675">
        <v>0</v>
      </c>
      <c r="KB48" s="675">
        <v>0</v>
      </c>
      <c r="KC48" s="675">
        <v>0</v>
      </c>
      <c r="KD48" s="675">
        <v>0</v>
      </c>
      <c r="KE48" s="675">
        <v>0</v>
      </c>
      <c r="KF48" s="675">
        <v>0</v>
      </c>
    </row>
    <row r="49" spans="1:292" x14ac:dyDescent="0.25">
      <c r="A49" s="675">
        <v>57814</v>
      </c>
      <c r="B49" s="675">
        <v>32570</v>
      </c>
      <c r="C49" s="675">
        <v>35</v>
      </c>
      <c r="D49" s="675">
        <v>2022</v>
      </c>
      <c r="E49" s="675">
        <v>5392</v>
      </c>
      <c r="F49" s="675">
        <v>0</v>
      </c>
      <c r="G49" s="675">
        <v>443.87800000000004</v>
      </c>
      <c r="H49" s="675">
        <v>349.01100000000002</v>
      </c>
      <c r="I49" s="675">
        <v>349.01100000000002</v>
      </c>
      <c r="J49" s="675">
        <v>443.87800000000004</v>
      </c>
      <c r="K49" s="675">
        <v>0</v>
      </c>
      <c r="L49" s="675">
        <v>6554</v>
      </c>
      <c r="M49" s="675">
        <v>0</v>
      </c>
      <c r="N49" s="675">
        <v>0</v>
      </c>
      <c r="O49" s="675">
        <v>0</v>
      </c>
      <c r="P49" s="675">
        <v>469.19100000000003</v>
      </c>
      <c r="Q49" s="675">
        <v>0</v>
      </c>
      <c r="R49" s="675">
        <v>150006</v>
      </c>
      <c r="S49" s="675">
        <v>319.71300000000002</v>
      </c>
      <c r="T49" s="675">
        <v>0</v>
      </c>
      <c r="U49" s="675">
        <v>150006</v>
      </c>
      <c r="V49" s="675">
        <v>96.292000000000002</v>
      </c>
      <c r="W49" s="675">
        <v>63110</v>
      </c>
      <c r="X49" s="675">
        <v>63110</v>
      </c>
      <c r="Y49" s="675">
        <v>0</v>
      </c>
      <c r="Z49" s="675">
        <v>0</v>
      </c>
      <c r="AA49" s="675">
        <v>1</v>
      </c>
      <c r="AB49" s="675">
        <v>1</v>
      </c>
      <c r="AC49" s="675">
        <v>0</v>
      </c>
      <c r="AD49" s="675" t="s">
        <v>316</v>
      </c>
      <c r="AE49" s="675">
        <v>0</v>
      </c>
      <c r="AF49" s="675">
        <v>0</v>
      </c>
      <c r="AG49" s="675">
        <v>0</v>
      </c>
      <c r="AH49" s="675">
        <v>0</v>
      </c>
      <c r="AI49" s="675">
        <v>0</v>
      </c>
      <c r="AJ49" s="675">
        <v>5104</v>
      </c>
      <c r="AK49" s="675" t="s">
        <v>671</v>
      </c>
      <c r="AL49" s="675" t="s">
        <v>328</v>
      </c>
      <c r="AM49" s="675">
        <v>0</v>
      </c>
      <c r="AN49" s="675">
        <v>0</v>
      </c>
      <c r="AO49" s="675">
        <v>0</v>
      </c>
      <c r="AP49" s="675">
        <v>0</v>
      </c>
      <c r="AQ49" s="675">
        <v>0</v>
      </c>
      <c r="AR49" s="675">
        <v>0</v>
      </c>
      <c r="AS49" s="675">
        <v>0</v>
      </c>
      <c r="AT49" s="675">
        <v>0</v>
      </c>
      <c r="AU49" s="675">
        <v>0</v>
      </c>
      <c r="AV49" s="675">
        <v>241152</v>
      </c>
      <c r="AW49" s="675">
        <v>6403440</v>
      </c>
      <c r="AX49" s="675">
        <v>6222060</v>
      </c>
      <c r="AY49" s="675">
        <v>6334423</v>
      </c>
      <c r="AZ49" s="675">
        <v>243908</v>
      </c>
      <c r="BA49" s="675">
        <v>0</v>
      </c>
      <c r="BB49" s="675">
        <v>0</v>
      </c>
      <c r="BC49" s="675">
        <v>0</v>
      </c>
      <c r="BD49" s="675">
        <v>0</v>
      </c>
      <c r="BE49" s="675">
        <v>0</v>
      </c>
      <c r="BF49" s="675">
        <v>5248794</v>
      </c>
      <c r="BG49" s="675">
        <v>0</v>
      </c>
      <c r="BH49" s="675">
        <v>341.46100000000001</v>
      </c>
      <c r="BI49" s="675">
        <v>93902</v>
      </c>
      <c r="BJ49" s="675">
        <v>12</v>
      </c>
      <c r="BK49" s="675">
        <v>0</v>
      </c>
      <c r="BL49" s="675">
        <v>0</v>
      </c>
      <c r="BM49" s="675">
        <v>0</v>
      </c>
      <c r="BN49" s="675">
        <v>0</v>
      </c>
      <c r="BO49" s="675">
        <v>0</v>
      </c>
      <c r="BP49" s="675">
        <v>0</v>
      </c>
      <c r="BQ49" s="675">
        <v>5392</v>
      </c>
      <c r="BR49" s="675">
        <v>1</v>
      </c>
      <c r="BS49" s="675">
        <v>0</v>
      </c>
      <c r="BT49" s="675">
        <v>0</v>
      </c>
      <c r="BU49" s="675">
        <v>0</v>
      </c>
      <c r="BV49" s="675">
        <v>0</v>
      </c>
      <c r="BW49" s="675">
        <v>0</v>
      </c>
      <c r="BX49" s="675">
        <v>0</v>
      </c>
      <c r="BY49" s="675">
        <v>0</v>
      </c>
      <c r="BZ49" s="675">
        <v>0</v>
      </c>
      <c r="CA49" s="675">
        <v>0</v>
      </c>
      <c r="CB49" s="675">
        <v>0</v>
      </c>
      <c r="CC49" s="675">
        <v>0</v>
      </c>
      <c r="CD49" s="675">
        <v>0</v>
      </c>
      <c r="CE49" s="675">
        <v>0</v>
      </c>
      <c r="CF49" s="675">
        <v>0</v>
      </c>
      <c r="CG49" s="675">
        <v>0</v>
      </c>
      <c r="CH49" s="675">
        <v>87478</v>
      </c>
      <c r="CI49" s="675">
        <v>0</v>
      </c>
      <c r="CJ49" s="675">
        <v>4</v>
      </c>
      <c r="CK49" s="675">
        <v>0</v>
      </c>
      <c r="CL49" s="675">
        <v>0</v>
      </c>
      <c r="CM49" s="675">
        <v>0</v>
      </c>
      <c r="CN49" s="675">
        <v>0</v>
      </c>
      <c r="CO49" s="675">
        <v>0</v>
      </c>
      <c r="CP49" s="675">
        <v>0</v>
      </c>
      <c r="CQ49" s="675">
        <v>0</v>
      </c>
      <c r="CR49" s="675">
        <v>469.19100000000003</v>
      </c>
      <c r="CS49" s="675">
        <v>0</v>
      </c>
      <c r="CT49" s="675">
        <v>0</v>
      </c>
      <c r="CU49" s="675">
        <v>0</v>
      </c>
      <c r="CV49" s="675">
        <v>0</v>
      </c>
      <c r="CW49" s="675">
        <v>0</v>
      </c>
      <c r="CX49" s="675">
        <v>0</v>
      </c>
      <c r="CY49" s="675">
        <v>0</v>
      </c>
      <c r="CZ49" s="675">
        <v>0</v>
      </c>
      <c r="DA49" s="675">
        <v>1</v>
      </c>
      <c r="DB49" s="675">
        <v>2287418</v>
      </c>
      <c r="DC49" s="675">
        <v>0</v>
      </c>
      <c r="DD49" s="675">
        <v>0</v>
      </c>
      <c r="DE49" s="675">
        <v>685981</v>
      </c>
      <c r="DF49" s="675">
        <v>685981</v>
      </c>
      <c r="DG49" s="675">
        <v>523.33000000000004</v>
      </c>
      <c r="DH49" s="675">
        <v>0</v>
      </c>
      <c r="DI49" s="675">
        <v>0</v>
      </c>
      <c r="DJ49" s="675">
        <v>0</v>
      </c>
      <c r="DK49" s="675">
        <v>5392</v>
      </c>
      <c r="DL49" s="675">
        <v>0</v>
      </c>
      <c r="DM49" s="675">
        <v>2281968</v>
      </c>
      <c r="DN49" s="675">
        <v>0</v>
      </c>
      <c r="DO49" s="675">
        <v>0</v>
      </c>
      <c r="DP49" s="675">
        <v>0</v>
      </c>
      <c r="DQ49" s="675">
        <v>0</v>
      </c>
      <c r="DR49" s="675">
        <v>0</v>
      </c>
      <c r="DS49" s="675">
        <v>0</v>
      </c>
      <c r="DT49" s="675">
        <v>0</v>
      </c>
      <c r="DU49" s="675">
        <v>0</v>
      </c>
      <c r="DV49" s="675">
        <v>0</v>
      </c>
      <c r="DW49" s="675">
        <v>0</v>
      </c>
      <c r="DX49" s="675">
        <v>0</v>
      </c>
      <c r="DY49" s="675">
        <v>0</v>
      </c>
      <c r="DZ49" s="675">
        <v>0</v>
      </c>
      <c r="EA49" s="675">
        <v>0</v>
      </c>
      <c r="EB49" s="675">
        <v>0</v>
      </c>
      <c r="EC49" s="675">
        <v>1.925</v>
      </c>
      <c r="ED49" s="675">
        <v>13878</v>
      </c>
      <c r="EE49" s="675">
        <v>0</v>
      </c>
      <c r="EF49" s="675">
        <v>0</v>
      </c>
      <c r="EG49" s="675">
        <v>0</v>
      </c>
      <c r="EH49" s="675">
        <v>18626</v>
      </c>
      <c r="EI49" s="675">
        <v>2249464</v>
      </c>
      <c r="EJ49" s="675">
        <v>85.805000000000007</v>
      </c>
      <c r="EK49" s="675">
        <v>0.16600000000000001</v>
      </c>
      <c r="EL49" s="675">
        <v>0</v>
      </c>
      <c r="EM49" s="675">
        <v>3.7999999999999999E-2</v>
      </c>
      <c r="EN49" s="675">
        <v>0.44600000000000001</v>
      </c>
      <c r="EO49" s="675">
        <v>0</v>
      </c>
      <c r="EP49" s="675">
        <v>0</v>
      </c>
      <c r="EQ49" s="675">
        <v>86.454999999999998</v>
      </c>
      <c r="ER49" s="675">
        <v>0</v>
      </c>
      <c r="ES49" s="675">
        <v>2.8420000000000001</v>
      </c>
      <c r="ET49" s="675">
        <v>0</v>
      </c>
      <c r="EU49" s="675">
        <v>243908</v>
      </c>
      <c r="EV49" s="675">
        <v>0</v>
      </c>
      <c r="EW49" s="675">
        <v>0</v>
      </c>
      <c r="EX49" s="675">
        <v>0</v>
      </c>
      <c r="EY49" s="675">
        <v>0</v>
      </c>
      <c r="EZ49" s="675">
        <v>5242900</v>
      </c>
      <c r="FA49" s="675">
        <v>0</v>
      </c>
      <c r="FB49" s="675">
        <v>5486808</v>
      </c>
      <c r="FC49" s="675">
        <v>0.97327799999999998</v>
      </c>
      <c r="FD49" s="675">
        <v>0</v>
      </c>
      <c r="FE49" s="675">
        <v>799087</v>
      </c>
      <c r="FF49" s="675">
        <v>180073</v>
      </c>
      <c r="FG49" s="675">
        <v>6.1239999999999996E-2</v>
      </c>
      <c r="FH49" s="675">
        <v>5.4803999999999999E-2</v>
      </c>
      <c r="FI49" s="675">
        <v>0</v>
      </c>
      <c r="FJ49" s="675">
        <v>0</v>
      </c>
      <c r="FK49" s="675">
        <v>1028.404</v>
      </c>
      <c r="FL49" s="675">
        <v>6553446</v>
      </c>
      <c r="FM49" s="675">
        <v>0</v>
      </c>
      <c r="FN49" s="675">
        <v>0</v>
      </c>
      <c r="FO49" s="675">
        <v>0</v>
      </c>
      <c r="FP49" s="675">
        <v>0</v>
      </c>
      <c r="FQ49" s="675">
        <v>0</v>
      </c>
      <c r="FR49" s="675">
        <v>0</v>
      </c>
      <c r="FS49" s="675">
        <v>0</v>
      </c>
      <c r="FT49" s="675">
        <v>0</v>
      </c>
      <c r="FU49" s="675">
        <v>0</v>
      </c>
      <c r="FV49" s="675">
        <v>0</v>
      </c>
      <c r="FW49" s="675">
        <v>0</v>
      </c>
      <c r="FX49" s="675">
        <v>0</v>
      </c>
      <c r="FY49" s="675">
        <v>0</v>
      </c>
      <c r="FZ49" s="675">
        <v>0</v>
      </c>
      <c r="GA49" s="675">
        <v>0</v>
      </c>
      <c r="GB49" s="675">
        <v>74429</v>
      </c>
      <c r="GC49" s="675">
        <v>74429</v>
      </c>
      <c r="GD49" s="675">
        <v>8.4120000000000008</v>
      </c>
      <c r="GE49" s="675">
        <v>0</v>
      </c>
      <c r="GF49" s="675">
        <v>0</v>
      </c>
      <c r="GG49" s="675">
        <v>0</v>
      </c>
      <c r="GH49" s="675">
        <v>0</v>
      </c>
      <c r="GI49" s="675">
        <v>0</v>
      </c>
      <c r="GJ49" s="675">
        <v>0</v>
      </c>
      <c r="GK49" s="675">
        <v>5406</v>
      </c>
      <c r="GL49" s="675">
        <v>22847</v>
      </c>
      <c r="GM49" s="675">
        <v>0</v>
      </c>
      <c r="GN49" s="675">
        <v>147575</v>
      </c>
      <c r="GO49" s="675">
        <v>0</v>
      </c>
      <c r="GP49" s="675">
        <v>6465968</v>
      </c>
      <c r="GQ49" s="675">
        <v>6465968</v>
      </c>
      <c r="GR49" s="675">
        <v>0</v>
      </c>
      <c r="GS49" s="675">
        <v>0</v>
      </c>
      <c r="GT49" s="675">
        <v>0</v>
      </c>
      <c r="GU49" s="675">
        <v>0</v>
      </c>
      <c r="GV49" s="675">
        <v>0</v>
      </c>
      <c r="GW49" s="675">
        <v>0</v>
      </c>
      <c r="GX49" s="675">
        <v>0</v>
      </c>
      <c r="GY49" s="675">
        <v>0</v>
      </c>
      <c r="GZ49" s="675">
        <v>0</v>
      </c>
      <c r="HA49" s="675">
        <v>0</v>
      </c>
      <c r="HB49" s="675">
        <v>260786259</v>
      </c>
      <c r="HC49" s="675">
        <v>5.0923999999999997E-2</v>
      </c>
      <c r="HD49" s="675">
        <v>87478</v>
      </c>
      <c r="HE49" s="675">
        <v>0</v>
      </c>
      <c r="HF49" s="675">
        <v>0</v>
      </c>
      <c r="HG49" s="675">
        <v>0</v>
      </c>
      <c r="HH49" s="675">
        <v>0</v>
      </c>
      <c r="HI49" s="675">
        <v>0</v>
      </c>
      <c r="HJ49" s="675">
        <v>0</v>
      </c>
      <c r="HK49" s="675">
        <v>0</v>
      </c>
      <c r="HL49" s="675">
        <v>0</v>
      </c>
      <c r="HM49" s="675">
        <v>0</v>
      </c>
      <c r="HN49" s="675">
        <v>0</v>
      </c>
      <c r="HO49" s="675">
        <v>0</v>
      </c>
      <c r="HP49" s="675">
        <v>0</v>
      </c>
      <c r="HQ49" s="675">
        <v>0</v>
      </c>
      <c r="HR49" s="675">
        <v>0</v>
      </c>
      <c r="HS49" s="675">
        <v>0</v>
      </c>
      <c r="HT49" s="675">
        <v>0</v>
      </c>
      <c r="HU49" s="675">
        <v>0</v>
      </c>
      <c r="HV49" s="675">
        <v>0</v>
      </c>
      <c r="HW49" s="675">
        <v>0</v>
      </c>
      <c r="HX49" s="675">
        <v>0</v>
      </c>
      <c r="HY49" s="675">
        <v>0</v>
      </c>
      <c r="HZ49" s="675">
        <v>0</v>
      </c>
      <c r="IA49" s="675">
        <v>0</v>
      </c>
      <c r="IB49" s="675">
        <v>0</v>
      </c>
      <c r="IC49" s="675">
        <v>0</v>
      </c>
      <c r="ID49" s="675">
        <v>0</v>
      </c>
      <c r="IE49" s="675">
        <v>0</v>
      </c>
      <c r="IF49" s="675">
        <v>0</v>
      </c>
      <c r="IG49" s="675">
        <v>0</v>
      </c>
      <c r="IH49" s="675">
        <v>0</v>
      </c>
      <c r="II49" s="675">
        <v>0</v>
      </c>
      <c r="IJ49" s="675">
        <v>0</v>
      </c>
      <c r="IK49" s="675">
        <v>0</v>
      </c>
      <c r="IL49" s="675">
        <v>0</v>
      </c>
      <c r="IM49" s="675">
        <v>0</v>
      </c>
      <c r="IN49" s="675">
        <v>0</v>
      </c>
      <c r="IO49" s="675">
        <v>0</v>
      </c>
      <c r="IP49" s="675">
        <v>0</v>
      </c>
      <c r="IQ49" s="675">
        <v>0</v>
      </c>
      <c r="IR49" s="675">
        <v>0</v>
      </c>
      <c r="IS49" s="675">
        <v>0</v>
      </c>
      <c r="IT49" s="675">
        <v>0</v>
      </c>
      <c r="IU49" s="675">
        <v>0</v>
      </c>
      <c r="IV49" s="675">
        <v>0</v>
      </c>
      <c r="IW49" s="675">
        <v>0</v>
      </c>
      <c r="IX49" s="675">
        <v>0</v>
      </c>
      <c r="IY49" s="675">
        <v>0</v>
      </c>
      <c r="IZ49" s="675">
        <v>0</v>
      </c>
      <c r="JA49" s="675">
        <v>0</v>
      </c>
      <c r="JB49" s="675">
        <v>0</v>
      </c>
      <c r="JC49" s="675">
        <v>0</v>
      </c>
      <c r="JD49" s="675">
        <v>0</v>
      </c>
      <c r="JE49" s="675">
        <v>0</v>
      </c>
      <c r="JF49" s="675">
        <v>0</v>
      </c>
      <c r="JG49" s="675">
        <v>0</v>
      </c>
      <c r="JH49" s="675">
        <v>0</v>
      </c>
      <c r="JI49" s="675">
        <v>0</v>
      </c>
      <c r="JJ49" s="675">
        <v>0</v>
      </c>
      <c r="JK49" s="675">
        <v>0</v>
      </c>
      <c r="JL49" s="675">
        <v>0</v>
      </c>
      <c r="JM49" s="675">
        <v>0</v>
      </c>
      <c r="JN49" s="675">
        <v>32469</v>
      </c>
      <c r="JO49" s="675">
        <v>0</v>
      </c>
      <c r="JP49" s="675">
        <v>0</v>
      </c>
      <c r="JQ49" s="675">
        <v>0</v>
      </c>
      <c r="JR49" s="675">
        <v>0</v>
      </c>
      <c r="JS49" s="675">
        <v>0</v>
      </c>
      <c r="JT49" s="675">
        <v>0</v>
      </c>
      <c r="JU49" s="675">
        <v>0</v>
      </c>
      <c r="JV49" s="675">
        <v>0</v>
      </c>
      <c r="JW49" s="675">
        <v>0</v>
      </c>
      <c r="JX49" s="675">
        <v>0</v>
      </c>
      <c r="JY49" s="675">
        <v>0</v>
      </c>
      <c r="JZ49" s="675">
        <v>0</v>
      </c>
      <c r="KA49" s="675">
        <v>0</v>
      </c>
      <c r="KB49" s="675">
        <v>0</v>
      </c>
      <c r="KC49" s="675">
        <v>0</v>
      </c>
      <c r="KD49" s="675">
        <v>0</v>
      </c>
      <c r="KE49" s="675">
        <v>0</v>
      </c>
      <c r="KF49" s="675">
        <v>0</v>
      </c>
    </row>
    <row r="50" spans="1:292" x14ac:dyDescent="0.25">
      <c r="A50" s="675">
        <v>57816</v>
      </c>
      <c r="B50" s="675">
        <v>32570</v>
      </c>
      <c r="C50" s="675">
        <v>35</v>
      </c>
      <c r="D50" s="675">
        <v>2022</v>
      </c>
      <c r="E50" s="675">
        <v>5392</v>
      </c>
      <c r="F50" s="675">
        <v>0</v>
      </c>
      <c r="G50" s="675">
        <v>1370.471</v>
      </c>
      <c r="H50" s="675">
        <v>1354.9830000000002</v>
      </c>
      <c r="I50" s="675">
        <v>1354.9830000000002</v>
      </c>
      <c r="J50" s="675">
        <v>1370.471</v>
      </c>
      <c r="K50" s="675">
        <v>0</v>
      </c>
      <c r="L50" s="675">
        <v>6554</v>
      </c>
      <c r="M50" s="675">
        <v>0</v>
      </c>
      <c r="N50" s="675">
        <v>0</v>
      </c>
      <c r="O50" s="675">
        <v>0</v>
      </c>
      <c r="P50" s="675">
        <v>1585.182</v>
      </c>
      <c r="Q50" s="675">
        <v>0</v>
      </c>
      <c r="R50" s="675">
        <v>506803</v>
      </c>
      <c r="S50" s="675">
        <v>319.71300000000002</v>
      </c>
      <c r="T50" s="675">
        <v>0</v>
      </c>
      <c r="U50" s="675">
        <v>506803</v>
      </c>
      <c r="V50" s="675">
        <v>10.877000000000001</v>
      </c>
      <c r="W50" s="675">
        <v>7129</v>
      </c>
      <c r="X50" s="675">
        <v>7129</v>
      </c>
      <c r="Y50" s="675">
        <v>0</v>
      </c>
      <c r="Z50" s="675">
        <v>0</v>
      </c>
      <c r="AA50" s="675">
        <v>1</v>
      </c>
      <c r="AB50" s="675">
        <v>1</v>
      </c>
      <c r="AC50" s="675">
        <v>0</v>
      </c>
      <c r="AD50" s="675" t="s">
        <v>316</v>
      </c>
      <c r="AE50" s="675">
        <v>0</v>
      </c>
      <c r="AF50" s="675">
        <v>0</v>
      </c>
      <c r="AG50" s="675">
        <v>0</v>
      </c>
      <c r="AH50" s="675">
        <v>0</v>
      </c>
      <c r="AI50" s="675">
        <v>0</v>
      </c>
      <c r="AJ50" s="675">
        <v>5104</v>
      </c>
      <c r="AK50" s="675" t="s">
        <v>671</v>
      </c>
      <c r="AL50" s="675" t="s">
        <v>431</v>
      </c>
      <c r="AM50" s="675">
        <v>0</v>
      </c>
      <c r="AN50" s="675">
        <v>0</v>
      </c>
      <c r="AO50" s="675">
        <v>0</v>
      </c>
      <c r="AP50" s="675">
        <v>0</v>
      </c>
      <c r="AQ50" s="675">
        <v>0</v>
      </c>
      <c r="AR50" s="675">
        <v>0</v>
      </c>
      <c r="AS50" s="675">
        <v>0</v>
      </c>
      <c r="AT50" s="675">
        <v>0</v>
      </c>
      <c r="AU50" s="675">
        <v>0</v>
      </c>
      <c r="AV50" s="675">
        <v>385690</v>
      </c>
      <c r="AW50" s="675">
        <v>13687665</v>
      </c>
      <c r="AX50" s="675">
        <v>13368930</v>
      </c>
      <c r="AY50" s="675">
        <v>14008484</v>
      </c>
      <c r="AZ50" s="675">
        <v>506803</v>
      </c>
      <c r="BA50" s="675">
        <v>95.582999999999998</v>
      </c>
      <c r="BB50" s="675">
        <v>0</v>
      </c>
      <c r="BC50" s="675">
        <v>0</v>
      </c>
      <c r="BD50" s="675">
        <v>0</v>
      </c>
      <c r="BE50" s="675">
        <v>0</v>
      </c>
      <c r="BF50" s="675">
        <v>11428980</v>
      </c>
      <c r="BG50" s="675">
        <v>0</v>
      </c>
      <c r="BH50" s="675">
        <v>0</v>
      </c>
      <c r="BI50" s="675">
        <v>0</v>
      </c>
      <c r="BJ50" s="675">
        <v>12</v>
      </c>
      <c r="BK50" s="675">
        <v>0</v>
      </c>
      <c r="BL50" s="675">
        <v>0</v>
      </c>
      <c r="BM50" s="675">
        <v>0</v>
      </c>
      <c r="BN50" s="675">
        <v>0</v>
      </c>
      <c r="BO50" s="675">
        <v>0</v>
      </c>
      <c r="BP50" s="675">
        <v>0</v>
      </c>
      <c r="BQ50" s="675">
        <v>5392</v>
      </c>
      <c r="BR50" s="675">
        <v>1</v>
      </c>
      <c r="BS50" s="675">
        <v>0</v>
      </c>
      <c r="BT50" s="675">
        <v>0</v>
      </c>
      <c r="BU50" s="675">
        <v>0</v>
      </c>
      <c r="BV50" s="675">
        <v>0</v>
      </c>
      <c r="BW50" s="675">
        <v>0</v>
      </c>
      <c r="BX50" s="675">
        <v>0</v>
      </c>
      <c r="BY50" s="675">
        <v>0</v>
      </c>
      <c r="BZ50" s="675">
        <v>0</v>
      </c>
      <c r="CA50" s="675">
        <v>0</v>
      </c>
      <c r="CB50" s="675">
        <v>0</v>
      </c>
      <c r="CC50" s="675">
        <v>0</v>
      </c>
      <c r="CD50" s="675">
        <v>0</v>
      </c>
      <c r="CE50" s="675">
        <v>0</v>
      </c>
      <c r="CF50" s="675">
        <v>0</v>
      </c>
      <c r="CG50" s="675">
        <v>0</v>
      </c>
      <c r="CH50" s="675">
        <v>318735</v>
      </c>
      <c r="CI50" s="675">
        <v>0</v>
      </c>
      <c r="CJ50" s="675">
        <v>4</v>
      </c>
      <c r="CK50" s="675">
        <v>0</v>
      </c>
      <c r="CL50" s="675">
        <v>0</v>
      </c>
      <c r="CM50" s="675">
        <v>0</v>
      </c>
      <c r="CN50" s="675">
        <v>0</v>
      </c>
      <c r="CO50" s="675">
        <v>0</v>
      </c>
      <c r="CP50" s="675">
        <v>0</v>
      </c>
      <c r="CQ50" s="675">
        <v>3.4170000000000003</v>
      </c>
      <c r="CR50" s="675">
        <v>1585.182</v>
      </c>
      <c r="CS50" s="675">
        <v>0</v>
      </c>
      <c r="CT50" s="675">
        <v>0</v>
      </c>
      <c r="CU50" s="675">
        <v>0</v>
      </c>
      <c r="CV50" s="675">
        <v>0</v>
      </c>
      <c r="CW50" s="675">
        <v>0</v>
      </c>
      <c r="CX50" s="675">
        <v>0</v>
      </c>
      <c r="CY50" s="675">
        <v>0</v>
      </c>
      <c r="CZ50" s="675">
        <v>0</v>
      </c>
      <c r="DA50" s="675">
        <v>1</v>
      </c>
      <c r="DB50" s="675">
        <v>8880559</v>
      </c>
      <c r="DC50" s="675">
        <v>0</v>
      </c>
      <c r="DD50" s="675">
        <v>0</v>
      </c>
      <c r="DE50" s="675">
        <v>2382812</v>
      </c>
      <c r="DF50" s="675">
        <v>2382812</v>
      </c>
      <c r="DG50" s="675">
        <v>1817.83</v>
      </c>
      <c r="DH50" s="675">
        <v>0</v>
      </c>
      <c r="DI50" s="675">
        <v>0</v>
      </c>
      <c r="DJ50" s="675">
        <v>0</v>
      </c>
      <c r="DK50" s="675">
        <v>5392</v>
      </c>
      <c r="DL50" s="675">
        <v>0</v>
      </c>
      <c r="DM50" s="675">
        <v>472276</v>
      </c>
      <c r="DN50" s="675">
        <v>0</v>
      </c>
      <c r="DO50" s="675">
        <v>0</v>
      </c>
      <c r="DP50" s="675">
        <v>0</v>
      </c>
      <c r="DQ50" s="675">
        <v>0</v>
      </c>
      <c r="DR50" s="675">
        <v>0</v>
      </c>
      <c r="DS50" s="675">
        <v>0</v>
      </c>
      <c r="DT50" s="675">
        <v>0</v>
      </c>
      <c r="DU50" s="675">
        <v>0</v>
      </c>
      <c r="DV50" s="675">
        <v>0</v>
      </c>
      <c r="DW50" s="675">
        <v>0</v>
      </c>
      <c r="DX50" s="675">
        <v>0</v>
      </c>
      <c r="DY50" s="675">
        <v>0</v>
      </c>
      <c r="DZ50" s="675">
        <v>0</v>
      </c>
      <c r="EA50" s="675">
        <v>0</v>
      </c>
      <c r="EB50" s="675">
        <v>0</v>
      </c>
      <c r="EC50" s="675">
        <v>19.832000000000001</v>
      </c>
      <c r="ED50" s="675">
        <v>142977</v>
      </c>
      <c r="EE50" s="675">
        <v>0</v>
      </c>
      <c r="EF50" s="675">
        <v>0</v>
      </c>
      <c r="EG50" s="675">
        <v>0</v>
      </c>
      <c r="EH50" s="675">
        <v>329299</v>
      </c>
      <c r="EI50" s="675">
        <v>0</v>
      </c>
      <c r="EJ50" s="675">
        <v>0</v>
      </c>
      <c r="EK50" s="675">
        <v>11.234</v>
      </c>
      <c r="EL50" s="675">
        <v>0</v>
      </c>
      <c r="EM50" s="675">
        <v>2.3640000000000003</v>
      </c>
      <c r="EN50" s="675">
        <v>1.8900000000000001</v>
      </c>
      <c r="EO50" s="675">
        <v>0</v>
      </c>
      <c r="EP50" s="675">
        <v>0</v>
      </c>
      <c r="EQ50" s="675">
        <v>15.488000000000001</v>
      </c>
      <c r="ER50" s="675">
        <v>0</v>
      </c>
      <c r="ES50" s="675">
        <v>50.244</v>
      </c>
      <c r="ET50" s="675">
        <v>48646</v>
      </c>
      <c r="EU50" s="675">
        <v>506803</v>
      </c>
      <c r="EV50" s="675">
        <v>0</v>
      </c>
      <c r="EW50" s="675">
        <v>0</v>
      </c>
      <c r="EX50" s="675">
        <v>0</v>
      </c>
      <c r="EY50" s="675">
        <v>0</v>
      </c>
      <c r="EZ50" s="675">
        <v>11236860</v>
      </c>
      <c r="FA50" s="675">
        <v>0</v>
      </c>
      <c r="FB50" s="675">
        <v>11743663</v>
      </c>
      <c r="FC50" s="675">
        <v>0.97327799999999998</v>
      </c>
      <c r="FD50" s="675">
        <v>0</v>
      </c>
      <c r="FE50" s="675">
        <v>1739970</v>
      </c>
      <c r="FF50" s="675">
        <v>392100</v>
      </c>
      <c r="FG50" s="675">
        <v>6.1239999999999996E-2</v>
      </c>
      <c r="FH50" s="675">
        <v>5.4803999999999999E-2</v>
      </c>
      <c r="FI50" s="675">
        <v>0</v>
      </c>
      <c r="FJ50" s="675">
        <v>0</v>
      </c>
      <c r="FK50" s="675">
        <v>2239.297</v>
      </c>
      <c r="FL50" s="675">
        <v>14194468</v>
      </c>
      <c r="FM50" s="675">
        <v>0</v>
      </c>
      <c r="FN50" s="675">
        <v>0</v>
      </c>
      <c r="FO50" s="675">
        <v>887</v>
      </c>
      <c r="FP50" s="675">
        <v>0</v>
      </c>
      <c r="FQ50" s="675">
        <v>887</v>
      </c>
      <c r="FR50" s="675">
        <v>887</v>
      </c>
      <c r="FS50" s="675">
        <v>0</v>
      </c>
      <c r="FT50" s="675">
        <v>0</v>
      </c>
      <c r="FU50" s="675">
        <v>0</v>
      </c>
      <c r="FV50" s="675">
        <v>0</v>
      </c>
      <c r="FW50" s="675">
        <v>0</v>
      </c>
      <c r="FX50" s="675">
        <v>0</v>
      </c>
      <c r="FY50" s="675">
        <v>0</v>
      </c>
      <c r="FZ50" s="675">
        <v>0</v>
      </c>
      <c r="GA50" s="675">
        <v>0</v>
      </c>
      <c r="GB50" s="675">
        <v>0</v>
      </c>
      <c r="GC50" s="675">
        <v>0</v>
      </c>
      <c r="GD50" s="675">
        <v>0</v>
      </c>
      <c r="GE50" s="675">
        <v>0</v>
      </c>
      <c r="GF50" s="675">
        <v>0</v>
      </c>
      <c r="GG50" s="675">
        <v>0</v>
      </c>
      <c r="GH50" s="675">
        <v>0</v>
      </c>
      <c r="GI50" s="675">
        <v>0</v>
      </c>
      <c r="GJ50" s="675">
        <v>0</v>
      </c>
      <c r="GK50" s="675">
        <v>5098</v>
      </c>
      <c r="GL50" s="675">
        <v>37189</v>
      </c>
      <c r="GM50" s="675">
        <v>0</v>
      </c>
      <c r="GN50" s="675">
        <v>0</v>
      </c>
      <c r="GO50" s="675">
        <v>0</v>
      </c>
      <c r="GP50" s="675">
        <v>13875733</v>
      </c>
      <c r="GQ50" s="675">
        <v>13875733</v>
      </c>
      <c r="GR50" s="675">
        <v>0</v>
      </c>
      <c r="GS50" s="675">
        <v>0</v>
      </c>
      <c r="GT50" s="675">
        <v>0</v>
      </c>
      <c r="GU50" s="675">
        <v>0</v>
      </c>
      <c r="GV50" s="675">
        <v>0</v>
      </c>
      <c r="GW50" s="675">
        <v>0</v>
      </c>
      <c r="GX50" s="675">
        <v>0</v>
      </c>
      <c r="GY50" s="675">
        <v>0</v>
      </c>
      <c r="GZ50" s="675">
        <v>0</v>
      </c>
      <c r="HA50" s="675">
        <v>0</v>
      </c>
      <c r="HB50" s="675">
        <v>260786259</v>
      </c>
      <c r="HC50" s="675">
        <v>5.0923999999999997E-2</v>
      </c>
      <c r="HD50" s="675">
        <v>270089</v>
      </c>
      <c r="HE50" s="675">
        <v>0</v>
      </c>
      <c r="HF50" s="675">
        <v>0</v>
      </c>
      <c r="HG50" s="675">
        <v>0</v>
      </c>
      <c r="HH50" s="675">
        <v>0</v>
      </c>
      <c r="HI50" s="675">
        <v>0</v>
      </c>
      <c r="HJ50" s="675">
        <v>0</v>
      </c>
      <c r="HK50" s="675">
        <v>0</v>
      </c>
      <c r="HL50" s="675">
        <v>0</v>
      </c>
      <c r="HM50" s="675">
        <v>0</v>
      </c>
      <c r="HN50" s="675">
        <v>0</v>
      </c>
      <c r="HO50" s="675">
        <v>0</v>
      </c>
      <c r="HP50" s="675">
        <v>0</v>
      </c>
      <c r="HQ50" s="675">
        <v>0</v>
      </c>
      <c r="HR50" s="675">
        <v>0</v>
      </c>
      <c r="HS50" s="675">
        <v>0</v>
      </c>
      <c r="HT50" s="675">
        <v>0</v>
      </c>
      <c r="HU50" s="675">
        <v>0</v>
      </c>
      <c r="HV50" s="675">
        <v>0</v>
      </c>
      <c r="HW50" s="675">
        <v>0</v>
      </c>
      <c r="HX50" s="675">
        <v>0</v>
      </c>
      <c r="HY50" s="675">
        <v>0</v>
      </c>
      <c r="HZ50" s="675">
        <v>0</v>
      </c>
      <c r="IA50" s="675">
        <v>0</v>
      </c>
      <c r="IB50" s="675">
        <v>0</v>
      </c>
      <c r="IC50" s="675">
        <v>0</v>
      </c>
      <c r="ID50" s="675">
        <v>0</v>
      </c>
      <c r="IE50" s="675">
        <v>0</v>
      </c>
      <c r="IF50" s="675">
        <v>0</v>
      </c>
      <c r="IG50" s="675">
        <v>0</v>
      </c>
      <c r="IH50" s="675">
        <v>0</v>
      </c>
      <c r="II50" s="675">
        <v>0</v>
      </c>
      <c r="IJ50" s="675">
        <v>0</v>
      </c>
      <c r="IK50" s="675">
        <v>0</v>
      </c>
      <c r="IL50" s="675">
        <v>0</v>
      </c>
      <c r="IM50" s="675">
        <v>0</v>
      </c>
      <c r="IN50" s="675">
        <v>0</v>
      </c>
      <c r="IO50" s="675">
        <v>0</v>
      </c>
      <c r="IP50" s="675">
        <v>0</v>
      </c>
      <c r="IQ50" s="675">
        <v>0</v>
      </c>
      <c r="IR50" s="675">
        <v>0</v>
      </c>
      <c r="IS50" s="675">
        <v>0</v>
      </c>
      <c r="IT50" s="675">
        <v>0</v>
      </c>
      <c r="IU50" s="675">
        <v>0</v>
      </c>
      <c r="IV50" s="675">
        <v>0</v>
      </c>
      <c r="IW50" s="675">
        <v>0</v>
      </c>
      <c r="IX50" s="675">
        <v>0</v>
      </c>
      <c r="IY50" s="675">
        <v>0</v>
      </c>
      <c r="IZ50" s="675">
        <v>0</v>
      </c>
      <c r="JA50" s="675">
        <v>0</v>
      </c>
      <c r="JB50" s="675">
        <v>0</v>
      </c>
      <c r="JC50" s="675">
        <v>0</v>
      </c>
      <c r="JD50" s="675">
        <v>0</v>
      </c>
      <c r="JE50" s="675">
        <v>0</v>
      </c>
      <c r="JF50" s="675">
        <v>0</v>
      </c>
      <c r="JG50" s="675">
        <v>0</v>
      </c>
      <c r="JH50" s="675">
        <v>0</v>
      </c>
      <c r="JI50" s="675">
        <v>0</v>
      </c>
      <c r="JJ50" s="675">
        <v>0</v>
      </c>
      <c r="JK50" s="675">
        <v>0</v>
      </c>
      <c r="JL50" s="675">
        <v>0</v>
      </c>
      <c r="JM50" s="675">
        <v>0</v>
      </c>
      <c r="JN50" s="675">
        <v>32469</v>
      </c>
      <c r="JO50" s="675">
        <v>0</v>
      </c>
      <c r="JP50" s="675">
        <v>0</v>
      </c>
      <c r="JQ50" s="675">
        <v>0</v>
      </c>
      <c r="JR50" s="675">
        <v>0</v>
      </c>
      <c r="JS50" s="675">
        <v>0</v>
      </c>
      <c r="JT50" s="675">
        <v>0</v>
      </c>
      <c r="JU50" s="675">
        <v>0</v>
      </c>
      <c r="JV50" s="675">
        <v>0</v>
      </c>
      <c r="JW50" s="675">
        <v>0</v>
      </c>
      <c r="JX50" s="675">
        <v>0</v>
      </c>
      <c r="JY50" s="675">
        <v>0</v>
      </c>
      <c r="JZ50" s="675">
        <v>0</v>
      </c>
      <c r="KA50" s="675">
        <v>0</v>
      </c>
      <c r="KB50" s="675">
        <v>0</v>
      </c>
      <c r="KC50" s="675">
        <v>0</v>
      </c>
      <c r="KD50" s="675">
        <v>0</v>
      </c>
      <c r="KE50" s="675">
        <v>0</v>
      </c>
      <c r="KF50" s="675">
        <v>0</v>
      </c>
    </row>
    <row r="51" spans="1:292" x14ac:dyDescent="0.25">
      <c r="A51" s="675">
        <v>57819</v>
      </c>
      <c r="B51" s="675">
        <v>32570</v>
      </c>
      <c r="C51" s="675">
        <v>35</v>
      </c>
      <c r="D51" s="675">
        <v>2022</v>
      </c>
      <c r="E51" s="675">
        <v>5392</v>
      </c>
      <c r="F51" s="675">
        <v>0</v>
      </c>
      <c r="G51" s="675">
        <v>190.93100000000001</v>
      </c>
      <c r="H51" s="675">
        <v>181.98600000000002</v>
      </c>
      <c r="I51" s="675">
        <v>181.98600000000002</v>
      </c>
      <c r="J51" s="675">
        <v>190.93100000000001</v>
      </c>
      <c r="K51" s="675">
        <v>0</v>
      </c>
      <c r="L51" s="675">
        <v>6554</v>
      </c>
      <c r="M51" s="675">
        <v>0</v>
      </c>
      <c r="N51" s="675">
        <v>0</v>
      </c>
      <c r="O51" s="675">
        <v>0</v>
      </c>
      <c r="P51" s="675">
        <v>175.93900000000002</v>
      </c>
      <c r="Q51" s="675">
        <v>0</v>
      </c>
      <c r="R51" s="675">
        <v>56250</v>
      </c>
      <c r="S51" s="675">
        <v>319.71300000000002</v>
      </c>
      <c r="T51" s="675">
        <v>0</v>
      </c>
      <c r="U51" s="675">
        <v>56250</v>
      </c>
      <c r="V51" s="675">
        <v>91.01100000000001</v>
      </c>
      <c r="W51" s="675">
        <v>59649</v>
      </c>
      <c r="X51" s="675">
        <v>59649</v>
      </c>
      <c r="Y51" s="675">
        <v>0</v>
      </c>
      <c r="Z51" s="675">
        <v>0</v>
      </c>
      <c r="AA51" s="675">
        <v>1</v>
      </c>
      <c r="AB51" s="675">
        <v>1</v>
      </c>
      <c r="AC51" s="675">
        <v>0</v>
      </c>
      <c r="AD51" s="675" t="s">
        <v>316</v>
      </c>
      <c r="AE51" s="675">
        <v>0</v>
      </c>
      <c r="AF51" s="675">
        <v>0</v>
      </c>
      <c r="AG51" s="675">
        <v>0</v>
      </c>
      <c r="AH51" s="675">
        <v>0</v>
      </c>
      <c r="AI51" s="675">
        <v>0</v>
      </c>
      <c r="AJ51" s="675">
        <v>5104</v>
      </c>
      <c r="AK51" s="675" t="s">
        <v>671</v>
      </c>
      <c r="AL51" s="675" t="s">
        <v>44</v>
      </c>
      <c r="AM51" s="675">
        <v>0</v>
      </c>
      <c r="AN51" s="675">
        <v>0</v>
      </c>
      <c r="AO51" s="675">
        <v>0</v>
      </c>
      <c r="AP51" s="675">
        <v>0</v>
      </c>
      <c r="AQ51" s="675">
        <v>0</v>
      </c>
      <c r="AR51" s="675">
        <v>0</v>
      </c>
      <c r="AS51" s="675">
        <v>0</v>
      </c>
      <c r="AT51" s="675">
        <v>0</v>
      </c>
      <c r="AU51" s="675">
        <v>0</v>
      </c>
      <c r="AV51" s="675">
        <v>103288</v>
      </c>
      <c r="AW51" s="675">
        <v>1963555</v>
      </c>
      <c r="AX51" s="675">
        <v>1914821</v>
      </c>
      <c r="AY51" s="675">
        <v>2061983</v>
      </c>
      <c r="AZ51" s="675">
        <v>62606</v>
      </c>
      <c r="BA51" s="675">
        <v>9</v>
      </c>
      <c r="BB51" s="675">
        <v>0</v>
      </c>
      <c r="BC51" s="675">
        <v>0</v>
      </c>
      <c r="BD51" s="675">
        <v>0</v>
      </c>
      <c r="BE51" s="675">
        <v>0</v>
      </c>
      <c r="BF51" s="675">
        <v>1604717</v>
      </c>
      <c r="BG51" s="675">
        <v>0</v>
      </c>
      <c r="BH51" s="675">
        <v>23.114000000000001</v>
      </c>
      <c r="BI51" s="675">
        <v>6356</v>
      </c>
      <c r="BJ51" s="675">
        <v>12</v>
      </c>
      <c r="BK51" s="675">
        <v>0</v>
      </c>
      <c r="BL51" s="675">
        <v>0</v>
      </c>
      <c r="BM51" s="675">
        <v>0</v>
      </c>
      <c r="BN51" s="675">
        <v>0</v>
      </c>
      <c r="BO51" s="675">
        <v>0</v>
      </c>
      <c r="BP51" s="675">
        <v>0</v>
      </c>
      <c r="BQ51" s="675">
        <v>5392</v>
      </c>
      <c r="BR51" s="675">
        <v>1</v>
      </c>
      <c r="BS51" s="675">
        <v>0</v>
      </c>
      <c r="BT51" s="675">
        <v>0</v>
      </c>
      <c r="BU51" s="675">
        <v>0</v>
      </c>
      <c r="BV51" s="675">
        <v>0</v>
      </c>
      <c r="BW51" s="675">
        <v>0</v>
      </c>
      <c r="BX51" s="675">
        <v>0</v>
      </c>
      <c r="BY51" s="675">
        <v>0</v>
      </c>
      <c r="BZ51" s="675">
        <v>0</v>
      </c>
      <c r="CA51" s="675">
        <v>0</v>
      </c>
      <c r="CB51" s="675">
        <v>0</v>
      </c>
      <c r="CC51" s="675">
        <v>0</v>
      </c>
      <c r="CD51" s="675">
        <v>0</v>
      </c>
      <c r="CE51" s="675">
        <v>0</v>
      </c>
      <c r="CF51" s="675">
        <v>0</v>
      </c>
      <c r="CG51" s="675">
        <v>0</v>
      </c>
      <c r="CH51" s="675">
        <v>42378</v>
      </c>
      <c r="CI51" s="675">
        <v>0</v>
      </c>
      <c r="CJ51" s="675">
        <v>4</v>
      </c>
      <c r="CK51" s="675">
        <v>0</v>
      </c>
      <c r="CL51" s="675">
        <v>0</v>
      </c>
      <c r="CM51" s="675">
        <v>0</v>
      </c>
      <c r="CN51" s="675">
        <v>0</v>
      </c>
      <c r="CO51" s="675">
        <v>0</v>
      </c>
      <c r="CP51" s="675">
        <v>0</v>
      </c>
      <c r="CQ51" s="675">
        <v>1</v>
      </c>
      <c r="CR51" s="675">
        <v>175.93900000000002</v>
      </c>
      <c r="CS51" s="675">
        <v>0</v>
      </c>
      <c r="CT51" s="675">
        <v>0</v>
      </c>
      <c r="CU51" s="675">
        <v>0</v>
      </c>
      <c r="CV51" s="675">
        <v>0</v>
      </c>
      <c r="CW51" s="675">
        <v>0</v>
      </c>
      <c r="CX51" s="675">
        <v>0</v>
      </c>
      <c r="CY51" s="675">
        <v>0</v>
      </c>
      <c r="CZ51" s="675">
        <v>0</v>
      </c>
      <c r="DA51" s="675">
        <v>1</v>
      </c>
      <c r="DB51" s="675">
        <v>1192736</v>
      </c>
      <c r="DC51" s="675">
        <v>0</v>
      </c>
      <c r="DD51" s="675">
        <v>0</v>
      </c>
      <c r="DE51" s="675">
        <v>266092</v>
      </c>
      <c r="DF51" s="675">
        <v>266092</v>
      </c>
      <c r="DG51" s="675">
        <v>203</v>
      </c>
      <c r="DH51" s="675">
        <v>0</v>
      </c>
      <c r="DI51" s="675">
        <v>0</v>
      </c>
      <c r="DJ51" s="675">
        <v>0</v>
      </c>
      <c r="DK51" s="675">
        <v>5392</v>
      </c>
      <c r="DL51" s="675">
        <v>0</v>
      </c>
      <c r="DM51" s="675">
        <v>68945</v>
      </c>
      <c r="DN51" s="675">
        <v>0</v>
      </c>
      <c r="DO51" s="675">
        <v>0</v>
      </c>
      <c r="DP51" s="675">
        <v>0</v>
      </c>
      <c r="DQ51" s="675">
        <v>0</v>
      </c>
      <c r="DR51" s="675">
        <v>0</v>
      </c>
      <c r="DS51" s="675">
        <v>0</v>
      </c>
      <c r="DT51" s="675">
        <v>0</v>
      </c>
      <c r="DU51" s="675">
        <v>0</v>
      </c>
      <c r="DV51" s="675">
        <v>0</v>
      </c>
      <c r="DW51" s="675">
        <v>0</v>
      </c>
      <c r="DX51" s="675">
        <v>0</v>
      </c>
      <c r="DY51" s="675">
        <v>0</v>
      </c>
      <c r="DZ51" s="675">
        <v>0</v>
      </c>
      <c r="EA51" s="675">
        <v>0</v>
      </c>
      <c r="EB51" s="675">
        <v>0</v>
      </c>
      <c r="EC51" s="675">
        <v>3.706</v>
      </c>
      <c r="ED51" s="675">
        <v>26718</v>
      </c>
      <c r="EE51" s="675">
        <v>0</v>
      </c>
      <c r="EF51" s="675">
        <v>0</v>
      </c>
      <c r="EG51" s="675">
        <v>0</v>
      </c>
      <c r="EH51" s="675">
        <v>42227</v>
      </c>
      <c r="EI51" s="675">
        <v>0</v>
      </c>
      <c r="EJ51" s="675">
        <v>0</v>
      </c>
      <c r="EK51" s="675">
        <v>1.8260000000000001</v>
      </c>
      <c r="EL51" s="675">
        <v>0</v>
      </c>
      <c r="EM51" s="675">
        <v>0</v>
      </c>
      <c r="EN51" s="675">
        <v>0.193</v>
      </c>
      <c r="EO51" s="675">
        <v>0</v>
      </c>
      <c r="EP51" s="675">
        <v>0</v>
      </c>
      <c r="EQ51" s="675">
        <v>2.0190000000000001</v>
      </c>
      <c r="ER51" s="675">
        <v>0</v>
      </c>
      <c r="ES51" s="675">
        <v>6.4430000000000005</v>
      </c>
      <c r="ET51" s="675">
        <v>4750</v>
      </c>
      <c r="EU51" s="675">
        <v>62606</v>
      </c>
      <c r="EV51" s="675">
        <v>0</v>
      </c>
      <c r="EW51" s="675">
        <v>0</v>
      </c>
      <c r="EX51" s="675">
        <v>0</v>
      </c>
      <c r="EY51" s="675">
        <v>0</v>
      </c>
      <c r="EZ51" s="675">
        <v>1615461</v>
      </c>
      <c r="FA51" s="675">
        <v>0</v>
      </c>
      <c r="FB51" s="675">
        <v>1678067</v>
      </c>
      <c r="FC51" s="675">
        <v>0.97327799999999998</v>
      </c>
      <c r="FD51" s="675">
        <v>0</v>
      </c>
      <c r="FE51" s="675">
        <v>244306</v>
      </c>
      <c r="FF51" s="675">
        <v>55054</v>
      </c>
      <c r="FG51" s="675">
        <v>6.1239999999999996E-2</v>
      </c>
      <c r="FH51" s="675">
        <v>5.4803999999999999E-2</v>
      </c>
      <c r="FI51" s="675">
        <v>0</v>
      </c>
      <c r="FJ51" s="675">
        <v>0</v>
      </c>
      <c r="FK51" s="675">
        <v>314.41500000000002</v>
      </c>
      <c r="FL51" s="675">
        <v>2019805</v>
      </c>
      <c r="FM51" s="675">
        <v>0</v>
      </c>
      <c r="FN51" s="675">
        <v>0</v>
      </c>
      <c r="FO51" s="675">
        <v>22935</v>
      </c>
      <c r="FP51" s="675">
        <v>0</v>
      </c>
      <c r="FQ51" s="675">
        <v>22935</v>
      </c>
      <c r="FR51" s="675">
        <v>22935</v>
      </c>
      <c r="FS51" s="675">
        <v>0</v>
      </c>
      <c r="FT51" s="675">
        <v>0</v>
      </c>
      <c r="FU51" s="675">
        <v>0</v>
      </c>
      <c r="FV51" s="675">
        <v>0</v>
      </c>
      <c r="FW51" s="675">
        <v>0</v>
      </c>
      <c r="FX51" s="675">
        <v>0</v>
      </c>
      <c r="FY51" s="675">
        <v>0</v>
      </c>
      <c r="FZ51" s="675">
        <v>73</v>
      </c>
      <c r="GA51" s="675">
        <v>1.466</v>
      </c>
      <c r="GB51" s="675">
        <v>61354</v>
      </c>
      <c r="GC51" s="675">
        <v>61354</v>
      </c>
      <c r="GD51" s="675">
        <v>6.9260000000000002</v>
      </c>
      <c r="GE51" s="675">
        <v>0</v>
      </c>
      <c r="GF51" s="675">
        <v>0</v>
      </c>
      <c r="GG51" s="675">
        <v>0</v>
      </c>
      <c r="GH51" s="675">
        <v>0</v>
      </c>
      <c r="GI51" s="675">
        <v>0</v>
      </c>
      <c r="GJ51" s="675">
        <v>0</v>
      </c>
      <c r="GK51" s="675">
        <v>5666</v>
      </c>
      <c r="GL51" s="675">
        <v>3056</v>
      </c>
      <c r="GM51" s="675">
        <v>0</v>
      </c>
      <c r="GN51" s="675">
        <v>96198</v>
      </c>
      <c r="GO51" s="675">
        <v>0</v>
      </c>
      <c r="GP51" s="675">
        <v>1977427</v>
      </c>
      <c r="GQ51" s="675">
        <v>1977427</v>
      </c>
      <c r="GR51" s="675">
        <v>0</v>
      </c>
      <c r="GS51" s="675">
        <v>0</v>
      </c>
      <c r="GT51" s="675">
        <v>0</v>
      </c>
      <c r="GU51" s="675">
        <v>0</v>
      </c>
      <c r="GV51" s="675">
        <v>0</v>
      </c>
      <c r="GW51" s="675">
        <v>0</v>
      </c>
      <c r="GX51" s="675">
        <v>0</v>
      </c>
      <c r="GY51" s="675">
        <v>0</v>
      </c>
      <c r="GZ51" s="675">
        <v>0</v>
      </c>
      <c r="HA51" s="675">
        <v>0</v>
      </c>
      <c r="HB51" s="675">
        <v>260786259</v>
      </c>
      <c r="HC51" s="675">
        <v>5.0923999999999997E-2</v>
      </c>
      <c r="HD51" s="675">
        <v>37628</v>
      </c>
      <c r="HE51" s="675">
        <v>0</v>
      </c>
      <c r="HF51" s="675">
        <v>0</v>
      </c>
      <c r="HG51" s="675">
        <v>0</v>
      </c>
      <c r="HH51" s="675">
        <v>0</v>
      </c>
      <c r="HI51" s="675">
        <v>0</v>
      </c>
      <c r="HJ51" s="675">
        <v>0</v>
      </c>
      <c r="HK51" s="675">
        <v>0</v>
      </c>
      <c r="HL51" s="675">
        <v>0</v>
      </c>
      <c r="HM51" s="675">
        <v>0</v>
      </c>
      <c r="HN51" s="675">
        <v>0</v>
      </c>
      <c r="HO51" s="675">
        <v>0</v>
      </c>
      <c r="HP51" s="675">
        <v>0</v>
      </c>
      <c r="HQ51" s="675">
        <v>0</v>
      </c>
      <c r="HR51" s="675">
        <v>0</v>
      </c>
      <c r="HS51" s="675">
        <v>0</v>
      </c>
      <c r="HT51" s="675">
        <v>0</v>
      </c>
      <c r="HU51" s="675">
        <v>0</v>
      </c>
      <c r="HV51" s="675">
        <v>0</v>
      </c>
      <c r="HW51" s="675">
        <v>0</v>
      </c>
      <c r="HX51" s="675">
        <v>0</v>
      </c>
      <c r="HY51" s="675">
        <v>0</v>
      </c>
      <c r="HZ51" s="675">
        <v>0</v>
      </c>
      <c r="IA51" s="675">
        <v>0</v>
      </c>
      <c r="IB51" s="675">
        <v>0</v>
      </c>
      <c r="IC51" s="675">
        <v>0</v>
      </c>
      <c r="ID51" s="675">
        <v>0</v>
      </c>
      <c r="IE51" s="675">
        <v>0</v>
      </c>
      <c r="IF51" s="675">
        <v>0</v>
      </c>
      <c r="IG51" s="675">
        <v>0</v>
      </c>
      <c r="IH51" s="675">
        <v>0</v>
      </c>
      <c r="II51" s="675">
        <v>0</v>
      </c>
      <c r="IJ51" s="675">
        <v>0</v>
      </c>
      <c r="IK51" s="675">
        <v>0</v>
      </c>
      <c r="IL51" s="675">
        <v>0</v>
      </c>
      <c r="IM51" s="675">
        <v>0</v>
      </c>
      <c r="IN51" s="675">
        <v>0</v>
      </c>
      <c r="IO51" s="675">
        <v>0</v>
      </c>
      <c r="IP51" s="675">
        <v>0</v>
      </c>
      <c r="IQ51" s="675">
        <v>0</v>
      </c>
      <c r="IR51" s="675">
        <v>0</v>
      </c>
      <c r="IS51" s="675">
        <v>0</v>
      </c>
      <c r="IT51" s="675">
        <v>0</v>
      </c>
      <c r="IU51" s="675">
        <v>0</v>
      </c>
      <c r="IV51" s="675">
        <v>0</v>
      </c>
      <c r="IW51" s="675">
        <v>0</v>
      </c>
      <c r="IX51" s="675">
        <v>0</v>
      </c>
      <c r="IY51" s="675">
        <v>0</v>
      </c>
      <c r="IZ51" s="675">
        <v>0</v>
      </c>
      <c r="JA51" s="675">
        <v>0</v>
      </c>
      <c r="JB51" s="675">
        <v>0</v>
      </c>
      <c r="JC51" s="675">
        <v>0</v>
      </c>
      <c r="JD51" s="675">
        <v>0</v>
      </c>
      <c r="JE51" s="675">
        <v>0</v>
      </c>
      <c r="JF51" s="675">
        <v>0</v>
      </c>
      <c r="JG51" s="675">
        <v>0</v>
      </c>
      <c r="JH51" s="675">
        <v>0</v>
      </c>
      <c r="JI51" s="675">
        <v>0</v>
      </c>
      <c r="JJ51" s="675">
        <v>0</v>
      </c>
      <c r="JK51" s="675">
        <v>0</v>
      </c>
      <c r="JL51" s="675">
        <v>0</v>
      </c>
      <c r="JM51" s="675">
        <v>0</v>
      </c>
      <c r="JN51" s="675">
        <v>32469</v>
      </c>
      <c r="JO51" s="675">
        <v>0</v>
      </c>
      <c r="JP51" s="675">
        <v>0</v>
      </c>
      <c r="JQ51" s="675">
        <v>0</v>
      </c>
      <c r="JR51" s="675">
        <v>0</v>
      </c>
      <c r="JS51" s="675">
        <v>0</v>
      </c>
      <c r="JT51" s="675">
        <v>0</v>
      </c>
      <c r="JU51" s="675">
        <v>0</v>
      </c>
      <c r="JV51" s="675">
        <v>0</v>
      </c>
      <c r="JW51" s="675">
        <v>0</v>
      </c>
      <c r="JX51" s="675">
        <v>0</v>
      </c>
      <c r="JY51" s="675">
        <v>0</v>
      </c>
      <c r="JZ51" s="675">
        <v>0</v>
      </c>
      <c r="KA51" s="675">
        <v>0</v>
      </c>
      <c r="KB51" s="675">
        <v>0</v>
      </c>
      <c r="KC51" s="675">
        <v>0</v>
      </c>
      <c r="KD51" s="675">
        <v>0</v>
      </c>
      <c r="KE51" s="675">
        <v>0</v>
      </c>
      <c r="KF51" s="675">
        <v>0</v>
      </c>
    </row>
    <row r="52" spans="1:292" x14ac:dyDescent="0.25">
      <c r="A52" s="675">
        <v>57827</v>
      </c>
      <c r="B52" s="675">
        <v>32570</v>
      </c>
      <c r="C52" s="675">
        <v>35</v>
      </c>
      <c r="D52" s="675">
        <v>2022</v>
      </c>
      <c r="E52" s="675">
        <v>5392</v>
      </c>
      <c r="F52" s="675">
        <v>0</v>
      </c>
      <c r="G52" s="675">
        <v>563.10800000000006</v>
      </c>
      <c r="H52" s="675">
        <v>562.48500000000001</v>
      </c>
      <c r="I52" s="675">
        <v>562.48500000000001</v>
      </c>
      <c r="J52" s="675">
        <v>563.10800000000006</v>
      </c>
      <c r="K52" s="675">
        <v>0</v>
      </c>
      <c r="L52" s="675">
        <v>6554</v>
      </c>
      <c r="M52" s="675">
        <v>0</v>
      </c>
      <c r="N52" s="675">
        <v>0</v>
      </c>
      <c r="O52" s="675">
        <v>0</v>
      </c>
      <c r="P52" s="675">
        <v>556.072</v>
      </c>
      <c r="Q52" s="675">
        <v>0</v>
      </c>
      <c r="R52" s="675">
        <v>177783</v>
      </c>
      <c r="S52" s="675">
        <v>319.71300000000002</v>
      </c>
      <c r="T52" s="675">
        <v>0</v>
      </c>
      <c r="U52" s="675">
        <v>177783</v>
      </c>
      <c r="V52" s="675">
        <v>178.47800000000001</v>
      </c>
      <c r="W52" s="675">
        <v>116974</v>
      </c>
      <c r="X52" s="675">
        <v>116974</v>
      </c>
      <c r="Y52" s="675">
        <v>0</v>
      </c>
      <c r="Z52" s="675">
        <v>0</v>
      </c>
      <c r="AA52" s="675">
        <v>1</v>
      </c>
      <c r="AB52" s="675">
        <v>1</v>
      </c>
      <c r="AC52" s="675">
        <v>0</v>
      </c>
      <c r="AD52" s="675" t="s">
        <v>316</v>
      </c>
      <c r="AE52" s="675">
        <v>0</v>
      </c>
      <c r="AF52" s="675">
        <v>0</v>
      </c>
      <c r="AG52" s="675">
        <v>0</v>
      </c>
      <c r="AH52" s="675">
        <v>0</v>
      </c>
      <c r="AI52" s="675">
        <v>0</v>
      </c>
      <c r="AJ52" s="675">
        <v>5104</v>
      </c>
      <c r="AK52" s="675" t="s">
        <v>671</v>
      </c>
      <c r="AL52" s="675" t="s">
        <v>463</v>
      </c>
      <c r="AM52" s="675">
        <v>0</v>
      </c>
      <c r="AN52" s="675">
        <v>0</v>
      </c>
      <c r="AO52" s="675">
        <v>0</v>
      </c>
      <c r="AP52" s="675">
        <v>0</v>
      </c>
      <c r="AQ52" s="675">
        <v>0</v>
      </c>
      <c r="AR52" s="675">
        <v>0</v>
      </c>
      <c r="AS52" s="675">
        <v>0</v>
      </c>
      <c r="AT52" s="675">
        <v>0</v>
      </c>
      <c r="AU52" s="675">
        <v>0</v>
      </c>
      <c r="AV52" s="675">
        <v>220275</v>
      </c>
      <c r="AW52" s="675">
        <v>5609174</v>
      </c>
      <c r="AX52" s="675">
        <v>5487156</v>
      </c>
      <c r="AY52" s="675">
        <v>6019297</v>
      </c>
      <c r="AZ52" s="675">
        <v>177783</v>
      </c>
      <c r="BA52" s="675">
        <v>21.667000000000002</v>
      </c>
      <c r="BB52" s="675">
        <v>0</v>
      </c>
      <c r="BC52" s="675">
        <v>0</v>
      </c>
      <c r="BD52" s="675">
        <v>0</v>
      </c>
      <c r="BE52" s="675">
        <v>0</v>
      </c>
      <c r="BF52" s="675">
        <v>4666320</v>
      </c>
      <c r="BG52" s="675">
        <v>0</v>
      </c>
      <c r="BH52" s="675">
        <v>0</v>
      </c>
      <c r="BI52" s="675">
        <v>0</v>
      </c>
      <c r="BJ52" s="675">
        <v>12</v>
      </c>
      <c r="BK52" s="675">
        <v>0</v>
      </c>
      <c r="BL52" s="675">
        <v>0</v>
      </c>
      <c r="BM52" s="675">
        <v>0</v>
      </c>
      <c r="BN52" s="675">
        <v>0</v>
      </c>
      <c r="BO52" s="675">
        <v>0</v>
      </c>
      <c r="BP52" s="675">
        <v>0</v>
      </c>
      <c r="BQ52" s="675">
        <v>5392</v>
      </c>
      <c r="BR52" s="675">
        <v>1</v>
      </c>
      <c r="BS52" s="675">
        <v>0</v>
      </c>
      <c r="BT52" s="675">
        <v>0</v>
      </c>
      <c r="BU52" s="675">
        <v>0</v>
      </c>
      <c r="BV52" s="675">
        <v>0</v>
      </c>
      <c r="BW52" s="675">
        <v>0</v>
      </c>
      <c r="BX52" s="675">
        <v>0</v>
      </c>
      <c r="BY52" s="675">
        <v>0</v>
      </c>
      <c r="BZ52" s="675">
        <v>0</v>
      </c>
      <c r="CA52" s="675">
        <v>0</v>
      </c>
      <c r="CB52" s="675">
        <v>0</v>
      </c>
      <c r="CC52" s="675">
        <v>0</v>
      </c>
      <c r="CD52" s="675">
        <v>0</v>
      </c>
      <c r="CE52" s="675">
        <v>0</v>
      </c>
      <c r="CF52" s="675">
        <v>0</v>
      </c>
      <c r="CG52" s="675">
        <v>0</v>
      </c>
      <c r="CH52" s="675">
        <v>122018</v>
      </c>
      <c r="CI52" s="675">
        <v>0</v>
      </c>
      <c r="CJ52" s="675">
        <v>4</v>
      </c>
      <c r="CK52" s="675">
        <v>0</v>
      </c>
      <c r="CL52" s="675">
        <v>0</v>
      </c>
      <c r="CM52" s="675">
        <v>0</v>
      </c>
      <c r="CN52" s="675">
        <v>0</v>
      </c>
      <c r="CO52" s="675">
        <v>0</v>
      </c>
      <c r="CP52" s="675">
        <v>0</v>
      </c>
      <c r="CQ52" s="675">
        <v>0.83300000000000007</v>
      </c>
      <c r="CR52" s="675">
        <v>556.072</v>
      </c>
      <c r="CS52" s="675">
        <v>0</v>
      </c>
      <c r="CT52" s="675">
        <v>0</v>
      </c>
      <c r="CU52" s="675">
        <v>0</v>
      </c>
      <c r="CV52" s="675">
        <v>0</v>
      </c>
      <c r="CW52" s="675">
        <v>0</v>
      </c>
      <c r="CX52" s="675">
        <v>0</v>
      </c>
      <c r="CY52" s="675">
        <v>0</v>
      </c>
      <c r="CZ52" s="675">
        <v>0</v>
      </c>
      <c r="DA52" s="675">
        <v>1</v>
      </c>
      <c r="DB52" s="675">
        <v>3686527</v>
      </c>
      <c r="DC52" s="675">
        <v>0</v>
      </c>
      <c r="DD52" s="675">
        <v>0</v>
      </c>
      <c r="DE52" s="675">
        <v>807020</v>
      </c>
      <c r="DF52" s="675">
        <v>807020</v>
      </c>
      <c r="DG52" s="675">
        <v>615.66999999999996</v>
      </c>
      <c r="DH52" s="675">
        <v>0</v>
      </c>
      <c r="DI52" s="675">
        <v>0</v>
      </c>
      <c r="DJ52" s="675">
        <v>0</v>
      </c>
      <c r="DK52" s="675">
        <v>5392</v>
      </c>
      <c r="DL52" s="675">
        <v>0</v>
      </c>
      <c r="DM52" s="675">
        <v>183918</v>
      </c>
      <c r="DN52" s="675">
        <v>0</v>
      </c>
      <c r="DO52" s="675">
        <v>0</v>
      </c>
      <c r="DP52" s="675">
        <v>0</v>
      </c>
      <c r="DQ52" s="675">
        <v>0</v>
      </c>
      <c r="DR52" s="675">
        <v>0</v>
      </c>
      <c r="DS52" s="675">
        <v>0</v>
      </c>
      <c r="DT52" s="675">
        <v>0</v>
      </c>
      <c r="DU52" s="675">
        <v>0</v>
      </c>
      <c r="DV52" s="675">
        <v>0</v>
      </c>
      <c r="DW52" s="675">
        <v>0</v>
      </c>
      <c r="DX52" s="675">
        <v>0</v>
      </c>
      <c r="DY52" s="675">
        <v>0</v>
      </c>
      <c r="DZ52" s="675">
        <v>0</v>
      </c>
      <c r="EA52" s="675">
        <v>0</v>
      </c>
      <c r="EB52" s="675">
        <v>0</v>
      </c>
      <c r="EC52" s="675">
        <v>22.679000000000002</v>
      </c>
      <c r="ED52" s="675">
        <v>163502</v>
      </c>
      <c r="EE52" s="675">
        <v>0</v>
      </c>
      <c r="EF52" s="675">
        <v>0</v>
      </c>
      <c r="EG52" s="675">
        <v>0</v>
      </c>
      <c r="EH52" s="675">
        <v>20416</v>
      </c>
      <c r="EI52" s="675">
        <v>0</v>
      </c>
      <c r="EJ52" s="675">
        <v>0</v>
      </c>
      <c r="EK52" s="675">
        <v>0</v>
      </c>
      <c r="EL52" s="675">
        <v>0</v>
      </c>
      <c r="EM52" s="675">
        <v>0</v>
      </c>
      <c r="EN52" s="675">
        <v>0.623</v>
      </c>
      <c r="EO52" s="675">
        <v>0</v>
      </c>
      <c r="EP52" s="675">
        <v>0</v>
      </c>
      <c r="EQ52" s="675">
        <v>0.623</v>
      </c>
      <c r="ER52" s="675">
        <v>0</v>
      </c>
      <c r="ES52" s="675">
        <v>3.1150000000000002</v>
      </c>
      <c r="ET52" s="675">
        <v>11042</v>
      </c>
      <c r="EU52" s="675">
        <v>177783</v>
      </c>
      <c r="EV52" s="675">
        <v>0</v>
      </c>
      <c r="EW52" s="675">
        <v>0</v>
      </c>
      <c r="EX52" s="675">
        <v>0</v>
      </c>
      <c r="EY52" s="675">
        <v>0</v>
      </c>
      <c r="EZ52" s="675">
        <v>4616656</v>
      </c>
      <c r="FA52" s="675">
        <v>0</v>
      </c>
      <c r="FB52" s="675">
        <v>4794439</v>
      </c>
      <c r="FC52" s="675">
        <v>0.97327799999999998</v>
      </c>
      <c r="FD52" s="675">
        <v>0</v>
      </c>
      <c r="FE52" s="675">
        <v>710410</v>
      </c>
      <c r="FF52" s="675">
        <v>160090</v>
      </c>
      <c r="FG52" s="675">
        <v>6.1239999999999996E-2</v>
      </c>
      <c r="FH52" s="675">
        <v>5.4803999999999999E-2</v>
      </c>
      <c r="FI52" s="675">
        <v>0</v>
      </c>
      <c r="FJ52" s="675">
        <v>0</v>
      </c>
      <c r="FK52" s="675">
        <v>914.279</v>
      </c>
      <c r="FL52" s="675">
        <v>5786957</v>
      </c>
      <c r="FM52" s="675">
        <v>0</v>
      </c>
      <c r="FN52" s="675">
        <v>0</v>
      </c>
      <c r="FO52" s="675">
        <v>0</v>
      </c>
      <c r="FP52" s="675">
        <v>0</v>
      </c>
      <c r="FQ52" s="675">
        <v>0</v>
      </c>
      <c r="FR52" s="675">
        <v>0</v>
      </c>
      <c r="FS52" s="675">
        <v>0</v>
      </c>
      <c r="FT52" s="675">
        <v>0</v>
      </c>
      <c r="FU52" s="675">
        <v>0</v>
      </c>
      <c r="FV52" s="675">
        <v>0</v>
      </c>
      <c r="FW52" s="675">
        <v>0</v>
      </c>
      <c r="FX52" s="675">
        <v>0</v>
      </c>
      <c r="FY52" s="675">
        <v>0</v>
      </c>
      <c r="FZ52" s="675">
        <v>0</v>
      </c>
      <c r="GA52" s="675">
        <v>0</v>
      </c>
      <c r="GB52" s="675">
        <v>0</v>
      </c>
      <c r="GC52" s="675">
        <v>0</v>
      </c>
      <c r="GD52" s="675">
        <v>0</v>
      </c>
      <c r="GE52" s="675">
        <v>0</v>
      </c>
      <c r="GF52" s="675">
        <v>0</v>
      </c>
      <c r="GG52" s="675">
        <v>0</v>
      </c>
      <c r="GH52" s="675">
        <v>0</v>
      </c>
      <c r="GI52" s="675">
        <v>0</v>
      </c>
      <c r="GJ52" s="675">
        <v>0</v>
      </c>
      <c r="GK52" s="675">
        <v>5231</v>
      </c>
      <c r="GL52" s="675">
        <v>9041</v>
      </c>
      <c r="GM52" s="675">
        <v>0</v>
      </c>
      <c r="GN52" s="675">
        <v>0</v>
      </c>
      <c r="GO52" s="675">
        <v>0</v>
      </c>
      <c r="GP52" s="675">
        <v>5664939</v>
      </c>
      <c r="GQ52" s="675">
        <v>5664939</v>
      </c>
      <c r="GR52" s="675">
        <v>0</v>
      </c>
      <c r="GS52" s="675">
        <v>0</v>
      </c>
      <c r="GT52" s="675">
        <v>0</v>
      </c>
      <c r="GU52" s="675">
        <v>0</v>
      </c>
      <c r="GV52" s="675">
        <v>0</v>
      </c>
      <c r="GW52" s="675">
        <v>0</v>
      </c>
      <c r="GX52" s="675">
        <v>0</v>
      </c>
      <c r="GY52" s="675">
        <v>0</v>
      </c>
      <c r="GZ52" s="675">
        <v>0</v>
      </c>
      <c r="HA52" s="675">
        <v>0</v>
      </c>
      <c r="HB52" s="675">
        <v>260786259</v>
      </c>
      <c r="HC52" s="675">
        <v>5.0923999999999997E-2</v>
      </c>
      <c r="HD52" s="675">
        <v>110976</v>
      </c>
      <c r="HE52" s="675">
        <v>0</v>
      </c>
      <c r="HF52" s="675">
        <v>0</v>
      </c>
      <c r="HG52" s="675">
        <v>0</v>
      </c>
      <c r="HH52" s="675">
        <v>0</v>
      </c>
      <c r="HI52" s="675">
        <v>0</v>
      </c>
      <c r="HJ52" s="675">
        <v>0</v>
      </c>
      <c r="HK52" s="675">
        <v>0</v>
      </c>
      <c r="HL52" s="675">
        <v>0</v>
      </c>
      <c r="HM52" s="675">
        <v>0</v>
      </c>
      <c r="HN52" s="675">
        <v>0</v>
      </c>
      <c r="HO52" s="675">
        <v>0</v>
      </c>
      <c r="HP52" s="675">
        <v>0</v>
      </c>
      <c r="HQ52" s="675">
        <v>0</v>
      </c>
      <c r="HR52" s="675">
        <v>0</v>
      </c>
      <c r="HS52" s="675">
        <v>0</v>
      </c>
      <c r="HT52" s="675">
        <v>0</v>
      </c>
      <c r="HU52" s="675">
        <v>0</v>
      </c>
      <c r="HV52" s="675">
        <v>0</v>
      </c>
      <c r="HW52" s="675">
        <v>0</v>
      </c>
      <c r="HX52" s="675">
        <v>0</v>
      </c>
      <c r="HY52" s="675">
        <v>0</v>
      </c>
      <c r="HZ52" s="675">
        <v>0</v>
      </c>
      <c r="IA52" s="675">
        <v>0</v>
      </c>
      <c r="IB52" s="675">
        <v>0</v>
      </c>
      <c r="IC52" s="675">
        <v>0</v>
      </c>
      <c r="ID52" s="675">
        <v>0</v>
      </c>
      <c r="IE52" s="675">
        <v>0</v>
      </c>
      <c r="IF52" s="675">
        <v>0</v>
      </c>
      <c r="IG52" s="675">
        <v>0</v>
      </c>
      <c r="IH52" s="675">
        <v>0</v>
      </c>
      <c r="II52" s="675">
        <v>0</v>
      </c>
      <c r="IJ52" s="675">
        <v>0</v>
      </c>
      <c r="IK52" s="675">
        <v>0</v>
      </c>
      <c r="IL52" s="675">
        <v>0</v>
      </c>
      <c r="IM52" s="675">
        <v>0</v>
      </c>
      <c r="IN52" s="675">
        <v>0</v>
      </c>
      <c r="IO52" s="675">
        <v>0</v>
      </c>
      <c r="IP52" s="675">
        <v>0</v>
      </c>
      <c r="IQ52" s="675">
        <v>0</v>
      </c>
      <c r="IR52" s="675">
        <v>0</v>
      </c>
      <c r="IS52" s="675">
        <v>0</v>
      </c>
      <c r="IT52" s="675">
        <v>0</v>
      </c>
      <c r="IU52" s="675">
        <v>0</v>
      </c>
      <c r="IV52" s="675">
        <v>0</v>
      </c>
      <c r="IW52" s="675">
        <v>0</v>
      </c>
      <c r="IX52" s="675">
        <v>0</v>
      </c>
      <c r="IY52" s="675">
        <v>0</v>
      </c>
      <c r="IZ52" s="675">
        <v>0</v>
      </c>
      <c r="JA52" s="675">
        <v>0</v>
      </c>
      <c r="JB52" s="675">
        <v>0</v>
      </c>
      <c r="JC52" s="675">
        <v>0</v>
      </c>
      <c r="JD52" s="675">
        <v>0</v>
      </c>
      <c r="JE52" s="675">
        <v>0</v>
      </c>
      <c r="JF52" s="675">
        <v>0</v>
      </c>
      <c r="JG52" s="675">
        <v>0</v>
      </c>
      <c r="JH52" s="675">
        <v>0</v>
      </c>
      <c r="JI52" s="675">
        <v>0</v>
      </c>
      <c r="JJ52" s="675">
        <v>0</v>
      </c>
      <c r="JK52" s="675">
        <v>0</v>
      </c>
      <c r="JL52" s="675">
        <v>0</v>
      </c>
      <c r="JM52" s="675">
        <v>0</v>
      </c>
      <c r="JN52" s="675">
        <v>32469</v>
      </c>
      <c r="JO52" s="675">
        <v>0</v>
      </c>
      <c r="JP52" s="675">
        <v>0</v>
      </c>
      <c r="JQ52" s="675">
        <v>0</v>
      </c>
      <c r="JR52" s="675">
        <v>0</v>
      </c>
      <c r="JS52" s="675">
        <v>0</v>
      </c>
      <c r="JT52" s="675">
        <v>0</v>
      </c>
      <c r="JU52" s="675">
        <v>0</v>
      </c>
      <c r="JV52" s="675">
        <v>0</v>
      </c>
      <c r="JW52" s="675">
        <v>0</v>
      </c>
      <c r="JX52" s="675">
        <v>0</v>
      </c>
      <c r="JY52" s="675">
        <v>0</v>
      </c>
      <c r="JZ52" s="675">
        <v>0</v>
      </c>
      <c r="KA52" s="675">
        <v>0</v>
      </c>
      <c r="KB52" s="675">
        <v>0</v>
      </c>
      <c r="KC52" s="675">
        <v>0</v>
      </c>
      <c r="KD52" s="675">
        <v>0</v>
      </c>
      <c r="KE52" s="675">
        <v>0</v>
      </c>
      <c r="KF52" s="675">
        <v>0</v>
      </c>
    </row>
    <row r="53" spans="1:292" x14ac:dyDescent="0.25">
      <c r="A53" s="675">
        <v>57828</v>
      </c>
      <c r="B53" s="675">
        <v>32570</v>
      </c>
      <c r="C53" s="675">
        <v>35</v>
      </c>
      <c r="D53" s="675">
        <v>2022</v>
      </c>
      <c r="E53" s="675">
        <v>5392</v>
      </c>
      <c r="F53" s="675">
        <v>0</v>
      </c>
      <c r="G53" s="675">
        <v>1003.7710000000001</v>
      </c>
      <c r="H53" s="675">
        <v>903.06299999999999</v>
      </c>
      <c r="I53" s="675">
        <v>903.06299999999999</v>
      </c>
      <c r="J53" s="675">
        <v>1003.7710000000001</v>
      </c>
      <c r="K53" s="675">
        <v>0</v>
      </c>
      <c r="L53" s="675">
        <v>6554</v>
      </c>
      <c r="M53" s="675">
        <v>0</v>
      </c>
      <c r="N53" s="675">
        <v>0</v>
      </c>
      <c r="O53" s="675">
        <v>0</v>
      </c>
      <c r="P53" s="675">
        <v>966.69800000000009</v>
      </c>
      <c r="Q53" s="675">
        <v>0</v>
      </c>
      <c r="R53" s="675">
        <v>309066</v>
      </c>
      <c r="S53" s="675">
        <v>319.71300000000002</v>
      </c>
      <c r="T53" s="675">
        <v>0</v>
      </c>
      <c r="U53" s="675">
        <v>309066</v>
      </c>
      <c r="V53" s="675">
        <v>154.196</v>
      </c>
      <c r="W53" s="675">
        <v>101060</v>
      </c>
      <c r="X53" s="675">
        <v>101060</v>
      </c>
      <c r="Y53" s="675">
        <v>0</v>
      </c>
      <c r="Z53" s="675">
        <v>0</v>
      </c>
      <c r="AA53" s="675">
        <v>1</v>
      </c>
      <c r="AB53" s="675">
        <v>1</v>
      </c>
      <c r="AC53" s="675">
        <v>0</v>
      </c>
      <c r="AD53" s="675" t="s">
        <v>316</v>
      </c>
      <c r="AE53" s="675">
        <v>0</v>
      </c>
      <c r="AF53" s="675">
        <v>0</v>
      </c>
      <c r="AG53" s="675">
        <v>0</v>
      </c>
      <c r="AH53" s="675">
        <v>0</v>
      </c>
      <c r="AI53" s="675">
        <v>0</v>
      </c>
      <c r="AJ53" s="675">
        <v>5104</v>
      </c>
      <c r="AK53" s="675" t="s">
        <v>671</v>
      </c>
      <c r="AL53" s="675" t="s">
        <v>84</v>
      </c>
      <c r="AM53" s="675">
        <v>0</v>
      </c>
      <c r="AN53" s="675">
        <v>0</v>
      </c>
      <c r="AO53" s="675">
        <v>0</v>
      </c>
      <c r="AP53" s="675">
        <v>0</v>
      </c>
      <c r="AQ53" s="675">
        <v>0</v>
      </c>
      <c r="AR53" s="675">
        <v>0</v>
      </c>
      <c r="AS53" s="675">
        <v>0</v>
      </c>
      <c r="AT53" s="675">
        <v>0</v>
      </c>
      <c r="AU53" s="675">
        <v>0</v>
      </c>
      <c r="AV53" s="675">
        <v>115549</v>
      </c>
      <c r="AW53" s="675">
        <v>10406496</v>
      </c>
      <c r="AX53" s="675">
        <v>9932646</v>
      </c>
      <c r="AY53" s="675">
        <v>10697617</v>
      </c>
      <c r="AZ53" s="675">
        <v>585095</v>
      </c>
      <c r="BA53" s="675">
        <v>0</v>
      </c>
      <c r="BB53" s="675">
        <v>0</v>
      </c>
      <c r="BC53" s="675">
        <v>0</v>
      </c>
      <c r="BD53" s="675">
        <v>0</v>
      </c>
      <c r="BE53" s="675">
        <v>0</v>
      </c>
      <c r="BF53" s="675">
        <v>8408535</v>
      </c>
      <c r="BG53" s="675">
        <v>0</v>
      </c>
      <c r="BH53" s="675">
        <v>1003.7430000000001</v>
      </c>
      <c r="BI53" s="675">
        <v>276029</v>
      </c>
      <c r="BJ53" s="675">
        <v>12</v>
      </c>
      <c r="BK53" s="675">
        <v>0</v>
      </c>
      <c r="BL53" s="675">
        <v>0</v>
      </c>
      <c r="BM53" s="675">
        <v>0</v>
      </c>
      <c r="BN53" s="675">
        <v>0</v>
      </c>
      <c r="BO53" s="675">
        <v>0</v>
      </c>
      <c r="BP53" s="675">
        <v>0</v>
      </c>
      <c r="BQ53" s="675">
        <v>5392</v>
      </c>
      <c r="BR53" s="675">
        <v>1</v>
      </c>
      <c r="BS53" s="675">
        <v>0</v>
      </c>
      <c r="BT53" s="675">
        <v>0</v>
      </c>
      <c r="BU53" s="675">
        <v>0</v>
      </c>
      <c r="BV53" s="675">
        <v>0</v>
      </c>
      <c r="BW53" s="675">
        <v>0</v>
      </c>
      <c r="BX53" s="675">
        <v>0</v>
      </c>
      <c r="BY53" s="675">
        <v>0</v>
      </c>
      <c r="BZ53" s="675">
        <v>0</v>
      </c>
      <c r="CA53" s="675">
        <v>0</v>
      </c>
      <c r="CB53" s="675">
        <v>0</v>
      </c>
      <c r="CC53" s="675">
        <v>0</v>
      </c>
      <c r="CD53" s="675">
        <v>0</v>
      </c>
      <c r="CE53" s="675">
        <v>0</v>
      </c>
      <c r="CF53" s="675">
        <v>0</v>
      </c>
      <c r="CG53" s="675">
        <v>0</v>
      </c>
      <c r="CH53" s="675">
        <v>197821</v>
      </c>
      <c r="CI53" s="675">
        <v>0</v>
      </c>
      <c r="CJ53" s="675">
        <v>4</v>
      </c>
      <c r="CK53" s="675">
        <v>0</v>
      </c>
      <c r="CL53" s="675">
        <v>0</v>
      </c>
      <c r="CM53" s="675">
        <v>0</v>
      </c>
      <c r="CN53" s="675">
        <v>0</v>
      </c>
      <c r="CO53" s="675">
        <v>0</v>
      </c>
      <c r="CP53" s="675">
        <v>2.8640000000000003</v>
      </c>
      <c r="CQ53" s="675">
        <v>0</v>
      </c>
      <c r="CR53" s="675">
        <v>966.69800000000009</v>
      </c>
      <c r="CS53" s="675">
        <v>0</v>
      </c>
      <c r="CT53" s="675">
        <v>0</v>
      </c>
      <c r="CU53" s="675">
        <v>0</v>
      </c>
      <c r="CV53" s="675">
        <v>0</v>
      </c>
      <c r="CW53" s="675">
        <v>0</v>
      </c>
      <c r="CX53" s="675">
        <v>0</v>
      </c>
      <c r="CY53" s="675">
        <v>0</v>
      </c>
      <c r="CZ53" s="675">
        <v>0</v>
      </c>
      <c r="DA53" s="675">
        <v>1</v>
      </c>
      <c r="DB53" s="675">
        <v>5918675</v>
      </c>
      <c r="DC53" s="675">
        <v>0</v>
      </c>
      <c r="DD53" s="675">
        <v>0</v>
      </c>
      <c r="DE53" s="675">
        <v>1004728</v>
      </c>
      <c r="DF53" s="675">
        <v>1049965</v>
      </c>
      <c r="DG53" s="675">
        <v>766.5</v>
      </c>
      <c r="DH53" s="675">
        <v>0</v>
      </c>
      <c r="DI53" s="675">
        <v>45237</v>
      </c>
      <c r="DJ53" s="675">
        <v>0</v>
      </c>
      <c r="DK53" s="675">
        <v>5392</v>
      </c>
      <c r="DL53" s="675">
        <v>0</v>
      </c>
      <c r="DM53" s="675">
        <v>966184</v>
      </c>
      <c r="DN53" s="675">
        <v>0</v>
      </c>
      <c r="DO53" s="675">
        <v>0</v>
      </c>
      <c r="DP53" s="675">
        <v>0</v>
      </c>
      <c r="DQ53" s="675">
        <v>0</v>
      </c>
      <c r="DR53" s="675">
        <v>0</v>
      </c>
      <c r="DS53" s="675">
        <v>0</v>
      </c>
      <c r="DT53" s="675">
        <v>0</v>
      </c>
      <c r="DU53" s="675">
        <v>0</v>
      </c>
      <c r="DV53" s="675">
        <v>0</v>
      </c>
      <c r="DW53" s="675">
        <v>0</v>
      </c>
      <c r="DX53" s="675">
        <v>0</v>
      </c>
      <c r="DY53" s="675">
        <v>0</v>
      </c>
      <c r="DZ53" s="675">
        <v>0</v>
      </c>
      <c r="EA53" s="675">
        <v>0</v>
      </c>
      <c r="EB53" s="675">
        <v>0</v>
      </c>
      <c r="EC53" s="675">
        <v>44.459000000000003</v>
      </c>
      <c r="ED53" s="675">
        <v>320523</v>
      </c>
      <c r="EE53" s="675">
        <v>0</v>
      </c>
      <c r="EF53" s="675">
        <v>0</v>
      </c>
      <c r="EG53" s="675">
        <v>0</v>
      </c>
      <c r="EH53" s="675">
        <v>645661</v>
      </c>
      <c r="EI53" s="675">
        <v>0</v>
      </c>
      <c r="EJ53" s="675">
        <v>0</v>
      </c>
      <c r="EK53" s="675">
        <v>32.003</v>
      </c>
      <c r="EL53" s="675">
        <v>0</v>
      </c>
      <c r="EM53" s="675">
        <v>0</v>
      </c>
      <c r="EN53" s="675">
        <v>0.501</v>
      </c>
      <c r="EO53" s="675">
        <v>0</v>
      </c>
      <c r="EP53" s="675">
        <v>0</v>
      </c>
      <c r="EQ53" s="675">
        <v>32.504000000000005</v>
      </c>
      <c r="ER53" s="675">
        <v>0</v>
      </c>
      <c r="ES53" s="675">
        <v>98.51400000000001</v>
      </c>
      <c r="ET53" s="675">
        <v>0</v>
      </c>
      <c r="EU53" s="675">
        <v>585095</v>
      </c>
      <c r="EV53" s="675">
        <v>0</v>
      </c>
      <c r="EW53" s="675">
        <v>0</v>
      </c>
      <c r="EX53" s="675">
        <v>0</v>
      </c>
      <c r="EY53" s="675">
        <v>0</v>
      </c>
      <c r="EZ53" s="675">
        <v>8364038</v>
      </c>
      <c r="FA53" s="675">
        <v>0</v>
      </c>
      <c r="FB53" s="675">
        <v>8949133</v>
      </c>
      <c r="FC53" s="675">
        <v>0.97327799999999998</v>
      </c>
      <c r="FD53" s="675">
        <v>0</v>
      </c>
      <c r="FE53" s="675">
        <v>1280132</v>
      </c>
      <c r="FF53" s="675">
        <v>288476</v>
      </c>
      <c r="FG53" s="675">
        <v>6.1239999999999996E-2</v>
      </c>
      <c r="FH53" s="675">
        <v>5.4803999999999999E-2</v>
      </c>
      <c r="FI53" s="675">
        <v>0</v>
      </c>
      <c r="FJ53" s="675">
        <v>0</v>
      </c>
      <c r="FK53" s="675">
        <v>1647.4970000000001</v>
      </c>
      <c r="FL53" s="675">
        <v>10715562</v>
      </c>
      <c r="FM53" s="675">
        <v>0</v>
      </c>
      <c r="FN53" s="675">
        <v>0</v>
      </c>
      <c r="FO53" s="675">
        <v>33703</v>
      </c>
      <c r="FP53" s="675">
        <v>0</v>
      </c>
      <c r="FQ53" s="675">
        <v>33703</v>
      </c>
      <c r="FR53" s="675">
        <v>33703</v>
      </c>
      <c r="FS53" s="675">
        <v>0</v>
      </c>
      <c r="FT53" s="675">
        <v>0</v>
      </c>
      <c r="FU53" s="675">
        <v>0</v>
      </c>
      <c r="FV53" s="675">
        <v>0</v>
      </c>
      <c r="FW53" s="675">
        <v>0</v>
      </c>
      <c r="FX53" s="675">
        <v>0</v>
      </c>
      <c r="FY53" s="675">
        <v>0</v>
      </c>
      <c r="FZ53" s="675">
        <v>55</v>
      </c>
      <c r="GA53" s="675">
        <v>1.099</v>
      </c>
      <c r="GB53" s="675">
        <v>603517</v>
      </c>
      <c r="GC53" s="675">
        <v>603517</v>
      </c>
      <c r="GD53" s="675">
        <v>68.204000000000008</v>
      </c>
      <c r="GE53" s="675">
        <v>0</v>
      </c>
      <c r="GF53" s="675">
        <v>0</v>
      </c>
      <c r="GG53" s="675">
        <v>0</v>
      </c>
      <c r="GH53" s="675">
        <v>0</v>
      </c>
      <c r="GI53" s="675">
        <v>0</v>
      </c>
      <c r="GJ53" s="675">
        <v>0</v>
      </c>
      <c r="GK53" s="675">
        <v>5252</v>
      </c>
      <c r="GL53" s="675">
        <v>52841</v>
      </c>
      <c r="GM53" s="675">
        <v>0</v>
      </c>
      <c r="GN53" s="675">
        <v>0</v>
      </c>
      <c r="GO53" s="675">
        <v>0</v>
      </c>
      <c r="GP53" s="675">
        <v>10517741</v>
      </c>
      <c r="GQ53" s="675">
        <v>10517741</v>
      </c>
      <c r="GR53" s="675">
        <v>0</v>
      </c>
      <c r="GS53" s="675">
        <v>0</v>
      </c>
      <c r="GT53" s="675">
        <v>0</v>
      </c>
      <c r="GU53" s="675">
        <v>0</v>
      </c>
      <c r="GV53" s="675">
        <v>0</v>
      </c>
      <c r="GW53" s="675">
        <v>0</v>
      </c>
      <c r="GX53" s="675">
        <v>0</v>
      </c>
      <c r="GY53" s="675">
        <v>0</v>
      </c>
      <c r="GZ53" s="675">
        <v>0</v>
      </c>
      <c r="HA53" s="675">
        <v>0</v>
      </c>
      <c r="HB53" s="675">
        <v>260786259</v>
      </c>
      <c r="HC53" s="675">
        <v>5.0923999999999997E-2</v>
      </c>
      <c r="HD53" s="675">
        <v>197821</v>
      </c>
      <c r="HE53" s="675">
        <v>0</v>
      </c>
      <c r="HF53" s="675">
        <v>0</v>
      </c>
      <c r="HG53" s="675">
        <v>0</v>
      </c>
      <c r="HH53" s="675">
        <v>0</v>
      </c>
      <c r="HI53" s="675">
        <v>0</v>
      </c>
      <c r="HJ53" s="675">
        <v>0</v>
      </c>
      <c r="HK53" s="675">
        <v>0</v>
      </c>
      <c r="HL53" s="675">
        <v>0</v>
      </c>
      <c r="HM53" s="675">
        <v>0</v>
      </c>
      <c r="HN53" s="675">
        <v>0</v>
      </c>
      <c r="HO53" s="675">
        <v>0</v>
      </c>
      <c r="HP53" s="675">
        <v>0</v>
      </c>
      <c r="HQ53" s="675">
        <v>0</v>
      </c>
      <c r="HR53" s="675">
        <v>0</v>
      </c>
      <c r="HS53" s="675">
        <v>0</v>
      </c>
      <c r="HT53" s="675">
        <v>0</v>
      </c>
      <c r="HU53" s="675">
        <v>0</v>
      </c>
      <c r="HV53" s="675">
        <v>0</v>
      </c>
      <c r="HW53" s="675">
        <v>0</v>
      </c>
      <c r="HX53" s="675">
        <v>0</v>
      </c>
      <c r="HY53" s="675">
        <v>0</v>
      </c>
      <c r="HZ53" s="675">
        <v>0</v>
      </c>
      <c r="IA53" s="675">
        <v>0</v>
      </c>
      <c r="IB53" s="675">
        <v>0</v>
      </c>
      <c r="IC53" s="675">
        <v>0</v>
      </c>
      <c r="ID53" s="675">
        <v>0</v>
      </c>
      <c r="IE53" s="675">
        <v>0</v>
      </c>
      <c r="IF53" s="675">
        <v>0</v>
      </c>
      <c r="IG53" s="675">
        <v>0</v>
      </c>
      <c r="IH53" s="675">
        <v>0</v>
      </c>
      <c r="II53" s="675">
        <v>0</v>
      </c>
      <c r="IJ53" s="675">
        <v>0</v>
      </c>
      <c r="IK53" s="675">
        <v>0</v>
      </c>
      <c r="IL53" s="675">
        <v>0</v>
      </c>
      <c r="IM53" s="675">
        <v>0</v>
      </c>
      <c r="IN53" s="675">
        <v>0</v>
      </c>
      <c r="IO53" s="675">
        <v>0</v>
      </c>
      <c r="IP53" s="675">
        <v>0</v>
      </c>
      <c r="IQ53" s="675">
        <v>0</v>
      </c>
      <c r="IR53" s="675">
        <v>0</v>
      </c>
      <c r="IS53" s="675">
        <v>0</v>
      </c>
      <c r="IT53" s="675">
        <v>0</v>
      </c>
      <c r="IU53" s="675">
        <v>0</v>
      </c>
      <c r="IV53" s="675">
        <v>0</v>
      </c>
      <c r="IW53" s="675">
        <v>0</v>
      </c>
      <c r="IX53" s="675">
        <v>0</v>
      </c>
      <c r="IY53" s="675">
        <v>0</v>
      </c>
      <c r="IZ53" s="675">
        <v>0</v>
      </c>
      <c r="JA53" s="675">
        <v>0</v>
      </c>
      <c r="JB53" s="675">
        <v>0</v>
      </c>
      <c r="JC53" s="675">
        <v>0</v>
      </c>
      <c r="JD53" s="675">
        <v>0</v>
      </c>
      <c r="JE53" s="675">
        <v>0</v>
      </c>
      <c r="JF53" s="675">
        <v>0</v>
      </c>
      <c r="JG53" s="675">
        <v>0</v>
      </c>
      <c r="JH53" s="675">
        <v>0</v>
      </c>
      <c r="JI53" s="675">
        <v>0</v>
      </c>
      <c r="JJ53" s="675">
        <v>0</v>
      </c>
      <c r="JK53" s="675">
        <v>0</v>
      </c>
      <c r="JL53" s="675">
        <v>0</v>
      </c>
      <c r="JM53" s="675">
        <v>0</v>
      </c>
      <c r="JN53" s="675">
        <v>32469</v>
      </c>
      <c r="JO53" s="675">
        <v>0</v>
      </c>
      <c r="JP53" s="675">
        <v>0</v>
      </c>
      <c r="JQ53" s="675">
        <v>0</v>
      </c>
      <c r="JR53" s="675">
        <v>0</v>
      </c>
      <c r="JS53" s="675">
        <v>0</v>
      </c>
      <c r="JT53" s="675">
        <v>0</v>
      </c>
      <c r="JU53" s="675">
        <v>0</v>
      </c>
      <c r="JV53" s="675">
        <v>0</v>
      </c>
      <c r="JW53" s="675">
        <v>0</v>
      </c>
      <c r="JX53" s="675">
        <v>0</v>
      </c>
      <c r="JY53" s="675">
        <v>0</v>
      </c>
      <c r="JZ53" s="675">
        <v>0</v>
      </c>
      <c r="KA53" s="675">
        <v>0</v>
      </c>
      <c r="KB53" s="675">
        <v>0</v>
      </c>
      <c r="KC53" s="675">
        <v>0</v>
      </c>
      <c r="KD53" s="675">
        <v>0</v>
      </c>
      <c r="KE53" s="675">
        <v>0</v>
      </c>
      <c r="KF53" s="675">
        <v>0</v>
      </c>
    </row>
    <row r="54" spans="1:292" x14ac:dyDescent="0.25">
      <c r="A54" s="675">
        <v>57829</v>
      </c>
      <c r="B54" s="675">
        <v>32570</v>
      </c>
      <c r="C54" s="675">
        <v>35</v>
      </c>
      <c r="D54" s="675">
        <v>2022</v>
      </c>
      <c r="E54" s="675">
        <v>5392</v>
      </c>
      <c r="F54" s="675">
        <v>0</v>
      </c>
      <c r="G54" s="675">
        <v>1280.048</v>
      </c>
      <c r="H54" s="675">
        <v>1166.4349999999999</v>
      </c>
      <c r="I54" s="675">
        <v>1166.4349999999999</v>
      </c>
      <c r="J54" s="675">
        <v>1280.048</v>
      </c>
      <c r="K54" s="675">
        <v>0</v>
      </c>
      <c r="L54" s="675">
        <v>6554</v>
      </c>
      <c r="M54" s="675">
        <v>0</v>
      </c>
      <c r="N54" s="675">
        <v>0</v>
      </c>
      <c r="O54" s="675">
        <v>0</v>
      </c>
      <c r="P54" s="675">
        <v>1300.1500000000001</v>
      </c>
      <c r="Q54" s="675">
        <v>0</v>
      </c>
      <c r="R54" s="675">
        <v>415675</v>
      </c>
      <c r="S54" s="675">
        <v>319.71300000000002</v>
      </c>
      <c r="T54" s="675">
        <v>0</v>
      </c>
      <c r="U54" s="675">
        <v>415675</v>
      </c>
      <c r="V54" s="675">
        <v>568.18600000000004</v>
      </c>
      <c r="W54" s="675">
        <v>372389</v>
      </c>
      <c r="X54" s="675">
        <v>372389</v>
      </c>
      <c r="Y54" s="675">
        <v>0</v>
      </c>
      <c r="Z54" s="675">
        <v>0</v>
      </c>
      <c r="AA54" s="675">
        <v>1</v>
      </c>
      <c r="AB54" s="675">
        <v>1</v>
      </c>
      <c r="AC54" s="675">
        <v>0</v>
      </c>
      <c r="AD54" s="675" t="s">
        <v>316</v>
      </c>
      <c r="AE54" s="675">
        <v>0</v>
      </c>
      <c r="AF54" s="675">
        <v>0</v>
      </c>
      <c r="AG54" s="675">
        <v>0</v>
      </c>
      <c r="AH54" s="675">
        <v>0</v>
      </c>
      <c r="AI54" s="675">
        <v>0</v>
      </c>
      <c r="AJ54" s="675">
        <v>5104</v>
      </c>
      <c r="AK54" s="675" t="s">
        <v>671</v>
      </c>
      <c r="AL54" s="675" t="s">
        <v>45</v>
      </c>
      <c r="AM54" s="675">
        <v>0</v>
      </c>
      <c r="AN54" s="675">
        <v>0</v>
      </c>
      <c r="AO54" s="675">
        <v>0</v>
      </c>
      <c r="AP54" s="675">
        <v>0</v>
      </c>
      <c r="AQ54" s="675">
        <v>0</v>
      </c>
      <c r="AR54" s="675">
        <v>0</v>
      </c>
      <c r="AS54" s="675">
        <v>0</v>
      </c>
      <c r="AT54" s="675">
        <v>0</v>
      </c>
      <c r="AU54" s="675">
        <v>0</v>
      </c>
      <c r="AV54" s="675">
        <v>383992</v>
      </c>
      <c r="AW54" s="675">
        <v>13298968</v>
      </c>
      <c r="AX54" s="675">
        <v>12899518</v>
      </c>
      <c r="AY54" s="675">
        <v>14172456</v>
      </c>
      <c r="AZ54" s="675">
        <v>519169</v>
      </c>
      <c r="BA54" s="675">
        <v>82.332999999999998</v>
      </c>
      <c r="BB54" s="675">
        <v>39121</v>
      </c>
      <c r="BC54" s="675">
        <v>39121</v>
      </c>
      <c r="BD54" s="675">
        <v>49.742000000000004</v>
      </c>
      <c r="BE54" s="675">
        <v>0</v>
      </c>
      <c r="BF54" s="675">
        <v>10967983</v>
      </c>
      <c r="BG54" s="675">
        <v>0</v>
      </c>
      <c r="BH54" s="675">
        <v>376.34300000000002</v>
      </c>
      <c r="BI54" s="675">
        <v>103494</v>
      </c>
      <c r="BJ54" s="675">
        <v>12</v>
      </c>
      <c r="BK54" s="675">
        <v>0</v>
      </c>
      <c r="BL54" s="675">
        <v>0</v>
      </c>
      <c r="BM54" s="675">
        <v>0</v>
      </c>
      <c r="BN54" s="675">
        <v>0</v>
      </c>
      <c r="BO54" s="675">
        <v>0</v>
      </c>
      <c r="BP54" s="675">
        <v>0</v>
      </c>
      <c r="BQ54" s="675">
        <v>5392</v>
      </c>
      <c r="BR54" s="675">
        <v>1</v>
      </c>
      <c r="BS54" s="675">
        <v>0</v>
      </c>
      <c r="BT54" s="675">
        <v>0</v>
      </c>
      <c r="BU54" s="675">
        <v>0</v>
      </c>
      <c r="BV54" s="675">
        <v>0</v>
      </c>
      <c r="BW54" s="675">
        <v>0</v>
      </c>
      <c r="BX54" s="675">
        <v>0</v>
      </c>
      <c r="BY54" s="675">
        <v>0</v>
      </c>
      <c r="BZ54" s="675">
        <v>0</v>
      </c>
      <c r="CA54" s="675">
        <v>0</v>
      </c>
      <c r="CB54" s="675">
        <v>0</v>
      </c>
      <c r="CC54" s="675">
        <v>0</v>
      </c>
      <c r="CD54" s="675">
        <v>0</v>
      </c>
      <c r="CE54" s="675">
        <v>0</v>
      </c>
      <c r="CF54" s="675">
        <v>0</v>
      </c>
      <c r="CG54" s="675">
        <v>0</v>
      </c>
      <c r="CH54" s="675">
        <v>295956</v>
      </c>
      <c r="CI54" s="675">
        <v>0</v>
      </c>
      <c r="CJ54" s="675">
        <v>5</v>
      </c>
      <c r="CK54" s="675">
        <v>0</v>
      </c>
      <c r="CL54" s="675">
        <v>0</v>
      </c>
      <c r="CM54" s="675">
        <v>0</v>
      </c>
      <c r="CN54" s="675">
        <v>0</v>
      </c>
      <c r="CO54" s="675">
        <v>0</v>
      </c>
      <c r="CP54" s="675">
        <v>0</v>
      </c>
      <c r="CQ54" s="675">
        <v>10.083</v>
      </c>
      <c r="CR54" s="675">
        <v>1300.1500000000001</v>
      </c>
      <c r="CS54" s="675">
        <v>0</v>
      </c>
      <c r="CT54" s="675">
        <v>0</v>
      </c>
      <c r="CU54" s="675">
        <v>0</v>
      </c>
      <c r="CV54" s="675">
        <v>0</v>
      </c>
      <c r="CW54" s="675">
        <v>0</v>
      </c>
      <c r="CX54" s="675">
        <v>0</v>
      </c>
      <c r="CY54" s="675">
        <v>0</v>
      </c>
      <c r="CZ54" s="675">
        <v>0</v>
      </c>
      <c r="DA54" s="675">
        <v>1</v>
      </c>
      <c r="DB54" s="675">
        <v>7644815</v>
      </c>
      <c r="DC54" s="675">
        <v>0</v>
      </c>
      <c r="DD54" s="675">
        <v>0</v>
      </c>
      <c r="DE54" s="675">
        <v>1497366</v>
      </c>
      <c r="DF54" s="675">
        <v>1497366</v>
      </c>
      <c r="DG54" s="675">
        <v>1142.33</v>
      </c>
      <c r="DH54" s="675">
        <v>0</v>
      </c>
      <c r="DI54" s="675">
        <v>0</v>
      </c>
      <c r="DJ54" s="675">
        <v>0</v>
      </c>
      <c r="DK54" s="675">
        <v>5392</v>
      </c>
      <c r="DL54" s="675">
        <v>0</v>
      </c>
      <c r="DM54" s="675">
        <v>1002860</v>
      </c>
      <c r="DN54" s="675">
        <v>0</v>
      </c>
      <c r="DO54" s="675">
        <v>914</v>
      </c>
      <c r="DP54" s="675">
        <v>0</v>
      </c>
      <c r="DQ54" s="675">
        <v>0</v>
      </c>
      <c r="DR54" s="675">
        <v>0</v>
      </c>
      <c r="DS54" s="675">
        <v>0</v>
      </c>
      <c r="DT54" s="675">
        <v>0</v>
      </c>
      <c r="DU54" s="675">
        <v>0</v>
      </c>
      <c r="DV54" s="675">
        <v>6.2E-2</v>
      </c>
      <c r="DW54" s="675">
        <v>0</v>
      </c>
      <c r="DX54" s="675">
        <v>0</v>
      </c>
      <c r="DY54" s="675">
        <v>0</v>
      </c>
      <c r="DZ54" s="675">
        <v>0.186</v>
      </c>
      <c r="EA54" s="675">
        <v>0</v>
      </c>
      <c r="EB54" s="675">
        <v>0</v>
      </c>
      <c r="EC54" s="675">
        <v>43.865000000000002</v>
      </c>
      <c r="ED54" s="675">
        <v>316240</v>
      </c>
      <c r="EE54" s="675">
        <v>0</v>
      </c>
      <c r="EF54" s="675">
        <v>0</v>
      </c>
      <c r="EG54" s="675">
        <v>0</v>
      </c>
      <c r="EH54" s="675">
        <v>685706</v>
      </c>
      <c r="EI54" s="675">
        <v>0</v>
      </c>
      <c r="EJ54" s="675">
        <v>0</v>
      </c>
      <c r="EK54" s="675">
        <v>21.488</v>
      </c>
      <c r="EL54" s="675">
        <v>0</v>
      </c>
      <c r="EM54" s="675">
        <v>8.9649999999999999</v>
      </c>
      <c r="EN54" s="675">
        <v>2.653</v>
      </c>
      <c r="EO54" s="675">
        <v>0</v>
      </c>
      <c r="EP54" s="675">
        <v>0</v>
      </c>
      <c r="EQ54" s="675">
        <v>33.106000000000002</v>
      </c>
      <c r="ER54" s="675">
        <v>0</v>
      </c>
      <c r="ES54" s="675">
        <v>104.62400000000001</v>
      </c>
      <c r="ET54" s="675">
        <v>43687</v>
      </c>
      <c r="EU54" s="675">
        <v>519169</v>
      </c>
      <c r="EV54" s="675">
        <v>0</v>
      </c>
      <c r="EW54" s="675">
        <v>0</v>
      </c>
      <c r="EX54" s="675">
        <v>0</v>
      </c>
      <c r="EY54" s="675">
        <v>0</v>
      </c>
      <c r="EZ54" s="675">
        <v>10853447</v>
      </c>
      <c r="FA54" s="675">
        <v>0</v>
      </c>
      <c r="FB54" s="675">
        <v>11372616</v>
      </c>
      <c r="FC54" s="675">
        <v>0.97327799999999998</v>
      </c>
      <c r="FD54" s="675">
        <v>0</v>
      </c>
      <c r="FE54" s="675">
        <v>1669787</v>
      </c>
      <c r="FF54" s="675">
        <v>376284</v>
      </c>
      <c r="FG54" s="675">
        <v>6.1239999999999996E-2</v>
      </c>
      <c r="FH54" s="675">
        <v>5.4803999999999999E-2</v>
      </c>
      <c r="FI54" s="675">
        <v>0</v>
      </c>
      <c r="FJ54" s="675">
        <v>0</v>
      </c>
      <c r="FK54" s="675">
        <v>2148.973</v>
      </c>
      <c r="FL54" s="675">
        <v>13714643</v>
      </c>
      <c r="FM54" s="675">
        <v>0</v>
      </c>
      <c r="FN54" s="675">
        <v>0</v>
      </c>
      <c r="FO54" s="675">
        <v>0</v>
      </c>
      <c r="FP54" s="675">
        <v>0</v>
      </c>
      <c r="FQ54" s="675">
        <v>0</v>
      </c>
      <c r="FR54" s="675">
        <v>0</v>
      </c>
      <c r="FS54" s="675">
        <v>0</v>
      </c>
      <c r="FT54" s="675">
        <v>0</v>
      </c>
      <c r="FU54" s="675">
        <v>0</v>
      </c>
      <c r="FV54" s="675">
        <v>0</v>
      </c>
      <c r="FW54" s="675">
        <v>0</v>
      </c>
      <c r="FX54" s="675">
        <v>0</v>
      </c>
      <c r="FY54" s="675">
        <v>0</v>
      </c>
      <c r="FZ54" s="675">
        <v>253</v>
      </c>
      <c r="GA54" s="675">
        <v>5.0579999999999998</v>
      </c>
      <c r="GB54" s="675">
        <v>712571</v>
      </c>
      <c r="GC54" s="675">
        <v>712571</v>
      </c>
      <c r="GD54" s="675">
        <v>80.507000000000005</v>
      </c>
      <c r="GE54" s="675">
        <v>0</v>
      </c>
      <c r="GF54" s="675">
        <v>0</v>
      </c>
      <c r="GG54" s="675">
        <v>0</v>
      </c>
      <c r="GH54" s="675">
        <v>0</v>
      </c>
      <c r="GI54" s="675">
        <v>0</v>
      </c>
      <c r="GJ54" s="675">
        <v>0</v>
      </c>
      <c r="GK54" s="675">
        <v>5239</v>
      </c>
      <c r="GL54" s="675">
        <v>31387</v>
      </c>
      <c r="GM54" s="675">
        <v>0</v>
      </c>
      <c r="GN54" s="675">
        <v>0</v>
      </c>
      <c r="GO54" s="675">
        <v>0</v>
      </c>
      <c r="GP54" s="675">
        <v>13418687</v>
      </c>
      <c r="GQ54" s="675">
        <v>13418687</v>
      </c>
      <c r="GR54" s="675">
        <v>0</v>
      </c>
      <c r="GS54" s="675">
        <v>0</v>
      </c>
      <c r="GT54" s="675">
        <v>0</v>
      </c>
      <c r="GU54" s="675">
        <v>0</v>
      </c>
      <c r="GV54" s="675">
        <v>0</v>
      </c>
      <c r="GW54" s="675">
        <v>0</v>
      </c>
      <c r="GX54" s="675">
        <v>0</v>
      </c>
      <c r="GY54" s="675">
        <v>0</v>
      </c>
      <c r="GZ54" s="675">
        <v>0</v>
      </c>
      <c r="HA54" s="675">
        <v>0</v>
      </c>
      <c r="HB54" s="675">
        <v>260786259</v>
      </c>
      <c r="HC54" s="675">
        <v>5.0923999999999997E-2</v>
      </c>
      <c r="HD54" s="675">
        <v>252269</v>
      </c>
      <c r="HE54" s="675">
        <v>0</v>
      </c>
      <c r="HF54" s="675">
        <v>0</v>
      </c>
      <c r="HG54" s="675">
        <v>0</v>
      </c>
      <c r="HH54" s="675">
        <v>0</v>
      </c>
      <c r="HI54" s="675">
        <v>0</v>
      </c>
      <c r="HJ54" s="675">
        <v>0</v>
      </c>
      <c r="HK54" s="675">
        <v>0</v>
      </c>
      <c r="HL54" s="675">
        <v>0</v>
      </c>
      <c r="HM54" s="675">
        <v>0</v>
      </c>
      <c r="HN54" s="675">
        <v>0</v>
      </c>
      <c r="HO54" s="675">
        <v>0</v>
      </c>
      <c r="HP54" s="675">
        <v>0</v>
      </c>
      <c r="HQ54" s="675">
        <v>0</v>
      </c>
      <c r="HR54" s="675">
        <v>0</v>
      </c>
      <c r="HS54" s="675">
        <v>0</v>
      </c>
      <c r="HT54" s="675">
        <v>0</v>
      </c>
      <c r="HU54" s="675">
        <v>0</v>
      </c>
      <c r="HV54" s="675">
        <v>0</v>
      </c>
      <c r="HW54" s="675">
        <v>0</v>
      </c>
      <c r="HX54" s="675">
        <v>0</v>
      </c>
      <c r="HY54" s="675">
        <v>0</v>
      </c>
      <c r="HZ54" s="675">
        <v>0</v>
      </c>
      <c r="IA54" s="675">
        <v>0</v>
      </c>
      <c r="IB54" s="675">
        <v>0</v>
      </c>
      <c r="IC54" s="675">
        <v>0</v>
      </c>
      <c r="ID54" s="675">
        <v>0</v>
      </c>
      <c r="IE54" s="675">
        <v>0</v>
      </c>
      <c r="IF54" s="675">
        <v>0</v>
      </c>
      <c r="IG54" s="675">
        <v>0</v>
      </c>
      <c r="IH54" s="675">
        <v>0</v>
      </c>
      <c r="II54" s="675">
        <v>0</v>
      </c>
      <c r="IJ54" s="675">
        <v>0</v>
      </c>
      <c r="IK54" s="675">
        <v>0</v>
      </c>
      <c r="IL54" s="675">
        <v>0</v>
      </c>
      <c r="IM54" s="675">
        <v>0</v>
      </c>
      <c r="IN54" s="675">
        <v>0</v>
      </c>
      <c r="IO54" s="675">
        <v>0</v>
      </c>
      <c r="IP54" s="675">
        <v>0</v>
      </c>
      <c r="IQ54" s="675">
        <v>0</v>
      </c>
      <c r="IR54" s="675">
        <v>0</v>
      </c>
      <c r="IS54" s="675">
        <v>0</v>
      </c>
      <c r="IT54" s="675">
        <v>0</v>
      </c>
      <c r="IU54" s="675">
        <v>0</v>
      </c>
      <c r="IV54" s="675">
        <v>0</v>
      </c>
      <c r="IW54" s="675">
        <v>0</v>
      </c>
      <c r="IX54" s="675">
        <v>0</v>
      </c>
      <c r="IY54" s="675">
        <v>0</v>
      </c>
      <c r="IZ54" s="675">
        <v>0</v>
      </c>
      <c r="JA54" s="675">
        <v>0</v>
      </c>
      <c r="JB54" s="675">
        <v>0</v>
      </c>
      <c r="JC54" s="675">
        <v>0</v>
      </c>
      <c r="JD54" s="675">
        <v>0</v>
      </c>
      <c r="JE54" s="675">
        <v>0</v>
      </c>
      <c r="JF54" s="675">
        <v>0</v>
      </c>
      <c r="JG54" s="675">
        <v>0</v>
      </c>
      <c r="JH54" s="675">
        <v>0</v>
      </c>
      <c r="JI54" s="675">
        <v>0</v>
      </c>
      <c r="JJ54" s="675">
        <v>0</v>
      </c>
      <c r="JK54" s="675">
        <v>0</v>
      </c>
      <c r="JL54" s="675">
        <v>0</v>
      </c>
      <c r="JM54" s="675">
        <v>0</v>
      </c>
      <c r="JN54" s="675">
        <v>32469</v>
      </c>
      <c r="JO54" s="675">
        <v>0</v>
      </c>
      <c r="JP54" s="675">
        <v>0</v>
      </c>
      <c r="JQ54" s="675">
        <v>0</v>
      </c>
      <c r="JR54" s="675">
        <v>0</v>
      </c>
      <c r="JS54" s="675">
        <v>0</v>
      </c>
      <c r="JT54" s="675">
        <v>0</v>
      </c>
      <c r="JU54" s="675">
        <v>0</v>
      </c>
      <c r="JV54" s="675">
        <v>0</v>
      </c>
      <c r="JW54" s="675">
        <v>0</v>
      </c>
      <c r="JX54" s="675">
        <v>0</v>
      </c>
      <c r="JY54" s="675">
        <v>0</v>
      </c>
      <c r="JZ54" s="675">
        <v>0</v>
      </c>
      <c r="KA54" s="675">
        <v>0</v>
      </c>
      <c r="KB54" s="675">
        <v>0</v>
      </c>
      <c r="KC54" s="675">
        <v>0</v>
      </c>
      <c r="KD54" s="675">
        <v>0</v>
      </c>
      <c r="KE54" s="675">
        <v>0</v>
      </c>
      <c r="KF54" s="675">
        <v>0</v>
      </c>
    </row>
    <row r="55" spans="1:292" x14ac:dyDescent="0.25">
      <c r="A55" s="675">
        <v>57830</v>
      </c>
      <c r="B55" s="675">
        <v>32570</v>
      </c>
      <c r="C55" s="675">
        <v>35</v>
      </c>
      <c r="D55" s="675">
        <v>2022</v>
      </c>
      <c r="E55" s="675">
        <v>5392</v>
      </c>
      <c r="F55" s="675">
        <v>0</v>
      </c>
      <c r="G55" s="675">
        <v>1201.8990000000001</v>
      </c>
      <c r="H55" s="675">
        <v>1128.9480000000001</v>
      </c>
      <c r="I55" s="675">
        <v>1128.9480000000001</v>
      </c>
      <c r="J55" s="675">
        <v>1201.8990000000001</v>
      </c>
      <c r="K55" s="675">
        <v>0</v>
      </c>
      <c r="L55" s="675">
        <v>6554</v>
      </c>
      <c r="M55" s="675">
        <v>0</v>
      </c>
      <c r="N55" s="675">
        <v>0</v>
      </c>
      <c r="O55" s="675">
        <v>0</v>
      </c>
      <c r="P55" s="675">
        <v>1250.9160000000002</v>
      </c>
      <c r="Q55" s="675">
        <v>0</v>
      </c>
      <c r="R55" s="675">
        <v>399934</v>
      </c>
      <c r="S55" s="675">
        <v>319.71300000000002</v>
      </c>
      <c r="T55" s="675">
        <v>0</v>
      </c>
      <c r="U55" s="675">
        <v>399934</v>
      </c>
      <c r="V55" s="675">
        <v>466.89500000000004</v>
      </c>
      <c r="W55" s="675">
        <v>306003</v>
      </c>
      <c r="X55" s="675">
        <v>306003</v>
      </c>
      <c r="Y55" s="675">
        <v>0</v>
      </c>
      <c r="Z55" s="675">
        <v>0</v>
      </c>
      <c r="AA55" s="675">
        <v>1</v>
      </c>
      <c r="AB55" s="675">
        <v>1</v>
      </c>
      <c r="AC55" s="675">
        <v>0</v>
      </c>
      <c r="AD55" s="675" t="s">
        <v>316</v>
      </c>
      <c r="AE55" s="675">
        <v>0</v>
      </c>
      <c r="AF55" s="675">
        <v>0</v>
      </c>
      <c r="AG55" s="675">
        <v>0</v>
      </c>
      <c r="AH55" s="675">
        <v>0</v>
      </c>
      <c r="AI55" s="675">
        <v>0</v>
      </c>
      <c r="AJ55" s="675">
        <v>5104</v>
      </c>
      <c r="AK55" s="675" t="s">
        <v>671</v>
      </c>
      <c r="AL55" s="675" t="s">
        <v>46</v>
      </c>
      <c r="AM55" s="675">
        <v>0</v>
      </c>
      <c r="AN55" s="675">
        <v>0</v>
      </c>
      <c r="AO55" s="675">
        <v>0</v>
      </c>
      <c r="AP55" s="675">
        <v>0</v>
      </c>
      <c r="AQ55" s="675">
        <v>0</v>
      </c>
      <c r="AR55" s="675">
        <v>0</v>
      </c>
      <c r="AS55" s="675">
        <v>0</v>
      </c>
      <c r="AT55" s="675">
        <v>0</v>
      </c>
      <c r="AU55" s="675">
        <v>0</v>
      </c>
      <c r="AV55" s="675">
        <v>424523</v>
      </c>
      <c r="AW55" s="675">
        <v>12459366</v>
      </c>
      <c r="AX55" s="675">
        <v>12084685</v>
      </c>
      <c r="AY55" s="675">
        <v>13138241</v>
      </c>
      <c r="AZ55" s="675">
        <v>492643</v>
      </c>
      <c r="BA55" s="675">
        <v>85.417000000000002</v>
      </c>
      <c r="BB55" s="675">
        <v>32075</v>
      </c>
      <c r="BC55" s="675">
        <v>32075</v>
      </c>
      <c r="BD55" s="675">
        <v>40.783000000000001</v>
      </c>
      <c r="BE55" s="675">
        <v>0</v>
      </c>
      <c r="BF55" s="675">
        <v>10283822</v>
      </c>
      <c r="BG55" s="675">
        <v>0</v>
      </c>
      <c r="BH55" s="675">
        <v>337.12200000000001</v>
      </c>
      <c r="BI55" s="675">
        <v>92709</v>
      </c>
      <c r="BJ55" s="675">
        <v>12</v>
      </c>
      <c r="BK55" s="675">
        <v>0</v>
      </c>
      <c r="BL55" s="675">
        <v>0</v>
      </c>
      <c r="BM55" s="675">
        <v>0</v>
      </c>
      <c r="BN55" s="675">
        <v>0</v>
      </c>
      <c r="BO55" s="675">
        <v>0</v>
      </c>
      <c r="BP55" s="675">
        <v>0</v>
      </c>
      <c r="BQ55" s="675">
        <v>5392</v>
      </c>
      <c r="BR55" s="675">
        <v>1</v>
      </c>
      <c r="BS55" s="675">
        <v>0</v>
      </c>
      <c r="BT55" s="675">
        <v>0</v>
      </c>
      <c r="BU55" s="675">
        <v>0</v>
      </c>
      <c r="BV55" s="675">
        <v>0</v>
      </c>
      <c r="BW55" s="675">
        <v>0</v>
      </c>
      <c r="BX55" s="675">
        <v>0</v>
      </c>
      <c r="BY55" s="675">
        <v>0</v>
      </c>
      <c r="BZ55" s="675">
        <v>0</v>
      </c>
      <c r="CA55" s="675">
        <v>0</v>
      </c>
      <c r="CB55" s="675">
        <v>0</v>
      </c>
      <c r="CC55" s="675">
        <v>0</v>
      </c>
      <c r="CD55" s="675">
        <v>0</v>
      </c>
      <c r="CE55" s="675">
        <v>0</v>
      </c>
      <c r="CF55" s="675">
        <v>0</v>
      </c>
      <c r="CG55" s="675">
        <v>0</v>
      </c>
      <c r="CH55" s="675">
        <v>281972</v>
      </c>
      <c r="CI55" s="675">
        <v>0</v>
      </c>
      <c r="CJ55" s="675">
        <v>4</v>
      </c>
      <c r="CK55" s="675">
        <v>0</v>
      </c>
      <c r="CL55" s="675">
        <v>0</v>
      </c>
      <c r="CM55" s="675">
        <v>0</v>
      </c>
      <c r="CN55" s="675">
        <v>0</v>
      </c>
      <c r="CO55" s="675">
        <v>0</v>
      </c>
      <c r="CP55" s="675">
        <v>0</v>
      </c>
      <c r="CQ55" s="675">
        <v>9.5830000000000002</v>
      </c>
      <c r="CR55" s="675">
        <v>1250.9160000000002</v>
      </c>
      <c r="CS55" s="675">
        <v>0</v>
      </c>
      <c r="CT55" s="675">
        <v>0</v>
      </c>
      <c r="CU55" s="675">
        <v>0</v>
      </c>
      <c r="CV55" s="675">
        <v>0</v>
      </c>
      <c r="CW55" s="675">
        <v>0</v>
      </c>
      <c r="CX55" s="675">
        <v>0</v>
      </c>
      <c r="CY55" s="675">
        <v>0</v>
      </c>
      <c r="CZ55" s="675">
        <v>0</v>
      </c>
      <c r="DA55" s="675">
        <v>1</v>
      </c>
      <c r="DB55" s="675">
        <v>7399125</v>
      </c>
      <c r="DC55" s="675">
        <v>0</v>
      </c>
      <c r="DD55" s="675">
        <v>0</v>
      </c>
      <c r="DE55" s="675">
        <v>1580156</v>
      </c>
      <c r="DF55" s="675">
        <v>1580156</v>
      </c>
      <c r="DG55" s="675">
        <v>1205.49</v>
      </c>
      <c r="DH55" s="675">
        <v>0</v>
      </c>
      <c r="DI55" s="675">
        <v>0</v>
      </c>
      <c r="DJ55" s="675">
        <v>0</v>
      </c>
      <c r="DK55" s="675">
        <v>5392</v>
      </c>
      <c r="DL55" s="675">
        <v>0</v>
      </c>
      <c r="DM55" s="675">
        <v>784630</v>
      </c>
      <c r="DN55" s="675">
        <v>0</v>
      </c>
      <c r="DO55" s="675">
        <v>0</v>
      </c>
      <c r="DP55" s="675">
        <v>0</v>
      </c>
      <c r="DQ55" s="675">
        <v>0</v>
      </c>
      <c r="DR55" s="675">
        <v>0</v>
      </c>
      <c r="DS55" s="675">
        <v>0</v>
      </c>
      <c r="DT55" s="675">
        <v>0</v>
      </c>
      <c r="DU55" s="675">
        <v>0</v>
      </c>
      <c r="DV55" s="675">
        <v>0</v>
      </c>
      <c r="DW55" s="675">
        <v>0</v>
      </c>
      <c r="DX55" s="675">
        <v>0</v>
      </c>
      <c r="DY55" s="675">
        <v>0</v>
      </c>
      <c r="DZ55" s="675">
        <v>0</v>
      </c>
      <c r="EA55" s="675">
        <v>0</v>
      </c>
      <c r="EB55" s="675">
        <v>0</v>
      </c>
      <c r="EC55" s="675">
        <v>49.076000000000001</v>
      </c>
      <c r="ED55" s="675">
        <v>353809</v>
      </c>
      <c r="EE55" s="675">
        <v>0</v>
      </c>
      <c r="EF55" s="675">
        <v>0</v>
      </c>
      <c r="EG55" s="675">
        <v>0</v>
      </c>
      <c r="EH55" s="675">
        <v>430821</v>
      </c>
      <c r="EI55" s="675">
        <v>0</v>
      </c>
      <c r="EJ55" s="675">
        <v>0</v>
      </c>
      <c r="EK55" s="675">
        <v>14.52</v>
      </c>
      <c r="EL55" s="675">
        <v>0.17900000000000002</v>
      </c>
      <c r="EM55" s="675">
        <v>3.8780000000000001</v>
      </c>
      <c r="EN55" s="675">
        <v>2.1080000000000001</v>
      </c>
      <c r="EO55" s="675">
        <v>0</v>
      </c>
      <c r="EP55" s="675">
        <v>0</v>
      </c>
      <c r="EQ55" s="675">
        <v>20.506</v>
      </c>
      <c r="ER55" s="675">
        <v>0</v>
      </c>
      <c r="ES55" s="675">
        <v>65.734000000000009</v>
      </c>
      <c r="ET55" s="675">
        <v>45104</v>
      </c>
      <c r="EU55" s="675">
        <v>492643</v>
      </c>
      <c r="EV55" s="675">
        <v>0</v>
      </c>
      <c r="EW55" s="675">
        <v>0</v>
      </c>
      <c r="EX55" s="675">
        <v>0</v>
      </c>
      <c r="EY55" s="675">
        <v>0</v>
      </c>
      <c r="EZ55" s="675">
        <v>10166243</v>
      </c>
      <c r="FA55" s="675">
        <v>0</v>
      </c>
      <c r="FB55" s="675">
        <v>10658886</v>
      </c>
      <c r="FC55" s="675">
        <v>0.97327799999999998</v>
      </c>
      <c r="FD55" s="675">
        <v>0</v>
      </c>
      <c r="FE55" s="675">
        <v>1565630</v>
      </c>
      <c r="FF55" s="675">
        <v>352812</v>
      </c>
      <c r="FG55" s="675">
        <v>6.1239999999999996E-2</v>
      </c>
      <c r="FH55" s="675">
        <v>5.4803999999999999E-2</v>
      </c>
      <c r="FI55" s="675">
        <v>0</v>
      </c>
      <c r="FJ55" s="675">
        <v>0</v>
      </c>
      <c r="FK55" s="675">
        <v>2014.9250000000002</v>
      </c>
      <c r="FL55" s="675">
        <v>12859300</v>
      </c>
      <c r="FM55" s="675">
        <v>0</v>
      </c>
      <c r="FN55" s="675">
        <v>0</v>
      </c>
      <c r="FO55" s="675">
        <v>0</v>
      </c>
      <c r="FP55" s="675">
        <v>0</v>
      </c>
      <c r="FQ55" s="675">
        <v>0</v>
      </c>
      <c r="FR55" s="675">
        <v>0</v>
      </c>
      <c r="FS55" s="675">
        <v>0</v>
      </c>
      <c r="FT55" s="675">
        <v>0</v>
      </c>
      <c r="FU55" s="675">
        <v>0</v>
      </c>
      <c r="FV55" s="675">
        <v>0</v>
      </c>
      <c r="FW55" s="675">
        <v>0</v>
      </c>
      <c r="FX55" s="675">
        <v>0</v>
      </c>
      <c r="FY55" s="675">
        <v>0</v>
      </c>
      <c r="FZ55" s="675">
        <v>160</v>
      </c>
      <c r="GA55" s="675">
        <v>3.194</v>
      </c>
      <c r="GB55" s="675">
        <v>464188</v>
      </c>
      <c r="GC55" s="675">
        <v>464188</v>
      </c>
      <c r="GD55" s="675">
        <v>52.445</v>
      </c>
      <c r="GE55" s="675">
        <v>0</v>
      </c>
      <c r="GF55" s="675">
        <v>0</v>
      </c>
      <c r="GG55" s="675">
        <v>0</v>
      </c>
      <c r="GH55" s="675">
        <v>0</v>
      </c>
      <c r="GI55" s="675">
        <v>0</v>
      </c>
      <c r="GJ55" s="675">
        <v>0</v>
      </c>
      <c r="GK55" s="675">
        <v>5226</v>
      </c>
      <c r="GL55" s="675">
        <v>27510</v>
      </c>
      <c r="GM55" s="675">
        <v>0</v>
      </c>
      <c r="GN55" s="675">
        <v>0</v>
      </c>
      <c r="GO55" s="675">
        <v>0</v>
      </c>
      <c r="GP55" s="675">
        <v>12577328</v>
      </c>
      <c r="GQ55" s="675">
        <v>12577328</v>
      </c>
      <c r="GR55" s="675">
        <v>0</v>
      </c>
      <c r="GS55" s="675">
        <v>0</v>
      </c>
      <c r="GT55" s="675">
        <v>0</v>
      </c>
      <c r="GU55" s="675">
        <v>0</v>
      </c>
      <c r="GV55" s="675">
        <v>0</v>
      </c>
      <c r="GW55" s="675">
        <v>0</v>
      </c>
      <c r="GX55" s="675">
        <v>0</v>
      </c>
      <c r="GY55" s="675">
        <v>0</v>
      </c>
      <c r="GZ55" s="675">
        <v>0</v>
      </c>
      <c r="HA55" s="675">
        <v>0</v>
      </c>
      <c r="HB55" s="675">
        <v>260786259</v>
      </c>
      <c r="HC55" s="675">
        <v>5.0923999999999997E-2</v>
      </c>
      <c r="HD55" s="675">
        <v>236868</v>
      </c>
      <c r="HE55" s="675">
        <v>0</v>
      </c>
      <c r="HF55" s="675">
        <v>0</v>
      </c>
      <c r="HG55" s="675">
        <v>0</v>
      </c>
      <c r="HH55" s="675">
        <v>0</v>
      </c>
      <c r="HI55" s="675">
        <v>0</v>
      </c>
      <c r="HJ55" s="675">
        <v>0</v>
      </c>
      <c r="HK55" s="675">
        <v>0</v>
      </c>
      <c r="HL55" s="675">
        <v>0</v>
      </c>
      <c r="HM55" s="675">
        <v>0</v>
      </c>
      <c r="HN55" s="675">
        <v>0</v>
      </c>
      <c r="HO55" s="675">
        <v>0</v>
      </c>
      <c r="HP55" s="675">
        <v>0</v>
      </c>
      <c r="HQ55" s="675">
        <v>0</v>
      </c>
      <c r="HR55" s="675">
        <v>0</v>
      </c>
      <c r="HS55" s="675">
        <v>0</v>
      </c>
      <c r="HT55" s="675">
        <v>0</v>
      </c>
      <c r="HU55" s="675">
        <v>0</v>
      </c>
      <c r="HV55" s="675">
        <v>0</v>
      </c>
      <c r="HW55" s="675">
        <v>0</v>
      </c>
      <c r="HX55" s="675">
        <v>0</v>
      </c>
      <c r="HY55" s="675">
        <v>0</v>
      </c>
      <c r="HZ55" s="675">
        <v>0</v>
      </c>
      <c r="IA55" s="675">
        <v>0</v>
      </c>
      <c r="IB55" s="675">
        <v>0</v>
      </c>
      <c r="IC55" s="675">
        <v>0</v>
      </c>
      <c r="ID55" s="675">
        <v>0</v>
      </c>
      <c r="IE55" s="675">
        <v>0</v>
      </c>
      <c r="IF55" s="675">
        <v>0</v>
      </c>
      <c r="IG55" s="675">
        <v>0</v>
      </c>
      <c r="IH55" s="675">
        <v>0</v>
      </c>
      <c r="II55" s="675">
        <v>0</v>
      </c>
      <c r="IJ55" s="675">
        <v>0</v>
      </c>
      <c r="IK55" s="675">
        <v>0</v>
      </c>
      <c r="IL55" s="675">
        <v>0</v>
      </c>
      <c r="IM55" s="675">
        <v>0</v>
      </c>
      <c r="IN55" s="675">
        <v>0</v>
      </c>
      <c r="IO55" s="675">
        <v>0</v>
      </c>
      <c r="IP55" s="675">
        <v>0</v>
      </c>
      <c r="IQ55" s="675">
        <v>0</v>
      </c>
      <c r="IR55" s="675">
        <v>0</v>
      </c>
      <c r="IS55" s="675">
        <v>0</v>
      </c>
      <c r="IT55" s="675">
        <v>0</v>
      </c>
      <c r="IU55" s="675">
        <v>0</v>
      </c>
      <c r="IV55" s="675">
        <v>0</v>
      </c>
      <c r="IW55" s="675">
        <v>0</v>
      </c>
      <c r="IX55" s="675">
        <v>0</v>
      </c>
      <c r="IY55" s="675">
        <v>0</v>
      </c>
      <c r="IZ55" s="675">
        <v>0</v>
      </c>
      <c r="JA55" s="675">
        <v>0</v>
      </c>
      <c r="JB55" s="675">
        <v>0</v>
      </c>
      <c r="JC55" s="675">
        <v>0</v>
      </c>
      <c r="JD55" s="675">
        <v>0</v>
      </c>
      <c r="JE55" s="675">
        <v>0</v>
      </c>
      <c r="JF55" s="675">
        <v>0</v>
      </c>
      <c r="JG55" s="675">
        <v>0</v>
      </c>
      <c r="JH55" s="675">
        <v>0</v>
      </c>
      <c r="JI55" s="675">
        <v>0</v>
      </c>
      <c r="JJ55" s="675">
        <v>0</v>
      </c>
      <c r="JK55" s="675">
        <v>0</v>
      </c>
      <c r="JL55" s="675">
        <v>0</v>
      </c>
      <c r="JM55" s="675">
        <v>0</v>
      </c>
      <c r="JN55" s="675">
        <v>32469</v>
      </c>
      <c r="JO55" s="675">
        <v>0</v>
      </c>
      <c r="JP55" s="675">
        <v>0</v>
      </c>
      <c r="JQ55" s="675">
        <v>0</v>
      </c>
      <c r="JR55" s="675">
        <v>0</v>
      </c>
      <c r="JS55" s="675">
        <v>0</v>
      </c>
      <c r="JT55" s="675">
        <v>0</v>
      </c>
      <c r="JU55" s="675">
        <v>0</v>
      </c>
      <c r="JV55" s="675">
        <v>0</v>
      </c>
      <c r="JW55" s="675">
        <v>0</v>
      </c>
      <c r="JX55" s="675">
        <v>0</v>
      </c>
      <c r="JY55" s="675">
        <v>0</v>
      </c>
      <c r="JZ55" s="675">
        <v>0</v>
      </c>
      <c r="KA55" s="675">
        <v>0</v>
      </c>
      <c r="KB55" s="675">
        <v>0</v>
      </c>
      <c r="KC55" s="675">
        <v>0</v>
      </c>
      <c r="KD55" s="675">
        <v>0</v>
      </c>
      <c r="KE55" s="675">
        <v>0</v>
      </c>
      <c r="KF55" s="675">
        <v>0</v>
      </c>
    </row>
    <row r="56" spans="1:292" x14ac:dyDescent="0.25">
      <c r="A56" s="675">
        <v>57831</v>
      </c>
      <c r="B56" s="675">
        <v>32570</v>
      </c>
      <c r="C56" s="675">
        <v>35</v>
      </c>
      <c r="D56" s="675">
        <v>2022</v>
      </c>
      <c r="E56" s="675">
        <v>5392</v>
      </c>
      <c r="F56" s="675">
        <v>0</v>
      </c>
      <c r="G56" s="675">
        <v>639.54500000000007</v>
      </c>
      <c r="H56" s="675">
        <v>611.37200000000007</v>
      </c>
      <c r="I56" s="675">
        <v>611.37200000000007</v>
      </c>
      <c r="J56" s="675">
        <v>639.54500000000007</v>
      </c>
      <c r="K56" s="675">
        <v>0</v>
      </c>
      <c r="L56" s="675">
        <v>6554</v>
      </c>
      <c r="M56" s="675">
        <v>0</v>
      </c>
      <c r="N56" s="675">
        <v>0</v>
      </c>
      <c r="O56" s="675">
        <v>0</v>
      </c>
      <c r="P56" s="675">
        <v>604.41600000000005</v>
      </c>
      <c r="Q56" s="675">
        <v>0</v>
      </c>
      <c r="R56" s="675">
        <v>193240</v>
      </c>
      <c r="S56" s="675">
        <v>319.71300000000002</v>
      </c>
      <c r="T56" s="675">
        <v>0</v>
      </c>
      <c r="U56" s="675">
        <v>193240</v>
      </c>
      <c r="V56" s="675">
        <v>0.60899999999999999</v>
      </c>
      <c r="W56" s="675">
        <v>399</v>
      </c>
      <c r="X56" s="675">
        <v>399</v>
      </c>
      <c r="Y56" s="675">
        <v>0</v>
      </c>
      <c r="Z56" s="675">
        <v>0</v>
      </c>
      <c r="AA56" s="675">
        <v>1</v>
      </c>
      <c r="AB56" s="675">
        <v>1</v>
      </c>
      <c r="AC56" s="675">
        <v>0</v>
      </c>
      <c r="AD56" s="675" t="s">
        <v>316</v>
      </c>
      <c r="AE56" s="675">
        <v>0</v>
      </c>
      <c r="AF56" s="675">
        <v>0</v>
      </c>
      <c r="AG56" s="675">
        <v>0</v>
      </c>
      <c r="AH56" s="675">
        <v>0</v>
      </c>
      <c r="AI56" s="675">
        <v>0</v>
      </c>
      <c r="AJ56" s="675">
        <v>5104</v>
      </c>
      <c r="AK56" s="675" t="s">
        <v>671</v>
      </c>
      <c r="AL56" s="675" t="s">
        <v>47</v>
      </c>
      <c r="AM56" s="675">
        <v>0</v>
      </c>
      <c r="AN56" s="675">
        <v>0</v>
      </c>
      <c r="AO56" s="675">
        <v>0</v>
      </c>
      <c r="AP56" s="675">
        <v>0</v>
      </c>
      <c r="AQ56" s="675">
        <v>0</v>
      </c>
      <c r="AR56" s="675">
        <v>0</v>
      </c>
      <c r="AS56" s="675">
        <v>0</v>
      </c>
      <c r="AT56" s="675">
        <v>0</v>
      </c>
      <c r="AU56" s="675">
        <v>0</v>
      </c>
      <c r="AV56" s="675">
        <v>193777</v>
      </c>
      <c r="AW56" s="675">
        <v>6464420</v>
      </c>
      <c r="AX56" s="675">
        <v>6287690</v>
      </c>
      <c r="AY56" s="675">
        <v>6929799</v>
      </c>
      <c r="AZ56" s="675">
        <v>228576</v>
      </c>
      <c r="BA56" s="675">
        <v>30.667000000000002</v>
      </c>
      <c r="BB56" s="675">
        <v>5412</v>
      </c>
      <c r="BC56" s="675">
        <v>5412</v>
      </c>
      <c r="BD56" s="675">
        <v>6.8810000000000002</v>
      </c>
      <c r="BE56" s="675">
        <v>0</v>
      </c>
      <c r="BF56" s="675">
        <v>5301892</v>
      </c>
      <c r="BG56" s="675">
        <v>0</v>
      </c>
      <c r="BH56" s="675">
        <v>128.49600000000001</v>
      </c>
      <c r="BI56" s="675">
        <v>35336</v>
      </c>
      <c r="BJ56" s="675">
        <v>12</v>
      </c>
      <c r="BK56" s="675">
        <v>0</v>
      </c>
      <c r="BL56" s="675">
        <v>0</v>
      </c>
      <c r="BM56" s="675">
        <v>0</v>
      </c>
      <c r="BN56" s="675">
        <v>0</v>
      </c>
      <c r="BO56" s="675">
        <v>0</v>
      </c>
      <c r="BP56" s="675">
        <v>0</v>
      </c>
      <c r="BQ56" s="675">
        <v>5392</v>
      </c>
      <c r="BR56" s="675">
        <v>1</v>
      </c>
      <c r="BS56" s="675">
        <v>0</v>
      </c>
      <c r="BT56" s="675">
        <v>0</v>
      </c>
      <c r="BU56" s="675">
        <v>0</v>
      </c>
      <c r="BV56" s="675">
        <v>0</v>
      </c>
      <c r="BW56" s="675">
        <v>0</v>
      </c>
      <c r="BX56" s="675">
        <v>0</v>
      </c>
      <c r="BY56" s="675">
        <v>0</v>
      </c>
      <c r="BZ56" s="675">
        <v>0</v>
      </c>
      <c r="CA56" s="675">
        <v>0</v>
      </c>
      <c r="CB56" s="675">
        <v>0</v>
      </c>
      <c r="CC56" s="675">
        <v>0</v>
      </c>
      <c r="CD56" s="675">
        <v>0</v>
      </c>
      <c r="CE56" s="675">
        <v>0</v>
      </c>
      <c r="CF56" s="675">
        <v>0</v>
      </c>
      <c r="CG56" s="675">
        <v>0</v>
      </c>
      <c r="CH56" s="675">
        <v>141394</v>
      </c>
      <c r="CI56" s="675">
        <v>0</v>
      </c>
      <c r="CJ56" s="675">
        <v>4</v>
      </c>
      <c r="CK56" s="675">
        <v>0</v>
      </c>
      <c r="CL56" s="675">
        <v>0</v>
      </c>
      <c r="CM56" s="675">
        <v>0</v>
      </c>
      <c r="CN56" s="675">
        <v>0</v>
      </c>
      <c r="CO56" s="675">
        <v>0</v>
      </c>
      <c r="CP56" s="675">
        <v>0</v>
      </c>
      <c r="CQ56" s="675">
        <v>8.3000000000000004E-2</v>
      </c>
      <c r="CR56" s="675">
        <v>604.41600000000005</v>
      </c>
      <c r="CS56" s="675">
        <v>0</v>
      </c>
      <c r="CT56" s="675">
        <v>0</v>
      </c>
      <c r="CU56" s="675">
        <v>0</v>
      </c>
      <c r="CV56" s="675">
        <v>0</v>
      </c>
      <c r="CW56" s="675">
        <v>0</v>
      </c>
      <c r="CX56" s="675">
        <v>0</v>
      </c>
      <c r="CY56" s="675">
        <v>0</v>
      </c>
      <c r="CZ56" s="675">
        <v>0</v>
      </c>
      <c r="DA56" s="675">
        <v>1</v>
      </c>
      <c r="DB56" s="675">
        <v>4006932</v>
      </c>
      <c r="DC56" s="675">
        <v>0</v>
      </c>
      <c r="DD56" s="675">
        <v>0</v>
      </c>
      <c r="DE56" s="675">
        <v>959938</v>
      </c>
      <c r="DF56" s="675">
        <v>959938</v>
      </c>
      <c r="DG56" s="675">
        <v>732.33</v>
      </c>
      <c r="DH56" s="675">
        <v>0</v>
      </c>
      <c r="DI56" s="675">
        <v>0</v>
      </c>
      <c r="DJ56" s="675">
        <v>0</v>
      </c>
      <c r="DK56" s="675">
        <v>5392</v>
      </c>
      <c r="DL56" s="675">
        <v>0</v>
      </c>
      <c r="DM56" s="675">
        <v>229098</v>
      </c>
      <c r="DN56" s="675">
        <v>0</v>
      </c>
      <c r="DO56" s="675">
        <v>0</v>
      </c>
      <c r="DP56" s="675">
        <v>0</v>
      </c>
      <c r="DQ56" s="675">
        <v>0</v>
      </c>
      <c r="DR56" s="675">
        <v>0</v>
      </c>
      <c r="DS56" s="675">
        <v>0</v>
      </c>
      <c r="DT56" s="675">
        <v>0</v>
      </c>
      <c r="DU56" s="675">
        <v>0</v>
      </c>
      <c r="DV56" s="675">
        <v>0</v>
      </c>
      <c r="DW56" s="675">
        <v>0</v>
      </c>
      <c r="DX56" s="675">
        <v>0</v>
      </c>
      <c r="DY56" s="675">
        <v>0</v>
      </c>
      <c r="DZ56" s="675">
        <v>0</v>
      </c>
      <c r="EA56" s="675">
        <v>0</v>
      </c>
      <c r="EB56" s="675">
        <v>0</v>
      </c>
      <c r="EC56" s="675">
        <v>29.864000000000001</v>
      </c>
      <c r="ED56" s="675">
        <v>215302</v>
      </c>
      <c r="EE56" s="675">
        <v>0</v>
      </c>
      <c r="EF56" s="675">
        <v>0</v>
      </c>
      <c r="EG56" s="675">
        <v>0</v>
      </c>
      <c r="EH56" s="675">
        <v>13796</v>
      </c>
      <c r="EI56" s="675">
        <v>0</v>
      </c>
      <c r="EJ56" s="675">
        <v>0</v>
      </c>
      <c r="EK56" s="675">
        <v>0</v>
      </c>
      <c r="EL56" s="675">
        <v>0</v>
      </c>
      <c r="EM56" s="675">
        <v>0</v>
      </c>
      <c r="EN56" s="675">
        <v>0.42100000000000004</v>
      </c>
      <c r="EO56" s="675">
        <v>0</v>
      </c>
      <c r="EP56" s="675">
        <v>0</v>
      </c>
      <c r="EQ56" s="675">
        <v>0.42100000000000004</v>
      </c>
      <c r="ER56" s="675">
        <v>0</v>
      </c>
      <c r="ES56" s="675">
        <v>2.105</v>
      </c>
      <c r="ET56" s="675">
        <v>15354</v>
      </c>
      <c r="EU56" s="675">
        <v>228576</v>
      </c>
      <c r="EV56" s="675">
        <v>0</v>
      </c>
      <c r="EW56" s="675">
        <v>0</v>
      </c>
      <c r="EX56" s="675">
        <v>0</v>
      </c>
      <c r="EY56" s="675">
        <v>0</v>
      </c>
      <c r="EZ56" s="675">
        <v>5298624</v>
      </c>
      <c r="FA56" s="675">
        <v>0</v>
      </c>
      <c r="FB56" s="675">
        <v>5527200</v>
      </c>
      <c r="FC56" s="675">
        <v>0.97327799999999998</v>
      </c>
      <c r="FD56" s="675">
        <v>0</v>
      </c>
      <c r="FE56" s="675">
        <v>807171</v>
      </c>
      <c r="FF56" s="675">
        <v>181895</v>
      </c>
      <c r="FG56" s="675">
        <v>6.1239999999999996E-2</v>
      </c>
      <c r="FH56" s="675">
        <v>5.4803999999999999E-2</v>
      </c>
      <c r="FI56" s="675">
        <v>0</v>
      </c>
      <c r="FJ56" s="675">
        <v>0</v>
      </c>
      <c r="FK56" s="675">
        <v>1038.808</v>
      </c>
      <c r="FL56" s="675">
        <v>6657660</v>
      </c>
      <c r="FM56" s="675">
        <v>0</v>
      </c>
      <c r="FN56" s="675">
        <v>0</v>
      </c>
      <c r="FO56" s="675">
        <v>44402</v>
      </c>
      <c r="FP56" s="675">
        <v>0</v>
      </c>
      <c r="FQ56" s="675">
        <v>44402</v>
      </c>
      <c r="FR56" s="675">
        <v>44402</v>
      </c>
      <c r="FS56" s="675">
        <v>0</v>
      </c>
      <c r="FT56" s="675">
        <v>0</v>
      </c>
      <c r="FU56" s="675">
        <v>0</v>
      </c>
      <c r="FV56" s="675">
        <v>0</v>
      </c>
      <c r="FW56" s="675">
        <v>0</v>
      </c>
      <c r="FX56" s="675">
        <v>0</v>
      </c>
      <c r="FY56" s="675">
        <v>0</v>
      </c>
      <c r="FZ56" s="675">
        <v>136</v>
      </c>
      <c r="GA56" s="675">
        <v>2.7240000000000002</v>
      </c>
      <c r="GB56" s="675">
        <v>245683</v>
      </c>
      <c r="GC56" s="675">
        <v>245683</v>
      </c>
      <c r="GD56" s="675">
        <v>27.752000000000002</v>
      </c>
      <c r="GE56" s="675">
        <v>0</v>
      </c>
      <c r="GF56" s="675">
        <v>0</v>
      </c>
      <c r="GG56" s="675">
        <v>0</v>
      </c>
      <c r="GH56" s="675">
        <v>0</v>
      </c>
      <c r="GI56" s="675">
        <v>0</v>
      </c>
      <c r="GJ56" s="675">
        <v>0</v>
      </c>
      <c r="GK56" s="675">
        <v>5309</v>
      </c>
      <c r="GL56" s="675">
        <v>22155</v>
      </c>
      <c r="GM56" s="675">
        <v>0</v>
      </c>
      <c r="GN56" s="675">
        <v>52168</v>
      </c>
      <c r="GO56" s="675">
        <v>0</v>
      </c>
      <c r="GP56" s="675">
        <v>6516266</v>
      </c>
      <c r="GQ56" s="675">
        <v>6516266</v>
      </c>
      <c r="GR56" s="675">
        <v>0</v>
      </c>
      <c r="GS56" s="675">
        <v>0</v>
      </c>
      <c r="GT56" s="675">
        <v>0</v>
      </c>
      <c r="GU56" s="675">
        <v>0</v>
      </c>
      <c r="GV56" s="675">
        <v>0</v>
      </c>
      <c r="GW56" s="675">
        <v>0</v>
      </c>
      <c r="GX56" s="675">
        <v>0</v>
      </c>
      <c r="GY56" s="675">
        <v>0</v>
      </c>
      <c r="GZ56" s="675">
        <v>0</v>
      </c>
      <c r="HA56" s="675">
        <v>0</v>
      </c>
      <c r="HB56" s="675">
        <v>260786259</v>
      </c>
      <c r="HC56" s="675">
        <v>5.0923999999999997E-2</v>
      </c>
      <c r="HD56" s="675">
        <v>126040</v>
      </c>
      <c r="HE56" s="675">
        <v>0</v>
      </c>
      <c r="HF56" s="675">
        <v>0</v>
      </c>
      <c r="HG56" s="675">
        <v>0</v>
      </c>
      <c r="HH56" s="675">
        <v>0</v>
      </c>
      <c r="HI56" s="675">
        <v>0</v>
      </c>
      <c r="HJ56" s="675">
        <v>0</v>
      </c>
      <c r="HK56" s="675">
        <v>0</v>
      </c>
      <c r="HL56" s="675">
        <v>0</v>
      </c>
      <c r="HM56" s="675">
        <v>0</v>
      </c>
      <c r="HN56" s="675">
        <v>0</v>
      </c>
      <c r="HO56" s="675">
        <v>0</v>
      </c>
      <c r="HP56" s="675">
        <v>0</v>
      </c>
      <c r="HQ56" s="675">
        <v>0</v>
      </c>
      <c r="HR56" s="675">
        <v>0</v>
      </c>
      <c r="HS56" s="675">
        <v>0</v>
      </c>
      <c r="HT56" s="675">
        <v>0</v>
      </c>
      <c r="HU56" s="675">
        <v>0</v>
      </c>
      <c r="HV56" s="675">
        <v>0</v>
      </c>
      <c r="HW56" s="675">
        <v>0</v>
      </c>
      <c r="HX56" s="675">
        <v>0</v>
      </c>
      <c r="HY56" s="675">
        <v>0</v>
      </c>
      <c r="HZ56" s="675">
        <v>0</v>
      </c>
      <c r="IA56" s="675">
        <v>0</v>
      </c>
      <c r="IB56" s="675">
        <v>0</v>
      </c>
      <c r="IC56" s="675">
        <v>0</v>
      </c>
      <c r="ID56" s="675">
        <v>0</v>
      </c>
      <c r="IE56" s="675">
        <v>0</v>
      </c>
      <c r="IF56" s="675">
        <v>0</v>
      </c>
      <c r="IG56" s="675">
        <v>0</v>
      </c>
      <c r="IH56" s="675">
        <v>0</v>
      </c>
      <c r="II56" s="675">
        <v>0</v>
      </c>
      <c r="IJ56" s="675">
        <v>0</v>
      </c>
      <c r="IK56" s="675">
        <v>0</v>
      </c>
      <c r="IL56" s="675">
        <v>0</v>
      </c>
      <c r="IM56" s="675">
        <v>0</v>
      </c>
      <c r="IN56" s="675">
        <v>0</v>
      </c>
      <c r="IO56" s="675">
        <v>0</v>
      </c>
      <c r="IP56" s="675">
        <v>0</v>
      </c>
      <c r="IQ56" s="675">
        <v>0</v>
      </c>
      <c r="IR56" s="675">
        <v>0</v>
      </c>
      <c r="IS56" s="675">
        <v>0</v>
      </c>
      <c r="IT56" s="675">
        <v>0</v>
      </c>
      <c r="IU56" s="675">
        <v>0</v>
      </c>
      <c r="IV56" s="675">
        <v>0</v>
      </c>
      <c r="IW56" s="675">
        <v>0</v>
      </c>
      <c r="IX56" s="675">
        <v>0</v>
      </c>
      <c r="IY56" s="675">
        <v>0</v>
      </c>
      <c r="IZ56" s="675">
        <v>0</v>
      </c>
      <c r="JA56" s="675">
        <v>0</v>
      </c>
      <c r="JB56" s="675">
        <v>0</v>
      </c>
      <c r="JC56" s="675">
        <v>0</v>
      </c>
      <c r="JD56" s="675">
        <v>0</v>
      </c>
      <c r="JE56" s="675">
        <v>0</v>
      </c>
      <c r="JF56" s="675">
        <v>0</v>
      </c>
      <c r="JG56" s="675">
        <v>0</v>
      </c>
      <c r="JH56" s="675">
        <v>0</v>
      </c>
      <c r="JI56" s="675">
        <v>0</v>
      </c>
      <c r="JJ56" s="675">
        <v>0</v>
      </c>
      <c r="JK56" s="675">
        <v>0</v>
      </c>
      <c r="JL56" s="675">
        <v>0</v>
      </c>
      <c r="JM56" s="675">
        <v>0</v>
      </c>
      <c r="JN56" s="675">
        <v>32469</v>
      </c>
      <c r="JO56" s="675">
        <v>0</v>
      </c>
      <c r="JP56" s="675">
        <v>0</v>
      </c>
      <c r="JQ56" s="675">
        <v>0</v>
      </c>
      <c r="JR56" s="675">
        <v>0</v>
      </c>
      <c r="JS56" s="675">
        <v>0</v>
      </c>
      <c r="JT56" s="675">
        <v>0</v>
      </c>
      <c r="JU56" s="675">
        <v>0</v>
      </c>
      <c r="JV56" s="675">
        <v>0</v>
      </c>
      <c r="JW56" s="675">
        <v>0</v>
      </c>
      <c r="JX56" s="675">
        <v>0</v>
      </c>
      <c r="JY56" s="675">
        <v>0</v>
      </c>
      <c r="JZ56" s="675">
        <v>0</v>
      </c>
      <c r="KA56" s="675">
        <v>0</v>
      </c>
      <c r="KB56" s="675">
        <v>0</v>
      </c>
      <c r="KC56" s="675">
        <v>0</v>
      </c>
      <c r="KD56" s="675">
        <v>0</v>
      </c>
      <c r="KE56" s="675">
        <v>0</v>
      </c>
      <c r="KF56" s="675">
        <v>0</v>
      </c>
    </row>
    <row r="57" spans="1:292" x14ac:dyDescent="0.25">
      <c r="A57" s="675">
        <v>57833</v>
      </c>
      <c r="B57" s="675">
        <v>32570</v>
      </c>
      <c r="C57" s="675">
        <v>35</v>
      </c>
      <c r="D57" s="675">
        <v>2022</v>
      </c>
      <c r="E57" s="675">
        <v>5392</v>
      </c>
      <c r="F57" s="675">
        <v>0</v>
      </c>
      <c r="G57" s="675">
        <v>565.154</v>
      </c>
      <c r="H57" s="675">
        <v>545.66899999999998</v>
      </c>
      <c r="I57" s="675">
        <v>545.66899999999998</v>
      </c>
      <c r="J57" s="675">
        <v>565.154</v>
      </c>
      <c r="K57" s="675">
        <v>0</v>
      </c>
      <c r="L57" s="675">
        <v>6554</v>
      </c>
      <c r="M57" s="675">
        <v>0</v>
      </c>
      <c r="N57" s="675">
        <v>0</v>
      </c>
      <c r="O57" s="675">
        <v>0</v>
      </c>
      <c r="P57" s="675">
        <v>554.91800000000001</v>
      </c>
      <c r="Q57" s="675">
        <v>0</v>
      </c>
      <c r="R57" s="675">
        <v>177414</v>
      </c>
      <c r="S57" s="675">
        <v>319.71300000000002</v>
      </c>
      <c r="T57" s="675">
        <v>0</v>
      </c>
      <c r="U57" s="675">
        <v>177414</v>
      </c>
      <c r="V57" s="675">
        <v>38.286000000000001</v>
      </c>
      <c r="W57" s="675">
        <v>25093</v>
      </c>
      <c r="X57" s="675">
        <v>25093</v>
      </c>
      <c r="Y57" s="675">
        <v>0</v>
      </c>
      <c r="Z57" s="675">
        <v>0</v>
      </c>
      <c r="AA57" s="675">
        <v>1</v>
      </c>
      <c r="AB57" s="675">
        <v>1</v>
      </c>
      <c r="AC57" s="675">
        <v>0</v>
      </c>
      <c r="AD57" s="675" t="s">
        <v>316</v>
      </c>
      <c r="AE57" s="675">
        <v>0</v>
      </c>
      <c r="AF57" s="675">
        <v>0</v>
      </c>
      <c r="AG57" s="675">
        <v>0</v>
      </c>
      <c r="AH57" s="675">
        <v>0</v>
      </c>
      <c r="AI57" s="675">
        <v>0</v>
      </c>
      <c r="AJ57" s="675">
        <v>5104</v>
      </c>
      <c r="AK57" s="675" t="s">
        <v>671</v>
      </c>
      <c r="AL57" s="675" t="s">
        <v>48</v>
      </c>
      <c r="AM57" s="675">
        <v>0</v>
      </c>
      <c r="AN57" s="675">
        <v>0</v>
      </c>
      <c r="AO57" s="675">
        <v>0</v>
      </c>
      <c r="AP57" s="675">
        <v>0</v>
      </c>
      <c r="AQ57" s="675">
        <v>0</v>
      </c>
      <c r="AR57" s="675">
        <v>0</v>
      </c>
      <c r="AS57" s="675">
        <v>0</v>
      </c>
      <c r="AT57" s="675">
        <v>0</v>
      </c>
      <c r="AU57" s="675">
        <v>0</v>
      </c>
      <c r="AV57" s="675">
        <v>54416</v>
      </c>
      <c r="AW57" s="675">
        <v>5234047</v>
      </c>
      <c r="AX57" s="675">
        <v>5114668</v>
      </c>
      <c r="AY57" s="675">
        <v>5421123</v>
      </c>
      <c r="AZ57" s="675">
        <v>177414</v>
      </c>
      <c r="BA57" s="675">
        <v>16</v>
      </c>
      <c r="BB57" s="675">
        <v>21798</v>
      </c>
      <c r="BC57" s="675">
        <v>21798</v>
      </c>
      <c r="BD57" s="675">
        <v>27.716000000000001</v>
      </c>
      <c r="BE57" s="675">
        <v>0</v>
      </c>
      <c r="BF57" s="675">
        <v>4359190</v>
      </c>
      <c r="BG57" s="675">
        <v>0</v>
      </c>
      <c r="BH57" s="675">
        <v>0</v>
      </c>
      <c r="BI57" s="675">
        <v>0</v>
      </c>
      <c r="BJ57" s="675">
        <v>12</v>
      </c>
      <c r="BK57" s="675">
        <v>0</v>
      </c>
      <c r="BL57" s="675">
        <v>0</v>
      </c>
      <c r="BM57" s="675">
        <v>0</v>
      </c>
      <c r="BN57" s="675">
        <v>0</v>
      </c>
      <c r="BO57" s="675">
        <v>0</v>
      </c>
      <c r="BP57" s="675">
        <v>0</v>
      </c>
      <c r="BQ57" s="675">
        <v>5392</v>
      </c>
      <c r="BR57" s="675">
        <v>1</v>
      </c>
      <c r="BS57" s="675">
        <v>0</v>
      </c>
      <c r="BT57" s="675">
        <v>0</v>
      </c>
      <c r="BU57" s="675">
        <v>0</v>
      </c>
      <c r="BV57" s="675">
        <v>0</v>
      </c>
      <c r="BW57" s="675">
        <v>0</v>
      </c>
      <c r="BX57" s="675">
        <v>0</v>
      </c>
      <c r="BY57" s="675">
        <v>0</v>
      </c>
      <c r="BZ57" s="675">
        <v>0</v>
      </c>
      <c r="CA57" s="675">
        <v>0</v>
      </c>
      <c r="CB57" s="675">
        <v>0</v>
      </c>
      <c r="CC57" s="675">
        <v>0</v>
      </c>
      <c r="CD57" s="675">
        <v>0</v>
      </c>
      <c r="CE57" s="675">
        <v>0</v>
      </c>
      <c r="CF57" s="675">
        <v>0</v>
      </c>
      <c r="CG57" s="675">
        <v>0</v>
      </c>
      <c r="CH57" s="675">
        <v>119379</v>
      </c>
      <c r="CI57" s="675">
        <v>0</v>
      </c>
      <c r="CJ57" s="675">
        <v>4</v>
      </c>
      <c r="CK57" s="675">
        <v>0</v>
      </c>
      <c r="CL57" s="675">
        <v>0</v>
      </c>
      <c r="CM57" s="675">
        <v>0</v>
      </c>
      <c r="CN57" s="675">
        <v>0</v>
      </c>
      <c r="CO57" s="675">
        <v>0</v>
      </c>
      <c r="CP57" s="675">
        <v>0</v>
      </c>
      <c r="CQ57" s="675">
        <v>0</v>
      </c>
      <c r="CR57" s="675">
        <v>554.44500000000005</v>
      </c>
      <c r="CS57" s="675">
        <v>0</v>
      </c>
      <c r="CT57" s="675">
        <v>0</v>
      </c>
      <c r="CU57" s="675">
        <v>0</v>
      </c>
      <c r="CV57" s="675">
        <v>0</v>
      </c>
      <c r="CW57" s="675">
        <v>0</v>
      </c>
      <c r="CX57" s="675">
        <v>0</v>
      </c>
      <c r="CY57" s="675">
        <v>0</v>
      </c>
      <c r="CZ57" s="675">
        <v>0</v>
      </c>
      <c r="DA57" s="675">
        <v>1</v>
      </c>
      <c r="DB57" s="675">
        <v>3576315</v>
      </c>
      <c r="DC57" s="675">
        <v>0</v>
      </c>
      <c r="DD57" s="675">
        <v>0</v>
      </c>
      <c r="DE57" s="675">
        <v>440429</v>
      </c>
      <c r="DF57" s="675">
        <v>440429</v>
      </c>
      <c r="DG57" s="675">
        <v>336</v>
      </c>
      <c r="DH57" s="675">
        <v>0</v>
      </c>
      <c r="DI57" s="675">
        <v>0</v>
      </c>
      <c r="DJ57" s="675">
        <v>0</v>
      </c>
      <c r="DK57" s="675">
        <v>5392</v>
      </c>
      <c r="DL57" s="675">
        <v>0</v>
      </c>
      <c r="DM57" s="675">
        <v>415242</v>
      </c>
      <c r="DN57" s="675">
        <v>0</v>
      </c>
      <c r="DO57" s="675">
        <v>0</v>
      </c>
      <c r="DP57" s="675">
        <v>0</v>
      </c>
      <c r="DQ57" s="675">
        <v>0</v>
      </c>
      <c r="DR57" s="675">
        <v>0</v>
      </c>
      <c r="DS57" s="675">
        <v>0</v>
      </c>
      <c r="DT57" s="675">
        <v>0</v>
      </c>
      <c r="DU57" s="675">
        <v>0</v>
      </c>
      <c r="DV57" s="675">
        <v>0</v>
      </c>
      <c r="DW57" s="675">
        <v>0</v>
      </c>
      <c r="DX57" s="675">
        <v>0</v>
      </c>
      <c r="DY57" s="675">
        <v>0</v>
      </c>
      <c r="DZ57" s="675">
        <v>0</v>
      </c>
      <c r="EA57" s="675">
        <v>0</v>
      </c>
      <c r="EB57" s="675">
        <v>0</v>
      </c>
      <c r="EC57" s="675">
        <v>2.3000000000000003</v>
      </c>
      <c r="ED57" s="675">
        <v>16582</v>
      </c>
      <c r="EE57" s="675">
        <v>0</v>
      </c>
      <c r="EF57" s="675">
        <v>0</v>
      </c>
      <c r="EG57" s="675">
        <v>0</v>
      </c>
      <c r="EH57" s="675">
        <v>398660</v>
      </c>
      <c r="EI57" s="675">
        <v>0</v>
      </c>
      <c r="EJ57" s="675">
        <v>0</v>
      </c>
      <c r="EK57" s="675">
        <v>18.29</v>
      </c>
      <c r="EL57" s="675">
        <v>0</v>
      </c>
      <c r="EM57" s="675">
        <v>9.0000000000000011E-3</v>
      </c>
      <c r="EN57" s="675">
        <v>1.1860000000000002</v>
      </c>
      <c r="EO57" s="675">
        <v>0</v>
      </c>
      <c r="EP57" s="675">
        <v>0</v>
      </c>
      <c r="EQ57" s="675">
        <v>19.484999999999999</v>
      </c>
      <c r="ER57" s="675">
        <v>0</v>
      </c>
      <c r="ES57" s="675">
        <v>60.827000000000005</v>
      </c>
      <c r="ET57" s="675">
        <v>8000</v>
      </c>
      <c r="EU57" s="675">
        <v>177414</v>
      </c>
      <c r="EV57" s="675">
        <v>0</v>
      </c>
      <c r="EW57" s="675">
        <v>0</v>
      </c>
      <c r="EX57" s="675">
        <v>0</v>
      </c>
      <c r="EY57" s="675">
        <v>0</v>
      </c>
      <c r="EZ57" s="675">
        <v>4301463</v>
      </c>
      <c r="FA57" s="675">
        <v>0</v>
      </c>
      <c r="FB57" s="675">
        <v>4478877</v>
      </c>
      <c r="FC57" s="675">
        <v>0.97327799999999998</v>
      </c>
      <c r="FD57" s="675">
        <v>0</v>
      </c>
      <c r="FE57" s="675">
        <v>663652</v>
      </c>
      <c r="FF57" s="675">
        <v>149553</v>
      </c>
      <c r="FG57" s="675">
        <v>6.1239999999999996E-2</v>
      </c>
      <c r="FH57" s="675">
        <v>5.4803999999999999E-2</v>
      </c>
      <c r="FI57" s="675">
        <v>0</v>
      </c>
      <c r="FJ57" s="675">
        <v>0</v>
      </c>
      <c r="FK57" s="675">
        <v>854.10300000000007</v>
      </c>
      <c r="FL57" s="675">
        <v>5411461</v>
      </c>
      <c r="FM57" s="675">
        <v>0</v>
      </c>
      <c r="FN57" s="675">
        <v>0</v>
      </c>
      <c r="FO57" s="675">
        <v>0</v>
      </c>
      <c r="FP57" s="675">
        <v>0</v>
      </c>
      <c r="FQ57" s="675">
        <v>0</v>
      </c>
      <c r="FR57" s="675">
        <v>0</v>
      </c>
      <c r="FS57" s="675">
        <v>0</v>
      </c>
      <c r="FT57" s="675">
        <v>0</v>
      </c>
      <c r="FU57" s="675">
        <v>0</v>
      </c>
      <c r="FV57" s="675">
        <v>0</v>
      </c>
      <c r="FW57" s="675">
        <v>0</v>
      </c>
      <c r="FX57" s="675">
        <v>0</v>
      </c>
      <c r="FY57" s="675">
        <v>0</v>
      </c>
      <c r="FZ57" s="675">
        <v>0</v>
      </c>
      <c r="GA57" s="675">
        <v>0</v>
      </c>
      <c r="GB57" s="675">
        <v>0</v>
      </c>
      <c r="GC57" s="675">
        <v>0</v>
      </c>
      <c r="GD57" s="675">
        <v>0</v>
      </c>
      <c r="GE57" s="675">
        <v>0</v>
      </c>
      <c r="GF57" s="675">
        <v>0</v>
      </c>
      <c r="GG57" s="675">
        <v>0</v>
      </c>
      <c r="GH57" s="675">
        <v>0</v>
      </c>
      <c r="GI57" s="675">
        <v>0</v>
      </c>
      <c r="GJ57" s="675">
        <v>0</v>
      </c>
      <c r="GK57" s="675">
        <v>5066</v>
      </c>
      <c r="GL57" s="675">
        <v>4430</v>
      </c>
      <c r="GM57" s="675">
        <v>0</v>
      </c>
      <c r="GN57" s="675">
        <v>0</v>
      </c>
      <c r="GO57" s="675">
        <v>0</v>
      </c>
      <c r="GP57" s="675">
        <v>5292082</v>
      </c>
      <c r="GQ57" s="675">
        <v>5292082</v>
      </c>
      <c r="GR57" s="675">
        <v>0</v>
      </c>
      <c r="GS57" s="675">
        <v>0</v>
      </c>
      <c r="GT57" s="675">
        <v>0</v>
      </c>
      <c r="GU57" s="675">
        <v>0</v>
      </c>
      <c r="GV57" s="675">
        <v>0</v>
      </c>
      <c r="GW57" s="675">
        <v>0</v>
      </c>
      <c r="GX57" s="675">
        <v>0</v>
      </c>
      <c r="GY57" s="675">
        <v>0</v>
      </c>
      <c r="GZ57" s="675">
        <v>0</v>
      </c>
      <c r="HA57" s="675">
        <v>0</v>
      </c>
      <c r="HB57" s="675">
        <v>260786259</v>
      </c>
      <c r="HC57" s="675">
        <v>5.0923999999999997E-2</v>
      </c>
      <c r="HD57" s="675">
        <v>111379</v>
      </c>
      <c r="HE57" s="675">
        <v>0</v>
      </c>
      <c r="HF57" s="675">
        <v>0</v>
      </c>
      <c r="HG57" s="675">
        <v>0</v>
      </c>
      <c r="HH57" s="675">
        <v>0</v>
      </c>
      <c r="HI57" s="675">
        <v>0</v>
      </c>
      <c r="HJ57" s="675">
        <v>0</v>
      </c>
      <c r="HK57" s="675">
        <v>0</v>
      </c>
      <c r="HL57" s="675">
        <v>0</v>
      </c>
      <c r="HM57" s="675">
        <v>0</v>
      </c>
      <c r="HN57" s="675">
        <v>0</v>
      </c>
      <c r="HO57" s="675">
        <v>0</v>
      </c>
      <c r="HP57" s="675">
        <v>0</v>
      </c>
      <c r="HQ57" s="675">
        <v>0</v>
      </c>
      <c r="HR57" s="675">
        <v>0</v>
      </c>
      <c r="HS57" s="675">
        <v>0</v>
      </c>
      <c r="HT57" s="675">
        <v>0</v>
      </c>
      <c r="HU57" s="675">
        <v>0</v>
      </c>
      <c r="HV57" s="675">
        <v>0</v>
      </c>
      <c r="HW57" s="675">
        <v>0</v>
      </c>
      <c r="HX57" s="675">
        <v>0</v>
      </c>
      <c r="HY57" s="675">
        <v>0</v>
      </c>
      <c r="HZ57" s="675">
        <v>0</v>
      </c>
      <c r="IA57" s="675">
        <v>0</v>
      </c>
      <c r="IB57" s="675">
        <v>0</v>
      </c>
      <c r="IC57" s="675">
        <v>0</v>
      </c>
      <c r="ID57" s="675">
        <v>0</v>
      </c>
      <c r="IE57" s="675">
        <v>0</v>
      </c>
      <c r="IF57" s="675">
        <v>0</v>
      </c>
      <c r="IG57" s="675">
        <v>0</v>
      </c>
      <c r="IH57" s="675">
        <v>0</v>
      </c>
      <c r="II57" s="675">
        <v>0</v>
      </c>
      <c r="IJ57" s="675">
        <v>0</v>
      </c>
      <c r="IK57" s="675">
        <v>0</v>
      </c>
      <c r="IL57" s="675">
        <v>0</v>
      </c>
      <c r="IM57" s="675">
        <v>0</v>
      </c>
      <c r="IN57" s="675">
        <v>0</v>
      </c>
      <c r="IO57" s="675">
        <v>0</v>
      </c>
      <c r="IP57" s="675">
        <v>0</v>
      </c>
      <c r="IQ57" s="675">
        <v>0</v>
      </c>
      <c r="IR57" s="675">
        <v>0</v>
      </c>
      <c r="IS57" s="675">
        <v>0</v>
      </c>
      <c r="IT57" s="675">
        <v>0</v>
      </c>
      <c r="IU57" s="675">
        <v>0</v>
      </c>
      <c r="IV57" s="675">
        <v>0</v>
      </c>
      <c r="IW57" s="675">
        <v>0</v>
      </c>
      <c r="IX57" s="675">
        <v>0</v>
      </c>
      <c r="IY57" s="675">
        <v>0</v>
      </c>
      <c r="IZ57" s="675">
        <v>0</v>
      </c>
      <c r="JA57" s="675">
        <v>0</v>
      </c>
      <c r="JB57" s="675">
        <v>0</v>
      </c>
      <c r="JC57" s="675">
        <v>0</v>
      </c>
      <c r="JD57" s="675">
        <v>0</v>
      </c>
      <c r="JE57" s="675">
        <v>0</v>
      </c>
      <c r="JF57" s="675">
        <v>0</v>
      </c>
      <c r="JG57" s="675">
        <v>0</v>
      </c>
      <c r="JH57" s="675">
        <v>0</v>
      </c>
      <c r="JI57" s="675">
        <v>0</v>
      </c>
      <c r="JJ57" s="675">
        <v>0</v>
      </c>
      <c r="JK57" s="675">
        <v>0</v>
      </c>
      <c r="JL57" s="675">
        <v>0</v>
      </c>
      <c r="JM57" s="675">
        <v>0</v>
      </c>
      <c r="JN57" s="675">
        <v>32469</v>
      </c>
      <c r="JO57" s="675">
        <v>0</v>
      </c>
      <c r="JP57" s="675">
        <v>0</v>
      </c>
      <c r="JQ57" s="675">
        <v>0</v>
      </c>
      <c r="JR57" s="675">
        <v>0</v>
      </c>
      <c r="JS57" s="675">
        <v>0</v>
      </c>
      <c r="JT57" s="675">
        <v>0</v>
      </c>
      <c r="JU57" s="675">
        <v>0</v>
      </c>
      <c r="JV57" s="675">
        <v>0</v>
      </c>
      <c r="JW57" s="675">
        <v>0</v>
      </c>
      <c r="JX57" s="675">
        <v>0</v>
      </c>
      <c r="JY57" s="675">
        <v>0</v>
      </c>
      <c r="JZ57" s="675">
        <v>0</v>
      </c>
      <c r="KA57" s="675">
        <v>0</v>
      </c>
      <c r="KB57" s="675">
        <v>0</v>
      </c>
      <c r="KC57" s="675">
        <v>0</v>
      </c>
      <c r="KD57" s="675">
        <v>0</v>
      </c>
      <c r="KE57" s="675">
        <v>0</v>
      </c>
      <c r="KF57" s="675">
        <v>0</v>
      </c>
    </row>
    <row r="58" spans="1:292" x14ac:dyDescent="0.25">
      <c r="A58" s="675">
        <v>57834</v>
      </c>
      <c r="B58" s="675">
        <v>32570</v>
      </c>
      <c r="C58" s="675">
        <v>35</v>
      </c>
      <c r="D58" s="675">
        <v>2022</v>
      </c>
      <c r="E58" s="675">
        <v>5392</v>
      </c>
      <c r="F58" s="675">
        <v>0</v>
      </c>
      <c r="G58" s="675">
        <v>437.31100000000004</v>
      </c>
      <c r="H58" s="675">
        <v>379.149</v>
      </c>
      <c r="I58" s="675">
        <v>379.149</v>
      </c>
      <c r="J58" s="675">
        <v>437.31100000000004</v>
      </c>
      <c r="K58" s="675">
        <v>0</v>
      </c>
      <c r="L58" s="675">
        <v>6554</v>
      </c>
      <c r="M58" s="675">
        <v>0</v>
      </c>
      <c r="N58" s="675">
        <v>0</v>
      </c>
      <c r="O58" s="675">
        <v>0</v>
      </c>
      <c r="P58" s="675">
        <v>530.45000000000005</v>
      </c>
      <c r="Q58" s="675">
        <v>0</v>
      </c>
      <c r="R58" s="675">
        <v>169592</v>
      </c>
      <c r="S58" s="675">
        <v>319.71300000000002</v>
      </c>
      <c r="T58" s="675">
        <v>0</v>
      </c>
      <c r="U58" s="675">
        <v>169592</v>
      </c>
      <c r="V58" s="675">
        <v>30.447000000000003</v>
      </c>
      <c r="W58" s="675">
        <v>19955</v>
      </c>
      <c r="X58" s="675">
        <v>19955</v>
      </c>
      <c r="Y58" s="675">
        <v>0</v>
      </c>
      <c r="Z58" s="675">
        <v>0</v>
      </c>
      <c r="AA58" s="675">
        <v>1</v>
      </c>
      <c r="AB58" s="675">
        <v>1</v>
      </c>
      <c r="AC58" s="675">
        <v>0</v>
      </c>
      <c r="AD58" s="675" t="s">
        <v>316</v>
      </c>
      <c r="AE58" s="675">
        <v>0</v>
      </c>
      <c r="AF58" s="675">
        <v>0</v>
      </c>
      <c r="AG58" s="675">
        <v>0</v>
      </c>
      <c r="AH58" s="675">
        <v>0</v>
      </c>
      <c r="AI58" s="675">
        <v>0</v>
      </c>
      <c r="AJ58" s="675">
        <v>5104</v>
      </c>
      <c r="AK58" s="675" t="s">
        <v>671</v>
      </c>
      <c r="AL58" s="675" t="s">
        <v>329</v>
      </c>
      <c r="AM58" s="675">
        <v>0</v>
      </c>
      <c r="AN58" s="675">
        <v>0</v>
      </c>
      <c r="AO58" s="675">
        <v>0</v>
      </c>
      <c r="AP58" s="675">
        <v>0</v>
      </c>
      <c r="AQ58" s="675">
        <v>0</v>
      </c>
      <c r="AR58" s="675">
        <v>0</v>
      </c>
      <c r="AS58" s="675">
        <v>0</v>
      </c>
      <c r="AT58" s="675">
        <v>0</v>
      </c>
      <c r="AU58" s="675">
        <v>0</v>
      </c>
      <c r="AV58" s="675">
        <v>40924</v>
      </c>
      <c r="AW58" s="675">
        <v>4867860</v>
      </c>
      <c r="AX58" s="675">
        <v>4650000</v>
      </c>
      <c r="AY58" s="675">
        <v>5010749</v>
      </c>
      <c r="AZ58" s="675">
        <v>289851</v>
      </c>
      <c r="BA58" s="675">
        <v>22.333000000000002</v>
      </c>
      <c r="BB58" s="675">
        <v>0</v>
      </c>
      <c r="BC58" s="675">
        <v>0</v>
      </c>
      <c r="BD58" s="675">
        <v>0</v>
      </c>
      <c r="BE58" s="675">
        <v>0</v>
      </c>
      <c r="BF58" s="675">
        <v>3916302</v>
      </c>
      <c r="BG58" s="675">
        <v>0</v>
      </c>
      <c r="BH58" s="675">
        <v>437.30600000000004</v>
      </c>
      <c r="BI58" s="675">
        <v>120259</v>
      </c>
      <c r="BJ58" s="675">
        <v>12</v>
      </c>
      <c r="BK58" s="675">
        <v>0</v>
      </c>
      <c r="BL58" s="675">
        <v>0</v>
      </c>
      <c r="BM58" s="675">
        <v>0</v>
      </c>
      <c r="BN58" s="675">
        <v>0</v>
      </c>
      <c r="BO58" s="675">
        <v>0</v>
      </c>
      <c r="BP58" s="675">
        <v>0</v>
      </c>
      <c r="BQ58" s="675">
        <v>5392</v>
      </c>
      <c r="BR58" s="675">
        <v>1</v>
      </c>
      <c r="BS58" s="675">
        <v>0</v>
      </c>
      <c r="BT58" s="675">
        <v>0</v>
      </c>
      <c r="BU58" s="675">
        <v>0</v>
      </c>
      <c r="BV58" s="675">
        <v>0</v>
      </c>
      <c r="BW58" s="675">
        <v>0</v>
      </c>
      <c r="BX58" s="675">
        <v>0</v>
      </c>
      <c r="BY58" s="675">
        <v>0</v>
      </c>
      <c r="BZ58" s="675">
        <v>0</v>
      </c>
      <c r="CA58" s="675">
        <v>0</v>
      </c>
      <c r="CB58" s="675">
        <v>0</v>
      </c>
      <c r="CC58" s="675">
        <v>0</v>
      </c>
      <c r="CD58" s="675">
        <v>0</v>
      </c>
      <c r="CE58" s="675">
        <v>0</v>
      </c>
      <c r="CF58" s="675">
        <v>0</v>
      </c>
      <c r="CG58" s="675">
        <v>0</v>
      </c>
      <c r="CH58" s="675">
        <v>97601</v>
      </c>
      <c r="CI58" s="675">
        <v>0</v>
      </c>
      <c r="CJ58" s="675">
        <v>4</v>
      </c>
      <c r="CK58" s="675">
        <v>0</v>
      </c>
      <c r="CL58" s="675">
        <v>0</v>
      </c>
      <c r="CM58" s="675">
        <v>0</v>
      </c>
      <c r="CN58" s="675">
        <v>0</v>
      </c>
      <c r="CO58" s="675">
        <v>0</v>
      </c>
      <c r="CP58" s="675">
        <v>0.34200000000000003</v>
      </c>
      <c r="CQ58" s="675">
        <v>1</v>
      </c>
      <c r="CR58" s="675">
        <v>530.45000000000005</v>
      </c>
      <c r="CS58" s="675">
        <v>0</v>
      </c>
      <c r="CT58" s="675">
        <v>0</v>
      </c>
      <c r="CU58" s="675">
        <v>0</v>
      </c>
      <c r="CV58" s="675">
        <v>0</v>
      </c>
      <c r="CW58" s="675">
        <v>0</v>
      </c>
      <c r="CX58" s="675">
        <v>0</v>
      </c>
      <c r="CY58" s="675">
        <v>0</v>
      </c>
      <c r="CZ58" s="675">
        <v>0</v>
      </c>
      <c r="DA58" s="675">
        <v>1</v>
      </c>
      <c r="DB58" s="675">
        <v>2484943</v>
      </c>
      <c r="DC58" s="675">
        <v>0</v>
      </c>
      <c r="DD58" s="675">
        <v>0</v>
      </c>
      <c r="DE58" s="675">
        <v>798054</v>
      </c>
      <c r="DF58" s="675">
        <v>803456</v>
      </c>
      <c r="DG58" s="675">
        <v>608.83000000000004</v>
      </c>
      <c r="DH58" s="675">
        <v>0</v>
      </c>
      <c r="DI58" s="675">
        <v>5402</v>
      </c>
      <c r="DJ58" s="675">
        <v>0</v>
      </c>
      <c r="DK58" s="675">
        <v>5392</v>
      </c>
      <c r="DL58" s="675">
        <v>0</v>
      </c>
      <c r="DM58" s="675">
        <v>237800</v>
      </c>
      <c r="DN58" s="675">
        <v>0</v>
      </c>
      <c r="DO58" s="675">
        <v>0</v>
      </c>
      <c r="DP58" s="675">
        <v>0</v>
      </c>
      <c r="DQ58" s="675">
        <v>0</v>
      </c>
      <c r="DR58" s="675">
        <v>0</v>
      </c>
      <c r="DS58" s="675">
        <v>0</v>
      </c>
      <c r="DT58" s="675">
        <v>0</v>
      </c>
      <c r="DU58" s="675">
        <v>0</v>
      </c>
      <c r="DV58" s="675">
        <v>0</v>
      </c>
      <c r="DW58" s="675">
        <v>0</v>
      </c>
      <c r="DX58" s="675">
        <v>0</v>
      </c>
      <c r="DY58" s="675">
        <v>0</v>
      </c>
      <c r="DZ58" s="675">
        <v>0</v>
      </c>
      <c r="EA58" s="675">
        <v>0</v>
      </c>
      <c r="EB58" s="675">
        <v>0</v>
      </c>
      <c r="EC58" s="675">
        <v>21.391999999999999</v>
      </c>
      <c r="ED58" s="675">
        <v>154223</v>
      </c>
      <c r="EE58" s="675">
        <v>0</v>
      </c>
      <c r="EF58" s="675">
        <v>0</v>
      </c>
      <c r="EG58" s="675">
        <v>0</v>
      </c>
      <c r="EH58" s="675">
        <v>83577</v>
      </c>
      <c r="EI58" s="675">
        <v>0</v>
      </c>
      <c r="EJ58" s="675">
        <v>0</v>
      </c>
      <c r="EK58" s="675">
        <v>4.0640000000000001</v>
      </c>
      <c r="EL58" s="675">
        <v>0</v>
      </c>
      <c r="EM58" s="675">
        <v>0</v>
      </c>
      <c r="EN58" s="675">
        <v>0.112</v>
      </c>
      <c r="EO58" s="675">
        <v>0</v>
      </c>
      <c r="EP58" s="675">
        <v>0</v>
      </c>
      <c r="EQ58" s="675">
        <v>4.1760000000000002</v>
      </c>
      <c r="ER58" s="675">
        <v>0</v>
      </c>
      <c r="ES58" s="675">
        <v>12.752000000000001</v>
      </c>
      <c r="ET58" s="675">
        <v>11417</v>
      </c>
      <c r="EU58" s="675">
        <v>289851</v>
      </c>
      <c r="EV58" s="675">
        <v>0</v>
      </c>
      <c r="EW58" s="675">
        <v>0</v>
      </c>
      <c r="EX58" s="675">
        <v>0</v>
      </c>
      <c r="EY58" s="675">
        <v>0</v>
      </c>
      <c r="EZ58" s="675">
        <v>3919415</v>
      </c>
      <c r="FA58" s="675">
        <v>0</v>
      </c>
      <c r="FB58" s="675">
        <v>4209266</v>
      </c>
      <c r="FC58" s="675">
        <v>0.97327799999999998</v>
      </c>
      <c r="FD58" s="675">
        <v>0</v>
      </c>
      <c r="FE58" s="675">
        <v>596226</v>
      </c>
      <c r="FF58" s="675">
        <v>134359</v>
      </c>
      <c r="FG58" s="675">
        <v>6.1239999999999996E-2</v>
      </c>
      <c r="FH58" s="675">
        <v>5.4803999999999999E-2</v>
      </c>
      <c r="FI58" s="675">
        <v>0</v>
      </c>
      <c r="FJ58" s="675">
        <v>0</v>
      </c>
      <c r="FK58" s="675">
        <v>767.327</v>
      </c>
      <c r="FL58" s="675">
        <v>5037452</v>
      </c>
      <c r="FM58" s="675">
        <v>0</v>
      </c>
      <c r="FN58" s="675">
        <v>0</v>
      </c>
      <c r="FO58" s="675">
        <v>65178</v>
      </c>
      <c r="FP58" s="675">
        <v>0</v>
      </c>
      <c r="FQ58" s="675">
        <v>65178</v>
      </c>
      <c r="FR58" s="675">
        <v>65178</v>
      </c>
      <c r="FS58" s="675">
        <v>0</v>
      </c>
      <c r="FT58" s="675">
        <v>0</v>
      </c>
      <c r="FU58" s="675">
        <v>0</v>
      </c>
      <c r="FV58" s="675">
        <v>0</v>
      </c>
      <c r="FW58" s="675">
        <v>0</v>
      </c>
      <c r="FX58" s="675">
        <v>0</v>
      </c>
      <c r="FY58" s="675">
        <v>0</v>
      </c>
      <c r="FZ58" s="675">
        <v>12</v>
      </c>
      <c r="GA58" s="675">
        <v>0.24200000000000002</v>
      </c>
      <c r="GB58" s="675">
        <v>477675</v>
      </c>
      <c r="GC58" s="675">
        <v>477675</v>
      </c>
      <c r="GD58" s="675">
        <v>53.986000000000004</v>
      </c>
      <c r="GE58" s="675">
        <v>0</v>
      </c>
      <c r="GF58" s="675">
        <v>0</v>
      </c>
      <c r="GG58" s="675">
        <v>0</v>
      </c>
      <c r="GH58" s="675">
        <v>0</v>
      </c>
      <c r="GI58" s="675">
        <v>0</v>
      </c>
      <c r="GJ58" s="675">
        <v>0</v>
      </c>
      <c r="GK58" s="675">
        <v>5426</v>
      </c>
      <c r="GL58" s="675">
        <v>11209</v>
      </c>
      <c r="GM58" s="675">
        <v>0</v>
      </c>
      <c r="GN58" s="675">
        <v>83263</v>
      </c>
      <c r="GO58" s="675">
        <v>0</v>
      </c>
      <c r="GP58" s="675">
        <v>4939851</v>
      </c>
      <c r="GQ58" s="675">
        <v>4939851</v>
      </c>
      <c r="GR58" s="675">
        <v>0</v>
      </c>
      <c r="GS58" s="675">
        <v>0</v>
      </c>
      <c r="GT58" s="675">
        <v>0</v>
      </c>
      <c r="GU58" s="675">
        <v>0</v>
      </c>
      <c r="GV58" s="675">
        <v>0</v>
      </c>
      <c r="GW58" s="675">
        <v>0</v>
      </c>
      <c r="GX58" s="675">
        <v>0</v>
      </c>
      <c r="GY58" s="675">
        <v>0</v>
      </c>
      <c r="GZ58" s="675">
        <v>0</v>
      </c>
      <c r="HA58" s="675">
        <v>0</v>
      </c>
      <c r="HB58" s="675">
        <v>260786259</v>
      </c>
      <c r="HC58" s="675">
        <v>5.0923999999999997E-2</v>
      </c>
      <c r="HD58" s="675">
        <v>86184</v>
      </c>
      <c r="HE58" s="675">
        <v>0</v>
      </c>
      <c r="HF58" s="675">
        <v>0</v>
      </c>
      <c r="HG58" s="675">
        <v>0</v>
      </c>
      <c r="HH58" s="675">
        <v>0</v>
      </c>
      <c r="HI58" s="675">
        <v>0</v>
      </c>
      <c r="HJ58" s="675">
        <v>0</v>
      </c>
      <c r="HK58" s="675">
        <v>0</v>
      </c>
      <c r="HL58" s="675">
        <v>0</v>
      </c>
      <c r="HM58" s="675">
        <v>0</v>
      </c>
      <c r="HN58" s="675">
        <v>0</v>
      </c>
      <c r="HO58" s="675">
        <v>0</v>
      </c>
      <c r="HP58" s="675">
        <v>0</v>
      </c>
      <c r="HQ58" s="675">
        <v>0</v>
      </c>
      <c r="HR58" s="675">
        <v>0</v>
      </c>
      <c r="HS58" s="675">
        <v>0</v>
      </c>
      <c r="HT58" s="675">
        <v>0</v>
      </c>
      <c r="HU58" s="675">
        <v>0</v>
      </c>
      <c r="HV58" s="675">
        <v>0</v>
      </c>
      <c r="HW58" s="675">
        <v>0</v>
      </c>
      <c r="HX58" s="675">
        <v>0</v>
      </c>
      <c r="HY58" s="675">
        <v>0</v>
      </c>
      <c r="HZ58" s="675">
        <v>0</v>
      </c>
      <c r="IA58" s="675">
        <v>0</v>
      </c>
      <c r="IB58" s="675">
        <v>0</v>
      </c>
      <c r="IC58" s="675">
        <v>0</v>
      </c>
      <c r="ID58" s="675">
        <v>0</v>
      </c>
      <c r="IE58" s="675">
        <v>0</v>
      </c>
      <c r="IF58" s="675">
        <v>0</v>
      </c>
      <c r="IG58" s="675">
        <v>0</v>
      </c>
      <c r="IH58" s="675">
        <v>0</v>
      </c>
      <c r="II58" s="675">
        <v>0</v>
      </c>
      <c r="IJ58" s="675">
        <v>0</v>
      </c>
      <c r="IK58" s="675">
        <v>0</v>
      </c>
      <c r="IL58" s="675">
        <v>0</v>
      </c>
      <c r="IM58" s="675">
        <v>0</v>
      </c>
      <c r="IN58" s="675">
        <v>0</v>
      </c>
      <c r="IO58" s="675">
        <v>0</v>
      </c>
      <c r="IP58" s="675">
        <v>0</v>
      </c>
      <c r="IQ58" s="675">
        <v>0</v>
      </c>
      <c r="IR58" s="675">
        <v>0</v>
      </c>
      <c r="IS58" s="675">
        <v>0</v>
      </c>
      <c r="IT58" s="675">
        <v>0</v>
      </c>
      <c r="IU58" s="675">
        <v>0</v>
      </c>
      <c r="IV58" s="675">
        <v>0</v>
      </c>
      <c r="IW58" s="675">
        <v>0</v>
      </c>
      <c r="IX58" s="675">
        <v>0</v>
      </c>
      <c r="IY58" s="675">
        <v>0</v>
      </c>
      <c r="IZ58" s="675">
        <v>0</v>
      </c>
      <c r="JA58" s="675">
        <v>0</v>
      </c>
      <c r="JB58" s="675">
        <v>0</v>
      </c>
      <c r="JC58" s="675">
        <v>0</v>
      </c>
      <c r="JD58" s="675">
        <v>0</v>
      </c>
      <c r="JE58" s="675">
        <v>0</v>
      </c>
      <c r="JF58" s="675">
        <v>0</v>
      </c>
      <c r="JG58" s="675">
        <v>0</v>
      </c>
      <c r="JH58" s="675">
        <v>0</v>
      </c>
      <c r="JI58" s="675">
        <v>0</v>
      </c>
      <c r="JJ58" s="675">
        <v>0</v>
      </c>
      <c r="JK58" s="675">
        <v>0</v>
      </c>
      <c r="JL58" s="675">
        <v>0</v>
      </c>
      <c r="JM58" s="675">
        <v>0</v>
      </c>
      <c r="JN58" s="675">
        <v>32469</v>
      </c>
      <c r="JO58" s="675">
        <v>0</v>
      </c>
      <c r="JP58" s="675">
        <v>0</v>
      </c>
      <c r="JQ58" s="675">
        <v>0</v>
      </c>
      <c r="JR58" s="675">
        <v>0</v>
      </c>
      <c r="JS58" s="675">
        <v>0</v>
      </c>
      <c r="JT58" s="675">
        <v>0</v>
      </c>
      <c r="JU58" s="675">
        <v>0</v>
      </c>
      <c r="JV58" s="675">
        <v>0</v>
      </c>
      <c r="JW58" s="675">
        <v>0</v>
      </c>
      <c r="JX58" s="675">
        <v>0</v>
      </c>
      <c r="JY58" s="675">
        <v>0</v>
      </c>
      <c r="JZ58" s="675">
        <v>0</v>
      </c>
      <c r="KA58" s="675">
        <v>0</v>
      </c>
      <c r="KB58" s="675">
        <v>0</v>
      </c>
      <c r="KC58" s="675">
        <v>0</v>
      </c>
      <c r="KD58" s="675">
        <v>0</v>
      </c>
      <c r="KE58" s="675">
        <v>0</v>
      </c>
      <c r="KF58" s="675">
        <v>0</v>
      </c>
    </row>
    <row r="59" spans="1:292" x14ac:dyDescent="0.25">
      <c r="A59" s="675">
        <v>57835</v>
      </c>
      <c r="B59" s="675">
        <v>32570</v>
      </c>
      <c r="C59" s="675">
        <v>35</v>
      </c>
      <c r="D59" s="675">
        <v>2022</v>
      </c>
      <c r="E59" s="675">
        <v>5392</v>
      </c>
      <c r="F59" s="675">
        <v>0</v>
      </c>
      <c r="G59" s="675">
        <v>1329.941</v>
      </c>
      <c r="H59" s="675">
        <v>1285.703</v>
      </c>
      <c r="I59" s="675">
        <v>1285.703</v>
      </c>
      <c r="J59" s="675">
        <v>1329.941</v>
      </c>
      <c r="K59" s="675">
        <v>0</v>
      </c>
      <c r="L59" s="675">
        <v>6554</v>
      </c>
      <c r="M59" s="675">
        <v>0</v>
      </c>
      <c r="N59" s="675">
        <v>0</v>
      </c>
      <c r="O59" s="675">
        <v>0</v>
      </c>
      <c r="P59" s="675">
        <v>1297.912</v>
      </c>
      <c r="Q59" s="675">
        <v>0</v>
      </c>
      <c r="R59" s="675">
        <v>414959</v>
      </c>
      <c r="S59" s="675">
        <v>319.71300000000002</v>
      </c>
      <c r="T59" s="675">
        <v>0</v>
      </c>
      <c r="U59" s="675">
        <v>414959</v>
      </c>
      <c r="V59" s="675">
        <v>631.45600000000002</v>
      </c>
      <c r="W59" s="675">
        <v>413856</v>
      </c>
      <c r="X59" s="675">
        <v>413856</v>
      </c>
      <c r="Y59" s="675">
        <v>0</v>
      </c>
      <c r="Z59" s="675">
        <v>0</v>
      </c>
      <c r="AA59" s="675">
        <v>1</v>
      </c>
      <c r="AB59" s="675">
        <v>1</v>
      </c>
      <c r="AC59" s="675">
        <v>0</v>
      </c>
      <c r="AD59" s="675" t="s">
        <v>316</v>
      </c>
      <c r="AE59" s="675">
        <v>0</v>
      </c>
      <c r="AF59" s="675">
        <v>0</v>
      </c>
      <c r="AG59" s="675">
        <v>0</v>
      </c>
      <c r="AH59" s="675">
        <v>0</v>
      </c>
      <c r="AI59" s="675">
        <v>0</v>
      </c>
      <c r="AJ59" s="675">
        <v>5104</v>
      </c>
      <c r="AK59" s="675" t="s">
        <v>671</v>
      </c>
      <c r="AL59" s="675" t="s">
        <v>49</v>
      </c>
      <c r="AM59" s="675">
        <v>0</v>
      </c>
      <c r="AN59" s="675">
        <v>0</v>
      </c>
      <c r="AO59" s="675">
        <v>0</v>
      </c>
      <c r="AP59" s="675">
        <v>0</v>
      </c>
      <c r="AQ59" s="675">
        <v>0</v>
      </c>
      <c r="AR59" s="675">
        <v>0</v>
      </c>
      <c r="AS59" s="675">
        <v>0</v>
      </c>
      <c r="AT59" s="675">
        <v>0</v>
      </c>
      <c r="AU59" s="675">
        <v>0</v>
      </c>
      <c r="AV59" s="675">
        <v>492020</v>
      </c>
      <c r="AW59" s="675">
        <v>13758347</v>
      </c>
      <c r="AX59" s="675">
        <v>13479485</v>
      </c>
      <c r="AY59" s="675">
        <v>15067432</v>
      </c>
      <c r="AZ59" s="675">
        <v>431719</v>
      </c>
      <c r="BA59" s="675">
        <v>0</v>
      </c>
      <c r="BB59" s="675">
        <v>31464</v>
      </c>
      <c r="BC59" s="675">
        <v>31464</v>
      </c>
      <c r="BD59" s="675">
        <v>40.006</v>
      </c>
      <c r="BE59" s="675">
        <v>0</v>
      </c>
      <c r="BF59" s="675">
        <v>11445123</v>
      </c>
      <c r="BG59" s="675">
        <v>0</v>
      </c>
      <c r="BH59" s="675">
        <v>60.945</v>
      </c>
      <c r="BI59" s="675">
        <v>16760</v>
      </c>
      <c r="BJ59" s="675">
        <v>12</v>
      </c>
      <c r="BK59" s="675">
        <v>0</v>
      </c>
      <c r="BL59" s="675">
        <v>0</v>
      </c>
      <c r="BM59" s="675">
        <v>0</v>
      </c>
      <c r="BN59" s="675">
        <v>0</v>
      </c>
      <c r="BO59" s="675">
        <v>0</v>
      </c>
      <c r="BP59" s="675">
        <v>0</v>
      </c>
      <c r="BQ59" s="675">
        <v>5392</v>
      </c>
      <c r="BR59" s="675">
        <v>1</v>
      </c>
      <c r="BS59" s="675">
        <v>0</v>
      </c>
      <c r="BT59" s="675">
        <v>0</v>
      </c>
      <c r="BU59" s="675">
        <v>0</v>
      </c>
      <c r="BV59" s="675">
        <v>0</v>
      </c>
      <c r="BW59" s="675">
        <v>0</v>
      </c>
      <c r="BX59" s="675">
        <v>0</v>
      </c>
      <c r="BY59" s="675">
        <v>0</v>
      </c>
      <c r="BZ59" s="675">
        <v>0</v>
      </c>
      <c r="CA59" s="675">
        <v>0</v>
      </c>
      <c r="CB59" s="675">
        <v>0</v>
      </c>
      <c r="CC59" s="675">
        <v>0</v>
      </c>
      <c r="CD59" s="675">
        <v>0</v>
      </c>
      <c r="CE59" s="675">
        <v>0</v>
      </c>
      <c r="CF59" s="675">
        <v>0</v>
      </c>
      <c r="CG59" s="675">
        <v>0</v>
      </c>
      <c r="CH59" s="675">
        <v>262102</v>
      </c>
      <c r="CI59" s="675">
        <v>0</v>
      </c>
      <c r="CJ59" s="675">
        <v>4</v>
      </c>
      <c r="CK59" s="675">
        <v>0</v>
      </c>
      <c r="CL59" s="675">
        <v>0</v>
      </c>
      <c r="CM59" s="675">
        <v>0</v>
      </c>
      <c r="CN59" s="675">
        <v>0</v>
      </c>
      <c r="CO59" s="675">
        <v>0</v>
      </c>
      <c r="CP59" s="675">
        <v>0</v>
      </c>
      <c r="CQ59" s="675">
        <v>0</v>
      </c>
      <c r="CR59" s="675">
        <v>1297.912</v>
      </c>
      <c r="CS59" s="675">
        <v>0</v>
      </c>
      <c r="CT59" s="675">
        <v>0</v>
      </c>
      <c r="CU59" s="675">
        <v>0</v>
      </c>
      <c r="CV59" s="675">
        <v>0</v>
      </c>
      <c r="CW59" s="675">
        <v>0</v>
      </c>
      <c r="CX59" s="675">
        <v>0</v>
      </c>
      <c r="CY59" s="675">
        <v>0</v>
      </c>
      <c r="CZ59" s="675">
        <v>0</v>
      </c>
      <c r="DA59" s="675">
        <v>1</v>
      </c>
      <c r="DB59" s="675">
        <v>8426497</v>
      </c>
      <c r="DC59" s="675">
        <v>0</v>
      </c>
      <c r="DD59" s="675">
        <v>0</v>
      </c>
      <c r="DE59" s="675">
        <v>2065047</v>
      </c>
      <c r="DF59" s="675">
        <v>2065047</v>
      </c>
      <c r="DG59" s="675">
        <v>1575.41</v>
      </c>
      <c r="DH59" s="675">
        <v>0</v>
      </c>
      <c r="DI59" s="675">
        <v>0</v>
      </c>
      <c r="DJ59" s="675">
        <v>0</v>
      </c>
      <c r="DK59" s="675">
        <v>5392</v>
      </c>
      <c r="DL59" s="675">
        <v>0</v>
      </c>
      <c r="DM59" s="675">
        <v>708475</v>
      </c>
      <c r="DN59" s="675">
        <v>0</v>
      </c>
      <c r="DO59" s="675">
        <v>0</v>
      </c>
      <c r="DP59" s="675">
        <v>0</v>
      </c>
      <c r="DQ59" s="675">
        <v>0</v>
      </c>
      <c r="DR59" s="675">
        <v>0</v>
      </c>
      <c r="DS59" s="675">
        <v>0</v>
      </c>
      <c r="DT59" s="675">
        <v>0</v>
      </c>
      <c r="DU59" s="675">
        <v>0</v>
      </c>
      <c r="DV59" s="675">
        <v>0</v>
      </c>
      <c r="DW59" s="675">
        <v>0</v>
      </c>
      <c r="DX59" s="675">
        <v>0</v>
      </c>
      <c r="DY59" s="675">
        <v>0</v>
      </c>
      <c r="DZ59" s="675">
        <v>0</v>
      </c>
      <c r="EA59" s="675">
        <v>0</v>
      </c>
      <c r="EB59" s="675">
        <v>0</v>
      </c>
      <c r="EC59" s="675">
        <v>9.8810000000000002</v>
      </c>
      <c r="ED59" s="675">
        <v>71236</v>
      </c>
      <c r="EE59" s="675">
        <v>0</v>
      </c>
      <c r="EF59" s="675">
        <v>0</v>
      </c>
      <c r="EG59" s="675">
        <v>0</v>
      </c>
      <c r="EH59" s="675">
        <v>637239</v>
      </c>
      <c r="EI59" s="675">
        <v>0</v>
      </c>
      <c r="EJ59" s="675">
        <v>0</v>
      </c>
      <c r="EK59" s="675">
        <v>28.753</v>
      </c>
      <c r="EL59" s="675">
        <v>0</v>
      </c>
      <c r="EM59" s="675">
        <v>1.01</v>
      </c>
      <c r="EN59" s="675">
        <v>1.5880000000000001</v>
      </c>
      <c r="EO59" s="675">
        <v>0</v>
      </c>
      <c r="EP59" s="675">
        <v>0</v>
      </c>
      <c r="EQ59" s="675">
        <v>31.351000000000003</v>
      </c>
      <c r="ER59" s="675">
        <v>0</v>
      </c>
      <c r="ES59" s="675">
        <v>97.228999999999999</v>
      </c>
      <c r="ET59" s="675">
        <v>0</v>
      </c>
      <c r="EU59" s="675">
        <v>431719</v>
      </c>
      <c r="EV59" s="675">
        <v>0</v>
      </c>
      <c r="EW59" s="675">
        <v>0</v>
      </c>
      <c r="EX59" s="675">
        <v>0</v>
      </c>
      <c r="EY59" s="675">
        <v>0</v>
      </c>
      <c r="EZ59" s="675">
        <v>11344403</v>
      </c>
      <c r="FA59" s="675">
        <v>0</v>
      </c>
      <c r="FB59" s="675">
        <v>11776122</v>
      </c>
      <c r="FC59" s="675">
        <v>0.97327799999999998</v>
      </c>
      <c r="FD59" s="675">
        <v>0</v>
      </c>
      <c r="FE59" s="675">
        <v>1742428</v>
      </c>
      <c r="FF59" s="675">
        <v>392654</v>
      </c>
      <c r="FG59" s="675">
        <v>6.1239999999999996E-2</v>
      </c>
      <c r="FH59" s="675">
        <v>5.4803999999999999E-2</v>
      </c>
      <c r="FI59" s="675">
        <v>0</v>
      </c>
      <c r="FJ59" s="675">
        <v>0</v>
      </c>
      <c r="FK59" s="675">
        <v>2242.46</v>
      </c>
      <c r="FL59" s="675">
        <v>14173306</v>
      </c>
      <c r="FM59" s="675">
        <v>0</v>
      </c>
      <c r="FN59" s="675">
        <v>0</v>
      </c>
      <c r="FO59" s="675">
        <v>0</v>
      </c>
      <c r="FP59" s="675">
        <v>0</v>
      </c>
      <c r="FQ59" s="675">
        <v>0</v>
      </c>
      <c r="FR59" s="675">
        <v>0</v>
      </c>
      <c r="FS59" s="675">
        <v>0</v>
      </c>
      <c r="FT59" s="675">
        <v>0</v>
      </c>
      <c r="FU59" s="675">
        <v>0</v>
      </c>
      <c r="FV59" s="675">
        <v>0</v>
      </c>
      <c r="FW59" s="675">
        <v>0</v>
      </c>
      <c r="FX59" s="675">
        <v>0</v>
      </c>
      <c r="FY59" s="675">
        <v>0</v>
      </c>
      <c r="FZ59" s="675">
        <v>0</v>
      </c>
      <c r="GA59" s="675">
        <v>0</v>
      </c>
      <c r="GB59" s="675">
        <v>114023</v>
      </c>
      <c r="GC59" s="675">
        <v>114023</v>
      </c>
      <c r="GD59" s="675">
        <v>12.887</v>
      </c>
      <c r="GE59" s="675">
        <v>0</v>
      </c>
      <c r="GF59" s="675">
        <v>0</v>
      </c>
      <c r="GG59" s="675">
        <v>0</v>
      </c>
      <c r="GH59" s="675">
        <v>0</v>
      </c>
      <c r="GI59" s="675">
        <v>0</v>
      </c>
      <c r="GJ59" s="675">
        <v>0</v>
      </c>
      <c r="GK59" s="675">
        <v>5064</v>
      </c>
      <c r="GL59" s="675">
        <v>19509</v>
      </c>
      <c r="GM59" s="675">
        <v>0</v>
      </c>
      <c r="GN59" s="675">
        <v>0</v>
      </c>
      <c r="GO59" s="675">
        <v>0</v>
      </c>
      <c r="GP59" s="675">
        <v>13911204</v>
      </c>
      <c r="GQ59" s="675">
        <v>13911204</v>
      </c>
      <c r="GR59" s="675">
        <v>0</v>
      </c>
      <c r="GS59" s="675">
        <v>0</v>
      </c>
      <c r="GT59" s="675">
        <v>0</v>
      </c>
      <c r="GU59" s="675">
        <v>0</v>
      </c>
      <c r="GV59" s="675">
        <v>0</v>
      </c>
      <c r="GW59" s="675">
        <v>0</v>
      </c>
      <c r="GX59" s="675">
        <v>0</v>
      </c>
      <c r="GY59" s="675">
        <v>0</v>
      </c>
      <c r="GZ59" s="675">
        <v>0</v>
      </c>
      <c r="HA59" s="675">
        <v>0</v>
      </c>
      <c r="HB59" s="675">
        <v>260786259</v>
      </c>
      <c r="HC59" s="675">
        <v>5.0923999999999997E-2</v>
      </c>
      <c r="HD59" s="675">
        <v>262102</v>
      </c>
      <c r="HE59" s="675">
        <v>0</v>
      </c>
      <c r="HF59" s="675">
        <v>0</v>
      </c>
      <c r="HG59" s="675">
        <v>0</v>
      </c>
      <c r="HH59" s="675">
        <v>0</v>
      </c>
      <c r="HI59" s="675">
        <v>0</v>
      </c>
      <c r="HJ59" s="675">
        <v>0</v>
      </c>
      <c r="HK59" s="675">
        <v>0</v>
      </c>
      <c r="HL59" s="675">
        <v>0</v>
      </c>
      <c r="HM59" s="675">
        <v>0</v>
      </c>
      <c r="HN59" s="675">
        <v>0</v>
      </c>
      <c r="HO59" s="675">
        <v>0</v>
      </c>
      <c r="HP59" s="675">
        <v>0</v>
      </c>
      <c r="HQ59" s="675">
        <v>0</v>
      </c>
      <c r="HR59" s="675">
        <v>0</v>
      </c>
      <c r="HS59" s="675">
        <v>0</v>
      </c>
      <c r="HT59" s="675">
        <v>0</v>
      </c>
      <c r="HU59" s="675">
        <v>0</v>
      </c>
      <c r="HV59" s="675">
        <v>0</v>
      </c>
      <c r="HW59" s="675">
        <v>0</v>
      </c>
      <c r="HX59" s="675">
        <v>0</v>
      </c>
      <c r="HY59" s="675">
        <v>0</v>
      </c>
      <c r="HZ59" s="675">
        <v>0</v>
      </c>
      <c r="IA59" s="675">
        <v>0</v>
      </c>
      <c r="IB59" s="675">
        <v>0</v>
      </c>
      <c r="IC59" s="675">
        <v>0</v>
      </c>
      <c r="ID59" s="675">
        <v>0</v>
      </c>
      <c r="IE59" s="675">
        <v>0</v>
      </c>
      <c r="IF59" s="675">
        <v>0</v>
      </c>
      <c r="IG59" s="675">
        <v>0</v>
      </c>
      <c r="IH59" s="675">
        <v>0</v>
      </c>
      <c r="II59" s="675">
        <v>0</v>
      </c>
      <c r="IJ59" s="675">
        <v>0</v>
      </c>
      <c r="IK59" s="675">
        <v>0</v>
      </c>
      <c r="IL59" s="675">
        <v>0</v>
      </c>
      <c r="IM59" s="675">
        <v>0</v>
      </c>
      <c r="IN59" s="675">
        <v>0</v>
      </c>
      <c r="IO59" s="675">
        <v>0</v>
      </c>
      <c r="IP59" s="675">
        <v>0</v>
      </c>
      <c r="IQ59" s="675">
        <v>0</v>
      </c>
      <c r="IR59" s="675">
        <v>0</v>
      </c>
      <c r="IS59" s="675">
        <v>0</v>
      </c>
      <c r="IT59" s="675">
        <v>0</v>
      </c>
      <c r="IU59" s="675">
        <v>0</v>
      </c>
      <c r="IV59" s="675">
        <v>0</v>
      </c>
      <c r="IW59" s="675">
        <v>0</v>
      </c>
      <c r="IX59" s="675">
        <v>0</v>
      </c>
      <c r="IY59" s="675">
        <v>0</v>
      </c>
      <c r="IZ59" s="675">
        <v>0</v>
      </c>
      <c r="JA59" s="675">
        <v>0</v>
      </c>
      <c r="JB59" s="675">
        <v>0</v>
      </c>
      <c r="JC59" s="675">
        <v>0</v>
      </c>
      <c r="JD59" s="675">
        <v>0</v>
      </c>
      <c r="JE59" s="675">
        <v>0</v>
      </c>
      <c r="JF59" s="675">
        <v>0</v>
      </c>
      <c r="JG59" s="675">
        <v>0</v>
      </c>
      <c r="JH59" s="675">
        <v>0</v>
      </c>
      <c r="JI59" s="675">
        <v>0</v>
      </c>
      <c r="JJ59" s="675">
        <v>0</v>
      </c>
      <c r="JK59" s="675">
        <v>0</v>
      </c>
      <c r="JL59" s="675">
        <v>0</v>
      </c>
      <c r="JM59" s="675">
        <v>0</v>
      </c>
      <c r="JN59" s="675">
        <v>32469</v>
      </c>
      <c r="JO59" s="675">
        <v>0</v>
      </c>
      <c r="JP59" s="675">
        <v>0</v>
      </c>
      <c r="JQ59" s="675">
        <v>0</v>
      </c>
      <c r="JR59" s="675">
        <v>0</v>
      </c>
      <c r="JS59" s="675">
        <v>0</v>
      </c>
      <c r="JT59" s="675">
        <v>0</v>
      </c>
      <c r="JU59" s="675">
        <v>0</v>
      </c>
      <c r="JV59" s="675">
        <v>0</v>
      </c>
      <c r="JW59" s="675">
        <v>0</v>
      </c>
      <c r="JX59" s="675">
        <v>0</v>
      </c>
      <c r="JY59" s="675">
        <v>0</v>
      </c>
      <c r="JZ59" s="675">
        <v>0</v>
      </c>
      <c r="KA59" s="675">
        <v>0</v>
      </c>
      <c r="KB59" s="675">
        <v>0</v>
      </c>
      <c r="KC59" s="675">
        <v>0</v>
      </c>
      <c r="KD59" s="675">
        <v>0</v>
      </c>
      <c r="KE59" s="675">
        <v>0</v>
      </c>
      <c r="KF59" s="675">
        <v>0</v>
      </c>
    </row>
    <row r="60" spans="1:292" x14ac:dyDescent="0.25">
      <c r="A60" s="675">
        <v>57836</v>
      </c>
      <c r="B60" s="675">
        <v>32570</v>
      </c>
      <c r="C60" s="675">
        <v>35</v>
      </c>
      <c r="D60" s="675">
        <v>2022</v>
      </c>
      <c r="E60" s="675">
        <v>5392</v>
      </c>
      <c r="F60" s="675">
        <v>0</v>
      </c>
      <c r="G60" s="675">
        <v>296.44499999999999</v>
      </c>
      <c r="H60" s="675">
        <v>289.12600000000003</v>
      </c>
      <c r="I60" s="675">
        <v>289.12600000000003</v>
      </c>
      <c r="J60" s="675">
        <v>296.44499999999999</v>
      </c>
      <c r="K60" s="675">
        <v>0</v>
      </c>
      <c r="L60" s="675">
        <v>6554</v>
      </c>
      <c r="M60" s="675">
        <v>0</v>
      </c>
      <c r="N60" s="675">
        <v>0</v>
      </c>
      <c r="O60" s="675">
        <v>0</v>
      </c>
      <c r="P60" s="675">
        <v>297.43900000000002</v>
      </c>
      <c r="Q60" s="675">
        <v>0</v>
      </c>
      <c r="R60" s="675">
        <v>95095</v>
      </c>
      <c r="S60" s="675">
        <v>319.71300000000002</v>
      </c>
      <c r="T60" s="675">
        <v>0</v>
      </c>
      <c r="U60" s="675">
        <v>95095</v>
      </c>
      <c r="V60" s="675">
        <v>0</v>
      </c>
      <c r="W60" s="675">
        <v>0</v>
      </c>
      <c r="X60" s="675">
        <v>0</v>
      </c>
      <c r="Y60" s="675">
        <v>0</v>
      </c>
      <c r="Z60" s="675">
        <v>0</v>
      </c>
      <c r="AA60" s="675">
        <v>1</v>
      </c>
      <c r="AB60" s="675">
        <v>1</v>
      </c>
      <c r="AC60" s="675">
        <v>0</v>
      </c>
      <c r="AD60" s="675" t="s">
        <v>316</v>
      </c>
      <c r="AE60" s="675">
        <v>0</v>
      </c>
      <c r="AF60" s="675">
        <v>0</v>
      </c>
      <c r="AG60" s="675">
        <v>0</v>
      </c>
      <c r="AH60" s="675">
        <v>0</v>
      </c>
      <c r="AI60" s="675">
        <v>0</v>
      </c>
      <c r="AJ60" s="675">
        <v>5104</v>
      </c>
      <c r="AK60" s="675" t="s">
        <v>671</v>
      </c>
      <c r="AL60" s="675" t="s">
        <v>24</v>
      </c>
      <c r="AM60" s="675">
        <v>0</v>
      </c>
      <c r="AN60" s="675">
        <v>0</v>
      </c>
      <c r="AO60" s="675">
        <v>0</v>
      </c>
      <c r="AP60" s="675">
        <v>0</v>
      </c>
      <c r="AQ60" s="675">
        <v>0</v>
      </c>
      <c r="AR60" s="675">
        <v>0</v>
      </c>
      <c r="AS60" s="675">
        <v>0</v>
      </c>
      <c r="AT60" s="675">
        <v>0</v>
      </c>
      <c r="AU60" s="675">
        <v>0</v>
      </c>
      <c r="AV60" s="675">
        <v>71413</v>
      </c>
      <c r="AW60" s="675">
        <v>2855607</v>
      </c>
      <c r="AX60" s="675">
        <v>2790142</v>
      </c>
      <c r="AY60" s="675">
        <v>3010491</v>
      </c>
      <c r="AZ60" s="675">
        <v>95095</v>
      </c>
      <c r="BA60" s="675">
        <v>14.083</v>
      </c>
      <c r="BB60" s="675">
        <v>11657</v>
      </c>
      <c r="BC60" s="675">
        <v>11657</v>
      </c>
      <c r="BD60" s="675">
        <v>14.822000000000001</v>
      </c>
      <c r="BE60" s="675">
        <v>0</v>
      </c>
      <c r="BF60" s="675">
        <v>2376626</v>
      </c>
      <c r="BG60" s="675">
        <v>0</v>
      </c>
      <c r="BH60" s="675">
        <v>0</v>
      </c>
      <c r="BI60" s="675">
        <v>0</v>
      </c>
      <c r="BJ60" s="675">
        <v>12</v>
      </c>
      <c r="BK60" s="675">
        <v>0</v>
      </c>
      <c r="BL60" s="675">
        <v>0</v>
      </c>
      <c r="BM60" s="675">
        <v>0</v>
      </c>
      <c r="BN60" s="675">
        <v>0</v>
      </c>
      <c r="BO60" s="675">
        <v>0</v>
      </c>
      <c r="BP60" s="675">
        <v>0</v>
      </c>
      <c r="BQ60" s="675">
        <v>5392</v>
      </c>
      <c r="BR60" s="675">
        <v>1</v>
      </c>
      <c r="BS60" s="675">
        <v>0</v>
      </c>
      <c r="BT60" s="675">
        <v>0</v>
      </c>
      <c r="BU60" s="675">
        <v>0</v>
      </c>
      <c r="BV60" s="675">
        <v>0</v>
      </c>
      <c r="BW60" s="675">
        <v>0</v>
      </c>
      <c r="BX60" s="675">
        <v>0</v>
      </c>
      <c r="BY60" s="675">
        <v>0</v>
      </c>
      <c r="BZ60" s="675">
        <v>0</v>
      </c>
      <c r="CA60" s="675">
        <v>0</v>
      </c>
      <c r="CB60" s="675">
        <v>0</v>
      </c>
      <c r="CC60" s="675">
        <v>0</v>
      </c>
      <c r="CD60" s="675">
        <v>0</v>
      </c>
      <c r="CE60" s="675">
        <v>0</v>
      </c>
      <c r="CF60" s="675">
        <v>0</v>
      </c>
      <c r="CG60" s="675">
        <v>0</v>
      </c>
      <c r="CH60" s="675">
        <v>65465</v>
      </c>
      <c r="CI60" s="675">
        <v>0</v>
      </c>
      <c r="CJ60" s="675">
        <v>4</v>
      </c>
      <c r="CK60" s="675">
        <v>0</v>
      </c>
      <c r="CL60" s="675">
        <v>0</v>
      </c>
      <c r="CM60" s="675">
        <v>0</v>
      </c>
      <c r="CN60" s="675">
        <v>0</v>
      </c>
      <c r="CO60" s="675">
        <v>0</v>
      </c>
      <c r="CP60" s="675">
        <v>0</v>
      </c>
      <c r="CQ60" s="675">
        <v>0</v>
      </c>
      <c r="CR60" s="675">
        <v>297.43900000000002</v>
      </c>
      <c r="CS60" s="675">
        <v>0</v>
      </c>
      <c r="CT60" s="675">
        <v>0</v>
      </c>
      <c r="CU60" s="675">
        <v>0</v>
      </c>
      <c r="CV60" s="675">
        <v>0</v>
      </c>
      <c r="CW60" s="675">
        <v>0</v>
      </c>
      <c r="CX60" s="675">
        <v>0</v>
      </c>
      <c r="CY60" s="675">
        <v>0</v>
      </c>
      <c r="CZ60" s="675">
        <v>0</v>
      </c>
      <c r="DA60" s="675">
        <v>1</v>
      </c>
      <c r="DB60" s="675">
        <v>1894932</v>
      </c>
      <c r="DC60" s="675">
        <v>0</v>
      </c>
      <c r="DD60" s="675">
        <v>0</v>
      </c>
      <c r="DE60" s="675">
        <v>314159</v>
      </c>
      <c r="DF60" s="675">
        <v>314159</v>
      </c>
      <c r="DG60" s="675">
        <v>239.67000000000002</v>
      </c>
      <c r="DH60" s="675">
        <v>0</v>
      </c>
      <c r="DI60" s="675">
        <v>0</v>
      </c>
      <c r="DJ60" s="675">
        <v>0</v>
      </c>
      <c r="DK60" s="675">
        <v>5392</v>
      </c>
      <c r="DL60" s="675">
        <v>0</v>
      </c>
      <c r="DM60" s="675">
        <v>221131</v>
      </c>
      <c r="DN60" s="675">
        <v>0</v>
      </c>
      <c r="DO60" s="675">
        <v>0</v>
      </c>
      <c r="DP60" s="675">
        <v>0</v>
      </c>
      <c r="DQ60" s="675">
        <v>0</v>
      </c>
      <c r="DR60" s="675">
        <v>0</v>
      </c>
      <c r="DS60" s="675">
        <v>0</v>
      </c>
      <c r="DT60" s="675">
        <v>0</v>
      </c>
      <c r="DU60" s="675">
        <v>0</v>
      </c>
      <c r="DV60" s="675">
        <v>0</v>
      </c>
      <c r="DW60" s="675">
        <v>0</v>
      </c>
      <c r="DX60" s="675">
        <v>0</v>
      </c>
      <c r="DY60" s="675">
        <v>0</v>
      </c>
      <c r="DZ60" s="675">
        <v>0</v>
      </c>
      <c r="EA60" s="675">
        <v>0</v>
      </c>
      <c r="EB60" s="675">
        <v>0</v>
      </c>
      <c r="EC60" s="675">
        <v>10.239000000000001</v>
      </c>
      <c r="ED60" s="675">
        <v>73817</v>
      </c>
      <c r="EE60" s="675">
        <v>0</v>
      </c>
      <c r="EF60" s="675">
        <v>0</v>
      </c>
      <c r="EG60" s="675">
        <v>0</v>
      </c>
      <c r="EH60" s="675">
        <v>147314</v>
      </c>
      <c r="EI60" s="675">
        <v>0</v>
      </c>
      <c r="EJ60" s="675">
        <v>0</v>
      </c>
      <c r="EK60" s="675">
        <v>6.3150000000000004</v>
      </c>
      <c r="EL60" s="675">
        <v>0</v>
      </c>
      <c r="EM60" s="675">
        <v>0.74399999999999999</v>
      </c>
      <c r="EN60" s="675">
        <v>0.26</v>
      </c>
      <c r="EO60" s="675">
        <v>0</v>
      </c>
      <c r="EP60" s="675">
        <v>0</v>
      </c>
      <c r="EQ60" s="675">
        <v>7.319</v>
      </c>
      <c r="ER60" s="675">
        <v>0</v>
      </c>
      <c r="ES60" s="675">
        <v>22.477</v>
      </c>
      <c r="ET60" s="675">
        <v>7042</v>
      </c>
      <c r="EU60" s="675">
        <v>95095</v>
      </c>
      <c r="EV60" s="675">
        <v>0</v>
      </c>
      <c r="EW60" s="675">
        <v>0</v>
      </c>
      <c r="EX60" s="675">
        <v>0</v>
      </c>
      <c r="EY60" s="675">
        <v>0</v>
      </c>
      <c r="EZ60" s="675">
        <v>2346784</v>
      </c>
      <c r="FA60" s="675">
        <v>0</v>
      </c>
      <c r="FB60" s="675">
        <v>2441879</v>
      </c>
      <c r="FC60" s="675">
        <v>0.97327799999999998</v>
      </c>
      <c r="FD60" s="675">
        <v>0</v>
      </c>
      <c r="FE60" s="675">
        <v>361822</v>
      </c>
      <c r="FF60" s="675">
        <v>81536</v>
      </c>
      <c r="FG60" s="675">
        <v>6.1239999999999996E-2</v>
      </c>
      <c r="FH60" s="675">
        <v>5.4803999999999999E-2</v>
      </c>
      <c r="FI60" s="675">
        <v>0</v>
      </c>
      <c r="FJ60" s="675">
        <v>0</v>
      </c>
      <c r="FK60" s="675">
        <v>465.65600000000001</v>
      </c>
      <c r="FL60" s="675">
        <v>2950702</v>
      </c>
      <c r="FM60" s="675">
        <v>0</v>
      </c>
      <c r="FN60" s="675">
        <v>0</v>
      </c>
      <c r="FO60" s="675">
        <v>0</v>
      </c>
      <c r="FP60" s="675">
        <v>0</v>
      </c>
      <c r="FQ60" s="675">
        <v>0</v>
      </c>
      <c r="FR60" s="675">
        <v>0</v>
      </c>
      <c r="FS60" s="675">
        <v>0</v>
      </c>
      <c r="FT60" s="675">
        <v>0</v>
      </c>
      <c r="FU60" s="675">
        <v>0</v>
      </c>
      <c r="FV60" s="675">
        <v>0</v>
      </c>
      <c r="FW60" s="675">
        <v>0</v>
      </c>
      <c r="FX60" s="675">
        <v>0</v>
      </c>
      <c r="FY60" s="675">
        <v>0</v>
      </c>
      <c r="FZ60" s="675">
        <v>0</v>
      </c>
      <c r="GA60" s="675">
        <v>0</v>
      </c>
      <c r="GB60" s="675">
        <v>0</v>
      </c>
      <c r="GC60" s="675">
        <v>0</v>
      </c>
      <c r="GD60" s="675">
        <v>0</v>
      </c>
      <c r="GE60" s="675">
        <v>0</v>
      </c>
      <c r="GF60" s="675">
        <v>0</v>
      </c>
      <c r="GG60" s="675">
        <v>0</v>
      </c>
      <c r="GH60" s="675">
        <v>0</v>
      </c>
      <c r="GI60" s="675">
        <v>0</v>
      </c>
      <c r="GJ60" s="675">
        <v>0</v>
      </c>
      <c r="GK60" s="675">
        <v>5091</v>
      </c>
      <c r="GL60" s="675">
        <v>7894</v>
      </c>
      <c r="GM60" s="675">
        <v>0</v>
      </c>
      <c r="GN60" s="675">
        <v>0</v>
      </c>
      <c r="GO60" s="675">
        <v>0</v>
      </c>
      <c r="GP60" s="675">
        <v>2885237</v>
      </c>
      <c r="GQ60" s="675">
        <v>2885237</v>
      </c>
      <c r="GR60" s="675">
        <v>0</v>
      </c>
      <c r="GS60" s="675">
        <v>0</v>
      </c>
      <c r="GT60" s="675">
        <v>0</v>
      </c>
      <c r="GU60" s="675">
        <v>0</v>
      </c>
      <c r="GV60" s="675">
        <v>0</v>
      </c>
      <c r="GW60" s="675">
        <v>0</v>
      </c>
      <c r="GX60" s="675">
        <v>0</v>
      </c>
      <c r="GY60" s="675">
        <v>0</v>
      </c>
      <c r="GZ60" s="675">
        <v>0</v>
      </c>
      <c r="HA60" s="675">
        <v>0</v>
      </c>
      <c r="HB60" s="675">
        <v>260786259</v>
      </c>
      <c r="HC60" s="675">
        <v>5.0923999999999997E-2</v>
      </c>
      <c r="HD60" s="675">
        <v>58423</v>
      </c>
      <c r="HE60" s="675">
        <v>0</v>
      </c>
      <c r="HF60" s="675">
        <v>0</v>
      </c>
      <c r="HG60" s="675">
        <v>0</v>
      </c>
      <c r="HH60" s="675">
        <v>0</v>
      </c>
      <c r="HI60" s="675">
        <v>0</v>
      </c>
      <c r="HJ60" s="675">
        <v>0</v>
      </c>
      <c r="HK60" s="675">
        <v>0</v>
      </c>
      <c r="HL60" s="675">
        <v>0</v>
      </c>
      <c r="HM60" s="675">
        <v>0</v>
      </c>
      <c r="HN60" s="675">
        <v>0</v>
      </c>
      <c r="HO60" s="675">
        <v>0</v>
      </c>
      <c r="HP60" s="675">
        <v>0</v>
      </c>
      <c r="HQ60" s="675">
        <v>0</v>
      </c>
      <c r="HR60" s="675">
        <v>0</v>
      </c>
      <c r="HS60" s="675">
        <v>0</v>
      </c>
      <c r="HT60" s="675">
        <v>0</v>
      </c>
      <c r="HU60" s="675">
        <v>0</v>
      </c>
      <c r="HV60" s="675">
        <v>0</v>
      </c>
      <c r="HW60" s="675">
        <v>0</v>
      </c>
      <c r="HX60" s="675">
        <v>0</v>
      </c>
      <c r="HY60" s="675">
        <v>0</v>
      </c>
      <c r="HZ60" s="675">
        <v>0</v>
      </c>
      <c r="IA60" s="675">
        <v>0</v>
      </c>
      <c r="IB60" s="675">
        <v>0</v>
      </c>
      <c r="IC60" s="675">
        <v>0</v>
      </c>
      <c r="ID60" s="675">
        <v>0</v>
      </c>
      <c r="IE60" s="675">
        <v>0</v>
      </c>
      <c r="IF60" s="675">
        <v>0</v>
      </c>
      <c r="IG60" s="675">
        <v>0</v>
      </c>
      <c r="IH60" s="675">
        <v>0</v>
      </c>
      <c r="II60" s="675">
        <v>0</v>
      </c>
      <c r="IJ60" s="675">
        <v>0</v>
      </c>
      <c r="IK60" s="675">
        <v>0</v>
      </c>
      <c r="IL60" s="675">
        <v>0</v>
      </c>
      <c r="IM60" s="675">
        <v>0</v>
      </c>
      <c r="IN60" s="675">
        <v>0</v>
      </c>
      <c r="IO60" s="675">
        <v>0</v>
      </c>
      <c r="IP60" s="675">
        <v>0</v>
      </c>
      <c r="IQ60" s="675">
        <v>0</v>
      </c>
      <c r="IR60" s="675">
        <v>0</v>
      </c>
      <c r="IS60" s="675">
        <v>0</v>
      </c>
      <c r="IT60" s="675">
        <v>0</v>
      </c>
      <c r="IU60" s="675">
        <v>0</v>
      </c>
      <c r="IV60" s="675">
        <v>0</v>
      </c>
      <c r="IW60" s="675">
        <v>0</v>
      </c>
      <c r="IX60" s="675">
        <v>0</v>
      </c>
      <c r="IY60" s="675">
        <v>0</v>
      </c>
      <c r="IZ60" s="675">
        <v>0</v>
      </c>
      <c r="JA60" s="675">
        <v>0</v>
      </c>
      <c r="JB60" s="675">
        <v>0</v>
      </c>
      <c r="JC60" s="675">
        <v>0</v>
      </c>
      <c r="JD60" s="675">
        <v>0</v>
      </c>
      <c r="JE60" s="675">
        <v>0</v>
      </c>
      <c r="JF60" s="675">
        <v>0</v>
      </c>
      <c r="JG60" s="675">
        <v>0</v>
      </c>
      <c r="JH60" s="675">
        <v>0</v>
      </c>
      <c r="JI60" s="675">
        <v>0</v>
      </c>
      <c r="JJ60" s="675">
        <v>0</v>
      </c>
      <c r="JK60" s="675">
        <v>0</v>
      </c>
      <c r="JL60" s="675">
        <v>0</v>
      </c>
      <c r="JM60" s="675">
        <v>0</v>
      </c>
      <c r="JN60" s="675">
        <v>32469</v>
      </c>
      <c r="JO60" s="675">
        <v>0</v>
      </c>
      <c r="JP60" s="675">
        <v>0</v>
      </c>
      <c r="JQ60" s="675">
        <v>0</v>
      </c>
      <c r="JR60" s="675">
        <v>0</v>
      </c>
      <c r="JS60" s="675">
        <v>0</v>
      </c>
      <c r="JT60" s="675">
        <v>0</v>
      </c>
      <c r="JU60" s="675">
        <v>0</v>
      </c>
      <c r="JV60" s="675">
        <v>0</v>
      </c>
      <c r="JW60" s="675">
        <v>0</v>
      </c>
      <c r="JX60" s="675">
        <v>0</v>
      </c>
      <c r="JY60" s="675">
        <v>0</v>
      </c>
      <c r="JZ60" s="675">
        <v>0</v>
      </c>
      <c r="KA60" s="675">
        <v>0</v>
      </c>
      <c r="KB60" s="675">
        <v>0</v>
      </c>
      <c r="KC60" s="675">
        <v>0</v>
      </c>
      <c r="KD60" s="675">
        <v>0</v>
      </c>
      <c r="KE60" s="675">
        <v>0</v>
      </c>
      <c r="KF60" s="675">
        <v>0</v>
      </c>
    </row>
    <row r="61" spans="1:292" x14ac:dyDescent="0.25">
      <c r="A61" s="675">
        <v>57839</v>
      </c>
      <c r="B61" s="675">
        <v>32570</v>
      </c>
      <c r="C61" s="675">
        <v>35</v>
      </c>
      <c r="D61" s="675">
        <v>2022</v>
      </c>
      <c r="E61" s="675">
        <v>5392</v>
      </c>
      <c r="F61" s="675">
        <v>0</v>
      </c>
      <c r="G61" s="675">
        <v>934.45500000000004</v>
      </c>
      <c r="H61" s="675">
        <v>929.79200000000003</v>
      </c>
      <c r="I61" s="675">
        <v>929.79200000000003</v>
      </c>
      <c r="J61" s="675">
        <v>934.45500000000004</v>
      </c>
      <c r="K61" s="675">
        <v>0</v>
      </c>
      <c r="L61" s="675">
        <v>6554</v>
      </c>
      <c r="M61" s="675">
        <v>0</v>
      </c>
      <c r="N61" s="675">
        <v>0</v>
      </c>
      <c r="O61" s="675">
        <v>0</v>
      </c>
      <c r="P61" s="675">
        <v>925.61700000000008</v>
      </c>
      <c r="Q61" s="675">
        <v>0</v>
      </c>
      <c r="R61" s="675">
        <v>295932</v>
      </c>
      <c r="S61" s="675">
        <v>319.71300000000002</v>
      </c>
      <c r="T61" s="675">
        <v>0</v>
      </c>
      <c r="U61" s="675">
        <v>295932</v>
      </c>
      <c r="V61" s="675">
        <v>578.94000000000005</v>
      </c>
      <c r="W61" s="675">
        <v>379437</v>
      </c>
      <c r="X61" s="675">
        <v>379437</v>
      </c>
      <c r="Y61" s="675">
        <v>0</v>
      </c>
      <c r="Z61" s="675">
        <v>0</v>
      </c>
      <c r="AA61" s="675">
        <v>1</v>
      </c>
      <c r="AB61" s="675">
        <v>1</v>
      </c>
      <c r="AC61" s="675">
        <v>0</v>
      </c>
      <c r="AD61" s="675" t="s">
        <v>316</v>
      </c>
      <c r="AE61" s="675">
        <v>0</v>
      </c>
      <c r="AF61" s="675">
        <v>0</v>
      </c>
      <c r="AG61" s="675">
        <v>0</v>
      </c>
      <c r="AH61" s="675">
        <v>0</v>
      </c>
      <c r="AI61" s="675">
        <v>0</v>
      </c>
      <c r="AJ61" s="675">
        <v>5104</v>
      </c>
      <c r="AK61" s="675" t="s">
        <v>671</v>
      </c>
      <c r="AL61" s="675" t="s">
        <v>59</v>
      </c>
      <c r="AM61" s="675">
        <v>0</v>
      </c>
      <c r="AN61" s="675">
        <v>0</v>
      </c>
      <c r="AO61" s="675">
        <v>0</v>
      </c>
      <c r="AP61" s="675">
        <v>0</v>
      </c>
      <c r="AQ61" s="675">
        <v>0</v>
      </c>
      <c r="AR61" s="675">
        <v>0</v>
      </c>
      <c r="AS61" s="675">
        <v>0</v>
      </c>
      <c r="AT61" s="675">
        <v>0</v>
      </c>
      <c r="AU61" s="675">
        <v>0</v>
      </c>
      <c r="AV61" s="675">
        <v>197558</v>
      </c>
      <c r="AW61" s="675">
        <v>9916911</v>
      </c>
      <c r="AX61" s="675">
        <v>9732751</v>
      </c>
      <c r="AY61" s="675">
        <v>10615015</v>
      </c>
      <c r="AZ61" s="675">
        <v>295932</v>
      </c>
      <c r="BA61" s="675">
        <v>0</v>
      </c>
      <c r="BB61" s="675">
        <v>9413</v>
      </c>
      <c r="BC61" s="675">
        <v>9413</v>
      </c>
      <c r="BD61" s="675">
        <v>11.969000000000001</v>
      </c>
      <c r="BE61" s="675">
        <v>0</v>
      </c>
      <c r="BF61" s="675">
        <v>8260820</v>
      </c>
      <c r="BG61" s="675">
        <v>0</v>
      </c>
      <c r="BH61" s="675">
        <v>0</v>
      </c>
      <c r="BI61" s="675">
        <v>0</v>
      </c>
      <c r="BJ61" s="675">
        <v>12</v>
      </c>
      <c r="BK61" s="675">
        <v>0</v>
      </c>
      <c r="BL61" s="675">
        <v>0</v>
      </c>
      <c r="BM61" s="675">
        <v>0</v>
      </c>
      <c r="BN61" s="675">
        <v>0</v>
      </c>
      <c r="BO61" s="675">
        <v>0</v>
      </c>
      <c r="BP61" s="675">
        <v>0</v>
      </c>
      <c r="BQ61" s="675">
        <v>5392</v>
      </c>
      <c r="BR61" s="675">
        <v>1</v>
      </c>
      <c r="BS61" s="675">
        <v>0</v>
      </c>
      <c r="BT61" s="675">
        <v>0</v>
      </c>
      <c r="BU61" s="675">
        <v>0</v>
      </c>
      <c r="BV61" s="675">
        <v>0</v>
      </c>
      <c r="BW61" s="675">
        <v>0</v>
      </c>
      <c r="BX61" s="675">
        <v>0</v>
      </c>
      <c r="BY61" s="675">
        <v>0</v>
      </c>
      <c r="BZ61" s="675">
        <v>0</v>
      </c>
      <c r="CA61" s="675">
        <v>0</v>
      </c>
      <c r="CB61" s="675">
        <v>0</v>
      </c>
      <c r="CC61" s="675">
        <v>0</v>
      </c>
      <c r="CD61" s="675">
        <v>0</v>
      </c>
      <c r="CE61" s="675">
        <v>0</v>
      </c>
      <c r="CF61" s="675">
        <v>0</v>
      </c>
      <c r="CG61" s="675">
        <v>0</v>
      </c>
      <c r="CH61" s="675">
        <v>184160</v>
      </c>
      <c r="CI61" s="675">
        <v>0</v>
      </c>
      <c r="CJ61" s="675">
        <v>4</v>
      </c>
      <c r="CK61" s="675">
        <v>0</v>
      </c>
      <c r="CL61" s="675">
        <v>0</v>
      </c>
      <c r="CM61" s="675">
        <v>0</v>
      </c>
      <c r="CN61" s="675">
        <v>0</v>
      </c>
      <c r="CO61" s="675">
        <v>0</v>
      </c>
      <c r="CP61" s="675">
        <v>0</v>
      </c>
      <c r="CQ61" s="675">
        <v>0</v>
      </c>
      <c r="CR61" s="675">
        <v>925.61700000000008</v>
      </c>
      <c r="CS61" s="675">
        <v>0</v>
      </c>
      <c r="CT61" s="675">
        <v>0</v>
      </c>
      <c r="CU61" s="675">
        <v>0</v>
      </c>
      <c r="CV61" s="675">
        <v>0</v>
      </c>
      <c r="CW61" s="675">
        <v>0</v>
      </c>
      <c r="CX61" s="675">
        <v>0</v>
      </c>
      <c r="CY61" s="675">
        <v>0</v>
      </c>
      <c r="CZ61" s="675">
        <v>0</v>
      </c>
      <c r="DA61" s="675">
        <v>1</v>
      </c>
      <c r="DB61" s="675">
        <v>6093857</v>
      </c>
      <c r="DC61" s="675">
        <v>0</v>
      </c>
      <c r="DD61" s="675">
        <v>0</v>
      </c>
      <c r="DE61" s="675">
        <v>1350124</v>
      </c>
      <c r="DF61" s="675">
        <v>1350124</v>
      </c>
      <c r="DG61" s="675">
        <v>1030</v>
      </c>
      <c r="DH61" s="675">
        <v>0</v>
      </c>
      <c r="DI61" s="675">
        <v>0</v>
      </c>
      <c r="DJ61" s="675">
        <v>0</v>
      </c>
      <c r="DK61" s="675">
        <v>5392</v>
      </c>
      <c r="DL61" s="675">
        <v>0</v>
      </c>
      <c r="DM61" s="675">
        <v>654800</v>
      </c>
      <c r="DN61" s="675">
        <v>0</v>
      </c>
      <c r="DO61" s="675">
        <v>0</v>
      </c>
      <c r="DP61" s="675">
        <v>0</v>
      </c>
      <c r="DQ61" s="675">
        <v>0</v>
      </c>
      <c r="DR61" s="675">
        <v>0</v>
      </c>
      <c r="DS61" s="675">
        <v>0</v>
      </c>
      <c r="DT61" s="675">
        <v>0</v>
      </c>
      <c r="DU61" s="675">
        <v>0</v>
      </c>
      <c r="DV61" s="675">
        <v>0</v>
      </c>
      <c r="DW61" s="675">
        <v>0</v>
      </c>
      <c r="DX61" s="675">
        <v>0</v>
      </c>
      <c r="DY61" s="675">
        <v>0</v>
      </c>
      <c r="DZ61" s="675">
        <v>0</v>
      </c>
      <c r="EA61" s="675">
        <v>0</v>
      </c>
      <c r="EB61" s="675">
        <v>0</v>
      </c>
      <c r="EC61" s="675">
        <v>72.344999999999999</v>
      </c>
      <c r="ED61" s="675">
        <v>521564</v>
      </c>
      <c r="EE61" s="675">
        <v>0</v>
      </c>
      <c r="EF61" s="675">
        <v>0</v>
      </c>
      <c r="EG61" s="675">
        <v>0</v>
      </c>
      <c r="EH61" s="675">
        <v>133236</v>
      </c>
      <c r="EI61" s="675">
        <v>0</v>
      </c>
      <c r="EJ61" s="675">
        <v>0</v>
      </c>
      <c r="EK61" s="675">
        <v>1.4930000000000001</v>
      </c>
      <c r="EL61" s="675">
        <v>0</v>
      </c>
      <c r="EM61" s="675">
        <v>0</v>
      </c>
      <c r="EN61" s="675">
        <v>3.17</v>
      </c>
      <c r="EO61" s="675">
        <v>0</v>
      </c>
      <c r="EP61" s="675">
        <v>0</v>
      </c>
      <c r="EQ61" s="675">
        <v>4.6630000000000003</v>
      </c>
      <c r="ER61" s="675">
        <v>0</v>
      </c>
      <c r="ES61" s="675">
        <v>20.329000000000001</v>
      </c>
      <c r="ET61" s="675">
        <v>0</v>
      </c>
      <c r="EU61" s="675">
        <v>295932</v>
      </c>
      <c r="EV61" s="675">
        <v>0</v>
      </c>
      <c r="EW61" s="675">
        <v>0</v>
      </c>
      <c r="EX61" s="675">
        <v>0</v>
      </c>
      <c r="EY61" s="675">
        <v>0</v>
      </c>
      <c r="EZ61" s="675">
        <v>8191699</v>
      </c>
      <c r="FA61" s="675">
        <v>0</v>
      </c>
      <c r="FB61" s="675">
        <v>8487631</v>
      </c>
      <c r="FC61" s="675">
        <v>0.97327799999999998</v>
      </c>
      <c r="FD61" s="675">
        <v>0</v>
      </c>
      <c r="FE61" s="675">
        <v>1257644</v>
      </c>
      <c r="FF61" s="675">
        <v>283408</v>
      </c>
      <c r="FG61" s="675">
        <v>6.1239999999999996E-2</v>
      </c>
      <c r="FH61" s="675">
        <v>5.4803999999999999E-2</v>
      </c>
      <c r="FI61" s="675">
        <v>0</v>
      </c>
      <c r="FJ61" s="675">
        <v>0</v>
      </c>
      <c r="FK61" s="675">
        <v>1618.5550000000001</v>
      </c>
      <c r="FL61" s="675">
        <v>10212843</v>
      </c>
      <c r="FM61" s="675">
        <v>0</v>
      </c>
      <c r="FN61" s="675">
        <v>0</v>
      </c>
      <c r="FO61" s="675">
        <v>0</v>
      </c>
      <c r="FP61" s="675">
        <v>0</v>
      </c>
      <c r="FQ61" s="675">
        <v>0</v>
      </c>
      <c r="FR61" s="675">
        <v>0</v>
      </c>
      <c r="FS61" s="675">
        <v>0</v>
      </c>
      <c r="FT61" s="675">
        <v>0</v>
      </c>
      <c r="FU61" s="675">
        <v>0</v>
      </c>
      <c r="FV61" s="675">
        <v>0</v>
      </c>
      <c r="FW61" s="675">
        <v>0</v>
      </c>
      <c r="FX61" s="675">
        <v>0</v>
      </c>
      <c r="FY61" s="675">
        <v>0</v>
      </c>
      <c r="FZ61" s="675">
        <v>0</v>
      </c>
      <c r="GA61" s="675">
        <v>0</v>
      </c>
      <c r="GB61" s="675">
        <v>0</v>
      </c>
      <c r="GC61" s="675">
        <v>0</v>
      </c>
      <c r="GD61" s="675">
        <v>0</v>
      </c>
      <c r="GE61" s="675">
        <v>0</v>
      </c>
      <c r="GF61" s="675">
        <v>0</v>
      </c>
      <c r="GG61" s="675">
        <v>0</v>
      </c>
      <c r="GH61" s="675">
        <v>0</v>
      </c>
      <c r="GI61" s="675">
        <v>0</v>
      </c>
      <c r="GJ61" s="675">
        <v>0</v>
      </c>
      <c r="GK61" s="675">
        <v>4971</v>
      </c>
      <c r="GL61" s="675">
        <v>12424</v>
      </c>
      <c r="GM61" s="675">
        <v>0</v>
      </c>
      <c r="GN61" s="675">
        <v>0</v>
      </c>
      <c r="GO61" s="675">
        <v>0</v>
      </c>
      <c r="GP61" s="675">
        <v>10028683</v>
      </c>
      <c r="GQ61" s="675">
        <v>10028683</v>
      </c>
      <c r="GR61" s="675">
        <v>0</v>
      </c>
      <c r="GS61" s="675">
        <v>0</v>
      </c>
      <c r="GT61" s="675">
        <v>0</v>
      </c>
      <c r="GU61" s="675">
        <v>0</v>
      </c>
      <c r="GV61" s="675">
        <v>0</v>
      </c>
      <c r="GW61" s="675">
        <v>0</v>
      </c>
      <c r="GX61" s="675">
        <v>0</v>
      </c>
      <c r="GY61" s="675">
        <v>0</v>
      </c>
      <c r="GZ61" s="675">
        <v>0</v>
      </c>
      <c r="HA61" s="675">
        <v>0</v>
      </c>
      <c r="HB61" s="675">
        <v>260786259</v>
      </c>
      <c r="HC61" s="675">
        <v>5.0923999999999997E-2</v>
      </c>
      <c r="HD61" s="675">
        <v>184160</v>
      </c>
      <c r="HE61" s="675">
        <v>0</v>
      </c>
      <c r="HF61" s="675">
        <v>0</v>
      </c>
      <c r="HG61" s="675">
        <v>0</v>
      </c>
      <c r="HH61" s="675">
        <v>0</v>
      </c>
      <c r="HI61" s="675">
        <v>0</v>
      </c>
      <c r="HJ61" s="675">
        <v>0</v>
      </c>
      <c r="HK61" s="675">
        <v>0</v>
      </c>
      <c r="HL61" s="675">
        <v>0</v>
      </c>
      <c r="HM61" s="675">
        <v>0</v>
      </c>
      <c r="HN61" s="675">
        <v>0</v>
      </c>
      <c r="HO61" s="675">
        <v>0</v>
      </c>
      <c r="HP61" s="675">
        <v>0</v>
      </c>
      <c r="HQ61" s="675">
        <v>0</v>
      </c>
      <c r="HR61" s="675">
        <v>0</v>
      </c>
      <c r="HS61" s="675">
        <v>0</v>
      </c>
      <c r="HT61" s="675">
        <v>0</v>
      </c>
      <c r="HU61" s="675">
        <v>0</v>
      </c>
      <c r="HV61" s="675">
        <v>0</v>
      </c>
      <c r="HW61" s="675">
        <v>0</v>
      </c>
      <c r="HX61" s="675">
        <v>0</v>
      </c>
      <c r="HY61" s="675">
        <v>0</v>
      </c>
      <c r="HZ61" s="675">
        <v>0</v>
      </c>
      <c r="IA61" s="675">
        <v>0</v>
      </c>
      <c r="IB61" s="675">
        <v>0</v>
      </c>
      <c r="IC61" s="675">
        <v>0</v>
      </c>
      <c r="ID61" s="675">
        <v>0</v>
      </c>
      <c r="IE61" s="675">
        <v>0</v>
      </c>
      <c r="IF61" s="675">
        <v>0</v>
      </c>
      <c r="IG61" s="675">
        <v>0</v>
      </c>
      <c r="IH61" s="675">
        <v>0</v>
      </c>
      <c r="II61" s="675">
        <v>0</v>
      </c>
      <c r="IJ61" s="675">
        <v>0</v>
      </c>
      <c r="IK61" s="675">
        <v>0</v>
      </c>
      <c r="IL61" s="675">
        <v>0</v>
      </c>
      <c r="IM61" s="675">
        <v>0</v>
      </c>
      <c r="IN61" s="675">
        <v>0</v>
      </c>
      <c r="IO61" s="675">
        <v>0</v>
      </c>
      <c r="IP61" s="675">
        <v>0</v>
      </c>
      <c r="IQ61" s="675">
        <v>0</v>
      </c>
      <c r="IR61" s="675">
        <v>0</v>
      </c>
      <c r="IS61" s="675">
        <v>0</v>
      </c>
      <c r="IT61" s="675">
        <v>0</v>
      </c>
      <c r="IU61" s="675">
        <v>0</v>
      </c>
      <c r="IV61" s="675">
        <v>0</v>
      </c>
      <c r="IW61" s="675">
        <v>0</v>
      </c>
      <c r="IX61" s="675">
        <v>0</v>
      </c>
      <c r="IY61" s="675">
        <v>0</v>
      </c>
      <c r="IZ61" s="675">
        <v>0</v>
      </c>
      <c r="JA61" s="675">
        <v>0</v>
      </c>
      <c r="JB61" s="675">
        <v>0</v>
      </c>
      <c r="JC61" s="675">
        <v>0</v>
      </c>
      <c r="JD61" s="675">
        <v>0</v>
      </c>
      <c r="JE61" s="675">
        <v>0</v>
      </c>
      <c r="JF61" s="675">
        <v>0</v>
      </c>
      <c r="JG61" s="675">
        <v>0</v>
      </c>
      <c r="JH61" s="675">
        <v>0</v>
      </c>
      <c r="JI61" s="675">
        <v>0</v>
      </c>
      <c r="JJ61" s="675">
        <v>0</v>
      </c>
      <c r="JK61" s="675">
        <v>0</v>
      </c>
      <c r="JL61" s="675">
        <v>0</v>
      </c>
      <c r="JM61" s="675">
        <v>0</v>
      </c>
      <c r="JN61" s="675">
        <v>32469</v>
      </c>
      <c r="JO61" s="675">
        <v>0</v>
      </c>
      <c r="JP61" s="675">
        <v>0</v>
      </c>
      <c r="JQ61" s="675">
        <v>0</v>
      </c>
      <c r="JR61" s="675">
        <v>0</v>
      </c>
      <c r="JS61" s="675">
        <v>0</v>
      </c>
      <c r="JT61" s="675">
        <v>0</v>
      </c>
      <c r="JU61" s="675">
        <v>0</v>
      </c>
      <c r="JV61" s="675">
        <v>0</v>
      </c>
      <c r="JW61" s="675">
        <v>0</v>
      </c>
      <c r="JX61" s="675">
        <v>0</v>
      </c>
      <c r="JY61" s="675">
        <v>0</v>
      </c>
      <c r="JZ61" s="675">
        <v>0</v>
      </c>
      <c r="KA61" s="675">
        <v>0</v>
      </c>
      <c r="KB61" s="675">
        <v>0</v>
      </c>
      <c r="KC61" s="675">
        <v>0</v>
      </c>
      <c r="KD61" s="675">
        <v>0</v>
      </c>
      <c r="KE61" s="675">
        <v>0</v>
      </c>
      <c r="KF61" s="675">
        <v>0</v>
      </c>
    </row>
    <row r="62" spans="1:292" x14ac:dyDescent="0.25">
      <c r="A62" s="675">
        <v>57840</v>
      </c>
      <c r="B62" s="675">
        <v>32570</v>
      </c>
      <c r="C62" s="675">
        <v>35</v>
      </c>
      <c r="D62" s="675">
        <v>2022</v>
      </c>
      <c r="E62" s="675">
        <v>5392</v>
      </c>
      <c r="F62" s="675">
        <v>0</v>
      </c>
      <c r="G62" s="675">
        <v>507.887</v>
      </c>
      <c r="H62" s="675">
        <v>385.90100000000001</v>
      </c>
      <c r="I62" s="675">
        <v>385.90100000000001</v>
      </c>
      <c r="J62" s="675">
        <v>507.887</v>
      </c>
      <c r="K62" s="675">
        <v>0</v>
      </c>
      <c r="L62" s="675">
        <v>6554</v>
      </c>
      <c r="M62" s="675">
        <v>0</v>
      </c>
      <c r="N62" s="675">
        <v>0</v>
      </c>
      <c r="O62" s="675">
        <v>0</v>
      </c>
      <c r="P62" s="675">
        <v>584.50300000000004</v>
      </c>
      <c r="Q62" s="675">
        <v>0</v>
      </c>
      <c r="R62" s="675">
        <v>186873</v>
      </c>
      <c r="S62" s="675">
        <v>319.71300000000002</v>
      </c>
      <c r="T62" s="675">
        <v>0</v>
      </c>
      <c r="U62" s="675">
        <v>186873</v>
      </c>
      <c r="V62" s="675">
        <v>17.04</v>
      </c>
      <c r="W62" s="675">
        <v>11168</v>
      </c>
      <c r="X62" s="675">
        <v>11168</v>
      </c>
      <c r="Y62" s="675">
        <v>0</v>
      </c>
      <c r="Z62" s="675">
        <v>0</v>
      </c>
      <c r="AA62" s="675">
        <v>1</v>
      </c>
      <c r="AB62" s="675">
        <v>1</v>
      </c>
      <c r="AC62" s="675">
        <v>0</v>
      </c>
      <c r="AD62" s="675" t="s">
        <v>316</v>
      </c>
      <c r="AE62" s="675">
        <v>0</v>
      </c>
      <c r="AF62" s="675">
        <v>0</v>
      </c>
      <c r="AG62" s="675">
        <v>0</v>
      </c>
      <c r="AH62" s="675">
        <v>0</v>
      </c>
      <c r="AI62" s="675">
        <v>0</v>
      </c>
      <c r="AJ62" s="675">
        <v>5104</v>
      </c>
      <c r="AK62" s="675" t="s">
        <v>671</v>
      </c>
      <c r="AL62" s="675" t="s">
        <v>330</v>
      </c>
      <c r="AM62" s="675">
        <v>0</v>
      </c>
      <c r="AN62" s="675">
        <v>0</v>
      </c>
      <c r="AO62" s="675">
        <v>0</v>
      </c>
      <c r="AP62" s="675">
        <v>0</v>
      </c>
      <c r="AQ62" s="675">
        <v>0</v>
      </c>
      <c r="AR62" s="675">
        <v>0</v>
      </c>
      <c r="AS62" s="675">
        <v>0</v>
      </c>
      <c r="AT62" s="675">
        <v>0</v>
      </c>
      <c r="AU62" s="675">
        <v>0</v>
      </c>
      <c r="AV62" s="675">
        <v>131</v>
      </c>
      <c r="AW62" s="675">
        <v>4339822</v>
      </c>
      <c r="AX62" s="675">
        <v>4100060</v>
      </c>
      <c r="AY62" s="675">
        <v>4973246</v>
      </c>
      <c r="AZ62" s="675">
        <v>326542</v>
      </c>
      <c r="BA62" s="675">
        <v>0</v>
      </c>
      <c r="BB62" s="675">
        <v>0</v>
      </c>
      <c r="BC62" s="675">
        <v>0</v>
      </c>
      <c r="BD62" s="675">
        <v>0</v>
      </c>
      <c r="BE62" s="675">
        <v>0</v>
      </c>
      <c r="BF62" s="675">
        <v>3531230</v>
      </c>
      <c r="BG62" s="675">
        <v>0</v>
      </c>
      <c r="BH62" s="675">
        <v>507.88600000000002</v>
      </c>
      <c r="BI62" s="675">
        <v>139669</v>
      </c>
      <c r="BJ62" s="675">
        <v>12</v>
      </c>
      <c r="BK62" s="675">
        <v>0</v>
      </c>
      <c r="BL62" s="675">
        <v>0</v>
      </c>
      <c r="BM62" s="675">
        <v>0</v>
      </c>
      <c r="BN62" s="675">
        <v>0</v>
      </c>
      <c r="BO62" s="675">
        <v>0</v>
      </c>
      <c r="BP62" s="675">
        <v>0</v>
      </c>
      <c r="BQ62" s="675">
        <v>5392</v>
      </c>
      <c r="BR62" s="675">
        <v>1</v>
      </c>
      <c r="BS62" s="675">
        <v>0</v>
      </c>
      <c r="BT62" s="675">
        <v>0</v>
      </c>
      <c r="BU62" s="675">
        <v>0</v>
      </c>
      <c r="BV62" s="675">
        <v>0</v>
      </c>
      <c r="BW62" s="675">
        <v>0</v>
      </c>
      <c r="BX62" s="675">
        <v>0</v>
      </c>
      <c r="BY62" s="675">
        <v>0</v>
      </c>
      <c r="BZ62" s="675">
        <v>0</v>
      </c>
      <c r="CA62" s="675">
        <v>0</v>
      </c>
      <c r="CB62" s="675">
        <v>0</v>
      </c>
      <c r="CC62" s="675">
        <v>0</v>
      </c>
      <c r="CD62" s="675">
        <v>0</v>
      </c>
      <c r="CE62" s="675">
        <v>0</v>
      </c>
      <c r="CF62" s="675">
        <v>0</v>
      </c>
      <c r="CG62" s="675">
        <v>0</v>
      </c>
      <c r="CH62" s="675">
        <v>100093</v>
      </c>
      <c r="CI62" s="675">
        <v>0</v>
      </c>
      <c r="CJ62" s="675">
        <v>4</v>
      </c>
      <c r="CK62" s="675">
        <v>0</v>
      </c>
      <c r="CL62" s="675">
        <v>0</v>
      </c>
      <c r="CM62" s="675">
        <v>0</v>
      </c>
      <c r="CN62" s="675">
        <v>0</v>
      </c>
      <c r="CO62" s="675">
        <v>0</v>
      </c>
      <c r="CP62" s="675">
        <v>0</v>
      </c>
      <c r="CQ62" s="675">
        <v>0</v>
      </c>
      <c r="CR62" s="675">
        <v>584.50300000000004</v>
      </c>
      <c r="CS62" s="675">
        <v>0</v>
      </c>
      <c r="CT62" s="675">
        <v>0</v>
      </c>
      <c r="CU62" s="675">
        <v>0</v>
      </c>
      <c r="CV62" s="675">
        <v>0</v>
      </c>
      <c r="CW62" s="675">
        <v>0</v>
      </c>
      <c r="CX62" s="675">
        <v>0</v>
      </c>
      <c r="CY62" s="675">
        <v>0</v>
      </c>
      <c r="CZ62" s="675">
        <v>0</v>
      </c>
      <c r="DA62" s="675">
        <v>1</v>
      </c>
      <c r="DB62" s="675">
        <v>2529195</v>
      </c>
      <c r="DC62" s="675">
        <v>0</v>
      </c>
      <c r="DD62" s="675">
        <v>0</v>
      </c>
      <c r="DE62" s="675">
        <v>0</v>
      </c>
      <c r="DF62" s="675">
        <v>0</v>
      </c>
      <c r="DG62" s="675">
        <v>0</v>
      </c>
      <c r="DH62" s="675">
        <v>0</v>
      </c>
      <c r="DI62" s="675">
        <v>0</v>
      </c>
      <c r="DJ62" s="675">
        <v>0</v>
      </c>
      <c r="DK62" s="675">
        <v>5392</v>
      </c>
      <c r="DL62" s="675">
        <v>0</v>
      </c>
      <c r="DM62" s="675">
        <v>7029</v>
      </c>
      <c r="DN62" s="675">
        <v>0</v>
      </c>
      <c r="DO62" s="675">
        <v>0</v>
      </c>
      <c r="DP62" s="675">
        <v>0</v>
      </c>
      <c r="DQ62" s="675">
        <v>0</v>
      </c>
      <c r="DR62" s="675">
        <v>0</v>
      </c>
      <c r="DS62" s="675">
        <v>0</v>
      </c>
      <c r="DT62" s="675">
        <v>0</v>
      </c>
      <c r="DU62" s="675">
        <v>0</v>
      </c>
      <c r="DV62" s="675">
        <v>0</v>
      </c>
      <c r="DW62" s="675">
        <v>0</v>
      </c>
      <c r="DX62" s="675">
        <v>0</v>
      </c>
      <c r="DY62" s="675">
        <v>0</v>
      </c>
      <c r="DZ62" s="675">
        <v>0</v>
      </c>
      <c r="EA62" s="675">
        <v>0</v>
      </c>
      <c r="EB62" s="675">
        <v>0</v>
      </c>
      <c r="EC62" s="675">
        <v>0.97500000000000009</v>
      </c>
      <c r="ED62" s="675">
        <v>7029</v>
      </c>
      <c r="EE62" s="675">
        <v>0</v>
      </c>
      <c r="EF62" s="675">
        <v>0</v>
      </c>
      <c r="EG62" s="675">
        <v>0</v>
      </c>
      <c r="EH62" s="675">
        <v>0</v>
      </c>
      <c r="EI62" s="675">
        <v>0</v>
      </c>
      <c r="EJ62" s="675">
        <v>0</v>
      </c>
      <c r="EK62" s="675">
        <v>0</v>
      </c>
      <c r="EL62" s="675">
        <v>0</v>
      </c>
      <c r="EM62" s="675">
        <v>0</v>
      </c>
      <c r="EN62" s="675">
        <v>0</v>
      </c>
      <c r="EO62" s="675">
        <v>0</v>
      </c>
      <c r="EP62" s="675">
        <v>0</v>
      </c>
      <c r="EQ62" s="675">
        <v>0</v>
      </c>
      <c r="ER62" s="675">
        <v>0</v>
      </c>
      <c r="ES62" s="675">
        <v>0</v>
      </c>
      <c r="ET62" s="675">
        <v>0</v>
      </c>
      <c r="EU62" s="675">
        <v>326542</v>
      </c>
      <c r="EV62" s="675">
        <v>0</v>
      </c>
      <c r="EW62" s="675">
        <v>0</v>
      </c>
      <c r="EX62" s="675">
        <v>0</v>
      </c>
      <c r="EY62" s="675">
        <v>0</v>
      </c>
      <c r="EZ62" s="675">
        <v>3441311</v>
      </c>
      <c r="FA62" s="675">
        <v>0</v>
      </c>
      <c r="FB62" s="675">
        <v>3767853</v>
      </c>
      <c r="FC62" s="675">
        <v>0.97327799999999998</v>
      </c>
      <c r="FD62" s="675">
        <v>0</v>
      </c>
      <c r="FE62" s="675">
        <v>537601</v>
      </c>
      <c r="FF62" s="675">
        <v>121148</v>
      </c>
      <c r="FG62" s="675">
        <v>6.1239999999999996E-2</v>
      </c>
      <c r="FH62" s="675">
        <v>5.4803999999999999E-2</v>
      </c>
      <c r="FI62" s="675">
        <v>0</v>
      </c>
      <c r="FJ62" s="675">
        <v>0</v>
      </c>
      <c r="FK62" s="675">
        <v>691.87900000000002</v>
      </c>
      <c r="FL62" s="675">
        <v>4526695</v>
      </c>
      <c r="FM62" s="675">
        <v>0</v>
      </c>
      <c r="FN62" s="675">
        <v>0</v>
      </c>
      <c r="FO62" s="675">
        <v>0</v>
      </c>
      <c r="FP62" s="675">
        <v>0</v>
      </c>
      <c r="FQ62" s="675">
        <v>0</v>
      </c>
      <c r="FR62" s="675">
        <v>0</v>
      </c>
      <c r="FS62" s="675">
        <v>0</v>
      </c>
      <c r="FT62" s="675">
        <v>0</v>
      </c>
      <c r="FU62" s="675">
        <v>0</v>
      </c>
      <c r="FV62" s="675">
        <v>0</v>
      </c>
      <c r="FW62" s="675">
        <v>0</v>
      </c>
      <c r="FX62" s="675">
        <v>0</v>
      </c>
      <c r="FY62" s="675">
        <v>0</v>
      </c>
      <c r="FZ62" s="675">
        <v>1472</v>
      </c>
      <c r="GA62" s="675">
        <v>29.449000000000002</v>
      </c>
      <c r="GB62" s="675">
        <v>1080792</v>
      </c>
      <c r="GC62" s="675">
        <v>1080792</v>
      </c>
      <c r="GD62" s="675">
        <v>121.986</v>
      </c>
      <c r="GE62" s="675">
        <v>0</v>
      </c>
      <c r="GF62" s="675">
        <v>0</v>
      </c>
      <c r="GG62" s="675">
        <v>0</v>
      </c>
      <c r="GH62" s="675">
        <v>0</v>
      </c>
      <c r="GI62" s="675">
        <v>0</v>
      </c>
      <c r="GJ62" s="675">
        <v>0</v>
      </c>
      <c r="GK62" s="675">
        <v>5202</v>
      </c>
      <c r="GL62" s="675">
        <v>9629</v>
      </c>
      <c r="GM62" s="675">
        <v>0</v>
      </c>
      <c r="GN62" s="675">
        <v>11762</v>
      </c>
      <c r="GO62" s="675">
        <v>0</v>
      </c>
      <c r="GP62" s="675">
        <v>4426602</v>
      </c>
      <c r="GQ62" s="675">
        <v>4426602</v>
      </c>
      <c r="GR62" s="675">
        <v>0</v>
      </c>
      <c r="GS62" s="675">
        <v>0</v>
      </c>
      <c r="GT62" s="675">
        <v>0</v>
      </c>
      <c r="GU62" s="675">
        <v>0</v>
      </c>
      <c r="GV62" s="675">
        <v>0</v>
      </c>
      <c r="GW62" s="675">
        <v>0</v>
      </c>
      <c r="GX62" s="675">
        <v>0</v>
      </c>
      <c r="GY62" s="675">
        <v>0</v>
      </c>
      <c r="GZ62" s="675">
        <v>0</v>
      </c>
      <c r="HA62" s="675">
        <v>0</v>
      </c>
      <c r="HB62" s="675">
        <v>260786259</v>
      </c>
      <c r="HC62" s="675">
        <v>5.0923999999999997E-2</v>
      </c>
      <c r="HD62" s="675">
        <v>100093</v>
      </c>
      <c r="HE62" s="675">
        <v>0</v>
      </c>
      <c r="HF62" s="675">
        <v>0</v>
      </c>
      <c r="HG62" s="675">
        <v>0</v>
      </c>
      <c r="HH62" s="675">
        <v>0</v>
      </c>
      <c r="HI62" s="675">
        <v>0</v>
      </c>
      <c r="HJ62" s="675">
        <v>0</v>
      </c>
      <c r="HK62" s="675">
        <v>0</v>
      </c>
      <c r="HL62" s="675">
        <v>0</v>
      </c>
      <c r="HM62" s="675">
        <v>0</v>
      </c>
      <c r="HN62" s="675">
        <v>0</v>
      </c>
      <c r="HO62" s="675">
        <v>0</v>
      </c>
      <c r="HP62" s="675">
        <v>0</v>
      </c>
      <c r="HQ62" s="675">
        <v>0</v>
      </c>
      <c r="HR62" s="675">
        <v>0</v>
      </c>
      <c r="HS62" s="675">
        <v>0</v>
      </c>
      <c r="HT62" s="675">
        <v>0</v>
      </c>
      <c r="HU62" s="675">
        <v>0</v>
      </c>
      <c r="HV62" s="675">
        <v>0</v>
      </c>
      <c r="HW62" s="675">
        <v>0</v>
      </c>
      <c r="HX62" s="675">
        <v>0</v>
      </c>
      <c r="HY62" s="675">
        <v>0</v>
      </c>
      <c r="HZ62" s="675">
        <v>0</v>
      </c>
      <c r="IA62" s="675">
        <v>0</v>
      </c>
      <c r="IB62" s="675">
        <v>0</v>
      </c>
      <c r="IC62" s="675">
        <v>0</v>
      </c>
      <c r="ID62" s="675">
        <v>0</v>
      </c>
      <c r="IE62" s="675">
        <v>0</v>
      </c>
      <c r="IF62" s="675">
        <v>0</v>
      </c>
      <c r="IG62" s="675">
        <v>0</v>
      </c>
      <c r="IH62" s="675">
        <v>0</v>
      </c>
      <c r="II62" s="675">
        <v>0</v>
      </c>
      <c r="IJ62" s="675">
        <v>0</v>
      </c>
      <c r="IK62" s="675">
        <v>0</v>
      </c>
      <c r="IL62" s="675">
        <v>0</v>
      </c>
      <c r="IM62" s="675">
        <v>0</v>
      </c>
      <c r="IN62" s="675">
        <v>0</v>
      </c>
      <c r="IO62" s="675">
        <v>0</v>
      </c>
      <c r="IP62" s="675">
        <v>0</v>
      </c>
      <c r="IQ62" s="675">
        <v>0</v>
      </c>
      <c r="IR62" s="675">
        <v>0</v>
      </c>
      <c r="IS62" s="675">
        <v>0</v>
      </c>
      <c r="IT62" s="675">
        <v>0</v>
      </c>
      <c r="IU62" s="675">
        <v>0</v>
      </c>
      <c r="IV62" s="675">
        <v>0</v>
      </c>
      <c r="IW62" s="675">
        <v>0</v>
      </c>
      <c r="IX62" s="675">
        <v>0</v>
      </c>
      <c r="IY62" s="675">
        <v>0</v>
      </c>
      <c r="IZ62" s="675">
        <v>0</v>
      </c>
      <c r="JA62" s="675">
        <v>0</v>
      </c>
      <c r="JB62" s="675">
        <v>0</v>
      </c>
      <c r="JC62" s="675">
        <v>0</v>
      </c>
      <c r="JD62" s="675">
        <v>0</v>
      </c>
      <c r="JE62" s="675">
        <v>0</v>
      </c>
      <c r="JF62" s="675">
        <v>0</v>
      </c>
      <c r="JG62" s="675">
        <v>0</v>
      </c>
      <c r="JH62" s="675">
        <v>0</v>
      </c>
      <c r="JI62" s="675">
        <v>0</v>
      </c>
      <c r="JJ62" s="675">
        <v>0</v>
      </c>
      <c r="JK62" s="675">
        <v>0</v>
      </c>
      <c r="JL62" s="675">
        <v>0</v>
      </c>
      <c r="JM62" s="675">
        <v>0</v>
      </c>
      <c r="JN62" s="675">
        <v>32469</v>
      </c>
      <c r="JO62" s="675">
        <v>0</v>
      </c>
      <c r="JP62" s="675">
        <v>0</v>
      </c>
      <c r="JQ62" s="675">
        <v>0</v>
      </c>
      <c r="JR62" s="675">
        <v>0</v>
      </c>
      <c r="JS62" s="675">
        <v>0</v>
      </c>
      <c r="JT62" s="675">
        <v>0</v>
      </c>
      <c r="JU62" s="675">
        <v>0</v>
      </c>
      <c r="JV62" s="675">
        <v>0</v>
      </c>
      <c r="JW62" s="675">
        <v>0</v>
      </c>
      <c r="JX62" s="675">
        <v>0</v>
      </c>
      <c r="JY62" s="675">
        <v>0</v>
      </c>
      <c r="JZ62" s="675">
        <v>0</v>
      </c>
      <c r="KA62" s="675">
        <v>0</v>
      </c>
      <c r="KB62" s="675">
        <v>0</v>
      </c>
      <c r="KC62" s="675">
        <v>0</v>
      </c>
      <c r="KD62" s="675">
        <v>0</v>
      </c>
      <c r="KE62" s="675">
        <v>0</v>
      </c>
      <c r="KF62" s="675">
        <v>0</v>
      </c>
    </row>
    <row r="63" spans="1:292" x14ac:dyDescent="0.25">
      <c r="A63" s="675">
        <v>57841</v>
      </c>
      <c r="B63" s="675">
        <v>32570</v>
      </c>
      <c r="C63" s="675">
        <v>35</v>
      </c>
      <c r="D63" s="675">
        <v>2022</v>
      </c>
      <c r="E63" s="675">
        <v>5392</v>
      </c>
      <c r="F63" s="675">
        <v>0</v>
      </c>
      <c r="G63" s="675">
        <v>931.17700000000002</v>
      </c>
      <c r="H63" s="675">
        <v>923.53500000000008</v>
      </c>
      <c r="I63" s="675">
        <v>923.53500000000008</v>
      </c>
      <c r="J63" s="675">
        <v>931.17700000000002</v>
      </c>
      <c r="K63" s="675">
        <v>0</v>
      </c>
      <c r="L63" s="675">
        <v>6554</v>
      </c>
      <c r="M63" s="675">
        <v>0</v>
      </c>
      <c r="N63" s="675">
        <v>0</v>
      </c>
      <c r="O63" s="675">
        <v>0</v>
      </c>
      <c r="P63" s="675">
        <v>743.59199999999998</v>
      </c>
      <c r="Q63" s="675">
        <v>0</v>
      </c>
      <c r="R63" s="675">
        <v>237736</v>
      </c>
      <c r="S63" s="675">
        <v>319.71300000000002</v>
      </c>
      <c r="T63" s="675">
        <v>0</v>
      </c>
      <c r="U63" s="675">
        <v>237736</v>
      </c>
      <c r="V63" s="675">
        <v>420.54400000000004</v>
      </c>
      <c r="W63" s="675">
        <v>275625</v>
      </c>
      <c r="X63" s="675">
        <v>275625</v>
      </c>
      <c r="Y63" s="675">
        <v>0</v>
      </c>
      <c r="Z63" s="675">
        <v>0</v>
      </c>
      <c r="AA63" s="675">
        <v>1</v>
      </c>
      <c r="AB63" s="675">
        <v>1</v>
      </c>
      <c r="AC63" s="675">
        <v>0</v>
      </c>
      <c r="AD63" s="675" t="s">
        <v>316</v>
      </c>
      <c r="AE63" s="675">
        <v>0</v>
      </c>
      <c r="AF63" s="675">
        <v>0</v>
      </c>
      <c r="AG63" s="675">
        <v>0</v>
      </c>
      <c r="AH63" s="675">
        <v>0</v>
      </c>
      <c r="AI63" s="675">
        <v>0</v>
      </c>
      <c r="AJ63" s="675">
        <v>5104</v>
      </c>
      <c r="AK63" s="675" t="s">
        <v>671</v>
      </c>
      <c r="AL63" s="675" t="s">
        <v>331</v>
      </c>
      <c r="AM63" s="675">
        <v>0</v>
      </c>
      <c r="AN63" s="675">
        <v>0</v>
      </c>
      <c r="AO63" s="675">
        <v>0</v>
      </c>
      <c r="AP63" s="675">
        <v>0</v>
      </c>
      <c r="AQ63" s="675">
        <v>0</v>
      </c>
      <c r="AR63" s="675">
        <v>0</v>
      </c>
      <c r="AS63" s="675">
        <v>0</v>
      </c>
      <c r="AT63" s="675">
        <v>0</v>
      </c>
      <c r="AU63" s="675">
        <v>0</v>
      </c>
      <c r="AV63" s="675">
        <v>209288</v>
      </c>
      <c r="AW63" s="675">
        <v>9285990</v>
      </c>
      <c r="AX63" s="675">
        <v>9048094</v>
      </c>
      <c r="AY63" s="675">
        <v>10609262</v>
      </c>
      <c r="AZ63" s="675">
        <v>292118</v>
      </c>
      <c r="BA63" s="675">
        <v>0</v>
      </c>
      <c r="BB63" s="675">
        <v>0</v>
      </c>
      <c r="BC63" s="675">
        <v>0</v>
      </c>
      <c r="BD63" s="675">
        <v>0</v>
      </c>
      <c r="BE63" s="675">
        <v>0</v>
      </c>
      <c r="BF63" s="675">
        <v>7648919</v>
      </c>
      <c r="BG63" s="675">
        <v>0</v>
      </c>
      <c r="BH63" s="675">
        <v>0</v>
      </c>
      <c r="BI63" s="675">
        <v>0</v>
      </c>
      <c r="BJ63" s="675">
        <v>12</v>
      </c>
      <c r="BK63" s="675">
        <v>0</v>
      </c>
      <c r="BL63" s="675">
        <v>0</v>
      </c>
      <c r="BM63" s="675">
        <v>0</v>
      </c>
      <c r="BN63" s="675">
        <v>0</v>
      </c>
      <c r="BO63" s="675">
        <v>0</v>
      </c>
      <c r="BP63" s="675">
        <v>0</v>
      </c>
      <c r="BQ63" s="675">
        <v>5392</v>
      </c>
      <c r="BR63" s="675">
        <v>1</v>
      </c>
      <c r="BS63" s="675">
        <v>0</v>
      </c>
      <c r="BT63" s="675">
        <v>0</v>
      </c>
      <c r="BU63" s="675">
        <v>0</v>
      </c>
      <c r="BV63" s="675">
        <v>0</v>
      </c>
      <c r="BW63" s="675">
        <v>0</v>
      </c>
      <c r="BX63" s="675">
        <v>0</v>
      </c>
      <c r="BY63" s="675">
        <v>0</v>
      </c>
      <c r="BZ63" s="675">
        <v>0</v>
      </c>
      <c r="CA63" s="675">
        <v>142.26500000000001</v>
      </c>
      <c r="CB63" s="675">
        <v>54382</v>
      </c>
      <c r="CC63" s="675">
        <v>0</v>
      </c>
      <c r="CD63" s="675">
        <v>0</v>
      </c>
      <c r="CE63" s="675">
        <v>0</v>
      </c>
      <c r="CF63" s="675">
        <v>0</v>
      </c>
      <c r="CG63" s="675">
        <v>0</v>
      </c>
      <c r="CH63" s="675">
        <v>183514</v>
      </c>
      <c r="CI63" s="675">
        <v>0</v>
      </c>
      <c r="CJ63" s="675">
        <v>5</v>
      </c>
      <c r="CK63" s="675">
        <v>0</v>
      </c>
      <c r="CL63" s="675">
        <v>0</v>
      </c>
      <c r="CM63" s="675">
        <v>0</v>
      </c>
      <c r="CN63" s="675">
        <v>0</v>
      </c>
      <c r="CO63" s="675">
        <v>0</v>
      </c>
      <c r="CP63" s="675">
        <v>0</v>
      </c>
      <c r="CQ63" s="675">
        <v>0</v>
      </c>
      <c r="CR63" s="675">
        <v>743.59199999999998</v>
      </c>
      <c r="CS63" s="675">
        <v>0</v>
      </c>
      <c r="CT63" s="675">
        <v>0</v>
      </c>
      <c r="CU63" s="675">
        <v>0</v>
      </c>
      <c r="CV63" s="675">
        <v>0</v>
      </c>
      <c r="CW63" s="675">
        <v>0</v>
      </c>
      <c r="CX63" s="675">
        <v>0</v>
      </c>
      <c r="CY63" s="675">
        <v>0</v>
      </c>
      <c r="CZ63" s="675">
        <v>0</v>
      </c>
      <c r="DA63" s="675">
        <v>1</v>
      </c>
      <c r="DB63" s="675">
        <v>6052848</v>
      </c>
      <c r="DC63" s="675">
        <v>0</v>
      </c>
      <c r="DD63" s="675">
        <v>0</v>
      </c>
      <c r="DE63" s="675">
        <v>1153727</v>
      </c>
      <c r="DF63" s="675">
        <v>1153727</v>
      </c>
      <c r="DG63" s="675">
        <v>880.17000000000007</v>
      </c>
      <c r="DH63" s="675">
        <v>0</v>
      </c>
      <c r="DI63" s="675">
        <v>0</v>
      </c>
      <c r="DJ63" s="675">
        <v>0</v>
      </c>
      <c r="DK63" s="675">
        <v>5392</v>
      </c>
      <c r="DL63" s="675">
        <v>0</v>
      </c>
      <c r="DM63" s="675">
        <v>376729</v>
      </c>
      <c r="DN63" s="675">
        <v>0</v>
      </c>
      <c r="DO63" s="675">
        <v>0</v>
      </c>
      <c r="DP63" s="675">
        <v>0</v>
      </c>
      <c r="DQ63" s="675">
        <v>0</v>
      </c>
      <c r="DR63" s="675">
        <v>0</v>
      </c>
      <c r="DS63" s="675">
        <v>0</v>
      </c>
      <c r="DT63" s="675">
        <v>0</v>
      </c>
      <c r="DU63" s="675">
        <v>0</v>
      </c>
      <c r="DV63" s="675">
        <v>0</v>
      </c>
      <c r="DW63" s="675">
        <v>0</v>
      </c>
      <c r="DX63" s="675">
        <v>0</v>
      </c>
      <c r="DY63" s="675">
        <v>0</v>
      </c>
      <c r="DZ63" s="675">
        <v>0</v>
      </c>
      <c r="EA63" s="675">
        <v>0</v>
      </c>
      <c r="EB63" s="675">
        <v>0</v>
      </c>
      <c r="EC63" s="675">
        <v>29.077000000000002</v>
      </c>
      <c r="ED63" s="675">
        <v>209628</v>
      </c>
      <c r="EE63" s="675">
        <v>0</v>
      </c>
      <c r="EF63" s="675">
        <v>0</v>
      </c>
      <c r="EG63" s="675">
        <v>0</v>
      </c>
      <c r="EH63" s="675">
        <v>167101</v>
      </c>
      <c r="EI63" s="675">
        <v>0</v>
      </c>
      <c r="EJ63" s="675">
        <v>0</v>
      </c>
      <c r="EK63" s="675">
        <v>6.3210000000000006</v>
      </c>
      <c r="EL63" s="675">
        <v>3.6000000000000004E-2</v>
      </c>
      <c r="EM63" s="675">
        <v>3.6000000000000004E-2</v>
      </c>
      <c r="EN63" s="675">
        <v>1.2850000000000001</v>
      </c>
      <c r="EO63" s="675">
        <v>0</v>
      </c>
      <c r="EP63" s="675">
        <v>0</v>
      </c>
      <c r="EQ63" s="675">
        <v>7.6420000000000003</v>
      </c>
      <c r="ER63" s="675">
        <v>0</v>
      </c>
      <c r="ES63" s="675">
        <v>25.496000000000002</v>
      </c>
      <c r="ET63" s="675">
        <v>0</v>
      </c>
      <c r="EU63" s="675">
        <v>292118</v>
      </c>
      <c r="EV63" s="675">
        <v>0</v>
      </c>
      <c r="EW63" s="675">
        <v>0</v>
      </c>
      <c r="EX63" s="675">
        <v>0</v>
      </c>
      <c r="EY63" s="675">
        <v>0</v>
      </c>
      <c r="EZ63" s="675">
        <v>7621193</v>
      </c>
      <c r="FA63" s="675">
        <v>0</v>
      </c>
      <c r="FB63" s="675">
        <v>7913311</v>
      </c>
      <c r="FC63" s="675">
        <v>0.97327799999999998</v>
      </c>
      <c r="FD63" s="675">
        <v>0</v>
      </c>
      <c r="FE63" s="675">
        <v>1164486</v>
      </c>
      <c r="FF63" s="675">
        <v>262415</v>
      </c>
      <c r="FG63" s="675">
        <v>6.1239999999999996E-2</v>
      </c>
      <c r="FH63" s="675">
        <v>5.4803999999999999E-2</v>
      </c>
      <c r="FI63" s="675">
        <v>0</v>
      </c>
      <c r="FJ63" s="675">
        <v>0</v>
      </c>
      <c r="FK63" s="675">
        <v>1498.664</v>
      </c>
      <c r="FL63" s="675">
        <v>9523726</v>
      </c>
      <c r="FM63" s="675">
        <v>0</v>
      </c>
      <c r="FN63" s="675">
        <v>0</v>
      </c>
      <c r="FO63" s="675">
        <v>0</v>
      </c>
      <c r="FP63" s="675">
        <v>0</v>
      </c>
      <c r="FQ63" s="675">
        <v>0</v>
      </c>
      <c r="FR63" s="675">
        <v>0</v>
      </c>
      <c r="FS63" s="675">
        <v>0</v>
      </c>
      <c r="FT63" s="675">
        <v>0</v>
      </c>
      <c r="FU63" s="675">
        <v>0</v>
      </c>
      <c r="FV63" s="675">
        <v>0</v>
      </c>
      <c r="FW63" s="675">
        <v>0</v>
      </c>
      <c r="FX63" s="675">
        <v>0</v>
      </c>
      <c r="FY63" s="675">
        <v>0</v>
      </c>
      <c r="FZ63" s="675">
        <v>0</v>
      </c>
      <c r="GA63" s="675">
        <v>0</v>
      </c>
      <c r="GB63" s="675">
        <v>0</v>
      </c>
      <c r="GC63" s="675">
        <v>0</v>
      </c>
      <c r="GD63" s="675">
        <v>0</v>
      </c>
      <c r="GE63" s="675">
        <v>0</v>
      </c>
      <c r="GF63" s="675">
        <v>0</v>
      </c>
      <c r="GG63" s="675">
        <v>0</v>
      </c>
      <c r="GH63" s="675">
        <v>0</v>
      </c>
      <c r="GI63" s="675">
        <v>0</v>
      </c>
      <c r="GJ63" s="675">
        <v>0</v>
      </c>
      <c r="GK63" s="675">
        <v>4971</v>
      </c>
      <c r="GL63" s="675">
        <v>2890</v>
      </c>
      <c r="GM63" s="675">
        <v>0</v>
      </c>
      <c r="GN63" s="675">
        <v>0</v>
      </c>
      <c r="GO63" s="675">
        <v>0</v>
      </c>
      <c r="GP63" s="675">
        <v>9340212</v>
      </c>
      <c r="GQ63" s="675">
        <v>9340212</v>
      </c>
      <c r="GR63" s="675">
        <v>0</v>
      </c>
      <c r="GS63" s="675">
        <v>0</v>
      </c>
      <c r="GT63" s="675">
        <v>0</v>
      </c>
      <c r="GU63" s="675">
        <v>0</v>
      </c>
      <c r="GV63" s="675">
        <v>0</v>
      </c>
      <c r="GW63" s="675">
        <v>0</v>
      </c>
      <c r="GX63" s="675">
        <v>0</v>
      </c>
      <c r="GY63" s="675">
        <v>0</v>
      </c>
      <c r="GZ63" s="675">
        <v>0</v>
      </c>
      <c r="HA63" s="675">
        <v>0</v>
      </c>
      <c r="HB63" s="675">
        <v>260786259</v>
      </c>
      <c r="HC63" s="675">
        <v>5.0923999999999997E-2</v>
      </c>
      <c r="HD63" s="675">
        <v>183514</v>
      </c>
      <c r="HE63" s="675">
        <v>0</v>
      </c>
      <c r="HF63" s="675">
        <v>0</v>
      </c>
      <c r="HG63" s="675">
        <v>0</v>
      </c>
      <c r="HH63" s="675">
        <v>0</v>
      </c>
      <c r="HI63" s="675">
        <v>0</v>
      </c>
      <c r="HJ63" s="675">
        <v>0</v>
      </c>
      <c r="HK63" s="675">
        <v>0</v>
      </c>
      <c r="HL63" s="675">
        <v>0</v>
      </c>
      <c r="HM63" s="675">
        <v>0</v>
      </c>
      <c r="HN63" s="675">
        <v>0</v>
      </c>
      <c r="HO63" s="675">
        <v>0</v>
      </c>
      <c r="HP63" s="675">
        <v>0</v>
      </c>
      <c r="HQ63" s="675">
        <v>0</v>
      </c>
      <c r="HR63" s="675">
        <v>0</v>
      </c>
      <c r="HS63" s="675">
        <v>0</v>
      </c>
      <c r="HT63" s="675">
        <v>0</v>
      </c>
      <c r="HU63" s="675">
        <v>0</v>
      </c>
      <c r="HV63" s="675">
        <v>0</v>
      </c>
      <c r="HW63" s="675">
        <v>0</v>
      </c>
      <c r="HX63" s="675">
        <v>0</v>
      </c>
      <c r="HY63" s="675">
        <v>0</v>
      </c>
      <c r="HZ63" s="675">
        <v>0</v>
      </c>
      <c r="IA63" s="675">
        <v>0</v>
      </c>
      <c r="IB63" s="675">
        <v>0</v>
      </c>
      <c r="IC63" s="675">
        <v>0</v>
      </c>
      <c r="ID63" s="675">
        <v>0</v>
      </c>
      <c r="IE63" s="675">
        <v>150.65700000000001</v>
      </c>
      <c r="IF63" s="675">
        <v>0</v>
      </c>
      <c r="IG63" s="675">
        <v>0</v>
      </c>
      <c r="IH63" s="675">
        <v>0</v>
      </c>
      <c r="II63" s="675">
        <v>0</v>
      </c>
      <c r="IJ63" s="675">
        <v>0</v>
      </c>
      <c r="IK63" s="675">
        <v>0</v>
      </c>
      <c r="IL63" s="675">
        <v>0</v>
      </c>
      <c r="IM63" s="675">
        <v>0</v>
      </c>
      <c r="IN63" s="675">
        <v>0</v>
      </c>
      <c r="IO63" s="675">
        <v>0</v>
      </c>
      <c r="IP63" s="675">
        <v>0</v>
      </c>
      <c r="IQ63" s="675">
        <v>0</v>
      </c>
      <c r="IR63" s="675">
        <v>0</v>
      </c>
      <c r="IS63" s="675">
        <v>0</v>
      </c>
      <c r="IT63" s="675">
        <v>0</v>
      </c>
      <c r="IU63" s="675">
        <v>0</v>
      </c>
      <c r="IV63" s="675">
        <v>0</v>
      </c>
      <c r="IW63" s="675">
        <v>0</v>
      </c>
      <c r="IX63" s="675">
        <v>0</v>
      </c>
      <c r="IY63" s="675">
        <v>0</v>
      </c>
      <c r="IZ63" s="675">
        <v>0</v>
      </c>
      <c r="JA63" s="675">
        <v>0</v>
      </c>
      <c r="JB63" s="675">
        <v>0</v>
      </c>
      <c r="JC63" s="675">
        <v>0</v>
      </c>
      <c r="JD63" s="675">
        <v>0</v>
      </c>
      <c r="JE63" s="675">
        <v>0</v>
      </c>
      <c r="JF63" s="675">
        <v>0</v>
      </c>
      <c r="JG63" s="675">
        <v>0</v>
      </c>
      <c r="JH63" s="675">
        <v>0</v>
      </c>
      <c r="JI63" s="675">
        <v>0</v>
      </c>
      <c r="JJ63" s="675">
        <v>0</v>
      </c>
      <c r="JK63" s="675">
        <v>0</v>
      </c>
      <c r="JL63" s="675">
        <v>0</v>
      </c>
      <c r="JM63" s="675">
        <v>0</v>
      </c>
      <c r="JN63" s="675">
        <v>32469</v>
      </c>
      <c r="JO63" s="675">
        <v>0</v>
      </c>
      <c r="JP63" s="675">
        <v>0</v>
      </c>
      <c r="JQ63" s="675">
        <v>0</v>
      </c>
      <c r="JR63" s="675">
        <v>0</v>
      </c>
      <c r="JS63" s="675">
        <v>0</v>
      </c>
      <c r="JT63" s="675">
        <v>0</v>
      </c>
      <c r="JU63" s="675">
        <v>0</v>
      </c>
      <c r="JV63" s="675">
        <v>0</v>
      </c>
      <c r="JW63" s="675">
        <v>0</v>
      </c>
      <c r="JX63" s="675">
        <v>0</v>
      </c>
      <c r="JY63" s="675">
        <v>0</v>
      </c>
      <c r="JZ63" s="675">
        <v>0</v>
      </c>
      <c r="KA63" s="675">
        <v>0</v>
      </c>
      <c r="KB63" s="675">
        <v>0</v>
      </c>
      <c r="KC63" s="675">
        <v>0</v>
      </c>
      <c r="KD63" s="675">
        <v>0</v>
      </c>
      <c r="KE63" s="675">
        <v>0</v>
      </c>
      <c r="KF63" s="675">
        <v>0</v>
      </c>
    </row>
    <row r="64" spans="1:292" x14ac:dyDescent="0.25">
      <c r="A64" s="675">
        <v>57844</v>
      </c>
      <c r="B64" s="675">
        <v>32570</v>
      </c>
      <c r="C64" s="675">
        <v>35</v>
      </c>
      <c r="D64" s="675">
        <v>2022</v>
      </c>
      <c r="E64" s="675">
        <v>5392</v>
      </c>
      <c r="F64" s="675">
        <v>0</v>
      </c>
      <c r="G64" s="675">
        <v>683.89300000000003</v>
      </c>
      <c r="H64" s="675">
        <v>662.03700000000003</v>
      </c>
      <c r="I64" s="675">
        <v>662.03700000000003</v>
      </c>
      <c r="J64" s="675">
        <v>683.89300000000003</v>
      </c>
      <c r="K64" s="675">
        <v>0</v>
      </c>
      <c r="L64" s="675">
        <v>6554</v>
      </c>
      <c r="M64" s="675">
        <v>0</v>
      </c>
      <c r="N64" s="675">
        <v>0</v>
      </c>
      <c r="O64" s="675">
        <v>0</v>
      </c>
      <c r="P64" s="675">
        <v>810.70800000000008</v>
      </c>
      <c r="Q64" s="675">
        <v>0</v>
      </c>
      <c r="R64" s="675">
        <v>259194</v>
      </c>
      <c r="S64" s="675">
        <v>319.71300000000002</v>
      </c>
      <c r="T64" s="675">
        <v>0</v>
      </c>
      <c r="U64" s="675">
        <v>259194</v>
      </c>
      <c r="V64" s="675">
        <v>183.52100000000002</v>
      </c>
      <c r="W64" s="675">
        <v>120280</v>
      </c>
      <c r="X64" s="675">
        <v>120280</v>
      </c>
      <c r="Y64" s="675">
        <v>0</v>
      </c>
      <c r="Z64" s="675">
        <v>0</v>
      </c>
      <c r="AA64" s="675">
        <v>1</v>
      </c>
      <c r="AB64" s="675">
        <v>1</v>
      </c>
      <c r="AC64" s="675">
        <v>0</v>
      </c>
      <c r="AD64" s="675" t="s">
        <v>316</v>
      </c>
      <c r="AE64" s="675">
        <v>0</v>
      </c>
      <c r="AF64" s="675">
        <v>0</v>
      </c>
      <c r="AG64" s="675">
        <v>0</v>
      </c>
      <c r="AH64" s="675">
        <v>0</v>
      </c>
      <c r="AI64" s="675">
        <v>0</v>
      </c>
      <c r="AJ64" s="675">
        <v>5104</v>
      </c>
      <c r="AK64" s="675" t="s">
        <v>671</v>
      </c>
      <c r="AL64" s="675" t="s">
        <v>332</v>
      </c>
      <c r="AM64" s="675">
        <v>0</v>
      </c>
      <c r="AN64" s="675">
        <v>0</v>
      </c>
      <c r="AO64" s="675">
        <v>0</v>
      </c>
      <c r="AP64" s="675">
        <v>0</v>
      </c>
      <c r="AQ64" s="675">
        <v>0</v>
      </c>
      <c r="AR64" s="675">
        <v>0</v>
      </c>
      <c r="AS64" s="675">
        <v>0</v>
      </c>
      <c r="AT64" s="675">
        <v>0</v>
      </c>
      <c r="AU64" s="675">
        <v>0</v>
      </c>
      <c r="AV64" s="675">
        <v>182756</v>
      </c>
      <c r="AW64" s="675">
        <v>6662008</v>
      </c>
      <c r="AX64" s="675">
        <v>6503009</v>
      </c>
      <c r="AY64" s="675">
        <v>6925303</v>
      </c>
      <c r="AZ64" s="675">
        <v>283413</v>
      </c>
      <c r="BA64" s="675">
        <v>0</v>
      </c>
      <c r="BB64" s="675">
        <v>0</v>
      </c>
      <c r="BC64" s="675">
        <v>0</v>
      </c>
      <c r="BD64" s="675">
        <v>0</v>
      </c>
      <c r="BE64" s="675">
        <v>0</v>
      </c>
      <c r="BF64" s="675">
        <v>5522911</v>
      </c>
      <c r="BG64" s="675">
        <v>0</v>
      </c>
      <c r="BH64" s="675">
        <v>88.069000000000003</v>
      </c>
      <c r="BI64" s="675">
        <v>24219</v>
      </c>
      <c r="BJ64" s="675">
        <v>12</v>
      </c>
      <c r="BK64" s="675">
        <v>0</v>
      </c>
      <c r="BL64" s="675">
        <v>0</v>
      </c>
      <c r="BM64" s="675">
        <v>0</v>
      </c>
      <c r="BN64" s="675">
        <v>0</v>
      </c>
      <c r="BO64" s="675">
        <v>0</v>
      </c>
      <c r="BP64" s="675">
        <v>0</v>
      </c>
      <c r="BQ64" s="675">
        <v>5392</v>
      </c>
      <c r="BR64" s="675">
        <v>1</v>
      </c>
      <c r="BS64" s="675">
        <v>0</v>
      </c>
      <c r="BT64" s="675">
        <v>0</v>
      </c>
      <c r="BU64" s="675">
        <v>0</v>
      </c>
      <c r="BV64" s="675">
        <v>0</v>
      </c>
      <c r="BW64" s="675">
        <v>0</v>
      </c>
      <c r="BX64" s="675">
        <v>0</v>
      </c>
      <c r="BY64" s="675">
        <v>0</v>
      </c>
      <c r="BZ64" s="675">
        <v>0</v>
      </c>
      <c r="CA64" s="675">
        <v>0</v>
      </c>
      <c r="CB64" s="675">
        <v>0</v>
      </c>
      <c r="CC64" s="675">
        <v>0</v>
      </c>
      <c r="CD64" s="675">
        <v>0</v>
      </c>
      <c r="CE64" s="675">
        <v>0</v>
      </c>
      <c r="CF64" s="675">
        <v>0</v>
      </c>
      <c r="CG64" s="675">
        <v>0</v>
      </c>
      <c r="CH64" s="675">
        <v>134780</v>
      </c>
      <c r="CI64" s="675">
        <v>0</v>
      </c>
      <c r="CJ64" s="675">
        <v>4</v>
      </c>
      <c r="CK64" s="675">
        <v>0</v>
      </c>
      <c r="CL64" s="675">
        <v>0</v>
      </c>
      <c r="CM64" s="675">
        <v>0</v>
      </c>
      <c r="CN64" s="675">
        <v>0</v>
      </c>
      <c r="CO64" s="675">
        <v>0</v>
      </c>
      <c r="CP64" s="675">
        <v>0</v>
      </c>
      <c r="CQ64" s="675">
        <v>0</v>
      </c>
      <c r="CR64" s="675">
        <v>810.70800000000008</v>
      </c>
      <c r="CS64" s="675">
        <v>0</v>
      </c>
      <c r="CT64" s="675">
        <v>0</v>
      </c>
      <c r="CU64" s="675">
        <v>0</v>
      </c>
      <c r="CV64" s="675">
        <v>0</v>
      </c>
      <c r="CW64" s="675">
        <v>0</v>
      </c>
      <c r="CX64" s="675">
        <v>0</v>
      </c>
      <c r="CY64" s="675">
        <v>0</v>
      </c>
      <c r="CZ64" s="675">
        <v>0</v>
      </c>
      <c r="DA64" s="675">
        <v>1</v>
      </c>
      <c r="DB64" s="675">
        <v>4338990</v>
      </c>
      <c r="DC64" s="675">
        <v>0</v>
      </c>
      <c r="DD64" s="675">
        <v>0</v>
      </c>
      <c r="DE64" s="675">
        <v>770095</v>
      </c>
      <c r="DF64" s="675">
        <v>770095</v>
      </c>
      <c r="DG64" s="675">
        <v>587.5</v>
      </c>
      <c r="DH64" s="675">
        <v>0</v>
      </c>
      <c r="DI64" s="675">
        <v>0</v>
      </c>
      <c r="DJ64" s="675">
        <v>0</v>
      </c>
      <c r="DK64" s="675">
        <v>5392</v>
      </c>
      <c r="DL64" s="675">
        <v>0</v>
      </c>
      <c r="DM64" s="675">
        <v>434495</v>
      </c>
      <c r="DN64" s="675">
        <v>0</v>
      </c>
      <c r="DO64" s="675">
        <v>0</v>
      </c>
      <c r="DP64" s="675">
        <v>0</v>
      </c>
      <c r="DQ64" s="675">
        <v>0</v>
      </c>
      <c r="DR64" s="675">
        <v>0</v>
      </c>
      <c r="DS64" s="675">
        <v>0</v>
      </c>
      <c r="DT64" s="675">
        <v>0</v>
      </c>
      <c r="DU64" s="675">
        <v>0</v>
      </c>
      <c r="DV64" s="675">
        <v>0</v>
      </c>
      <c r="DW64" s="675">
        <v>0</v>
      </c>
      <c r="DX64" s="675">
        <v>0</v>
      </c>
      <c r="DY64" s="675">
        <v>0</v>
      </c>
      <c r="DZ64" s="675">
        <v>0</v>
      </c>
      <c r="EA64" s="675">
        <v>0</v>
      </c>
      <c r="EB64" s="675">
        <v>0</v>
      </c>
      <c r="EC64" s="675">
        <v>2.0260000000000002</v>
      </c>
      <c r="ED64" s="675">
        <v>14606</v>
      </c>
      <c r="EE64" s="675">
        <v>0</v>
      </c>
      <c r="EF64" s="675">
        <v>0</v>
      </c>
      <c r="EG64" s="675">
        <v>0</v>
      </c>
      <c r="EH64" s="675">
        <v>419889</v>
      </c>
      <c r="EI64" s="675">
        <v>0</v>
      </c>
      <c r="EJ64" s="675">
        <v>0</v>
      </c>
      <c r="EK64" s="675">
        <v>15.485000000000001</v>
      </c>
      <c r="EL64" s="675">
        <v>0</v>
      </c>
      <c r="EM64" s="675">
        <v>4.1070000000000002</v>
      </c>
      <c r="EN64" s="675">
        <v>1.0580000000000001</v>
      </c>
      <c r="EO64" s="675">
        <v>0</v>
      </c>
      <c r="EP64" s="675">
        <v>0</v>
      </c>
      <c r="EQ64" s="675">
        <v>20.650000000000002</v>
      </c>
      <c r="ER64" s="675">
        <v>0</v>
      </c>
      <c r="ES64" s="675">
        <v>64.066000000000003</v>
      </c>
      <c r="ET64" s="675">
        <v>0</v>
      </c>
      <c r="EU64" s="675">
        <v>283413</v>
      </c>
      <c r="EV64" s="675">
        <v>0</v>
      </c>
      <c r="EW64" s="675">
        <v>0</v>
      </c>
      <c r="EX64" s="675">
        <v>0</v>
      </c>
      <c r="EY64" s="675">
        <v>0</v>
      </c>
      <c r="EZ64" s="675">
        <v>5472713</v>
      </c>
      <c r="FA64" s="675">
        <v>0</v>
      </c>
      <c r="FB64" s="675">
        <v>5756126</v>
      </c>
      <c r="FC64" s="675">
        <v>0.97327799999999998</v>
      </c>
      <c r="FD64" s="675">
        <v>0</v>
      </c>
      <c r="FE64" s="675">
        <v>840819</v>
      </c>
      <c r="FF64" s="675">
        <v>189477</v>
      </c>
      <c r="FG64" s="675">
        <v>6.1239999999999996E-2</v>
      </c>
      <c r="FH64" s="675">
        <v>5.4803999999999999E-2</v>
      </c>
      <c r="FI64" s="675">
        <v>0</v>
      </c>
      <c r="FJ64" s="675">
        <v>0</v>
      </c>
      <c r="FK64" s="675">
        <v>1082.1120000000001</v>
      </c>
      <c r="FL64" s="675">
        <v>6921202</v>
      </c>
      <c r="FM64" s="675">
        <v>0</v>
      </c>
      <c r="FN64" s="675">
        <v>0</v>
      </c>
      <c r="FO64" s="675">
        <v>57358</v>
      </c>
      <c r="FP64" s="675">
        <v>0</v>
      </c>
      <c r="FQ64" s="675">
        <v>57358</v>
      </c>
      <c r="FR64" s="675">
        <v>57358</v>
      </c>
      <c r="FS64" s="675">
        <v>0</v>
      </c>
      <c r="FT64" s="675">
        <v>0</v>
      </c>
      <c r="FU64" s="675">
        <v>0</v>
      </c>
      <c r="FV64" s="675">
        <v>0</v>
      </c>
      <c r="FW64" s="675">
        <v>0</v>
      </c>
      <c r="FX64" s="675">
        <v>0</v>
      </c>
      <c r="FY64" s="675">
        <v>0</v>
      </c>
      <c r="FZ64" s="675">
        <v>19</v>
      </c>
      <c r="GA64" s="675">
        <v>0.375</v>
      </c>
      <c r="GB64" s="675">
        <v>10689</v>
      </c>
      <c r="GC64" s="675">
        <v>10689</v>
      </c>
      <c r="GD64" s="675">
        <v>1.206</v>
      </c>
      <c r="GE64" s="675">
        <v>0</v>
      </c>
      <c r="GF64" s="675">
        <v>0</v>
      </c>
      <c r="GG64" s="675">
        <v>0</v>
      </c>
      <c r="GH64" s="675">
        <v>0</v>
      </c>
      <c r="GI64" s="675">
        <v>0</v>
      </c>
      <c r="GJ64" s="675">
        <v>0</v>
      </c>
      <c r="GK64" s="675">
        <v>5073</v>
      </c>
      <c r="GL64" s="675">
        <v>0</v>
      </c>
      <c r="GM64" s="675">
        <v>0</v>
      </c>
      <c r="GN64" s="675">
        <v>34641</v>
      </c>
      <c r="GO64" s="675">
        <v>0</v>
      </c>
      <c r="GP64" s="675">
        <v>6786422</v>
      </c>
      <c r="GQ64" s="675">
        <v>6786422</v>
      </c>
      <c r="GR64" s="675">
        <v>0</v>
      </c>
      <c r="GS64" s="675">
        <v>0</v>
      </c>
      <c r="GT64" s="675">
        <v>0</v>
      </c>
      <c r="GU64" s="675">
        <v>0</v>
      </c>
      <c r="GV64" s="675">
        <v>0</v>
      </c>
      <c r="GW64" s="675">
        <v>0</v>
      </c>
      <c r="GX64" s="675">
        <v>0</v>
      </c>
      <c r="GY64" s="675">
        <v>0</v>
      </c>
      <c r="GZ64" s="675">
        <v>0</v>
      </c>
      <c r="HA64" s="675">
        <v>0</v>
      </c>
      <c r="HB64" s="675">
        <v>260786259</v>
      </c>
      <c r="HC64" s="675">
        <v>5.0923999999999997E-2</v>
      </c>
      <c r="HD64" s="675">
        <v>134780</v>
      </c>
      <c r="HE64" s="675">
        <v>0</v>
      </c>
      <c r="HF64" s="675">
        <v>0</v>
      </c>
      <c r="HG64" s="675">
        <v>0</v>
      </c>
      <c r="HH64" s="675">
        <v>0</v>
      </c>
      <c r="HI64" s="675">
        <v>0</v>
      </c>
      <c r="HJ64" s="675">
        <v>0</v>
      </c>
      <c r="HK64" s="675">
        <v>0</v>
      </c>
      <c r="HL64" s="675">
        <v>0</v>
      </c>
      <c r="HM64" s="675">
        <v>0</v>
      </c>
      <c r="HN64" s="675">
        <v>0</v>
      </c>
      <c r="HO64" s="675">
        <v>0</v>
      </c>
      <c r="HP64" s="675">
        <v>0</v>
      </c>
      <c r="HQ64" s="675">
        <v>0</v>
      </c>
      <c r="HR64" s="675">
        <v>0</v>
      </c>
      <c r="HS64" s="675">
        <v>0</v>
      </c>
      <c r="HT64" s="675">
        <v>0</v>
      </c>
      <c r="HU64" s="675">
        <v>0</v>
      </c>
      <c r="HV64" s="675">
        <v>0</v>
      </c>
      <c r="HW64" s="675">
        <v>0</v>
      </c>
      <c r="HX64" s="675">
        <v>0</v>
      </c>
      <c r="HY64" s="675">
        <v>0</v>
      </c>
      <c r="HZ64" s="675">
        <v>0</v>
      </c>
      <c r="IA64" s="675">
        <v>0</v>
      </c>
      <c r="IB64" s="675">
        <v>0</v>
      </c>
      <c r="IC64" s="675">
        <v>0</v>
      </c>
      <c r="ID64" s="675">
        <v>0</v>
      </c>
      <c r="IE64" s="675">
        <v>0</v>
      </c>
      <c r="IF64" s="675">
        <v>0</v>
      </c>
      <c r="IG64" s="675">
        <v>0</v>
      </c>
      <c r="IH64" s="675">
        <v>0</v>
      </c>
      <c r="II64" s="675">
        <v>0</v>
      </c>
      <c r="IJ64" s="675">
        <v>0</v>
      </c>
      <c r="IK64" s="675">
        <v>0</v>
      </c>
      <c r="IL64" s="675">
        <v>0</v>
      </c>
      <c r="IM64" s="675">
        <v>0</v>
      </c>
      <c r="IN64" s="675">
        <v>0</v>
      </c>
      <c r="IO64" s="675">
        <v>0</v>
      </c>
      <c r="IP64" s="675">
        <v>0</v>
      </c>
      <c r="IQ64" s="675">
        <v>0</v>
      </c>
      <c r="IR64" s="675">
        <v>0</v>
      </c>
      <c r="IS64" s="675">
        <v>0</v>
      </c>
      <c r="IT64" s="675">
        <v>0</v>
      </c>
      <c r="IU64" s="675">
        <v>0</v>
      </c>
      <c r="IV64" s="675">
        <v>0</v>
      </c>
      <c r="IW64" s="675">
        <v>0</v>
      </c>
      <c r="IX64" s="675">
        <v>0</v>
      </c>
      <c r="IY64" s="675">
        <v>0</v>
      </c>
      <c r="IZ64" s="675">
        <v>0</v>
      </c>
      <c r="JA64" s="675">
        <v>0</v>
      </c>
      <c r="JB64" s="675">
        <v>0</v>
      </c>
      <c r="JC64" s="675">
        <v>0</v>
      </c>
      <c r="JD64" s="675">
        <v>0</v>
      </c>
      <c r="JE64" s="675">
        <v>0</v>
      </c>
      <c r="JF64" s="675">
        <v>0</v>
      </c>
      <c r="JG64" s="675">
        <v>0</v>
      </c>
      <c r="JH64" s="675">
        <v>0</v>
      </c>
      <c r="JI64" s="675">
        <v>0</v>
      </c>
      <c r="JJ64" s="675">
        <v>0</v>
      </c>
      <c r="JK64" s="675">
        <v>0</v>
      </c>
      <c r="JL64" s="675">
        <v>0</v>
      </c>
      <c r="JM64" s="675">
        <v>0</v>
      </c>
      <c r="JN64" s="675">
        <v>32469</v>
      </c>
      <c r="JO64" s="675">
        <v>0</v>
      </c>
      <c r="JP64" s="675">
        <v>0</v>
      </c>
      <c r="JQ64" s="675">
        <v>0</v>
      </c>
      <c r="JR64" s="675">
        <v>0</v>
      </c>
      <c r="JS64" s="675">
        <v>0</v>
      </c>
      <c r="JT64" s="675">
        <v>0</v>
      </c>
      <c r="JU64" s="675">
        <v>0</v>
      </c>
      <c r="JV64" s="675">
        <v>0</v>
      </c>
      <c r="JW64" s="675">
        <v>0</v>
      </c>
      <c r="JX64" s="675">
        <v>0</v>
      </c>
      <c r="JY64" s="675">
        <v>0</v>
      </c>
      <c r="JZ64" s="675">
        <v>0</v>
      </c>
      <c r="KA64" s="675">
        <v>0</v>
      </c>
      <c r="KB64" s="675">
        <v>0</v>
      </c>
      <c r="KC64" s="675">
        <v>0</v>
      </c>
      <c r="KD64" s="675">
        <v>0</v>
      </c>
      <c r="KE64" s="675">
        <v>0</v>
      </c>
      <c r="KF64" s="675">
        <v>0</v>
      </c>
    </row>
    <row r="65" spans="1:292" x14ac:dyDescent="0.25">
      <c r="A65" s="675">
        <v>57845</v>
      </c>
      <c r="B65" s="675">
        <v>32570</v>
      </c>
      <c r="C65" s="675">
        <v>35</v>
      </c>
      <c r="D65" s="675">
        <v>2022</v>
      </c>
      <c r="E65" s="675">
        <v>5392</v>
      </c>
      <c r="F65" s="675">
        <v>0</v>
      </c>
      <c r="G65" s="675">
        <v>1147.979</v>
      </c>
      <c r="H65" s="675">
        <v>1105.643</v>
      </c>
      <c r="I65" s="675">
        <v>1105.643</v>
      </c>
      <c r="J65" s="675">
        <v>1147.979</v>
      </c>
      <c r="K65" s="675">
        <v>0</v>
      </c>
      <c r="L65" s="675">
        <v>6554</v>
      </c>
      <c r="M65" s="675">
        <v>0</v>
      </c>
      <c r="N65" s="675">
        <v>0</v>
      </c>
      <c r="O65" s="675">
        <v>0</v>
      </c>
      <c r="P65" s="675">
        <v>804.92500000000007</v>
      </c>
      <c r="Q65" s="675">
        <v>0</v>
      </c>
      <c r="R65" s="675">
        <v>257345</v>
      </c>
      <c r="S65" s="675">
        <v>319.71300000000002</v>
      </c>
      <c r="T65" s="675">
        <v>0</v>
      </c>
      <c r="U65" s="675">
        <v>257345</v>
      </c>
      <c r="V65" s="675">
        <v>86.182000000000002</v>
      </c>
      <c r="W65" s="675">
        <v>56484</v>
      </c>
      <c r="X65" s="675">
        <v>56484</v>
      </c>
      <c r="Y65" s="675">
        <v>0</v>
      </c>
      <c r="Z65" s="675">
        <v>0</v>
      </c>
      <c r="AA65" s="675">
        <v>1</v>
      </c>
      <c r="AB65" s="675">
        <v>1</v>
      </c>
      <c r="AC65" s="675">
        <v>0</v>
      </c>
      <c r="AD65" s="675" t="s">
        <v>316</v>
      </c>
      <c r="AE65" s="675">
        <v>0</v>
      </c>
      <c r="AF65" s="675">
        <v>0</v>
      </c>
      <c r="AG65" s="675">
        <v>0</v>
      </c>
      <c r="AH65" s="675">
        <v>0</v>
      </c>
      <c r="AI65" s="675">
        <v>0</v>
      </c>
      <c r="AJ65" s="675">
        <v>5104</v>
      </c>
      <c r="AK65" s="675" t="s">
        <v>671</v>
      </c>
      <c r="AL65" s="675" t="s">
        <v>116</v>
      </c>
      <c r="AM65" s="675">
        <v>0</v>
      </c>
      <c r="AN65" s="675">
        <v>0</v>
      </c>
      <c r="AO65" s="675">
        <v>0</v>
      </c>
      <c r="AP65" s="675">
        <v>0</v>
      </c>
      <c r="AQ65" s="675">
        <v>0</v>
      </c>
      <c r="AR65" s="675">
        <v>0</v>
      </c>
      <c r="AS65" s="675">
        <v>0</v>
      </c>
      <c r="AT65" s="675">
        <v>0</v>
      </c>
      <c r="AU65" s="675">
        <v>0</v>
      </c>
      <c r="AV65" s="675">
        <v>294</v>
      </c>
      <c r="AW65" s="675">
        <v>9805168</v>
      </c>
      <c r="AX65" s="675">
        <v>9502956</v>
      </c>
      <c r="AY65" s="675">
        <v>10597456</v>
      </c>
      <c r="AZ65" s="675">
        <v>333316</v>
      </c>
      <c r="BA65" s="675">
        <v>0</v>
      </c>
      <c r="BB65" s="675">
        <v>0</v>
      </c>
      <c r="BC65" s="675">
        <v>0</v>
      </c>
      <c r="BD65" s="675">
        <v>0</v>
      </c>
      <c r="BE65" s="675">
        <v>0</v>
      </c>
      <c r="BF65" s="675">
        <v>8039749</v>
      </c>
      <c r="BG65" s="675">
        <v>0</v>
      </c>
      <c r="BH65" s="675">
        <v>276.25900000000001</v>
      </c>
      <c r="BI65" s="675">
        <v>75971</v>
      </c>
      <c r="BJ65" s="675">
        <v>12</v>
      </c>
      <c r="BK65" s="675">
        <v>0</v>
      </c>
      <c r="BL65" s="675">
        <v>0</v>
      </c>
      <c r="BM65" s="675">
        <v>0</v>
      </c>
      <c r="BN65" s="675">
        <v>0</v>
      </c>
      <c r="BO65" s="675">
        <v>0</v>
      </c>
      <c r="BP65" s="675">
        <v>0</v>
      </c>
      <c r="BQ65" s="675">
        <v>5392</v>
      </c>
      <c r="BR65" s="675">
        <v>1</v>
      </c>
      <c r="BS65" s="675">
        <v>0</v>
      </c>
      <c r="BT65" s="675">
        <v>0</v>
      </c>
      <c r="BU65" s="675">
        <v>0</v>
      </c>
      <c r="BV65" s="675">
        <v>0</v>
      </c>
      <c r="BW65" s="675">
        <v>0</v>
      </c>
      <c r="BX65" s="675">
        <v>0</v>
      </c>
      <c r="BY65" s="675">
        <v>0</v>
      </c>
      <c r="BZ65" s="675">
        <v>0</v>
      </c>
      <c r="CA65" s="675">
        <v>0</v>
      </c>
      <c r="CB65" s="675">
        <v>0</v>
      </c>
      <c r="CC65" s="675">
        <v>0</v>
      </c>
      <c r="CD65" s="675">
        <v>0</v>
      </c>
      <c r="CE65" s="675">
        <v>0</v>
      </c>
      <c r="CF65" s="675">
        <v>0</v>
      </c>
      <c r="CG65" s="675">
        <v>0</v>
      </c>
      <c r="CH65" s="675">
        <v>226241</v>
      </c>
      <c r="CI65" s="675">
        <v>0</v>
      </c>
      <c r="CJ65" s="675">
        <v>5</v>
      </c>
      <c r="CK65" s="675">
        <v>0</v>
      </c>
      <c r="CL65" s="675">
        <v>0</v>
      </c>
      <c r="CM65" s="675">
        <v>0</v>
      </c>
      <c r="CN65" s="675">
        <v>0</v>
      </c>
      <c r="CO65" s="675">
        <v>0</v>
      </c>
      <c r="CP65" s="675">
        <v>0</v>
      </c>
      <c r="CQ65" s="675">
        <v>0</v>
      </c>
      <c r="CR65" s="675">
        <v>804.92500000000007</v>
      </c>
      <c r="CS65" s="675">
        <v>0</v>
      </c>
      <c r="CT65" s="675">
        <v>0</v>
      </c>
      <c r="CU65" s="675">
        <v>0</v>
      </c>
      <c r="CV65" s="675">
        <v>0</v>
      </c>
      <c r="CW65" s="675">
        <v>0</v>
      </c>
      <c r="CX65" s="675">
        <v>0</v>
      </c>
      <c r="CY65" s="675">
        <v>0</v>
      </c>
      <c r="CZ65" s="675">
        <v>0</v>
      </c>
      <c r="DA65" s="675">
        <v>1</v>
      </c>
      <c r="DB65" s="675">
        <v>7246384</v>
      </c>
      <c r="DC65" s="675">
        <v>0</v>
      </c>
      <c r="DD65" s="675">
        <v>0</v>
      </c>
      <c r="DE65" s="675">
        <v>406571</v>
      </c>
      <c r="DF65" s="675">
        <v>406571</v>
      </c>
      <c r="DG65" s="675">
        <v>310.17</v>
      </c>
      <c r="DH65" s="675">
        <v>0</v>
      </c>
      <c r="DI65" s="675">
        <v>0</v>
      </c>
      <c r="DJ65" s="675">
        <v>0</v>
      </c>
      <c r="DK65" s="675">
        <v>5392</v>
      </c>
      <c r="DL65" s="675">
        <v>0</v>
      </c>
      <c r="DM65" s="675">
        <v>291920</v>
      </c>
      <c r="DN65" s="675">
        <v>0</v>
      </c>
      <c r="DO65" s="675">
        <v>0</v>
      </c>
      <c r="DP65" s="675">
        <v>0</v>
      </c>
      <c r="DQ65" s="675">
        <v>0</v>
      </c>
      <c r="DR65" s="675">
        <v>0</v>
      </c>
      <c r="DS65" s="675">
        <v>0</v>
      </c>
      <c r="DT65" s="675">
        <v>0</v>
      </c>
      <c r="DU65" s="675">
        <v>0</v>
      </c>
      <c r="DV65" s="675">
        <v>0</v>
      </c>
      <c r="DW65" s="675">
        <v>0</v>
      </c>
      <c r="DX65" s="675">
        <v>0</v>
      </c>
      <c r="DY65" s="675">
        <v>0</v>
      </c>
      <c r="DZ65" s="675">
        <v>0</v>
      </c>
      <c r="EA65" s="675">
        <v>0</v>
      </c>
      <c r="EB65" s="675">
        <v>0</v>
      </c>
      <c r="EC65" s="675">
        <v>2.1779999999999999</v>
      </c>
      <c r="ED65" s="675">
        <v>15702</v>
      </c>
      <c r="EE65" s="675">
        <v>0</v>
      </c>
      <c r="EF65" s="675">
        <v>0</v>
      </c>
      <c r="EG65" s="675">
        <v>0</v>
      </c>
      <c r="EH65" s="675">
        <v>276218</v>
      </c>
      <c r="EI65" s="675">
        <v>0</v>
      </c>
      <c r="EJ65" s="675">
        <v>0</v>
      </c>
      <c r="EK65" s="675">
        <v>11.605</v>
      </c>
      <c r="EL65" s="675">
        <v>0</v>
      </c>
      <c r="EM65" s="675">
        <v>0</v>
      </c>
      <c r="EN65" s="675">
        <v>1.466</v>
      </c>
      <c r="EO65" s="675">
        <v>0</v>
      </c>
      <c r="EP65" s="675">
        <v>0</v>
      </c>
      <c r="EQ65" s="675">
        <v>13.071000000000002</v>
      </c>
      <c r="ER65" s="675">
        <v>0</v>
      </c>
      <c r="ES65" s="675">
        <v>42.145000000000003</v>
      </c>
      <c r="ET65" s="675">
        <v>0</v>
      </c>
      <c r="EU65" s="675">
        <v>333316</v>
      </c>
      <c r="EV65" s="675">
        <v>0</v>
      </c>
      <c r="EW65" s="675">
        <v>0</v>
      </c>
      <c r="EX65" s="675">
        <v>0</v>
      </c>
      <c r="EY65" s="675">
        <v>0</v>
      </c>
      <c r="EZ65" s="675">
        <v>8003145</v>
      </c>
      <c r="FA65" s="675">
        <v>0</v>
      </c>
      <c r="FB65" s="675">
        <v>8336461</v>
      </c>
      <c r="FC65" s="675">
        <v>0.97327799999999998</v>
      </c>
      <c r="FD65" s="675">
        <v>0</v>
      </c>
      <c r="FE65" s="675">
        <v>1223987</v>
      </c>
      <c r="FF65" s="675">
        <v>275824</v>
      </c>
      <c r="FG65" s="675">
        <v>6.1239999999999996E-2</v>
      </c>
      <c r="FH65" s="675">
        <v>5.4803999999999999E-2</v>
      </c>
      <c r="FI65" s="675">
        <v>0</v>
      </c>
      <c r="FJ65" s="675">
        <v>0</v>
      </c>
      <c r="FK65" s="675">
        <v>1575.24</v>
      </c>
      <c r="FL65" s="675">
        <v>10062513</v>
      </c>
      <c r="FM65" s="675">
        <v>0</v>
      </c>
      <c r="FN65" s="675">
        <v>0</v>
      </c>
      <c r="FO65" s="675">
        <v>0</v>
      </c>
      <c r="FP65" s="675">
        <v>0</v>
      </c>
      <c r="FQ65" s="675">
        <v>0</v>
      </c>
      <c r="FR65" s="675">
        <v>0</v>
      </c>
      <c r="FS65" s="675">
        <v>0</v>
      </c>
      <c r="FT65" s="675">
        <v>0</v>
      </c>
      <c r="FU65" s="675">
        <v>0</v>
      </c>
      <c r="FV65" s="675">
        <v>0</v>
      </c>
      <c r="FW65" s="675">
        <v>0</v>
      </c>
      <c r="FX65" s="675">
        <v>0</v>
      </c>
      <c r="FY65" s="675">
        <v>0</v>
      </c>
      <c r="FZ65" s="675">
        <v>198</v>
      </c>
      <c r="GA65" s="675">
        <v>3.9540000000000002</v>
      </c>
      <c r="GB65" s="675">
        <v>259131</v>
      </c>
      <c r="GC65" s="675">
        <v>259131</v>
      </c>
      <c r="GD65" s="675">
        <v>29.265000000000001</v>
      </c>
      <c r="GE65" s="675">
        <v>0</v>
      </c>
      <c r="GF65" s="675">
        <v>0</v>
      </c>
      <c r="GG65" s="675">
        <v>0</v>
      </c>
      <c r="GH65" s="675">
        <v>0</v>
      </c>
      <c r="GI65" s="675">
        <v>0</v>
      </c>
      <c r="GJ65" s="675">
        <v>0</v>
      </c>
      <c r="GK65" s="675">
        <v>4971</v>
      </c>
      <c r="GL65" s="675">
        <v>0</v>
      </c>
      <c r="GM65" s="675">
        <v>0</v>
      </c>
      <c r="GN65" s="675">
        <v>0</v>
      </c>
      <c r="GO65" s="675">
        <v>0</v>
      </c>
      <c r="GP65" s="675">
        <v>9836272</v>
      </c>
      <c r="GQ65" s="675">
        <v>9836272</v>
      </c>
      <c r="GR65" s="675">
        <v>0</v>
      </c>
      <c r="GS65" s="675">
        <v>0</v>
      </c>
      <c r="GT65" s="675">
        <v>0</v>
      </c>
      <c r="GU65" s="675">
        <v>0</v>
      </c>
      <c r="GV65" s="675">
        <v>0</v>
      </c>
      <c r="GW65" s="675">
        <v>0</v>
      </c>
      <c r="GX65" s="675">
        <v>0</v>
      </c>
      <c r="GY65" s="675">
        <v>0</v>
      </c>
      <c r="GZ65" s="675">
        <v>0</v>
      </c>
      <c r="HA65" s="675">
        <v>0</v>
      </c>
      <c r="HB65" s="675">
        <v>260786259</v>
      </c>
      <c r="HC65" s="675">
        <v>5.0923999999999997E-2</v>
      </c>
      <c r="HD65" s="675">
        <v>226241</v>
      </c>
      <c r="HE65" s="675">
        <v>0</v>
      </c>
      <c r="HF65" s="675">
        <v>0</v>
      </c>
      <c r="HG65" s="675">
        <v>0</v>
      </c>
      <c r="HH65" s="675">
        <v>0</v>
      </c>
      <c r="HI65" s="675">
        <v>0</v>
      </c>
      <c r="HJ65" s="675">
        <v>0</v>
      </c>
      <c r="HK65" s="675">
        <v>0</v>
      </c>
      <c r="HL65" s="675">
        <v>0</v>
      </c>
      <c r="HM65" s="675">
        <v>0</v>
      </c>
      <c r="HN65" s="675">
        <v>0</v>
      </c>
      <c r="HO65" s="675">
        <v>0</v>
      </c>
      <c r="HP65" s="675">
        <v>0</v>
      </c>
      <c r="HQ65" s="675">
        <v>0</v>
      </c>
      <c r="HR65" s="675">
        <v>0</v>
      </c>
      <c r="HS65" s="675">
        <v>0</v>
      </c>
      <c r="HT65" s="675">
        <v>0</v>
      </c>
      <c r="HU65" s="675">
        <v>0</v>
      </c>
      <c r="HV65" s="675">
        <v>0</v>
      </c>
      <c r="HW65" s="675">
        <v>0</v>
      </c>
      <c r="HX65" s="675">
        <v>0</v>
      </c>
      <c r="HY65" s="675">
        <v>0</v>
      </c>
      <c r="HZ65" s="675">
        <v>0</v>
      </c>
      <c r="IA65" s="675">
        <v>0</v>
      </c>
      <c r="IB65" s="675">
        <v>0</v>
      </c>
      <c r="IC65" s="675">
        <v>0</v>
      </c>
      <c r="ID65" s="675">
        <v>0</v>
      </c>
      <c r="IE65" s="675">
        <v>0</v>
      </c>
      <c r="IF65" s="675">
        <v>0</v>
      </c>
      <c r="IG65" s="675">
        <v>0</v>
      </c>
      <c r="IH65" s="675">
        <v>0</v>
      </c>
      <c r="II65" s="675">
        <v>0</v>
      </c>
      <c r="IJ65" s="675">
        <v>0</v>
      </c>
      <c r="IK65" s="675">
        <v>0</v>
      </c>
      <c r="IL65" s="675">
        <v>0</v>
      </c>
      <c r="IM65" s="675">
        <v>0</v>
      </c>
      <c r="IN65" s="675">
        <v>0</v>
      </c>
      <c r="IO65" s="675">
        <v>0</v>
      </c>
      <c r="IP65" s="675">
        <v>0</v>
      </c>
      <c r="IQ65" s="675">
        <v>0</v>
      </c>
      <c r="IR65" s="675">
        <v>0</v>
      </c>
      <c r="IS65" s="675">
        <v>0</v>
      </c>
      <c r="IT65" s="675">
        <v>0</v>
      </c>
      <c r="IU65" s="675">
        <v>0</v>
      </c>
      <c r="IV65" s="675">
        <v>0</v>
      </c>
      <c r="IW65" s="675">
        <v>0</v>
      </c>
      <c r="IX65" s="675">
        <v>0</v>
      </c>
      <c r="IY65" s="675">
        <v>0</v>
      </c>
      <c r="IZ65" s="675">
        <v>0</v>
      </c>
      <c r="JA65" s="675">
        <v>0</v>
      </c>
      <c r="JB65" s="675">
        <v>0</v>
      </c>
      <c r="JC65" s="675">
        <v>0</v>
      </c>
      <c r="JD65" s="675">
        <v>0</v>
      </c>
      <c r="JE65" s="675">
        <v>0</v>
      </c>
      <c r="JF65" s="675">
        <v>0</v>
      </c>
      <c r="JG65" s="675">
        <v>0</v>
      </c>
      <c r="JH65" s="675">
        <v>0</v>
      </c>
      <c r="JI65" s="675">
        <v>0</v>
      </c>
      <c r="JJ65" s="675">
        <v>0</v>
      </c>
      <c r="JK65" s="675">
        <v>0</v>
      </c>
      <c r="JL65" s="675">
        <v>0</v>
      </c>
      <c r="JM65" s="675">
        <v>0</v>
      </c>
      <c r="JN65" s="675">
        <v>32469</v>
      </c>
      <c r="JO65" s="675">
        <v>0</v>
      </c>
      <c r="JP65" s="675">
        <v>0</v>
      </c>
      <c r="JQ65" s="675">
        <v>0</v>
      </c>
      <c r="JR65" s="675">
        <v>0</v>
      </c>
      <c r="JS65" s="675">
        <v>0</v>
      </c>
      <c r="JT65" s="675">
        <v>0</v>
      </c>
      <c r="JU65" s="675">
        <v>0</v>
      </c>
      <c r="JV65" s="675">
        <v>0</v>
      </c>
      <c r="JW65" s="675">
        <v>0</v>
      </c>
      <c r="JX65" s="675">
        <v>0</v>
      </c>
      <c r="JY65" s="675">
        <v>0</v>
      </c>
      <c r="JZ65" s="675">
        <v>0</v>
      </c>
      <c r="KA65" s="675">
        <v>0</v>
      </c>
      <c r="KB65" s="675">
        <v>0</v>
      </c>
      <c r="KC65" s="675">
        <v>0</v>
      </c>
      <c r="KD65" s="675">
        <v>0</v>
      </c>
      <c r="KE65" s="675">
        <v>0</v>
      </c>
      <c r="KF65" s="675">
        <v>0</v>
      </c>
    </row>
    <row r="66" spans="1:292" x14ac:dyDescent="0.25">
      <c r="A66" s="675">
        <v>57846</v>
      </c>
      <c r="B66" s="675">
        <v>32570</v>
      </c>
      <c r="C66" s="675">
        <v>35</v>
      </c>
      <c r="D66" s="675">
        <v>2022</v>
      </c>
      <c r="E66" s="675">
        <v>5392</v>
      </c>
      <c r="F66" s="675">
        <v>0</v>
      </c>
      <c r="G66" s="675">
        <v>1501.7760000000001</v>
      </c>
      <c r="H66" s="675">
        <v>1387.1090000000002</v>
      </c>
      <c r="I66" s="675">
        <v>1387.1090000000002</v>
      </c>
      <c r="J66" s="675">
        <v>1501.7760000000001</v>
      </c>
      <c r="K66" s="675">
        <v>0</v>
      </c>
      <c r="L66" s="675">
        <v>6554</v>
      </c>
      <c r="M66" s="675">
        <v>0</v>
      </c>
      <c r="N66" s="675">
        <v>0</v>
      </c>
      <c r="O66" s="675">
        <v>0</v>
      </c>
      <c r="P66" s="675">
        <v>1328.595</v>
      </c>
      <c r="Q66" s="675">
        <v>0</v>
      </c>
      <c r="R66" s="675">
        <v>424769</v>
      </c>
      <c r="S66" s="675">
        <v>319.71300000000002</v>
      </c>
      <c r="T66" s="675">
        <v>0</v>
      </c>
      <c r="U66" s="675">
        <v>424769</v>
      </c>
      <c r="V66" s="675">
        <v>531.03800000000001</v>
      </c>
      <c r="W66" s="675">
        <v>348042</v>
      </c>
      <c r="X66" s="675">
        <v>348042</v>
      </c>
      <c r="Y66" s="675">
        <v>0</v>
      </c>
      <c r="Z66" s="675">
        <v>0</v>
      </c>
      <c r="AA66" s="675">
        <v>1</v>
      </c>
      <c r="AB66" s="675">
        <v>1</v>
      </c>
      <c r="AC66" s="675">
        <v>0</v>
      </c>
      <c r="AD66" s="675" t="s">
        <v>316</v>
      </c>
      <c r="AE66" s="675">
        <v>0</v>
      </c>
      <c r="AF66" s="675">
        <v>0</v>
      </c>
      <c r="AG66" s="675">
        <v>0</v>
      </c>
      <c r="AH66" s="675">
        <v>0</v>
      </c>
      <c r="AI66" s="675">
        <v>0</v>
      </c>
      <c r="AJ66" s="675">
        <v>5104</v>
      </c>
      <c r="AK66" s="675" t="s">
        <v>671</v>
      </c>
      <c r="AL66" s="675" t="s">
        <v>117</v>
      </c>
      <c r="AM66" s="675">
        <v>0</v>
      </c>
      <c r="AN66" s="675">
        <v>0</v>
      </c>
      <c r="AO66" s="675">
        <v>0</v>
      </c>
      <c r="AP66" s="675">
        <v>0</v>
      </c>
      <c r="AQ66" s="675">
        <v>0</v>
      </c>
      <c r="AR66" s="675">
        <v>0</v>
      </c>
      <c r="AS66" s="675">
        <v>0</v>
      </c>
      <c r="AT66" s="675">
        <v>0</v>
      </c>
      <c r="AU66" s="675">
        <v>0</v>
      </c>
      <c r="AV66" s="675">
        <v>252233</v>
      </c>
      <c r="AW66" s="675">
        <v>14970777</v>
      </c>
      <c r="AX66" s="675">
        <v>14585226</v>
      </c>
      <c r="AY66" s="675">
        <v>15741877</v>
      </c>
      <c r="AZ66" s="675">
        <v>514353</v>
      </c>
      <c r="BA66" s="675">
        <v>0</v>
      </c>
      <c r="BB66" s="675">
        <v>59056</v>
      </c>
      <c r="BC66" s="675">
        <v>59056</v>
      </c>
      <c r="BD66" s="675">
        <v>75.088999999999999</v>
      </c>
      <c r="BE66" s="675">
        <v>0</v>
      </c>
      <c r="BF66" s="675">
        <v>12364023</v>
      </c>
      <c r="BG66" s="675">
        <v>0</v>
      </c>
      <c r="BH66" s="675">
        <v>325.75900000000001</v>
      </c>
      <c r="BI66" s="675">
        <v>89584</v>
      </c>
      <c r="BJ66" s="675">
        <v>12</v>
      </c>
      <c r="BK66" s="675">
        <v>0</v>
      </c>
      <c r="BL66" s="675">
        <v>0</v>
      </c>
      <c r="BM66" s="675">
        <v>0</v>
      </c>
      <c r="BN66" s="675">
        <v>0</v>
      </c>
      <c r="BO66" s="675">
        <v>0</v>
      </c>
      <c r="BP66" s="675">
        <v>0</v>
      </c>
      <c r="BQ66" s="675">
        <v>5392</v>
      </c>
      <c r="BR66" s="675">
        <v>1</v>
      </c>
      <c r="BS66" s="675">
        <v>0</v>
      </c>
      <c r="BT66" s="675">
        <v>0</v>
      </c>
      <c r="BU66" s="675">
        <v>0</v>
      </c>
      <c r="BV66" s="675">
        <v>0</v>
      </c>
      <c r="BW66" s="675">
        <v>0</v>
      </c>
      <c r="BX66" s="675">
        <v>0</v>
      </c>
      <c r="BY66" s="675">
        <v>0</v>
      </c>
      <c r="BZ66" s="675">
        <v>0</v>
      </c>
      <c r="CA66" s="675">
        <v>0</v>
      </c>
      <c r="CB66" s="675">
        <v>0</v>
      </c>
      <c r="CC66" s="675">
        <v>0</v>
      </c>
      <c r="CD66" s="675">
        <v>0</v>
      </c>
      <c r="CE66" s="675">
        <v>0</v>
      </c>
      <c r="CF66" s="675">
        <v>0</v>
      </c>
      <c r="CG66" s="675">
        <v>0</v>
      </c>
      <c r="CH66" s="675">
        <v>295967</v>
      </c>
      <c r="CI66" s="675">
        <v>0</v>
      </c>
      <c r="CJ66" s="675">
        <v>4</v>
      </c>
      <c r="CK66" s="675">
        <v>0</v>
      </c>
      <c r="CL66" s="675">
        <v>0</v>
      </c>
      <c r="CM66" s="675">
        <v>0</v>
      </c>
      <c r="CN66" s="675">
        <v>0</v>
      </c>
      <c r="CO66" s="675">
        <v>0</v>
      </c>
      <c r="CP66" s="675">
        <v>5.7000000000000002E-2</v>
      </c>
      <c r="CQ66" s="675">
        <v>0</v>
      </c>
      <c r="CR66" s="675">
        <v>1328.595</v>
      </c>
      <c r="CS66" s="675">
        <v>0</v>
      </c>
      <c r="CT66" s="675">
        <v>0</v>
      </c>
      <c r="CU66" s="675">
        <v>0</v>
      </c>
      <c r="CV66" s="675">
        <v>0</v>
      </c>
      <c r="CW66" s="675">
        <v>0</v>
      </c>
      <c r="CX66" s="675">
        <v>0</v>
      </c>
      <c r="CY66" s="675">
        <v>0</v>
      </c>
      <c r="CZ66" s="675">
        <v>0</v>
      </c>
      <c r="DA66" s="675">
        <v>1</v>
      </c>
      <c r="DB66" s="675">
        <v>9091112</v>
      </c>
      <c r="DC66" s="675">
        <v>0</v>
      </c>
      <c r="DD66" s="675">
        <v>0</v>
      </c>
      <c r="DE66" s="675">
        <v>1495846</v>
      </c>
      <c r="DF66" s="675">
        <v>1496746</v>
      </c>
      <c r="DG66" s="675">
        <v>1141.17</v>
      </c>
      <c r="DH66" s="675">
        <v>0</v>
      </c>
      <c r="DI66" s="675">
        <v>900</v>
      </c>
      <c r="DJ66" s="675">
        <v>0</v>
      </c>
      <c r="DK66" s="675">
        <v>5392</v>
      </c>
      <c r="DL66" s="675">
        <v>0</v>
      </c>
      <c r="DM66" s="675">
        <v>886820</v>
      </c>
      <c r="DN66" s="675">
        <v>0</v>
      </c>
      <c r="DO66" s="675">
        <v>0</v>
      </c>
      <c r="DP66" s="675">
        <v>0</v>
      </c>
      <c r="DQ66" s="675">
        <v>0</v>
      </c>
      <c r="DR66" s="675">
        <v>0</v>
      </c>
      <c r="DS66" s="675">
        <v>0</v>
      </c>
      <c r="DT66" s="675">
        <v>0</v>
      </c>
      <c r="DU66" s="675">
        <v>0</v>
      </c>
      <c r="DV66" s="675">
        <v>0</v>
      </c>
      <c r="DW66" s="675">
        <v>0</v>
      </c>
      <c r="DX66" s="675">
        <v>0</v>
      </c>
      <c r="DY66" s="675">
        <v>0</v>
      </c>
      <c r="DZ66" s="675">
        <v>0</v>
      </c>
      <c r="EA66" s="675">
        <v>0</v>
      </c>
      <c r="EB66" s="675">
        <v>0</v>
      </c>
      <c r="EC66" s="675">
        <v>60.407000000000004</v>
      </c>
      <c r="ED66" s="675">
        <v>435498</v>
      </c>
      <c r="EE66" s="675">
        <v>0</v>
      </c>
      <c r="EF66" s="675">
        <v>0</v>
      </c>
      <c r="EG66" s="675">
        <v>0</v>
      </c>
      <c r="EH66" s="675">
        <v>451322</v>
      </c>
      <c r="EI66" s="675">
        <v>0</v>
      </c>
      <c r="EJ66" s="675">
        <v>0</v>
      </c>
      <c r="EK66" s="675">
        <v>20.053000000000001</v>
      </c>
      <c r="EL66" s="675">
        <v>0</v>
      </c>
      <c r="EM66" s="675">
        <v>0.39600000000000002</v>
      </c>
      <c r="EN66" s="675">
        <v>1.5030000000000001</v>
      </c>
      <c r="EO66" s="675">
        <v>0</v>
      </c>
      <c r="EP66" s="675">
        <v>0</v>
      </c>
      <c r="EQ66" s="675">
        <v>21.952000000000002</v>
      </c>
      <c r="ER66" s="675">
        <v>0</v>
      </c>
      <c r="ES66" s="675">
        <v>68.862000000000009</v>
      </c>
      <c r="ET66" s="675">
        <v>0</v>
      </c>
      <c r="EU66" s="675">
        <v>514353</v>
      </c>
      <c r="EV66" s="675">
        <v>0</v>
      </c>
      <c r="EW66" s="675">
        <v>0</v>
      </c>
      <c r="EX66" s="675">
        <v>0</v>
      </c>
      <c r="EY66" s="675">
        <v>0</v>
      </c>
      <c r="EZ66" s="675">
        <v>12278723</v>
      </c>
      <c r="FA66" s="675">
        <v>0</v>
      </c>
      <c r="FB66" s="675">
        <v>12793076</v>
      </c>
      <c r="FC66" s="675">
        <v>0.97327799999999998</v>
      </c>
      <c r="FD66" s="675">
        <v>0</v>
      </c>
      <c r="FE66" s="675">
        <v>1882324</v>
      </c>
      <c r="FF66" s="675">
        <v>424179</v>
      </c>
      <c r="FG66" s="675">
        <v>6.1239999999999996E-2</v>
      </c>
      <c r="FH66" s="675">
        <v>5.4803999999999999E-2</v>
      </c>
      <c r="FI66" s="675">
        <v>0</v>
      </c>
      <c r="FJ66" s="675">
        <v>0</v>
      </c>
      <c r="FK66" s="675">
        <v>2422.502</v>
      </c>
      <c r="FL66" s="675">
        <v>15395546</v>
      </c>
      <c r="FM66" s="675">
        <v>0</v>
      </c>
      <c r="FN66" s="675">
        <v>0</v>
      </c>
      <c r="FO66" s="675">
        <v>0</v>
      </c>
      <c r="FP66" s="675">
        <v>0</v>
      </c>
      <c r="FQ66" s="675">
        <v>0</v>
      </c>
      <c r="FR66" s="675">
        <v>0</v>
      </c>
      <c r="FS66" s="675">
        <v>0</v>
      </c>
      <c r="FT66" s="675">
        <v>0</v>
      </c>
      <c r="FU66" s="675">
        <v>0</v>
      </c>
      <c r="FV66" s="675">
        <v>0</v>
      </c>
      <c r="FW66" s="675">
        <v>0</v>
      </c>
      <c r="FX66" s="675">
        <v>0</v>
      </c>
      <c r="FY66" s="675">
        <v>0</v>
      </c>
      <c r="FZ66" s="675">
        <v>1383</v>
      </c>
      <c r="GA66" s="675">
        <v>27.661000000000001</v>
      </c>
      <c r="GB66" s="675">
        <v>821716</v>
      </c>
      <c r="GC66" s="675">
        <v>821716</v>
      </c>
      <c r="GD66" s="675">
        <v>92.715000000000003</v>
      </c>
      <c r="GE66" s="675">
        <v>0</v>
      </c>
      <c r="GF66" s="675">
        <v>0</v>
      </c>
      <c r="GG66" s="675">
        <v>0</v>
      </c>
      <c r="GH66" s="675">
        <v>0</v>
      </c>
      <c r="GI66" s="675">
        <v>0</v>
      </c>
      <c r="GJ66" s="675">
        <v>0</v>
      </c>
      <c r="GK66" s="675">
        <v>4971</v>
      </c>
      <c r="GL66" s="675">
        <v>0</v>
      </c>
      <c r="GM66" s="675">
        <v>0</v>
      </c>
      <c r="GN66" s="675">
        <v>0</v>
      </c>
      <c r="GO66" s="675">
        <v>0</v>
      </c>
      <c r="GP66" s="675">
        <v>15099579</v>
      </c>
      <c r="GQ66" s="675">
        <v>15099579</v>
      </c>
      <c r="GR66" s="675">
        <v>0</v>
      </c>
      <c r="GS66" s="675">
        <v>0</v>
      </c>
      <c r="GT66" s="675">
        <v>0</v>
      </c>
      <c r="GU66" s="675">
        <v>0</v>
      </c>
      <c r="GV66" s="675">
        <v>0</v>
      </c>
      <c r="GW66" s="675">
        <v>0</v>
      </c>
      <c r="GX66" s="675">
        <v>0</v>
      </c>
      <c r="GY66" s="675">
        <v>0</v>
      </c>
      <c r="GZ66" s="675">
        <v>0</v>
      </c>
      <c r="HA66" s="675">
        <v>0</v>
      </c>
      <c r="HB66" s="675">
        <v>260786259</v>
      </c>
      <c r="HC66" s="675">
        <v>5.0923999999999997E-2</v>
      </c>
      <c r="HD66" s="675">
        <v>295967</v>
      </c>
      <c r="HE66" s="675">
        <v>0</v>
      </c>
      <c r="HF66" s="675">
        <v>0</v>
      </c>
      <c r="HG66" s="675">
        <v>0</v>
      </c>
      <c r="HH66" s="675">
        <v>0</v>
      </c>
      <c r="HI66" s="675">
        <v>0</v>
      </c>
      <c r="HJ66" s="675">
        <v>0</v>
      </c>
      <c r="HK66" s="675">
        <v>0</v>
      </c>
      <c r="HL66" s="675">
        <v>0</v>
      </c>
      <c r="HM66" s="675">
        <v>0</v>
      </c>
      <c r="HN66" s="675">
        <v>0</v>
      </c>
      <c r="HO66" s="675">
        <v>0</v>
      </c>
      <c r="HP66" s="675">
        <v>0</v>
      </c>
      <c r="HQ66" s="675">
        <v>0</v>
      </c>
      <c r="HR66" s="675">
        <v>0</v>
      </c>
      <c r="HS66" s="675">
        <v>0</v>
      </c>
      <c r="HT66" s="675">
        <v>0</v>
      </c>
      <c r="HU66" s="675">
        <v>0</v>
      </c>
      <c r="HV66" s="675">
        <v>0</v>
      </c>
      <c r="HW66" s="675">
        <v>0</v>
      </c>
      <c r="HX66" s="675">
        <v>0</v>
      </c>
      <c r="HY66" s="675">
        <v>0</v>
      </c>
      <c r="HZ66" s="675">
        <v>0</v>
      </c>
      <c r="IA66" s="675">
        <v>0</v>
      </c>
      <c r="IB66" s="675">
        <v>0</v>
      </c>
      <c r="IC66" s="675">
        <v>0</v>
      </c>
      <c r="ID66" s="675">
        <v>0</v>
      </c>
      <c r="IE66" s="675">
        <v>82.805999999999997</v>
      </c>
      <c r="IF66" s="675">
        <v>0</v>
      </c>
      <c r="IG66" s="675">
        <v>0</v>
      </c>
      <c r="IH66" s="675">
        <v>0</v>
      </c>
      <c r="II66" s="675">
        <v>0</v>
      </c>
      <c r="IJ66" s="675">
        <v>0</v>
      </c>
      <c r="IK66" s="675">
        <v>0</v>
      </c>
      <c r="IL66" s="675">
        <v>0</v>
      </c>
      <c r="IM66" s="675">
        <v>0</v>
      </c>
      <c r="IN66" s="675">
        <v>0</v>
      </c>
      <c r="IO66" s="675">
        <v>0</v>
      </c>
      <c r="IP66" s="675">
        <v>0</v>
      </c>
      <c r="IQ66" s="675">
        <v>0</v>
      </c>
      <c r="IR66" s="675">
        <v>0</v>
      </c>
      <c r="IS66" s="675">
        <v>0</v>
      </c>
      <c r="IT66" s="675">
        <v>0</v>
      </c>
      <c r="IU66" s="675">
        <v>0</v>
      </c>
      <c r="IV66" s="675">
        <v>0</v>
      </c>
      <c r="IW66" s="675">
        <v>0</v>
      </c>
      <c r="IX66" s="675">
        <v>0</v>
      </c>
      <c r="IY66" s="675">
        <v>0</v>
      </c>
      <c r="IZ66" s="675">
        <v>0</v>
      </c>
      <c r="JA66" s="675">
        <v>0</v>
      </c>
      <c r="JB66" s="675">
        <v>0</v>
      </c>
      <c r="JC66" s="675">
        <v>0</v>
      </c>
      <c r="JD66" s="675">
        <v>0</v>
      </c>
      <c r="JE66" s="675">
        <v>0</v>
      </c>
      <c r="JF66" s="675">
        <v>0</v>
      </c>
      <c r="JG66" s="675">
        <v>0</v>
      </c>
      <c r="JH66" s="675">
        <v>0</v>
      </c>
      <c r="JI66" s="675">
        <v>0</v>
      </c>
      <c r="JJ66" s="675">
        <v>0</v>
      </c>
      <c r="JK66" s="675">
        <v>0</v>
      </c>
      <c r="JL66" s="675">
        <v>0</v>
      </c>
      <c r="JM66" s="675">
        <v>0</v>
      </c>
      <c r="JN66" s="675">
        <v>32469</v>
      </c>
      <c r="JO66" s="675">
        <v>0</v>
      </c>
      <c r="JP66" s="675">
        <v>0</v>
      </c>
      <c r="JQ66" s="675">
        <v>0</v>
      </c>
      <c r="JR66" s="675">
        <v>0</v>
      </c>
      <c r="JS66" s="675">
        <v>0</v>
      </c>
      <c r="JT66" s="675">
        <v>0</v>
      </c>
      <c r="JU66" s="675">
        <v>0</v>
      </c>
      <c r="JV66" s="675">
        <v>0</v>
      </c>
      <c r="JW66" s="675">
        <v>0</v>
      </c>
      <c r="JX66" s="675">
        <v>0</v>
      </c>
      <c r="JY66" s="675">
        <v>0</v>
      </c>
      <c r="JZ66" s="675">
        <v>0</v>
      </c>
      <c r="KA66" s="675">
        <v>0</v>
      </c>
      <c r="KB66" s="675">
        <v>0</v>
      </c>
      <c r="KC66" s="675">
        <v>0</v>
      </c>
      <c r="KD66" s="675">
        <v>0</v>
      </c>
      <c r="KE66" s="675">
        <v>0</v>
      </c>
      <c r="KF66" s="675">
        <v>0</v>
      </c>
    </row>
    <row r="67" spans="1:292" x14ac:dyDescent="0.25">
      <c r="A67" s="675">
        <v>57847</v>
      </c>
      <c r="B67" s="675">
        <v>32570</v>
      </c>
      <c r="C67" s="675">
        <v>35</v>
      </c>
      <c r="D67" s="675">
        <v>2022</v>
      </c>
      <c r="E67" s="675">
        <v>5392</v>
      </c>
      <c r="F67" s="675">
        <v>0</v>
      </c>
      <c r="G67" s="675">
        <v>1097.4180000000001</v>
      </c>
      <c r="H67" s="675">
        <v>1014.994</v>
      </c>
      <c r="I67" s="675">
        <v>1014.994</v>
      </c>
      <c r="J67" s="675">
        <v>1097.4180000000001</v>
      </c>
      <c r="K67" s="675">
        <v>0</v>
      </c>
      <c r="L67" s="675">
        <v>6554</v>
      </c>
      <c r="M67" s="675">
        <v>0</v>
      </c>
      <c r="N67" s="675">
        <v>0</v>
      </c>
      <c r="O67" s="675">
        <v>0</v>
      </c>
      <c r="P67" s="675">
        <v>1007.2140000000001</v>
      </c>
      <c r="Q67" s="675">
        <v>0</v>
      </c>
      <c r="R67" s="675">
        <v>322019</v>
      </c>
      <c r="S67" s="675">
        <v>319.71300000000002</v>
      </c>
      <c r="T67" s="675">
        <v>0</v>
      </c>
      <c r="U67" s="675">
        <v>322019</v>
      </c>
      <c r="V67" s="675">
        <v>28.527000000000001</v>
      </c>
      <c r="W67" s="675">
        <v>18697</v>
      </c>
      <c r="X67" s="675">
        <v>18697</v>
      </c>
      <c r="Y67" s="675">
        <v>0</v>
      </c>
      <c r="Z67" s="675">
        <v>0</v>
      </c>
      <c r="AA67" s="675">
        <v>1</v>
      </c>
      <c r="AB67" s="675">
        <v>1</v>
      </c>
      <c r="AC67" s="675">
        <v>0</v>
      </c>
      <c r="AD67" s="675" t="s">
        <v>316</v>
      </c>
      <c r="AE67" s="675">
        <v>0</v>
      </c>
      <c r="AF67" s="675">
        <v>0</v>
      </c>
      <c r="AG67" s="675">
        <v>0</v>
      </c>
      <c r="AH67" s="675">
        <v>0</v>
      </c>
      <c r="AI67" s="675">
        <v>0</v>
      </c>
      <c r="AJ67" s="675">
        <v>5104</v>
      </c>
      <c r="AK67" s="675" t="s">
        <v>671</v>
      </c>
      <c r="AL67" s="675" t="s">
        <v>333</v>
      </c>
      <c r="AM67" s="675">
        <v>0</v>
      </c>
      <c r="AN67" s="675">
        <v>0</v>
      </c>
      <c r="AO67" s="675">
        <v>0</v>
      </c>
      <c r="AP67" s="675">
        <v>0</v>
      </c>
      <c r="AQ67" s="675">
        <v>0</v>
      </c>
      <c r="AR67" s="675">
        <v>0</v>
      </c>
      <c r="AS67" s="675">
        <v>0</v>
      </c>
      <c r="AT67" s="675">
        <v>0</v>
      </c>
      <c r="AU67" s="675">
        <v>0</v>
      </c>
      <c r="AV67" s="675">
        <v>188</v>
      </c>
      <c r="AW67" s="675">
        <v>9935212</v>
      </c>
      <c r="AX67" s="675">
        <v>9614578</v>
      </c>
      <c r="AY67" s="675">
        <v>10488652</v>
      </c>
      <c r="AZ67" s="675">
        <v>426376</v>
      </c>
      <c r="BA67" s="675">
        <v>0</v>
      </c>
      <c r="BB67" s="675">
        <v>0</v>
      </c>
      <c r="BC67" s="675">
        <v>0</v>
      </c>
      <c r="BD67" s="675">
        <v>0</v>
      </c>
      <c r="BE67" s="675">
        <v>0</v>
      </c>
      <c r="BF67" s="675">
        <v>8184967</v>
      </c>
      <c r="BG67" s="675">
        <v>0</v>
      </c>
      <c r="BH67" s="675">
        <v>239.49800000000002</v>
      </c>
      <c r="BI67" s="675">
        <v>65862</v>
      </c>
      <c r="BJ67" s="675">
        <v>12</v>
      </c>
      <c r="BK67" s="675">
        <v>0</v>
      </c>
      <c r="BL67" s="675">
        <v>0</v>
      </c>
      <c r="BM67" s="675">
        <v>0</v>
      </c>
      <c r="BN67" s="675">
        <v>0</v>
      </c>
      <c r="BO67" s="675">
        <v>0</v>
      </c>
      <c r="BP67" s="675">
        <v>0</v>
      </c>
      <c r="BQ67" s="675">
        <v>5392</v>
      </c>
      <c r="BR67" s="675">
        <v>1</v>
      </c>
      <c r="BS67" s="675">
        <v>0</v>
      </c>
      <c r="BT67" s="675">
        <v>0</v>
      </c>
      <c r="BU67" s="675">
        <v>0</v>
      </c>
      <c r="BV67" s="675">
        <v>0</v>
      </c>
      <c r="BW67" s="675">
        <v>0</v>
      </c>
      <c r="BX67" s="675">
        <v>0</v>
      </c>
      <c r="BY67" s="675">
        <v>0</v>
      </c>
      <c r="BZ67" s="675">
        <v>0</v>
      </c>
      <c r="CA67" s="675">
        <v>100.70400000000001</v>
      </c>
      <c r="CB67" s="675">
        <v>38495</v>
      </c>
      <c r="CC67" s="675">
        <v>0</v>
      </c>
      <c r="CD67" s="675">
        <v>0</v>
      </c>
      <c r="CE67" s="675">
        <v>0</v>
      </c>
      <c r="CF67" s="675">
        <v>0</v>
      </c>
      <c r="CG67" s="675">
        <v>0</v>
      </c>
      <c r="CH67" s="675">
        <v>216277</v>
      </c>
      <c r="CI67" s="675">
        <v>0</v>
      </c>
      <c r="CJ67" s="675">
        <v>5</v>
      </c>
      <c r="CK67" s="675">
        <v>0</v>
      </c>
      <c r="CL67" s="675">
        <v>0</v>
      </c>
      <c r="CM67" s="675">
        <v>0</v>
      </c>
      <c r="CN67" s="675">
        <v>0</v>
      </c>
      <c r="CO67" s="675">
        <v>0</v>
      </c>
      <c r="CP67" s="675">
        <v>0</v>
      </c>
      <c r="CQ67" s="675">
        <v>0</v>
      </c>
      <c r="CR67" s="675">
        <v>1007.2140000000001</v>
      </c>
      <c r="CS67" s="675">
        <v>0</v>
      </c>
      <c r="CT67" s="675">
        <v>0</v>
      </c>
      <c r="CU67" s="675">
        <v>0</v>
      </c>
      <c r="CV67" s="675">
        <v>0</v>
      </c>
      <c r="CW67" s="675">
        <v>0</v>
      </c>
      <c r="CX67" s="675">
        <v>0</v>
      </c>
      <c r="CY67" s="675">
        <v>0</v>
      </c>
      <c r="CZ67" s="675">
        <v>0</v>
      </c>
      <c r="DA67" s="675">
        <v>1</v>
      </c>
      <c r="DB67" s="675">
        <v>6652271</v>
      </c>
      <c r="DC67" s="675">
        <v>0</v>
      </c>
      <c r="DD67" s="675">
        <v>0</v>
      </c>
      <c r="DE67" s="675">
        <v>628096</v>
      </c>
      <c r="DF67" s="675">
        <v>628096</v>
      </c>
      <c r="DG67" s="675">
        <v>479.17</v>
      </c>
      <c r="DH67" s="675">
        <v>0</v>
      </c>
      <c r="DI67" s="675">
        <v>0</v>
      </c>
      <c r="DJ67" s="675">
        <v>0</v>
      </c>
      <c r="DK67" s="675">
        <v>5392</v>
      </c>
      <c r="DL67" s="675">
        <v>0</v>
      </c>
      <c r="DM67" s="675">
        <v>565822</v>
      </c>
      <c r="DN67" s="675">
        <v>0</v>
      </c>
      <c r="DO67" s="675">
        <v>0</v>
      </c>
      <c r="DP67" s="675">
        <v>0</v>
      </c>
      <c r="DQ67" s="675">
        <v>0</v>
      </c>
      <c r="DR67" s="675">
        <v>0</v>
      </c>
      <c r="DS67" s="675">
        <v>0</v>
      </c>
      <c r="DT67" s="675">
        <v>0</v>
      </c>
      <c r="DU67" s="675">
        <v>0</v>
      </c>
      <c r="DV67" s="675">
        <v>0</v>
      </c>
      <c r="DW67" s="675">
        <v>0</v>
      </c>
      <c r="DX67" s="675">
        <v>0</v>
      </c>
      <c r="DY67" s="675">
        <v>0</v>
      </c>
      <c r="DZ67" s="675">
        <v>0</v>
      </c>
      <c r="EA67" s="675">
        <v>0</v>
      </c>
      <c r="EB67" s="675">
        <v>0</v>
      </c>
      <c r="EC67" s="675">
        <v>18.574000000000002</v>
      </c>
      <c r="ED67" s="675">
        <v>133907</v>
      </c>
      <c r="EE67" s="675">
        <v>0</v>
      </c>
      <c r="EF67" s="675">
        <v>0</v>
      </c>
      <c r="EG67" s="675">
        <v>0</v>
      </c>
      <c r="EH67" s="675">
        <v>431915</v>
      </c>
      <c r="EI67" s="675">
        <v>0</v>
      </c>
      <c r="EJ67" s="675">
        <v>0</v>
      </c>
      <c r="EK67" s="675">
        <v>18.728000000000002</v>
      </c>
      <c r="EL67" s="675">
        <v>0</v>
      </c>
      <c r="EM67" s="675">
        <v>0.44400000000000001</v>
      </c>
      <c r="EN67" s="675">
        <v>1.677</v>
      </c>
      <c r="EO67" s="675">
        <v>0</v>
      </c>
      <c r="EP67" s="675">
        <v>0</v>
      </c>
      <c r="EQ67" s="675">
        <v>20.849</v>
      </c>
      <c r="ER67" s="675">
        <v>0</v>
      </c>
      <c r="ES67" s="675">
        <v>65.900999999999996</v>
      </c>
      <c r="ET67" s="675">
        <v>0</v>
      </c>
      <c r="EU67" s="675">
        <v>426376</v>
      </c>
      <c r="EV67" s="675">
        <v>0</v>
      </c>
      <c r="EW67" s="675">
        <v>0</v>
      </c>
      <c r="EX67" s="675">
        <v>0</v>
      </c>
      <c r="EY67" s="675">
        <v>0</v>
      </c>
      <c r="EZ67" s="675">
        <v>8087676</v>
      </c>
      <c r="FA67" s="675">
        <v>0</v>
      </c>
      <c r="FB67" s="675">
        <v>8514052</v>
      </c>
      <c r="FC67" s="675">
        <v>0.97327799999999998</v>
      </c>
      <c r="FD67" s="675">
        <v>0</v>
      </c>
      <c r="FE67" s="675">
        <v>1246096</v>
      </c>
      <c r="FF67" s="675">
        <v>280806</v>
      </c>
      <c r="FG67" s="675">
        <v>6.1239999999999996E-2</v>
      </c>
      <c r="FH67" s="675">
        <v>5.4803999999999999E-2</v>
      </c>
      <c r="FI67" s="675">
        <v>0</v>
      </c>
      <c r="FJ67" s="675">
        <v>0</v>
      </c>
      <c r="FK67" s="675">
        <v>1603.693</v>
      </c>
      <c r="FL67" s="675">
        <v>10257231</v>
      </c>
      <c r="FM67" s="675">
        <v>0</v>
      </c>
      <c r="FN67" s="675">
        <v>0</v>
      </c>
      <c r="FO67" s="675">
        <v>0</v>
      </c>
      <c r="FP67" s="675">
        <v>0</v>
      </c>
      <c r="FQ67" s="675">
        <v>0</v>
      </c>
      <c r="FR67" s="675">
        <v>0</v>
      </c>
      <c r="FS67" s="675">
        <v>0</v>
      </c>
      <c r="FT67" s="675">
        <v>0</v>
      </c>
      <c r="FU67" s="675">
        <v>0</v>
      </c>
      <c r="FV67" s="675">
        <v>0</v>
      </c>
      <c r="FW67" s="675">
        <v>0</v>
      </c>
      <c r="FX67" s="675">
        <v>0</v>
      </c>
      <c r="FY67" s="675">
        <v>0</v>
      </c>
      <c r="FZ67" s="675">
        <v>0</v>
      </c>
      <c r="GA67" s="675">
        <v>0</v>
      </c>
      <c r="GB67" s="675">
        <v>544809</v>
      </c>
      <c r="GC67" s="675">
        <v>544809</v>
      </c>
      <c r="GD67" s="675">
        <v>61.575000000000003</v>
      </c>
      <c r="GE67" s="675">
        <v>0</v>
      </c>
      <c r="GF67" s="675">
        <v>0</v>
      </c>
      <c r="GG67" s="675">
        <v>0</v>
      </c>
      <c r="GH67" s="675">
        <v>0</v>
      </c>
      <c r="GI67" s="675">
        <v>0</v>
      </c>
      <c r="GJ67" s="675">
        <v>0</v>
      </c>
      <c r="GK67" s="675">
        <v>4971</v>
      </c>
      <c r="GL67" s="675">
        <v>0</v>
      </c>
      <c r="GM67" s="675">
        <v>0</v>
      </c>
      <c r="GN67" s="675">
        <v>0</v>
      </c>
      <c r="GO67" s="675">
        <v>0</v>
      </c>
      <c r="GP67" s="675">
        <v>10040954</v>
      </c>
      <c r="GQ67" s="675">
        <v>10040954</v>
      </c>
      <c r="GR67" s="675">
        <v>0</v>
      </c>
      <c r="GS67" s="675">
        <v>0</v>
      </c>
      <c r="GT67" s="675">
        <v>0</v>
      </c>
      <c r="GU67" s="675">
        <v>0</v>
      </c>
      <c r="GV67" s="675">
        <v>0</v>
      </c>
      <c r="GW67" s="675">
        <v>0</v>
      </c>
      <c r="GX67" s="675">
        <v>0</v>
      </c>
      <c r="GY67" s="675">
        <v>0</v>
      </c>
      <c r="GZ67" s="675">
        <v>0</v>
      </c>
      <c r="HA67" s="675">
        <v>0</v>
      </c>
      <c r="HB67" s="675">
        <v>260786259</v>
      </c>
      <c r="HC67" s="675">
        <v>5.0923999999999997E-2</v>
      </c>
      <c r="HD67" s="675">
        <v>216277</v>
      </c>
      <c r="HE67" s="675">
        <v>0</v>
      </c>
      <c r="HF67" s="675">
        <v>0</v>
      </c>
      <c r="HG67" s="675">
        <v>0</v>
      </c>
      <c r="HH67" s="675">
        <v>0</v>
      </c>
      <c r="HI67" s="675">
        <v>0</v>
      </c>
      <c r="HJ67" s="675">
        <v>0</v>
      </c>
      <c r="HK67" s="675">
        <v>0</v>
      </c>
      <c r="HL67" s="675">
        <v>0</v>
      </c>
      <c r="HM67" s="675">
        <v>0</v>
      </c>
      <c r="HN67" s="675">
        <v>0</v>
      </c>
      <c r="HO67" s="675">
        <v>0</v>
      </c>
      <c r="HP67" s="675">
        <v>0</v>
      </c>
      <c r="HQ67" s="675">
        <v>0</v>
      </c>
      <c r="HR67" s="675">
        <v>0</v>
      </c>
      <c r="HS67" s="675">
        <v>0</v>
      </c>
      <c r="HT67" s="675">
        <v>0</v>
      </c>
      <c r="HU67" s="675">
        <v>0</v>
      </c>
      <c r="HV67" s="675">
        <v>0</v>
      </c>
      <c r="HW67" s="675">
        <v>0</v>
      </c>
      <c r="HX67" s="675">
        <v>0</v>
      </c>
      <c r="HY67" s="675">
        <v>0</v>
      </c>
      <c r="HZ67" s="675">
        <v>0</v>
      </c>
      <c r="IA67" s="675">
        <v>0</v>
      </c>
      <c r="IB67" s="675">
        <v>0</v>
      </c>
      <c r="IC67" s="675">
        <v>0</v>
      </c>
      <c r="ID67" s="675">
        <v>0</v>
      </c>
      <c r="IE67" s="675">
        <v>0</v>
      </c>
      <c r="IF67" s="675">
        <v>0</v>
      </c>
      <c r="IG67" s="675">
        <v>0</v>
      </c>
      <c r="IH67" s="675">
        <v>0</v>
      </c>
      <c r="II67" s="675">
        <v>0</v>
      </c>
      <c r="IJ67" s="675">
        <v>0</v>
      </c>
      <c r="IK67" s="675">
        <v>0</v>
      </c>
      <c r="IL67" s="675">
        <v>0</v>
      </c>
      <c r="IM67" s="675">
        <v>0</v>
      </c>
      <c r="IN67" s="675">
        <v>0</v>
      </c>
      <c r="IO67" s="675">
        <v>0</v>
      </c>
      <c r="IP67" s="675">
        <v>0</v>
      </c>
      <c r="IQ67" s="675">
        <v>0</v>
      </c>
      <c r="IR67" s="675">
        <v>0</v>
      </c>
      <c r="IS67" s="675">
        <v>0</v>
      </c>
      <c r="IT67" s="675">
        <v>0</v>
      </c>
      <c r="IU67" s="675">
        <v>0</v>
      </c>
      <c r="IV67" s="675">
        <v>0</v>
      </c>
      <c r="IW67" s="675">
        <v>0</v>
      </c>
      <c r="IX67" s="675">
        <v>0</v>
      </c>
      <c r="IY67" s="675">
        <v>0</v>
      </c>
      <c r="IZ67" s="675">
        <v>0</v>
      </c>
      <c r="JA67" s="675">
        <v>0</v>
      </c>
      <c r="JB67" s="675">
        <v>0</v>
      </c>
      <c r="JC67" s="675">
        <v>0</v>
      </c>
      <c r="JD67" s="675">
        <v>0</v>
      </c>
      <c r="JE67" s="675">
        <v>0</v>
      </c>
      <c r="JF67" s="675">
        <v>0</v>
      </c>
      <c r="JG67" s="675">
        <v>0</v>
      </c>
      <c r="JH67" s="675">
        <v>0</v>
      </c>
      <c r="JI67" s="675">
        <v>0</v>
      </c>
      <c r="JJ67" s="675">
        <v>0</v>
      </c>
      <c r="JK67" s="675">
        <v>0</v>
      </c>
      <c r="JL67" s="675">
        <v>0</v>
      </c>
      <c r="JM67" s="675">
        <v>0</v>
      </c>
      <c r="JN67" s="675">
        <v>32469</v>
      </c>
      <c r="JO67" s="675">
        <v>0</v>
      </c>
      <c r="JP67" s="675">
        <v>0</v>
      </c>
      <c r="JQ67" s="675">
        <v>0</v>
      </c>
      <c r="JR67" s="675">
        <v>0</v>
      </c>
      <c r="JS67" s="675">
        <v>0</v>
      </c>
      <c r="JT67" s="675">
        <v>0</v>
      </c>
      <c r="JU67" s="675">
        <v>0</v>
      </c>
      <c r="JV67" s="675">
        <v>0</v>
      </c>
      <c r="JW67" s="675">
        <v>0</v>
      </c>
      <c r="JX67" s="675">
        <v>0</v>
      </c>
      <c r="JY67" s="675">
        <v>0</v>
      </c>
      <c r="JZ67" s="675">
        <v>0</v>
      </c>
      <c r="KA67" s="675">
        <v>0</v>
      </c>
      <c r="KB67" s="675">
        <v>0</v>
      </c>
      <c r="KC67" s="675">
        <v>0</v>
      </c>
      <c r="KD67" s="675">
        <v>0</v>
      </c>
      <c r="KE67" s="675">
        <v>0</v>
      </c>
      <c r="KF67" s="675">
        <v>0</v>
      </c>
    </row>
    <row r="68" spans="1:292" x14ac:dyDescent="0.25">
      <c r="A68" s="675">
        <v>57848</v>
      </c>
      <c r="B68" s="675">
        <v>32570</v>
      </c>
      <c r="C68" s="675">
        <v>35</v>
      </c>
      <c r="D68" s="675">
        <v>2022</v>
      </c>
      <c r="E68" s="675">
        <v>5392</v>
      </c>
      <c r="F68" s="675">
        <v>0</v>
      </c>
      <c r="G68" s="675">
        <v>18337.43</v>
      </c>
      <c r="H68" s="675">
        <v>17285.019</v>
      </c>
      <c r="I68" s="675">
        <v>17285.019</v>
      </c>
      <c r="J68" s="675">
        <v>18337.43</v>
      </c>
      <c r="K68" s="675">
        <v>0</v>
      </c>
      <c r="L68" s="675">
        <v>6554</v>
      </c>
      <c r="M68" s="675">
        <v>0</v>
      </c>
      <c r="N68" s="675">
        <v>0</v>
      </c>
      <c r="O68" s="675">
        <v>0</v>
      </c>
      <c r="P68" s="675">
        <v>17643.938000000002</v>
      </c>
      <c r="Q68" s="675">
        <v>0</v>
      </c>
      <c r="R68" s="675">
        <v>5640996</v>
      </c>
      <c r="S68" s="675">
        <v>319.71300000000002</v>
      </c>
      <c r="T68" s="675">
        <v>0</v>
      </c>
      <c r="U68" s="675">
        <v>5640996</v>
      </c>
      <c r="V68" s="675">
        <v>5200.8960000000006</v>
      </c>
      <c r="W68" s="675">
        <v>3408667</v>
      </c>
      <c r="X68" s="675">
        <v>3408667</v>
      </c>
      <c r="Y68" s="675">
        <v>0</v>
      </c>
      <c r="Z68" s="675">
        <v>0</v>
      </c>
      <c r="AA68" s="675">
        <v>1</v>
      </c>
      <c r="AB68" s="675">
        <v>1</v>
      </c>
      <c r="AC68" s="675">
        <v>0</v>
      </c>
      <c r="AD68" s="675" t="s">
        <v>316</v>
      </c>
      <c r="AE68" s="675">
        <v>0</v>
      </c>
      <c r="AF68" s="675">
        <v>0</v>
      </c>
      <c r="AG68" s="675">
        <v>0</v>
      </c>
      <c r="AH68" s="675">
        <v>0</v>
      </c>
      <c r="AI68" s="675">
        <v>0</v>
      </c>
      <c r="AJ68" s="675">
        <v>5104</v>
      </c>
      <c r="AK68" s="675" t="s">
        <v>671</v>
      </c>
      <c r="AL68" s="675" t="s">
        <v>464</v>
      </c>
      <c r="AM68" s="675">
        <v>0</v>
      </c>
      <c r="AN68" s="675">
        <v>0</v>
      </c>
      <c r="AO68" s="675">
        <v>0</v>
      </c>
      <c r="AP68" s="675">
        <v>0</v>
      </c>
      <c r="AQ68" s="675">
        <v>0</v>
      </c>
      <c r="AR68" s="675">
        <v>0</v>
      </c>
      <c r="AS68" s="675">
        <v>0</v>
      </c>
      <c r="AT68" s="675">
        <v>0</v>
      </c>
      <c r="AU68" s="675">
        <v>0</v>
      </c>
      <c r="AV68" s="675">
        <v>2941234</v>
      </c>
      <c r="AW68" s="675">
        <v>176284530</v>
      </c>
      <c r="AX68" s="675">
        <v>171812185</v>
      </c>
      <c r="AY68" s="675">
        <v>184723083</v>
      </c>
      <c r="AZ68" s="675">
        <v>6499442</v>
      </c>
      <c r="BA68" s="675">
        <v>0</v>
      </c>
      <c r="BB68" s="675">
        <v>721101</v>
      </c>
      <c r="BC68" s="675">
        <v>721101</v>
      </c>
      <c r="BD68" s="675">
        <v>916.87200000000007</v>
      </c>
      <c r="BE68" s="675">
        <v>0</v>
      </c>
      <c r="BF68" s="675">
        <v>146155612</v>
      </c>
      <c r="BG68" s="675">
        <v>0</v>
      </c>
      <c r="BH68" s="675">
        <v>2540.422</v>
      </c>
      <c r="BI68" s="675">
        <v>698616</v>
      </c>
      <c r="BJ68" s="675">
        <v>12</v>
      </c>
      <c r="BK68" s="675">
        <v>0</v>
      </c>
      <c r="BL68" s="675">
        <v>0</v>
      </c>
      <c r="BM68" s="675">
        <v>0</v>
      </c>
      <c r="BN68" s="675">
        <v>0</v>
      </c>
      <c r="BO68" s="675">
        <v>0</v>
      </c>
      <c r="BP68" s="675">
        <v>0</v>
      </c>
      <c r="BQ68" s="675">
        <v>5392</v>
      </c>
      <c r="BR68" s="675">
        <v>1</v>
      </c>
      <c r="BS68" s="675">
        <v>0</v>
      </c>
      <c r="BT68" s="675">
        <v>0</v>
      </c>
      <c r="BU68" s="675">
        <v>0</v>
      </c>
      <c r="BV68" s="675">
        <v>0</v>
      </c>
      <c r="BW68" s="675">
        <v>0</v>
      </c>
      <c r="BX68" s="675">
        <v>0</v>
      </c>
      <c r="BY68" s="675">
        <v>0</v>
      </c>
      <c r="BZ68" s="675">
        <v>0</v>
      </c>
      <c r="CA68" s="675">
        <v>418.11799999999999</v>
      </c>
      <c r="CB68" s="675">
        <v>159830</v>
      </c>
      <c r="CC68" s="675">
        <v>0</v>
      </c>
      <c r="CD68" s="675">
        <v>0</v>
      </c>
      <c r="CE68" s="675">
        <v>0</v>
      </c>
      <c r="CF68" s="675">
        <v>0</v>
      </c>
      <c r="CG68" s="675">
        <v>0</v>
      </c>
      <c r="CH68" s="675">
        <v>3613899</v>
      </c>
      <c r="CI68" s="675">
        <v>0</v>
      </c>
      <c r="CJ68" s="675">
        <v>5</v>
      </c>
      <c r="CK68" s="675">
        <v>0</v>
      </c>
      <c r="CL68" s="675">
        <v>0</v>
      </c>
      <c r="CM68" s="675">
        <v>0</v>
      </c>
      <c r="CN68" s="675">
        <v>0</v>
      </c>
      <c r="CO68" s="675">
        <v>0</v>
      </c>
      <c r="CP68" s="675">
        <v>0.23</v>
      </c>
      <c r="CQ68" s="675">
        <v>0</v>
      </c>
      <c r="CR68" s="675">
        <v>17643.938000000002</v>
      </c>
      <c r="CS68" s="675">
        <v>0</v>
      </c>
      <c r="CT68" s="675">
        <v>0</v>
      </c>
      <c r="CU68" s="675">
        <v>0</v>
      </c>
      <c r="CV68" s="675">
        <v>0</v>
      </c>
      <c r="CW68" s="675">
        <v>0</v>
      </c>
      <c r="CX68" s="675">
        <v>0</v>
      </c>
      <c r="CY68" s="675">
        <v>0</v>
      </c>
      <c r="CZ68" s="675">
        <v>0</v>
      </c>
      <c r="DA68" s="675">
        <v>1</v>
      </c>
      <c r="DB68" s="675">
        <v>113286015</v>
      </c>
      <c r="DC68" s="675">
        <v>0</v>
      </c>
      <c r="DD68" s="675">
        <v>0</v>
      </c>
      <c r="DE68" s="675">
        <v>18398821</v>
      </c>
      <c r="DF68" s="675">
        <v>18402454</v>
      </c>
      <c r="DG68" s="675">
        <v>14036.33</v>
      </c>
      <c r="DH68" s="675">
        <v>0</v>
      </c>
      <c r="DI68" s="675">
        <v>3633</v>
      </c>
      <c r="DJ68" s="675">
        <v>0</v>
      </c>
      <c r="DK68" s="675">
        <v>5392</v>
      </c>
      <c r="DL68" s="675">
        <v>0</v>
      </c>
      <c r="DM68" s="675">
        <v>7697820</v>
      </c>
      <c r="DN68" s="675">
        <v>0</v>
      </c>
      <c r="DO68" s="675">
        <v>0</v>
      </c>
      <c r="DP68" s="675">
        <v>0</v>
      </c>
      <c r="DQ68" s="675">
        <v>0</v>
      </c>
      <c r="DR68" s="675">
        <v>0</v>
      </c>
      <c r="DS68" s="675">
        <v>0</v>
      </c>
      <c r="DT68" s="675">
        <v>0</v>
      </c>
      <c r="DU68" s="675">
        <v>0</v>
      </c>
      <c r="DV68" s="675">
        <v>0</v>
      </c>
      <c r="DW68" s="675">
        <v>0</v>
      </c>
      <c r="DX68" s="675">
        <v>0</v>
      </c>
      <c r="DY68" s="675">
        <v>0</v>
      </c>
      <c r="DZ68" s="675">
        <v>0</v>
      </c>
      <c r="EA68" s="675">
        <v>5.3999999999999999E-2</v>
      </c>
      <c r="EB68" s="675">
        <v>0</v>
      </c>
      <c r="EC68" s="675">
        <v>202.14400000000001</v>
      </c>
      <c r="ED68" s="675">
        <v>1457337</v>
      </c>
      <c r="EE68" s="675">
        <v>0</v>
      </c>
      <c r="EF68" s="675">
        <v>0</v>
      </c>
      <c r="EG68" s="675">
        <v>0</v>
      </c>
      <c r="EH68" s="675">
        <v>6240483</v>
      </c>
      <c r="EI68" s="675">
        <v>0</v>
      </c>
      <c r="EJ68" s="675">
        <v>0</v>
      </c>
      <c r="EK68" s="675">
        <v>242.68300000000002</v>
      </c>
      <c r="EL68" s="675">
        <v>0</v>
      </c>
      <c r="EM68" s="675">
        <v>36.755000000000003</v>
      </c>
      <c r="EN68" s="675">
        <v>22.716000000000001</v>
      </c>
      <c r="EO68" s="675">
        <v>0</v>
      </c>
      <c r="EP68" s="675">
        <v>0</v>
      </c>
      <c r="EQ68" s="675">
        <v>302.20800000000003</v>
      </c>
      <c r="ER68" s="675">
        <v>0</v>
      </c>
      <c r="ES68" s="675">
        <v>952.1640000000001</v>
      </c>
      <c r="ET68" s="675">
        <v>0</v>
      </c>
      <c r="EU68" s="675">
        <v>6499442</v>
      </c>
      <c r="EV68" s="675">
        <v>0</v>
      </c>
      <c r="EW68" s="675">
        <v>0</v>
      </c>
      <c r="EX68" s="675">
        <v>0</v>
      </c>
      <c r="EY68" s="675">
        <v>0</v>
      </c>
      <c r="EZ68" s="675">
        <v>144546931</v>
      </c>
      <c r="FA68" s="675">
        <v>0</v>
      </c>
      <c r="FB68" s="675">
        <v>151046373</v>
      </c>
      <c r="FC68" s="675">
        <v>0.97327799999999998</v>
      </c>
      <c r="FD68" s="675">
        <v>0</v>
      </c>
      <c r="FE68" s="675">
        <v>22251019</v>
      </c>
      <c r="FF68" s="675">
        <v>5014235</v>
      </c>
      <c r="FG68" s="675">
        <v>6.1239999999999996E-2</v>
      </c>
      <c r="FH68" s="675">
        <v>5.4803999999999999E-2</v>
      </c>
      <c r="FI68" s="675">
        <v>0</v>
      </c>
      <c r="FJ68" s="675">
        <v>0</v>
      </c>
      <c r="FK68" s="675">
        <v>28636.487000000001</v>
      </c>
      <c r="FL68" s="675">
        <v>181925526</v>
      </c>
      <c r="FM68" s="675">
        <v>0</v>
      </c>
      <c r="FN68" s="675">
        <v>0</v>
      </c>
      <c r="FO68" s="675">
        <v>19440</v>
      </c>
      <c r="FP68" s="675">
        <v>0</v>
      </c>
      <c r="FQ68" s="675">
        <v>19440</v>
      </c>
      <c r="FR68" s="675">
        <v>19440</v>
      </c>
      <c r="FS68" s="675">
        <v>0</v>
      </c>
      <c r="FT68" s="675">
        <v>0</v>
      </c>
      <c r="FU68" s="675">
        <v>0</v>
      </c>
      <c r="FV68" s="675">
        <v>0</v>
      </c>
      <c r="FW68" s="675">
        <v>0</v>
      </c>
      <c r="FX68" s="675">
        <v>0</v>
      </c>
      <c r="FY68" s="675">
        <v>0</v>
      </c>
      <c r="FZ68" s="675">
        <v>14709</v>
      </c>
      <c r="GA68" s="675">
        <v>294.185</v>
      </c>
      <c r="GB68" s="675">
        <v>6652430</v>
      </c>
      <c r="GC68" s="675">
        <v>6652430</v>
      </c>
      <c r="GD68" s="675">
        <v>750.20300000000009</v>
      </c>
      <c r="GE68" s="675">
        <v>0</v>
      </c>
      <c r="GF68" s="675">
        <v>0</v>
      </c>
      <c r="GG68" s="675">
        <v>0</v>
      </c>
      <c r="GH68" s="675">
        <v>0</v>
      </c>
      <c r="GI68" s="675">
        <v>0</v>
      </c>
      <c r="GJ68" s="675">
        <v>0</v>
      </c>
      <c r="GK68" s="675">
        <v>4971</v>
      </c>
      <c r="GL68" s="675">
        <v>0</v>
      </c>
      <c r="GM68" s="675">
        <v>0</v>
      </c>
      <c r="GN68" s="675">
        <v>0</v>
      </c>
      <c r="GO68" s="675">
        <v>0</v>
      </c>
      <c r="GP68" s="675">
        <v>178311627</v>
      </c>
      <c r="GQ68" s="675">
        <v>178311627</v>
      </c>
      <c r="GR68" s="675">
        <v>0</v>
      </c>
      <c r="GS68" s="675">
        <v>0</v>
      </c>
      <c r="GT68" s="675">
        <v>0</v>
      </c>
      <c r="GU68" s="675">
        <v>0</v>
      </c>
      <c r="GV68" s="675">
        <v>0</v>
      </c>
      <c r="GW68" s="675">
        <v>0</v>
      </c>
      <c r="GX68" s="675">
        <v>0</v>
      </c>
      <c r="GY68" s="675">
        <v>0</v>
      </c>
      <c r="GZ68" s="675">
        <v>0</v>
      </c>
      <c r="HA68" s="675">
        <v>0</v>
      </c>
      <c r="HB68" s="675">
        <v>260786259</v>
      </c>
      <c r="HC68" s="675">
        <v>5.0923999999999997E-2</v>
      </c>
      <c r="HD68" s="675">
        <v>3613899</v>
      </c>
      <c r="HE68" s="675">
        <v>0</v>
      </c>
      <c r="HF68" s="675">
        <v>0</v>
      </c>
      <c r="HG68" s="675">
        <v>0</v>
      </c>
      <c r="HH68" s="675">
        <v>0</v>
      </c>
      <c r="HI68" s="675">
        <v>0</v>
      </c>
      <c r="HJ68" s="675">
        <v>0</v>
      </c>
      <c r="HK68" s="675">
        <v>0</v>
      </c>
      <c r="HL68" s="675">
        <v>0</v>
      </c>
      <c r="HM68" s="675">
        <v>0</v>
      </c>
      <c r="HN68" s="675">
        <v>0</v>
      </c>
      <c r="HO68" s="675">
        <v>0</v>
      </c>
      <c r="HP68" s="675">
        <v>0</v>
      </c>
      <c r="HQ68" s="675">
        <v>0</v>
      </c>
      <c r="HR68" s="675">
        <v>0</v>
      </c>
      <c r="HS68" s="675">
        <v>0</v>
      </c>
      <c r="HT68" s="675">
        <v>0</v>
      </c>
      <c r="HU68" s="675">
        <v>0</v>
      </c>
      <c r="HV68" s="675">
        <v>0</v>
      </c>
      <c r="HW68" s="675">
        <v>0</v>
      </c>
      <c r="HX68" s="675">
        <v>0</v>
      </c>
      <c r="HY68" s="675">
        <v>0</v>
      </c>
      <c r="HZ68" s="675">
        <v>0</v>
      </c>
      <c r="IA68" s="675">
        <v>0</v>
      </c>
      <c r="IB68" s="675">
        <v>0</v>
      </c>
      <c r="IC68" s="675">
        <v>0</v>
      </c>
      <c r="ID68" s="675">
        <v>0</v>
      </c>
      <c r="IE68" s="675">
        <v>391.89800000000002</v>
      </c>
      <c r="IF68" s="675">
        <v>0</v>
      </c>
      <c r="IG68" s="675">
        <v>0</v>
      </c>
      <c r="IH68" s="675">
        <v>0</v>
      </c>
      <c r="II68" s="675">
        <v>0</v>
      </c>
      <c r="IJ68" s="675">
        <v>0</v>
      </c>
      <c r="IK68" s="675">
        <v>0</v>
      </c>
      <c r="IL68" s="675">
        <v>0</v>
      </c>
      <c r="IM68" s="675">
        <v>0</v>
      </c>
      <c r="IN68" s="675">
        <v>0</v>
      </c>
      <c r="IO68" s="675">
        <v>0</v>
      </c>
      <c r="IP68" s="675">
        <v>0</v>
      </c>
      <c r="IQ68" s="675">
        <v>0</v>
      </c>
      <c r="IR68" s="675">
        <v>0</v>
      </c>
      <c r="IS68" s="675">
        <v>0</v>
      </c>
      <c r="IT68" s="675">
        <v>0</v>
      </c>
      <c r="IU68" s="675">
        <v>0</v>
      </c>
      <c r="IV68" s="675">
        <v>0</v>
      </c>
      <c r="IW68" s="675">
        <v>0</v>
      </c>
      <c r="IX68" s="675">
        <v>0</v>
      </c>
      <c r="IY68" s="675">
        <v>0</v>
      </c>
      <c r="IZ68" s="675">
        <v>0</v>
      </c>
      <c r="JA68" s="675">
        <v>0</v>
      </c>
      <c r="JB68" s="675">
        <v>0</v>
      </c>
      <c r="JC68" s="675">
        <v>0</v>
      </c>
      <c r="JD68" s="675">
        <v>0</v>
      </c>
      <c r="JE68" s="675">
        <v>0</v>
      </c>
      <c r="JF68" s="675">
        <v>0</v>
      </c>
      <c r="JG68" s="675">
        <v>0</v>
      </c>
      <c r="JH68" s="675">
        <v>0</v>
      </c>
      <c r="JI68" s="675">
        <v>0</v>
      </c>
      <c r="JJ68" s="675">
        <v>0</v>
      </c>
      <c r="JK68" s="675">
        <v>0</v>
      </c>
      <c r="JL68" s="675">
        <v>0</v>
      </c>
      <c r="JM68" s="675">
        <v>0</v>
      </c>
      <c r="JN68" s="675">
        <v>32469</v>
      </c>
      <c r="JO68" s="675">
        <v>0</v>
      </c>
      <c r="JP68" s="675">
        <v>0</v>
      </c>
      <c r="JQ68" s="675">
        <v>0</v>
      </c>
      <c r="JR68" s="675">
        <v>0</v>
      </c>
      <c r="JS68" s="675">
        <v>0</v>
      </c>
      <c r="JT68" s="675">
        <v>0</v>
      </c>
      <c r="JU68" s="675">
        <v>0</v>
      </c>
      <c r="JV68" s="675">
        <v>0</v>
      </c>
      <c r="JW68" s="675">
        <v>0</v>
      </c>
      <c r="JX68" s="675">
        <v>0</v>
      </c>
      <c r="JY68" s="675">
        <v>0</v>
      </c>
      <c r="JZ68" s="675">
        <v>0</v>
      </c>
      <c r="KA68" s="675">
        <v>0</v>
      </c>
      <c r="KB68" s="675">
        <v>0</v>
      </c>
      <c r="KC68" s="675">
        <v>0</v>
      </c>
      <c r="KD68" s="675">
        <v>0</v>
      </c>
      <c r="KE68" s="675">
        <v>0</v>
      </c>
      <c r="KF68" s="675">
        <v>0</v>
      </c>
    </row>
    <row r="69" spans="1:292" x14ac:dyDescent="0.25">
      <c r="A69" s="675">
        <v>57850</v>
      </c>
      <c r="B69" s="675">
        <v>32570</v>
      </c>
      <c r="C69" s="675">
        <v>35</v>
      </c>
      <c r="D69" s="675">
        <v>2022</v>
      </c>
      <c r="E69" s="675">
        <v>5392</v>
      </c>
      <c r="F69" s="675">
        <v>0</v>
      </c>
      <c r="G69" s="675">
        <v>1184.0320000000002</v>
      </c>
      <c r="H69" s="675">
        <v>1148.6420000000001</v>
      </c>
      <c r="I69" s="675">
        <v>1148.6420000000001</v>
      </c>
      <c r="J69" s="675">
        <v>1184.0320000000002</v>
      </c>
      <c r="K69" s="675">
        <v>0</v>
      </c>
      <c r="L69" s="675">
        <v>6554</v>
      </c>
      <c r="M69" s="675">
        <v>0</v>
      </c>
      <c r="N69" s="675">
        <v>0</v>
      </c>
      <c r="O69" s="675">
        <v>0</v>
      </c>
      <c r="P69" s="675">
        <v>586.25200000000007</v>
      </c>
      <c r="Q69" s="675">
        <v>0</v>
      </c>
      <c r="R69" s="675">
        <v>187432</v>
      </c>
      <c r="S69" s="675">
        <v>319.71300000000002</v>
      </c>
      <c r="T69" s="675">
        <v>0</v>
      </c>
      <c r="U69" s="675">
        <v>187432</v>
      </c>
      <c r="V69" s="675">
        <v>231.226</v>
      </c>
      <c r="W69" s="675">
        <v>151546</v>
      </c>
      <c r="X69" s="675">
        <v>151546</v>
      </c>
      <c r="Y69" s="675">
        <v>0</v>
      </c>
      <c r="Z69" s="675">
        <v>0</v>
      </c>
      <c r="AA69" s="675">
        <v>1</v>
      </c>
      <c r="AB69" s="675">
        <v>1</v>
      </c>
      <c r="AC69" s="675">
        <v>0</v>
      </c>
      <c r="AD69" s="675" t="s">
        <v>316</v>
      </c>
      <c r="AE69" s="675">
        <v>0</v>
      </c>
      <c r="AF69" s="675">
        <v>0</v>
      </c>
      <c r="AG69" s="675">
        <v>0</v>
      </c>
      <c r="AH69" s="675">
        <v>0</v>
      </c>
      <c r="AI69" s="675">
        <v>0</v>
      </c>
      <c r="AJ69" s="675">
        <v>5104</v>
      </c>
      <c r="AK69" s="675" t="s">
        <v>671</v>
      </c>
      <c r="AL69" s="675" t="s">
        <v>388</v>
      </c>
      <c r="AM69" s="675">
        <v>0</v>
      </c>
      <c r="AN69" s="675">
        <v>0</v>
      </c>
      <c r="AO69" s="675">
        <v>0</v>
      </c>
      <c r="AP69" s="675">
        <v>0</v>
      </c>
      <c r="AQ69" s="675">
        <v>0</v>
      </c>
      <c r="AR69" s="675">
        <v>0</v>
      </c>
      <c r="AS69" s="675">
        <v>0</v>
      </c>
      <c r="AT69" s="675">
        <v>0</v>
      </c>
      <c r="AU69" s="675">
        <v>0</v>
      </c>
      <c r="AV69" s="675">
        <v>121737</v>
      </c>
      <c r="AW69" s="675">
        <v>10761486</v>
      </c>
      <c r="AX69" s="675">
        <v>10330086</v>
      </c>
      <c r="AY69" s="675">
        <v>11683737</v>
      </c>
      <c r="AZ69" s="675">
        <v>385486</v>
      </c>
      <c r="BA69" s="675">
        <v>0</v>
      </c>
      <c r="BB69" s="675">
        <v>46561</v>
      </c>
      <c r="BC69" s="675">
        <v>46561</v>
      </c>
      <c r="BD69" s="675">
        <v>59.202000000000005</v>
      </c>
      <c r="BE69" s="675">
        <v>0</v>
      </c>
      <c r="BF69" s="675">
        <v>8663483</v>
      </c>
      <c r="BG69" s="675">
        <v>0</v>
      </c>
      <c r="BH69" s="675">
        <v>178.89600000000002</v>
      </c>
      <c r="BI69" s="675">
        <v>49196</v>
      </c>
      <c r="BJ69" s="675">
        <v>12</v>
      </c>
      <c r="BK69" s="675">
        <v>0</v>
      </c>
      <c r="BL69" s="675">
        <v>0</v>
      </c>
      <c r="BM69" s="675">
        <v>0</v>
      </c>
      <c r="BN69" s="675">
        <v>0</v>
      </c>
      <c r="BO69" s="675">
        <v>0</v>
      </c>
      <c r="BP69" s="675">
        <v>0</v>
      </c>
      <c r="BQ69" s="675">
        <v>5392</v>
      </c>
      <c r="BR69" s="675">
        <v>1</v>
      </c>
      <c r="BS69" s="675">
        <v>0</v>
      </c>
      <c r="BT69" s="675">
        <v>0</v>
      </c>
      <c r="BU69" s="675">
        <v>0</v>
      </c>
      <c r="BV69" s="675">
        <v>0</v>
      </c>
      <c r="BW69" s="675">
        <v>0</v>
      </c>
      <c r="BX69" s="675">
        <v>0</v>
      </c>
      <c r="BY69" s="675">
        <v>0</v>
      </c>
      <c r="BZ69" s="675">
        <v>0</v>
      </c>
      <c r="CA69" s="675">
        <v>389.416</v>
      </c>
      <c r="CB69" s="675">
        <v>148858</v>
      </c>
      <c r="CC69" s="675">
        <v>0</v>
      </c>
      <c r="CD69" s="675">
        <v>0</v>
      </c>
      <c r="CE69" s="675">
        <v>0</v>
      </c>
      <c r="CF69" s="675">
        <v>0</v>
      </c>
      <c r="CG69" s="675">
        <v>0</v>
      </c>
      <c r="CH69" s="675">
        <v>233346</v>
      </c>
      <c r="CI69" s="675">
        <v>0</v>
      </c>
      <c r="CJ69" s="675">
        <v>4</v>
      </c>
      <c r="CK69" s="675">
        <v>0</v>
      </c>
      <c r="CL69" s="675">
        <v>0</v>
      </c>
      <c r="CM69" s="675">
        <v>0</v>
      </c>
      <c r="CN69" s="675">
        <v>0</v>
      </c>
      <c r="CO69" s="675">
        <v>0</v>
      </c>
      <c r="CP69" s="675">
        <v>0</v>
      </c>
      <c r="CQ69" s="675">
        <v>0</v>
      </c>
      <c r="CR69" s="675">
        <v>586.25200000000007</v>
      </c>
      <c r="CS69" s="675">
        <v>0</v>
      </c>
      <c r="CT69" s="675">
        <v>0</v>
      </c>
      <c r="CU69" s="675">
        <v>0</v>
      </c>
      <c r="CV69" s="675">
        <v>0</v>
      </c>
      <c r="CW69" s="675">
        <v>0</v>
      </c>
      <c r="CX69" s="675">
        <v>0</v>
      </c>
      <c r="CY69" s="675">
        <v>0</v>
      </c>
      <c r="CZ69" s="675">
        <v>0</v>
      </c>
      <c r="DA69" s="675">
        <v>1</v>
      </c>
      <c r="DB69" s="675">
        <v>7528200</v>
      </c>
      <c r="DC69" s="675">
        <v>0</v>
      </c>
      <c r="DD69" s="675">
        <v>0</v>
      </c>
      <c r="DE69" s="675">
        <v>589205</v>
      </c>
      <c r="DF69" s="675">
        <v>589205</v>
      </c>
      <c r="DG69" s="675">
        <v>449.5</v>
      </c>
      <c r="DH69" s="675">
        <v>0</v>
      </c>
      <c r="DI69" s="675">
        <v>0</v>
      </c>
      <c r="DJ69" s="675">
        <v>0</v>
      </c>
      <c r="DK69" s="675">
        <v>5392</v>
      </c>
      <c r="DL69" s="675">
        <v>0</v>
      </c>
      <c r="DM69" s="675">
        <v>280107</v>
      </c>
      <c r="DN69" s="675">
        <v>0</v>
      </c>
      <c r="DO69" s="675">
        <v>0</v>
      </c>
      <c r="DP69" s="675">
        <v>0</v>
      </c>
      <c r="DQ69" s="675">
        <v>0</v>
      </c>
      <c r="DR69" s="675">
        <v>0</v>
      </c>
      <c r="DS69" s="675">
        <v>0</v>
      </c>
      <c r="DT69" s="675">
        <v>0</v>
      </c>
      <c r="DU69" s="675">
        <v>0</v>
      </c>
      <c r="DV69" s="675">
        <v>0</v>
      </c>
      <c r="DW69" s="675">
        <v>0</v>
      </c>
      <c r="DX69" s="675">
        <v>0</v>
      </c>
      <c r="DY69" s="675">
        <v>0</v>
      </c>
      <c r="DZ69" s="675">
        <v>0</v>
      </c>
      <c r="EA69" s="675">
        <v>0</v>
      </c>
      <c r="EB69" s="675">
        <v>0</v>
      </c>
      <c r="EC69" s="675">
        <v>35.053000000000004</v>
      </c>
      <c r="ED69" s="675">
        <v>252711</v>
      </c>
      <c r="EE69" s="675">
        <v>0</v>
      </c>
      <c r="EF69" s="675">
        <v>0</v>
      </c>
      <c r="EG69" s="675">
        <v>0</v>
      </c>
      <c r="EH69" s="675">
        <v>27396</v>
      </c>
      <c r="EI69" s="675">
        <v>0</v>
      </c>
      <c r="EJ69" s="675">
        <v>0</v>
      </c>
      <c r="EK69" s="675">
        <v>0</v>
      </c>
      <c r="EL69" s="675">
        <v>0</v>
      </c>
      <c r="EM69" s="675">
        <v>0</v>
      </c>
      <c r="EN69" s="675">
        <v>0.83600000000000008</v>
      </c>
      <c r="EO69" s="675">
        <v>0</v>
      </c>
      <c r="EP69" s="675">
        <v>0</v>
      </c>
      <c r="EQ69" s="675">
        <v>0.83600000000000008</v>
      </c>
      <c r="ER69" s="675">
        <v>0</v>
      </c>
      <c r="ES69" s="675">
        <v>4.18</v>
      </c>
      <c r="ET69" s="675">
        <v>0</v>
      </c>
      <c r="EU69" s="675">
        <v>385486</v>
      </c>
      <c r="EV69" s="675">
        <v>0</v>
      </c>
      <c r="EW69" s="675">
        <v>0</v>
      </c>
      <c r="EX69" s="675">
        <v>0</v>
      </c>
      <c r="EY69" s="675">
        <v>0</v>
      </c>
      <c r="EZ69" s="675">
        <v>8713917</v>
      </c>
      <c r="FA69" s="675">
        <v>0</v>
      </c>
      <c r="FB69" s="675">
        <v>9099403</v>
      </c>
      <c r="FC69" s="675">
        <v>0.97327799999999998</v>
      </c>
      <c r="FD69" s="675">
        <v>0</v>
      </c>
      <c r="FE69" s="675">
        <v>1318946</v>
      </c>
      <c r="FF69" s="675">
        <v>297223</v>
      </c>
      <c r="FG69" s="675">
        <v>6.1239999999999996E-2</v>
      </c>
      <c r="FH69" s="675">
        <v>5.4803999999999999E-2</v>
      </c>
      <c r="FI69" s="675">
        <v>0</v>
      </c>
      <c r="FJ69" s="675">
        <v>0</v>
      </c>
      <c r="FK69" s="675">
        <v>1697.4490000000001</v>
      </c>
      <c r="FL69" s="675">
        <v>10948918</v>
      </c>
      <c r="FM69" s="675">
        <v>0</v>
      </c>
      <c r="FN69" s="675">
        <v>0</v>
      </c>
      <c r="FO69" s="675">
        <v>0</v>
      </c>
      <c r="FP69" s="675">
        <v>0</v>
      </c>
      <c r="FQ69" s="675">
        <v>0</v>
      </c>
      <c r="FR69" s="675">
        <v>0</v>
      </c>
      <c r="FS69" s="675">
        <v>0</v>
      </c>
      <c r="FT69" s="675">
        <v>0</v>
      </c>
      <c r="FU69" s="675">
        <v>0</v>
      </c>
      <c r="FV69" s="675">
        <v>0</v>
      </c>
      <c r="FW69" s="675">
        <v>0</v>
      </c>
      <c r="FX69" s="675">
        <v>0</v>
      </c>
      <c r="FY69" s="675">
        <v>0</v>
      </c>
      <c r="FZ69" s="675">
        <v>0</v>
      </c>
      <c r="GA69" s="675">
        <v>0</v>
      </c>
      <c r="GB69" s="675">
        <v>305730</v>
      </c>
      <c r="GC69" s="675">
        <v>305730</v>
      </c>
      <c r="GD69" s="675">
        <v>34.554000000000002</v>
      </c>
      <c r="GE69" s="675">
        <v>0</v>
      </c>
      <c r="GF69" s="675">
        <v>0</v>
      </c>
      <c r="GG69" s="675">
        <v>0</v>
      </c>
      <c r="GH69" s="675">
        <v>0</v>
      </c>
      <c r="GI69" s="675">
        <v>0</v>
      </c>
      <c r="GJ69" s="675">
        <v>0</v>
      </c>
      <c r="GK69" s="675">
        <v>0</v>
      </c>
      <c r="GL69" s="675">
        <v>0</v>
      </c>
      <c r="GM69" s="675">
        <v>0</v>
      </c>
      <c r="GN69" s="675">
        <v>0</v>
      </c>
      <c r="GO69" s="675">
        <v>0</v>
      </c>
      <c r="GP69" s="675">
        <v>10715572</v>
      </c>
      <c r="GQ69" s="675">
        <v>10715572</v>
      </c>
      <c r="GR69" s="675">
        <v>0</v>
      </c>
      <c r="GS69" s="675">
        <v>0</v>
      </c>
      <c r="GT69" s="675">
        <v>0</v>
      </c>
      <c r="GU69" s="675">
        <v>0</v>
      </c>
      <c r="GV69" s="675">
        <v>0</v>
      </c>
      <c r="GW69" s="675">
        <v>0</v>
      </c>
      <c r="GX69" s="675">
        <v>0</v>
      </c>
      <c r="GY69" s="675">
        <v>0</v>
      </c>
      <c r="GZ69" s="675">
        <v>0</v>
      </c>
      <c r="HA69" s="675">
        <v>0</v>
      </c>
      <c r="HB69" s="675">
        <v>260786259</v>
      </c>
      <c r="HC69" s="675">
        <v>5.0923999999999997E-2</v>
      </c>
      <c r="HD69" s="675">
        <v>233346</v>
      </c>
      <c r="HE69" s="675">
        <v>0</v>
      </c>
      <c r="HF69" s="675">
        <v>0</v>
      </c>
      <c r="HG69" s="675">
        <v>0</v>
      </c>
      <c r="HH69" s="675">
        <v>0</v>
      </c>
      <c r="HI69" s="675">
        <v>0</v>
      </c>
      <c r="HJ69" s="675">
        <v>0</v>
      </c>
      <c r="HK69" s="675">
        <v>0</v>
      </c>
      <c r="HL69" s="675">
        <v>0</v>
      </c>
      <c r="HM69" s="675">
        <v>0</v>
      </c>
      <c r="HN69" s="675">
        <v>0</v>
      </c>
      <c r="HO69" s="675">
        <v>0</v>
      </c>
      <c r="HP69" s="675">
        <v>0</v>
      </c>
      <c r="HQ69" s="675">
        <v>0</v>
      </c>
      <c r="HR69" s="675">
        <v>0</v>
      </c>
      <c r="HS69" s="675">
        <v>0</v>
      </c>
      <c r="HT69" s="675">
        <v>0</v>
      </c>
      <c r="HU69" s="675">
        <v>0</v>
      </c>
      <c r="HV69" s="675">
        <v>0</v>
      </c>
      <c r="HW69" s="675">
        <v>0</v>
      </c>
      <c r="HX69" s="675">
        <v>0</v>
      </c>
      <c r="HY69" s="675">
        <v>0</v>
      </c>
      <c r="HZ69" s="675">
        <v>0</v>
      </c>
      <c r="IA69" s="675">
        <v>0</v>
      </c>
      <c r="IB69" s="675">
        <v>0</v>
      </c>
      <c r="IC69" s="675">
        <v>0</v>
      </c>
      <c r="ID69" s="675">
        <v>0</v>
      </c>
      <c r="IE69" s="675">
        <v>0</v>
      </c>
      <c r="IF69" s="675">
        <v>0</v>
      </c>
      <c r="IG69" s="675">
        <v>0</v>
      </c>
      <c r="IH69" s="675">
        <v>0</v>
      </c>
      <c r="II69" s="675">
        <v>0</v>
      </c>
      <c r="IJ69" s="675">
        <v>0</v>
      </c>
      <c r="IK69" s="675">
        <v>0</v>
      </c>
      <c r="IL69" s="675">
        <v>0</v>
      </c>
      <c r="IM69" s="675">
        <v>0</v>
      </c>
      <c r="IN69" s="675">
        <v>0</v>
      </c>
      <c r="IO69" s="675">
        <v>0</v>
      </c>
      <c r="IP69" s="675">
        <v>0</v>
      </c>
      <c r="IQ69" s="675">
        <v>0</v>
      </c>
      <c r="IR69" s="675">
        <v>0</v>
      </c>
      <c r="IS69" s="675">
        <v>0</v>
      </c>
      <c r="IT69" s="675">
        <v>0</v>
      </c>
      <c r="IU69" s="675">
        <v>0</v>
      </c>
      <c r="IV69" s="675">
        <v>0</v>
      </c>
      <c r="IW69" s="675">
        <v>0</v>
      </c>
      <c r="IX69" s="675">
        <v>0</v>
      </c>
      <c r="IY69" s="675">
        <v>0</v>
      </c>
      <c r="IZ69" s="675">
        <v>0</v>
      </c>
      <c r="JA69" s="675">
        <v>0</v>
      </c>
      <c r="JB69" s="675">
        <v>0</v>
      </c>
      <c r="JC69" s="675">
        <v>0</v>
      </c>
      <c r="JD69" s="675">
        <v>0</v>
      </c>
      <c r="JE69" s="675">
        <v>0</v>
      </c>
      <c r="JF69" s="675">
        <v>0</v>
      </c>
      <c r="JG69" s="675">
        <v>0</v>
      </c>
      <c r="JH69" s="675">
        <v>0</v>
      </c>
      <c r="JI69" s="675">
        <v>0</v>
      </c>
      <c r="JJ69" s="675">
        <v>0</v>
      </c>
      <c r="JK69" s="675">
        <v>0</v>
      </c>
      <c r="JL69" s="675">
        <v>0</v>
      </c>
      <c r="JM69" s="675">
        <v>0</v>
      </c>
      <c r="JN69" s="675">
        <v>32469</v>
      </c>
      <c r="JO69" s="675">
        <v>0</v>
      </c>
      <c r="JP69" s="675">
        <v>0</v>
      </c>
      <c r="JQ69" s="675">
        <v>0</v>
      </c>
      <c r="JR69" s="675">
        <v>0</v>
      </c>
      <c r="JS69" s="675">
        <v>0</v>
      </c>
      <c r="JT69" s="675">
        <v>0</v>
      </c>
      <c r="JU69" s="675">
        <v>0</v>
      </c>
      <c r="JV69" s="675">
        <v>0</v>
      </c>
      <c r="JW69" s="675">
        <v>0</v>
      </c>
      <c r="JX69" s="675">
        <v>0</v>
      </c>
      <c r="JY69" s="675">
        <v>0</v>
      </c>
      <c r="JZ69" s="675">
        <v>0</v>
      </c>
      <c r="KA69" s="675">
        <v>0</v>
      </c>
      <c r="KB69" s="675">
        <v>0</v>
      </c>
      <c r="KC69" s="675">
        <v>0</v>
      </c>
      <c r="KD69" s="675">
        <v>0</v>
      </c>
      <c r="KE69" s="675">
        <v>0</v>
      </c>
      <c r="KF69" s="675">
        <v>0</v>
      </c>
    </row>
    <row r="70" spans="1:292" x14ac:dyDescent="0.25">
      <c r="A70" s="675">
        <v>57851</v>
      </c>
      <c r="B70" s="675">
        <v>32570</v>
      </c>
      <c r="C70" s="675">
        <v>35</v>
      </c>
      <c r="D70" s="675">
        <v>2022</v>
      </c>
      <c r="E70" s="675">
        <v>5392</v>
      </c>
      <c r="F70" s="675">
        <v>0</v>
      </c>
      <c r="G70" s="675">
        <v>52.789000000000001</v>
      </c>
      <c r="H70" s="675">
        <v>47.771000000000001</v>
      </c>
      <c r="I70" s="675">
        <v>47.771000000000001</v>
      </c>
      <c r="J70" s="675">
        <v>52.789000000000001</v>
      </c>
      <c r="K70" s="675">
        <v>0</v>
      </c>
      <c r="L70" s="675">
        <v>6554</v>
      </c>
      <c r="M70" s="675">
        <v>0</v>
      </c>
      <c r="N70" s="675">
        <v>0</v>
      </c>
      <c r="O70" s="675">
        <v>0</v>
      </c>
      <c r="P70" s="675">
        <v>15.506</v>
      </c>
      <c r="Q70" s="675">
        <v>0</v>
      </c>
      <c r="R70" s="675">
        <v>4957</v>
      </c>
      <c r="S70" s="675">
        <v>319.71300000000002</v>
      </c>
      <c r="T70" s="675">
        <v>0</v>
      </c>
      <c r="U70" s="675">
        <v>4957</v>
      </c>
      <c r="V70" s="675">
        <v>5.133</v>
      </c>
      <c r="W70" s="675">
        <v>3364</v>
      </c>
      <c r="X70" s="675">
        <v>3364</v>
      </c>
      <c r="Y70" s="675">
        <v>0</v>
      </c>
      <c r="Z70" s="675">
        <v>0</v>
      </c>
      <c r="AA70" s="675">
        <v>1</v>
      </c>
      <c r="AB70" s="675">
        <v>1</v>
      </c>
      <c r="AC70" s="675">
        <v>0</v>
      </c>
      <c r="AD70" s="675" t="s">
        <v>316</v>
      </c>
      <c r="AE70" s="675">
        <v>0</v>
      </c>
      <c r="AF70" s="675">
        <v>0</v>
      </c>
      <c r="AG70" s="675">
        <v>0</v>
      </c>
      <c r="AH70" s="675">
        <v>0</v>
      </c>
      <c r="AI70" s="675">
        <v>0</v>
      </c>
      <c r="AJ70" s="675">
        <v>5104</v>
      </c>
      <c r="AK70" s="675" t="s">
        <v>671</v>
      </c>
      <c r="AL70" s="675" t="s">
        <v>442</v>
      </c>
      <c r="AM70" s="675">
        <v>0</v>
      </c>
      <c r="AN70" s="675">
        <v>0</v>
      </c>
      <c r="AO70" s="675">
        <v>0</v>
      </c>
      <c r="AP70" s="675">
        <v>0</v>
      </c>
      <c r="AQ70" s="675">
        <v>0</v>
      </c>
      <c r="AR70" s="675">
        <v>0</v>
      </c>
      <c r="AS70" s="675">
        <v>0</v>
      </c>
      <c r="AT70" s="675">
        <v>0</v>
      </c>
      <c r="AU70" s="675">
        <v>0</v>
      </c>
      <c r="AV70" s="675">
        <v>8</v>
      </c>
      <c r="AW70" s="675">
        <v>527768</v>
      </c>
      <c r="AX70" s="675">
        <v>527768</v>
      </c>
      <c r="AY70" s="675">
        <v>595195</v>
      </c>
      <c r="AZ70" s="675">
        <v>4957</v>
      </c>
      <c r="BA70" s="675">
        <v>0</v>
      </c>
      <c r="BB70" s="675">
        <v>0</v>
      </c>
      <c r="BC70" s="675">
        <v>0</v>
      </c>
      <c r="BD70" s="675">
        <v>0</v>
      </c>
      <c r="BE70" s="675">
        <v>0</v>
      </c>
      <c r="BF70" s="675">
        <v>438816</v>
      </c>
      <c r="BG70" s="675">
        <v>0</v>
      </c>
      <c r="BH70" s="675">
        <v>0</v>
      </c>
      <c r="BI70" s="675">
        <v>0</v>
      </c>
      <c r="BJ70" s="675">
        <v>12</v>
      </c>
      <c r="BK70" s="675">
        <v>0</v>
      </c>
      <c r="BL70" s="675">
        <v>0</v>
      </c>
      <c r="BM70" s="675">
        <v>0</v>
      </c>
      <c r="BN70" s="675">
        <v>0</v>
      </c>
      <c r="BO70" s="675">
        <v>0</v>
      </c>
      <c r="BP70" s="675">
        <v>0</v>
      </c>
      <c r="BQ70" s="675">
        <v>5392</v>
      </c>
      <c r="BR70" s="675">
        <v>1</v>
      </c>
      <c r="BS70" s="675">
        <v>0</v>
      </c>
      <c r="BT70" s="675">
        <v>0</v>
      </c>
      <c r="BU70" s="675">
        <v>0</v>
      </c>
      <c r="BV70" s="675">
        <v>0</v>
      </c>
      <c r="BW70" s="675">
        <v>0</v>
      </c>
      <c r="BX70" s="675">
        <v>0</v>
      </c>
      <c r="BY70" s="675">
        <v>0</v>
      </c>
      <c r="BZ70" s="675">
        <v>0</v>
      </c>
      <c r="CA70" s="675">
        <v>0</v>
      </c>
      <c r="CB70" s="675">
        <v>0</v>
      </c>
      <c r="CC70" s="675">
        <v>0</v>
      </c>
      <c r="CD70" s="675">
        <v>0</v>
      </c>
      <c r="CE70" s="675">
        <v>0</v>
      </c>
      <c r="CF70" s="675">
        <v>0</v>
      </c>
      <c r="CG70" s="675">
        <v>0</v>
      </c>
      <c r="CH70" s="675">
        <v>0</v>
      </c>
      <c r="CI70" s="675">
        <v>0</v>
      </c>
      <c r="CJ70" s="675">
        <v>4</v>
      </c>
      <c r="CK70" s="675">
        <v>0</v>
      </c>
      <c r="CL70" s="675">
        <v>0</v>
      </c>
      <c r="CM70" s="675">
        <v>0</v>
      </c>
      <c r="CN70" s="675">
        <v>0</v>
      </c>
      <c r="CO70" s="675">
        <v>0</v>
      </c>
      <c r="CP70" s="675">
        <v>0</v>
      </c>
      <c r="CQ70" s="675">
        <v>0</v>
      </c>
      <c r="CR70" s="675">
        <v>15.506</v>
      </c>
      <c r="CS70" s="675">
        <v>0</v>
      </c>
      <c r="CT70" s="675">
        <v>0</v>
      </c>
      <c r="CU70" s="675">
        <v>0</v>
      </c>
      <c r="CV70" s="675">
        <v>0</v>
      </c>
      <c r="CW70" s="675">
        <v>0</v>
      </c>
      <c r="CX70" s="675">
        <v>0</v>
      </c>
      <c r="CY70" s="675">
        <v>0</v>
      </c>
      <c r="CZ70" s="675">
        <v>0</v>
      </c>
      <c r="DA70" s="675">
        <v>1</v>
      </c>
      <c r="DB70" s="675">
        <v>313091</v>
      </c>
      <c r="DC70" s="675">
        <v>0</v>
      </c>
      <c r="DD70" s="675">
        <v>0</v>
      </c>
      <c r="DE70" s="675">
        <v>23375</v>
      </c>
      <c r="DF70" s="675">
        <v>23375</v>
      </c>
      <c r="DG70" s="675">
        <v>17.833000000000002</v>
      </c>
      <c r="DH70" s="675">
        <v>0</v>
      </c>
      <c r="DI70" s="675">
        <v>0</v>
      </c>
      <c r="DJ70" s="675">
        <v>0</v>
      </c>
      <c r="DK70" s="675">
        <v>5392</v>
      </c>
      <c r="DL70" s="675">
        <v>0</v>
      </c>
      <c r="DM70" s="675">
        <v>111034</v>
      </c>
      <c r="DN70" s="675">
        <v>0</v>
      </c>
      <c r="DO70" s="675">
        <v>0</v>
      </c>
      <c r="DP70" s="675">
        <v>0</v>
      </c>
      <c r="DQ70" s="675">
        <v>0</v>
      </c>
      <c r="DR70" s="675">
        <v>0</v>
      </c>
      <c r="DS70" s="675">
        <v>0</v>
      </c>
      <c r="DT70" s="675">
        <v>0</v>
      </c>
      <c r="DU70" s="675">
        <v>0</v>
      </c>
      <c r="DV70" s="675">
        <v>0</v>
      </c>
      <c r="DW70" s="675">
        <v>0</v>
      </c>
      <c r="DX70" s="675">
        <v>0</v>
      </c>
      <c r="DY70" s="675">
        <v>0</v>
      </c>
      <c r="DZ70" s="675">
        <v>0</v>
      </c>
      <c r="EA70" s="675">
        <v>0</v>
      </c>
      <c r="EB70" s="675">
        <v>0</v>
      </c>
      <c r="EC70" s="675">
        <v>1.254</v>
      </c>
      <c r="ED70" s="675">
        <v>9041</v>
      </c>
      <c r="EE70" s="675">
        <v>0</v>
      </c>
      <c r="EF70" s="675">
        <v>0</v>
      </c>
      <c r="EG70" s="675">
        <v>0</v>
      </c>
      <c r="EH70" s="675">
        <v>101993</v>
      </c>
      <c r="EI70" s="675">
        <v>0</v>
      </c>
      <c r="EJ70" s="675">
        <v>0</v>
      </c>
      <c r="EK70" s="675">
        <v>4.7640000000000002</v>
      </c>
      <c r="EL70" s="675">
        <v>0</v>
      </c>
      <c r="EM70" s="675">
        <v>0</v>
      </c>
      <c r="EN70" s="675">
        <v>0.254</v>
      </c>
      <c r="EO70" s="675">
        <v>0</v>
      </c>
      <c r="EP70" s="675">
        <v>0</v>
      </c>
      <c r="EQ70" s="675">
        <v>5.0180000000000007</v>
      </c>
      <c r="ER70" s="675">
        <v>0</v>
      </c>
      <c r="ES70" s="675">
        <v>15.562000000000001</v>
      </c>
      <c r="ET70" s="675">
        <v>0</v>
      </c>
      <c r="EU70" s="675">
        <v>4957</v>
      </c>
      <c r="EV70" s="675">
        <v>0</v>
      </c>
      <c r="EW70" s="675">
        <v>0</v>
      </c>
      <c r="EX70" s="675">
        <v>0</v>
      </c>
      <c r="EY70" s="675">
        <v>0</v>
      </c>
      <c r="EZ70" s="675">
        <v>445907</v>
      </c>
      <c r="FA70" s="675">
        <v>0</v>
      </c>
      <c r="FB70" s="675">
        <v>450864</v>
      </c>
      <c r="FC70" s="675">
        <v>0.97327799999999998</v>
      </c>
      <c r="FD70" s="675">
        <v>0</v>
      </c>
      <c r="FE70" s="675">
        <v>66806</v>
      </c>
      <c r="FF70" s="675">
        <v>15055</v>
      </c>
      <c r="FG70" s="675">
        <v>6.1239999999999996E-2</v>
      </c>
      <c r="FH70" s="675">
        <v>5.4803999999999999E-2</v>
      </c>
      <c r="FI70" s="675">
        <v>0</v>
      </c>
      <c r="FJ70" s="675">
        <v>0</v>
      </c>
      <c r="FK70" s="675">
        <v>85.978000000000009</v>
      </c>
      <c r="FL70" s="675">
        <v>532725</v>
      </c>
      <c r="FM70" s="675">
        <v>0</v>
      </c>
      <c r="FN70" s="675">
        <v>0</v>
      </c>
      <c r="FO70" s="675">
        <v>0</v>
      </c>
      <c r="FP70" s="675">
        <v>0</v>
      </c>
      <c r="FQ70" s="675">
        <v>0</v>
      </c>
      <c r="FR70" s="675">
        <v>0</v>
      </c>
      <c r="FS70" s="675">
        <v>0</v>
      </c>
      <c r="FT70" s="675">
        <v>0</v>
      </c>
      <c r="FU70" s="675">
        <v>0</v>
      </c>
      <c r="FV70" s="675">
        <v>0</v>
      </c>
      <c r="FW70" s="675">
        <v>0</v>
      </c>
      <c r="FX70" s="675">
        <v>0</v>
      </c>
      <c r="FY70" s="675">
        <v>0</v>
      </c>
      <c r="FZ70" s="675">
        <v>0</v>
      </c>
      <c r="GA70" s="675">
        <v>0</v>
      </c>
      <c r="GB70" s="675">
        <v>0</v>
      </c>
      <c r="GC70" s="675">
        <v>0</v>
      </c>
      <c r="GD70" s="675">
        <v>0</v>
      </c>
      <c r="GE70" s="675">
        <v>0</v>
      </c>
      <c r="GF70" s="675">
        <v>0</v>
      </c>
      <c r="GG70" s="675">
        <v>0</v>
      </c>
      <c r="GH70" s="675">
        <v>0</v>
      </c>
      <c r="GI70" s="675">
        <v>0</v>
      </c>
      <c r="GJ70" s="675">
        <v>0</v>
      </c>
      <c r="GK70" s="675">
        <v>0</v>
      </c>
      <c r="GL70" s="675">
        <v>0</v>
      </c>
      <c r="GM70" s="675">
        <v>0</v>
      </c>
      <c r="GN70" s="675">
        <v>0</v>
      </c>
      <c r="GO70" s="675">
        <v>0</v>
      </c>
      <c r="GP70" s="675">
        <v>532725</v>
      </c>
      <c r="GQ70" s="675">
        <v>532725</v>
      </c>
      <c r="GR70" s="675">
        <v>0</v>
      </c>
      <c r="GS70" s="675">
        <v>0</v>
      </c>
      <c r="GT70" s="675">
        <v>0</v>
      </c>
      <c r="GU70" s="675">
        <v>0</v>
      </c>
      <c r="GV70" s="675">
        <v>0</v>
      </c>
      <c r="GW70" s="675">
        <v>0</v>
      </c>
      <c r="GX70" s="675">
        <v>0</v>
      </c>
      <c r="GY70" s="675">
        <v>0</v>
      </c>
      <c r="GZ70" s="675">
        <v>0</v>
      </c>
      <c r="HA70" s="675">
        <v>0</v>
      </c>
      <c r="HB70" s="675">
        <v>0</v>
      </c>
      <c r="HC70" s="675">
        <v>0</v>
      </c>
      <c r="HD70" s="675">
        <v>0</v>
      </c>
      <c r="HE70" s="675">
        <v>0</v>
      </c>
      <c r="HF70" s="675">
        <v>0</v>
      </c>
      <c r="HG70" s="675">
        <v>0</v>
      </c>
      <c r="HH70" s="675">
        <v>0</v>
      </c>
      <c r="HI70" s="675">
        <v>0</v>
      </c>
      <c r="HJ70" s="675">
        <v>0</v>
      </c>
      <c r="HK70" s="675">
        <v>0</v>
      </c>
      <c r="HL70" s="675">
        <v>0</v>
      </c>
      <c r="HM70" s="675">
        <v>0</v>
      </c>
      <c r="HN70" s="675">
        <v>0</v>
      </c>
      <c r="HO70" s="675">
        <v>0</v>
      </c>
      <c r="HP70" s="675">
        <v>0</v>
      </c>
      <c r="HQ70" s="675">
        <v>0</v>
      </c>
      <c r="HR70" s="675">
        <v>0</v>
      </c>
      <c r="HS70" s="675">
        <v>0</v>
      </c>
      <c r="HT70" s="675">
        <v>0</v>
      </c>
      <c r="HU70" s="675">
        <v>0</v>
      </c>
      <c r="HV70" s="675">
        <v>0</v>
      </c>
      <c r="HW70" s="675">
        <v>0</v>
      </c>
      <c r="HX70" s="675">
        <v>0</v>
      </c>
      <c r="HY70" s="675">
        <v>0</v>
      </c>
      <c r="HZ70" s="675">
        <v>0</v>
      </c>
      <c r="IA70" s="675">
        <v>0</v>
      </c>
      <c r="IB70" s="675">
        <v>0</v>
      </c>
      <c r="IC70" s="675">
        <v>0</v>
      </c>
      <c r="ID70" s="675">
        <v>0</v>
      </c>
      <c r="IE70" s="675">
        <v>0</v>
      </c>
      <c r="IF70" s="675">
        <v>0</v>
      </c>
      <c r="IG70" s="675">
        <v>0</v>
      </c>
      <c r="IH70" s="675">
        <v>0</v>
      </c>
      <c r="II70" s="675">
        <v>0</v>
      </c>
      <c r="IJ70" s="675">
        <v>0</v>
      </c>
      <c r="IK70" s="675">
        <v>0</v>
      </c>
      <c r="IL70" s="675">
        <v>0</v>
      </c>
      <c r="IM70" s="675">
        <v>0</v>
      </c>
      <c r="IN70" s="675">
        <v>0</v>
      </c>
      <c r="IO70" s="675">
        <v>0</v>
      </c>
      <c r="IP70" s="675">
        <v>0</v>
      </c>
      <c r="IQ70" s="675">
        <v>0</v>
      </c>
      <c r="IR70" s="675">
        <v>0</v>
      </c>
      <c r="IS70" s="675">
        <v>0</v>
      </c>
      <c r="IT70" s="675">
        <v>0</v>
      </c>
      <c r="IU70" s="675">
        <v>0</v>
      </c>
      <c r="IV70" s="675">
        <v>0</v>
      </c>
      <c r="IW70" s="675">
        <v>0</v>
      </c>
      <c r="IX70" s="675">
        <v>0</v>
      </c>
      <c r="IY70" s="675">
        <v>0</v>
      </c>
      <c r="IZ70" s="675">
        <v>0</v>
      </c>
      <c r="JA70" s="675">
        <v>0</v>
      </c>
      <c r="JB70" s="675">
        <v>0</v>
      </c>
      <c r="JC70" s="675">
        <v>0</v>
      </c>
      <c r="JD70" s="675">
        <v>0</v>
      </c>
      <c r="JE70" s="675">
        <v>0</v>
      </c>
      <c r="JF70" s="675">
        <v>0</v>
      </c>
      <c r="JG70" s="675">
        <v>0</v>
      </c>
      <c r="JH70" s="675">
        <v>0</v>
      </c>
      <c r="JI70" s="675">
        <v>0</v>
      </c>
      <c r="JJ70" s="675">
        <v>0</v>
      </c>
      <c r="JK70" s="675">
        <v>0</v>
      </c>
      <c r="JL70" s="675">
        <v>0</v>
      </c>
      <c r="JM70" s="675">
        <v>0</v>
      </c>
      <c r="JN70" s="675">
        <v>32469</v>
      </c>
      <c r="JO70" s="675">
        <v>0</v>
      </c>
      <c r="JP70" s="675">
        <v>0</v>
      </c>
      <c r="JQ70" s="675">
        <v>0</v>
      </c>
      <c r="JR70" s="675">
        <v>0</v>
      </c>
      <c r="JS70" s="675">
        <v>0</v>
      </c>
      <c r="JT70" s="675">
        <v>0</v>
      </c>
      <c r="JU70" s="675">
        <v>0</v>
      </c>
      <c r="JV70" s="675">
        <v>0</v>
      </c>
      <c r="JW70" s="675">
        <v>0</v>
      </c>
      <c r="JX70" s="675">
        <v>0</v>
      </c>
      <c r="JY70" s="675">
        <v>0</v>
      </c>
      <c r="JZ70" s="675">
        <v>0</v>
      </c>
      <c r="KA70" s="675">
        <v>0</v>
      </c>
      <c r="KB70" s="675">
        <v>0</v>
      </c>
      <c r="KC70" s="675">
        <v>0</v>
      </c>
      <c r="KD70" s="675">
        <v>0</v>
      </c>
      <c r="KE70" s="675">
        <v>0</v>
      </c>
      <c r="KF70" s="675">
        <v>0</v>
      </c>
    </row>
    <row r="71" spans="1:292" ht="13" x14ac:dyDescent="0.3">
      <c r="A71" s="675">
        <v>61802</v>
      </c>
      <c r="B71" s="675">
        <v>32570</v>
      </c>
      <c r="C71" s="675">
        <v>35</v>
      </c>
      <c r="D71" s="675">
        <v>2022</v>
      </c>
      <c r="E71" s="675">
        <v>5392</v>
      </c>
      <c r="F71" s="675">
        <v>0</v>
      </c>
      <c r="G71" s="676">
        <v>548.35500000000002</v>
      </c>
      <c r="H71" s="676">
        <v>532.47</v>
      </c>
      <c r="I71" s="675">
        <v>532.47</v>
      </c>
      <c r="J71" s="675">
        <v>548.35500000000002</v>
      </c>
      <c r="K71" s="675">
        <v>0</v>
      </c>
      <c r="L71" s="675">
        <v>6554</v>
      </c>
      <c r="M71" s="675">
        <v>0</v>
      </c>
      <c r="N71" s="675">
        <v>0</v>
      </c>
      <c r="O71" s="675">
        <v>0</v>
      </c>
      <c r="P71" s="676">
        <v>471.49800000000005</v>
      </c>
      <c r="Q71" s="675">
        <v>0</v>
      </c>
      <c r="R71" s="676">
        <v>150744</v>
      </c>
      <c r="S71" s="676">
        <v>319.71300000000002</v>
      </c>
      <c r="T71" s="675">
        <v>0</v>
      </c>
      <c r="U71" s="675">
        <v>150744</v>
      </c>
      <c r="V71" s="676">
        <v>170.69500000000002</v>
      </c>
      <c r="W71" s="676">
        <v>111874</v>
      </c>
      <c r="X71" s="676">
        <v>111874</v>
      </c>
      <c r="Y71" s="675">
        <v>0</v>
      </c>
      <c r="Z71" s="675">
        <v>0</v>
      </c>
      <c r="AA71" s="675">
        <v>1</v>
      </c>
      <c r="AB71" s="675">
        <v>1</v>
      </c>
      <c r="AC71" s="675">
        <v>0</v>
      </c>
      <c r="AD71" s="675" t="s">
        <v>316</v>
      </c>
      <c r="AE71" s="675">
        <v>0</v>
      </c>
      <c r="AF71" s="675">
        <v>0</v>
      </c>
      <c r="AG71" s="675">
        <v>0</v>
      </c>
      <c r="AH71" s="675">
        <v>0</v>
      </c>
      <c r="AI71" s="675">
        <v>0</v>
      </c>
      <c r="AJ71" s="675">
        <v>5104</v>
      </c>
      <c r="AK71" s="675" t="s">
        <v>671</v>
      </c>
      <c r="AL71" s="675" t="s">
        <v>335</v>
      </c>
      <c r="AM71" s="675">
        <v>0</v>
      </c>
      <c r="AN71" s="675">
        <v>0</v>
      </c>
      <c r="AO71" s="675">
        <v>0</v>
      </c>
      <c r="AP71" s="675">
        <v>0</v>
      </c>
      <c r="AQ71" s="675">
        <v>0</v>
      </c>
      <c r="AR71" s="675">
        <v>0</v>
      </c>
      <c r="AS71" s="675">
        <v>0</v>
      </c>
      <c r="AT71" s="675">
        <v>0</v>
      </c>
      <c r="AU71" s="675">
        <v>0</v>
      </c>
      <c r="AV71" s="675">
        <v>-36214</v>
      </c>
      <c r="AW71" s="675">
        <v>5601511</v>
      </c>
      <c r="AX71" s="675">
        <v>5487400</v>
      </c>
      <c r="AY71" s="675">
        <v>5878490</v>
      </c>
      <c r="AZ71" s="675">
        <v>150744</v>
      </c>
      <c r="BA71" s="676">
        <v>11.333</v>
      </c>
      <c r="BB71" s="675">
        <v>0</v>
      </c>
      <c r="BC71" s="675">
        <v>0</v>
      </c>
      <c r="BD71" s="675">
        <v>0</v>
      </c>
      <c r="BE71" s="675">
        <v>0</v>
      </c>
      <c r="BF71" s="675">
        <v>4619200</v>
      </c>
      <c r="BG71" s="675">
        <v>0</v>
      </c>
      <c r="BH71" s="676">
        <v>0</v>
      </c>
      <c r="BI71" s="676">
        <v>0</v>
      </c>
      <c r="BJ71" s="675">
        <v>12</v>
      </c>
      <c r="BK71" s="675">
        <v>0</v>
      </c>
      <c r="BL71" s="675">
        <v>0</v>
      </c>
      <c r="BM71" s="675">
        <v>0</v>
      </c>
      <c r="BN71" s="675">
        <v>0</v>
      </c>
      <c r="BO71" s="675">
        <v>0</v>
      </c>
      <c r="BP71" s="675">
        <v>0</v>
      </c>
      <c r="BQ71" s="676">
        <v>5392</v>
      </c>
      <c r="BR71" s="675">
        <v>1</v>
      </c>
      <c r="BS71" s="675">
        <v>0</v>
      </c>
      <c r="BT71" s="675">
        <v>0</v>
      </c>
      <c r="BU71" s="675">
        <v>0</v>
      </c>
      <c r="BV71" s="675">
        <v>0</v>
      </c>
      <c r="BW71" s="675">
        <v>0</v>
      </c>
      <c r="BX71" s="675">
        <v>0</v>
      </c>
      <c r="BY71" s="675">
        <v>0</v>
      </c>
      <c r="BZ71" s="675">
        <v>0</v>
      </c>
      <c r="CA71" s="675">
        <v>0</v>
      </c>
      <c r="CB71" s="675">
        <v>0</v>
      </c>
      <c r="CC71" s="675">
        <v>0</v>
      </c>
      <c r="CD71" s="675">
        <v>0</v>
      </c>
      <c r="CE71" s="675">
        <v>0</v>
      </c>
      <c r="CF71" s="675">
        <v>0</v>
      </c>
      <c r="CG71" s="675">
        <v>0</v>
      </c>
      <c r="CH71" s="675">
        <v>114111</v>
      </c>
      <c r="CI71" s="675">
        <v>0</v>
      </c>
      <c r="CJ71" s="675">
        <v>4</v>
      </c>
      <c r="CK71" s="675">
        <v>0</v>
      </c>
      <c r="CL71" s="675">
        <v>0</v>
      </c>
      <c r="CM71" s="675">
        <v>0</v>
      </c>
      <c r="CN71" s="675">
        <v>0</v>
      </c>
      <c r="CO71" s="675">
        <v>0</v>
      </c>
      <c r="CP71" s="675">
        <v>0</v>
      </c>
      <c r="CQ71" s="675">
        <v>1.5</v>
      </c>
      <c r="CR71" s="675">
        <v>471.49800000000005</v>
      </c>
      <c r="CS71" s="675">
        <v>0</v>
      </c>
      <c r="CT71" s="675">
        <v>0</v>
      </c>
      <c r="CU71" s="675">
        <v>0</v>
      </c>
      <c r="CV71" s="675">
        <v>0</v>
      </c>
      <c r="CW71" s="675">
        <v>0</v>
      </c>
      <c r="CX71" s="675">
        <v>0</v>
      </c>
      <c r="CY71" s="675">
        <v>0</v>
      </c>
      <c r="CZ71" s="675">
        <v>0</v>
      </c>
      <c r="DA71" s="675">
        <v>1</v>
      </c>
      <c r="DB71" s="675">
        <v>3489808</v>
      </c>
      <c r="DC71" s="675">
        <v>0</v>
      </c>
      <c r="DD71" s="675">
        <v>0</v>
      </c>
      <c r="DE71" s="675">
        <v>727927</v>
      </c>
      <c r="DF71" s="675">
        <v>727927</v>
      </c>
      <c r="DG71" s="675">
        <v>555.33000000000004</v>
      </c>
      <c r="DH71" s="675">
        <v>0</v>
      </c>
      <c r="DI71" s="675">
        <v>0</v>
      </c>
      <c r="DJ71" s="675">
        <v>0</v>
      </c>
      <c r="DK71" s="675">
        <v>5392</v>
      </c>
      <c r="DL71" s="675">
        <v>0</v>
      </c>
      <c r="DM71" s="675">
        <v>416417</v>
      </c>
      <c r="DN71" s="675">
        <v>0</v>
      </c>
      <c r="DO71" s="675">
        <v>0</v>
      </c>
      <c r="DP71" s="675">
        <v>0</v>
      </c>
      <c r="DQ71" s="675">
        <v>0</v>
      </c>
      <c r="DR71" s="675">
        <v>0</v>
      </c>
      <c r="DS71" s="675">
        <v>0</v>
      </c>
      <c r="DT71" s="675">
        <v>0</v>
      </c>
      <c r="DU71" s="675">
        <v>0</v>
      </c>
      <c r="DV71" s="675">
        <v>0</v>
      </c>
      <c r="DW71" s="675">
        <v>0</v>
      </c>
      <c r="DX71" s="675">
        <v>0</v>
      </c>
      <c r="DY71" s="675">
        <v>0</v>
      </c>
      <c r="DZ71" s="675">
        <v>0</v>
      </c>
      <c r="EA71" s="675">
        <v>0</v>
      </c>
      <c r="EB71" s="675">
        <v>0</v>
      </c>
      <c r="EC71" s="675">
        <v>12.063000000000001</v>
      </c>
      <c r="ED71" s="675">
        <v>86967</v>
      </c>
      <c r="EE71" s="675">
        <v>0</v>
      </c>
      <c r="EF71" s="675">
        <v>0</v>
      </c>
      <c r="EG71" s="675">
        <v>0</v>
      </c>
      <c r="EH71" s="675">
        <v>329450</v>
      </c>
      <c r="EI71" s="675">
        <v>0</v>
      </c>
      <c r="EJ71" s="675">
        <v>0</v>
      </c>
      <c r="EK71" s="675">
        <v>14.352</v>
      </c>
      <c r="EL71" s="675">
        <v>0</v>
      </c>
      <c r="EM71" s="675">
        <v>0.22700000000000001</v>
      </c>
      <c r="EN71" s="675">
        <v>1.306</v>
      </c>
      <c r="EO71" s="675">
        <v>0</v>
      </c>
      <c r="EP71" s="675">
        <v>0</v>
      </c>
      <c r="EQ71" s="675">
        <v>15.885000000000002</v>
      </c>
      <c r="ER71" s="675">
        <v>0</v>
      </c>
      <c r="ES71" s="675">
        <v>50.267000000000003</v>
      </c>
      <c r="ET71" s="675">
        <v>6042</v>
      </c>
      <c r="EU71" s="675">
        <v>150744</v>
      </c>
      <c r="EV71" s="675">
        <v>0</v>
      </c>
      <c r="EW71" s="675">
        <v>0</v>
      </c>
      <c r="EX71" s="675">
        <v>0</v>
      </c>
      <c r="EY71" s="675">
        <v>0</v>
      </c>
      <c r="EZ71" s="675">
        <v>4625691</v>
      </c>
      <c r="FA71" s="675">
        <v>0</v>
      </c>
      <c r="FB71" s="676">
        <v>4776435</v>
      </c>
      <c r="FC71" s="675">
        <v>0.97327799999999998</v>
      </c>
      <c r="FD71" s="675">
        <v>0</v>
      </c>
      <c r="FE71" s="676">
        <v>703236</v>
      </c>
      <c r="FF71" s="676">
        <v>158473</v>
      </c>
      <c r="FG71" s="675">
        <v>6.1239999999999996E-2</v>
      </c>
      <c r="FH71" s="675">
        <v>5.4803999999999999E-2</v>
      </c>
      <c r="FI71" s="675">
        <v>0</v>
      </c>
      <c r="FJ71" s="675">
        <v>0</v>
      </c>
      <c r="FK71" s="675">
        <v>905.04700000000003</v>
      </c>
      <c r="FL71" s="675">
        <v>5752255</v>
      </c>
      <c r="FM71" s="675">
        <v>0</v>
      </c>
      <c r="FN71" s="675">
        <v>0</v>
      </c>
      <c r="FO71" s="675">
        <v>30409</v>
      </c>
      <c r="FP71" s="675">
        <v>0</v>
      </c>
      <c r="FQ71" s="675">
        <v>30409</v>
      </c>
      <c r="FR71" s="675">
        <v>30409</v>
      </c>
      <c r="FS71" s="675">
        <v>0</v>
      </c>
      <c r="FT71" s="675">
        <v>0</v>
      </c>
      <c r="FU71" s="675">
        <v>0</v>
      </c>
      <c r="FV71" s="675">
        <v>0</v>
      </c>
      <c r="FW71" s="675">
        <v>0</v>
      </c>
      <c r="FX71" s="675">
        <v>0</v>
      </c>
      <c r="FY71" s="675">
        <v>0</v>
      </c>
      <c r="FZ71" s="675">
        <v>0</v>
      </c>
      <c r="GA71" s="675">
        <v>0</v>
      </c>
      <c r="GB71" s="675">
        <v>0</v>
      </c>
      <c r="GC71" s="675">
        <v>0</v>
      </c>
      <c r="GD71" s="675">
        <v>0</v>
      </c>
      <c r="GE71" s="675">
        <v>0</v>
      </c>
      <c r="GF71" s="675">
        <v>0</v>
      </c>
      <c r="GG71" s="675">
        <v>0</v>
      </c>
      <c r="GH71" s="675">
        <v>0</v>
      </c>
      <c r="GI71" s="675">
        <v>0</v>
      </c>
      <c r="GJ71" s="675">
        <v>0</v>
      </c>
      <c r="GK71" s="675">
        <v>5284</v>
      </c>
      <c r="GL71" s="675">
        <v>23597</v>
      </c>
      <c r="GM71" s="675">
        <v>0</v>
      </c>
      <c r="GN71" s="675">
        <v>63454</v>
      </c>
      <c r="GO71" s="675">
        <v>0</v>
      </c>
      <c r="GP71" s="675">
        <v>5638144</v>
      </c>
      <c r="GQ71" s="675">
        <v>5638144</v>
      </c>
      <c r="GR71" s="675">
        <v>0</v>
      </c>
      <c r="GS71" s="675">
        <v>0</v>
      </c>
      <c r="GT71" s="675">
        <v>0</v>
      </c>
      <c r="GU71" s="675">
        <v>0</v>
      </c>
      <c r="GV71" s="675">
        <v>0</v>
      </c>
      <c r="GW71" s="675">
        <v>0</v>
      </c>
      <c r="GX71" s="675">
        <v>0</v>
      </c>
      <c r="GY71" s="675">
        <v>0</v>
      </c>
      <c r="GZ71" s="675">
        <v>0</v>
      </c>
      <c r="HA71" s="675">
        <v>0</v>
      </c>
      <c r="HB71" s="675">
        <v>260786259</v>
      </c>
      <c r="HC71" s="675">
        <v>5.0923999999999997E-2</v>
      </c>
      <c r="HD71" s="676">
        <v>108069</v>
      </c>
      <c r="HE71" s="675">
        <v>0</v>
      </c>
      <c r="HF71" s="675">
        <v>0</v>
      </c>
      <c r="HG71" s="675">
        <v>0</v>
      </c>
      <c r="HH71" s="675">
        <v>0</v>
      </c>
      <c r="HI71" s="675">
        <v>0</v>
      </c>
      <c r="HJ71" s="675">
        <v>0</v>
      </c>
      <c r="HK71" s="675">
        <v>0</v>
      </c>
      <c r="HL71" s="675">
        <v>0</v>
      </c>
      <c r="HM71" s="675">
        <v>0</v>
      </c>
      <c r="HN71" s="675">
        <v>0</v>
      </c>
      <c r="HO71" s="675">
        <v>0</v>
      </c>
      <c r="HP71" s="675">
        <v>0</v>
      </c>
      <c r="HQ71" s="675">
        <v>0</v>
      </c>
      <c r="HR71" s="675">
        <v>0</v>
      </c>
      <c r="HS71" s="675">
        <v>0</v>
      </c>
      <c r="HT71" s="675">
        <v>0</v>
      </c>
      <c r="HU71" s="675">
        <v>0</v>
      </c>
      <c r="HV71" s="675">
        <v>0</v>
      </c>
      <c r="HW71" s="675">
        <v>0</v>
      </c>
      <c r="HX71" s="675">
        <v>0</v>
      </c>
      <c r="HY71" s="675">
        <v>0</v>
      </c>
      <c r="HZ71" s="675">
        <v>0</v>
      </c>
      <c r="IA71" s="675">
        <v>0</v>
      </c>
      <c r="IB71" s="675">
        <v>0</v>
      </c>
      <c r="IC71" s="675">
        <v>0</v>
      </c>
      <c r="ID71" s="675">
        <v>0</v>
      </c>
      <c r="IE71" s="675">
        <v>0</v>
      </c>
      <c r="IF71" s="675">
        <v>0</v>
      </c>
      <c r="IG71" s="675">
        <v>0</v>
      </c>
      <c r="IH71" s="675">
        <v>0</v>
      </c>
      <c r="II71" s="675">
        <v>0</v>
      </c>
      <c r="IJ71" s="675">
        <v>0</v>
      </c>
      <c r="IK71" s="675">
        <v>0</v>
      </c>
      <c r="IL71" s="675">
        <v>0</v>
      </c>
      <c r="IM71" s="675">
        <v>0</v>
      </c>
      <c r="IN71" s="675">
        <v>0</v>
      </c>
      <c r="IO71" s="675">
        <v>0</v>
      </c>
      <c r="IP71" s="675">
        <v>0</v>
      </c>
      <c r="IQ71" s="675">
        <v>0</v>
      </c>
      <c r="IR71" s="675">
        <v>0</v>
      </c>
      <c r="IS71" s="675">
        <v>0</v>
      </c>
      <c r="IT71" s="675">
        <v>0</v>
      </c>
      <c r="IU71" s="675">
        <v>0</v>
      </c>
      <c r="IV71" s="675">
        <v>0</v>
      </c>
      <c r="IW71" s="675">
        <v>0</v>
      </c>
      <c r="IX71" s="675">
        <v>0</v>
      </c>
      <c r="IY71" s="675">
        <v>0</v>
      </c>
      <c r="IZ71" s="675">
        <v>0</v>
      </c>
      <c r="JA71" s="675">
        <v>0</v>
      </c>
      <c r="JB71" s="675">
        <v>0</v>
      </c>
      <c r="JC71" s="675">
        <v>0</v>
      </c>
      <c r="JD71" s="675">
        <v>0</v>
      </c>
      <c r="JE71" s="675">
        <v>0</v>
      </c>
      <c r="JF71" s="675">
        <v>0</v>
      </c>
      <c r="JG71" s="675">
        <v>0</v>
      </c>
      <c r="JH71" s="675">
        <v>0</v>
      </c>
      <c r="JI71" s="675">
        <v>0</v>
      </c>
      <c r="JJ71" s="675">
        <v>0</v>
      </c>
      <c r="JK71" s="675">
        <v>0</v>
      </c>
      <c r="JL71" s="675">
        <v>0</v>
      </c>
      <c r="JM71" s="675">
        <v>0</v>
      </c>
      <c r="JN71" s="675">
        <v>32469</v>
      </c>
      <c r="JO71" s="675">
        <v>0</v>
      </c>
      <c r="JP71" s="675">
        <v>0</v>
      </c>
      <c r="JQ71" s="675">
        <v>0</v>
      </c>
      <c r="JR71" s="675">
        <v>0</v>
      </c>
      <c r="JS71" s="675">
        <v>0</v>
      </c>
      <c r="JT71" s="675">
        <v>0</v>
      </c>
      <c r="JU71" s="675">
        <v>0</v>
      </c>
      <c r="JV71" s="675">
        <v>0</v>
      </c>
      <c r="JW71" s="675">
        <v>0</v>
      </c>
      <c r="JX71" s="675">
        <v>0</v>
      </c>
      <c r="JY71" s="675">
        <v>0</v>
      </c>
      <c r="JZ71" s="675">
        <v>0</v>
      </c>
      <c r="KA71" s="675">
        <v>0</v>
      </c>
      <c r="KB71" s="675">
        <v>0</v>
      </c>
      <c r="KC71" s="675">
        <v>0</v>
      </c>
      <c r="KD71" s="675">
        <v>0</v>
      </c>
      <c r="KE71" s="675">
        <v>0</v>
      </c>
      <c r="KF71" s="675">
        <v>0</v>
      </c>
    </row>
    <row r="72" spans="1:292" x14ac:dyDescent="0.25">
      <c r="A72" s="675">
        <v>61804</v>
      </c>
      <c r="B72" s="675">
        <v>32570</v>
      </c>
      <c r="C72" s="675">
        <v>35</v>
      </c>
      <c r="D72" s="675">
        <v>2022</v>
      </c>
      <c r="E72" s="675">
        <v>5392</v>
      </c>
      <c r="F72" s="675">
        <v>0</v>
      </c>
      <c r="G72" s="675">
        <v>1222.163</v>
      </c>
      <c r="H72" s="675">
        <v>1177.309</v>
      </c>
      <c r="I72" s="675">
        <v>1177.309</v>
      </c>
      <c r="J72" s="675">
        <v>1222.163</v>
      </c>
      <c r="K72" s="675">
        <v>0</v>
      </c>
      <c r="L72" s="675">
        <v>6554</v>
      </c>
      <c r="M72" s="675">
        <v>0</v>
      </c>
      <c r="N72" s="675">
        <v>0</v>
      </c>
      <c r="O72" s="675">
        <v>0</v>
      </c>
      <c r="P72" s="675">
        <v>1190.848</v>
      </c>
      <c r="Q72" s="675">
        <v>0</v>
      </c>
      <c r="R72" s="675">
        <v>380730</v>
      </c>
      <c r="S72" s="675">
        <v>319.71300000000002</v>
      </c>
      <c r="T72" s="675">
        <v>0</v>
      </c>
      <c r="U72" s="675">
        <v>380730</v>
      </c>
      <c r="V72" s="675">
        <v>55.466000000000001</v>
      </c>
      <c r="W72" s="675">
        <v>36352</v>
      </c>
      <c r="X72" s="675">
        <v>36352</v>
      </c>
      <c r="Y72" s="675">
        <v>0</v>
      </c>
      <c r="Z72" s="675">
        <v>0</v>
      </c>
      <c r="AA72" s="675">
        <v>1</v>
      </c>
      <c r="AB72" s="675">
        <v>1</v>
      </c>
      <c r="AC72" s="675">
        <v>0</v>
      </c>
      <c r="AD72" s="675" t="s">
        <v>316</v>
      </c>
      <c r="AE72" s="675">
        <v>0</v>
      </c>
      <c r="AF72" s="675">
        <v>0</v>
      </c>
      <c r="AG72" s="675">
        <v>0</v>
      </c>
      <c r="AH72" s="675">
        <v>0</v>
      </c>
      <c r="AI72" s="675">
        <v>0</v>
      </c>
      <c r="AJ72" s="675">
        <v>5104</v>
      </c>
      <c r="AK72" s="675" t="s">
        <v>671</v>
      </c>
      <c r="AL72" s="675" t="s">
        <v>336</v>
      </c>
      <c r="AM72" s="675">
        <v>0</v>
      </c>
      <c r="AN72" s="675">
        <v>0</v>
      </c>
      <c r="AO72" s="675">
        <v>0</v>
      </c>
      <c r="AP72" s="675">
        <v>0</v>
      </c>
      <c r="AQ72" s="675">
        <v>0</v>
      </c>
      <c r="AR72" s="675">
        <v>0</v>
      </c>
      <c r="AS72" s="675">
        <v>0</v>
      </c>
      <c r="AT72" s="675">
        <v>0</v>
      </c>
      <c r="AU72" s="675">
        <v>0</v>
      </c>
      <c r="AV72" s="675">
        <v>4036</v>
      </c>
      <c r="AW72" s="675">
        <v>10198091</v>
      </c>
      <c r="AX72" s="675">
        <v>9875695</v>
      </c>
      <c r="AY72" s="675">
        <v>10519071</v>
      </c>
      <c r="AZ72" s="675">
        <v>462265</v>
      </c>
      <c r="BA72" s="675">
        <v>0</v>
      </c>
      <c r="BB72" s="675">
        <v>48060</v>
      </c>
      <c r="BC72" s="675">
        <v>48060</v>
      </c>
      <c r="BD72" s="675">
        <v>61.108000000000004</v>
      </c>
      <c r="BE72" s="675">
        <v>0</v>
      </c>
      <c r="BF72" s="675">
        <v>8448416</v>
      </c>
      <c r="BG72" s="675">
        <v>0</v>
      </c>
      <c r="BH72" s="675">
        <v>296.49200000000002</v>
      </c>
      <c r="BI72" s="675">
        <v>81535</v>
      </c>
      <c r="BJ72" s="675">
        <v>12</v>
      </c>
      <c r="BK72" s="675">
        <v>0</v>
      </c>
      <c r="BL72" s="675">
        <v>0</v>
      </c>
      <c r="BM72" s="675">
        <v>0</v>
      </c>
      <c r="BN72" s="675">
        <v>0</v>
      </c>
      <c r="BO72" s="675">
        <v>0</v>
      </c>
      <c r="BP72" s="675">
        <v>0</v>
      </c>
      <c r="BQ72" s="675">
        <v>5392</v>
      </c>
      <c r="BR72" s="675">
        <v>1</v>
      </c>
      <c r="BS72" s="675">
        <v>0</v>
      </c>
      <c r="BT72" s="675">
        <v>0</v>
      </c>
      <c r="BU72" s="675">
        <v>0</v>
      </c>
      <c r="BV72" s="675">
        <v>0</v>
      </c>
      <c r="BW72" s="675">
        <v>0</v>
      </c>
      <c r="BX72" s="675">
        <v>0</v>
      </c>
      <c r="BY72" s="675">
        <v>0</v>
      </c>
      <c r="BZ72" s="675">
        <v>0</v>
      </c>
      <c r="CA72" s="675">
        <v>0</v>
      </c>
      <c r="CB72" s="675">
        <v>0</v>
      </c>
      <c r="CC72" s="675">
        <v>0</v>
      </c>
      <c r="CD72" s="675">
        <v>0</v>
      </c>
      <c r="CE72" s="675">
        <v>0</v>
      </c>
      <c r="CF72" s="675">
        <v>0</v>
      </c>
      <c r="CG72" s="675">
        <v>0</v>
      </c>
      <c r="CH72" s="675">
        <v>240861</v>
      </c>
      <c r="CI72" s="675">
        <v>0</v>
      </c>
      <c r="CJ72" s="675">
        <v>5</v>
      </c>
      <c r="CK72" s="675">
        <v>0</v>
      </c>
      <c r="CL72" s="675">
        <v>0</v>
      </c>
      <c r="CM72" s="675">
        <v>0</v>
      </c>
      <c r="CN72" s="675">
        <v>0</v>
      </c>
      <c r="CO72" s="675">
        <v>0</v>
      </c>
      <c r="CP72" s="675">
        <v>0</v>
      </c>
      <c r="CQ72" s="675">
        <v>0</v>
      </c>
      <c r="CR72" s="675">
        <v>1190.848</v>
      </c>
      <c r="CS72" s="675">
        <v>0</v>
      </c>
      <c r="CT72" s="675">
        <v>0</v>
      </c>
      <c r="CU72" s="675">
        <v>0</v>
      </c>
      <c r="CV72" s="675">
        <v>0</v>
      </c>
      <c r="CW72" s="675">
        <v>0</v>
      </c>
      <c r="CX72" s="675">
        <v>0</v>
      </c>
      <c r="CY72" s="675">
        <v>0</v>
      </c>
      <c r="CZ72" s="675">
        <v>0</v>
      </c>
      <c r="DA72" s="675">
        <v>1</v>
      </c>
      <c r="DB72" s="675">
        <v>7716083</v>
      </c>
      <c r="DC72" s="675">
        <v>0</v>
      </c>
      <c r="DD72" s="675">
        <v>0</v>
      </c>
      <c r="DE72" s="675">
        <v>59641</v>
      </c>
      <c r="DF72" s="675">
        <v>59641</v>
      </c>
      <c r="DG72" s="675">
        <v>45.5</v>
      </c>
      <c r="DH72" s="675">
        <v>0</v>
      </c>
      <c r="DI72" s="675">
        <v>0</v>
      </c>
      <c r="DJ72" s="675">
        <v>0</v>
      </c>
      <c r="DK72" s="675">
        <v>5392</v>
      </c>
      <c r="DL72" s="675">
        <v>0</v>
      </c>
      <c r="DM72" s="675">
        <v>528534</v>
      </c>
      <c r="DN72" s="675">
        <v>0</v>
      </c>
      <c r="DO72" s="675">
        <v>0</v>
      </c>
      <c r="DP72" s="675">
        <v>0</v>
      </c>
      <c r="DQ72" s="675">
        <v>0</v>
      </c>
      <c r="DR72" s="675">
        <v>0</v>
      </c>
      <c r="DS72" s="675">
        <v>0</v>
      </c>
      <c r="DT72" s="675">
        <v>0</v>
      </c>
      <c r="DU72" s="675">
        <v>0</v>
      </c>
      <c r="DV72" s="675">
        <v>0</v>
      </c>
      <c r="DW72" s="675">
        <v>0</v>
      </c>
      <c r="DX72" s="675">
        <v>0</v>
      </c>
      <c r="DY72" s="675">
        <v>0</v>
      </c>
      <c r="DZ72" s="675">
        <v>0</v>
      </c>
      <c r="EA72" s="675">
        <v>0</v>
      </c>
      <c r="EB72" s="675">
        <v>0</v>
      </c>
      <c r="EC72" s="675">
        <v>36.49</v>
      </c>
      <c r="ED72" s="675">
        <v>263071</v>
      </c>
      <c r="EE72" s="675">
        <v>0</v>
      </c>
      <c r="EF72" s="675">
        <v>0</v>
      </c>
      <c r="EG72" s="675">
        <v>0</v>
      </c>
      <c r="EH72" s="675">
        <v>265463</v>
      </c>
      <c r="EI72" s="675">
        <v>0</v>
      </c>
      <c r="EJ72" s="675">
        <v>0</v>
      </c>
      <c r="EK72" s="675">
        <v>6.7650000000000006</v>
      </c>
      <c r="EL72" s="675">
        <v>0</v>
      </c>
      <c r="EM72" s="675">
        <v>2.7230000000000003</v>
      </c>
      <c r="EN72" s="675">
        <v>2.4079999999999999</v>
      </c>
      <c r="EO72" s="675">
        <v>0</v>
      </c>
      <c r="EP72" s="675">
        <v>0</v>
      </c>
      <c r="EQ72" s="675">
        <v>11.896000000000001</v>
      </c>
      <c r="ER72" s="675">
        <v>0</v>
      </c>
      <c r="ES72" s="675">
        <v>40.504000000000005</v>
      </c>
      <c r="ET72" s="675">
        <v>0</v>
      </c>
      <c r="EU72" s="675">
        <v>462265</v>
      </c>
      <c r="EV72" s="675">
        <v>0</v>
      </c>
      <c r="EW72" s="675">
        <v>0</v>
      </c>
      <c r="EX72" s="675">
        <v>0</v>
      </c>
      <c r="EY72" s="675">
        <v>0</v>
      </c>
      <c r="EZ72" s="675">
        <v>8299647</v>
      </c>
      <c r="FA72" s="675">
        <v>0</v>
      </c>
      <c r="FB72" s="675">
        <v>8761912</v>
      </c>
      <c r="FC72" s="675">
        <v>0.97327799999999998</v>
      </c>
      <c r="FD72" s="675">
        <v>0</v>
      </c>
      <c r="FE72" s="675">
        <v>1286204</v>
      </c>
      <c r="FF72" s="675">
        <v>289844</v>
      </c>
      <c r="FG72" s="675">
        <v>6.1239999999999996E-2</v>
      </c>
      <c r="FH72" s="675">
        <v>5.4803999999999999E-2</v>
      </c>
      <c r="FI72" s="675">
        <v>0</v>
      </c>
      <c r="FJ72" s="675">
        <v>0</v>
      </c>
      <c r="FK72" s="675">
        <v>1655.3110000000001</v>
      </c>
      <c r="FL72" s="675">
        <v>10578821</v>
      </c>
      <c r="FM72" s="675">
        <v>0</v>
      </c>
      <c r="FN72" s="675">
        <v>0</v>
      </c>
      <c r="FO72" s="675">
        <v>0</v>
      </c>
      <c r="FP72" s="675">
        <v>0</v>
      </c>
      <c r="FQ72" s="675">
        <v>0</v>
      </c>
      <c r="FR72" s="675">
        <v>0</v>
      </c>
      <c r="FS72" s="675">
        <v>0</v>
      </c>
      <c r="FT72" s="675">
        <v>0</v>
      </c>
      <c r="FU72" s="675">
        <v>0</v>
      </c>
      <c r="FV72" s="675">
        <v>0</v>
      </c>
      <c r="FW72" s="675">
        <v>0</v>
      </c>
      <c r="FX72" s="675">
        <v>0</v>
      </c>
      <c r="FY72" s="675">
        <v>0</v>
      </c>
      <c r="FZ72" s="675">
        <v>98</v>
      </c>
      <c r="GA72" s="675">
        <v>1.9630000000000001</v>
      </c>
      <c r="GB72" s="675">
        <v>291707</v>
      </c>
      <c r="GC72" s="675">
        <v>291707</v>
      </c>
      <c r="GD72" s="675">
        <v>32.957999999999998</v>
      </c>
      <c r="GE72" s="675">
        <v>0</v>
      </c>
      <c r="GF72" s="675">
        <v>0</v>
      </c>
      <c r="GG72" s="675">
        <v>0</v>
      </c>
      <c r="GH72" s="675">
        <v>0</v>
      </c>
      <c r="GI72" s="675">
        <v>0</v>
      </c>
      <c r="GJ72" s="675">
        <v>0</v>
      </c>
      <c r="GK72" s="675">
        <v>4971</v>
      </c>
      <c r="GL72" s="675">
        <v>0</v>
      </c>
      <c r="GM72" s="675">
        <v>0</v>
      </c>
      <c r="GN72" s="675">
        <v>0</v>
      </c>
      <c r="GO72" s="675">
        <v>0</v>
      </c>
      <c r="GP72" s="675">
        <v>10337960</v>
      </c>
      <c r="GQ72" s="675">
        <v>10337960</v>
      </c>
      <c r="GR72" s="675">
        <v>0</v>
      </c>
      <c r="GS72" s="675">
        <v>0</v>
      </c>
      <c r="GT72" s="675">
        <v>0</v>
      </c>
      <c r="GU72" s="675">
        <v>0</v>
      </c>
      <c r="GV72" s="675">
        <v>0</v>
      </c>
      <c r="GW72" s="675">
        <v>0</v>
      </c>
      <c r="GX72" s="675">
        <v>0</v>
      </c>
      <c r="GY72" s="675">
        <v>0</v>
      </c>
      <c r="GZ72" s="675">
        <v>0</v>
      </c>
      <c r="HA72" s="675">
        <v>0</v>
      </c>
      <c r="HB72" s="675">
        <v>260786259</v>
      </c>
      <c r="HC72" s="675">
        <v>5.0923999999999997E-2</v>
      </c>
      <c r="HD72" s="675">
        <v>240861</v>
      </c>
      <c r="HE72" s="675">
        <v>0</v>
      </c>
      <c r="HF72" s="675">
        <v>0</v>
      </c>
      <c r="HG72" s="675">
        <v>0</v>
      </c>
      <c r="HH72" s="675">
        <v>0</v>
      </c>
      <c r="HI72" s="675">
        <v>0</v>
      </c>
      <c r="HJ72" s="675">
        <v>0</v>
      </c>
      <c r="HK72" s="675">
        <v>0</v>
      </c>
      <c r="HL72" s="675">
        <v>0</v>
      </c>
      <c r="HM72" s="675">
        <v>0</v>
      </c>
      <c r="HN72" s="675">
        <v>0</v>
      </c>
      <c r="HO72" s="675">
        <v>0</v>
      </c>
      <c r="HP72" s="675">
        <v>0</v>
      </c>
      <c r="HQ72" s="675">
        <v>0</v>
      </c>
      <c r="HR72" s="675">
        <v>0</v>
      </c>
      <c r="HS72" s="675">
        <v>0</v>
      </c>
      <c r="HT72" s="675">
        <v>0</v>
      </c>
      <c r="HU72" s="675">
        <v>0</v>
      </c>
      <c r="HV72" s="675">
        <v>0</v>
      </c>
      <c r="HW72" s="675">
        <v>0</v>
      </c>
      <c r="HX72" s="675">
        <v>0</v>
      </c>
      <c r="HY72" s="675">
        <v>0</v>
      </c>
      <c r="HZ72" s="675">
        <v>0</v>
      </c>
      <c r="IA72" s="675">
        <v>0</v>
      </c>
      <c r="IB72" s="675">
        <v>0</v>
      </c>
      <c r="IC72" s="675">
        <v>0</v>
      </c>
      <c r="ID72" s="675">
        <v>0</v>
      </c>
      <c r="IE72" s="675">
        <v>0</v>
      </c>
      <c r="IF72" s="675">
        <v>0</v>
      </c>
      <c r="IG72" s="675">
        <v>0</v>
      </c>
      <c r="IH72" s="675">
        <v>0</v>
      </c>
      <c r="II72" s="675">
        <v>0</v>
      </c>
      <c r="IJ72" s="675">
        <v>0</v>
      </c>
      <c r="IK72" s="675">
        <v>0</v>
      </c>
      <c r="IL72" s="675">
        <v>0</v>
      </c>
      <c r="IM72" s="675">
        <v>0</v>
      </c>
      <c r="IN72" s="675">
        <v>0</v>
      </c>
      <c r="IO72" s="675">
        <v>0</v>
      </c>
      <c r="IP72" s="675">
        <v>0</v>
      </c>
      <c r="IQ72" s="675">
        <v>0</v>
      </c>
      <c r="IR72" s="675">
        <v>0</v>
      </c>
      <c r="IS72" s="675">
        <v>0</v>
      </c>
      <c r="IT72" s="675">
        <v>0</v>
      </c>
      <c r="IU72" s="675">
        <v>0</v>
      </c>
      <c r="IV72" s="675">
        <v>0</v>
      </c>
      <c r="IW72" s="675">
        <v>0</v>
      </c>
      <c r="IX72" s="675">
        <v>0</v>
      </c>
      <c r="IY72" s="675">
        <v>0</v>
      </c>
      <c r="IZ72" s="675">
        <v>0</v>
      </c>
      <c r="JA72" s="675">
        <v>0</v>
      </c>
      <c r="JB72" s="675">
        <v>0</v>
      </c>
      <c r="JC72" s="675">
        <v>0</v>
      </c>
      <c r="JD72" s="675">
        <v>0</v>
      </c>
      <c r="JE72" s="675">
        <v>0</v>
      </c>
      <c r="JF72" s="675">
        <v>0</v>
      </c>
      <c r="JG72" s="675">
        <v>0</v>
      </c>
      <c r="JH72" s="675">
        <v>0</v>
      </c>
      <c r="JI72" s="675">
        <v>0</v>
      </c>
      <c r="JJ72" s="675">
        <v>0</v>
      </c>
      <c r="JK72" s="675">
        <v>0</v>
      </c>
      <c r="JL72" s="675">
        <v>0</v>
      </c>
      <c r="JM72" s="675">
        <v>0</v>
      </c>
      <c r="JN72" s="675">
        <v>32469</v>
      </c>
      <c r="JO72" s="675">
        <v>0</v>
      </c>
      <c r="JP72" s="675">
        <v>0</v>
      </c>
      <c r="JQ72" s="675">
        <v>0</v>
      </c>
      <c r="JR72" s="675">
        <v>0</v>
      </c>
      <c r="JS72" s="675">
        <v>0</v>
      </c>
      <c r="JT72" s="675">
        <v>0</v>
      </c>
      <c r="JU72" s="675">
        <v>0</v>
      </c>
      <c r="JV72" s="675">
        <v>0</v>
      </c>
      <c r="JW72" s="675">
        <v>0</v>
      </c>
      <c r="JX72" s="675">
        <v>0</v>
      </c>
      <c r="JY72" s="675">
        <v>0</v>
      </c>
      <c r="JZ72" s="675">
        <v>0</v>
      </c>
      <c r="KA72" s="675">
        <v>0</v>
      </c>
      <c r="KB72" s="675">
        <v>0</v>
      </c>
      <c r="KC72" s="675">
        <v>0</v>
      </c>
      <c r="KD72" s="675">
        <v>0</v>
      </c>
      <c r="KE72" s="675">
        <v>0</v>
      </c>
      <c r="KF72" s="675">
        <v>0</v>
      </c>
    </row>
    <row r="73" spans="1:292" x14ac:dyDescent="0.25">
      <c r="A73" s="675">
        <v>61805</v>
      </c>
      <c r="B73" s="675">
        <v>32570</v>
      </c>
      <c r="C73" s="675">
        <v>35</v>
      </c>
      <c r="D73" s="675">
        <v>2022</v>
      </c>
      <c r="E73" s="675">
        <v>5392</v>
      </c>
      <c r="F73" s="675">
        <v>0</v>
      </c>
      <c r="G73" s="675">
        <v>571.09500000000003</v>
      </c>
      <c r="H73" s="675">
        <v>556.61</v>
      </c>
      <c r="I73" s="675">
        <v>556.61</v>
      </c>
      <c r="J73" s="675">
        <v>571.09500000000003</v>
      </c>
      <c r="K73" s="675">
        <v>0</v>
      </c>
      <c r="L73" s="675">
        <v>6554</v>
      </c>
      <c r="M73" s="675">
        <v>0</v>
      </c>
      <c r="N73" s="675">
        <v>0</v>
      </c>
      <c r="O73" s="675">
        <v>0</v>
      </c>
      <c r="P73" s="675">
        <v>577.67700000000002</v>
      </c>
      <c r="Q73" s="675">
        <v>0</v>
      </c>
      <c r="R73" s="675">
        <v>184691</v>
      </c>
      <c r="S73" s="675">
        <v>319.71300000000002</v>
      </c>
      <c r="T73" s="675">
        <v>0</v>
      </c>
      <c r="U73" s="675">
        <v>184691</v>
      </c>
      <c r="V73" s="675">
        <v>26.778000000000002</v>
      </c>
      <c r="W73" s="675">
        <v>17550</v>
      </c>
      <c r="X73" s="675">
        <v>17550</v>
      </c>
      <c r="Y73" s="675">
        <v>0</v>
      </c>
      <c r="Z73" s="675">
        <v>0</v>
      </c>
      <c r="AA73" s="675">
        <v>1</v>
      </c>
      <c r="AB73" s="675">
        <v>1</v>
      </c>
      <c r="AC73" s="675">
        <v>0</v>
      </c>
      <c r="AD73" s="675" t="s">
        <v>316</v>
      </c>
      <c r="AE73" s="675">
        <v>0</v>
      </c>
      <c r="AF73" s="675">
        <v>0</v>
      </c>
      <c r="AG73" s="675">
        <v>0</v>
      </c>
      <c r="AH73" s="675">
        <v>0</v>
      </c>
      <c r="AI73" s="675">
        <v>0</v>
      </c>
      <c r="AJ73" s="675">
        <v>5104</v>
      </c>
      <c r="AK73" s="675" t="s">
        <v>671</v>
      </c>
      <c r="AL73" s="675" t="s">
        <v>389</v>
      </c>
      <c r="AM73" s="675">
        <v>0</v>
      </c>
      <c r="AN73" s="675">
        <v>0</v>
      </c>
      <c r="AO73" s="675">
        <v>0</v>
      </c>
      <c r="AP73" s="675">
        <v>0</v>
      </c>
      <c r="AQ73" s="675">
        <v>0</v>
      </c>
      <c r="AR73" s="675">
        <v>0</v>
      </c>
      <c r="AS73" s="675">
        <v>0</v>
      </c>
      <c r="AT73" s="675">
        <v>0</v>
      </c>
      <c r="AU73" s="675">
        <v>0</v>
      </c>
      <c r="AV73" s="675">
        <v>102</v>
      </c>
      <c r="AW73" s="675">
        <v>4750099</v>
      </c>
      <c r="AX73" s="675">
        <v>4630690</v>
      </c>
      <c r="AY73" s="675">
        <v>4948310</v>
      </c>
      <c r="AZ73" s="675">
        <v>191550</v>
      </c>
      <c r="BA73" s="675">
        <v>0</v>
      </c>
      <c r="BB73" s="675">
        <v>22458</v>
      </c>
      <c r="BC73" s="675">
        <v>22458</v>
      </c>
      <c r="BD73" s="675">
        <v>28.555</v>
      </c>
      <c r="BE73" s="675">
        <v>0</v>
      </c>
      <c r="BF73" s="675">
        <v>3966522</v>
      </c>
      <c r="BG73" s="675">
        <v>0</v>
      </c>
      <c r="BH73" s="675">
        <v>24.943000000000001</v>
      </c>
      <c r="BI73" s="675">
        <v>6859</v>
      </c>
      <c r="BJ73" s="675">
        <v>12</v>
      </c>
      <c r="BK73" s="675">
        <v>0</v>
      </c>
      <c r="BL73" s="675">
        <v>0</v>
      </c>
      <c r="BM73" s="675">
        <v>0</v>
      </c>
      <c r="BN73" s="675">
        <v>0</v>
      </c>
      <c r="BO73" s="675">
        <v>0</v>
      </c>
      <c r="BP73" s="675">
        <v>0</v>
      </c>
      <c r="BQ73" s="675">
        <v>5392</v>
      </c>
      <c r="BR73" s="675">
        <v>1</v>
      </c>
      <c r="BS73" s="675">
        <v>0</v>
      </c>
      <c r="BT73" s="675">
        <v>0</v>
      </c>
      <c r="BU73" s="675">
        <v>0</v>
      </c>
      <c r="BV73" s="675">
        <v>0</v>
      </c>
      <c r="BW73" s="675">
        <v>0</v>
      </c>
      <c r="BX73" s="675">
        <v>0</v>
      </c>
      <c r="BY73" s="675">
        <v>0</v>
      </c>
      <c r="BZ73" s="675">
        <v>0</v>
      </c>
      <c r="CA73" s="675">
        <v>0</v>
      </c>
      <c r="CB73" s="675">
        <v>0</v>
      </c>
      <c r="CC73" s="675">
        <v>0</v>
      </c>
      <c r="CD73" s="675">
        <v>0</v>
      </c>
      <c r="CE73" s="675">
        <v>0</v>
      </c>
      <c r="CF73" s="675">
        <v>0</v>
      </c>
      <c r="CG73" s="675">
        <v>0</v>
      </c>
      <c r="CH73" s="675">
        <v>112550</v>
      </c>
      <c r="CI73" s="675">
        <v>0</v>
      </c>
      <c r="CJ73" s="675">
        <v>4</v>
      </c>
      <c r="CK73" s="675">
        <v>0</v>
      </c>
      <c r="CL73" s="675">
        <v>0</v>
      </c>
      <c r="CM73" s="675">
        <v>0</v>
      </c>
      <c r="CN73" s="675">
        <v>0</v>
      </c>
      <c r="CO73" s="675">
        <v>0</v>
      </c>
      <c r="CP73" s="675">
        <v>0</v>
      </c>
      <c r="CQ73" s="675">
        <v>0</v>
      </c>
      <c r="CR73" s="675">
        <v>577.67700000000002</v>
      </c>
      <c r="CS73" s="675">
        <v>0</v>
      </c>
      <c r="CT73" s="675">
        <v>0</v>
      </c>
      <c r="CU73" s="675">
        <v>0</v>
      </c>
      <c r="CV73" s="675">
        <v>0</v>
      </c>
      <c r="CW73" s="675">
        <v>0</v>
      </c>
      <c r="CX73" s="675">
        <v>0</v>
      </c>
      <c r="CY73" s="675">
        <v>0</v>
      </c>
      <c r="CZ73" s="675">
        <v>0</v>
      </c>
      <c r="DA73" s="675">
        <v>1</v>
      </c>
      <c r="DB73" s="675">
        <v>3648022</v>
      </c>
      <c r="DC73" s="675">
        <v>0</v>
      </c>
      <c r="DD73" s="675">
        <v>0</v>
      </c>
      <c r="DE73" s="675">
        <v>0</v>
      </c>
      <c r="DF73" s="675">
        <v>0</v>
      </c>
      <c r="DG73" s="675">
        <v>0</v>
      </c>
      <c r="DH73" s="675">
        <v>0</v>
      </c>
      <c r="DI73" s="675">
        <v>0</v>
      </c>
      <c r="DJ73" s="675">
        <v>0</v>
      </c>
      <c r="DK73" s="675">
        <v>5392</v>
      </c>
      <c r="DL73" s="675">
        <v>0</v>
      </c>
      <c r="DM73" s="675">
        <v>387398</v>
      </c>
      <c r="DN73" s="675">
        <v>0</v>
      </c>
      <c r="DO73" s="675">
        <v>0</v>
      </c>
      <c r="DP73" s="675">
        <v>0</v>
      </c>
      <c r="DQ73" s="675">
        <v>0</v>
      </c>
      <c r="DR73" s="675">
        <v>0</v>
      </c>
      <c r="DS73" s="675">
        <v>0</v>
      </c>
      <c r="DT73" s="675">
        <v>0</v>
      </c>
      <c r="DU73" s="675">
        <v>0</v>
      </c>
      <c r="DV73" s="675">
        <v>0</v>
      </c>
      <c r="DW73" s="675">
        <v>0</v>
      </c>
      <c r="DX73" s="675">
        <v>0</v>
      </c>
      <c r="DY73" s="675">
        <v>0</v>
      </c>
      <c r="DZ73" s="675">
        <v>0</v>
      </c>
      <c r="EA73" s="675">
        <v>0</v>
      </c>
      <c r="EB73" s="675">
        <v>0</v>
      </c>
      <c r="EC73" s="675">
        <v>13.047000000000001</v>
      </c>
      <c r="ED73" s="675">
        <v>94061</v>
      </c>
      <c r="EE73" s="675">
        <v>0</v>
      </c>
      <c r="EF73" s="675">
        <v>0</v>
      </c>
      <c r="EG73" s="675">
        <v>0</v>
      </c>
      <c r="EH73" s="675">
        <v>293337</v>
      </c>
      <c r="EI73" s="675">
        <v>0</v>
      </c>
      <c r="EJ73" s="675">
        <v>0</v>
      </c>
      <c r="EK73" s="675">
        <v>13.834000000000001</v>
      </c>
      <c r="EL73" s="675">
        <v>0</v>
      </c>
      <c r="EM73" s="675">
        <v>0</v>
      </c>
      <c r="EN73" s="675">
        <v>0.65100000000000002</v>
      </c>
      <c r="EO73" s="675">
        <v>0</v>
      </c>
      <c r="EP73" s="675">
        <v>0</v>
      </c>
      <c r="EQ73" s="675">
        <v>14.485000000000001</v>
      </c>
      <c r="ER73" s="675">
        <v>0</v>
      </c>
      <c r="ES73" s="675">
        <v>44.757000000000005</v>
      </c>
      <c r="ET73" s="675">
        <v>0</v>
      </c>
      <c r="EU73" s="675">
        <v>191550</v>
      </c>
      <c r="EV73" s="675">
        <v>0</v>
      </c>
      <c r="EW73" s="675">
        <v>0</v>
      </c>
      <c r="EX73" s="675">
        <v>0</v>
      </c>
      <c r="EY73" s="675">
        <v>0</v>
      </c>
      <c r="EZ73" s="675">
        <v>3890737</v>
      </c>
      <c r="FA73" s="675">
        <v>0</v>
      </c>
      <c r="FB73" s="675">
        <v>4082287</v>
      </c>
      <c r="FC73" s="675">
        <v>0.97327799999999998</v>
      </c>
      <c r="FD73" s="675">
        <v>0</v>
      </c>
      <c r="FE73" s="675">
        <v>603871</v>
      </c>
      <c r="FF73" s="675">
        <v>136082</v>
      </c>
      <c r="FG73" s="675">
        <v>6.1239999999999996E-2</v>
      </c>
      <c r="FH73" s="675">
        <v>5.4803999999999999E-2</v>
      </c>
      <c r="FI73" s="675">
        <v>0</v>
      </c>
      <c r="FJ73" s="675">
        <v>0</v>
      </c>
      <c r="FK73" s="675">
        <v>777.16700000000003</v>
      </c>
      <c r="FL73" s="675">
        <v>4934790</v>
      </c>
      <c r="FM73" s="675">
        <v>0</v>
      </c>
      <c r="FN73" s="675">
        <v>0</v>
      </c>
      <c r="FO73" s="675">
        <v>0</v>
      </c>
      <c r="FP73" s="675">
        <v>0</v>
      </c>
      <c r="FQ73" s="675">
        <v>0</v>
      </c>
      <c r="FR73" s="675">
        <v>0</v>
      </c>
      <c r="FS73" s="675">
        <v>0</v>
      </c>
      <c r="FT73" s="675">
        <v>0</v>
      </c>
      <c r="FU73" s="675">
        <v>0</v>
      </c>
      <c r="FV73" s="675">
        <v>0</v>
      </c>
      <c r="FW73" s="675">
        <v>0</v>
      </c>
      <c r="FX73" s="675">
        <v>0</v>
      </c>
      <c r="FY73" s="675">
        <v>0</v>
      </c>
      <c r="FZ73" s="675">
        <v>0</v>
      </c>
      <c r="GA73" s="675">
        <v>0</v>
      </c>
      <c r="GB73" s="675">
        <v>0</v>
      </c>
      <c r="GC73" s="675">
        <v>0</v>
      </c>
      <c r="GD73" s="675">
        <v>0</v>
      </c>
      <c r="GE73" s="675">
        <v>0</v>
      </c>
      <c r="GF73" s="675">
        <v>0</v>
      </c>
      <c r="GG73" s="675">
        <v>0</v>
      </c>
      <c r="GH73" s="675">
        <v>0</v>
      </c>
      <c r="GI73" s="675">
        <v>0</v>
      </c>
      <c r="GJ73" s="675">
        <v>0</v>
      </c>
      <c r="GK73" s="675">
        <v>0</v>
      </c>
      <c r="GL73" s="675">
        <v>0</v>
      </c>
      <c r="GM73" s="675">
        <v>0</v>
      </c>
      <c r="GN73" s="675">
        <v>0</v>
      </c>
      <c r="GO73" s="675">
        <v>0</v>
      </c>
      <c r="GP73" s="675">
        <v>4822240</v>
      </c>
      <c r="GQ73" s="675">
        <v>4822240</v>
      </c>
      <c r="GR73" s="675">
        <v>0</v>
      </c>
      <c r="GS73" s="675">
        <v>0</v>
      </c>
      <c r="GT73" s="675">
        <v>0</v>
      </c>
      <c r="GU73" s="675">
        <v>0</v>
      </c>
      <c r="GV73" s="675">
        <v>0</v>
      </c>
      <c r="GW73" s="675">
        <v>0</v>
      </c>
      <c r="GX73" s="675">
        <v>0</v>
      </c>
      <c r="GY73" s="675">
        <v>0</v>
      </c>
      <c r="GZ73" s="675">
        <v>0</v>
      </c>
      <c r="HA73" s="675">
        <v>0</v>
      </c>
      <c r="HB73" s="675">
        <v>260786259</v>
      </c>
      <c r="HC73" s="675">
        <v>5.0923999999999997E-2</v>
      </c>
      <c r="HD73" s="675">
        <v>112550</v>
      </c>
      <c r="HE73" s="675">
        <v>0</v>
      </c>
      <c r="HF73" s="675">
        <v>0</v>
      </c>
      <c r="HG73" s="675">
        <v>0</v>
      </c>
      <c r="HH73" s="675">
        <v>0</v>
      </c>
      <c r="HI73" s="675">
        <v>0</v>
      </c>
      <c r="HJ73" s="675">
        <v>0</v>
      </c>
      <c r="HK73" s="675">
        <v>0</v>
      </c>
      <c r="HL73" s="675">
        <v>0</v>
      </c>
      <c r="HM73" s="675">
        <v>0</v>
      </c>
      <c r="HN73" s="675">
        <v>0</v>
      </c>
      <c r="HO73" s="675">
        <v>0</v>
      </c>
      <c r="HP73" s="675">
        <v>0</v>
      </c>
      <c r="HQ73" s="675">
        <v>0</v>
      </c>
      <c r="HR73" s="675">
        <v>0</v>
      </c>
      <c r="HS73" s="675">
        <v>0</v>
      </c>
      <c r="HT73" s="675">
        <v>0</v>
      </c>
      <c r="HU73" s="675">
        <v>0</v>
      </c>
      <c r="HV73" s="675">
        <v>0</v>
      </c>
      <c r="HW73" s="675">
        <v>0</v>
      </c>
      <c r="HX73" s="675">
        <v>0</v>
      </c>
      <c r="HY73" s="675">
        <v>0</v>
      </c>
      <c r="HZ73" s="675">
        <v>0</v>
      </c>
      <c r="IA73" s="675">
        <v>0</v>
      </c>
      <c r="IB73" s="675">
        <v>0</v>
      </c>
      <c r="IC73" s="675">
        <v>0</v>
      </c>
      <c r="ID73" s="675">
        <v>0</v>
      </c>
      <c r="IE73" s="675">
        <v>0</v>
      </c>
      <c r="IF73" s="675">
        <v>0</v>
      </c>
      <c r="IG73" s="675">
        <v>0</v>
      </c>
      <c r="IH73" s="675">
        <v>0</v>
      </c>
      <c r="II73" s="675">
        <v>0</v>
      </c>
      <c r="IJ73" s="675">
        <v>0</v>
      </c>
      <c r="IK73" s="675">
        <v>0</v>
      </c>
      <c r="IL73" s="675">
        <v>0</v>
      </c>
      <c r="IM73" s="675">
        <v>0</v>
      </c>
      <c r="IN73" s="675">
        <v>0</v>
      </c>
      <c r="IO73" s="675">
        <v>0</v>
      </c>
      <c r="IP73" s="675">
        <v>0</v>
      </c>
      <c r="IQ73" s="675">
        <v>0</v>
      </c>
      <c r="IR73" s="675">
        <v>0</v>
      </c>
      <c r="IS73" s="675">
        <v>0</v>
      </c>
      <c r="IT73" s="675">
        <v>0</v>
      </c>
      <c r="IU73" s="675">
        <v>0</v>
      </c>
      <c r="IV73" s="675">
        <v>0</v>
      </c>
      <c r="IW73" s="675">
        <v>0</v>
      </c>
      <c r="IX73" s="675">
        <v>0</v>
      </c>
      <c r="IY73" s="675">
        <v>0</v>
      </c>
      <c r="IZ73" s="675">
        <v>0</v>
      </c>
      <c r="JA73" s="675">
        <v>0</v>
      </c>
      <c r="JB73" s="675">
        <v>0</v>
      </c>
      <c r="JC73" s="675">
        <v>0</v>
      </c>
      <c r="JD73" s="675">
        <v>0</v>
      </c>
      <c r="JE73" s="675">
        <v>0</v>
      </c>
      <c r="JF73" s="675">
        <v>0</v>
      </c>
      <c r="JG73" s="675">
        <v>0</v>
      </c>
      <c r="JH73" s="675">
        <v>0</v>
      </c>
      <c r="JI73" s="675">
        <v>0</v>
      </c>
      <c r="JJ73" s="675">
        <v>0</v>
      </c>
      <c r="JK73" s="675">
        <v>0</v>
      </c>
      <c r="JL73" s="675">
        <v>0</v>
      </c>
      <c r="JM73" s="675">
        <v>0</v>
      </c>
      <c r="JN73" s="675">
        <v>32469</v>
      </c>
      <c r="JO73" s="675">
        <v>0</v>
      </c>
      <c r="JP73" s="675">
        <v>0</v>
      </c>
      <c r="JQ73" s="675">
        <v>0</v>
      </c>
      <c r="JR73" s="675">
        <v>0</v>
      </c>
      <c r="JS73" s="675">
        <v>0</v>
      </c>
      <c r="JT73" s="675">
        <v>0</v>
      </c>
      <c r="JU73" s="675">
        <v>0</v>
      </c>
      <c r="JV73" s="675">
        <v>0</v>
      </c>
      <c r="JW73" s="675">
        <v>0</v>
      </c>
      <c r="JX73" s="675">
        <v>0</v>
      </c>
      <c r="JY73" s="675">
        <v>0</v>
      </c>
      <c r="JZ73" s="675">
        <v>0</v>
      </c>
      <c r="KA73" s="675">
        <v>0</v>
      </c>
      <c r="KB73" s="675">
        <v>0</v>
      </c>
      <c r="KC73" s="675">
        <v>0</v>
      </c>
      <c r="KD73" s="675">
        <v>0</v>
      </c>
      <c r="KE73" s="675">
        <v>0</v>
      </c>
      <c r="KF73" s="675">
        <v>0</v>
      </c>
    </row>
    <row r="74" spans="1:292" x14ac:dyDescent="0.25">
      <c r="A74" s="675">
        <v>68802</v>
      </c>
      <c r="B74" s="675">
        <v>32570</v>
      </c>
      <c r="C74" s="675">
        <v>35</v>
      </c>
      <c r="D74" s="675">
        <v>2022</v>
      </c>
      <c r="E74" s="675">
        <v>5392</v>
      </c>
      <c r="F74" s="675">
        <v>0</v>
      </c>
      <c r="G74" s="675">
        <v>1182.3579999999999</v>
      </c>
      <c r="H74" s="675">
        <v>1164.3610000000001</v>
      </c>
      <c r="I74" s="675">
        <v>1164.3610000000001</v>
      </c>
      <c r="J74" s="675">
        <v>1182.3579999999999</v>
      </c>
      <c r="K74" s="675">
        <v>0</v>
      </c>
      <c r="L74" s="675">
        <v>6554</v>
      </c>
      <c r="M74" s="675">
        <v>0</v>
      </c>
      <c r="N74" s="675">
        <v>0</v>
      </c>
      <c r="O74" s="675">
        <v>0</v>
      </c>
      <c r="P74" s="675">
        <v>1062.636</v>
      </c>
      <c r="Q74" s="675">
        <v>0</v>
      </c>
      <c r="R74" s="675">
        <v>339739</v>
      </c>
      <c r="S74" s="675">
        <v>319.71300000000002</v>
      </c>
      <c r="T74" s="675">
        <v>0</v>
      </c>
      <c r="U74" s="675">
        <v>339739</v>
      </c>
      <c r="V74" s="675">
        <v>0</v>
      </c>
      <c r="W74" s="675">
        <v>0</v>
      </c>
      <c r="X74" s="675">
        <v>0</v>
      </c>
      <c r="Y74" s="675">
        <v>0</v>
      </c>
      <c r="Z74" s="675">
        <v>0</v>
      </c>
      <c r="AA74" s="675">
        <v>1</v>
      </c>
      <c r="AB74" s="675">
        <v>1</v>
      </c>
      <c r="AC74" s="675">
        <v>0</v>
      </c>
      <c r="AD74" s="675" t="s">
        <v>316</v>
      </c>
      <c r="AE74" s="675">
        <v>0</v>
      </c>
      <c r="AF74" s="675">
        <v>0</v>
      </c>
      <c r="AG74" s="675">
        <v>0</v>
      </c>
      <c r="AH74" s="675">
        <v>0</v>
      </c>
      <c r="AI74" s="675">
        <v>0</v>
      </c>
      <c r="AJ74" s="675">
        <v>5104</v>
      </c>
      <c r="AK74" s="675" t="s">
        <v>671</v>
      </c>
      <c r="AL74" s="675" t="s">
        <v>337</v>
      </c>
      <c r="AM74" s="675">
        <v>0</v>
      </c>
      <c r="AN74" s="675">
        <v>0</v>
      </c>
      <c r="AO74" s="675">
        <v>0</v>
      </c>
      <c r="AP74" s="675">
        <v>0</v>
      </c>
      <c r="AQ74" s="675">
        <v>0</v>
      </c>
      <c r="AR74" s="675">
        <v>0</v>
      </c>
      <c r="AS74" s="675">
        <v>0</v>
      </c>
      <c r="AT74" s="675">
        <v>0</v>
      </c>
      <c r="AU74" s="675">
        <v>0</v>
      </c>
      <c r="AV74" s="675">
        <v>-9905</v>
      </c>
      <c r="AW74" s="675">
        <v>10081214</v>
      </c>
      <c r="AX74" s="675">
        <v>9807085</v>
      </c>
      <c r="AY74" s="675">
        <v>10362425</v>
      </c>
      <c r="AZ74" s="675">
        <v>380852</v>
      </c>
      <c r="BA74" s="675">
        <v>0</v>
      </c>
      <c r="BB74" s="675">
        <v>9430</v>
      </c>
      <c r="BC74" s="675">
        <v>9430</v>
      </c>
      <c r="BD74" s="675">
        <v>11.99</v>
      </c>
      <c r="BE74" s="675">
        <v>0</v>
      </c>
      <c r="BF74" s="675">
        <v>8358136</v>
      </c>
      <c r="BG74" s="675">
        <v>0</v>
      </c>
      <c r="BH74" s="675">
        <v>149.50200000000001</v>
      </c>
      <c r="BI74" s="675">
        <v>41113</v>
      </c>
      <c r="BJ74" s="675">
        <v>12</v>
      </c>
      <c r="BK74" s="675">
        <v>0</v>
      </c>
      <c r="BL74" s="675">
        <v>0</v>
      </c>
      <c r="BM74" s="675">
        <v>0</v>
      </c>
      <c r="BN74" s="675">
        <v>0</v>
      </c>
      <c r="BO74" s="675">
        <v>0</v>
      </c>
      <c r="BP74" s="675">
        <v>0</v>
      </c>
      <c r="BQ74" s="675">
        <v>5392</v>
      </c>
      <c r="BR74" s="675">
        <v>1</v>
      </c>
      <c r="BS74" s="675">
        <v>0</v>
      </c>
      <c r="BT74" s="675">
        <v>0</v>
      </c>
      <c r="BU74" s="675">
        <v>0</v>
      </c>
      <c r="BV74" s="675">
        <v>0</v>
      </c>
      <c r="BW74" s="675">
        <v>0</v>
      </c>
      <c r="BX74" s="675">
        <v>0</v>
      </c>
      <c r="BY74" s="675">
        <v>0</v>
      </c>
      <c r="BZ74" s="675">
        <v>0</v>
      </c>
      <c r="CA74" s="675">
        <v>0</v>
      </c>
      <c r="CB74" s="675">
        <v>0</v>
      </c>
      <c r="CC74" s="675">
        <v>0</v>
      </c>
      <c r="CD74" s="675">
        <v>0</v>
      </c>
      <c r="CE74" s="675">
        <v>0</v>
      </c>
      <c r="CF74" s="675">
        <v>0</v>
      </c>
      <c r="CG74" s="675">
        <v>0</v>
      </c>
      <c r="CH74" s="675">
        <v>233016</v>
      </c>
      <c r="CI74" s="675">
        <v>0</v>
      </c>
      <c r="CJ74" s="675">
        <v>5</v>
      </c>
      <c r="CK74" s="675">
        <v>0</v>
      </c>
      <c r="CL74" s="675">
        <v>0</v>
      </c>
      <c r="CM74" s="675">
        <v>0</v>
      </c>
      <c r="CN74" s="675">
        <v>0</v>
      </c>
      <c r="CO74" s="675">
        <v>0</v>
      </c>
      <c r="CP74" s="675">
        <v>0</v>
      </c>
      <c r="CQ74" s="675">
        <v>0</v>
      </c>
      <c r="CR74" s="675">
        <v>1062.636</v>
      </c>
      <c r="CS74" s="675">
        <v>0</v>
      </c>
      <c r="CT74" s="675">
        <v>0</v>
      </c>
      <c r="CU74" s="675">
        <v>0</v>
      </c>
      <c r="CV74" s="675">
        <v>0</v>
      </c>
      <c r="CW74" s="675">
        <v>0</v>
      </c>
      <c r="CX74" s="675">
        <v>0</v>
      </c>
      <c r="CY74" s="675">
        <v>0</v>
      </c>
      <c r="CZ74" s="675">
        <v>0</v>
      </c>
      <c r="DA74" s="675">
        <v>1</v>
      </c>
      <c r="DB74" s="675">
        <v>7631222</v>
      </c>
      <c r="DC74" s="675">
        <v>0</v>
      </c>
      <c r="DD74" s="675">
        <v>0</v>
      </c>
      <c r="DE74" s="675">
        <v>259538</v>
      </c>
      <c r="DF74" s="675">
        <v>259538</v>
      </c>
      <c r="DG74" s="675">
        <v>198</v>
      </c>
      <c r="DH74" s="675">
        <v>0</v>
      </c>
      <c r="DI74" s="675">
        <v>0</v>
      </c>
      <c r="DJ74" s="675">
        <v>0</v>
      </c>
      <c r="DK74" s="675">
        <v>5392</v>
      </c>
      <c r="DL74" s="675">
        <v>0</v>
      </c>
      <c r="DM74" s="675">
        <v>687428</v>
      </c>
      <c r="DN74" s="675">
        <v>0</v>
      </c>
      <c r="DO74" s="675">
        <v>0</v>
      </c>
      <c r="DP74" s="675">
        <v>0</v>
      </c>
      <c r="DQ74" s="675">
        <v>0</v>
      </c>
      <c r="DR74" s="675">
        <v>0</v>
      </c>
      <c r="DS74" s="675">
        <v>0</v>
      </c>
      <c r="DT74" s="675">
        <v>0</v>
      </c>
      <c r="DU74" s="675">
        <v>0</v>
      </c>
      <c r="DV74" s="675">
        <v>0</v>
      </c>
      <c r="DW74" s="675">
        <v>0</v>
      </c>
      <c r="DX74" s="675">
        <v>0</v>
      </c>
      <c r="DY74" s="675">
        <v>0</v>
      </c>
      <c r="DZ74" s="675">
        <v>0</v>
      </c>
      <c r="EA74" s="675">
        <v>0</v>
      </c>
      <c r="EB74" s="675">
        <v>0</v>
      </c>
      <c r="EC74" s="675">
        <v>43.249000000000002</v>
      </c>
      <c r="ED74" s="675">
        <v>311799</v>
      </c>
      <c r="EE74" s="675">
        <v>0</v>
      </c>
      <c r="EF74" s="675">
        <v>0</v>
      </c>
      <c r="EG74" s="675">
        <v>0</v>
      </c>
      <c r="EH74" s="675">
        <v>375629</v>
      </c>
      <c r="EI74" s="675">
        <v>0</v>
      </c>
      <c r="EJ74" s="675">
        <v>0</v>
      </c>
      <c r="EK74" s="675">
        <v>16.336000000000002</v>
      </c>
      <c r="EL74" s="675">
        <v>0</v>
      </c>
      <c r="EM74" s="675">
        <v>0</v>
      </c>
      <c r="EN74" s="675">
        <v>1.661</v>
      </c>
      <c r="EO74" s="675">
        <v>0</v>
      </c>
      <c r="EP74" s="675">
        <v>0</v>
      </c>
      <c r="EQ74" s="675">
        <v>17.997</v>
      </c>
      <c r="ER74" s="675">
        <v>0</v>
      </c>
      <c r="ES74" s="675">
        <v>57.313000000000002</v>
      </c>
      <c r="ET74" s="675">
        <v>0</v>
      </c>
      <c r="EU74" s="675">
        <v>380852</v>
      </c>
      <c r="EV74" s="675">
        <v>0</v>
      </c>
      <c r="EW74" s="675">
        <v>0</v>
      </c>
      <c r="EX74" s="675">
        <v>0</v>
      </c>
      <c r="EY74" s="675">
        <v>0</v>
      </c>
      <c r="EZ74" s="675">
        <v>8247879</v>
      </c>
      <c r="FA74" s="675">
        <v>0</v>
      </c>
      <c r="FB74" s="675">
        <v>8628731</v>
      </c>
      <c r="FC74" s="675">
        <v>0.97327799999999998</v>
      </c>
      <c r="FD74" s="675">
        <v>0</v>
      </c>
      <c r="FE74" s="675">
        <v>1272459</v>
      </c>
      <c r="FF74" s="675">
        <v>286747</v>
      </c>
      <c r="FG74" s="675">
        <v>6.1239999999999996E-2</v>
      </c>
      <c r="FH74" s="675">
        <v>5.4803999999999999E-2</v>
      </c>
      <c r="FI74" s="675">
        <v>0</v>
      </c>
      <c r="FJ74" s="675">
        <v>0</v>
      </c>
      <c r="FK74" s="675">
        <v>1637.6220000000001</v>
      </c>
      <c r="FL74" s="675">
        <v>10420953</v>
      </c>
      <c r="FM74" s="675">
        <v>0</v>
      </c>
      <c r="FN74" s="675">
        <v>0</v>
      </c>
      <c r="FO74" s="675">
        <v>0</v>
      </c>
      <c r="FP74" s="675">
        <v>0</v>
      </c>
      <c r="FQ74" s="675">
        <v>0</v>
      </c>
      <c r="FR74" s="675">
        <v>0</v>
      </c>
      <c r="FS74" s="675">
        <v>0</v>
      </c>
      <c r="FT74" s="675">
        <v>0</v>
      </c>
      <c r="FU74" s="675">
        <v>0</v>
      </c>
      <c r="FV74" s="675">
        <v>0</v>
      </c>
      <c r="FW74" s="675">
        <v>0</v>
      </c>
      <c r="FX74" s="675">
        <v>0</v>
      </c>
      <c r="FY74" s="675">
        <v>0</v>
      </c>
      <c r="FZ74" s="675">
        <v>0</v>
      </c>
      <c r="GA74" s="675">
        <v>0</v>
      </c>
      <c r="GB74" s="675">
        <v>0</v>
      </c>
      <c r="GC74" s="675">
        <v>0</v>
      </c>
      <c r="GD74" s="675">
        <v>0</v>
      </c>
      <c r="GE74" s="675">
        <v>0</v>
      </c>
      <c r="GF74" s="675">
        <v>0</v>
      </c>
      <c r="GG74" s="675">
        <v>0</v>
      </c>
      <c r="GH74" s="675">
        <v>0</v>
      </c>
      <c r="GI74" s="675">
        <v>0</v>
      </c>
      <c r="GJ74" s="675">
        <v>0</v>
      </c>
      <c r="GK74" s="675">
        <v>4971</v>
      </c>
      <c r="GL74" s="675">
        <v>0</v>
      </c>
      <c r="GM74" s="675">
        <v>0</v>
      </c>
      <c r="GN74" s="675">
        <v>0</v>
      </c>
      <c r="GO74" s="675">
        <v>0</v>
      </c>
      <c r="GP74" s="675">
        <v>10187937</v>
      </c>
      <c r="GQ74" s="675">
        <v>10187937</v>
      </c>
      <c r="GR74" s="675">
        <v>0</v>
      </c>
      <c r="GS74" s="675">
        <v>0</v>
      </c>
      <c r="GT74" s="675">
        <v>0</v>
      </c>
      <c r="GU74" s="675">
        <v>0</v>
      </c>
      <c r="GV74" s="675">
        <v>0</v>
      </c>
      <c r="GW74" s="675">
        <v>0</v>
      </c>
      <c r="GX74" s="675">
        <v>0</v>
      </c>
      <c r="GY74" s="675">
        <v>0</v>
      </c>
      <c r="GZ74" s="675">
        <v>0</v>
      </c>
      <c r="HA74" s="675">
        <v>0</v>
      </c>
      <c r="HB74" s="675">
        <v>260786259</v>
      </c>
      <c r="HC74" s="675">
        <v>5.0923999999999997E-2</v>
      </c>
      <c r="HD74" s="675">
        <v>233016</v>
      </c>
      <c r="HE74" s="675">
        <v>0</v>
      </c>
      <c r="HF74" s="675">
        <v>0</v>
      </c>
      <c r="HG74" s="675">
        <v>0</v>
      </c>
      <c r="HH74" s="675">
        <v>0</v>
      </c>
      <c r="HI74" s="675">
        <v>0</v>
      </c>
      <c r="HJ74" s="675">
        <v>0</v>
      </c>
      <c r="HK74" s="675">
        <v>0</v>
      </c>
      <c r="HL74" s="675">
        <v>0</v>
      </c>
      <c r="HM74" s="675">
        <v>0</v>
      </c>
      <c r="HN74" s="675">
        <v>0</v>
      </c>
      <c r="HO74" s="675">
        <v>0</v>
      </c>
      <c r="HP74" s="675">
        <v>0</v>
      </c>
      <c r="HQ74" s="675">
        <v>0</v>
      </c>
      <c r="HR74" s="675">
        <v>0</v>
      </c>
      <c r="HS74" s="675">
        <v>0</v>
      </c>
      <c r="HT74" s="675">
        <v>0</v>
      </c>
      <c r="HU74" s="675">
        <v>0</v>
      </c>
      <c r="HV74" s="675">
        <v>0</v>
      </c>
      <c r="HW74" s="675">
        <v>0</v>
      </c>
      <c r="HX74" s="675">
        <v>0</v>
      </c>
      <c r="HY74" s="675">
        <v>0</v>
      </c>
      <c r="HZ74" s="675">
        <v>0</v>
      </c>
      <c r="IA74" s="675">
        <v>0</v>
      </c>
      <c r="IB74" s="675">
        <v>0</v>
      </c>
      <c r="IC74" s="675">
        <v>0</v>
      </c>
      <c r="ID74" s="675">
        <v>0</v>
      </c>
      <c r="IE74" s="675">
        <v>0</v>
      </c>
      <c r="IF74" s="675">
        <v>0</v>
      </c>
      <c r="IG74" s="675">
        <v>0</v>
      </c>
      <c r="IH74" s="675">
        <v>0</v>
      </c>
      <c r="II74" s="675">
        <v>0</v>
      </c>
      <c r="IJ74" s="675">
        <v>0</v>
      </c>
      <c r="IK74" s="675">
        <v>0</v>
      </c>
      <c r="IL74" s="675">
        <v>0</v>
      </c>
      <c r="IM74" s="675">
        <v>0</v>
      </c>
      <c r="IN74" s="675">
        <v>0</v>
      </c>
      <c r="IO74" s="675">
        <v>0</v>
      </c>
      <c r="IP74" s="675">
        <v>0</v>
      </c>
      <c r="IQ74" s="675">
        <v>0</v>
      </c>
      <c r="IR74" s="675">
        <v>0</v>
      </c>
      <c r="IS74" s="675">
        <v>0</v>
      </c>
      <c r="IT74" s="675">
        <v>0</v>
      </c>
      <c r="IU74" s="675">
        <v>0</v>
      </c>
      <c r="IV74" s="675">
        <v>0</v>
      </c>
      <c r="IW74" s="675">
        <v>0</v>
      </c>
      <c r="IX74" s="675">
        <v>0</v>
      </c>
      <c r="IY74" s="675">
        <v>0</v>
      </c>
      <c r="IZ74" s="675">
        <v>0</v>
      </c>
      <c r="JA74" s="675">
        <v>0</v>
      </c>
      <c r="JB74" s="675">
        <v>0</v>
      </c>
      <c r="JC74" s="675">
        <v>0</v>
      </c>
      <c r="JD74" s="675">
        <v>0</v>
      </c>
      <c r="JE74" s="675">
        <v>0</v>
      </c>
      <c r="JF74" s="675">
        <v>0</v>
      </c>
      <c r="JG74" s="675">
        <v>0</v>
      </c>
      <c r="JH74" s="675">
        <v>0</v>
      </c>
      <c r="JI74" s="675">
        <v>0</v>
      </c>
      <c r="JJ74" s="675">
        <v>0</v>
      </c>
      <c r="JK74" s="675">
        <v>0</v>
      </c>
      <c r="JL74" s="675">
        <v>0</v>
      </c>
      <c r="JM74" s="675">
        <v>0</v>
      </c>
      <c r="JN74" s="675">
        <v>32469</v>
      </c>
      <c r="JO74" s="675">
        <v>0</v>
      </c>
      <c r="JP74" s="675">
        <v>0</v>
      </c>
      <c r="JQ74" s="675">
        <v>0</v>
      </c>
      <c r="JR74" s="675">
        <v>0</v>
      </c>
      <c r="JS74" s="675">
        <v>0</v>
      </c>
      <c r="JT74" s="675">
        <v>0</v>
      </c>
      <c r="JU74" s="675">
        <v>0</v>
      </c>
      <c r="JV74" s="675">
        <v>0</v>
      </c>
      <c r="JW74" s="675">
        <v>0</v>
      </c>
      <c r="JX74" s="675">
        <v>0</v>
      </c>
      <c r="JY74" s="675">
        <v>0</v>
      </c>
      <c r="JZ74" s="675">
        <v>0</v>
      </c>
      <c r="KA74" s="675">
        <v>0</v>
      </c>
      <c r="KB74" s="675">
        <v>0</v>
      </c>
      <c r="KC74" s="675">
        <v>0</v>
      </c>
      <c r="KD74" s="675">
        <v>0</v>
      </c>
      <c r="KE74" s="675">
        <v>0</v>
      </c>
      <c r="KF74" s="675">
        <v>0</v>
      </c>
    </row>
    <row r="75" spans="1:292" x14ac:dyDescent="0.25">
      <c r="A75" s="675">
        <v>68803</v>
      </c>
      <c r="B75" s="675">
        <v>32570</v>
      </c>
      <c r="C75" s="675">
        <v>35</v>
      </c>
      <c r="D75" s="675">
        <v>2022</v>
      </c>
      <c r="E75" s="675">
        <v>5392</v>
      </c>
      <c r="F75" s="675">
        <v>0</v>
      </c>
      <c r="G75" s="675">
        <v>725.88499999999999</v>
      </c>
      <c r="H75" s="675">
        <v>685.65200000000004</v>
      </c>
      <c r="I75" s="675">
        <v>685.65200000000004</v>
      </c>
      <c r="J75" s="675">
        <v>725.88499999999999</v>
      </c>
      <c r="K75" s="675">
        <v>0</v>
      </c>
      <c r="L75" s="675">
        <v>6554</v>
      </c>
      <c r="M75" s="675">
        <v>0</v>
      </c>
      <c r="N75" s="675">
        <v>0</v>
      </c>
      <c r="O75" s="675">
        <v>0</v>
      </c>
      <c r="P75" s="675">
        <v>686.37599999999998</v>
      </c>
      <c r="Q75" s="675">
        <v>0</v>
      </c>
      <c r="R75" s="675">
        <v>219443</v>
      </c>
      <c r="S75" s="675">
        <v>319.71300000000002</v>
      </c>
      <c r="T75" s="675">
        <v>0</v>
      </c>
      <c r="U75" s="675">
        <v>219443</v>
      </c>
      <c r="V75" s="675">
        <v>17.532</v>
      </c>
      <c r="W75" s="675">
        <v>11490</v>
      </c>
      <c r="X75" s="675">
        <v>11490</v>
      </c>
      <c r="Y75" s="675">
        <v>0</v>
      </c>
      <c r="Z75" s="675">
        <v>0</v>
      </c>
      <c r="AA75" s="675">
        <v>1</v>
      </c>
      <c r="AB75" s="675">
        <v>1</v>
      </c>
      <c r="AC75" s="675">
        <v>0</v>
      </c>
      <c r="AD75" s="675" t="s">
        <v>316</v>
      </c>
      <c r="AE75" s="675">
        <v>0</v>
      </c>
      <c r="AF75" s="675">
        <v>0</v>
      </c>
      <c r="AG75" s="675">
        <v>0</v>
      </c>
      <c r="AH75" s="675">
        <v>0</v>
      </c>
      <c r="AI75" s="675">
        <v>0</v>
      </c>
      <c r="AJ75" s="675">
        <v>5104</v>
      </c>
      <c r="AK75" s="675" t="s">
        <v>671</v>
      </c>
      <c r="AL75" s="675" t="s">
        <v>338</v>
      </c>
      <c r="AM75" s="675">
        <v>0</v>
      </c>
      <c r="AN75" s="675">
        <v>0</v>
      </c>
      <c r="AO75" s="675">
        <v>0</v>
      </c>
      <c r="AP75" s="675">
        <v>0</v>
      </c>
      <c r="AQ75" s="675">
        <v>0</v>
      </c>
      <c r="AR75" s="675">
        <v>0</v>
      </c>
      <c r="AS75" s="675">
        <v>0</v>
      </c>
      <c r="AT75" s="675">
        <v>0</v>
      </c>
      <c r="AU75" s="675">
        <v>0</v>
      </c>
      <c r="AV75" s="675">
        <v>54998</v>
      </c>
      <c r="AW75" s="675">
        <v>6182827</v>
      </c>
      <c r="AX75" s="675">
        <v>5997665</v>
      </c>
      <c r="AY75" s="675">
        <v>6390667</v>
      </c>
      <c r="AZ75" s="675">
        <v>261549</v>
      </c>
      <c r="BA75" s="675">
        <v>0</v>
      </c>
      <c r="BB75" s="675">
        <v>28545</v>
      </c>
      <c r="BC75" s="675">
        <v>28545</v>
      </c>
      <c r="BD75" s="675">
        <v>36.294000000000004</v>
      </c>
      <c r="BE75" s="675">
        <v>0</v>
      </c>
      <c r="BF75" s="675">
        <v>5121153</v>
      </c>
      <c r="BG75" s="675">
        <v>0</v>
      </c>
      <c r="BH75" s="675">
        <v>153.113</v>
      </c>
      <c r="BI75" s="675">
        <v>42106</v>
      </c>
      <c r="BJ75" s="675">
        <v>12</v>
      </c>
      <c r="BK75" s="675">
        <v>0</v>
      </c>
      <c r="BL75" s="675">
        <v>0</v>
      </c>
      <c r="BM75" s="675">
        <v>0</v>
      </c>
      <c r="BN75" s="675">
        <v>0</v>
      </c>
      <c r="BO75" s="675">
        <v>0</v>
      </c>
      <c r="BP75" s="675">
        <v>0</v>
      </c>
      <c r="BQ75" s="675">
        <v>5392</v>
      </c>
      <c r="BR75" s="675">
        <v>1</v>
      </c>
      <c r="BS75" s="675">
        <v>0</v>
      </c>
      <c r="BT75" s="675">
        <v>0</v>
      </c>
      <c r="BU75" s="675">
        <v>0</v>
      </c>
      <c r="BV75" s="675">
        <v>0</v>
      </c>
      <c r="BW75" s="675">
        <v>0</v>
      </c>
      <c r="BX75" s="675">
        <v>0</v>
      </c>
      <c r="BY75" s="675">
        <v>0</v>
      </c>
      <c r="BZ75" s="675">
        <v>0</v>
      </c>
      <c r="CA75" s="675">
        <v>0</v>
      </c>
      <c r="CB75" s="675">
        <v>0</v>
      </c>
      <c r="CC75" s="675">
        <v>0</v>
      </c>
      <c r="CD75" s="675">
        <v>0</v>
      </c>
      <c r="CE75" s="675">
        <v>0</v>
      </c>
      <c r="CF75" s="675">
        <v>0</v>
      </c>
      <c r="CG75" s="675">
        <v>0</v>
      </c>
      <c r="CH75" s="675">
        <v>143056</v>
      </c>
      <c r="CI75" s="675">
        <v>0</v>
      </c>
      <c r="CJ75" s="675">
        <v>4</v>
      </c>
      <c r="CK75" s="675">
        <v>0</v>
      </c>
      <c r="CL75" s="675">
        <v>0</v>
      </c>
      <c r="CM75" s="675">
        <v>0</v>
      </c>
      <c r="CN75" s="675">
        <v>0</v>
      </c>
      <c r="CO75" s="675">
        <v>0</v>
      </c>
      <c r="CP75" s="675">
        <v>0</v>
      </c>
      <c r="CQ75" s="675">
        <v>0</v>
      </c>
      <c r="CR75" s="675">
        <v>686.37599999999998</v>
      </c>
      <c r="CS75" s="675">
        <v>0</v>
      </c>
      <c r="CT75" s="675">
        <v>0</v>
      </c>
      <c r="CU75" s="675">
        <v>0</v>
      </c>
      <c r="CV75" s="675">
        <v>0</v>
      </c>
      <c r="CW75" s="675">
        <v>0</v>
      </c>
      <c r="CX75" s="675">
        <v>0</v>
      </c>
      <c r="CY75" s="675">
        <v>0</v>
      </c>
      <c r="CZ75" s="675">
        <v>0</v>
      </c>
      <c r="DA75" s="675">
        <v>1</v>
      </c>
      <c r="DB75" s="675">
        <v>4493763</v>
      </c>
      <c r="DC75" s="675">
        <v>0</v>
      </c>
      <c r="DD75" s="675">
        <v>0</v>
      </c>
      <c r="DE75" s="675">
        <v>178269</v>
      </c>
      <c r="DF75" s="675">
        <v>178269</v>
      </c>
      <c r="DG75" s="675">
        <v>136</v>
      </c>
      <c r="DH75" s="675">
        <v>0</v>
      </c>
      <c r="DI75" s="675">
        <v>0</v>
      </c>
      <c r="DJ75" s="675">
        <v>0</v>
      </c>
      <c r="DK75" s="675">
        <v>5392</v>
      </c>
      <c r="DL75" s="675">
        <v>0</v>
      </c>
      <c r="DM75" s="675">
        <v>200913</v>
      </c>
      <c r="DN75" s="675">
        <v>0</v>
      </c>
      <c r="DO75" s="675">
        <v>0</v>
      </c>
      <c r="DP75" s="675">
        <v>0</v>
      </c>
      <c r="DQ75" s="675">
        <v>0</v>
      </c>
      <c r="DR75" s="675">
        <v>0</v>
      </c>
      <c r="DS75" s="675">
        <v>0</v>
      </c>
      <c r="DT75" s="675">
        <v>0</v>
      </c>
      <c r="DU75" s="675">
        <v>0</v>
      </c>
      <c r="DV75" s="675">
        <v>0</v>
      </c>
      <c r="DW75" s="675">
        <v>0</v>
      </c>
      <c r="DX75" s="675">
        <v>0</v>
      </c>
      <c r="DY75" s="675">
        <v>0</v>
      </c>
      <c r="DZ75" s="675">
        <v>0</v>
      </c>
      <c r="EA75" s="675">
        <v>0</v>
      </c>
      <c r="EB75" s="675">
        <v>0</v>
      </c>
      <c r="EC75" s="675">
        <v>24.1</v>
      </c>
      <c r="ED75" s="675">
        <v>173747</v>
      </c>
      <c r="EE75" s="675">
        <v>0</v>
      </c>
      <c r="EF75" s="675">
        <v>0</v>
      </c>
      <c r="EG75" s="675">
        <v>0</v>
      </c>
      <c r="EH75" s="675">
        <v>27166</v>
      </c>
      <c r="EI75" s="675">
        <v>0</v>
      </c>
      <c r="EJ75" s="675">
        <v>0</v>
      </c>
      <c r="EK75" s="675">
        <v>0</v>
      </c>
      <c r="EL75" s="675">
        <v>0</v>
      </c>
      <c r="EM75" s="675">
        <v>0</v>
      </c>
      <c r="EN75" s="675">
        <v>0.82900000000000007</v>
      </c>
      <c r="EO75" s="675">
        <v>0</v>
      </c>
      <c r="EP75" s="675">
        <v>0</v>
      </c>
      <c r="EQ75" s="675">
        <v>0.82900000000000007</v>
      </c>
      <c r="ER75" s="675">
        <v>0</v>
      </c>
      <c r="ES75" s="675">
        <v>4.1450000000000005</v>
      </c>
      <c r="ET75" s="675">
        <v>0</v>
      </c>
      <c r="EU75" s="675">
        <v>261549</v>
      </c>
      <c r="EV75" s="675">
        <v>0</v>
      </c>
      <c r="EW75" s="675">
        <v>0</v>
      </c>
      <c r="EX75" s="675">
        <v>0</v>
      </c>
      <c r="EY75" s="675">
        <v>0</v>
      </c>
      <c r="EZ75" s="675">
        <v>5042317</v>
      </c>
      <c r="FA75" s="675">
        <v>0</v>
      </c>
      <c r="FB75" s="675">
        <v>5303866</v>
      </c>
      <c r="FC75" s="675">
        <v>0.97327799999999998</v>
      </c>
      <c r="FD75" s="675">
        <v>0</v>
      </c>
      <c r="FE75" s="675">
        <v>779654</v>
      </c>
      <c r="FF75" s="675">
        <v>175694</v>
      </c>
      <c r="FG75" s="675">
        <v>6.1239999999999996E-2</v>
      </c>
      <c r="FH75" s="675">
        <v>5.4803999999999999E-2</v>
      </c>
      <c r="FI75" s="675">
        <v>0</v>
      </c>
      <c r="FJ75" s="675">
        <v>0</v>
      </c>
      <c r="FK75" s="675">
        <v>1003.3950000000001</v>
      </c>
      <c r="FL75" s="675">
        <v>6402270</v>
      </c>
      <c r="FM75" s="675">
        <v>0</v>
      </c>
      <c r="FN75" s="675">
        <v>0</v>
      </c>
      <c r="FO75" s="675">
        <v>0</v>
      </c>
      <c r="FP75" s="675">
        <v>0</v>
      </c>
      <c r="FQ75" s="675">
        <v>0</v>
      </c>
      <c r="FR75" s="675">
        <v>0</v>
      </c>
      <c r="FS75" s="675">
        <v>0</v>
      </c>
      <c r="FT75" s="675">
        <v>0</v>
      </c>
      <c r="FU75" s="675">
        <v>0</v>
      </c>
      <c r="FV75" s="675">
        <v>0</v>
      </c>
      <c r="FW75" s="675">
        <v>0</v>
      </c>
      <c r="FX75" s="675">
        <v>0</v>
      </c>
      <c r="FY75" s="675">
        <v>0</v>
      </c>
      <c r="FZ75" s="675">
        <v>137</v>
      </c>
      <c r="GA75" s="675">
        <v>2.7470000000000003</v>
      </c>
      <c r="GB75" s="675">
        <v>348780</v>
      </c>
      <c r="GC75" s="675">
        <v>348780</v>
      </c>
      <c r="GD75" s="675">
        <v>39.404000000000003</v>
      </c>
      <c r="GE75" s="675">
        <v>0</v>
      </c>
      <c r="GF75" s="675">
        <v>0</v>
      </c>
      <c r="GG75" s="675">
        <v>0</v>
      </c>
      <c r="GH75" s="675">
        <v>0</v>
      </c>
      <c r="GI75" s="675">
        <v>0</v>
      </c>
      <c r="GJ75" s="675">
        <v>0</v>
      </c>
      <c r="GK75" s="675">
        <v>0</v>
      </c>
      <c r="GL75" s="675">
        <v>0</v>
      </c>
      <c r="GM75" s="675">
        <v>0</v>
      </c>
      <c r="GN75" s="675">
        <v>0</v>
      </c>
      <c r="GO75" s="675">
        <v>0</v>
      </c>
      <c r="GP75" s="675">
        <v>6259214</v>
      </c>
      <c r="GQ75" s="675">
        <v>6259214</v>
      </c>
      <c r="GR75" s="675">
        <v>0</v>
      </c>
      <c r="GS75" s="675">
        <v>0</v>
      </c>
      <c r="GT75" s="675">
        <v>0</v>
      </c>
      <c r="GU75" s="675">
        <v>0</v>
      </c>
      <c r="GV75" s="675">
        <v>0</v>
      </c>
      <c r="GW75" s="675">
        <v>0</v>
      </c>
      <c r="GX75" s="675">
        <v>0</v>
      </c>
      <c r="GY75" s="675">
        <v>0</v>
      </c>
      <c r="GZ75" s="675">
        <v>0</v>
      </c>
      <c r="HA75" s="675">
        <v>0</v>
      </c>
      <c r="HB75" s="675">
        <v>260786259</v>
      </c>
      <c r="HC75" s="675">
        <v>5.0923999999999997E-2</v>
      </c>
      <c r="HD75" s="675">
        <v>143056</v>
      </c>
      <c r="HE75" s="675">
        <v>0</v>
      </c>
      <c r="HF75" s="675">
        <v>0</v>
      </c>
      <c r="HG75" s="675">
        <v>0</v>
      </c>
      <c r="HH75" s="675">
        <v>0</v>
      </c>
      <c r="HI75" s="675">
        <v>0</v>
      </c>
      <c r="HJ75" s="675">
        <v>0</v>
      </c>
      <c r="HK75" s="675">
        <v>0</v>
      </c>
      <c r="HL75" s="675">
        <v>0</v>
      </c>
      <c r="HM75" s="675">
        <v>0</v>
      </c>
      <c r="HN75" s="675">
        <v>0</v>
      </c>
      <c r="HO75" s="675">
        <v>0</v>
      </c>
      <c r="HP75" s="675">
        <v>0</v>
      </c>
      <c r="HQ75" s="675">
        <v>0</v>
      </c>
      <c r="HR75" s="675">
        <v>0</v>
      </c>
      <c r="HS75" s="675">
        <v>0</v>
      </c>
      <c r="HT75" s="675">
        <v>0</v>
      </c>
      <c r="HU75" s="675">
        <v>0</v>
      </c>
      <c r="HV75" s="675">
        <v>0</v>
      </c>
      <c r="HW75" s="675">
        <v>0</v>
      </c>
      <c r="HX75" s="675">
        <v>0</v>
      </c>
      <c r="HY75" s="675">
        <v>0</v>
      </c>
      <c r="HZ75" s="675">
        <v>0</v>
      </c>
      <c r="IA75" s="675">
        <v>0</v>
      </c>
      <c r="IB75" s="675">
        <v>0</v>
      </c>
      <c r="IC75" s="675">
        <v>0</v>
      </c>
      <c r="ID75" s="675">
        <v>0</v>
      </c>
      <c r="IE75" s="675">
        <v>0</v>
      </c>
      <c r="IF75" s="675">
        <v>0</v>
      </c>
      <c r="IG75" s="675">
        <v>0</v>
      </c>
      <c r="IH75" s="675">
        <v>0</v>
      </c>
      <c r="II75" s="675">
        <v>0</v>
      </c>
      <c r="IJ75" s="675">
        <v>0</v>
      </c>
      <c r="IK75" s="675">
        <v>0</v>
      </c>
      <c r="IL75" s="675">
        <v>0</v>
      </c>
      <c r="IM75" s="675">
        <v>0</v>
      </c>
      <c r="IN75" s="675">
        <v>0</v>
      </c>
      <c r="IO75" s="675">
        <v>0</v>
      </c>
      <c r="IP75" s="675">
        <v>0</v>
      </c>
      <c r="IQ75" s="675">
        <v>0</v>
      </c>
      <c r="IR75" s="675">
        <v>0</v>
      </c>
      <c r="IS75" s="675">
        <v>0</v>
      </c>
      <c r="IT75" s="675">
        <v>0</v>
      </c>
      <c r="IU75" s="675">
        <v>0</v>
      </c>
      <c r="IV75" s="675">
        <v>0</v>
      </c>
      <c r="IW75" s="675">
        <v>0</v>
      </c>
      <c r="IX75" s="675">
        <v>0</v>
      </c>
      <c r="IY75" s="675">
        <v>0</v>
      </c>
      <c r="IZ75" s="675">
        <v>0</v>
      </c>
      <c r="JA75" s="675">
        <v>0</v>
      </c>
      <c r="JB75" s="675">
        <v>0</v>
      </c>
      <c r="JC75" s="675">
        <v>0</v>
      </c>
      <c r="JD75" s="675">
        <v>0</v>
      </c>
      <c r="JE75" s="675">
        <v>0</v>
      </c>
      <c r="JF75" s="675">
        <v>0</v>
      </c>
      <c r="JG75" s="675">
        <v>0</v>
      </c>
      <c r="JH75" s="675">
        <v>0</v>
      </c>
      <c r="JI75" s="675">
        <v>0</v>
      </c>
      <c r="JJ75" s="675">
        <v>0</v>
      </c>
      <c r="JK75" s="675">
        <v>0</v>
      </c>
      <c r="JL75" s="675">
        <v>0</v>
      </c>
      <c r="JM75" s="675">
        <v>0</v>
      </c>
      <c r="JN75" s="675">
        <v>32469</v>
      </c>
      <c r="JO75" s="675">
        <v>0</v>
      </c>
      <c r="JP75" s="675">
        <v>0</v>
      </c>
      <c r="JQ75" s="675">
        <v>0</v>
      </c>
      <c r="JR75" s="675">
        <v>0</v>
      </c>
      <c r="JS75" s="675">
        <v>0</v>
      </c>
      <c r="JT75" s="675">
        <v>0</v>
      </c>
      <c r="JU75" s="675">
        <v>0</v>
      </c>
      <c r="JV75" s="675">
        <v>0</v>
      </c>
      <c r="JW75" s="675">
        <v>0</v>
      </c>
      <c r="JX75" s="675">
        <v>0</v>
      </c>
      <c r="JY75" s="675">
        <v>0</v>
      </c>
      <c r="JZ75" s="675">
        <v>0</v>
      </c>
      <c r="KA75" s="675">
        <v>0</v>
      </c>
      <c r="KB75" s="675">
        <v>0</v>
      </c>
      <c r="KC75" s="675">
        <v>0</v>
      </c>
      <c r="KD75" s="675">
        <v>0</v>
      </c>
      <c r="KE75" s="675">
        <v>0</v>
      </c>
      <c r="KF75" s="675">
        <v>0</v>
      </c>
    </row>
    <row r="76" spans="1:292" ht="13" x14ac:dyDescent="0.3">
      <c r="A76" s="675">
        <v>70801</v>
      </c>
      <c r="B76" s="675">
        <v>32570</v>
      </c>
      <c r="C76" s="675">
        <v>35</v>
      </c>
      <c r="D76" s="675">
        <v>2022</v>
      </c>
      <c r="E76" s="675">
        <v>5392</v>
      </c>
      <c r="F76" s="675">
        <v>0</v>
      </c>
      <c r="G76" s="675">
        <v>2376.0170000000003</v>
      </c>
      <c r="H76" s="675">
        <v>2236.8240000000001</v>
      </c>
      <c r="I76" s="675">
        <v>2236.8240000000001</v>
      </c>
      <c r="J76" s="675">
        <v>2376.0170000000003</v>
      </c>
      <c r="K76" s="675">
        <v>0</v>
      </c>
      <c r="L76" s="675">
        <v>6554</v>
      </c>
      <c r="M76" s="675">
        <v>0</v>
      </c>
      <c r="N76" s="675">
        <v>0</v>
      </c>
      <c r="O76" s="675">
        <v>0</v>
      </c>
      <c r="P76" s="675">
        <v>2360.5080000000003</v>
      </c>
      <c r="Q76" s="675">
        <v>0</v>
      </c>
      <c r="R76" s="676">
        <v>754685</v>
      </c>
      <c r="S76" s="675">
        <v>319.71300000000002</v>
      </c>
      <c r="T76" s="675">
        <v>0</v>
      </c>
      <c r="U76" s="676">
        <v>754685</v>
      </c>
      <c r="V76" s="676">
        <v>1104.6580000000001</v>
      </c>
      <c r="W76" s="676">
        <v>723993</v>
      </c>
      <c r="X76" s="676">
        <v>723993</v>
      </c>
      <c r="Y76" s="675">
        <v>0</v>
      </c>
      <c r="Z76" s="675">
        <v>0</v>
      </c>
      <c r="AA76" s="675">
        <v>1</v>
      </c>
      <c r="AB76" s="675">
        <v>1</v>
      </c>
      <c r="AC76" s="675">
        <v>0</v>
      </c>
      <c r="AD76" s="675" t="s">
        <v>316</v>
      </c>
      <c r="AE76" s="675">
        <v>0</v>
      </c>
      <c r="AF76" s="675">
        <v>0</v>
      </c>
      <c r="AG76" s="675">
        <v>0</v>
      </c>
      <c r="AH76" s="675">
        <v>0</v>
      </c>
      <c r="AI76" s="675">
        <v>0</v>
      </c>
      <c r="AJ76" s="675">
        <v>5104</v>
      </c>
      <c r="AK76" s="675" t="s">
        <v>671</v>
      </c>
      <c r="AL76" s="675" t="s">
        <v>50</v>
      </c>
      <c r="AM76" s="675">
        <v>0</v>
      </c>
      <c r="AN76" s="675">
        <v>0</v>
      </c>
      <c r="AO76" s="675">
        <v>0</v>
      </c>
      <c r="AP76" s="675">
        <v>0</v>
      </c>
      <c r="AQ76" s="675">
        <v>0</v>
      </c>
      <c r="AR76" s="675">
        <v>0</v>
      </c>
      <c r="AS76" s="675">
        <v>0</v>
      </c>
      <c r="AT76" s="675">
        <v>0</v>
      </c>
      <c r="AU76" s="675">
        <v>0</v>
      </c>
      <c r="AV76" s="675">
        <v>1272110</v>
      </c>
      <c r="AW76" s="675">
        <v>24738742</v>
      </c>
      <c r="AX76" s="675">
        <v>24041245</v>
      </c>
      <c r="AY76" s="675">
        <v>26795816</v>
      </c>
      <c r="AZ76" s="675">
        <v>907526</v>
      </c>
      <c r="BA76" s="676">
        <v>150.083</v>
      </c>
      <c r="BB76" s="675">
        <v>61154</v>
      </c>
      <c r="BC76" s="675">
        <v>61154</v>
      </c>
      <c r="BD76" s="675">
        <v>77.756</v>
      </c>
      <c r="BE76" s="675">
        <v>0</v>
      </c>
      <c r="BF76" s="675">
        <v>20383893</v>
      </c>
      <c r="BG76" s="675">
        <v>0</v>
      </c>
      <c r="BH76" s="676">
        <v>555.78700000000003</v>
      </c>
      <c r="BI76" s="676">
        <v>152841</v>
      </c>
      <c r="BJ76" s="675">
        <v>12</v>
      </c>
      <c r="BK76" s="675">
        <v>0</v>
      </c>
      <c r="BL76" s="675">
        <v>0</v>
      </c>
      <c r="BM76" s="675">
        <v>0</v>
      </c>
      <c r="BN76" s="675">
        <v>0</v>
      </c>
      <c r="BO76" s="675">
        <v>0</v>
      </c>
      <c r="BP76" s="675">
        <v>0</v>
      </c>
      <c r="BQ76" s="675">
        <v>5392</v>
      </c>
      <c r="BR76" s="675">
        <v>1</v>
      </c>
      <c r="BS76" s="675">
        <v>0</v>
      </c>
      <c r="BT76" s="675">
        <v>0</v>
      </c>
      <c r="BU76" s="675">
        <v>0</v>
      </c>
      <c r="BV76" s="675">
        <v>0</v>
      </c>
      <c r="BW76" s="675">
        <v>0</v>
      </c>
      <c r="BX76" s="675">
        <v>0</v>
      </c>
      <c r="BY76" s="675">
        <v>0</v>
      </c>
      <c r="BZ76" s="675">
        <v>0</v>
      </c>
      <c r="CA76" s="675">
        <v>0</v>
      </c>
      <c r="CB76" s="675">
        <v>0</v>
      </c>
      <c r="CC76" s="675">
        <v>0</v>
      </c>
      <c r="CD76" s="675">
        <v>0</v>
      </c>
      <c r="CE76" s="675">
        <v>0</v>
      </c>
      <c r="CF76" s="675">
        <v>0</v>
      </c>
      <c r="CG76" s="675">
        <v>0</v>
      </c>
      <c r="CH76" s="676">
        <v>544656</v>
      </c>
      <c r="CI76" s="675">
        <v>0</v>
      </c>
      <c r="CJ76" s="675">
        <v>4</v>
      </c>
      <c r="CK76" s="675">
        <v>0</v>
      </c>
      <c r="CL76" s="675">
        <v>0</v>
      </c>
      <c r="CM76" s="675">
        <v>0</v>
      </c>
      <c r="CN76" s="675">
        <v>0</v>
      </c>
      <c r="CO76" s="675">
        <v>0</v>
      </c>
      <c r="CP76" s="675">
        <v>0</v>
      </c>
      <c r="CQ76" s="675">
        <v>5.4170000000000007</v>
      </c>
      <c r="CR76" s="675">
        <v>2360.5080000000003</v>
      </c>
      <c r="CS76" s="675">
        <v>0</v>
      </c>
      <c r="CT76" s="675">
        <v>0</v>
      </c>
      <c r="CU76" s="675">
        <v>0</v>
      </c>
      <c r="CV76" s="675">
        <v>0</v>
      </c>
      <c r="CW76" s="675">
        <v>0</v>
      </c>
      <c r="CX76" s="675">
        <v>0</v>
      </c>
      <c r="CY76" s="675">
        <v>0</v>
      </c>
      <c r="CZ76" s="675">
        <v>0</v>
      </c>
      <c r="DA76" s="675">
        <v>1</v>
      </c>
      <c r="DB76" s="675">
        <v>14660144</v>
      </c>
      <c r="DC76" s="675">
        <v>0</v>
      </c>
      <c r="DD76" s="675">
        <v>0</v>
      </c>
      <c r="DE76" s="675">
        <v>3435384</v>
      </c>
      <c r="DF76" s="675">
        <v>3435384</v>
      </c>
      <c r="DG76" s="675">
        <v>2620.83</v>
      </c>
      <c r="DH76" s="675">
        <v>0</v>
      </c>
      <c r="DI76" s="675">
        <v>0</v>
      </c>
      <c r="DJ76" s="675">
        <v>0</v>
      </c>
      <c r="DK76" s="675">
        <v>5392</v>
      </c>
      <c r="DL76" s="675">
        <v>0</v>
      </c>
      <c r="DM76" s="675">
        <v>1240908</v>
      </c>
      <c r="DN76" s="675">
        <v>0</v>
      </c>
      <c r="DO76" s="675">
        <v>0</v>
      </c>
      <c r="DP76" s="675">
        <v>0</v>
      </c>
      <c r="DQ76" s="675">
        <v>0</v>
      </c>
      <c r="DR76" s="675">
        <v>0</v>
      </c>
      <c r="DS76" s="675">
        <v>0</v>
      </c>
      <c r="DT76" s="675">
        <v>0</v>
      </c>
      <c r="DU76" s="675">
        <v>0</v>
      </c>
      <c r="DV76" s="675">
        <v>0</v>
      </c>
      <c r="DW76" s="675">
        <v>0</v>
      </c>
      <c r="DX76" s="675">
        <v>0</v>
      </c>
      <c r="DY76" s="675">
        <v>0</v>
      </c>
      <c r="DZ76" s="675">
        <v>0</v>
      </c>
      <c r="EA76" s="675">
        <v>0</v>
      </c>
      <c r="EB76" s="675">
        <v>0</v>
      </c>
      <c r="EC76" s="675">
        <v>41.389000000000003</v>
      </c>
      <c r="ED76" s="675">
        <v>298390</v>
      </c>
      <c r="EE76" s="675">
        <v>0</v>
      </c>
      <c r="EF76" s="675">
        <v>0</v>
      </c>
      <c r="EG76" s="675">
        <v>0</v>
      </c>
      <c r="EH76" s="675">
        <v>942518</v>
      </c>
      <c r="EI76" s="675">
        <v>0</v>
      </c>
      <c r="EJ76" s="675">
        <v>0</v>
      </c>
      <c r="EK76" s="675">
        <v>44.091000000000001</v>
      </c>
      <c r="EL76" s="675">
        <v>0</v>
      </c>
      <c r="EM76" s="675">
        <v>0</v>
      </c>
      <c r="EN76" s="675">
        <v>2.3069999999999999</v>
      </c>
      <c r="EO76" s="675">
        <v>0</v>
      </c>
      <c r="EP76" s="675">
        <v>0</v>
      </c>
      <c r="EQ76" s="675">
        <v>46.398000000000003</v>
      </c>
      <c r="ER76" s="675">
        <v>0</v>
      </c>
      <c r="ES76" s="675">
        <v>143.80799999999999</v>
      </c>
      <c r="ET76" s="676">
        <v>76396</v>
      </c>
      <c r="EU76" s="675">
        <v>907526</v>
      </c>
      <c r="EV76" s="675">
        <v>0</v>
      </c>
      <c r="EW76" s="675">
        <v>0</v>
      </c>
      <c r="EX76" s="675">
        <v>0</v>
      </c>
      <c r="EY76" s="675">
        <v>0</v>
      </c>
      <c r="EZ76" s="675">
        <v>20238640</v>
      </c>
      <c r="FA76" s="675">
        <v>0</v>
      </c>
      <c r="FB76" s="676">
        <v>21146166</v>
      </c>
      <c r="FC76" s="675">
        <v>0.97327799999999998</v>
      </c>
      <c r="FD76" s="675">
        <v>0</v>
      </c>
      <c r="FE76" s="675">
        <v>3103284</v>
      </c>
      <c r="FF76" s="675">
        <v>699321</v>
      </c>
      <c r="FG76" s="675">
        <v>6.1239999999999996E-2</v>
      </c>
      <c r="FH76" s="675">
        <v>5.4803999999999999E-2</v>
      </c>
      <c r="FI76" s="675">
        <v>0</v>
      </c>
      <c r="FJ76" s="675">
        <v>0</v>
      </c>
      <c r="FK76" s="675">
        <v>3993.8470000000002</v>
      </c>
      <c r="FL76" s="675">
        <v>25493427</v>
      </c>
      <c r="FM76" s="675">
        <v>0</v>
      </c>
      <c r="FN76" s="675">
        <v>0</v>
      </c>
      <c r="FO76" s="675">
        <v>27212</v>
      </c>
      <c r="FP76" s="675">
        <v>0</v>
      </c>
      <c r="FQ76" s="675">
        <v>49768</v>
      </c>
      <c r="FR76" s="675">
        <v>27212</v>
      </c>
      <c r="FS76" s="675">
        <v>22556</v>
      </c>
      <c r="FT76" s="675">
        <v>0</v>
      </c>
      <c r="FU76" s="675">
        <v>0</v>
      </c>
      <c r="FV76" s="675">
        <v>0</v>
      </c>
      <c r="FW76" s="675">
        <v>0</v>
      </c>
      <c r="FX76" s="675">
        <v>0</v>
      </c>
      <c r="FY76" s="675">
        <v>0</v>
      </c>
      <c r="FZ76" s="675">
        <v>933</v>
      </c>
      <c r="GA76" s="675">
        <v>18.663</v>
      </c>
      <c r="GB76" s="676">
        <v>821974</v>
      </c>
      <c r="GC76" s="676">
        <v>821974</v>
      </c>
      <c r="GD76" s="676">
        <v>92.795000000000002</v>
      </c>
      <c r="GE76" s="675">
        <v>0</v>
      </c>
      <c r="GF76" s="675">
        <v>0</v>
      </c>
      <c r="GG76" s="675">
        <v>0</v>
      </c>
      <c r="GH76" s="675">
        <v>0</v>
      </c>
      <c r="GI76" s="675">
        <v>0</v>
      </c>
      <c r="GJ76" s="675">
        <v>0</v>
      </c>
      <c r="GK76" s="675">
        <v>5151</v>
      </c>
      <c r="GL76" s="675">
        <v>7938</v>
      </c>
      <c r="GM76" s="675">
        <v>0</v>
      </c>
      <c r="GN76" s="675">
        <v>0</v>
      </c>
      <c r="GO76" s="675">
        <v>0</v>
      </c>
      <c r="GP76" s="675">
        <v>24948771</v>
      </c>
      <c r="GQ76" s="675">
        <v>24948771</v>
      </c>
      <c r="GR76" s="675">
        <v>0</v>
      </c>
      <c r="GS76" s="675">
        <v>0</v>
      </c>
      <c r="GT76" s="675">
        <v>0</v>
      </c>
      <c r="GU76" s="675">
        <v>0</v>
      </c>
      <c r="GV76" s="675">
        <v>0</v>
      </c>
      <c r="GW76" s="675">
        <v>0</v>
      </c>
      <c r="GX76" s="675">
        <v>0</v>
      </c>
      <c r="GY76" s="675">
        <v>0</v>
      </c>
      <c r="GZ76" s="675">
        <v>0</v>
      </c>
      <c r="HA76" s="675">
        <v>0</v>
      </c>
      <c r="HB76" s="675">
        <v>260786259</v>
      </c>
      <c r="HC76" s="675">
        <v>5.0923999999999997E-2</v>
      </c>
      <c r="HD76" s="676">
        <v>468260</v>
      </c>
      <c r="HE76" s="675">
        <v>0</v>
      </c>
      <c r="HF76" s="675">
        <v>0</v>
      </c>
      <c r="HG76" s="675">
        <v>0</v>
      </c>
      <c r="HH76" s="675">
        <v>0</v>
      </c>
      <c r="HI76" s="675">
        <v>0</v>
      </c>
      <c r="HJ76" s="675">
        <v>0</v>
      </c>
      <c r="HK76" s="675">
        <v>0</v>
      </c>
      <c r="HL76" s="675">
        <v>0</v>
      </c>
      <c r="HM76" s="675">
        <v>0</v>
      </c>
      <c r="HN76" s="675">
        <v>0</v>
      </c>
      <c r="HO76" s="675">
        <v>0</v>
      </c>
      <c r="HP76" s="675">
        <v>0</v>
      </c>
      <c r="HQ76" s="675">
        <v>0</v>
      </c>
      <c r="HR76" s="675">
        <v>0</v>
      </c>
      <c r="HS76" s="675">
        <v>0</v>
      </c>
      <c r="HT76" s="675">
        <v>0</v>
      </c>
      <c r="HU76" s="675">
        <v>0</v>
      </c>
      <c r="HV76" s="675">
        <v>0</v>
      </c>
      <c r="HW76" s="675">
        <v>0</v>
      </c>
      <c r="HX76" s="675">
        <v>0</v>
      </c>
      <c r="HY76" s="675">
        <v>0</v>
      </c>
      <c r="HZ76" s="675">
        <v>0</v>
      </c>
      <c r="IA76" s="675">
        <v>0</v>
      </c>
      <c r="IB76" s="675">
        <v>0</v>
      </c>
      <c r="IC76" s="675">
        <v>0</v>
      </c>
      <c r="ID76" s="675">
        <v>0</v>
      </c>
      <c r="IE76" s="675">
        <v>453.50800000000004</v>
      </c>
      <c r="IF76" s="675">
        <v>0</v>
      </c>
      <c r="IG76" s="675">
        <v>0</v>
      </c>
      <c r="IH76" s="675">
        <v>0</v>
      </c>
      <c r="II76" s="675">
        <v>0</v>
      </c>
      <c r="IJ76" s="675">
        <v>0</v>
      </c>
      <c r="IK76" s="675">
        <v>0</v>
      </c>
      <c r="IL76" s="675">
        <v>0</v>
      </c>
      <c r="IM76" s="675">
        <v>0</v>
      </c>
      <c r="IN76" s="675">
        <v>0</v>
      </c>
      <c r="IO76" s="675">
        <v>0</v>
      </c>
      <c r="IP76" s="675">
        <v>0</v>
      </c>
      <c r="IQ76" s="675">
        <v>0</v>
      </c>
      <c r="IR76" s="675">
        <v>0</v>
      </c>
      <c r="IS76" s="675">
        <v>0</v>
      </c>
      <c r="IT76" s="675">
        <v>0</v>
      </c>
      <c r="IU76" s="675">
        <v>0</v>
      </c>
      <c r="IV76" s="675">
        <v>0</v>
      </c>
      <c r="IW76" s="675">
        <v>0</v>
      </c>
      <c r="IX76" s="675">
        <v>0</v>
      </c>
      <c r="IY76" s="675">
        <v>0</v>
      </c>
      <c r="IZ76" s="675">
        <v>0</v>
      </c>
      <c r="JA76" s="675">
        <v>0</v>
      </c>
      <c r="JB76" s="675">
        <v>0</v>
      </c>
      <c r="JC76" s="675">
        <v>0</v>
      </c>
      <c r="JD76" s="675">
        <v>0</v>
      </c>
      <c r="JE76" s="675">
        <v>0</v>
      </c>
      <c r="JF76" s="675">
        <v>0</v>
      </c>
      <c r="JG76" s="675">
        <v>0</v>
      </c>
      <c r="JH76" s="675">
        <v>0</v>
      </c>
      <c r="JI76" s="675">
        <v>0</v>
      </c>
      <c r="JJ76" s="675">
        <v>0</v>
      </c>
      <c r="JK76" s="675">
        <v>0</v>
      </c>
      <c r="JL76" s="675">
        <v>0</v>
      </c>
      <c r="JM76" s="675">
        <v>0</v>
      </c>
      <c r="JN76" s="675">
        <v>32469</v>
      </c>
      <c r="JO76" s="675">
        <v>0</v>
      </c>
      <c r="JP76" s="675">
        <v>0</v>
      </c>
      <c r="JQ76" s="675">
        <v>0</v>
      </c>
      <c r="JR76" s="675">
        <v>0</v>
      </c>
      <c r="JS76" s="675">
        <v>0</v>
      </c>
      <c r="JT76" s="675">
        <v>0</v>
      </c>
      <c r="JU76" s="675">
        <v>0</v>
      </c>
      <c r="JV76" s="675">
        <v>0</v>
      </c>
      <c r="JW76" s="675">
        <v>0</v>
      </c>
      <c r="JX76" s="675">
        <v>0</v>
      </c>
      <c r="JY76" s="675">
        <v>0</v>
      </c>
      <c r="JZ76" s="675">
        <v>0</v>
      </c>
      <c r="KA76" s="675">
        <v>0</v>
      </c>
      <c r="KB76" s="675">
        <v>0</v>
      </c>
      <c r="KC76" s="675">
        <v>0</v>
      </c>
      <c r="KD76" s="675">
        <v>0</v>
      </c>
      <c r="KE76" s="675">
        <v>0</v>
      </c>
      <c r="KF76" s="675">
        <v>0</v>
      </c>
    </row>
    <row r="77" spans="1:292" ht="13" x14ac:dyDescent="0.3">
      <c r="A77" s="675">
        <v>71801</v>
      </c>
      <c r="B77" s="675">
        <v>32570</v>
      </c>
      <c r="C77" s="675">
        <v>35</v>
      </c>
      <c r="D77" s="675">
        <v>2022</v>
      </c>
      <c r="E77" s="675">
        <v>5392</v>
      </c>
      <c r="F77" s="675">
        <v>0</v>
      </c>
      <c r="G77" s="675">
        <v>986.88300000000004</v>
      </c>
      <c r="H77" s="675">
        <v>934.71199999999999</v>
      </c>
      <c r="I77" s="675">
        <v>934.71199999999999</v>
      </c>
      <c r="J77" s="675">
        <v>986.88300000000004</v>
      </c>
      <c r="K77" s="675">
        <v>0</v>
      </c>
      <c r="L77" s="675">
        <v>6554</v>
      </c>
      <c r="M77" s="675">
        <v>0</v>
      </c>
      <c r="N77" s="675">
        <v>0</v>
      </c>
      <c r="O77" s="675">
        <v>0</v>
      </c>
      <c r="P77" s="675">
        <v>828.41399999999999</v>
      </c>
      <c r="Q77" s="675">
        <v>0</v>
      </c>
      <c r="R77" s="676">
        <v>264855</v>
      </c>
      <c r="S77" s="675">
        <v>319.71300000000002</v>
      </c>
      <c r="T77" s="675">
        <v>0</v>
      </c>
      <c r="U77" s="676">
        <v>264855</v>
      </c>
      <c r="V77" s="676">
        <v>247.619</v>
      </c>
      <c r="W77" s="676">
        <v>162289</v>
      </c>
      <c r="X77" s="676">
        <v>162289</v>
      </c>
      <c r="Y77" s="675">
        <v>0</v>
      </c>
      <c r="Z77" s="675">
        <v>0</v>
      </c>
      <c r="AA77" s="675">
        <v>1</v>
      </c>
      <c r="AB77" s="675">
        <v>1</v>
      </c>
      <c r="AC77" s="675">
        <v>0</v>
      </c>
      <c r="AD77" s="675" t="s">
        <v>316</v>
      </c>
      <c r="AE77" s="675">
        <v>0</v>
      </c>
      <c r="AF77" s="675">
        <v>0</v>
      </c>
      <c r="AG77" s="675">
        <v>0</v>
      </c>
      <c r="AH77" s="675">
        <v>0</v>
      </c>
      <c r="AI77" s="675">
        <v>0</v>
      </c>
      <c r="AJ77" s="675">
        <v>5104</v>
      </c>
      <c r="AK77" s="675" t="s">
        <v>671</v>
      </c>
      <c r="AL77" s="675" t="s">
        <v>85</v>
      </c>
      <c r="AM77" s="675">
        <v>0</v>
      </c>
      <c r="AN77" s="675">
        <v>0</v>
      </c>
      <c r="AO77" s="675">
        <v>0</v>
      </c>
      <c r="AP77" s="675">
        <v>0</v>
      </c>
      <c r="AQ77" s="675">
        <v>0</v>
      </c>
      <c r="AR77" s="675">
        <v>0</v>
      </c>
      <c r="AS77" s="675">
        <v>0</v>
      </c>
      <c r="AT77" s="675">
        <v>0</v>
      </c>
      <c r="AU77" s="675">
        <v>0</v>
      </c>
      <c r="AV77" s="675">
        <v>28545</v>
      </c>
      <c r="AW77" s="675">
        <v>9237329</v>
      </c>
      <c r="AX77" s="675">
        <v>8939643</v>
      </c>
      <c r="AY77" s="675">
        <v>9700994</v>
      </c>
      <c r="AZ77" s="675">
        <v>357298</v>
      </c>
      <c r="BA77" s="676">
        <v>21.5</v>
      </c>
      <c r="BB77" s="675">
        <v>0</v>
      </c>
      <c r="BC77" s="675">
        <v>0</v>
      </c>
      <c r="BD77" s="675">
        <v>0</v>
      </c>
      <c r="BE77" s="675">
        <v>0</v>
      </c>
      <c r="BF77" s="675">
        <v>7581923</v>
      </c>
      <c r="BG77" s="675">
        <v>0</v>
      </c>
      <c r="BH77" s="676">
        <v>179.38300000000001</v>
      </c>
      <c r="BI77" s="676">
        <v>49330</v>
      </c>
      <c r="BJ77" s="675">
        <v>12</v>
      </c>
      <c r="BK77" s="675">
        <v>0</v>
      </c>
      <c r="BL77" s="675">
        <v>0</v>
      </c>
      <c r="BM77" s="675">
        <v>0</v>
      </c>
      <c r="BN77" s="675">
        <v>0</v>
      </c>
      <c r="BO77" s="675">
        <v>0</v>
      </c>
      <c r="BP77" s="675">
        <v>0</v>
      </c>
      <c r="BQ77" s="675">
        <v>5392</v>
      </c>
      <c r="BR77" s="675">
        <v>1</v>
      </c>
      <c r="BS77" s="675">
        <v>0</v>
      </c>
      <c r="BT77" s="675">
        <v>0</v>
      </c>
      <c r="BU77" s="675">
        <v>0</v>
      </c>
      <c r="BV77" s="675">
        <v>0</v>
      </c>
      <c r="BW77" s="675">
        <v>0</v>
      </c>
      <c r="BX77" s="675">
        <v>0</v>
      </c>
      <c r="BY77" s="675">
        <v>0</v>
      </c>
      <c r="BZ77" s="675">
        <v>0</v>
      </c>
      <c r="CA77" s="675">
        <v>112.78400000000001</v>
      </c>
      <c r="CB77" s="675">
        <v>43113</v>
      </c>
      <c r="CC77" s="675">
        <v>0</v>
      </c>
      <c r="CD77" s="675">
        <v>0</v>
      </c>
      <c r="CE77" s="675">
        <v>0</v>
      </c>
      <c r="CF77" s="675">
        <v>0</v>
      </c>
      <c r="CG77" s="675">
        <v>0</v>
      </c>
      <c r="CH77" s="676">
        <v>205243</v>
      </c>
      <c r="CI77" s="675">
        <v>0</v>
      </c>
      <c r="CJ77" s="675">
        <v>4</v>
      </c>
      <c r="CK77" s="675">
        <v>0</v>
      </c>
      <c r="CL77" s="675">
        <v>0</v>
      </c>
      <c r="CM77" s="675">
        <v>0</v>
      </c>
      <c r="CN77" s="675">
        <v>0</v>
      </c>
      <c r="CO77" s="675">
        <v>0</v>
      </c>
      <c r="CP77" s="675">
        <v>0</v>
      </c>
      <c r="CQ77" s="675">
        <v>0</v>
      </c>
      <c r="CR77" s="675">
        <v>828.41399999999999</v>
      </c>
      <c r="CS77" s="675">
        <v>0</v>
      </c>
      <c r="CT77" s="675">
        <v>0</v>
      </c>
      <c r="CU77" s="675">
        <v>0</v>
      </c>
      <c r="CV77" s="675">
        <v>0</v>
      </c>
      <c r="CW77" s="675">
        <v>0</v>
      </c>
      <c r="CX77" s="675">
        <v>0</v>
      </c>
      <c r="CY77" s="675">
        <v>0</v>
      </c>
      <c r="CZ77" s="675">
        <v>0</v>
      </c>
      <c r="DA77" s="675">
        <v>1</v>
      </c>
      <c r="DB77" s="675">
        <v>6126102</v>
      </c>
      <c r="DC77" s="675">
        <v>0</v>
      </c>
      <c r="DD77" s="675">
        <v>0</v>
      </c>
      <c r="DE77" s="675">
        <v>722683</v>
      </c>
      <c r="DF77" s="675">
        <v>722683</v>
      </c>
      <c r="DG77" s="675">
        <v>551.33000000000004</v>
      </c>
      <c r="DH77" s="675">
        <v>0</v>
      </c>
      <c r="DI77" s="675">
        <v>0</v>
      </c>
      <c r="DJ77" s="675">
        <v>0</v>
      </c>
      <c r="DK77" s="675">
        <v>5392</v>
      </c>
      <c r="DL77" s="675">
        <v>0</v>
      </c>
      <c r="DM77" s="675">
        <v>332214</v>
      </c>
      <c r="DN77" s="675">
        <v>0</v>
      </c>
      <c r="DO77" s="675">
        <v>0</v>
      </c>
      <c r="DP77" s="675">
        <v>0</v>
      </c>
      <c r="DQ77" s="675">
        <v>0</v>
      </c>
      <c r="DR77" s="675">
        <v>0</v>
      </c>
      <c r="DS77" s="675">
        <v>0</v>
      </c>
      <c r="DT77" s="675">
        <v>0</v>
      </c>
      <c r="DU77" s="675">
        <v>0</v>
      </c>
      <c r="DV77" s="675">
        <v>0</v>
      </c>
      <c r="DW77" s="675">
        <v>0</v>
      </c>
      <c r="DX77" s="675">
        <v>0</v>
      </c>
      <c r="DY77" s="675">
        <v>0</v>
      </c>
      <c r="DZ77" s="675">
        <v>0</v>
      </c>
      <c r="EA77" s="675">
        <v>0</v>
      </c>
      <c r="EB77" s="675">
        <v>0</v>
      </c>
      <c r="EC77" s="675">
        <v>39.548000000000002</v>
      </c>
      <c r="ED77" s="675">
        <v>285117</v>
      </c>
      <c r="EE77" s="675">
        <v>0</v>
      </c>
      <c r="EF77" s="675">
        <v>0</v>
      </c>
      <c r="EG77" s="675">
        <v>0</v>
      </c>
      <c r="EH77" s="675">
        <v>47097</v>
      </c>
      <c r="EI77" s="675">
        <v>0</v>
      </c>
      <c r="EJ77" s="675">
        <v>0</v>
      </c>
      <c r="EK77" s="675">
        <v>0.76200000000000001</v>
      </c>
      <c r="EL77" s="675">
        <v>0</v>
      </c>
      <c r="EM77" s="675">
        <v>0</v>
      </c>
      <c r="EN77" s="675">
        <v>0.98</v>
      </c>
      <c r="EO77" s="675">
        <v>0</v>
      </c>
      <c r="EP77" s="675">
        <v>0</v>
      </c>
      <c r="EQ77" s="675">
        <v>1.742</v>
      </c>
      <c r="ER77" s="675">
        <v>0</v>
      </c>
      <c r="ES77" s="675">
        <v>7.1859999999999999</v>
      </c>
      <c r="ET77" s="676">
        <v>10750</v>
      </c>
      <c r="EU77" s="675">
        <v>357298</v>
      </c>
      <c r="EV77" s="675">
        <v>0</v>
      </c>
      <c r="EW77" s="675">
        <v>0</v>
      </c>
      <c r="EX77" s="675">
        <v>0</v>
      </c>
      <c r="EY77" s="675">
        <v>0</v>
      </c>
      <c r="EZ77" s="675">
        <v>7525239</v>
      </c>
      <c r="FA77" s="675">
        <v>0</v>
      </c>
      <c r="FB77" s="676">
        <v>7882537</v>
      </c>
      <c r="FC77" s="675">
        <v>0.97327799999999998</v>
      </c>
      <c r="FD77" s="675">
        <v>0</v>
      </c>
      <c r="FE77" s="675">
        <v>1154287</v>
      </c>
      <c r="FF77" s="675">
        <v>260117</v>
      </c>
      <c r="FG77" s="675">
        <v>6.1239999999999996E-2</v>
      </c>
      <c r="FH77" s="675">
        <v>5.4803999999999999E-2</v>
      </c>
      <c r="FI77" s="675">
        <v>0</v>
      </c>
      <c r="FJ77" s="675">
        <v>0</v>
      </c>
      <c r="FK77" s="675">
        <v>1485.538</v>
      </c>
      <c r="FL77" s="675">
        <v>9502184</v>
      </c>
      <c r="FM77" s="675">
        <v>0</v>
      </c>
      <c r="FN77" s="675">
        <v>0</v>
      </c>
      <c r="FO77" s="675">
        <v>0</v>
      </c>
      <c r="FP77" s="675">
        <v>0</v>
      </c>
      <c r="FQ77" s="675">
        <v>0</v>
      </c>
      <c r="FR77" s="675">
        <v>0</v>
      </c>
      <c r="FS77" s="675">
        <v>0</v>
      </c>
      <c r="FT77" s="675">
        <v>0</v>
      </c>
      <c r="FU77" s="675">
        <v>0</v>
      </c>
      <c r="FV77" s="675">
        <v>0</v>
      </c>
      <c r="FW77" s="675">
        <v>0</v>
      </c>
      <c r="FX77" s="675">
        <v>0</v>
      </c>
      <c r="FY77" s="675">
        <v>0</v>
      </c>
      <c r="FZ77" s="675">
        <v>615</v>
      </c>
      <c r="GA77" s="675">
        <v>12.305</v>
      </c>
      <c r="GB77" s="676">
        <v>446806</v>
      </c>
      <c r="GC77" s="676">
        <v>446806</v>
      </c>
      <c r="GD77" s="676">
        <v>50.429000000000002</v>
      </c>
      <c r="GE77" s="675">
        <v>0</v>
      </c>
      <c r="GF77" s="675">
        <v>0</v>
      </c>
      <c r="GG77" s="675">
        <v>0</v>
      </c>
      <c r="GH77" s="675">
        <v>0</v>
      </c>
      <c r="GI77" s="675">
        <v>0</v>
      </c>
      <c r="GJ77" s="675">
        <v>0</v>
      </c>
      <c r="GK77" s="675">
        <v>5032</v>
      </c>
      <c r="GL77" s="675">
        <v>19953</v>
      </c>
      <c r="GM77" s="675">
        <v>0</v>
      </c>
      <c r="GN77" s="675">
        <v>0</v>
      </c>
      <c r="GO77" s="675">
        <v>0</v>
      </c>
      <c r="GP77" s="675">
        <v>9296941</v>
      </c>
      <c r="GQ77" s="675">
        <v>9296941</v>
      </c>
      <c r="GR77" s="675">
        <v>0</v>
      </c>
      <c r="GS77" s="675">
        <v>0</v>
      </c>
      <c r="GT77" s="675">
        <v>0</v>
      </c>
      <c r="GU77" s="675">
        <v>0</v>
      </c>
      <c r="GV77" s="675">
        <v>0</v>
      </c>
      <c r="GW77" s="675">
        <v>0</v>
      </c>
      <c r="GX77" s="675">
        <v>0</v>
      </c>
      <c r="GY77" s="675">
        <v>0</v>
      </c>
      <c r="GZ77" s="675">
        <v>0</v>
      </c>
      <c r="HA77" s="675">
        <v>0</v>
      </c>
      <c r="HB77" s="675">
        <v>260786259</v>
      </c>
      <c r="HC77" s="675">
        <v>5.0923999999999997E-2</v>
      </c>
      <c r="HD77" s="676">
        <v>194493</v>
      </c>
      <c r="HE77" s="675">
        <v>0</v>
      </c>
      <c r="HF77" s="675">
        <v>0</v>
      </c>
      <c r="HG77" s="675">
        <v>0</v>
      </c>
      <c r="HH77" s="675">
        <v>0</v>
      </c>
      <c r="HI77" s="675">
        <v>0</v>
      </c>
      <c r="HJ77" s="675">
        <v>0</v>
      </c>
      <c r="HK77" s="675">
        <v>0</v>
      </c>
      <c r="HL77" s="675">
        <v>0</v>
      </c>
      <c r="HM77" s="675">
        <v>0</v>
      </c>
      <c r="HN77" s="675">
        <v>0</v>
      </c>
      <c r="HO77" s="675">
        <v>0</v>
      </c>
      <c r="HP77" s="675">
        <v>0</v>
      </c>
      <c r="HQ77" s="675">
        <v>0</v>
      </c>
      <c r="HR77" s="675">
        <v>0</v>
      </c>
      <c r="HS77" s="675">
        <v>0</v>
      </c>
      <c r="HT77" s="675">
        <v>0</v>
      </c>
      <c r="HU77" s="675">
        <v>0</v>
      </c>
      <c r="HV77" s="675">
        <v>0</v>
      </c>
      <c r="HW77" s="675">
        <v>0</v>
      </c>
      <c r="HX77" s="675">
        <v>0</v>
      </c>
      <c r="HY77" s="675">
        <v>0</v>
      </c>
      <c r="HZ77" s="675">
        <v>0</v>
      </c>
      <c r="IA77" s="675">
        <v>0</v>
      </c>
      <c r="IB77" s="675">
        <v>0</v>
      </c>
      <c r="IC77" s="675">
        <v>0</v>
      </c>
      <c r="ID77" s="675">
        <v>0</v>
      </c>
      <c r="IE77" s="675">
        <v>0</v>
      </c>
      <c r="IF77" s="675">
        <v>0</v>
      </c>
      <c r="IG77" s="675">
        <v>0</v>
      </c>
      <c r="IH77" s="675">
        <v>0</v>
      </c>
      <c r="II77" s="675">
        <v>0</v>
      </c>
      <c r="IJ77" s="675">
        <v>0</v>
      </c>
      <c r="IK77" s="675">
        <v>0</v>
      </c>
      <c r="IL77" s="675">
        <v>0</v>
      </c>
      <c r="IM77" s="675">
        <v>0</v>
      </c>
      <c r="IN77" s="675">
        <v>0</v>
      </c>
      <c r="IO77" s="675">
        <v>0</v>
      </c>
      <c r="IP77" s="675">
        <v>0</v>
      </c>
      <c r="IQ77" s="675">
        <v>0</v>
      </c>
      <c r="IR77" s="675">
        <v>0</v>
      </c>
      <c r="IS77" s="675">
        <v>0</v>
      </c>
      <c r="IT77" s="675">
        <v>0</v>
      </c>
      <c r="IU77" s="675">
        <v>0</v>
      </c>
      <c r="IV77" s="675">
        <v>0</v>
      </c>
      <c r="IW77" s="675">
        <v>0</v>
      </c>
      <c r="IX77" s="675">
        <v>0</v>
      </c>
      <c r="IY77" s="675">
        <v>0</v>
      </c>
      <c r="IZ77" s="675">
        <v>0</v>
      </c>
      <c r="JA77" s="675">
        <v>0</v>
      </c>
      <c r="JB77" s="675">
        <v>0</v>
      </c>
      <c r="JC77" s="675">
        <v>0</v>
      </c>
      <c r="JD77" s="675">
        <v>0</v>
      </c>
      <c r="JE77" s="675">
        <v>0</v>
      </c>
      <c r="JF77" s="675">
        <v>0</v>
      </c>
      <c r="JG77" s="675">
        <v>0</v>
      </c>
      <c r="JH77" s="675">
        <v>0</v>
      </c>
      <c r="JI77" s="675">
        <v>0</v>
      </c>
      <c r="JJ77" s="675">
        <v>0</v>
      </c>
      <c r="JK77" s="675">
        <v>0</v>
      </c>
      <c r="JL77" s="675">
        <v>0</v>
      </c>
      <c r="JM77" s="675">
        <v>0</v>
      </c>
      <c r="JN77" s="675">
        <v>32469</v>
      </c>
      <c r="JO77" s="675">
        <v>0</v>
      </c>
      <c r="JP77" s="675">
        <v>0</v>
      </c>
      <c r="JQ77" s="675">
        <v>0</v>
      </c>
      <c r="JR77" s="675">
        <v>0</v>
      </c>
      <c r="JS77" s="675">
        <v>0</v>
      </c>
      <c r="JT77" s="675">
        <v>0</v>
      </c>
      <c r="JU77" s="675">
        <v>0</v>
      </c>
      <c r="JV77" s="675">
        <v>0</v>
      </c>
      <c r="JW77" s="675">
        <v>0</v>
      </c>
      <c r="JX77" s="675">
        <v>0</v>
      </c>
      <c r="JY77" s="675">
        <v>0</v>
      </c>
      <c r="JZ77" s="675">
        <v>0</v>
      </c>
      <c r="KA77" s="675">
        <v>0</v>
      </c>
      <c r="KB77" s="675">
        <v>0</v>
      </c>
      <c r="KC77" s="675">
        <v>0</v>
      </c>
      <c r="KD77" s="675">
        <v>0</v>
      </c>
      <c r="KE77" s="675">
        <v>0</v>
      </c>
      <c r="KF77" s="675">
        <v>0</v>
      </c>
    </row>
    <row r="78" spans="1:292" x14ac:dyDescent="0.25">
      <c r="A78" s="675">
        <v>71803</v>
      </c>
      <c r="B78" s="675">
        <v>32570</v>
      </c>
      <c r="C78" s="675">
        <v>35</v>
      </c>
      <c r="D78" s="675">
        <v>2022</v>
      </c>
      <c r="E78" s="675">
        <v>5392</v>
      </c>
      <c r="F78" s="675">
        <v>0</v>
      </c>
      <c r="G78" s="675">
        <v>180.13500000000002</v>
      </c>
      <c r="H78" s="675">
        <v>174.62800000000001</v>
      </c>
      <c r="I78" s="675">
        <v>174.62800000000001</v>
      </c>
      <c r="J78" s="675">
        <v>180.13500000000002</v>
      </c>
      <c r="K78" s="675">
        <v>0</v>
      </c>
      <c r="L78" s="675">
        <v>6554</v>
      </c>
      <c r="M78" s="675">
        <v>0</v>
      </c>
      <c r="N78" s="675">
        <v>0</v>
      </c>
      <c r="O78" s="675">
        <v>0</v>
      </c>
      <c r="P78" s="675">
        <v>197.304</v>
      </c>
      <c r="Q78" s="675">
        <v>0</v>
      </c>
      <c r="R78" s="675">
        <v>63081</v>
      </c>
      <c r="S78" s="675">
        <v>319.71300000000002</v>
      </c>
      <c r="T78" s="675">
        <v>0</v>
      </c>
      <c r="U78" s="675">
        <v>63081</v>
      </c>
      <c r="V78" s="675">
        <v>45.161000000000001</v>
      </c>
      <c r="W78" s="675">
        <v>29599</v>
      </c>
      <c r="X78" s="675">
        <v>29599</v>
      </c>
      <c r="Y78" s="675">
        <v>0</v>
      </c>
      <c r="Z78" s="675">
        <v>0</v>
      </c>
      <c r="AA78" s="675">
        <v>1</v>
      </c>
      <c r="AB78" s="675">
        <v>1</v>
      </c>
      <c r="AC78" s="675">
        <v>0</v>
      </c>
      <c r="AD78" s="675" t="s">
        <v>316</v>
      </c>
      <c r="AE78" s="675">
        <v>0</v>
      </c>
      <c r="AF78" s="675">
        <v>0</v>
      </c>
      <c r="AG78" s="675">
        <v>0</v>
      </c>
      <c r="AH78" s="675">
        <v>0</v>
      </c>
      <c r="AI78" s="675">
        <v>0</v>
      </c>
      <c r="AJ78" s="675">
        <v>5104</v>
      </c>
      <c r="AK78" s="675" t="s">
        <v>671</v>
      </c>
      <c r="AL78" s="675" t="s">
        <v>472</v>
      </c>
      <c r="AM78" s="675">
        <v>0</v>
      </c>
      <c r="AN78" s="675">
        <v>0</v>
      </c>
      <c r="AO78" s="675">
        <v>0</v>
      </c>
      <c r="AP78" s="675">
        <v>0</v>
      </c>
      <c r="AQ78" s="675">
        <v>0</v>
      </c>
      <c r="AR78" s="675">
        <v>0</v>
      </c>
      <c r="AS78" s="675">
        <v>0</v>
      </c>
      <c r="AT78" s="675">
        <v>0</v>
      </c>
      <c r="AU78" s="675">
        <v>0</v>
      </c>
      <c r="AV78" s="675">
        <v>58338</v>
      </c>
      <c r="AW78" s="675">
        <v>1944642</v>
      </c>
      <c r="AX78" s="675">
        <v>1852815</v>
      </c>
      <c r="AY78" s="675">
        <v>1997159</v>
      </c>
      <c r="AZ78" s="675">
        <v>112615</v>
      </c>
      <c r="BA78" s="675">
        <v>7.75</v>
      </c>
      <c r="BB78" s="675">
        <v>0</v>
      </c>
      <c r="BC78" s="675">
        <v>0</v>
      </c>
      <c r="BD78" s="675">
        <v>0</v>
      </c>
      <c r="BE78" s="675">
        <v>0</v>
      </c>
      <c r="BF78" s="675">
        <v>1578161</v>
      </c>
      <c r="BG78" s="675">
        <v>0</v>
      </c>
      <c r="BH78" s="675">
        <v>180.124</v>
      </c>
      <c r="BI78" s="675">
        <v>49534</v>
      </c>
      <c r="BJ78" s="675">
        <v>12</v>
      </c>
      <c r="BK78" s="675">
        <v>0</v>
      </c>
      <c r="BL78" s="675">
        <v>0</v>
      </c>
      <c r="BM78" s="675">
        <v>0</v>
      </c>
      <c r="BN78" s="675">
        <v>0</v>
      </c>
      <c r="BO78" s="675">
        <v>0</v>
      </c>
      <c r="BP78" s="675">
        <v>0</v>
      </c>
      <c r="BQ78" s="675">
        <v>5392</v>
      </c>
      <c r="BR78" s="675">
        <v>1</v>
      </c>
      <c r="BS78" s="675">
        <v>0</v>
      </c>
      <c r="BT78" s="675">
        <v>0</v>
      </c>
      <c r="BU78" s="675">
        <v>0</v>
      </c>
      <c r="BV78" s="675">
        <v>0</v>
      </c>
      <c r="BW78" s="675">
        <v>0</v>
      </c>
      <c r="BX78" s="675">
        <v>0</v>
      </c>
      <c r="BY78" s="675">
        <v>0</v>
      </c>
      <c r="BZ78" s="675">
        <v>0</v>
      </c>
      <c r="CA78" s="675">
        <v>0</v>
      </c>
      <c r="CB78" s="675">
        <v>0</v>
      </c>
      <c r="CC78" s="675">
        <v>0</v>
      </c>
      <c r="CD78" s="675">
        <v>0</v>
      </c>
      <c r="CE78" s="675">
        <v>0</v>
      </c>
      <c r="CF78" s="675">
        <v>0</v>
      </c>
      <c r="CG78" s="675">
        <v>0</v>
      </c>
      <c r="CH78" s="675">
        <v>42293</v>
      </c>
      <c r="CI78" s="675">
        <v>0</v>
      </c>
      <c r="CJ78" s="675">
        <v>4</v>
      </c>
      <c r="CK78" s="675">
        <v>0</v>
      </c>
      <c r="CL78" s="675">
        <v>0</v>
      </c>
      <c r="CM78" s="675">
        <v>0</v>
      </c>
      <c r="CN78" s="675">
        <v>0</v>
      </c>
      <c r="CO78" s="675">
        <v>0</v>
      </c>
      <c r="CP78" s="675">
        <v>1.143</v>
      </c>
      <c r="CQ78" s="675">
        <v>11.667</v>
      </c>
      <c r="CR78" s="675">
        <v>197.304</v>
      </c>
      <c r="CS78" s="675">
        <v>0</v>
      </c>
      <c r="CT78" s="675">
        <v>0</v>
      </c>
      <c r="CU78" s="675">
        <v>0</v>
      </c>
      <c r="CV78" s="675">
        <v>0</v>
      </c>
      <c r="CW78" s="675">
        <v>0</v>
      </c>
      <c r="CX78" s="675">
        <v>0</v>
      </c>
      <c r="CY78" s="675">
        <v>0</v>
      </c>
      <c r="CZ78" s="675">
        <v>0</v>
      </c>
      <c r="DA78" s="675">
        <v>1</v>
      </c>
      <c r="DB78" s="675">
        <v>1144512</v>
      </c>
      <c r="DC78" s="675">
        <v>0</v>
      </c>
      <c r="DD78" s="675">
        <v>0</v>
      </c>
      <c r="DE78" s="675">
        <v>259316</v>
      </c>
      <c r="DF78" s="675">
        <v>277370</v>
      </c>
      <c r="DG78" s="675">
        <v>197.83</v>
      </c>
      <c r="DH78" s="675">
        <v>0</v>
      </c>
      <c r="DI78" s="675">
        <v>18054</v>
      </c>
      <c r="DJ78" s="675">
        <v>0</v>
      </c>
      <c r="DK78" s="675">
        <v>5392</v>
      </c>
      <c r="DL78" s="675">
        <v>0</v>
      </c>
      <c r="DM78" s="675">
        <v>121347</v>
      </c>
      <c r="DN78" s="675">
        <v>0</v>
      </c>
      <c r="DO78" s="675">
        <v>0</v>
      </c>
      <c r="DP78" s="675">
        <v>0</v>
      </c>
      <c r="DQ78" s="675">
        <v>0</v>
      </c>
      <c r="DR78" s="675">
        <v>0</v>
      </c>
      <c r="DS78" s="675">
        <v>0</v>
      </c>
      <c r="DT78" s="675">
        <v>0</v>
      </c>
      <c r="DU78" s="675">
        <v>0</v>
      </c>
      <c r="DV78" s="675">
        <v>0</v>
      </c>
      <c r="DW78" s="675">
        <v>0</v>
      </c>
      <c r="DX78" s="675">
        <v>0</v>
      </c>
      <c r="DY78" s="675">
        <v>0</v>
      </c>
      <c r="DZ78" s="675">
        <v>0</v>
      </c>
      <c r="EA78" s="675">
        <v>0</v>
      </c>
      <c r="EB78" s="675">
        <v>0</v>
      </c>
      <c r="EC78" s="675">
        <v>16.8</v>
      </c>
      <c r="ED78" s="675">
        <v>121118</v>
      </c>
      <c r="EE78" s="675">
        <v>0</v>
      </c>
      <c r="EF78" s="675">
        <v>0</v>
      </c>
      <c r="EG78" s="675">
        <v>0</v>
      </c>
      <c r="EH78" s="675">
        <v>229</v>
      </c>
      <c r="EI78" s="675">
        <v>0</v>
      </c>
      <c r="EJ78" s="675">
        <v>0</v>
      </c>
      <c r="EK78" s="675">
        <v>0</v>
      </c>
      <c r="EL78" s="675">
        <v>0</v>
      </c>
      <c r="EM78" s="675">
        <v>0</v>
      </c>
      <c r="EN78" s="675">
        <v>7.0000000000000001E-3</v>
      </c>
      <c r="EO78" s="675">
        <v>0</v>
      </c>
      <c r="EP78" s="675">
        <v>0</v>
      </c>
      <c r="EQ78" s="675">
        <v>7.0000000000000001E-3</v>
      </c>
      <c r="ER78" s="675">
        <v>0</v>
      </c>
      <c r="ES78" s="675">
        <v>3.5000000000000003E-2</v>
      </c>
      <c r="ET78" s="675">
        <v>6792</v>
      </c>
      <c r="EU78" s="675">
        <v>112615</v>
      </c>
      <c r="EV78" s="675">
        <v>0</v>
      </c>
      <c r="EW78" s="675">
        <v>0</v>
      </c>
      <c r="EX78" s="675">
        <v>0</v>
      </c>
      <c r="EY78" s="675">
        <v>0</v>
      </c>
      <c r="EZ78" s="675">
        <v>1558410</v>
      </c>
      <c r="FA78" s="675">
        <v>0</v>
      </c>
      <c r="FB78" s="675">
        <v>1671025</v>
      </c>
      <c r="FC78" s="675">
        <v>0.97327799999999998</v>
      </c>
      <c r="FD78" s="675">
        <v>0</v>
      </c>
      <c r="FE78" s="675">
        <v>240262</v>
      </c>
      <c r="FF78" s="675">
        <v>54143</v>
      </c>
      <c r="FG78" s="675">
        <v>6.1239999999999996E-2</v>
      </c>
      <c r="FH78" s="675">
        <v>5.4803999999999999E-2</v>
      </c>
      <c r="FI78" s="675">
        <v>0</v>
      </c>
      <c r="FJ78" s="675">
        <v>0</v>
      </c>
      <c r="FK78" s="675">
        <v>309.21100000000001</v>
      </c>
      <c r="FL78" s="675">
        <v>2007723</v>
      </c>
      <c r="FM78" s="675">
        <v>0</v>
      </c>
      <c r="FN78" s="675">
        <v>0</v>
      </c>
      <c r="FO78" s="675">
        <v>0</v>
      </c>
      <c r="FP78" s="675">
        <v>0</v>
      </c>
      <c r="FQ78" s="675">
        <v>0</v>
      </c>
      <c r="FR78" s="675">
        <v>0</v>
      </c>
      <c r="FS78" s="675">
        <v>0</v>
      </c>
      <c r="FT78" s="675">
        <v>0</v>
      </c>
      <c r="FU78" s="675">
        <v>0</v>
      </c>
      <c r="FV78" s="675">
        <v>0</v>
      </c>
      <c r="FW78" s="675">
        <v>0</v>
      </c>
      <c r="FX78" s="675">
        <v>0</v>
      </c>
      <c r="FY78" s="675">
        <v>0</v>
      </c>
      <c r="FZ78" s="675">
        <v>0</v>
      </c>
      <c r="GA78" s="675">
        <v>0</v>
      </c>
      <c r="GB78" s="675">
        <v>48663</v>
      </c>
      <c r="GC78" s="675">
        <v>48663</v>
      </c>
      <c r="GD78" s="675">
        <v>5.5</v>
      </c>
      <c r="GE78" s="675">
        <v>0</v>
      </c>
      <c r="GF78" s="675">
        <v>0</v>
      </c>
      <c r="GG78" s="675">
        <v>0</v>
      </c>
      <c r="GH78" s="675">
        <v>0</v>
      </c>
      <c r="GI78" s="675">
        <v>0</v>
      </c>
      <c r="GJ78" s="675">
        <v>0</v>
      </c>
      <c r="GK78" s="675">
        <v>5113</v>
      </c>
      <c r="GL78" s="675">
        <v>7493</v>
      </c>
      <c r="GM78" s="675">
        <v>0</v>
      </c>
      <c r="GN78" s="675">
        <v>0</v>
      </c>
      <c r="GO78" s="675">
        <v>0</v>
      </c>
      <c r="GP78" s="675">
        <v>1965430</v>
      </c>
      <c r="GQ78" s="675">
        <v>1965430</v>
      </c>
      <c r="GR78" s="675">
        <v>0</v>
      </c>
      <c r="GS78" s="675">
        <v>0</v>
      </c>
      <c r="GT78" s="675">
        <v>0</v>
      </c>
      <c r="GU78" s="675">
        <v>0</v>
      </c>
      <c r="GV78" s="675">
        <v>0</v>
      </c>
      <c r="GW78" s="675">
        <v>0</v>
      </c>
      <c r="GX78" s="675">
        <v>0</v>
      </c>
      <c r="GY78" s="675">
        <v>0</v>
      </c>
      <c r="GZ78" s="675">
        <v>0</v>
      </c>
      <c r="HA78" s="675">
        <v>0</v>
      </c>
      <c r="HB78" s="675">
        <v>260786259</v>
      </c>
      <c r="HC78" s="675">
        <v>5.0923999999999997E-2</v>
      </c>
      <c r="HD78" s="675">
        <v>35501</v>
      </c>
      <c r="HE78" s="675">
        <v>0</v>
      </c>
      <c r="HF78" s="675">
        <v>0</v>
      </c>
      <c r="HG78" s="675">
        <v>0</v>
      </c>
      <c r="HH78" s="675">
        <v>0</v>
      </c>
      <c r="HI78" s="675">
        <v>0</v>
      </c>
      <c r="HJ78" s="675">
        <v>0</v>
      </c>
      <c r="HK78" s="675">
        <v>0</v>
      </c>
      <c r="HL78" s="675">
        <v>0</v>
      </c>
      <c r="HM78" s="675">
        <v>0</v>
      </c>
      <c r="HN78" s="675">
        <v>0</v>
      </c>
      <c r="HO78" s="675">
        <v>0</v>
      </c>
      <c r="HP78" s="675">
        <v>0</v>
      </c>
      <c r="HQ78" s="675">
        <v>0</v>
      </c>
      <c r="HR78" s="675">
        <v>0</v>
      </c>
      <c r="HS78" s="675">
        <v>0</v>
      </c>
      <c r="HT78" s="675">
        <v>0</v>
      </c>
      <c r="HU78" s="675">
        <v>0</v>
      </c>
      <c r="HV78" s="675">
        <v>0</v>
      </c>
      <c r="HW78" s="675">
        <v>0</v>
      </c>
      <c r="HX78" s="675">
        <v>0</v>
      </c>
      <c r="HY78" s="675">
        <v>0</v>
      </c>
      <c r="HZ78" s="675">
        <v>0</v>
      </c>
      <c r="IA78" s="675">
        <v>0</v>
      </c>
      <c r="IB78" s="675">
        <v>0</v>
      </c>
      <c r="IC78" s="675">
        <v>0</v>
      </c>
      <c r="ID78" s="675">
        <v>0</v>
      </c>
      <c r="IE78" s="675">
        <v>0</v>
      </c>
      <c r="IF78" s="675">
        <v>0</v>
      </c>
      <c r="IG78" s="675">
        <v>0</v>
      </c>
      <c r="IH78" s="675">
        <v>0</v>
      </c>
      <c r="II78" s="675">
        <v>0</v>
      </c>
      <c r="IJ78" s="675">
        <v>0</v>
      </c>
      <c r="IK78" s="675">
        <v>0</v>
      </c>
      <c r="IL78" s="675">
        <v>0</v>
      </c>
      <c r="IM78" s="675">
        <v>0</v>
      </c>
      <c r="IN78" s="675">
        <v>0</v>
      </c>
      <c r="IO78" s="675">
        <v>0</v>
      </c>
      <c r="IP78" s="675">
        <v>0</v>
      </c>
      <c r="IQ78" s="675">
        <v>0</v>
      </c>
      <c r="IR78" s="675">
        <v>0</v>
      </c>
      <c r="IS78" s="675">
        <v>0</v>
      </c>
      <c r="IT78" s="675">
        <v>0</v>
      </c>
      <c r="IU78" s="675">
        <v>0</v>
      </c>
      <c r="IV78" s="675">
        <v>0</v>
      </c>
      <c r="IW78" s="675">
        <v>0</v>
      </c>
      <c r="IX78" s="675">
        <v>0</v>
      </c>
      <c r="IY78" s="675">
        <v>0</v>
      </c>
      <c r="IZ78" s="675">
        <v>0</v>
      </c>
      <c r="JA78" s="675">
        <v>0</v>
      </c>
      <c r="JB78" s="675">
        <v>0</v>
      </c>
      <c r="JC78" s="675">
        <v>0</v>
      </c>
      <c r="JD78" s="675">
        <v>0</v>
      </c>
      <c r="JE78" s="675">
        <v>0</v>
      </c>
      <c r="JF78" s="675">
        <v>0</v>
      </c>
      <c r="JG78" s="675">
        <v>0</v>
      </c>
      <c r="JH78" s="675">
        <v>0</v>
      </c>
      <c r="JI78" s="675">
        <v>0</v>
      </c>
      <c r="JJ78" s="675">
        <v>0</v>
      </c>
      <c r="JK78" s="675">
        <v>0</v>
      </c>
      <c r="JL78" s="675">
        <v>0</v>
      </c>
      <c r="JM78" s="675">
        <v>0</v>
      </c>
      <c r="JN78" s="675">
        <v>32469</v>
      </c>
      <c r="JO78" s="675">
        <v>0</v>
      </c>
      <c r="JP78" s="675">
        <v>0</v>
      </c>
      <c r="JQ78" s="675">
        <v>0</v>
      </c>
      <c r="JR78" s="675">
        <v>0</v>
      </c>
      <c r="JS78" s="675">
        <v>0</v>
      </c>
      <c r="JT78" s="675">
        <v>0</v>
      </c>
      <c r="JU78" s="675">
        <v>0</v>
      </c>
      <c r="JV78" s="675">
        <v>0</v>
      </c>
      <c r="JW78" s="675">
        <v>0</v>
      </c>
      <c r="JX78" s="675">
        <v>0</v>
      </c>
      <c r="JY78" s="675">
        <v>0</v>
      </c>
      <c r="JZ78" s="675">
        <v>0</v>
      </c>
      <c r="KA78" s="675">
        <v>0</v>
      </c>
      <c r="KB78" s="675">
        <v>0</v>
      </c>
      <c r="KC78" s="675">
        <v>0</v>
      </c>
      <c r="KD78" s="675">
        <v>0</v>
      </c>
      <c r="KE78" s="675">
        <v>0</v>
      </c>
      <c r="KF78" s="675">
        <v>0</v>
      </c>
    </row>
    <row r="79" spans="1:292" x14ac:dyDescent="0.25">
      <c r="A79" s="675">
        <v>71804</v>
      </c>
      <c r="B79" s="675">
        <v>32570</v>
      </c>
      <c r="C79" s="675">
        <v>35</v>
      </c>
      <c r="D79" s="675">
        <v>2022</v>
      </c>
      <c r="E79" s="675">
        <v>5392</v>
      </c>
      <c r="F79" s="675">
        <v>0</v>
      </c>
      <c r="G79" s="675">
        <v>273.97200000000004</v>
      </c>
      <c r="H79" s="675">
        <v>257.92400000000004</v>
      </c>
      <c r="I79" s="675">
        <v>257.92400000000004</v>
      </c>
      <c r="J79" s="675">
        <v>273.97200000000004</v>
      </c>
      <c r="K79" s="675">
        <v>0</v>
      </c>
      <c r="L79" s="675">
        <v>6554</v>
      </c>
      <c r="M79" s="675">
        <v>0</v>
      </c>
      <c r="N79" s="675">
        <v>0</v>
      </c>
      <c r="O79" s="675">
        <v>0</v>
      </c>
      <c r="P79" s="675">
        <v>286.024</v>
      </c>
      <c r="Q79" s="675">
        <v>0</v>
      </c>
      <c r="R79" s="675">
        <v>91446</v>
      </c>
      <c r="S79" s="675">
        <v>319.71300000000002</v>
      </c>
      <c r="T79" s="675">
        <v>0</v>
      </c>
      <c r="U79" s="675">
        <v>91446</v>
      </c>
      <c r="V79" s="675">
        <v>23.694000000000003</v>
      </c>
      <c r="W79" s="675">
        <v>15529</v>
      </c>
      <c r="X79" s="675">
        <v>15529</v>
      </c>
      <c r="Y79" s="675">
        <v>0</v>
      </c>
      <c r="Z79" s="675">
        <v>0</v>
      </c>
      <c r="AA79" s="675">
        <v>1</v>
      </c>
      <c r="AB79" s="675">
        <v>1</v>
      </c>
      <c r="AC79" s="675">
        <v>0</v>
      </c>
      <c r="AD79" s="675" t="s">
        <v>316</v>
      </c>
      <c r="AE79" s="675">
        <v>0</v>
      </c>
      <c r="AF79" s="675">
        <v>0</v>
      </c>
      <c r="AG79" s="675">
        <v>0</v>
      </c>
      <c r="AH79" s="675">
        <v>0</v>
      </c>
      <c r="AI79" s="675">
        <v>0</v>
      </c>
      <c r="AJ79" s="675">
        <v>5104</v>
      </c>
      <c r="AK79" s="675" t="s">
        <v>671</v>
      </c>
      <c r="AL79" s="675" t="s">
        <v>25</v>
      </c>
      <c r="AM79" s="675">
        <v>0</v>
      </c>
      <c r="AN79" s="675">
        <v>0</v>
      </c>
      <c r="AO79" s="675">
        <v>0</v>
      </c>
      <c r="AP79" s="675">
        <v>0</v>
      </c>
      <c r="AQ79" s="675">
        <v>0</v>
      </c>
      <c r="AR79" s="675">
        <v>0</v>
      </c>
      <c r="AS79" s="675">
        <v>0</v>
      </c>
      <c r="AT79" s="675">
        <v>0</v>
      </c>
      <c r="AU79" s="675">
        <v>0</v>
      </c>
      <c r="AV79" s="675">
        <v>67798</v>
      </c>
      <c r="AW79" s="675">
        <v>2845477</v>
      </c>
      <c r="AX79" s="675">
        <v>2710267</v>
      </c>
      <c r="AY79" s="675">
        <v>2960879</v>
      </c>
      <c r="AZ79" s="675">
        <v>166787</v>
      </c>
      <c r="BA79" s="675">
        <v>11.75</v>
      </c>
      <c r="BB79" s="675">
        <v>0</v>
      </c>
      <c r="BC79" s="675">
        <v>0</v>
      </c>
      <c r="BD79" s="675">
        <v>0</v>
      </c>
      <c r="BE79" s="675">
        <v>0</v>
      </c>
      <c r="BF79" s="675">
        <v>2307825</v>
      </c>
      <c r="BG79" s="675">
        <v>0</v>
      </c>
      <c r="BH79" s="675">
        <v>273.96600000000001</v>
      </c>
      <c r="BI79" s="675">
        <v>75341</v>
      </c>
      <c r="BJ79" s="675">
        <v>12</v>
      </c>
      <c r="BK79" s="675">
        <v>0</v>
      </c>
      <c r="BL79" s="675">
        <v>0</v>
      </c>
      <c r="BM79" s="675">
        <v>0</v>
      </c>
      <c r="BN79" s="675">
        <v>0</v>
      </c>
      <c r="BO79" s="675">
        <v>0</v>
      </c>
      <c r="BP79" s="675">
        <v>0</v>
      </c>
      <c r="BQ79" s="675">
        <v>5392</v>
      </c>
      <c r="BR79" s="675">
        <v>1</v>
      </c>
      <c r="BS79" s="675">
        <v>0</v>
      </c>
      <c r="BT79" s="675">
        <v>0</v>
      </c>
      <c r="BU79" s="675">
        <v>0</v>
      </c>
      <c r="BV79" s="675">
        <v>0</v>
      </c>
      <c r="BW79" s="675">
        <v>0</v>
      </c>
      <c r="BX79" s="675">
        <v>0</v>
      </c>
      <c r="BY79" s="675">
        <v>0</v>
      </c>
      <c r="BZ79" s="675">
        <v>0</v>
      </c>
      <c r="CA79" s="675">
        <v>0</v>
      </c>
      <c r="CB79" s="675">
        <v>0</v>
      </c>
      <c r="CC79" s="675">
        <v>0</v>
      </c>
      <c r="CD79" s="675">
        <v>0</v>
      </c>
      <c r="CE79" s="675">
        <v>0</v>
      </c>
      <c r="CF79" s="675">
        <v>0</v>
      </c>
      <c r="CG79" s="675">
        <v>0</v>
      </c>
      <c r="CH79" s="675">
        <v>59869</v>
      </c>
      <c r="CI79" s="675">
        <v>0</v>
      </c>
      <c r="CJ79" s="675">
        <v>4</v>
      </c>
      <c r="CK79" s="675">
        <v>0</v>
      </c>
      <c r="CL79" s="675">
        <v>0</v>
      </c>
      <c r="CM79" s="675">
        <v>0</v>
      </c>
      <c r="CN79" s="675">
        <v>0</v>
      </c>
      <c r="CO79" s="675">
        <v>0</v>
      </c>
      <c r="CP79" s="675">
        <v>1.34</v>
      </c>
      <c r="CQ79" s="675">
        <v>0</v>
      </c>
      <c r="CR79" s="675">
        <v>286.024</v>
      </c>
      <c r="CS79" s="675">
        <v>0</v>
      </c>
      <c r="CT79" s="675">
        <v>0</v>
      </c>
      <c r="CU79" s="675">
        <v>0</v>
      </c>
      <c r="CV79" s="675">
        <v>0</v>
      </c>
      <c r="CW79" s="675">
        <v>0</v>
      </c>
      <c r="CX79" s="675">
        <v>0</v>
      </c>
      <c r="CY79" s="675">
        <v>0</v>
      </c>
      <c r="CZ79" s="675">
        <v>0</v>
      </c>
      <c r="DA79" s="675">
        <v>1</v>
      </c>
      <c r="DB79" s="675">
        <v>1690434</v>
      </c>
      <c r="DC79" s="675">
        <v>0</v>
      </c>
      <c r="DD79" s="675">
        <v>0</v>
      </c>
      <c r="DE79" s="675">
        <v>329666</v>
      </c>
      <c r="DF79" s="675">
        <v>350831</v>
      </c>
      <c r="DG79" s="675">
        <v>251.5</v>
      </c>
      <c r="DH79" s="675">
        <v>0</v>
      </c>
      <c r="DI79" s="675">
        <v>21165</v>
      </c>
      <c r="DJ79" s="675">
        <v>0</v>
      </c>
      <c r="DK79" s="675">
        <v>5392</v>
      </c>
      <c r="DL79" s="675">
        <v>0</v>
      </c>
      <c r="DM79" s="675">
        <v>177916</v>
      </c>
      <c r="DN79" s="675">
        <v>0</v>
      </c>
      <c r="DO79" s="675">
        <v>0</v>
      </c>
      <c r="DP79" s="675">
        <v>0</v>
      </c>
      <c r="DQ79" s="675">
        <v>0</v>
      </c>
      <c r="DR79" s="675">
        <v>0</v>
      </c>
      <c r="DS79" s="675">
        <v>0</v>
      </c>
      <c r="DT79" s="675">
        <v>0</v>
      </c>
      <c r="DU79" s="675">
        <v>0</v>
      </c>
      <c r="DV79" s="675">
        <v>0</v>
      </c>
      <c r="DW79" s="675">
        <v>0</v>
      </c>
      <c r="DX79" s="675">
        <v>0</v>
      </c>
      <c r="DY79" s="675">
        <v>0</v>
      </c>
      <c r="DZ79" s="675">
        <v>0</v>
      </c>
      <c r="EA79" s="675">
        <v>0.151</v>
      </c>
      <c r="EB79" s="675">
        <v>0</v>
      </c>
      <c r="EC79" s="675">
        <v>22.643000000000001</v>
      </c>
      <c r="ED79" s="675">
        <v>163242</v>
      </c>
      <c r="EE79" s="675">
        <v>0</v>
      </c>
      <c r="EF79" s="675">
        <v>0</v>
      </c>
      <c r="EG79" s="675">
        <v>0</v>
      </c>
      <c r="EH79" s="675">
        <v>14674</v>
      </c>
      <c r="EI79" s="675">
        <v>0</v>
      </c>
      <c r="EJ79" s="675">
        <v>0</v>
      </c>
      <c r="EK79" s="675">
        <v>0.438</v>
      </c>
      <c r="EL79" s="675">
        <v>0</v>
      </c>
      <c r="EM79" s="675">
        <v>0</v>
      </c>
      <c r="EN79" s="675">
        <v>3.4000000000000002E-2</v>
      </c>
      <c r="EO79" s="675">
        <v>0</v>
      </c>
      <c r="EP79" s="675">
        <v>0</v>
      </c>
      <c r="EQ79" s="675">
        <v>0.623</v>
      </c>
      <c r="ER79" s="675">
        <v>0</v>
      </c>
      <c r="ES79" s="675">
        <v>2.2390000000000003</v>
      </c>
      <c r="ET79" s="675">
        <v>5875</v>
      </c>
      <c r="EU79" s="675">
        <v>166787</v>
      </c>
      <c r="EV79" s="675">
        <v>0</v>
      </c>
      <c r="EW79" s="675">
        <v>0</v>
      </c>
      <c r="EX79" s="675">
        <v>0</v>
      </c>
      <c r="EY79" s="675">
        <v>0</v>
      </c>
      <c r="EZ79" s="675">
        <v>2279743</v>
      </c>
      <c r="FA79" s="675">
        <v>0</v>
      </c>
      <c r="FB79" s="675">
        <v>2446530</v>
      </c>
      <c r="FC79" s="675">
        <v>0.97327799999999998</v>
      </c>
      <c r="FD79" s="675">
        <v>0</v>
      </c>
      <c r="FE79" s="675">
        <v>351348</v>
      </c>
      <c r="FF79" s="675">
        <v>79176</v>
      </c>
      <c r="FG79" s="675">
        <v>6.1239999999999996E-2</v>
      </c>
      <c r="FH79" s="675">
        <v>5.4803999999999999E-2</v>
      </c>
      <c r="FI79" s="675">
        <v>0</v>
      </c>
      <c r="FJ79" s="675">
        <v>0</v>
      </c>
      <c r="FK79" s="675">
        <v>452.17600000000004</v>
      </c>
      <c r="FL79" s="675">
        <v>2936923</v>
      </c>
      <c r="FM79" s="675">
        <v>0</v>
      </c>
      <c r="FN79" s="675">
        <v>0</v>
      </c>
      <c r="FO79" s="675">
        <v>0</v>
      </c>
      <c r="FP79" s="675">
        <v>0</v>
      </c>
      <c r="FQ79" s="675">
        <v>0</v>
      </c>
      <c r="FR79" s="675">
        <v>0</v>
      </c>
      <c r="FS79" s="675">
        <v>0</v>
      </c>
      <c r="FT79" s="675">
        <v>0</v>
      </c>
      <c r="FU79" s="675">
        <v>0</v>
      </c>
      <c r="FV79" s="675">
        <v>0</v>
      </c>
      <c r="FW79" s="675">
        <v>0</v>
      </c>
      <c r="FX79" s="675">
        <v>0</v>
      </c>
      <c r="FY79" s="675">
        <v>0</v>
      </c>
      <c r="FZ79" s="675">
        <v>0</v>
      </c>
      <c r="GA79" s="675">
        <v>0</v>
      </c>
      <c r="GB79" s="675">
        <v>136479</v>
      </c>
      <c r="GC79" s="675">
        <v>136479</v>
      </c>
      <c r="GD79" s="675">
        <v>15.425000000000001</v>
      </c>
      <c r="GE79" s="675">
        <v>0</v>
      </c>
      <c r="GF79" s="675">
        <v>0</v>
      </c>
      <c r="GG79" s="675">
        <v>0</v>
      </c>
      <c r="GH79" s="675">
        <v>0</v>
      </c>
      <c r="GI79" s="675">
        <v>0</v>
      </c>
      <c r="GJ79" s="675">
        <v>0</v>
      </c>
      <c r="GK79" s="675">
        <v>5157</v>
      </c>
      <c r="GL79" s="675">
        <v>14655</v>
      </c>
      <c r="GM79" s="675">
        <v>0</v>
      </c>
      <c r="GN79" s="675">
        <v>0</v>
      </c>
      <c r="GO79" s="675">
        <v>0</v>
      </c>
      <c r="GP79" s="675">
        <v>2877054</v>
      </c>
      <c r="GQ79" s="675">
        <v>2877054</v>
      </c>
      <c r="GR79" s="675">
        <v>0</v>
      </c>
      <c r="GS79" s="675">
        <v>0</v>
      </c>
      <c r="GT79" s="675">
        <v>0</v>
      </c>
      <c r="GU79" s="675">
        <v>0</v>
      </c>
      <c r="GV79" s="675">
        <v>0</v>
      </c>
      <c r="GW79" s="675">
        <v>0</v>
      </c>
      <c r="GX79" s="675">
        <v>0</v>
      </c>
      <c r="GY79" s="675">
        <v>0</v>
      </c>
      <c r="GZ79" s="675">
        <v>0</v>
      </c>
      <c r="HA79" s="675">
        <v>0</v>
      </c>
      <c r="HB79" s="675">
        <v>260786259</v>
      </c>
      <c r="HC79" s="675">
        <v>5.0923999999999997E-2</v>
      </c>
      <c r="HD79" s="675">
        <v>53994</v>
      </c>
      <c r="HE79" s="675">
        <v>0</v>
      </c>
      <c r="HF79" s="675">
        <v>0</v>
      </c>
      <c r="HG79" s="675">
        <v>0</v>
      </c>
      <c r="HH79" s="675">
        <v>0</v>
      </c>
      <c r="HI79" s="675">
        <v>0</v>
      </c>
      <c r="HJ79" s="675">
        <v>0</v>
      </c>
      <c r="HK79" s="675">
        <v>0</v>
      </c>
      <c r="HL79" s="675">
        <v>0</v>
      </c>
      <c r="HM79" s="675">
        <v>0</v>
      </c>
      <c r="HN79" s="675">
        <v>0</v>
      </c>
      <c r="HO79" s="675">
        <v>0</v>
      </c>
      <c r="HP79" s="675">
        <v>0</v>
      </c>
      <c r="HQ79" s="675">
        <v>0</v>
      </c>
      <c r="HR79" s="675">
        <v>0</v>
      </c>
      <c r="HS79" s="675">
        <v>0</v>
      </c>
      <c r="HT79" s="675">
        <v>0</v>
      </c>
      <c r="HU79" s="675">
        <v>0</v>
      </c>
      <c r="HV79" s="675">
        <v>0</v>
      </c>
      <c r="HW79" s="675">
        <v>0</v>
      </c>
      <c r="HX79" s="675">
        <v>0</v>
      </c>
      <c r="HY79" s="675">
        <v>0</v>
      </c>
      <c r="HZ79" s="675">
        <v>0</v>
      </c>
      <c r="IA79" s="675">
        <v>0</v>
      </c>
      <c r="IB79" s="675">
        <v>0</v>
      </c>
      <c r="IC79" s="675">
        <v>0</v>
      </c>
      <c r="ID79" s="675">
        <v>0</v>
      </c>
      <c r="IE79" s="675">
        <v>0</v>
      </c>
      <c r="IF79" s="675">
        <v>0</v>
      </c>
      <c r="IG79" s="675">
        <v>0</v>
      </c>
      <c r="IH79" s="675">
        <v>0</v>
      </c>
      <c r="II79" s="675">
        <v>0</v>
      </c>
      <c r="IJ79" s="675">
        <v>0</v>
      </c>
      <c r="IK79" s="675">
        <v>0</v>
      </c>
      <c r="IL79" s="675">
        <v>0</v>
      </c>
      <c r="IM79" s="675">
        <v>0</v>
      </c>
      <c r="IN79" s="675">
        <v>0</v>
      </c>
      <c r="IO79" s="675">
        <v>0</v>
      </c>
      <c r="IP79" s="675">
        <v>0</v>
      </c>
      <c r="IQ79" s="675">
        <v>0</v>
      </c>
      <c r="IR79" s="675">
        <v>0</v>
      </c>
      <c r="IS79" s="675">
        <v>0</v>
      </c>
      <c r="IT79" s="675">
        <v>0</v>
      </c>
      <c r="IU79" s="675">
        <v>0</v>
      </c>
      <c r="IV79" s="675">
        <v>0</v>
      </c>
      <c r="IW79" s="675">
        <v>0</v>
      </c>
      <c r="IX79" s="675">
        <v>0</v>
      </c>
      <c r="IY79" s="675">
        <v>0</v>
      </c>
      <c r="IZ79" s="675">
        <v>0</v>
      </c>
      <c r="JA79" s="675">
        <v>0</v>
      </c>
      <c r="JB79" s="675">
        <v>0</v>
      </c>
      <c r="JC79" s="675">
        <v>0</v>
      </c>
      <c r="JD79" s="675">
        <v>0</v>
      </c>
      <c r="JE79" s="675">
        <v>0</v>
      </c>
      <c r="JF79" s="675">
        <v>0</v>
      </c>
      <c r="JG79" s="675">
        <v>0</v>
      </c>
      <c r="JH79" s="675">
        <v>0</v>
      </c>
      <c r="JI79" s="675">
        <v>0</v>
      </c>
      <c r="JJ79" s="675">
        <v>0</v>
      </c>
      <c r="JK79" s="675">
        <v>0</v>
      </c>
      <c r="JL79" s="675">
        <v>0</v>
      </c>
      <c r="JM79" s="675">
        <v>0</v>
      </c>
      <c r="JN79" s="675">
        <v>32469</v>
      </c>
      <c r="JO79" s="675">
        <v>0</v>
      </c>
      <c r="JP79" s="675">
        <v>0</v>
      </c>
      <c r="JQ79" s="675">
        <v>0</v>
      </c>
      <c r="JR79" s="675">
        <v>0</v>
      </c>
      <c r="JS79" s="675">
        <v>0</v>
      </c>
      <c r="JT79" s="675">
        <v>0</v>
      </c>
      <c r="JU79" s="675">
        <v>0</v>
      </c>
      <c r="JV79" s="675">
        <v>0</v>
      </c>
      <c r="JW79" s="675">
        <v>0</v>
      </c>
      <c r="JX79" s="675">
        <v>0</v>
      </c>
      <c r="JY79" s="675">
        <v>0</v>
      </c>
      <c r="JZ79" s="675">
        <v>0</v>
      </c>
      <c r="KA79" s="675">
        <v>0</v>
      </c>
      <c r="KB79" s="675">
        <v>0</v>
      </c>
      <c r="KC79" s="675">
        <v>0</v>
      </c>
      <c r="KD79" s="675">
        <v>0</v>
      </c>
      <c r="KE79" s="675">
        <v>0</v>
      </c>
      <c r="KF79" s="675">
        <v>0</v>
      </c>
    </row>
    <row r="80" spans="1:292" x14ac:dyDescent="0.25">
      <c r="A80" s="675">
        <v>71806</v>
      </c>
      <c r="B80" s="675">
        <v>32570</v>
      </c>
      <c r="C80" s="675">
        <v>35</v>
      </c>
      <c r="D80" s="675">
        <v>2022</v>
      </c>
      <c r="E80" s="675">
        <v>5392</v>
      </c>
      <c r="F80" s="675">
        <v>0</v>
      </c>
      <c r="G80" s="675">
        <v>3430.721</v>
      </c>
      <c r="H80" s="675">
        <v>3217.598</v>
      </c>
      <c r="I80" s="675">
        <v>3217.598</v>
      </c>
      <c r="J80" s="675">
        <v>3430.721</v>
      </c>
      <c r="K80" s="675">
        <v>0</v>
      </c>
      <c r="L80" s="675">
        <v>6554</v>
      </c>
      <c r="M80" s="675">
        <v>0</v>
      </c>
      <c r="N80" s="675">
        <v>0</v>
      </c>
      <c r="O80" s="675">
        <v>0</v>
      </c>
      <c r="P80" s="675">
        <v>3354.8410000000003</v>
      </c>
      <c r="Q80" s="675">
        <v>0</v>
      </c>
      <c r="R80" s="675">
        <v>1072586</v>
      </c>
      <c r="S80" s="675">
        <v>319.71300000000002</v>
      </c>
      <c r="T80" s="675">
        <v>0</v>
      </c>
      <c r="U80" s="675">
        <v>1072586</v>
      </c>
      <c r="V80" s="675">
        <v>760.03899999999999</v>
      </c>
      <c r="W80" s="675">
        <v>498130</v>
      </c>
      <c r="X80" s="675">
        <v>498130</v>
      </c>
      <c r="Y80" s="675">
        <v>0</v>
      </c>
      <c r="Z80" s="675">
        <v>0</v>
      </c>
      <c r="AA80" s="675">
        <v>1</v>
      </c>
      <c r="AB80" s="675">
        <v>1</v>
      </c>
      <c r="AC80" s="675">
        <v>0</v>
      </c>
      <c r="AD80" s="675" t="s">
        <v>316</v>
      </c>
      <c r="AE80" s="675">
        <v>0</v>
      </c>
      <c r="AF80" s="675">
        <v>0</v>
      </c>
      <c r="AG80" s="675">
        <v>0</v>
      </c>
      <c r="AH80" s="675">
        <v>0</v>
      </c>
      <c r="AI80" s="675">
        <v>0</v>
      </c>
      <c r="AJ80" s="675">
        <v>5104</v>
      </c>
      <c r="AK80" s="675" t="s">
        <v>671</v>
      </c>
      <c r="AL80" s="675" t="s">
        <v>26</v>
      </c>
      <c r="AM80" s="675">
        <v>0</v>
      </c>
      <c r="AN80" s="675">
        <v>0</v>
      </c>
      <c r="AO80" s="675">
        <v>0</v>
      </c>
      <c r="AP80" s="675">
        <v>0</v>
      </c>
      <c r="AQ80" s="675">
        <v>0</v>
      </c>
      <c r="AR80" s="675">
        <v>0</v>
      </c>
      <c r="AS80" s="675">
        <v>0</v>
      </c>
      <c r="AT80" s="675">
        <v>0</v>
      </c>
      <c r="AU80" s="675">
        <v>0</v>
      </c>
      <c r="AV80" s="675">
        <v>909779</v>
      </c>
      <c r="AW80" s="675">
        <v>33853937</v>
      </c>
      <c r="AX80" s="675">
        <v>32965766</v>
      </c>
      <c r="AY80" s="675">
        <v>35666723</v>
      </c>
      <c r="AZ80" s="675">
        <v>1241804</v>
      </c>
      <c r="BA80" s="675">
        <v>85.667000000000002</v>
      </c>
      <c r="BB80" s="675">
        <v>134910</v>
      </c>
      <c r="BC80" s="675">
        <v>134910</v>
      </c>
      <c r="BD80" s="675">
        <v>171.536</v>
      </c>
      <c r="BE80" s="675">
        <v>0</v>
      </c>
      <c r="BF80" s="675">
        <v>28038050</v>
      </c>
      <c r="BG80" s="675">
        <v>0</v>
      </c>
      <c r="BH80" s="675">
        <v>615.33800000000008</v>
      </c>
      <c r="BI80" s="675">
        <v>169218</v>
      </c>
      <c r="BJ80" s="675">
        <v>12</v>
      </c>
      <c r="BK80" s="675">
        <v>0</v>
      </c>
      <c r="BL80" s="675">
        <v>0</v>
      </c>
      <c r="BM80" s="675">
        <v>0</v>
      </c>
      <c r="BN80" s="675">
        <v>0</v>
      </c>
      <c r="BO80" s="675">
        <v>0</v>
      </c>
      <c r="BP80" s="675">
        <v>0</v>
      </c>
      <c r="BQ80" s="675">
        <v>5392</v>
      </c>
      <c r="BR80" s="675">
        <v>1</v>
      </c>
      <c r="BS80" s="675">
        <v>0</v>
      </c>
      <c r="BT80" s="675">
        <v>0</v>
      </c>
      <c r="BU80" s="675">
        <v>0</v>
      </c>
      <c r="BV80" s="675">
        <v>0</v>
      </c>
      <c r="BW80" s="675">
        <v>0</v>
      </c>
      <c r="BX80" s="675">
        <v>0</v>
      </c>
      <c r="BY80" s="675">
        <v>0</v>
      </c>
      <c r="BZ80" s="675">
        <v>0</v>
      </c>
      <c r="CA80" s="675">
        <v>0</v>
      </c>
      <c r="CB80" s="675">
        <v>0</v>
      </c>
      <c r="CC80" s="675">
        <v>0</v>
      </c>
      <c r="CD80" s="675">
        <v>0</v>
      </c>
      <c r="CE80" s="675">
        <v>0</v>
      </c>
      <c r="CF80" s="675">
        <v>0</v>
      </c>
      <c r="CG80" s="675">
        <v>0</v>
      </c>
      <c r="CH80" s="675">
        <v>718953</v>
      </c>
      <c r="CI80" s="675">
        <v>0</v>
      </c>
      <c r="CJ80" s="675">
        <v>4</v>
      </c>
      <c r="CK80" s="675">
        <v>0</v>
      </c>
      <c r="CL80" s="675">
        <v>0</v>
      </c>
      <c r="CM80" s="675">
        <v>0</v>
      </c>
      <c r="CN80" s="675">
        <v>0</v>
      </c>
      <c r="CO80" s="675">
        <v>0</v>
      </c>
      <c r="CP80" s="675">
        <v>0</v>
      </c>
      <c r="CQ80" s="675">
        <v>0</v>
      </c>
      <c r="CR80" s="675">
        <v>3354.8410000000003</v>
      </c>
      <c r="CS80" s="675">
        <v>0</v>
      </c>
      <c r="CT80" s="675">
        <v>0</v>
      </c>
      <c r="CU80" s="675">
        <v>0</v>
      </c>
      <c r="CV80" s="675">
        <v>0</v>
      </c>
      <c r="CW80" s="675">
        <v>0</v>
      </c>
      <c r="CX80" s="675">
        <v>0</v>
      </c>
      <c r="CY80" s="675">
        <v>0</v>
      </c>
      <c r="CZ80" s="675">
        <v>0</v>
      </c>
      <c r="DA80" s="675">
        <v>1</v>
      </c>
      <c r="DB80" s="675">
        <v>21088137</v>
      </c>
      <c r="DC80" s="675">
        <v>0</v>
      </c>
      <c r="DD80" s="675">
        <v>0</v>
      </c>
      <c r="DE80" s="675">
        <v>3507268</v>
      </c>
      <c r="DF80" s="675">
        <v>3507268</v>
      </c>
      <c r="DG80" s="675">
        <v>2675.67</v>
      </c>
      <c r="DH80" s="675">
        <v>0</v>
      </c>
      <c r="DI80" s="675">
        <v>0</v>
      </c>
      <c r="DJ80" s="675">
        <v>0</v>
      </c>
      <c r="DK80" s="675">
        <v>5392</v>
      </c>
      <c r="DL80" s="675">
        <v>0</v>
      </c>
      <c r="DM80" s="675">
        <v>2512727</v>
      </c>
      <c r="DN80" s="675">
        <v>0</v>
      </c>
      <c r="DO80" s="675">
        <v>0</v>
      </c>
      <c r="DP80" s="675">
        <v>0</v>
      </c>
      <c r="DQ80" s="675">
        <v>0</v>
      </c>
      <c r="DR80" s="675">
        <v>0</v>
      </c>
      <c r="DS80" s="675">
        <v>0</v>
      </c>
      <c r="DT80" s="675">
        <v>0</v>
      </c>
      <c r="DU80" s="675">
        <v>0</v>
      </c>
      <c r="DV80" s="675">
        <v>0</v>
      </c>
      <c r="DW80" s="675">
        <v>0</v>
      </c>
      <c r="DX80" s="675">
        <v>0</v>
      </c>
      <c r="DY80" s="675">
        <v>0</v>
      </c>
      <c r="DZ80" s="675">
        <v>0</v>
      </c>
      <c r="EA80" s="675">
        <v>0</v>
      </c>
      <c r="EB80" s="675">
        <v>0</v>
      </c>
      <c r="EC80" s="675">
        <v>83.043000000000006</v>
      </c>
      <c r="ED80" s="675">
        <v>598690</v>
      </c>
      <c r="EE80" s="675">
        <v>0</v>
      </c>
      <c r="EF80" s="675">
        <v>0</v>
      </c>
      <c r="EG80" s="675">
        <v>0</v>
      </c>
      <c r="EH80" s="675">
        <v>1914037</v>
      </c>
      <c r="EI80" s="675">
        <v>0</v>
      </c>
      <c r="EJ80" s="675">
        <v>0</v>
      </c>
      <c r="EK80" s="675">
        <v>67.656999999999996</v>
      </c>
      <c r="EL80" s="675">
        <v>0</v>
      </c>
      <c r="EM80" s="675">
        <v>17.91</v>
      </c>
      <c r="EN80" s="675">
        <v>7.0680000000000005</v>
      </c>
      <c r="EO80" s="675">
        <v>0</v>
      </c>
      <c r="EP80" s="675">
        <v>0</v>
      </c>
      <c r="EQ80" s="675">
        <v>92.635000000000005</v>
      </c>
      <c r="ER80" s="675">
        <v>0</v>
      </c>
      <c r="ES80" s="675">
        <v>292.041</v>
      </c>
      <c r="ET80" s="675">
        <v>42834</v>
      </c>
      <c r="EU80" s="675">
        <v>1241804</v>
      </c>
      <c r="EV80" s="675">
        <v>0</v>
      </c>
      <c r="EW80" s="675">
        <v>0</v>
      </c>
      <c r="EX80" s="675">
        <v>0</v>
      </c>
      <c r="EY80" s="675">
        <v>0</v>
      </c>
      <c r="EZ80" s="675">
        <v>27735282</v>
      </c>
      <c r="FA80" s="675">
        <v>0</v>
      </c>
      <c r="FB80" s="675">
        <v>28977086</v>
      </c>
      <c r="FC80" s="675">
        <v>0.97327799999999998</v>
      </c>
      <c r="FD80" s="675">
        <v>0</v>
      </c>
      <c r="FE80" s="675">
        <v>4268568</v>
      </c>
      <c r="FF80" s="675">
        <v>961916</v>
      </c>
      <c r="FG80" s="675">
        <v>6.1239999999999996E-2</v>
      </c>
      <c r="FH80" s="675">
        <v>5.4803999999999999E-2</v>
      </c>
      <c r="FI80" s="675">
        <v>0</v>
      </c>
      <c r="FJ80" s="675">
        <v>0</v>
      </c>
      <c r="FK80" s="675">
        <v>5493.5370000000003</v>
      </c>
      <c r="FL80" s="675">
        <v>34926523</v>
      </c>
      <c r="FM80" s="675">
        <v>0</v>
      </c>
      <c r="FN80" s="675">
        <v>0</v>
      </c>
      <c r="FO80" s="675">
        <v>0</v>
      </c>
      <c r="FP80" s="675">
        <v>0</v>
      </c>
      <c r="FQ80" s="675">
        <v>0</v>
      </c>
      <c r="FR80" s="675">
        <v>0</v>
      </c>
      <c r="FS80" s="675">
        <v>0</v>
      </c>
      <c r="FT80" s="675">
        <v>0</v>
      </c>
      <c r="FU80" s="675">
        <v>0</v>
      </c>
      <c r="FV80" s="675">
        <v>0</v>
      </c>
      <c r="FW80" s="675">
        <v>0</v>
      </c>
      <c r="FX80" s="675">
        <v>0</v>
      </c>
      <c r="FY80" s="675">
        <v>0</v>
      </c>
      <c r="FZ80" s="675">
        <v>630</v>
      </c>
      <c r="GA80" s="675">
        <v>12.602</v>
      </c>
      <c r="GB80" s="675">
        <v>1066696</v>
      </c>
      <c r="GC80" s="675">
        <v>1066696</v>
      </c>
      <c r="GD80" s="675">
        <v>120.488</v>
      </c>
      <c r="GE80" s="675">
        <v>0</v>
      </c>
      <c r="GF80" s="675">
        <v>0</v>
      </c>
      <c r="GG80" s="675">
        <v>0</v>
      </c>
      <c r="GH80" s="675">
        <v>0</v>
      </c>
      <c r="GI80" s="675">
        <v>0</v>
      </c>
      <c r="GJ80" s="675">
        <v>0</v>
      </c>
      <c r="GK80" s="675">
        <v>5101</v>
      </c>
      <c r="GL80" s="675">
        <v>19021</v>
      </c>
      <c r="GM80" s="675">
        <v>0</v>
      </c>
      <c r="GN80" s="675">
        <v>0</v>
      </c>
      <c r="GO80" s="675">
        <v>0</v>
      </c>
      <c r="GP80" s="675">
        <v>34207570</v>
      </c>
      <c r="GQ80" s="675">
        <v>34207570</v>
      </c>
      <c r="GR80" s="675">
        <v>0</v>
      </c>
      <c r="GS80" s="675">
        <v>0</v>
      </c>
      <c r="GT80" s="675">
        <v>0</v>
      </c>
      <c r="GU80" s="675">
        <v>0</v>
      </c>
      <c r="GV80" s="675">
        <v>0</v>
      </c>
      <c r="GW80" s="675">
        <v>0</v>
      </c>
      <c r="GX80" s="675">
        <v>0</v>
      </c>
      <c r="GY80" s="675">
        <v>0</v>
      </c>
      <c r="GZ80" s="675">
        <v>0</v>
      </c>
      <c r="HA80" s="675">
        <v>0</v>
      </c>
      <c r="HB80" s="675">
        <v>260786259</v>
      </c>
      <c r="HC80" s="675">
        <v>5.0923999999999997E-2</v>
      </c>
      <c r="HD80" s="675">
        <v>676119</v>
      </c>
      <c r="HE80" s="675">
        <v>0</v>
      </c>
      <c r="HF80" s="675">
        <v>0</v>
      </c>
      <c r="HG80" s="675">
        <v>0</v>
      </c>
      <c r="HH80" s="675">
        <v>0</v>
      </c>
      <c r="HI80" s="675">
        <v>0</v>
      </c>
      <c r="HJ80" s="675">
        <v>0</v>
      </c>
      <c r="HK80" s="675">
        <v>0</v>
      </c>
      <c r="HL80" s="675">
        <v>0</v>
      </c>
      <c r="HM80" s="675">
        <v>0</v>
      </c>
      <c r="HN80" s="675">
        <v>0</v>
      </c>
      <c r="HO80" s="675">
        <v>0</v>
      </c>
      <c r="HP80" s="675">
        <v>0</v>
      </c>
      <c r="HQ80" s="675">
        <v>0</v>
      </c>
      <c r="HR80" s="675">
        <v>0</v>
      </c>
      <c r="HS80" s="675">
        <v>0</v>
      </c>
      <c r="HT80" s="675">
        <v>0</v>
      </c>
      <c r="HU80" s="675">
        <v>0</v>
      </c>
      <c r="HV80" s="675">
        <v>0</v>
      </c>
      <c r="HW80" s="675">
        <v>0</v>
      </c>
      <c r="HX80" s="675">
        <v>0</v>
      </c>
      <c r="HY80" s="675">
        <v>0</v>
      </c>
      <c r="HZ80" s="675">
        <v>0</v>
      </c>
      <c r="IA80" s="675">
        <v>0</v>
      </c>
      <c r="IB80" s="675">
        <v>0</v>
      </c>
      <c r="IC80" s="675">
        <v>0</v>
      </c>
      <c r="ID80" s="675">
        <v>0</v>
      </c>
      <c r="IE80" s="675">
        <v>0</v>
      </c>
      <c r="IF80" s="675">
        <v>0</v>
      </c>
      <c r="IG80" s="675">
        <v>0</v>
      </c>
      <c r="IH80" s="675">
        <v>0</v>
      </c>
      <c r="II80" s="675">
        <v>0</v>
      </c>
      <c r="IJ80" s="675">
        <v>0</v>
      </c>
      <c r="IK80" s="675">
        <v>0</v>
      </c>
      <c r="IL80" s="675">
        <v>0</v>
      </c>
      <c r="IM80" s="675">
        <v>0</v>
      </c>
      <c r="IN80" s="675">
        <v>0</v>
      </c>
      <c r="IO80" s="675">
        <v>0</v>
      </c>
      <c r="IP80" s="675">
        <v>0</v>
      </c>
      <c r="IQ80" s="675">
        <v>0</v>
      </c>
      <c r="IR80" s="675">
        <v>0</v>
      </c>
      <c r="IS80" s="675">
        <v>0</v>
      </c>
      <c r="IT80" s="675">
        <v>0</v>
      </c>
      <c r="IU80" s="675">
        <v>0</v>
      </c>
      <c r="IV80" s="675">
        <v>0</v>
      </c>
      <c r="IW80" s="675">
        <v>0</v>
      </c>
      <c r="IX80" s="675">
        <v>0</v>
      </c>
      <c r="IY80" s="675">
        <v>0</v>
      </c>
      <c r="IZ80" s="675">
        <v>0</v>
      </c>
      <c r="JA80" s="675">
        <v>0</v>
      </c>
      <c r="JB80" s="675">
        <v>0</v>
      </c>
      <c r="JC80" s="675">
        <v>0</v>
      </c>
      <c r="JD80" s="675">
        <v>0</v>
      </c>
      <c r="JE80" s="675">
        <v>0</v>
      </c>
      <c r="JF80" s="675">
        <v>0</v>
      </c>
      <c r="JG80" s="675">
        <v>0</v>
      </c>
      <c r="JH80" s="675">
        <v>0</v>
      </c>
      <c r="JI80" s="675">
        <v>0</v>
      </c>
      <c r="JJ80" s="675">
        <v>0</v>
      </c>
      <c r="JK80" s="675">
        <v>0</v>
      </c>
      <c r="JL80" s="675">
        <v>0</v>
      </c>
      <c r="JM80" s="675">
        <v>0</v>
      </c>
      <c r="JN80" s="675">
        <v>32469</v>
      </c>
      <c r="JO80" s="675">
        <v>0</v>
      </c>
      <c r="JP80" s="675">
        <v>0</v>
      </c>
      <c r="JQ80" s="675">
        <v>0</v>
      </c>
      <c r="JR80" s="675">
        <v>0</v>
      </c>
      <c r="JS80" s="675">
        <v>0</v>
      </c>
      <c r="JT80" s="675">
        <v>0</v>
      </c>
      <c r="JU80" s="675">
        <v>0</v>
      </c>
      <c r="JV80" s="675">
        <v>0</v>
      </c>
      <c r="JW80" s="675">
        <v>0</v>
      </c>
      <c r="JX80" s="675">
        <v>0</v>
      </c>
      <c r="JY80" s="675">
        <v>0</v>
      </c>
      <c r="JZ80" s="675">
        <v>0</v>
      </c>
      <c r="KA80" s="675">
        <v>0</v>
      </c>
      <c r="KB80" s="675">
        <v>0</v>
      </c>
      <c r="KC80" s="675">
        <v>0</v>
      </c>
      <c r="KD80" s="675">
        <v>0</v>
      </c>
      <c r="KE80" s="675">
        <v>0</v>
      </c>
      <c r="KF80" s="675">
        <v>0</v>
      </c>
    </row>
    <row r="81" spans="1:292" x14ac:dyDescent="0.25">
      <c r="A81" s="675">
        <v>71807</v>
      </c>
      <c r="B81" s="675">
        <v>32570</v>
      </c>
      <c r="C81" s="675">
        <v>35</v>
      </c>
      <c r="D81" s="675">
        <v>2022</v>
      </c>
      <c r="E81" s="675">
        <v>5392</v>
      </c>
      <c r="F81" s="675">
        <v>0</v>
      </c>
      <c r="G81" s="675">
        <v>190.178</v>
      </c>
      <c r="H81" s="675">
        <v>189.232</v>
      </c>
      <c r="I81" s="675">
        <v>189.232</v>
      </c>
      <c r="J81" s="675">
        <v>190.178</v>
      </c>
      <c r="K81" s="675">
        <v>0</v>
      </c>
      <c r="L81" s="675">
        <v>6554</v>
      </c>
      <c r="M81" s="675">
        <v>0</v>
      </c>
      <c r="N81" s="675">
        <v>0</v>
      </c>
      <c r="O81" s="675">
        <v>0</v>
      </c>
      <c r="P81" s="675">
        <v>205.81800000000001</v>
      </c>
      <c r="Q81" s="675">
        <v>0</v>
      </c>
      <c r="R81" s="675">
        <v>65803</v>
      </c>
      <c r="S81" s="675">
        <v>319.71300000000002</v>
      </c>
      <c r="T81" s="675">
        <v>0</v>
      </c>
      <c r="U81" s="675">
        <v>65803</v>
      </c>
      <c r="V81" s="675">
        <v>151.60400000000001</v>
      </c>
      <c r="W81" s="675">
        <v>99361</v>
      </c>
      <c r="X81" s="675">
        <v>99361</v>
      </c>
      <c r="Y81" s="675">
        <v>0</v>
      </c>
      <c r="Z81" s="675">
        <v>0</v>
      </c>
      <c r="AA81" s="675">
        <v>1</v>
      </c>
      <c r="AB81" s="675">
        <v>1</v>
      </c>
      <c r="AC81" s="675">
        <v>0</v>
      </c>
      <c r="AD81" s="675" t="s">
        <v>316</v>
      </c>
      <c r="AE81" s="675">
        <v>0</v>
      </c>
      <c r="AF81" s="675">
        <v>0</v>
      </c>
      <c r="AG81" s="675">
        <v>0</v>
      </c>
      <c r="AH81" s="675">
        <v>0</v>
      </c>
      <c r="AI81" s="675">
        <v>0</v>
      </c>
      <c r="AJ81" s="675">
        <v>5104</v>
      </c>
      <c r="AK81" s="675" t="s">
        <v>671</v>
      </c>
      <c r="AL81" s="675" t="s">
        <v>64</v>
      </c>
      <c r="AM81" s="675">
        <v>0</v>
      </c>
      <c r="AN81" s="675">
        <v>0</v>
      </c>
      <c r="AO81" s="675">
        <v>0</v>
      </c>
      <c r="AP81" s="675">
        <v>0</v>
      </c>
      <c r="AQ81" s="675">
        <v>0</v>
      </c>
      <c r="AR81" s="675">
        <v>0</v>
      </c>
      <c r="AS81" s="675">
        <v>0</v>
      </c>
      <c r="AT81" s="675">
        <v>0</v>
      </c>
      <c r="AU81" s="675">
        <v>0</v>
      </c>
      <c r="AV81" s="675">
        <v>217665</v>
      </c>
      <c r="AW81" s="675">
        <v>1835485</v>
      </c>
      <c r="AX81" s="675">
        <v>1835485</v>
      </c>
      <c r="AY81" s="675">
        <v>2280086</v>
      </c>
      <c r="AZ81" s="675">
        <v>65803</v>
      </c>
      <c r="BA81" s="675">
        <v>0</v>
      </c>
      <c r="BB81" s="675">
        <v>0</v>
      </c>
      <c r="BC81" s="675">
        <v>0</v>
      </c>
      <c r="BD81" s="675">
        <v>0</v>
      </c>
      <c r="BE81" s="675">
        <v>0</v>
      </c>
      <c r="BF81" s="675">
        <v>1566127</v>
      </c>
      <c r="BG81" s="675">
        <v>0</v>
      </c>
      <c r="BH81" s="675">
        <v>0</v>
      </c>
      <c r="BI81" s="675">
        <v>0</v>
      </c>
      <c r="BJ81" s="675">
        <v>12</v>
      </c>
      <c r="BK81" s="675">
        <v>0</v>
      </c>
      <c r="BL81" s="675">
        <v>0</v>
      </c>
      <c r="BM81" s="675">
        <v>0</v>
      </c>
      <c r="BN81" s="675">
        <v>0</v>
      </c>
      <c r="BO81" s="675">
        <v>0</v>
      </c>
      <c r="BP81" s="675">
        <v>0</v>
      </c>
      <c r="BQ81" s="675">
        <v>5392</v>
      </c>
      <c r="BR81" s="675">
        <v>1</v>
      </c>
      <c r="BS81" s="675">
        <v>0</v>
      </c>
      <c r="BT81" s="675">
        <v>0</v>
      </c>
      <c r="BU81" s="675">
        <v>0</v>
      </c>
      <c r="BV81" s="675">
        <v>0</v>
      </c>
      <c r="BW81" s="675">
        <v>0</v>
      </c>
      <c r="BX81" s="675">
        <v>0</v>
      </c>
      <c r="BY81" s="675">
        <v>0</v>
      </c>
      <c r="BZ81" s="675">
        <v>0</v>
      </c>
      <c r="CA81" s="675">
        <v>0</v>
      </c>
      <c r="CB81" s="675">
        <v>0</v>
      </c>
      <c r="CC81" s="675">
        <v>0</v>
      </c>
      <c r="CD81" s="675">
        <v>0</v>
      </c>
      <c r="CE81" s="675">
        <v>0</v>
      </c>
      <c r="CF81" s="675">
        <v>0</v>
      </c>
      <c r="CG81" s="675">
        <v>0</v>
      </c>
      <c r="CH81" s="675">
        <v>0</v>
      </c>
      <c r="CI81" s="675">
        <v>0</v>
      </c>
      <c r="CJ81" s="675">
        <v>4</v>
      </c>
      <c r="CK81" s="675">
        <v>0</v>
      </c>
      <c r="CL81" s="675">
        <v>0</v>
      </c>
      <c r="CM81" s="675">
        <v>0</v>
      </c>
      <c r="CN81" s="675">
        <v>0</v>
      </c>
      <c r="CO81" s="675">
        <v>0</v>
      </c>
      <c r="CP81" s="675">
        <v>0</v>
      </c>
      <c r="CQ81" s="675">
        <v>0</v>
      </c>
      <c r="CR81" s="675">
        <v>205.81800000000001</v>
      </c>
      <c r="CS81" s="675">
        <v>0</v>
      </c>
      <c r="CT81" s="675">
        <v>0</v>
      </c>
      <c r="CU81" s="675">
        <v>0</v>
      </c>
      <c r="CV81" s="675">
        <v>0</v>
      </c>
      <c r="CW81" s="675">
        <v>0</v>
      </c>
      <c r="CX81" s="675">
        <v>0</v>
      </c>
      <c r="CY81" s="675">
        <v>0</v>
      </c>
      <c r="CZ81" s="675">
        <v>0</v>
      </c>
      <c r="DA81" s="675">
        <v>1</v>
      </c>
      <c r="DB81" s="675">
        <v>1240227</v>
      </c>
      <c r="DC81" s="675">
        <v>0</v>
      </c>
      <c r="DD81" s="675">
        <v>0</v>
      </c>
      <c r="DE81" s="675">
        <v>248619</v>
      </c>
      <c r="DF81" s="675">
        <v>248619</v>
      </c>
      <c r="DG81" s="675">
        <v>189.67000000000002</v>
      </c>
      <c r="DH81" s="675">
        <v>0</v>
      </c>
      <c r="DI81" s="675">
        <v>0</v>
      </c>
      <c r="DJ81" s="675">
        <v>0</v>
      </c>
      <c r="DK81" s="675">
        <v>5392</v>
      </c>
      <c r="DL81" s="675">
        <v>0</v>
      </c>
      <c r="DM81" s="675">
        <v>20920</v>
      </c>
      <c r="DN81" s="675">
        <v>0</v>
      </c>
      <c r="DO81" s="675">
        <v>0</v>
      </c>
      <c r="DP81" s="675">
        <v>0</v>
      </c>
      <c r="DQ81" s="675">
        <v>0</v>
      </c>
      <c r="DR81" s="675">
        <v>0</v>
      </c>
      <c r="DS81" s="675">
        <v>0</v>
      </c>
      <c r="DT81" s="675">
        <v>0</v>
      </c>
      <c r="DU81" s="675">
        <v>0</v>
      </c>
      <c r="DV81" s="675">
        <v>0</v>
      </c>
      <c r="DW81" s="675">
        <v>0</v>
      </c>
      <c r="DX81" s="675">
        <v>0</v>
      </c>
      <c r="DY81" s="675">
        <v>0</v>
      </c>
      <c r="DZ81" s="675">
        <v>0</v>
      </c>
      <c r="EA81" s="675">
        <v>0</v>
      </c>
      <c r="EB81" s="675">
        <v>0</v>
      </c>
      <c r="EC81" s="675">
        <v>0</v>
      </c>
      <c r="ED81" s="675">
        <v>0</v>
      </c>
      <c r="EE81" s="675">
        <v>0</v>
      </c>
      <c r="EF81" s="675">
        <v>0</v>
      </c>
      <c r="EG81" s="675">
        <v>0</v>
      </c>
      <c r="EH81" s="675">
        <v>20920</v>
      </c>
      <c r="EI81" s="675">
        <v>0</v>
      </c>
      <c r="EJ81" s="675">
        <v>0</v>
      </c>
      <c r="EK81" s="675">
        <v>0.76900000000000002</v>
      </c>
      <c r="EL81" s="675">
        <v>0</v>
      </c>
      <c r="EM81" s="675">
        <v>0</v>
      </c>
      <c r="EN81" s="675">
        <v>0.17700000000000002</v>
      </c>
      <c r="EO81" s="675">
        <v>0</v>
      </c>
      <c r="EP81" s="675">
        <v>0</v>
      </c>
      <c r="EQ81" s="675">
        <v>0.94600000000000006</v>
      </c>
      <c r="ER81" s="675">
        <v>0</v>
      </c>
      <c r="ES81" s="675">
        <v>3.1920000000000002</v>
      </c>
      <c r="ET81" s="675">
        <v>0</v>
      </c>
      <c r="EU81" s="675">
        <v>65803</v>
      </c>
      <c r="EV81" s="675">
        <v>0</v>
      </c>
      <c r="EW81" s="675">
        <v>0</v>
      </c>
      <c r="EX81" s="675">
        <v>0</v>
      </c>
      <c r="EY81" s="675">
        <v>0</v>
      </c>
      <c r="EZ81" s="675">
        <v>1543324</v>
      </c>
      <c r="FA81" s="675">
        <v>0</v>
      </c>
      <c r="FB81" s="675">
        <v>1609127</v>
      </c>
      <c r="FC81" s="675">
        <v>0.97327799999999998</v>
      </c>
      <c r="FD81" s="675">
        <v>0</v>
      </c>
      <c r="FE81" s="675">
        <v>238431</v>
      </c>
      <c r="FF81" s="675">
        <v>53730</v>
      </c>
      <c r="FG81" s="675">
        <v>6.1239999999999996E-2</v>
      </c>
      <c r="FH81" s="675">
        <v>5.4803999999999999E-2</v>
      </c>
      <c r="FI81" s="675">
        <v>0</v>
      </c>
      <c r="FJ81" s="675">
        <v>0</v>
      </c>
      <c r="FK81" s="675">
        <v>306.85400000000004</v>
      </c>
      <c r="FL81" s="675">
        <v>1901288</v>
      </c>
      <c r="FM81" s="675">
        <v>0</v>
      </c>
      <c r="FN81" s="675">
        <v>0</v>
      </c>
      <c r="FO81" s="675">
        <v>0</v>
      </c>
      <c r="FP81" s="675">
        <v>0</v>
      </c>
      <c r="FQ81" s="675">
        <v>0</v>
      </c>
      <c r="FR81" s="675">
        <v>0</v>
      </c>
      <c r="FS81" s="675">
        <v>0</v>
      </c>
      <c r="FT81" s="675">
        <v>0</v>
      </c>
      <c r="FU81" s="675">
        <v>0</v>
      </c>
      <c r="FV81" s="675">
        <v>0</v>
      </c>
      <c r="FW81" s="675">
        <v>0</v>
      </c>
      <c r="FX81" s="675">
        <v>0</v>
      </c>
      <c r="FY81" s="675">
        <v>0</v>
      </c>
      <c r="FZ81" s="675">
        <v>0</v>
      </c>
      <c r="GA81" s="675">
        <v>0</v>
      </c>
      <c r="GB81" s="675">
        <v>0</v>
      </c>
      <c r="GC81" s="675">
        <v>0</v>
      </c>
      <c r="GD81" s="675">
        <v>0</v>
      </c>
      <c r="GE81" s="675">
        <v>0</v>
      </c>
      <c r="GF81" s="675">
        <v>0</v>
      </c>
      <c r="GG81" s="675">
        <v>0</v>
      </c>
      <c r="GH81" s="675">
        <v>0</v>
      </c>
      <c r="GI81" s="675">
        <v>0</v>
      </c>
      <c r="GJ81" s="675">
        <v>0</v>
      </c>
      <c r="GK81" s="675">
        <v>4971</v>
      </c>
      <c r="GL81" s="675">
        <v>3806</v>
      </c>
      <c r="GM81" s="675">
        <v>0</v>
      </c>
      <c r="GN81" s="675">
        <v>0</v>
      </c>
      <c r="GO81" s="675">
        <v>0</v>
      </c>
      <c r="GP81" s="675">
        <v>1901288</v>
      </c>
      <c r="GQ81" s="675">
        <v>1901288</v>
      </c>
      <c r="GR81" s="675">
        <v>0</v>
      </c>
      <c r="GS81" s="675">
        <v>0</v>
      </c>
      <c r="GT81" s="675">
        <v>0</v>
      </c>
      <c r="GU81" s="675">
        <v>0</v>
      </c>
      <c r="GV81" s="675">
        <v>0</v>
      </c>
      <c r="GW81" s="675">
        <v>0</v>
      </c>
      <c r="GX81" s="675">
        <v>0</v>
      </c>
      <c r="GY81" s="675">
        <v>0</v>
      </c>
      <c r="GZ81" s="675">
        <v>0</v>
      </c>
      <c r="HA81" s="675">
        <v>0</v>
      </c>
      <c r="HB81" s="675">
        <v>0</v>
      </c>
      <c r="HC81" s="675">
        <v>0</v>
      </c>
      <c r="HD81" s="675">
        <v>0</v>
      </c>
      <c r="HE81" s="675">
        <v>0</v>
      </c>
      <c r="HF81" s="675">
        <v>0</v>
      </c>
      <c r="HG81" s="675">
        <v>0</v>
      </c>
      <c r="HH81" s="675">
        <v>0</v>
      </c>
      <c r="HI81" s="675">
        <v>0</v>
      </c>
      <c r="HJ81" s="675">
        <v>0</v>
      </c>
      <c r="HK81" s="675">
        <v>0</v>
      </c>
      <c r="HL81" s="675">
        <v>0</v>
      </c>
      <c r="HM81" s="675">
        <v>0</v>
      </c>
      <c r="HN81" s="675">
        <v>0</v>
      </c>
      <c r="HO81" s="675">
        <v>0</v>
      </c>
      <c r="HP81" s="675">
        <v>0</v>
      </c>
      <c r="HQ81" s="675">
        <v>0</v>
      </c>
      <c r="HR81" s="675">
        <v>0</v>
      </c>
      <c r="HS81" s="675">
        <v>0</v>
      </c>
      <c r="HT81" s="675">
        <v>0</v>
      </c>
      <c r="HU81" s="675">
        <v>0</v>
      </c>
      <c r="HV81" s="675">
        <v>0</v>
      </c>
      <c r="HW81" s="675">
        <v>0</v>
      </c>
      <c r="HX81" s="675">
        <v>0</v>
      </c>
      <c r="HY81" s="675">
        <v>0</v>
      </c>
      <c r="HZ81" s="675">
        <v>0</v>
      </c>
      <c r="IA81" s="675">
        <v>0</v>
      </c>
      <c r="IB81" s="675">
        <v>0</v>
      </c>
      <c r="IC81" s="675">
        <v>0</v>
      </c>
      <c r="ID81" s="675">
        <v>0</v>
      </c>
      <c r="IE81" s="675">
        <v>139.51500000000001</v>
      </c>
      <c r="IF81" s="675">
        <v>0</v>
      </c>
      <c r="IG81" s="675">
        <v>0</v>
      </c>
      <c r="IH81" s="675">
        <v>0</v>
      </c>
      <c r="II81" s="675">
        <v>0</v>
      </c>
      <c r="IJ81" s="675">
        <v>0</v>
      </c>
      <c r="IK81" s="675">
        <v>0</v>
      </c>
      <c r="IL81" s="675">
        <v>0</v>
      </c>
      <c r="IM81" s="675">
        <v>0</v>
      </c>
      <c r="IN81" s="675">
        <v>0</v>
      </c>
      <c r="IO81" s="675">
        <v>0</v>
      </c>
      <c r="IP81" s="675">
        <v>0</v>
      </c>
      <c r="IQ81" s="675">
        <v>0</v>
      </c>
      <c r="IR81" s="675">
        <v>0</v>
      </c>
      <c r="IS81" s="675">
        <v>0</v>
      </c>
      <c r="IT81" s="675">
        <v>0</v>
      </c>
      <c r="IU81" s="675">
        <v>0</v>
      </c>
      <c r="IV81" s="675">
        <v>0</v>
      </c>
      <c r="IW81" s="675">
        <v>0</v>
      </c>
      <c r="IX81" s="675">
        <v>0</v>
      </c>
      <c r="IY81" s="675">
        <v>0</v>
      </c>
      <c r="IZ81" s="675">
        <v>0</v>
      </c>
      <c r="JA81" s="675">
        <v>0</v>
      </c>
      <c r="JB81" s="675">
        <v>0</v>
      </c>
      <c r="JC81" s="675">
        <v>0</v>
      </c>
      <c r="JD81" s="675">
        <v>0</v>
      </c>
      <c r="JE81" s="675">
        <v>0</v>
      </c>
      <c r="JF81" s="675">
        <v>0</v>
      </c>
      <c r="JG81" s="675">
        <v>0</v>
      </c>
      <c r="JH81" s="675">
        <v>0</v>
      </c>
      <c r="JI81" s="675">
        <v>0</v>
      </c>
      <c r="JJ81" s="675">
        <v>0</v>
      </c>
      <c r="JK81" s="675">
        <v>0</v>
      </c>
      <c r="JL81" s="675">
        <v>0</v>
      </c>
      <c r="JM81" s="675">
        <v>0</v>
      </c>
      <c r="JN81" s="675">
        <v>32469</v>
      </c>
      <c r="JO81" s="675">
        <v>0</v>
      </c>
      <c r="JP81" s="675">
        <v>0</v>
      </c>
      <c r="JQ81" s="675">
        <v>0</v>
      </c>
      <c r="JR81" s="675">
        <v>0</v>
      </c>
      <c r="JS81" s="675">
        <v>0</v>
      </c>
      <c r="JT81" s="675">
        <v>0</v>
      </c>
      <c r="JU81" s="675">
        <v>0</v>
      </c>
      <c r="JV81" s="675">
        <v>0</v>
      </c>
      <c r="JW81" s="675">
        <v>0</v>
      </c>
      <c r="JX81" s="675">
        <v>0</v>
      </c>
      <c r="JY81" s="675">
        <v>0</v>
      </c>
      <c r="JZ81" s="675">
        <v>0</v>
      </c>
      <c r="KA81" s="675">
        <v>0</v>
      </c>
      <c r="KB81" s="675">
        <v>0</v>
      </c>
      <c r="KC81" s="675">
        <v>0</v>
      </c>
      <c r="KD81" s="675">
        <v>0</v>
      </c>
      <c r="KE81" s="675">
        <v>0</v>
      </c>
      <c r="KF81" s="675">
        <v>0</v>
      </c>
    </row>
    <row r="82" spans="1:292" x14ac:dyDescent="0.25">
      <c r="A82" s="675">
        <v>71809</v>
      </c>
      <c r="B82" s="675">
        <v>32570</v>
      </c>
      <c r="C82" s="675">
        <v>35</v>
      </c>
      <c r="D82" s="675">
        <v>2022</v>
      </c>
      <c r="E82" s="675">
        <v>5392</v>
      </c>
      <c r="F82" s="675">
        <v>0</v>
      </c>
      <c r="G82" s="675">
        <v>277.44499999999999</v>
      </c>
      <c r="H82" s="675">
        <v>277.09700000000004</v>
      </c>
      <c r="I82" s="675">
        <v>277.09700000000004</v>
      </c>
      <c r="J82" s="675">
        <v>277.44499999999999</v>
      </c>
      <c r="K82" s="675">
        <v>0</v>
      </c>
      <c r="L82" s="675">
        <v>6554</v>
      </c>
      <c r="M82" s="675">
        <v>0</v>
      </c>
      <c r="N82" s="675">
        <v>0</v>
      </c>
      <c r="O82" s="675">
        <v>0</v>
      </c>
      <c r="P82" s="675">
        <v>318.13100000000003</v>
      </c>
      <c r="Q82" s="675">
        <v>0</v>
      </c>
      <c r="R82" s="675">
        <v>101711</v>
      </c>
      <c r="S82" s="675">
        <v>319.71300000000002</v>
      </c>
      <c r="T82" s="675">
        <v>0</v>
      </c>
      <c r="U82" s="675">
        <v>101711</v>
      </c>
      <c r="V82" s="675">
        <v>99.153000000000006</v>
      </c>
      <c r="W82" s="675">
        <v>64985</v>
      </c>
      <c r="X82" s="675">
        <v>64985</v>
      </c>
      <c r="Y82" s="675">
        <v>0</v>
      </c>
      <c r="Z82" s="675">
        <v>0</v>
      </c>
      <c r="AA82" s="675">
        <v>1</v>
      </c>
      <c r="AB82" s="675">
        <v>1</v>
      </c>
      <c r="AC82" s="675">
        <v>0</v>
      </c>
      <c r="AD82" s="675" t="s">
        <v>316</v>
      </c>
      <c r="AE82" s="675">
        <v>0</v>
      </c>
      <c r="AF82" s="675">
        <v>0</v>
      </c>
      <c r="AG82" s="675">
        <v>0</v>
      </c>
      <c r="AH82" s="675">
        <v>0</v>
      </c>
      <c r="AI82" s="675">
        <v>0</v>
      </c>
      <c r="AJ82" s="675">
        <v>5104</v>
      </c>
      <c r="AK82" s="675" t="s">
        <v>671</v>
      </c>
      <c r="AL82" s="675" t="s">
        <v>340</v>
      </c>
      <c r="AM82" s="675">
        <v>0</v>
      </c>
      <c r="AN82" s="675">
        <v>0</v>
      </c>
      <c r="AO82" s="675">
        <v>0</v>
      </c>
      <c r="AP82" s="675">
        <v>0</v>
      </c>
      <c r="AQ82" s="675">
        <v>0</v>
      </c>
      <c r="AR82" s="675">
        <v>0</v>
      </c>
      <c r="AS82" s="675">
        <v>0</v>
      </c>
      <c r="AT82" s="675">
        <v>0</v>
      </c>
      <c r="AU82" s="675">
        <v>0</v>
      </c>
      <c r="AV82" s="675">
        <v>5635</v>
      </c>
      <c r="AW82" s="675">
        <v>2557023</v>
      </c>
      <c r="AX82" s="675">
        <v>2497095</v>
      </c>
      <c r="AY82" s="675">
        <v>2725426</v>
      </c>
      <c r="AZ82" s="675">
        <v>101711</v>
      </c>
      <c r="BA82" s="675">
        <v>10.5</v>
      </c>
      <c r="BB82" s="675">
        <v>0</v>
      </c>
      <c r="BC82" s="675">
        <v>0</v>
      </c>
      <c r="BD82" s="675">
        <v>0</v>
      </c>
      <c r="BE82" s="675">
        <v>0</v>
      </c>
      <c r="BF82" s="675">
        <v>2140687</v>
      </c>
      <c r="BG82" s="675">
        <v>0</v>
      </c>
      <c r="BH82" s="675">
        <v>0</v>
      </c>
      <c r="BI82" s="675">
        <v>0</v>
      </c>
      <c r="BJ82" s="675">
        <v>12</v>
      </c>
      <c r="BK82" s="675">
        <v>0</v>
      </c>
      <c r="BL82" s="675">
        <v>0</v>
      </c>
      <c r="BM82" s="675">
        <v>0</v>
      </c>
      <c r="BN82" s="675">
        <v>0</v>
      </c>
      <c r="BO82" s="675">
        <v>0</v>
      </c>
      <c r="BP82" s="675">
        <v>0</v>
      </c>
      <c r="BQ82" s="675">
        <v>5392</v>
      </c>
      <c r="BR82" s="675">
        <v>1</v>
      </c>
      <c r="BS82" s="675">
        <v>0</v>
      </c>
      <c r="BT82" s="675">
        <v>0</v>
      </c>
      <c r="BU82" s="675">
        <v>0</v>
      </c>
      <c r="BV82" s="675">
        <v>0</v>
      </c>
      <c r="BW82" s="675">
        <v>0</v>
      </c>
      <c r="BX82" s="675">
        <v>0</v>
      </c>
      <c r="BY82" s="675">
        <v>0</v>
      </c>
      <c r="BZ82" s="675">
        <v>0</v>
      </c>
      <c r="CA82" s="675">
        <v>0</v>
      </c>
      <c r="CB82" s="675">
        <v>0</v>
      </c>
      <c r="CC82" s="675">
        <v>0</v>
      </c>
      <c r="CD82" s="675">
        <v>0</v>
      </c>
      <c r="CE82" s="675">
        <v>0</v>
      </c>
      <c r="CF82" s="675">
        <v>0</v>
      </c>
      <c r="CG82" s="675">
        <v>0</v>
      </c>
      <c r="CH82" s="675">
        <v>59928</v>
      </c>
      <c r="CI82" s="675">
        <v>0</v>
      </c>
      <c r="CJ82" s="675">
        <v>4</v>
      </c>
      <c r="CK82" s="675">
        <v>0</v>
      </c>
      <c r="CL82" s="675">
        <v>0</v>
      </c>
      <c r="CM82" s="675">
        <v>0</v>
      </c>
      <c r="CN82" s="675">
        <v>0</v>
      </c>
      <c r="CO82" s="675">
        <v>0</v>
      </c>
      <c r="CP82" s="675">
        <v>0</v>
      </c>
      <c r="CQ82" s="675">
        <v>0</v>
      </c>
      <c r="CR82" s="675">
        <v>318.13100000000003</v>
      </c>
      <c r="CS82" s="675">
        <v>0</v>
      </c>
      <c r="CT82" s="675">
        <v>0</v>
      </c>
      <c r="CU82" s="675">
        <v>0</v>
      </c>
      <c r="CV82" s="675">
        <v>0</v>
      </c>
      <c r="CW82" s="675">
        <v>0</v>
      </c>
      <c r="CX82" s="675">
        <v>0</v>
      </c>
      <c r="CY82" s="675">
        <v>0</v>
      </c>
      <c r="CZ82" s="675">
        <v>0</v>
      </c>
      <c r="DA82" s="675">
        <v>1</v>
      </c>
      <c r="DB82" s="675">
        <v>1816094</v>
      </c>
      <c r="DC82" s="675">
        <v>0</v>
      </c>
      <c r="DD82" s="675">
        <v>0</v>
      </c>
      <c r="DE82" s="675">
        <v>257140</v>
      </c>
      <c r="DF82" s="675">
        <v>257140</v>
      </c>
      <c r="DG82" s="675">
        <v>196.17000000000002</v>
      </c>
      <c r="DH82" s="675">
        <v>0</v>
      </c>
      <c r="DI82" s="675">
        <v>0</v>
      </c>
      <c r="DJ82" s="675">
        <v>0</v>
      </c>
      <c r="DK82" s="675">
        <v>5392</v>
      </c>
      <c r="DL82" s="675">
        <v>0</v>
      </c>
      <c r="DM82" s="675">
        <v>61243</v>
      </c>
      <c r="DN82" s="675">
        <v>0</v>
      </c>
      <c r="DO82" s="675">
        <v>0</v>
      </c>
      <c r="DP82" s="675">
        <v>0</v>
      </c>
      <c r="DQ82" s="675">
        <v>0</v>
      </c>
      <c r="DR82" s="675">
        <v>0</v>
      </c>
      <c r="DS82" s="675">
        <v>0</v>
      </c>
      <c r="DT82" s="675">
        <v>0</v>
      </c>
      <c r="DU82" s="675">
        <v>0</v>
      </c>
      <c r="DV82" s="675">
        <v>0</v>
      </c>
      <c r="DW82" s="675">
        <v>0</v>
      </c>
      <c r="DX82" s="675">
        <v>0</v>
      </c>
      <c r="DY82" s="675">
        <v>0</v>
      </c>
      <c r="DZ82" s="675">
        <v>0</v>
      </c>
      <c r="EA82" s="675">
        <v>0</v>
      </c>
      <c r="EB82" s="675">
        <v>0</v>
      </c>
      <c r="EC82" s="675">
        <v>6.9130000000000003</v>
      </c>
      <c r="ED82" s="675">
        <v>49839</v>
      </c>
      <c r="EE82" s="675">
        <v>0</v>
      </c>
      <c r="EF82" s="675">
        <v>0</v>
      </c>
      <c r="EG82" s="675">
        <v>0</v>
      </c>
      <c r="EH82" s="675">
        <v>11404</v>
      </c>
      <c r="EI82" s="675">
        <v>0</v>
      </c>
      <c r="EJ82" s="675">
        <v>0</v>
      </c>
      <c r="EK82" s="675">
        <v>0</v>
      </c>
      <c r="EL82" s="675">
        <v>0</v>
      </c>
      <c r="EM82" s="675">
        <v>0</v>
      </c>
      <c r="EN82" s="675">
        <v>0.34800000000000003</v>
      </c>
      <c r="EO82" s="675">
        <v>0</v>
      </c>
      <c r="EP82" s="675">
        <v>0</v>
      </c>
      <c r="EQ82" s="675">
        <v>0.34800000000000003</v>
      </c>
      <c r="ER82" s="675">
        <v>0</v>
      </c>
      <c r="ES82" s="675">
        <v>1.74</v>
      </c>
      <c r="ET82" s="675">
        <v>5250</v>
      </c>
      <c r="EU82" s="675">
        <v>101711</v>
      </c>
      <c r="EV82" s="675">
        <v>0</v>
      </c>
      <c r="EW82" s="675">
        <v>0</v>
      </c>
      <c r="EX82" s="675">
        <v>0</v>
      </c>
      <c r="EY82" s="675">
        <v>0</v>
      </c>
      <c r="EZ82" s="675">
        <v>2097751</v>
      </c>
      <c r="FA82" s="675">
        <v>0</v>
      </c>
      <c r="FB82" s="675">
        <v>2199462</v>
      </c>
      <c r="FC82" s="675">
        <v>0.97327799999999998</v>
      </c>
      <c r="FD82" s="675">
        <v>0</v>
      </c>
      <c r="FE82" s="675">
        <v>325902</v>
      </c>
      <c r="FF82" s="675">
        <v>73442</v>
      </c>
      <c r="FG82" s="675">
        <v>6.1239999999999996E-2</v>
      </c>
      <c r="FH82" s="675">
        <v>5.4803999999999999E-2</v>
      </c>
      <c r="FI82" s="675">
        <v>0</v>
      </c>
      <c r="FJ82" s="675">
        <v>0</v>
      </c>
      <c r="FK82" s="675">
        <v>419.428</v>
      </c>
      <c r="FL82" s="675">
        <v>2658734</v>
      </c>
      <c r="FM82" s="675">
        <v>0</v>
      </c>
      <c r="FN82" s="675">
        <v>0</v>
      </c>
      <c r="FO82" s="675">
        <v>0</v>
      </c>
      <c r="FP82" s="675">
        <v>0</v>
      </c>
      <c r="FQ82" s="675">
        <v>0</v>
      </c>
      <c r="FR82" s="675">
        <v>0</v>
      </c>
      <c r="FS82" s="675">
        <v>0</v>
      </c>
      <c r="FT82" s="675">
        <v>0</v>
      </c>
      <c r="FU82" s="675">
        <v>0</v>
      </c>
      <c r="FV82" s="675">
        <v>0</v>
      </c>
      <c r="FW82" s="675">
        <v>0</v>
      </c>
      <c r="FX82" s="675">
        <v>0</v>
      </c>
      <c r="FY82" s="675">
        <v>0</v>
      </c>
      <c r="FZ82" s="675">
        <v>0</v>
      </c>
      <c r="GA82" s="675">
        <v>0</v>
      </c>
      <c r="GB82" s="675">
        <v>0</v>
      </c>
      <c r="GC82" s="675">
        <v>0</v>
      </c>
      <c r="GD82" s="675">
        <v>0</v>
      </c>
      <c r="GE82" s="675">
        <v>0</v>
      </c>
      <c r="GF82" s="675">
        <v>0</v>
      </c>
      <c r="GG82" s="675">
        <v>0</v>
      </c>
      <c r="GH82" s="675">
        <v>0</v>
      </c>
      <c r="GI82" s="675">
        <v>0</v>
      </c>
      <c r="GJ82" s="675">
        <v>0</v>
      </c>
      <c r="GK82" s="675">
        <v>4971</v>
      </c>
      <c r="GL82" s="675">
        <v>0</v>
      </c>
      <c r="GM82" s="675">
        <v>0</v>
      </c>
      <c r="GN82" s="675">
        <v>0</v>
      </c>
      <c r="GO82" s="675">
        <v>0</v>
      </c>
      <c r="GP82" s="675">
        <v>2598806</v>
      </c>
      <c r="GQ82" s="675">
        <v>2598806</v>
      </c>
      <c r="GR82" s="675">
        <v>0</v>
      </c>
      <c r="GS82" s="675">
        <v>0</v>
      </c>
      <c r="GT82" s="675">
        <v>0</v>
      </c>
      <c r="GU82" s="675">
        <v>0</v>
      </c>
      <c r="GV82" s="675">
        <v>0</v>
      </c>
      <c r="GW82" s="675">
        <v>0</v>
      </c>
      <c r="GX82" s="675">
        <v>0</v>
      </c>
      <c r="GY82" s="675">
        <v>0</v>
      </c>
      <c r="GZ82" s="675">
        <v>0</v>
      </c>
      <c r="HA82" s="675">
        <v>0</v>
      </c>
      <c r="HB82" s="675">
        <v>260786259</v>
      </c>
      <c r="HC82" s="675">
        <v>5.0923999999999997E-2</v>
      </c>
      <c r="HD82" s="675">
        <v>54678</v>
      </c>
      <c r="HE82" s="675">
        <v>0</v>
      </c>
      <c r="HF82" s="675">
        <v>0</v>
      </c>
      <c r="HG82" s="675">
        <v>0</v>
      </c>
      <c r="HH82" s="675">
        <v>0</v>
      </c>
      <c r="HI82" s="675">
        <v>0</v>
      </c>
      <c r="HJ82" s="675">
        <v>0</v>
      </c>
      <c r="HK82" s="675">
        <v>0</v>
      </c>
      <c r="HL82" s="675">
        <v>0</v>
      </c>
      <c r="HM82" s="675">
        <v>0</v>
      </c>
      <c r="HN82" s="675">
        <v>0</v>
      </c>
      <c r="HO82" s="675">
        <v>0</v>
      </c>
      <c r="HP82" s="675">
        <v>0</v>
      </c>
      <c r="HQ82" s="675">
        <v>0</v>
      </c>
      <c r="HR82" s="675">
        <v>0</v>
      </c>
      <c r="HS82" s="675">
        <v>0</v>
      </c>
      <c r="HT82" s="675">
        <v>0</v>
      </c>
      <c r="HU82" s="675">
        <v>0</v>
      </c>
      <c r="HV82" s="675">
        <v>0</v>
      </c>
      <c r="HW82" s="675">
        <v>0</v>
      </c>
      <c r="HX82" s="675">
        <v>0</v>
      </c>
      <c r="HY82" s="675">
        <v>0</v>
      </c>
      <c r="HZ82" s="675">
        <v>0</v>
      </c>
      <c r="IA82" s="675">
        <v>0</v>
      </c>
      <c r="IB82" s="675">
        <v>0</v>
      </c>
      <c r="IC82" s="675">
        <v>0</v>
      </c>
      <c r="ID82" s="675">
        <v>0</v>
      </c>
      <c r="IE82" s="675">
        <v>0</v>
      </c>
      <c r="IF82" s="675">
        <v>0</v>
      </c>
      <c r="IG82" s="675">
        <v>0</v>
      </c>
      <c r="IH82" s="675">
        <v>0</v>
      </c>
      <c r="II82" s="675">
        <v>0</v>
      </c>
      <c r="IJ82" s="675">
        <v>0</v>
      </c>
      <c r="IK82" s="675">
        <v>0</v>
      </c>
      <c r="IL82" s="675">
        <v>0</v>
      </c>
      <c r="IM82" s="675">
        <v>0</v>
      </c>
      <c r="IN82" s="675">
        <v>0</v>
      </c>
      <c r="IO82" s="675">
        <v>0</v>
      </c>
      <c r="IP82" s="675">
        <v>0</v>
      </c>
      <c r="IQ82" s="675">
        <v>0</v>
      </c>
      <c r="IR82" s="675">
        <v>0</v>
      </c>
      <c r="IS82" s="675">
        <v>0</v>
      </c>
      <c r="IT82" s="675">
        <v>0</v>
      </c>
      <c r="IU82" s="675">
        <v>0</v>
      </c>
      <c r="IV82" s="675">
        <v>0</v>
      </c>
      <c r="IW82" s="675">
        <v>0</v>
      </c>
      <c r="IX82" s="675">
        <v>0</v>
      </c>
      <c r="IY82" s="675">
        <v>0</v>
      </c>
      <c r="IZ82" s="675">
        <v>0</v>
      </c>
      <c r="JA82" s="675">
        <v>0</v>
      </c>
      <c r="JB82" s="675">
        <v>0</v>
      </c>
      <c r="JC82" s="675">
        <v>0</v>
      </c>
      <c r="JD82" s="675">
        <v>0</v>
      </c>
      <c r="JE82" s="675">
        <v>0</v>
      </c>
      <c r="JF82" s="675">
        <v>0</v>
      </c>
      <c r="JG82" s="675">
        <v>0</v>
      </c>
      <c r="JH82" s="675">
        <v>0</v>
      </c>
      <c r="JI82" s="675">
        <v>0</v>
      </c>
      <c r="JJ82" s="675">
        <v>0</v>
      </c>
      <c r="JK82" s="675">
        <v>0</v>
      </c>
      <c r="JL82" s="675">
        <v>0</v>
      </c>
      <c r="JM82" s="675">
        <v>0</v>
      </c>
      <c r="JN82" s="675">
        <v>32469</v>
      </c>
      <c r="JO82" s="675">
        <v>0</v>
      </c>
      <c r="JP82" s="675">
        <v>0</v>
      </c>
      <c r="JQ82" s="675">
        <v>0</v>
      </c>
      <c r="JR82" s="675">
        <v>0</v>
      </c>
      <c r="JS82" s="675">
        <v>0</v>
      </c>
      <c r="JT82" s="675">
        <v>0</v>
      </c>
      <c r="JU82" s="675">
        <v>0</v>
      </c>
      <c r="JV82" s="675">
        <v>0</v>
      </c>
      <c r="JW82" s="675">
        <v>0</v>
      </c>
      <c r="JX82" s="675">
        <v>0</v>
      </c>
      <c r="JY82" s="675">
        <v>0</v>
      </c>
      <c r="JZ82" s="675">
        <v>0</v>
      </c>
      <c r="KA82" s="675">
        <v>0</v>
      </c>
      <c r="KB82" s="675">
        <v>0</v>
      </c>
      <c r="KC82" s="675">
        <v>0</v>
      </c>
      <c r="KD82" s="675">
        <v>0</v>
      </c>
      <c r="KE82" s="675">
        <v>0</v>
      </c>
      <c r="KF82" s="675">
        <v>0</v>
      </c>
    </row>
    <row r="83" spans="1:292" x14ac:dyDescent="0.25">
      <c r="A83" s="675">
        <v>71810</v>
      </c>
      <c r="B83" s="675">
        <v>32570</v>
      </c>
      <c r="C83" s="675">
        <v>35</v>
      </c>
      <c r="D83" s="675">
        <v>2022</v>
      </c>
      <c r="E83" s="675">
        <v>5392</v>
      </c>
      <c r="F83" s="675">
        <v>0</v>
      </c>
      <c r="G83" s="675">
        <v>205.79300000000001</v>
      </c>
      <c r="H83" s="675">
        <v>204.62300000000002</v>
      </c>
      <c r="I83" s="675">
        <v>204.62300000000002</v>
      </c>
      <c r="J83" s="675">
        <v>205.79300000000001</v>
      </c>
      <c r="K83" s="675">
        <v>0</v>
      </c>
      <c r="L83" s="675">
        <v>6554</v>
      </c>
      <c r="M83" s="675">
        <v>0</v>
      </c>
      <c r="N83" s="675">
        <v>0</v>
      </c>
      <c r="O83" s="675">
        <v>0</v>
      </c>
      <c r="P83" s="675">
        <v>197.155</v>
      </c>
      <c r="Q83" s="675">
        <v>0</v>
      </c>
      <c r="R83" s="675">
        <v>63033</v>
      </c>
      <c r="S83" s="675">
        <v>319.71300000000002</v>
      </c>
      <c r="T83" s="675">
        <v>0</v>
      </c>
      <c r="U83" s="675">
        <v>63033</v>
      </c>
      <c r="V83" s="675">
        <v>87.701000000000008</v>
      </c>
      <c r="W83" s="675">
        <v>57479</v>
      </c>
      <c r="X83" s="675">
        <v>57479</v>
      </c>
      <c r="Y83" s="675">
        <v>0</v>
      </c>
      <c r="Z83" s="675">
        <v>0</v>
      </c>
      <c r="AA83" s="675">
        <v>1</v>
      </c>
      <c r="AB83" s="675">
        <v>1</v>
      </c>
      <c r="AC83" s="675">
        <v>0</v>
      </c>
      <c r="AD83" s="675" t="s">
        <v>316</v>
      </c>
      <c r="AE83" s="675">
        <v>0</v>
      </c>
      <c r="AF83" s="675">
        <v>0</v>
      </c>
      <c r="AG83" s="675">
        <v>0</v>
      </c>
      <c r="AH83" s="675">
        <v>0</v>
      </c>
      <c r="AI83" s="675">
        <v>0</v>
      </c>
      <c r="AJ83" s="675">
        <v>5104</v>
      </c>
      <c r="AK83" s="675" t="s">
        <v>671</v>
      </c>
      <c r="AL83" s="675" t="s">
        <v>341</v>
      </c>
      <c r="AM83" s="675">
        <v>0</v>
      </c>
      <c r="AN83" s="675">
        <v>0</v>
      </c>
      <c r="AO83" s="675">
        <v>0</v>
      </c>
      <c r="AP83" s="675">
        <v>0</v>
      </c>
      <c r="AQ83" s="675">
        <v>0</v>
      </c>
      <c r="AR83" s="675">
        <v>0</v>
      </c>
      <c r="AS83" s="675">
        <v>0</v>
      </c>
      <c r="AT83" s="675">
        <v>0</v>
      </c>
      <c r="AU83" s="675">
        <v>0</v>
      </c>
      <c r="AV83" s="675">
        <v>90341</v>
      </c>
      <c r="AW83" s="675">
        <v>2112357</v>
      </c>
      <c r="AX83" s="675">
        <v>2071800</v>
      </c>
      <c r="AY83" s="675">
        <v>2207754</v>
      </c>
      <c r="AZ83" s="675">
        <v>63033</v>
      </c>
      <c r="BA83" s="675">
        <v>0</v>
      </c>
      <c r="BB83" s="675">
        <v>8093</v>
      </c>
      <c r="BC83" s="675">
        <v>8093</v>
      </c>
      <c r="BD83" s="675">
        <v>10.290000000000001</v>
      </c>
      <c r="BE83" s="675">
        <v>0</v>
      </c>
      <c r="BF83" s="675">
        <v>1750217</v>
      </c>
      <c r="BG83" s="675">
        <v>0</v>
      </c>
      <c r="BH83" s="675">
        <v>0</v>
      </c>
      <c r="BI83" s="675">
        <v>0</v>
      </c>
      <c r="BJ83" s="675">
        <v>12</v>
      </c>
      <c r="BK83" s="675">
        <v>0</v>
      </c>
      <c r="BL83" s="675">
        <v>0</v>
      </c>
      <c r="BM83" s="675">
        <v>0</v>
      </c>
      <c r="BN83" s="675">
        <v>0</v>
      </c>
      <c r="BO83" s="675">
        <v>0</v>
      </c>
      <c r="BP83" s="675">
        <v>0</v>
      </c>
      <c r="BQ83" s="675">
        <v>5392</v>
      </c>
      <c r="BR83" s="675">
        <v>1</v>
      </c>
      <c r="BS83" s="675">
        <v>0</v>
      </c>
      <c r="BT83" s="675">
        <v>0</v>
      </c>
      <c r="BU83" s="675">
        <v>0</v>
      </c>
      <c r="BV83" s="675">
        <v>0</v>
      </c>
      <c r="BW83" s="675">
        <v>0</v>
      </c>
      <c r="BX83" s="675">
        <v>0</v>
      </c>
      <c r="BY83" s="675">
        <v>0</v>
      </c>
      <c r="BZ83" s="675">
        <v>0</v>
      </c>
      <c r="CA83" s="675">
        <v>0</v>
      </c>
      <c r="CB83" s="675">
        <v>0</v>
      </c>
      <c r="CC83" s="675">
        <v>0</v>
      </c>
      <c r="CD83" s="675">
        <v>0</v>
      </c>
      <c r="CE83" s="675">
        <v>0</v>
      </c>
      <c r="CF83" s="675">
        <v>0</v>
      </c>
      <c r="CG83" s="675">
        <v>0</v>
      </c>
      <c r="CH83" s="675">
        <v>40557</v>
      </c>
      <c r="CI83" s="675">
        <v>0</v>
      </c>
      <c r="CJ83" s="675">
        <v>4</v>
      </c>
      <c r="CK83" s="675">
        <v>0</v>
      </c>
      <c r="CL83" s="675">
        <v>0</v>
      </c>
      <c r="CM83" s="675">
        <v>0</v>
      </c>
      <c r="CN83" s="675">
        <v>0</v>
      </c>
      <c r="CO83" s="675">
        <v>0</v>
      </c>
      <c r="CP83" s="675">
        <v>0</v>
      </c>
      <c r="CQ83" s="675">
        <v>0</v>
      </c>
      <c r="CR83" s="675">
        <v>197.155</v>
      </c>
      <c r="CS83" s="675">
        <v>0</v>
      </c>
      <c r="CT83" s="675">
        <v>0</v>
      </c>
      <c r="CU83" s="675">
        <v>0</v>
      </c>
      <c r="CV83" s="675">
        <v>0</v>
      </c>
      <c r="CW83" s="675">
        <v>0</v>
      </c>
      <c r="CX83" s="675">
        <v>0</v>
      </c>
      <c r="CY83" s="675">
        <v>0</v>
      </c>
      <c r="CZ83" s="675">
        <v>0</v>
      </c>
      <c r="DA83" s="675">
        <v>1</v>
      </c>
      <c r="DB83" s="675">
        <v>1341099</v>
      </c>
      <c r="DC83" s="675">
        <v>0</v>
      </c>
      <c r="DD83" s="675">
        <v>0</v>
      </c>
      <c r="DE83" s="675">
        <v>275491</v>
      </c>
      <c r="DF83" s="675">
        <v>275491</v>
      </c>
      <c r="DG83" s="675">
        <v>210.17000000000002</v>
      </c>
      <c r="DH83" s="675">
        <v>0</v>
      </c>
      <c r="DI83" s="675">
        <v>0</v>
      </c>
      <c r="DJ83" s="675">
        <v>0</v>
      </c>
      <c r="DK83" s="675">
        <v>5392</v>
      </c>
      <c r="DL83" s="675">
        <v>0</v>
      </c>
      <c r="DM83" s="675">
        <v>116109</v>
      </c>
      <c r="DN83" s="675">
        <v>0</v>
      </c>
      <c r="DO83" s="675">
        <v>0</v>
      </c>
      <c r="DP83" s="675">
        <v>0</v>
      </c>
      <c r="DQ83" s="675">
        <v>0</v>
      </c>
      <c r="DR83" s="675">
        <v>0</v>
      </c>
      <c r="DS83" s="675">
        <v>0</v>
      </c>
      <c r="DT83" s="675">
        <v>0</v>
      </c>
      <c r="DU83" s="675">
        <v>0</v>
      </c>
      <c r="DV83" s="675">
        <v>0</v>
      </c>
      <c r="DW83" s="675">
        <v>0</v>
      </c>
      <c r="DX83" s="675">
        <v>0</v>
      </c>
      <c r="DY83" s="675">
        <v>0</v>
      </c>
      <c r="DZ83" s="675">
        <v>0</v>
      </c>
      <c r="EA83" s="675">
        <v>0</v>
      </c>
      <c r="EB83" s="675">
        <v>0</v>
      </c>
      <c r="EC83" s="675">
        <v>12.407</v>
      </c>
      <c r="ED83" s="675">
        <v>89447</v>
      </c>
      <c r="EE83" s="675">
        <v>0</v>
      </c>
      <c r="EF83" s="675">
        <v>0</v>
      </c>
      <c r="EG83" s="675">
        <v>0</v>
      </c>
      <c r="EH83" s="675">
        <v>26662</v>
      </c>
      <c r="EI83" s="675">
        <v>0</v>
      </c>
      <c r="EJ83" s="675">
        <v>0</v>
      </c>
      <c r="EK83" s="675">
        <v>0</v>
      </c>
      <c r="EL83" s="675">
        <v>0</v>
      </c>
      <c r="EM83" s="675">
        <v>0.89100000000000001</v>
      </c>
      <c r="EN83" s="675">
        <v>0.27900000000000003</v>
      </c>
      <c r="EO83" s="675">
        <v>0</v>
      </c>
      <c r="EP83" s="675">
        <v>0</v>
      </c>
      <c r="EQ83" s="675">
        <v>1.17</v>
      </c>
      <c r="ER83" s="675">
        <v>0</v>
      </c>
      <c r="ES83" s="675">
        <v>4.0680000000000005</v>
      </c>
      <c r="ET83" s="675">
        <v>0</v>
      </c>
      <c r="EU83" s="675">
        <v>63033</v>
      </c>
      <c r="EV83" s="675">
        <v>0</v>
      </c>
      <c r="EW83" s="675">
        <v>0</v>
      </c>
      <c r="EX83" s="675">
        <v>0</v>
      </c>
      <c r="EY83" s="675">
        <v>0</v>
      </c>
      <c r="EZ83" s="675">
        <v>1745297</v>
      </c>
      <c r="FA83" s="675">
        <v>0</v>
      </c>
      <c r="FB83" s="675">
        <v>1808330</v>
      </c>
      <c r="FC83" s="675">
        <v>0.97327799999999998</v>
      </c>
      <c r="FD83" s="675">
        <v>0</v>
      </c>
      <c r="FE83" s="675">
        <v>266457</v>
      </c>
      <c r="FF83" s="675">
        <v>60046</v>
      </c>
      <c r="FG83" s="675">
        <v>6.1239999999999996E-2</v>
      </c>
      <c r="FH83" s="675">
        <v>5.4803999999999999E-2</v>
      </c>
      <c r="FI83" s="675">
        <v>0</v>
      </c>
      <c r="FJ83" s="675">
        <v>0</v>
      </c>
      <c r="FK83" s="675">
        <v>342.923</v>
      </c>
      <c r="FL83" s="675">
        <v>2175390</v>
      </c>
      <c r="FM83" s="675">
        <v>0</v>
      </c>
      <c r="FN83" s="675">
        <v>0</v>
      </c>
      <c r="FO83" s="675">
        <v>10059</v>
      </c>
      <c r="FP83" s="675">
        <v>0</v>
      </c>
      <c r="FQ83" s="675">
        <v>10059</v>
      </c>
      <c r="FR83" s="675">
        <v>10059</v>
      </c>
      <c r="FS83" s="675">
        <v>0</v>
      </c>
      <c r="FT83" s="675">
        <v>0</v>
      </c>
      <c r="FU83" s="675">
        <v>0</v>
      </c>
      <c r="FV83" s="675">
        <v>0</v>
      </c>
      <c r="FW83" s="675">
        <v>0</v>
      </c>
      <c r="FX83" s="675">
        <v>0</v>
      </c>
      <c r="FY83" s="675">
        <v>0</v>
      </c>
      <c r="FZ83" s="675">
        <v>0</v>
      </c>
      <c r="GA83" s="675">
        <v>0</v>
      </c>
      <c r="GB83" s="675">
        <v>0</v>
      </c>
      <c r="GC83" s="675">
        <v>0</v>
      </c>
      <c r="GD83" s="675">
        <v>0</v>
      </c>
      <c r="GE83" s="675">
        <v>0</v>
      </c>
      <c r="GF83" s="675">
        <v>0</v>
      </c>
      <c r="GG83" s="675">
        <v>0</v>
      </c>
      <c r="GH83" s="675">
        <v>0</v>
      </c>
      <c r="GI83" s="675">
        <v>0</v>
      </c>
      <c r="GJ83" s="675">
        <v>0</v>
      </c>
      <c r="GK83" s="675">
        <v>0</v>
      </c>
      <c r="GL83" s="675">
        <v>0</v>
      </c>
      <c r="GM83" s="675">
        <v>0</v>
      </c>
      <c r="GN83" s="675">
        <v>0</v>
      </c>
      <c r="GO83" s="675">
        <v>0</v>
      </c>
      <c r="GP83" s="675">
        <v>2134833</v>
      </c>
      <c r="GQ83" s="675">
        <v>2134833</v>
      </c>
      <c r="GR83" s="675">
        <v>0</v>
      </c>
      <c r="GS83" s="675">
        <v>0</v>
      </c>
      <c r="GT83" s="675">
        <v>0</v>
      </c>
      <c r="GU83" s="675">
        <v>0</v>
      </c>
      <c r="GV83" s="675">
        <v>0</v>
      </c>
      <c r="GW83" s="675">
        <v>0</v>
      </c>
      <c r="GX83" s="675">
        <v>0</v>
      </c>
      <c r="GY83" s="675">
        <v>0</v>
      </c>
      <c r="GZ83" s="675">
        <v>0</v>
      </c>
      <c r="HA83" s="675">
        <v>0</v>
      </c>
      <c r="HB83" s="675">
        <v>260786259</v>
      </c>
      <c r="HC83" s="675">
        <v>5.0923999999999997E-2</v>
      </c>
      <c r="HD83" s="675">
        <v>40557</v>
      </c>
      <c r="HE83" s="675">
        <v>0</v>
      </c>
      <c r="HF83" s="675">
        <v>0</v>
      </c>
      <c r="HG83" s="675">
        <v>0</v>
      </c>
      <c r="HH83" s="675">
        <v>0</v>
      </c>
      <c r="HI83" s="675">
        <v>0</v>
      </c>
      <c r="HJ83" s="675">
        <v>0</v>
      </c>
      <c r="HK83" s="675">
        <v>0</v>
      </c>
      <c r="HL83" s="675">
        <v>0</v>
      </c>
      <c r="HM83" s="675">
        <v>0</v>
      </c>
      <c r="HN83" s="675">
        <v>0</v>
      </c>
      <c r="HO83" s="675">
        <v>0</v>
      </c>
      <c r="HP83" s="675">
        <v>0</v>
      </c>
      <c r="HQ83" s="675">
        <v>0</v>
      </c>
      <c r="HR83" s="675">
        <v>0</v>
      </c>
      <c r="HS83" s="675">
        <v>0</v>
      </c>
      <c r="HT83" s="675">
        <v>0</v>
      </c>
      <c r="HU83" s="675">
        <v>0</v>
      </c>
      <c r="HV83" s="675">
        <v>0</v>
      </c>
      <c r="HW83" s="675">
        <v>0</v>
      </c>
      <c r="HX83" s="675">
        <v>0</v>
      </c>
      <c r="HY83" s="675">
        <v>0</v>
      </c>
      <c r="HZ83" s="675">
        <v>0</v>
      </c>
      <c r="IA83" s="675">
        <v>0</v>
      </c>
      <c r="IB83" s="675">
        <v>0</v>
      </c>
      <c r="IC83" s="675">
        <v>0</v>
      </c>
      <c r="ID83" s="675">
        <v>0</v>
      </c>
      <c r="IE83" s="675">
        <v>0</v>
      </c>
      <c r="IF83" s="675">
        <v>0</v>
      </c>
      <c r="IG83" s="675">
        <v>0</v>
      </c>
      <c r="IH83" s="675">
        <v>0</v>
      </c>
      <c r="II83" s="675">
        <v>0</v>
      </c>
      <c r="IJ83" s="675">
        <v>0</v>
      </c>
      <c r="IK83" s="675">
        <v>0</v>
      </c>
      <c r="IL83" s="675">
        <v>0</v>
      </c>
      <c r="IM83" s="675">
        <v>0</v>
      </c>
      <c r="IN83" s="675">
        <v>0</v>
      </c>
      <c r="IO83" s="675">
        <v>0</v>
      </c>
      <c r="IP83" s="675">
        <v>0</v>
      </c>
      <c r="IQ83" s="675">
        <v>0</v>
      </c>
      <c r="IR83" s="675">
        <v>0</v>
      </c>
      <c r="IS83" s="675">
        <v>0</v>
      </c>
      <c r="IT83" s="675">
        <v>0</v>
      </c>
      <c r="IU83" s="675">
        <v>0</v>
      </c>
      <c r="IV83" s="675">
        <v>0</v>
      </c>
      <c r="IW83" s="675">
        <v>0</v>
      </c>
      <c r="IX83" s="675">
        <v>0</v>
      </c>
      <c r="IY83" s="675">
        <v>0</v>
      </c>
      <c r="IZ83" s="675">
        <v>0</v>
      </c>
      <c r="JA83" s="675">
        <v>0</v>
      </c>
      <c r="JB83" s="675">
        <v>0</v>
      </c>
      <c r="JC83" s="675">
        <v>0</v>
      </c>
      <c r="JD83" s="675">
        <v>0</v>
      </c>
      <c r="JE83" s="675">
        <v>0</v>
      </c>
      <c r="JF83" s="675">
        <v>0</v>
      </c>
      <c r="JG83" s="675">
        <v>0</v>
      </c>
      <c r="JH83" s="675">
        <v>0</v>
      </c>
      <c r="JI83" s="675">
        <v>0</v>
      </c>
      <c r="JJ83" s="675">
        <v>0</v>
      </c>
      <c r="JK83" s="675">
        <v>0</v>
      </c>
      <c r="JL83" s="675">
        <v>0</v>
      </c>
      <c r="JM83" s="675">
        <v>0</v>
      </c>
      <c r="JN83" s="675">
        <v>32469</v>
      </c>
      <c r="JO83" s="675">
        <v>0</v>
      </c>
      <c r="JP83" s="675">
        <v>0</v>
      </c>
      <c r="JQ83" s="675">
        <v>0</v>
      </c>
      <c r="JR83" s="675">
        <v>0</v>
      </c>
      <c r="JS83" s="675">
        <v>0</v>
      </c>
      <c r="JT83" s="675">
        <v>0</v>
      </c>
      <c r="JU83" s="675">
        <v>0</v>
      </c>
      <c r="JV83" s="675">
        <v>0</v>
      </c>
      <c r="JW83" s="675">
        <v>0</v>
      </c>
      <c r="JX83" s="675">
        <v>0</v>
      </c>
      <c r="JY83" s="675">
        <v>0</v>
      </c>
      <c r="JZ83" s="675">
        <v>0</v>
      </c>
      <c r="KA83" s="675">
        <v>0</v>
      </c>
      <c r="KB83" s="675">
        <v>0</v>
      </c>
      <c r="KC83" s="675">
        <v>0</v>
      </c>
      <c r="KD83" s="675">
        <v>0</v>
      </c>
      <c r="KE83" s="675">
        <v>0</v>
      </c>
      <c r="KF83" s="675">
        <v>0</v>
      </c>
    </row>
    <row r="84" spans="1:292" ht="13" x14ac:dyDescent="0.3">
      <c r="A84" s="675">
        <v>72801</v>
      </c>
      <c r="B84" s="675">
        <v>32570</v>
      </c>
      <c r="C84" s="675">
        <v>35</v>
      </c>
      <c r="D84" s="675">
        <v>2022</v>
      </c>
      <c r="E84" s="675">
        <v>5392</v>
      </c>
      <c r="F84" s="675">
        <v>0</v>
      </c>
      <c r="G84" s="675">
        <v>4361.277</v>
      </c>
      <c r="H84" s="675">
        <v>4274.9960000000001</v>
      </c>
      <c r="I84" s="675">
        <v>4274.9960000000001</v>
      </c>
      <c r="J84" s="675">
        <v>4706.9270000000006</v>
      </c>
      <c r="K84" s="675">
        <v>0</v>
      </c>
      <c r="L84" s="675">
        <v>6554</v>
      </c>
      <c r="M84" s="675">
        <v>0</v>
      </c>
      <c r="N84" s="675">
        <v>0</v>
      </c>
      <c r="O84" s="675">
        <v>0</v>
      </c>
      <c r="P84" s="675">
        <v>4327.5990000000002</v>
      </c>
      <c r="Q84" s="675">
        <v>0</v>
      </c>
      <c r="R84" s="676">
        <v>1383590</v>
      </c>
      <c r="S84" s="675">
        <v>319.71300000000002</v>
      </c>
      <c r="T84" s="675">
        <v>0</v>
      </c>
      <c r="U84" s="676">
        <v>1383590</v>
      </c>
      <c r="V84" s="676">
        <v>632.95800000000008</v>
      </c>
      <c r="W84" s="676">
        <v>414841</v>
      </c>
      <c r="X84" s="676">
        <v>414841</v>
      </c>
      <c r="Y84" s="675">
        <v>0</v>
      </c>
      <c r="Z84" s="675">
        <v>0</v>
      </c>
      <c r="AA84" s="675">
        <v>1</v>
      </c>
      <c r="AB84" s="675">
        <v>1</v>
      </c>
      <c r="AC84" s="675">
        <v>0</v>
      </c>
      <c r="AD84" s="675" t="s">
        <v>316</v>
      </c>
      <c r="AE84" s="675">
        <v>0</v>
      </c>
      <c r="AF84" s="675">
        <v>0</v>
      </c>
      <c r="AG84" s="675">
        <v>0</v>
      </c>
      <c r="AH84" s="675">
        <v>0</v>
      </c>
      <c r="AI84" s="675">
        <v>0</v>
      </c>
      <c r="AJ84" s="675">
        <v>5104</v>
      </c>
      <c r="AK84" s="675" t="s">
        <v>671</v>
      </c>
      <c r="AL84" s="675" t="s">
        <v>98</v>
      </c>
      <c r="AM84" s="675">
        <v>0</v>
      </c>
      <c r="AN84" s="675">
        <v>0</v>
      </c>
      <c r="AO84" s="675">
        <v>0</v>
      </c>
      <c r="AP84" s="675">
        <v>0</v>
      </c>
      <c r="AQ84" s="675">
        <v>0</v>
      </c>
      <c r="AR84" s="675">
        <v>0</v>
      </c>
      <c r="AS84" s="675">
        <v>0</v>
      </c>
      <c r="AT84" s="675">
        <v>0</v>
      </c>
      <c r="AU84" s="675">
        <v>0</v>
      </c>
      <c r="AV84" s="675">
        <v>200241</v>
      </c>
      <c r="AW84" s="675">
        <v>48693742</v>
      </c>
      <c r="AX84" s="675">
        <v>46416834</v>
      </c>
      <c r="AY84" s="675">
        <v>48318873</v>
      </c>
      <c r="AZ84" s="675">
        <v>2666555</v>
      </c>
      <c r="BA84" s="676">
        <v>124.167</v>
      </c>
      <c r="BB84" s="675">
        <v>0</v>
      </c>
      <c r="BC84" s="675">
        <v>0</v>
      </c>
      <c r="BD84" s="675">
        <v>0</v>
      </c>
      <c r="BE84" s="675">
        <v>0</v>
      </c>
      <c r="BF84" s="675">
        <v>39344714</v>
      </c>
      <c r="BG84" s="675">
        <v>0</v>
      </c>
      <c r="BH84" s="676">
        <v>4665.3290000000006</v>
      </c>
      <c r="BI84" s="676">
        <v>1282965</v>
      </c>
      <c r="BJ84" s="675">
        <v>12</v>
      </c>
      <c r="BK84" s="675">
        <v>0</v>
      </c>
      <c r="BL84" s="675">
        <v>0</v>
      </c>
      <c r="BM84" s="675">
        <v>0</v>
      </c>
      <c r="BN84" s="675">
        <v>0</v>
      </c>
      <c r="BO84" s="675">
        <v>0</v>
      </c>
      <c r="BP84" s="675">
        <v>0</v>
      </c>
      <c r="BQ84" s="675">
        <v>5392</v>
      </c>
      <c r="BR84" s="675">
        <v>1</v>
      </c>
      <c r="BS84" s="675">
        <v>0</v>
      </c>
      <c r="BT84" s="675">
        <v>0</v>
      </c>
      <c r="BU84" s="675">
        <v>0</v>
      </c>
      <c r="BV84" s="675">
        <v>0</v>
      </c>
      <c r="BW84" s="675">
        <v>0</v>
      </c>
      <c r="BX84" s="675">
        <v>0</v>
      </c>
      <c r="BY84" s="675">
        <v>0</v>
      </c>
      <c r="BZ84" s="675">
        <v>0</v>
      </c>
      <c r="CA84" s="675">
        <v>0</v>
      </c>
      <c r="CB84" s="675">
        <v>0</v>
      </c>
      <c r="CC84" s="675">
        <v>0</v>
      </c>
      <c r="CD84" s="675">
        <v>0</v>
      </c>
      <c r="CE84" s="675">
        <v>0</v>
      </c>
      <c r="CF84" s="675">
        <v>0</v>
      </c>
      <c r="CG84" s="675">
        <v>0</v>
      </c>
      <c r="CH84" s="676">
        <v>993943</v>
      </c>
      <c r="CI84" s="675">
        <v>0</v>
      </c>
      <c r="CJ84" s="675">
        <v>4</v>
      </c>
      <c r="CK84" s="675">
        <v>0</v>
      </c>
      <c r="CL84" s="675">
        <v>0</v>
      </c>
      <c r="CM84" s="675">
        <v>0</v>
      </c>
      <c r="CN84" s="675">
        <v>0</v>
      </c>
      <c r="CO84" s="675">
        <v>0</v>
      </c>
      <c r="CP84" s="675">
        <v>0</v>
      </c>
      <c r="CQ84" s="675">
        <v>16.917000000000002</v>
      </c>
      <c r="CR84" s="675">
        <v>4327.5990000000002</v>
      </c>
      <c r="CS84" s="675">
        <v>0</v>
      </c>
      <c r="CT84" s="675">
        <v>0</v>
      </c>
      <c r="CU84" s="675">
        <v>0</v>
      </c>
      <c r="CV84" s="675">
        <v>0</v>
      </c>
      <c r="CW84" s="675">
        <v>0</v>
      </c>
      <c r="CX84" s="675">
        <v>0</v>
      </c>
      <c r="CY84" s="675">
        <v>0</v>
      </c>
      <c r="CZ84" s="675">
        <v>0</v>
      </c>
      <c r="DA84" s="675">
        <v>1</v>
      </c>
      <c r="DB84" s="675">
        <v>28018324</v>
      </c>
      <c r="DC84" s="675">
        <v>0</v>
      </c>
      <c r="DD84" s="675">
        <v>0</v>
      </c>
      <c r="DE84" s="675">
        <v>3993352</v>
      </c>
      <c r="DF84" s="675">
        <v>3993352</v>
      </c>
      <c r="DG84" s="675">
        <v>3046.5</v>
      </c>
      <c r="DH84" s="675">
        <v>0</v>
      </c>
      <c r="DI84" s="675">
        <v>0</v>
      </c>
      <c r="DJ84" s="675">
        <v>0</v>
      </c>
      <c r="DK84" s="675">
        <v>5392</v>
      </c>
      <c r="DL84" s="675">
        <v>0</v>
      </c>
      <c r="DM84" s="675">
        <v>5806651</v>
      </c>
      <c r="DN84" s="675">
        <v>0</v>
      </c>
      <c r="DO84" s="675">
        <v>0</v>
      </c>
      <c r="DP84" s="675">
        <v>0</v>
      </c>
      <c r="DQ84" s="675">
        <v>0</v>
      </c>
      <c r="DR84" s="675">
        <v>0</v>
      </c>
      <c r="DS84" s="675">
        <v>0</v>
      </c>
      <c r="DT84" s="675">
        <v>0</v>
      </c>
      <c r="DU84" s="675">
        <v>0</v>
      </c>
      <c r="DV84" s="675">
        <v>0</v>
      </c>
      <c r="DW84" s="675">
        <v>0</v>
      </c>
      <c r="DX84" s="675">
        <v>0</v>
      </c>
      <c r="DY84" s="675">
        <v>0</v>
      </c>
      <c r="DZ84" s="675">
        <v>0</v>
      </c>
      <c r="EA84" s="675">
        <v>0</v>
      </c>
      <c r="EB84" s="675">
        <v>2.472</v>
      </c>
      <c r="EC84" s="675">
        <v>301.73599999999999</v>
      </c>
      <c r="ED84" s="675">
        <v>2175336</v>
      </c>
      <c r="EE84" s="675">
        <v>0</v>
      </c>
      <c r="EF84" s="675">
        <v>0</v>
      </c>
      <c r="EG84" s="675">
        <v>0</v>
      </c>
      <c r="EH84" s="675">
        <v>3602976</v>
      </c>
      <c r="EI84" s="675">
        <v>28339</v>
      </c>
      <c r="EJ84" s="675">
        <v>1.081</v>
      </c>
      <c r="EK84" s="675">
        <v>149.84700000000001</v>
      </c>
      <c r="EL84" s="675">
        <v>8.2960000000000012</v>
      </c>
      <c r="EM84" s="675">
        <v>30.775000000000002</v>
      </c>
      <c r="EN84" s="675">
        <v>9.0999999999999998E-2</v>
      </c>
      <c r="EO84" s="675">
        <v>0</v>
      </c>
      <c r="EP84" s="675">
        <v>0</v>
      </c>
      <c r="EQ84" s="675">
        <v>184.26600000000002</v>
      </c>
      <c r="ER84" s="675">
        <v>0</v>
      </c>
      <c r="ES84" s="675">
        <v>549.73700000000008</v>
      </c>
      <c r="ET84" s="676">
        <v>66313</v>
      </c>
      <c r="EU84" s="675">
        <v>2666555</v>
      </c>
      <c r="EV84" s="675">
        <v>0</v>
      </c>
      <c r="EW84" s="675">
        <v>0</v>
      </c>
      <c r="EX84" s="675">
        <v>0</v>
      </c>
      <c r="EY84" s="675">
        <v>0</v>
      </c>
      <c r="EZ84" s="675">
        <v>39077098</v>
      </c>
      <c r="FA84" s="675">
        <v>0</v>
      </c>
      <c r="FB84" s="676">
        <v>41743653</v>
      </c>
      <c r="FC84" s="675">
        <v>0.97327799999999998</v>
      </c>
      <c r="FD84" s="675">
        <v>0</v>
      </c>
      <c r="FE84" s="675">
        <v>5989917</v>
      </c>
      <c r="FF84" s="675">
        <v>1349819</v>
      </c>
      <c r="FG84" s="675">
        <v>6.1239999999999996E-2</v>
      </c>
      <c r="FH84" s="675">
        <v>5.4803999999999999E-2</v>
      </c>
      <c r="FI84" s="675">
        <v>0</v>
      </c>
      <c r="FJ84" s="675">
        <v>0</v>
      </c>
      <c r="FK84" s="675">
        <v>7708.8690000000006</v>
      </c>
      <c r="FL84" s="675">
        <v>50077332</v>
      </c>
      <c r="FM84" s="675">
        <v>0</v>
      </c>
      <c r="FN84" s="675">
        <v>0</v>
      </c>
      <c r="FO84" s="675">
        <v>35718</v>
      </c>
      <c r="FP84" s="675">
        <v>0</v>
      </c>
      <c r="FQ84" s="675">
        <v>35718</v>
      </c>
      <c r="FR84" s="675">
        <v>35718</v>
      </c>
      <c r="FS84" s="675">
        <v>0</v>
      </c>
      <c r="FT84" s="675">
        <v>0</v>
      </c>
      <c r="FU84" s="675">
        <v>1</v>
      </c>
      <c r="FV84" s="675">
        <v>0</v>
      </c>
      <c r="FW84" s="675">
        <v>0</v>
      </c>
      <c r="FX84" s="675">
        <v>0</v>
      </c>
      <c r="FY84" s="675">
        <v>0</v>
      </c>
      <c r="FZ84" s="675">
        <v>487</v>
      </c>
      <c r="GA84" s="675">
        <v>9.7439999999999998</v>
      </c>
      <c r="GB84" s="676">
        <v>2191802</v>
      </c>
      <c r="GC84" s="676">
        <v>2191802</v>
      </c>
      <c r="GD84" s="676">
        <v>247.66500000000002</v>
      </c>
      <c r="GE84" s="675">
        <v>0</v>
      </c>
      <c r="GF84" s="675">
        <v>0</v>
      </c>
      <c r="GG84" s="675">
        <v>0</v>
      </c>
      <c r="GH84" s="675">
        <v>0</v>
      </c>
      <c r="GI84" s="675">
        <v>0</v>
      </c>
      <c r="GJ84" s="675">
        <v>0</v>
      </c>
      <c r="GK84" s="675">
        <v>5147</v>
      </c>
      <c r="GL84" s="675">
        <v>8036</v>
      </c>
      <c r="GM84" s="675">
        <v>0</v>
      </c>
      <c r="GN84" s="675">
        <v>0</v>
      </c>
      <c r="GO84" s="675">
        <v>0</v>
      </c>
      <c r="GP84" s="675">
        <v>49083389</v>
      </c>
      <c r="GQ84" s="675">
        <v>49083389</v>
      </c>
      <c r="GR84" s="675">
        <v>0</v>
      </c>
      <c r="GS84" s="675">
        <v>0</v>
      </c>
      <c r="GT84" s="675">
        <v>0</v>
      </c>
      <c r="GU84" s="675">
        <v>0</v>
      </c>
      <c r="GV84" s="675">
        <v>0</v>
      </c>
      <c r="GW84" s="675">
        <v>0</v>
      </c>
      <c r="GX84" s="675">
        <v>0</v>
      </c>
      <c r="GY84" s="675">
        <v>0</v>
      </c>
      <c r="GZ84" s="675">
        <v>0</v>
      </c>
      <c r="HA84" s="675">
        <v>0</v>
      </c>
      <c r="HB84" s="675">
        <v>260786259</v>
      </c>
      <c r="HC84" s="675">
        <v>5.0923999999999997E-2</v>
      </c>
      <c r="HD84" s="676">
        <v>927630</v>
      </c>
      <c r="HE84" s="675">
        <v>0</v>
      </c>
      <c r="HF84" s="675">
        <v>0</v>
      </c>
      <c r="HG84" s="675">
        <v>0</v>
      </c>
      <c r="HH84" s="675">
        <v>0</v>
      </c>
      <c r="HI84" s="675">
        <v>0</v>
      </c>
      <c r="HJ84" s="675">
        <v>0</v>
      </c>
      <c r="HK84" s="675">
        <v>0</v>
      </c>
      <c r="HL84" s="675">
        <v>0</v>
      </c>
      <c r="HM84" s="675">
        <v>0</v>
      </c>
      <c r="HN84" s="675">
        <v>0</v>
      </c>
      <c r="HO84" s="675">
        <v>0</v>
      </c>
      <c r="HP84" s="675">
        <v>0</v>
      </c>
      <c r="HQ84" s="675">
        <v>0</v>
      </c>
      <c r="HR84" s="675">
        <v>0</v>
      </c>
      <c r="HS84" s="675">
        <v>0</v>
      </c>
      <c r="HT84" s="675">
        <v>0</v>
      </c>
      <c r="HU84" s="675">
        <v>0</v>
      </c>
      <c r="HV84" s="675">
        <v>0</v>
      </c>
      <c r="HW84" s="675">
        <v>0</v>
      </c>
      <c r="HX84" s="675">
        <v>0</v>
      </c>
      <c r="HY84" s="675">
        <v>0</v>
      </c>
      <c r="HZ84" s="675">
        <v>0</v>
      </c>
      <c r="IA84" s="675">
        <v>0</v>
      </c>
      <c r="IB84" s="675">
        <v>0</v>
      </c>
      <c r="IC84" s="675">
        <v>0</v>
      </c>
      <c r="ID84" s="675">
        <v>0</v>
      </c>
      <c r="IE84" s="675">
        <v>0</v>
      </c>
      <c r="IF84" s="675">
        <v>0</v>
      </c>
      <c r="IG84" s="675">
        <v>0</v>
      </c>
      <c r="IH84" s="675">
        <v>0</v>
      </c>
      <c r="II84" s="675">
        <v>0</v>
      </c>
      <c r="IJ84" s="675">
        <v>0</v>
      </c>
      <c r="IK84" s="675">
        <v>0</v>
      </c>
      <c r="IL84" s="675">
        <v>0</v>
      </c>
      <c r="IM84" s="675">
        <v>0</v>
      </c>
      <c r="IN84" s="675">
        <v>0</v>
      </c>
      <c r="IO84" s="675">
        <v>0</v>
      </c>
      <c r="IP84" s="675">
        <v>0</v>
      </c>
      <c r="IQ84" s="675">
        <v>0</v>
      </c>
      <c r="IR84" s="675">
        <v>0</v>
      </c>
      <c r="IS84" s="675">
        <v>0</v>
      </c>
      <c r="IT84" s="675">
        <v>0</v>
      </c>
      <c r="IU84" s="675">
        <v>0</v>
      </c>
      <c r="IV84" s="675">
        <v>0</v>
      </c>
      <c r="IW84" s="675">
        <v>0</v>
      </c>
      <c r="IX84" s="675">
        <v>0</v>
      </c>
      <c r="IY84" s="675">
        <v>0</v>
      </c>
      <c r="IZ84" s="675">
        <v>0</v>
      </c>
      <c r="JA84" s="675">
        <v>0</v>
      </c>
      <c r="JB84" s="675">
        <v>0</v>
      </c>
      <c r="JC84" s="675">
        <v>0</v>
      </c>
      <c r="JD84" s="675">
        <v>0</v>
      </c>
      <c r="JE84" s="675">
        <v>0</v>
      </c>
      <c r="JF84" s="675">
        <v>0</v>
      </c>
      <c r="JG84" s="675">
        <v>0</v>
      </c>
      <c r="JH84" s="675">
        <v>0</v>
      </c>
      <c r="JI84" s="675">
        <v>0</v>
      </c>
      <c r="JJ84" s="675">
        <v>0</v>
      </c>
      <c r="JK84" s="675">
        <v>0</v>
      </c>
      <c r="JL84" s="675">
        <v>0</v>
      </c>
      <c r="JM84" s="675">
        <v>0</v>
      </c>
      <c r="JN84" s="675">
        <v>32469</v>
      </c>
      <c r="JO84" s="675">
        <v>0</v>
      </c>
      <c r="JP84" s="675">
        <v>0</v>
      </c>
      <c r="JQ84" s="675">
        <v>0</v>
      </c>
      <c r="JR84" s="675">
        <v>0</v>
      </c>
      <c r="JS84" s="675">
        <v>0</v>
      </c>
      <c r="JT84" s="675">
        <v>0</v>
      </c>
      <c r="JU84" s="675">
        <v>0</v>
      </c>
      <c r="JV84" s="675">
        <v>0</v>
      </c>
      <c r="JW84" s="675">
        <v>0</v>
      </c>
      <c r="JX84" s="675">
        <v>0</v>
      </c>
      <c r="JY84" s="675">
        <v>0</v>
      </c>
      <c r="JZ84" s="675">
        <v>0</v>
      </c>
      <c r="KA84" s="675">
        <v>0</v>
      </c>
      <c r="KB84" s="675">
        <v>0</v>
      </c>
      <c r="KC84" s="675">
        <v>0</v>
      </c>
      <c r="KD84" s="675">
        <v>0</v>
      </c>
      <c r="KE84" s="675">
        <v>0</v>
      </c>
      <c r="KF84" s="675">
        <v>0</v>
      </c>
    </row>
    <row r="85" spans="1:292" x14ac:dyDescent="0.25">
      <c r="A85" s="675">
        <v>72802</v>
      </c>
      <c r="B85" s="675">
        <v>32570</v>
      </c>
      <c r="C85" s="675">
        <v>35</v>
      </c>
      <c r="D85" s="675">
        <v>2022</v>
      </c>
      <c r="E85" s="675">
        <v>5392</v>
      </c>
      <c r="F85" s="675">
        <v>0</v>
      </c>
      <c r="G85" s="675">
        <v>97.731000000000009</v>
      </c>
      <c r="H85" s="675">
        <v>84.63600000000001</v>
      </c>
      <c r="I85" s="675">
        <v>84.63600000000001</v>
      </c>
      <c r="J85" s="675">
        <v>97.731000000000009</v>
      </c>
      <c r="K85" s="675">
        <v>0</v>
      </c>
      <c r="L85" s="675">
        <v>6554</v>
      </c>
      <c r="M85" s="675">
        <v>0</v>
      </c>
      <c r="N85" s="675">
        <v>0</v>
      </c>
      <c r="O85" s="675">
        <v>0</v>
      </c>
      <c r="P85" s="675">
        <v>109.01300000000001</v>
      </c>
      <c r="Q85" s="675">
        <v>0</v>
      </c>
      <c r="R85" s="675">
        <v>34853</v>
      </c>
      <c r="S85" s="675">
        <v>319.71300000000002</v>
      </c>
      <c r="T85" s="675">
        <v>0</v>
      </c>
      <c r="U85" s="675">
        <v>34853</v>
      </c>
      <c r="V85" s="675">
        <v>5.6829999999999998</v>
      </c>
      <c r="W85" s="675">
        <v>3725</v>
      </c>
      <c r="X85" s="675">
        <v>3725</v>
      </c>
      <c r="Y85" s="675">
        <v>0</v>
      </c>
      <c r="Z85" s="675">
        <v>0</v>
      </c>
      <c r="AA85" s="675">
        <v>1</v>
      </c>
      <c r="AB85" s="675">
        <v>1</v>
      </c>
      <c r="AC85" s="675">
        <v>0</v>
      </c>
      <c r="AD85" s="675" t="s">
        <v>316</v>
      </c>
      <c r="AE85" s="675">
        <v>0</v>
      </c>
      <c r="AF85" s="675">
        <v>0</v>
      </c>
      <c r="AG85" s="675">
        <v>0</v>
      </c>
      <c r="AH85" s="675">
        <v>0</v>
      </c>
      <c r="AI85" s="675">
        <v>0</v>
      </c>
      <c r="AJ85" s="675">
        <v>5104</v>
      </c>
      <c r="AK85" s="675" t="s">
        <v>671</v>
      </c>
      <c r="AL85" s="675" t="s">
        <v>342</v>
      </c>
      <c r="AM85" s="675">
        <v>0</v>
      </c>
      <c r="AN85" s="675">
        <v>0</v>
      </c>
      <c r="AO85" s="675">
        <v>0</v>
      </c>
      <c r="AP85" s="675">
        <v>0</v>
      </c>
      <c r="AQ85" s="675">
        <v>0</v>
      </c>
      <c r="AR85" s="675">
        <v>0</v>
      </c>
      <c r="AS85" s="675">
        <v>0</v>
      </c>
      <c r="AT85" s="675">
        <v>0</v>
      </c>
      <c r="AU85" s="675">
        <v>0</v>
      </c>
      <c r="AV85" s="675">
        <v>36620</v>
      </c>
      <c r="AW85" s="675">
        <v>998212</v>
      </c>
      <c r="AX85" s="675">
        <v>952827</v>
      </c>
      <c r="AY85" s="675">
        <v>1082991</v>
      </c>
      <c r="AZ85" s="675">
        <v>59977</v>
      </c>
      <c r="BA85" s="675">
        <v>2</v>
      </c>
      <c r="BB85" s="675">
        <v>0</v>
      </c>
      <c r="BC85" s="675">
        <v>0</v>
      </c>
      <c r="BD85" s="675">
        <v>0</v>
      </c>
      <c r="BE85" s="675">
        <v>0</v>
      </c>
      <c r="BF85" s="675">
        <v>813570</v>
      </c>
      <c r="BG85" s="675">
        <v>0</v>
      </c>
      <c r="BH85" s="675">
        <v>91.36</v>
      </c>
      <c r="BI85" s="675">
        <v>25124</v>
      </c>
      <c r="BJ85" s="675">
        <v>12</v>
      </c>
      <c r="BK85" s="675">
        <v>0</v>
      </c>
      <c r="BL85" s="675">
        <v>0</v>
      </c>
      <c r="BM85" s="675">
        <v>0</v>
      </c>
      <c r="BN85" s="675">
        <v>0</v>
      </c>
      <c r="BO85" s="675">
        <v>0</v>
      </c>
      <c r="BP85" s="675">
        <v>0</v>
      </c>
      <c r="BQ85" s="675">
        <v>5392</v>
      </c>
      <c r="BR85" s="675">
        <v>1</v>
      </c>
      <c r="BS85" s="675">
        <v>0</v>
      </c>
      <c r="BT85" s="675">
        <v>0</v>
      </c>
      <c r="BU85" s="675">
        <v>0</v>
      </c>
      <c r="BV85" s="675">
        <v>0</v>
      </c>
      <c r="BW85" s="675">
        <v>0</v>
      </c>
      <c r="BX85" s="675">
        <v>0</v>
      </c>
      <c r="BY85" s="675">
        <v>0</v>
      </c>
      <c r="BZ85" s="675">
        <v>0</v>
      </c>
      <c r="CA85" s="675">
        <v>0</v>
      </c>
      <c r="CB85" s="675">
        <v>0</v>
      </c>
      <c r="CC85" s="675">
        <v>0</v>
      </c>
      <c r="CD85" s="675">
        <v>0</v>
      </c>
      <c r="CE85" s="675">
        <v>0</v>
      </c>
      <c r="CF85" s="675">
        <v>0</v>
      </c>
      <c r="CG85" s="675">
        <v>0</v>
      </c>
      <c r="CH85" s="675">
        <v>20261</v>
      </c>
      <c r="CI85" s="675">
        <v>0</v>
      </c>
      <c r="CJ85" s="675">
        <v>4</v>
      </c>
      <c r="CK85" s="675">
        <v>0</v>
      </c>
      <c r="CL85" s="675">
        <v>0</v>
      </c>
      <c r="CM85" s="675">
        <v>0</v>
      </c>
      <c r="CN85" s="675">
        <v>0</v>
      </c>
      <c r="CO85" s="675">
        <v>0</v>
      </c>
      <c r="CP85" s="675">
        <v>0.45100000000000001</v>
      </c>
      <c r="CQ85" s="675">
        <v>0</v>
      </c>
      <c r="CR85" s="675">
        <v>109.01300000000001</v>
      </c>
      <c r="CS85" s="675">
        <v>0</v>
      </c>
      <c r="CT85" s="675">
        <v>0</v>
      </c>
      <c r="CU85" s="675">
        <v>0</v>
      </c>
      <c r="CV85" s="675">
        <v>0</v>
      </c>
      <c r="CW85" s="675">
        <v>0</v>
      </c>
      <c r="CX85" s="675">
        <v>0</v>
      </c>
      <c r="CY85" s="675">
        <v>0</v>
      </c>
      <c r="CZ85" s="675">
        <v>0</v>
      </c>
      <c r="DA85" s="675">
        <v>1</v>
      </c>
      <c r="DB85" s="675">
        <v>554704</v>
      </c>
      <c r="DC85" s="675">
        <v>0</v>
      </c>
      <c r="DD85" s="675">
        <v>0</v>
      </c>
      <c r="DE85" s="675">
        <v>91756</v>
      </c>
      <c r="DF85" s="675">
        <v>98880</v>
      </c>
      <c r="DG85" s="675">
        <v>70</v>
      </c>
      <c r="DH85" s="675">
        <v>0</v>
      </c>
      <c r="DI85" s="675">
        <v>7124</v>
      </c>
      <c r="DJ85" s="675">
        <v>0</v>
      </c>
      <c r="DK85" s="675">
        <v>5392</v>
      </c>
      <c r="DL85" s="675">
        <v>0</v>
      </c>
      <c r="DM85" s="675">
        <v>92031</v>
      </c>
      <c r="DN85" s="675">
        <v>0</v>
      </c>
      <c r="DO85" s="675">
        <v>0</v>
      </c>
      <c r="DP85" s="675">
        <v>0</v>
      </c>
      <c r="DQ85" s="675">
        <v>0</v>
      </c>
      <c r="DR85" s="675">
        <v>0</v>
      </c>
      <c r="DS85" s="675">
        <v>0</v>
      </c>
      <c r="DT85" s="675">
        <v>0</v>
      </c>
      <c r="DU85" s="675">
        <v>0</v>
      </c>
      <c r="DV85" s="675">
        <v>0</v>
      </c>
      <c r="DW85" s="675">
        <v>0</v>
      </c>
      <c r="DX85" s="675">
        <v>0</v>
      </c>
      <c r="DY85" s="675">
        <v>0</v>
      </c>
      <c r="DZ85" s="675">
        <v>0</v>
      </c>
      <c r="EA85" s="675">
        <v>0</v>
      </c>
      <c r="EB85" s="675">
        <v>0</v>
      </c>
      <c r="EC85" s="675">
        <v>1.3900000000000001</v>
      </c>
      <c r="ED85" s="675">
        <v>10021</v>
      </c>
      <c r="EE85" s="675">
        <v>0</v>
      </c>
      <c r="EF85" s="675">
        <v>0</v>
      </c>
      <c r="EG85" s="675">
        <v>0</v>
      </c>
      <c r="EH85" s="675">
        <v>14373</v>
      </c>
      <c r="EI85" s="675">
        <v>67637</v>
      </c>
      <c r="EJ85" s="675">
        <v>2.58</v>
      </c>
      <c r="EK85" s="675">
        <v>0.73099999999999998</v>
      </c>
      <c r="EL85" s="675">
        <v>0</v>
      </c>
      <c r="EM85" s="675">
        <v>0</v>
      </c>
      <c r="EN85" s="675">
        <v>0</v>
      </c>
      <c r="EO85" s="675">
        <v>0</v>
      </c>
      <c r="EP85" s="675">
        <v>0</v>
      </c>
      <c r="EQ85" s="675">
        <v>3.3109999999999999</v>
      </c>
      <c r="ER85" s="675">
        <v>0</v>
      </c>
      <c r="ES85" s="675">
        <v>2.1930000000000001</v>
      </c>
      <c r="ET85" s="675">
        <v>1000</v>
      </c>
      <c r="EU85" s="675">
        <v>59977</v>
      </c>
      <c r="EV85" s="675">
        <v>0</v>
      </c>
      <c r="EW85" s="675">
        <v>0</v>
      </c>
      <c r="EX85" s="675">
        <v>0</v>
      </c>
      <c r="EY85" s="675">
        <v>0</v>
      </c>
      <c r="EZ85" s="675">
        <v>801055</v>
      </c>
      <c r="FA85" s="675">
        <v>0</v>
      </c>
      <c r="FB85" s="675">
        <v>861032</v>
      </c>
      <c r="FC85" s="675">
        <v>0.97327799999999998</v>
      </c>
      <c r="FD85" s="675">
        <v>0</v>
      </c>
      <c r="FE85" s="675">
        <v>123860</v>
      </c>
      <c r="FF85" s="675">
        <v>27912</v>
      </c>
      <c r="FG85" s="675">
        <v>6.1239999999999996E-2</v>
      </c>
      <c r="FH85" s="675">
        <v>5.4803999999999999E-2</v>
      </c>
      <c r="FI85" s="675">
        <v>0</v>
      </c>
      <c r="FJ85" s="675">
        <v>0</v>
      </c>
      <c r="FK85" s="675">
        <v>159.404</v>
      </c>
      <c r="FL85" s="675">
        <v>1033065</v>
      </c>
      <c r="FM85" s="675">
        <v>0</v>
      </c>
      <c r="FN85" s="675">
        <v>0</v>
      </c>
      <c r="FO85" s="675">
        <v>0</v>
      </c>
      <c r="FP85" s="675">
        <v>0</v>
      </c>
      <c r="FQ85" s="675">
        <v>0</v>
      </c>
      <c r="FR85" s="675">
        <v>0</v>
      </c>
      <c r="FS85" s="675">
        <v>0</v>
      </c>
      <c r="FT85" s="675">
        <v>0</v>
      </c>
      <c r="FU85" s="675">
        <v>0</v>
      </c>
      <c r="FV85" s="675">
        <v>0</v>
      </c>
      <c r="FW85" s="675">
        <v>0</v>
      </c>
      <c r="FX85" s="675">
        <v>0</v>
      </c>
      <c r="FY85" s="675">
        <v>0</v>
      </c>
      <c r="FZ85" s="675">
        <v>0</v>
      </c>
      <c r="GA85" s="675">
        <v>0</v>
      </c>
      <c r="GB85" s="675">
        <v>86568</v>
      </c>
      <c r="GC85" s="675">
        <v>86568</v>
      </c>
      <c r="GD85" s="675">
        <v>9.7840000000000007</v>
      </c>
      <c r="GE85" s="675">
        <v>0</v>
      </c>
      <c r="GF85" s="675">
        <v>0</v>
      </c>
      <c r="GG85" s="675">
        <v>0</v>
      </c>
      <c r="GH85" s="675">
        <v>0</v>
      </c>
      <c r="GI85" s="675">
        <v>0</v>
      </c>
      <c r="GJ85" s="675">
        <v>0</v>
      </c>
      <c r="GK85" s="675">
        <v>5179</v>
      </c>
      <c r="GL85" s="675">
        <v>6316</v>
      </c>
      <c r="GM85" s="675">
        <v>0</v>
      </c>
      <c r="GN85" s="675">
        <v>0</v>
      </c>
      <c r="GO85" s="675">
        <v>0</v>
      </c>
      <c r="GP85" s="675">
        <v>1012804</v>
      </c>
      <c r="GQ85" s="675">
        <v>1012804</v>
      </c>
      <c r="GR85" s="675">
        <v>0</v>
      </c>
      <c r="GS85" s="675">
        <v>0</v>
      </c>
      <c r="GT85" s="675">
        <v>0</v>
      </c>
      <c r="GU85" s="675">
        <v>0</v>
      </c>
      <c r="GV85" s="675">
        <v>0</v>
      </c>
      <c r="GW85" s="675">
        <v>0</v>
      </c>
      <c r="GX85" s="675">
        <v>0</v>
      </c>
      <c r="GY85" s="675">
        <v>0</v>
      </c>
      <c r="GZ85" s="675">
        <v>0</v>
      </c>
      <c r="HA85" s="675">
        <v>0</v>
      </c>
      <c r="HB85" s="675">
        <v>260786259</v>
      </c>
      <c r="HC85" s="675">
        <v>5.0923999999999997E-2</v>
      </c>
      <c r="HD85" s="675">
        <v>19261</v>
      </c>
      <c r="HE85" s="675">
        <v>0</v>
      </c>
      <c r="HF85" s="675">
        <v>0</v>
      </c>
      <c r="HG85" s="675">
        <v>0</v>
      </c>
      <c r="HH85" s="675">
        <v>0</v>
      </c>
      <c r="HI85" s="675">
        <v>0</v>
      </c>
      <c r="HJ85" s="675">
        <v>0</v>
      </c>
      <c r="HK85" s="675">
        <v>0</v>
      </c>
      <c r="HL85" s="675">
        <v>0</v>
      </c>
      <c r="HM85" s="675">
        <v>0</v>
      </c>
      <c r="HN85" s="675">
        <v>0</v>
      </c>
      <c r="HO85" s="675">
        <v>0</v>
      </c>
      <c r="HP85" s="675">
        <v>0</v>
      </c>
      <c r="HQ85" s="675">
        <v>0</v>
      </c>
      <c r="HR85" s="675">
        <v>0</v>
      </c>
      <c r="HS85" s="675">
        <v>0</v>
      </c>
      <c r="HT85" s="675">
        <v>0</v>
      </c>
      <c r="HU85" s="675">
        <v>0</v>
      </c>
      <c r="HV85" s="675">
        <v>0</v>
      </c>
      <c r="HW85" s="675">
        <v>0</v>
      </c>
      <c r="HX85" s="675">
        <v>0</v>
      </c>
      <c r="HY85" s="675">
        <v>0</v>
      </c>
      <c r="HZ85" s="675">
        <v>0</v>
      </c>
      <c r="IA85" s="675">
        <v>0</v>
      </c>
      <c r="IB85" s="675">
        <v>0</v>
      </c>
      <c r="IC85" s="675">
        <v>0</v>
      </c>
      <c r="ID85" s="675">
        <v>0</v>
      </c>
      <c r="IE85" s="675">
        <v>0</v>
      </c>
      <c r="IF85" s="675">
        <v>0</v>
      </c>
      <c r="IG85" s="675">
        <v>0</v>
      </c>
      <c r="IH85" s="675">
        <v>0</v>
      </c>
      <c r="II85" s="675">
        <v>0</v>
      </c>
      <c r="IJ85" s="675">
        <v>0</v>
      </c>
      <c r="IK85" s="675">
        <v>0</v>
      </c>
      <c r="IL85" s="675">
        <v>0</v>
      </c>
      <c r="IM85" s="675">
        <v>0</v>
      </c>
      <c r="IN85" s="675">
        <v>0</v>
      </c>
      <c r="IO85" s="675">
        <v>0</v>
      </c>
      <c r="IP85" s="675">
        <v>0</v>
      </c>
      <c r="IQ85" s="675">
        <v>0</v>
      </c>
      <c r="IR85" s="675">
        <v>0</v>
      </c>
      <c r="IS85" s="675">
        <v>0</v>
      </c>
      <c r="IT85" s="675">
        <v>0</v>
      </c>
      <c r="IU85" s="675">
        <v>0</v>
      </c>
      <c r="IV85" s="675">
        <v>0</v>
      </c>
      <c r="IW85" s="675">
        <v>0</v>
      </c>
      <c r="IX85" s="675">
        <v>0</v>
      </c>
      <c r="IY85" s="675">
        <v>0</v>
      </c>
      <c r="IZ85" s="675">
        <v>0</v>
      </c>
      <c r="JA85" s="675">
        <v>0</v>
      </c>
      <c r="JB85" s="675">
        <v>0</v>
      </c>
      <c r="JC85" s="675">
        <v>0</v>
      </c>
      <c r="JD85" s="675">
        <v>0</v>
      </c>
      <c r="JE85" s="675">
        <v>0</v>
      </c>
      <c r="JF85" s="675">
        <v>0</v>
      </c>
      <c r="JG85" s="675">
        <v>0</v>
      </c>
      <c r="JH85" s="675">
        <v>0</v>
      </c>
      <c r="JI85" s="675">
        <v>0</v>
      </c>
      <c r="JJ85" s="675">
        <v>0</v>
      </c>
      <c r="JK85" s="675">
        <v>0</v>
      </c>
      <c r="JL85" s="675">
        <v>0</v>
      </c>
      <c r="JM85" s="675">
        <v>0</v>
      </c>
      <c r="JN85" s="675">
        <v>32469</v>
      </c>
      <c r="JO85" s="675">
        <v>0</v>
      </c>
      <c r="JP85" s="675">
        <v>0</v>
      </c>
      <c r="JQ85" s="675">
        <v>0</v>
      </c>
      <c r="JR85" s="675">
        <v>0</v>
      </c>
      <c r="JS85" s="675">
        <v>0</v>
      </c>
      <c r="JT85" s="675">
        <v>0</v>
      </c>
      <c r="JU85" s="675">
        <v>0</v>
      </c>
      <c r="JV85" s="675">
        <v>0</v>
      </c>
      <c r="JW85" s="675">
        <v>0</v>
      </c>
      <c r="JX85" s="675">
        <v>0</v>
      </c>
      <c r="JY85" s="675">
        <v>0</v>
      </c>
      <c r="JZ85" s="675">
        <v>0</v>
      </c>
      <c r="KA85" s="675">
        <v>0</v>
      </c>
      <c r="KB85" s="675">
        <v>0</v>
      </c>
      <c r="KC85" s="675">
        <v>0</v>
      </c>
      <c r="KD85" s="675">
        <v>0</v>
      </c>
      <c r="KE85" s="675">
        <v>0</v>
      </c>
      <c r="KF85" s="675">
        <v>0</v>
      </c>
    </row>
    <row r="86" spans="1:292" x14ac:dyDescent="0.25">
      <c r="A86" s="675">
        <v>84802</v>
      </c>
      <c r="B86" s="675">
        <v>32570</v>
      </c>
      <c r="C86" s="675">
        <v>35</v>
      </c>
      <c r="D86" s="675">
        <v>2022</v>
      </c>
      <c r="E86" s="675">
        <v>5392</v>
      </c>
      <c r="F86" s="675">
        <v>0</v>
      </c>
      <c r="G86" s="675">
        <v>1018.984</v>
      </c>
      <c r="H86" s="675">
        <v>977.64600000000007</v>
      </c>
      <c r="I86" s="675">
        <v>977.64600000000007</v>
      </c>
      <c r="J86" s="675">
        <v>1018.984</v>
      </c>
      <c r="K86" s="675">
        <v>0</v>
      </c>
      <c r="L86" s="675">
        <v>6554</v>
      </c>
      <c r="M86" s="675">
        <v>0</v>
      </c>
      <c r="N86" s="675">
        <v>0</v>
      </c>
      <c r="O86" s="675">
        <v>0</v>
      </c>
      <c r="P86" s="675">
        <v>1017.2140000000001</v>
      </c>
      <c r="Q86" s="675">
        <v>0</v>
      </c>
      <c r="R86" s="675">
        <v>325217</v>
      </c>
      <c r="S86" s="675">
        <v>319.71300000000002</v>
      </c>
      <c r="T86" s="675">
        <v>0</v>
      </c>
      <c r="U86" s="675">
        <v>325217</v>
      </c>
      <c r="V86" s="675">
        <v>195.34100000000001</v>
      </c>
      <c r="W86" s="675">
        <v>128026</v>
      </c>
      <c r="X86" s="675">
        <v>128026</v>
      </c>
      <c r="Y86" s="675">
        <v>0</v>
      </c>
      <c r="Z86" s="675">
        <v>0</v>
      </c>
      <c r="AA86" s="675">
        <v>1</v>
      </c>
      <c r="AB86" s="675">
        <v>1</v>
      </c>
      <c r="AC86" s="675">
        <v>0</v>
      </c>
      <c r="AD86" s="675" t="s">
        <v>316</v>
      </c>
      <c r="AE86" s="675">
        <v>0</v>
      </c>
      <c r="AF86" s="675">
        <v>0</v>
      </c>
      <c r="AG86" s="675">
        <v>0</v>
      </c>
      <c r="AH86" s="675">
        <v>0</v>
      </c>
      <c r="AI86" s="675">
        <v>0</v>
      </c>
      <c r="AJ86" s="675">
        <v>5104</v>
      </c>
      <c r="AK86" s="675" t="s">
        <v>671</v>
      </c>
      <c r="AL86" s="675" t="s">
        <v>343</v>
      </c>
      <c r="AM86" s="675">
        <v>0</v>
      </c>
      <c r="AN86" s="675">
        <v>0</v>
      </c>
      <c r="AO86" s="675">
        <v>0</v>
      </c>
      <c r="AP86" s="675">
        <v>0</v>
      </c>
      <c r="AQ86" s="675">
        <v>0</v>
      </c>
      <c r="AR86" s="675">
        <v>0</v>
      </c>
      <c r="AS86" s="675">
        <v>0</v>
      </c>
      <c r="AT86" s="675">
        <v>0</v>
      </c>
      <c r="AU86" s="675">
        <v>0</v>
      </c>
      <c r="AV86" s="675">
        <v>229118</v>
      </c>
      <c r="AW86" s="675">
        <v>10156919</v>
      </c>
      <c r="AX86" s="675">
        <v>9897991</v>
      </c>
      <c r="AY86" s="675">
        <v>10741594</v>
      </c>
      <c r="AZ86" s="675">
        <v>358367</v>
      </c>
      <c r="BA86" s="675">
        <v>49.917000000000002</v>
      </c>
      <c r="BB86" s="675">
        <v>40071</v>
      </c>
      <c r="BC86" s="675">
        <v>40071</v>
      </c>
      <c r="BD86" s="675">
        <v>50.949000000000005</v>
      </c>
      <c r="BE86" s="675">
        <v>0</v>
      </c>
      <c r="BF86" s="675">
        <v>8421055</v>
      </c>
      <c r="BG86" s="675">
        <v>0</v>
      </c>
      <c r="BH86" s="675">
        <v>120.54400000000001</v>
      </c>
      <c r="BI86" s="675">
        <v>33150</v>
      </c>
      <c r="BJ86" s="675">
        <v>12</v>
      </c>
      <c r="BK86" s="675">
        <v>0</v>
      </c>
      <c r="BL86" s="675">
        <v>0</v>
      </c>
      <c r="BM86" s="675">
        <v>0</v>
      </c>
      <c r="BN86" s="675">
        <v>0</v>
      </c>
      <c r="BO86" s="675">
        <v>0</v>
      </c>
      <c r="BP86" s="675">
        <v>0</v>
      </c>
      <c r="BQ86" s="675">
        <v>5392</v>
      </c>
      <c r="BR86" s="675">
        <v>1</v>
      </c>
      <c r="BS86" s="675">
        <v>0</v>
      </c>
      <c r="BT86" s="675">
        <v>0</v>
      </c>
      <c r="BU86" s="675">
        <v>0</v>
      </c>
      <c r="BV86" s="675">
        <v>0</v>
      </c>
      <c r="BW86" s="675">
        <v>0</v>
      </c>
      <c r="BX86" s="675">
        <v>0</v>
      </c>
      <c r="BY86" s="675">
        <v>0</v>
      </c>
      <c r="BZ86" s="675">
        <v>0</v>
      </c>
      <c r="CA86" s="675">
        <v>0</v>
      </c>
      <c r="CB86" s="675">
        <v>0</v>
      </c>
      <c r="CC86" s="675">
        <v>0</v>
      </c>
      <c r="CD86" s="675">
        <v>0</v>
      </c>
      <c r="CE86" s="675">
        <v>0</v>
      </c>
      <c r="CF86" s="675">
        <v>0</v>
      </c>
      <c r="CG86" s="675">
        <v>0</v>
      </c>
      <c r="CH86" s="675">
        <v>225778</v>
      </c>
      <c r="CI86" s="675">
        <v>0</v>
      </c>
      <c r="CJ86" s="675">
        <v>4</v>
      </c>
      <c r="CK86" s="675">
        <v>0</v>
      </c>
      <c r="CL86" s="675">
        <v>0</v>
      </c>
      <c r="CM86" s="675">
        <v>0</v>
      </c>
      <c r="CN86" s="675">
        <v>0</v>
      </c>
      <c r="CO86" s="675">
        <v>0</v>
      </c>
      <c r="CP86" s="675">
        <v>0</v>
      </c>
      <c r="CQ86" s="675">
        <v>0</v>
      </c>
      <c r="CR86" s="675">
        <v>1017.2140000000001</v>
      </c>
      <c r="CS86" s="675">
        <v>0</v>
      </c>
      <c r="CT86" s="675">
        <v>0</v>
      </c>
      <c r="CU86" s="675">
        <v>0</v>
      </c>
      <c r="CV86" s="675">
        <v>0</v>
      </c>
      <c r="CW86" s="675">
        <v>0</v>
      </c>
      <c r="CX86" s="675">
        <v>0</v>
      </c>
      <c r="CY86" s="675">
        <v>0</v>
      </c>
      <c r="CZ86" s="675">
        <v>0</v>
      </c>
      <c r="DA86" s="675">
        <v>1</v>
      </c>
      <c r="DB86" s="675">
        <v>6407492</v>
      </c>
      <c r="DC86" s="675">
        <v>0</v>
      </c>
      <c r="DD86" s="675">
        <v>0</v>
      </c>
      <c r="DE86" s="675">
        <v>1165734</v>
      </c>
      <c r="DF86" s="675">
        <v>1165734</v>
      </c>
      <c r="DG86" s="675">
        <v>889.33</v>
      </c>
      <c r="DH86" s="675">
        <v>0</v>
      </c>
      <c r="DI86" s="675">
        <v>0</v>
      </c>
      <c r="DJ86" s="675">
        <v>0</v>
      </c>
      <c r="DK86" s="675">
        <v>5392</v>
      </c>
      <c r="DL86" s="675">
        <v>0</v>
      </c>
      <c r="DM86" s="675">
        <v>724369</v>
      </c>
      <c r="DN86" s="675">
        <v>0</v>
      </c>
      <c r="DO86" s="675">
        <v>0</v>
      </c>
      <c r="DP86" s="675">
        <v>0</v>
      </c>
      <c r="DQ86" s="675">
        <v>0</v>
      </c>
      <c r="DR86" s="675">
        <v>0</v>
      </c>
      <c r="DS86" s="675">
        <v>0</v>
      </c>
      <c r="DT86" s="675">
        <v>0</v>
      </c>
      <c r="DU86" s="675">
        <v>0</v>
      </c>
      <c r="DV86" s="675">
        <v>0</v>
      </c>
      <c r="DW86" s="675">
        <v>0</v>
      </c>
      <c r="DX86" s="675">
        <v>0</v>
      </c>
      <c r="DY86" s="675">
        <v>0</v>
      </c>
      <c r="DZ86" s="675">
        <v>0</v>
      </c>
      <c r="EA86" s="675">
        <v>0</v>
      </c>
      <c r="EB86" s="675">
        <v>0</v>
      </c>
      <c r="EC86" s="675">
        <v>43.082000000000001</v>
      </c>
      <c r="ED86" s="675">
        <v>310595</v>
      </c>
      <c r="EE86" s="675">
        <v>0</v>
      </c>
      <c r="EF86" s="675">
        <v>0</v>
      </c>
      <c r="EG86" s="675">
        <v>0</v>
      </c>
      <c r="EH86" s="675">
        <v>413774</v>
      </c>
      <c r="EI86" s="675">
        <v>0</v>
      </c>
      <c r="EJ86" s="675">
        <v>0</v>
      </c>
      <c r="EK86" s="675">
        <v>19.096</v>
      </c>
      <c r="EL86" s="675">
        <v>0</v>
      </c>
      <c r="EM86" s="675">
        <v>0</v>
      </c>
      <c r="EN86" s="675">
        <v>1.169</v>
      </c>
      <c r="EO86" s="675">
        <v>0</v>
      </c>
      <c r="EP86" s="675">
        <v>0</v>
      </c>
      <c r="EQ86" s="675">
        <v>20.265000000000001</v>
      </c>
      <c r="ER86" s="675">
        <v>0</v>
      </c>
      <c r="ES86" s="675">
        <v>63.133000000000003</v>
      </c>
      <c r="ET86" s="675">
        <v>24959</v>
      </c>
      <c r="EU86" s="675">
        <v>358367</v>
      </c>
      <c r="EV86" s="675">
        <v>0</v>
      </c>
      <c r="EW86" s="675">
        <v>0</v>
      </c>
      <c r="EX86" s="675">
        <v>0</v>
      </c>
      <c r="EY86" s="675">
        <v>0</v>
      </c>
      <c r="EZ86" s="675">
        <v>8327048</v>
      </c>
      <c r="FA86" s="675">
        <v>0</v>
      </c>
      <c r="FB86" s="675">
        <v>8685415</v>
      </c>
      <c r="FC86" s="675">
        <v>0.97327799999999998</v>
      </c>
      <c r="FD86" s="675">
        <v>0</v>
      </c>
      <c r="FE86" s="675">
        <v>1282038</v>
      </c>
      <c r="FF86" s="675">
        <v>288905</v>
      </c>
      <c r="FG86" s="675">
        <v>6.1239999999999996E-2</v>
      </c>
      <c r="FH86" s="675">
        <v>5.4803999999999999E-2</v>
      </c>
      <c r="FI86" s="675">
        <v>0</v>
      </c>
      <c r="FJ86" s="675">
        <v>0</v>
      </c>
      <c r="FK86" s="675">
        <v>1649.95</v>
      </c>
      <c r="FL86" s="675">
        <v>10482136</v>
      </c>
      <c r="FM86" s="675">
        <v>0</v>
      </c>
      <c r="FN86" s="675">
        <v>0</v>
      </c>
      <c r="FO86" s="675">
        <v>0</v>
      </c>
      <c r="FP86" s="675">
        <v>0</v>
      </c>
      <c r="FQ86" s="675">
        <v>0</v>
      </c>
      <c r="FR86" s="675">
        <v>0</v>
      </c>
      <c r="FS86" s="675">
        <v>0</v>
      </c>
      <c r="FT86" s="675">
        <v>0</v>
      </c>
      <c r="FU86" s="675">
        <v>0</v>
      </c>
      <c r="FV86" s="675">
        <v>0</v>
      </c>
      <c r="FW86" s="675">
        <v>0</v>
      </c>
      <c r="FX86" s="675">
        <v>0</v>
      </c>
      <c r="FY86" s="675">
        <v>0</v>
      </c>
      <c r="FZ86" s="675">
        <v>122</v>
      </c>
      <c r="GA86" s="675">
        <v>2.4340000000000002</v>
      </c>
      <c r="GB86" s="675">
        <v>186573</v>
      </c>
      <c r="GC86" s="675">
        <v>186573</v>
      </c>
      <c r="GD86" s="675">
        <v>21.073</v>
      </c>
      <c r="GE86" s="675">
        <v>0</v>
      </c>
      <c r="GF86" s="675">
        <v>0</v>
      </c>
      <c r="GG86" s="675">
        <v>0</v>
      </c>
      <c r="GH86" s="675">
        <v>0</v>
      </c>
      <c r="GI86" s="675">
        <v>0</v>
      </c>
      <c r="GJ86" s="675">
        <v>0</v>
      </c>
      <c r="GK86" s="675">
        <v>5316</v>
      </c>
      <c r="GL86" s="675">
        <v>11477</v>
      </c>
      <c r="GM86" s="675">
        <v>0</v>
      </c>
      <c r="GN86" s="675">
        <v>0</v>
      </c>
      <c r="GO86" s="675">
        <v>0</v>
      </c>
      <c r="GP86" s="675">
        <v>10256358</v>
      </c>
      <c r="GQ86" s="675">
        <v>10256358</v>
      </c>
      <c r="GR86" s="675">
        <v>0</v>
      </c>
      <c r="GS86" s="675">
        <v>0</v>
      </c>
      <c r="GT86" s="675">
        <v>0</v>
      </c>
      <c r="GU86" s="675">
        <v>0</v>
      </c>
      <c r="GV86" s="675">
        <v>0</v>
      </c>
      <c r="GW86" s="675">
        <v>0</v>
      </c>
      <c r="GX86" s="675">
        <v>0</v>
      </c>
      <c r="GY86" s="675">
        <v>0</v>
      </c>
      <c r="GZ86" s="675">
        <v>0</v>
      </c>
      <c r="HA86" s="675">
        <v>0</v>
      </c>
      <c r="HB86" s="675">
        <v>260786259</v>
      </c>
      <c r="HC86" s="675">
        <v>5.0923999999999997E-2</v>
      </c>
      <c r="HD86" s="675">
        <v>200819</v>
      </c>
      <c r="HE86" s="675">
        <v>0</v>
      </c>
      <c r="HF86" s="675">
        <v>0</v>
      </c>
      <c r="HG86" s="675">
        <v>0</v>
      </c>
      <c r="HH86" s="675">
        <v>0</v>
      </c>
      <c r="HI86" s="675">
        <v>0</v>
      </c>
      <c r="HJ86" s="675">
        <v>0</v>
      </c>
      <c r="HK86" s="675">
        <v>0</v>
      </c>
      <c r="HL86" s="675">
        <v>0</v>
      </c>
      <c r="HM86" s="675">
        <v>0</v>
      </c>
      <c r="HN86" s="675">
        <v>0</v>
      </c>
      <c r="HO86" s="675">
        <v>0</v>
      </c>
      <c r="HP86" s="675">
        <v>0</v>
      </c>
      <c r="HQ86" s="675">
        <v>0</v>
      </c>
      <c r="HR86" s="675">
        <v>0</v>
      </c>
      <c r="HS86" s="675">
        <v>0</v>
      </c>
      <c r="HT86" s="675">
        <v>0</v>
      </c>
      <c r="HU86" s="675">
        <v>0</v>
      </c>
      <c r="HV86" s="675">
        <v>0</v>
      </c>
      <c r="HW86" s="675">
        <v>0</v>
      </c>
      <c r="HX86" s="675">
        <v>0</v>
      </c>
      <c r="HY86" s="675">
        <v>0</v>
      </c>
      <c r="HZ86" s="675">
        <v>0</v>
      </c>
      <c r="IA86" s="675">
        <v>0</v>
      </c>
      <c r="IB86" s="675">
        <v>0</v>
      </c>
      <c r="IC86" s="675">
        <v>0</v>
      </c>
      <c r="ID86" s="675">
        <v>0</v>
      </c>
      <c r="IE86" s="675">
        <v>0</v>
      </c>
      <c r="IF86" s="675">
        <v>0</v>
      </c>
      <c r="IG86" s="675">
        <v>0</v>
      </c>
      <c r="IH86" s="675">
        <v>0</v>
      </c>
      <c r="II86" s="675">
        <v>0</v>
      </c>
      <c r="IJ86" s="675">
        <v>0</v>
      </c>
      <c r="IK86" s="675">
        <v>0</v>
      </c>
      <c r="IL86" s="675">
        <v>0</v>
      </c>
      <c r="IM86" s="675">
        <v>0</v>
      </c>
      <c r="IN86" s="675">
        <v>0</v>
      </c>
      <c r="IO86" s="675">
        <v>0</v>
      </c>
      <c r="IP86" s="675">
        <v>0</v>
      </c>
      <c r="IQ86" s="675">
        <v>0</v>
      </c>
      <c r="IR86" s="675">
        <v>0</v>
      </c>
      <c r="IS86" s="675">
        <v>0</v>
      </c>
      <c r="IT86" s="675">
        <v>0</v>
      </c>
      <c r="IU86" s="675">
        <v>0</v>
      </c>
      <c r="IV86" s="675">
        <v>0</v>
      </c>
      <c r="IW86" s="675">
        <v>0</v>
      </c>
      <c r="IX86" s="675">
        <v>0</v>
      </c>
      <c r="IY86" s="675">
        <v>0</v>
      </c>
      <c r="IZ86" s="675">
        <v>0</v>
      </c>
      <c r="JA86" s="675">
        <v>0</v>
      </c>
      <c r="JB86" s="675">
        <v>0</v>
      </c>
      <c r="JC86" s="675">
        <v>0</v>
      </c>
      <c r="JD86" s="675">
        <v>0</v>
      </c>
      <c r="JE86" s="675">
        <v>0</v>
      </c>
      <c r="JF86" s="675">
        <v>0</v>
      </c>
      <c r="JG86" s="675">
        <v>0</v>
      </c>
      <c r="JH86" s="675">
        <v>0</v>
      </c>
      <c r="JI86" s="675">
        <v>0</v>
      </c>
      <c r="JJ86" s="675">
        <v>0</v>
      </c>
      <c r="JK86" s="675">
        <v>0</v>
      </c>
      <c r="JL86" s="675">
        <v>0</v>
      </c>
      <c r="JM86" s="675">
        <v>0</v>
      </c>
      <c r="JN86" s="675">
        <v>32469</v>
      </c>
      <c r="JO86" s="675">
        <v>0</v>
      </c>
      <c r="JP86" s="675">
        <v>0</v>
      </c>
      <c r="JQ86" s="675">
        <v>0</v>
      </c>
      <c r="JR86" s="675">
        <v>0</v>
      </c>
      <c r="JS86" s="675">
        <v>0</v>
      </c>
      <c r="JT86" s="675">
        <v>0</v>
      </c>
      <c r="JU86" s="675">
        <v>0</v>
      </c>
      <c r="JV86" s="675">
        <v>0</v>
      </c>
      <c r="JW86" s="675">
        <v>0</v>
      </c>
      <c r="JX86" s="675">
        <v>0</v>
      </c>
      <c r="JY86" s="675">
        <v>0</v>
      </c>
      <c r="JZ86" s="675">
        <v>0</v>
      </c>
      <c r="KA86" s="675">
        <v>0</v>
      </c>
      <c r="KB86" s="675">
        <v>0</v>
      </c>
      <c r="KC86" s="675">
        <v>0</v>
      </c>
      <c r="KD86" s="675">
        <v>0</v>
      </c>
      <c r="KE86" s="675">
        <v>0</v>
      </c>
      <c r="KF86" s="675">
        <v>0</v>
      </c>
    </row>
    <row r="87" spans="1:292" x14ac:dyDescent="0.25">
      <c r="A87" s="675">
        <v>84804</v>
      </c>
      <c r="B87" s="675">
        <v>32570</v>
      </c>
      <c r="C87" s="675">
        <v>35</v>
      </c>
      <c r="D87" s="675">
        <v>2022</v>
      </c>
      <c r="E87" s="675">
        <v>5392</v>
      </c>
      <c r="F87" s="675">
        <v>0</v>
      </c>
      <c r="G87" s="675">
        <v>233.18900000000002</v>
      </c>
      <c r="H87" s="675">
        <v>230.578</v>
      </c>
      <c r="I87" s="675">
        <v>230.578</v>
      </c>
      <c r="J87" s="675">
        <v>233.18900000000002</v>
      </c>
      <c r="K87" s="675">
        <v>0</v>
      </c>
      <c r="L87" s="675">
        <v>6554</v>
      </c>
      <c r="M87" s="675">
        <v>0</v>
      </c>
      <c r="N87" s="675">
        <v>0</v>
      </c>
      <c r="O87" s="675">
        <v>0</v>
      </c>
      <c r="P87" s="675">
        <v>260.08500000000004</v>
      </c>
      <c r="Q87" s="675">
        <v>0</v>
      </c>
      <c r="R87" s="675">
        <v>83153</v>
      </c>
      <c r="S87" s="675">
        <v>319.71300000000002</v>
      </c>
      <c r="T87" s="675">
        <v>0</v>
      </c>
      <c r="U87" s="675">
        <v>83153</v>
      </c>
      <c r="V87" s="675">
        <v>0</v>
      </c>
      <c r="W87" s="675">
        <v>0</v>
      </c>
      <c r="X87" s="675">
        <v>0</v>
      </c>
      <c r="Y87" s="675">
        <v>0</v>
      </c>
      <c r="Z87" s="675">
        <v>0</v>
      </c>
      <c r="AA87" s="675">
        <v>1</v>
      </c>
      <c r="AB87" s="675">
        <v>1</v>
      </c>
      <c r="AC87" s="675">
        <v>0</v>
      </c>
      <c r="AD87" s="675" t="s">
        <v>316</v>
      </c>
      <c r="AE87" s="675">
        <v>0</v>
      </c>
      <c r="AF87" s="675">
        <v>0</v>
      </c>
      <c r="AG87" s="675">
        <v>0</v>
      </c>
      <c r="AH87" s="675">
        <v>0</v>
      </c>
      <c r="AI87" s="675">
        <v>0</v>
      </c>
      <c r="AJ87" s="675">
        <v>5104</v>
      </c>
      <c r="AK87" s="675" t="s">
        <v>671</v>
      </c>
      <c r="AL87" s="675" t="s">
        <v>65</v>
      </c>
      <c r="AM87" s="675">
        <v>0</v>
      </c>
      <c r="AN87" s="675">
        <v>0</v>
      </c>
      <c r="AO87" s="675">
        <v>0</v>
      </c>
      <c r="AP87" s="675">
        <v>0</v>
      </c>
      <c r="AQ87" s="675">
        <v>0</v>
      </c>
      <c r="AR87" s="675">
        <v>0</v>
      </c>
      <c r="AS87" s="675">
        <v>0</v>
      </c>
      <c r="AT87" s="675">
        <v>0</v>
      </c>
      <c r="AU87" s="675">
        <v>0</v>
      </c>
      <c r="AV87" s="675">
        <v>91267</v>
      </c>
      <c r="AW87" s="675">
        <v>2248421</v>
      </c>
      <c r="AX87" s="675">
        <v>2202465</v>
      </c>
      <c r="AY87" s="675">
        <v>2344208</v>
      </c>
      <c r="AZ87" s="675">
        <v>83153</v>
      </c>
      <c r="BA87" s="675">
        <v>0</v>
      </c>
      <c r="BB87" s="675">
        <v>9170</v>
      </c>
      <c r="BC87" s="675">
        <v>9170</v>
      </c>
      <c r="BD87" s="675">
        <v>11.659000000000001</v>
      </c>
      <c r="BE87" s="675">
        <v>0</v>
      </c>
      <c r="BF87" s="675">
        <v>1882708</v>
      </c>
      <c r="BG87" s="675">
        <v>0</v>
      </c>
      <c r="BH87" s="675">
        <v>0</v>
      </c>
      <c r="BI87" s="675">
        <v>0</v>
      </c>
      <c r="BJ87" s="675">
        <v>12</v>
      </c>
      <c r="BK87" s="675">
        <v>0</v>
      </c>
      <c r="BL87" s="675">
        <v>0</v>
      </c>
      <c r="BM87" s="675">
        <v>0</v>
      </c>
      <c r="BN87" s="675">
        <v>0</v>
      </c>
      <c r="BO87" s="675">
        <v>0</v>
      </c>
      <c r="BP87" s="675">
        <v>0</v>
      </c>
      <c r="BQ87" s="675">
        <v>5392</v>
      </c>
      <c r="BR87" s="675">
        <v>1</v>
      </c>
      <c r="BS87" s="675">
        <v>0</v>
      </c>
      <c r="BT87" s="675">
        <v>0</v>
      </c>
      <c r="BU87" s="675">
        <v>0</v>
      </c>
      <c r="BV87" s="675">
        <v>0</v>
      </c>
      <c r="BW87" s="675">
        <v>0</v>
      </c>
      <c r="BX87" s="675">
        <v>0</v>
      </c>
      <c r="BY87" s="675">
        <v>0</v>
      </c>
      <c r="BZ87" s="675">
        <v>0</v>
      </c>
      <c r="CA87" s="675">
        <v>0</v>
      </c>
      <c r="CB87" s="675">
        <v>0</v>
      </c>
      <c r="CC87" s="675">
        <v>0</v>
      </c>
      <c r="CD87" s="675">
        <v>0</v>
      </c>
      <c r="CE87" s="675">
        <v>0</v>
      </c>
      <c r="CF87" s="675">
        <v>0</v>
      </c>
      <c r="CG87" s="675">
        <v>0</v>
      </c>
      <c r="CH87" s="675">
        <v>45956</v>
      </c>
      <c r="CI87" s="675">
        <v>0</v>
      </c>
      <c r="CJ87" s="675">
        <v>4</v>
      </c>
      <c r="CK87" s="675">
        <v>0</v>
      </c>
      <c r="CL87" s="675">
        <v>0</v>
      </c>
      <c r="CM87" s="675">
        <v>0</v>
      </c>
      <c r="CN87" s="675">
        <v>0</v>
      </c>
      <c r="CO87" s="675">
        <v>0</v>
      </c>
      <c r="CP87" s="675">
        <v>0</v>
      </c>
      <c r="CQ87" s="675">
        <v>0</v>
      </c>
      <c r="CR87" s="675">
        <v>260.08500000000004</v>
      </c>
      <c r="CS87" s="675">
        <v>0</v>
      </c>
      <c r="CT87" s="675">
        <v>0</v>
      </c>
      <c r="CU87" s="675">
        <v>0</v>
      </c>
      <c r="CV87" s="675">
        <v>0</v>
      </c>
      <c r="CW87" s="675">
        <v>0</v>
      </c>
      <c r="CX87" s="675">
        <v>0</v>
      </c>
      <c r="CY87" s="675">
        <v>0</v>
      </c>
      <c r="CZ87" s="675">
        <v>0</v>
      </c>
      <c r="DA87" s="675">
        <v>1</v>
      </c>
      <c r="DB87" s="675">
        <v>1511208</v>
      </c>
      <c r="DC87" s="675">
        <v>0</v>
      </c>
      <c r="DD87" s="675">
        <v>0</v>
      </c>
      <c r="DE87" s="675">
        <v>360037</v>
      </c>
      <c r="DF87" s="675">
        <v>360037</v>
      </c>
      <c r="DG87" s="675">
        <v>274.67</v>
      </c>
      <c r="DH87" s="675">
        <v>0</v>
      </c>
      <c r="DI87" s="675">
        <v>0</v>
      </c>
      <c r="DJ87" s="675">
        <v>0</v>
      </c>
      <c r="DK87" s="675">
        <v>5392</v>
      </c>
      <c r="DL87" s="675">
        <v>0</v>
      </c>
      <c r="DM87" s="675">
        <v>53985</v>
      </c>
      <c r="DN87" s="675">
        <v>0</v>
      </c>
      <c r="DO87" s="675">
        <v>0</v>
      </c>
      <c r="DP87" s="675">
        <v>0</v>
      </c>
      <c r="DQ87" s="675">
        <v>0</v>
      </c>
      <c r="DR87" s="675">
        <v>0</v>
      </c>
      <c r="DS87" s="675">
        <v>0</v>
      </c>
      <c r="DT87" s="675">
        <v>0</v>
      </c>
      <c r="DU87" s="675">
        <v>0</v>
      </c>
      <c r="DV87" s="675">
        <v>0</v>
      </c>
      <c r="DW87" s="675">
        <v>0</v>
      </c>
      <c r="DX87" s="675">
        <v>0</v>
      </c>
      <c r="DY87" s="675">
        <v>0</v>
      </c>
      <c r="DZ87" s="675">
        <v>0</v>
      </c>
      <c r="EA87" s="675">
        <v>0</v>
      </c>
      <c r="EB87" s="675">
        <v>0</v>
      </c>
      <c r="EC87" s="675">
        <v>0</v>
      </c>
      <c r="ED87" s="675">
        <v>0</v>
      </c>
      <c r="EE87" s="675">
        <v>0</v>
      </c>
      <c r="EF87" s="675">
        <v>0</v>
      </c>
      <c r="EG87" s="675">
        <v>0</v>
      </c>
      <c r="EH87" s="675">
        <v>53985</v>
      </c>
      <c r="EI87" s="675">
        <v>0</v>
      </c>
      <c r="EJ87" s="675">
        <v>0</v>
      </c>
      <c r="EK87" s="675">
        <v>2.4090000000000003</v>
      </c>
      <c r="EL87" s="675">
        <v>0</v>
      </c>
      <c r="EM87" s="675">
        <v>0</v>
      </c>
      <c r="EN87" s="675">
        <v>0.20200000000000001</v>
      </c>
      <c r="EO87" s="675">
        <v>0</v>
      </c>
      <c r="EP87" s="675">
        <v>0</v>
      </c>
      <c r="EQ87" s="675">
        <v>2.6110000000000002</v>
      </c>
      <c r="ER87" s="675">
        <v>0</v>
      </c>
      <c r="ES87" s="675">
        <v>8.2370000000000001</v>
      </c>
      <c r="ET87" s="675">
        <v>0</v>
      </c>
      <c r="EU87" s="675">
        <v>83153</v>
      </c>
      <c r="EV87" s="675">
        <v>0</v>
      </c>
      <c r="EW87" s="675">
        <v>0</v>
      </c>
      <c r="EX87" s="675">
        <v>0</v>
      </c>
      <c r="EY87" s="675">
        <v>0</v>
      </c>
      <c r="EZ87" s="675">
        <v>1851247</v>
      </c>
      <c r="FA87" s="675">
        <v>0</v>
      </c>
      <c r="FB87" s="675">
        <v>1934400</v>
      </c>
      <c r="FC87" s="675">
        <v>0.97327799999999998</v>
      </c>
      <c r="FD87" s="675">
        <v>0</v>
      </c>
      <c r="FE87" s="675">
        <v>286627</v>
      </c>
      <c r="FF87" s="675">
        <v>64591</v>
      </c>
      <c r="FG87" s="675">
        <v>6.1239999999999996E-2</v>
      </c>
      <c r="FH87" s="675">
        <v>5.4803999999999999E-2</v>
      </c>
      <c r="FI87" s="675">
        <v>0</v>
      </c>
      <c r="FJ87" s="675">
        <v>0</v>
      </c>
      <c r="FK87" s="675">
        <v>368.88200000000001</v>
      </c>
      <c r="FL87" s="675">
        <v>2331574</v>
      </c>
      <c r="FM87" s="675">
        <v>0</v>
      </c>
      <c r="FN87" s="675">
        <v>0</v>
      </c>
      <c r="FO87" s="675">
        <v>0</v>
      </c>
      <c r="FP87" s="675">
        <v>0</v>
      </c>
      <c r="FQ87" s="675">
        <v>0</v>
      </c>
      <c r="FR87" s="675">
        <v>0</v>
      </c>
      <c r="FS87" s="675">
        <v>0</v>
      </c>
      <c r="FT87" s="675">
        <v>0</v>
      </c>
      <c r="FU87" s="675">
        <v>0</v>
      </c>
      <c r="FV87" s="675">
        <v>0</v>
      </c>
      <c r="FW87" s="675">
        <v>0</v>
      </c>
      <c r="FX87" s="675">
        <v>0</v>
      </c>
      <c r="FY87" s="675">
        <v>0</v>
      </c>
      <c r="FZ87" s="675">
        <v>0</v>
      </c>
      <c r="GA87" s="675">
        <v>0</v>
      </c>
      <c r="GB87" s="675">
        <v>0</v>
      </c>
      <c r="GC87" s="675">
        <v>0</v>
      </c>
      <c r="GD87" s="675">
        <v>0</v>
      </c>
      <c r="GE87" s="675">
        <v>0</v>
      </c>
      <c r="GF87" s="675">
        <v>0</v>
      </c>
      <c r="GG87" s="675">
        <v>0</v>
      </c>
      <c r="GH87" s="675">
        <v>0</v>
      </c>
      <c r="GI87" s="675">
        <v>0</v>
      </c>
      <c r="GJ87" s="675">
        <v>0</v>
      </c>
      <c r="GK87" s="675">
        <v>4971</v>
      </c>
      <c r="GL87" s="675">
        <v>4559</v>
      </c>
      <c r="GM87" s="675">
        <v>0</v>
      </c>
      <c r="GN87" s="675">
        <v>0</v>
      </c>
      <c r="GO87" s="675">
        <v>0</v>
      </c>
      <c r="GP87" s="675">
        <v>2285618</v>
      </c>
      <c r="GQ87" s="675">
        <v>2285618</v>
      </c>
      <c r="GR87" s="675">
        <v>0</v>
      </c>
      <c r="GS87" s="675">
        <v>0</v>
      </c>
      <c r="GT87" s="675">
        <v>0</v>
      </c>
      <c r="GU87" s="675">
        <v>0</v>
      </c>
      <c r="GV87" s="675">
        <v>0</v>
      </c>
      <c r="GW87" s="675">
        <v>0</v>
      </c>
      <c r="GX87" s="675">
        <v>0</v>
      </c>
      <c r="GY87" s="675">
        <v>0</v>
      </c>
      <c r="GZ87" s="675">
        <v>0</v>
      </c>
      <c r="HA87" s="675">
        <v>0</v>
      </c>
      <c r="HB87" s="675">
        <v>260786259</v>
      </c>
      <c r="HC87" s="675">
        <v>5.0923999999999997E-2</v>
      </c>
      <c r="HD87" s="675">
        <v>45956</v>
      </c>
      <c r="HE87" s="675">
        <v>0</v>
      </c>
      <c r="HF87" s="675">
        <v>0</v>
      </c>
      <c r="HG87" s="675">
        <v>0</v>
      </c>
      <c r="HH87" s="675">
        <v>0</v>
      </c>
      <c r="HI87" s="675">
        <v>0</v>
      </c>
      <c r="HJ87" s="675">
        <v>0</v>
      </c>
      <c r="HK87" s="675">
        <v>0</v>
      </c>
      <c r="HL87" s="675">
        <v>0</v>
      </c>
      <c r="HM87" s="675">
        <v>0</v>
      </c>
      <c r="HN87" s="675">
        <v>0</v>
      </c>
      <c r="HO87" s="675">
        <v>0</v>
      </c>
      <c r="HP87" s="675">
        <v>0</v>
      </c>
      <c r="HQ87" s="675">
        <v>0</v>
      </c>
      <c r="HR87" s="675">
        <v>0</v>
      </c>
      <c r="HS87" s="675">
        <v>0</v>
      </c>
      <c r="HT87" s="675">
        <v>0</v>
      </c>
      <c r="HU87" s="675">
        <v>0</v>
      </c>
      <c r="HV87" s="675">
        <v>0</v>
      </c>
      <c r="HW87" s="675">
        <v>0</v>
      </c>
      <c r="HX87" s="675">
        <v>0</v>
      </c>
      <c r="HY87" s="675">
        <v>0</v>
      </c>
      <c r="HZ87" s="675">
        <v>0</v>
      </c>
      <c r="IA87" s="675">
        <v>0</v>
      </c>
      <c r="IB87" s="675">
        <v>0</v>
      </c>
      <c r="IC87" s="675">
        <v>0</v>
      </c>
      <c r="ID87" s="675">
        <v>0</v>
      </c>
      <c r="IE87" s="675">
        <v>0</v>
      </c>
      <c r="IF87" s="675">
        <v>0</v>
      </c>
      <c r="IG87" s="675">
        <v>0</v>
      </c>
      <c r="IH87" s="675">
        <v>0</v>
      </c>
      <c r="II87" s="675">
        <v>0</v>
      </c>
      <c r="IJ87" s="675">
        <v>0</v>
      </c>
      <c r="IK87" s="675">
        <v>0</v>
      </c>
      <c r="IL87" s="675">
        <v>0</v>
      </c>
      <c r="IM87" s="675">
        <v>0</v>
      </c>
      <c r="IN87" s="675">
        <v>0</v>
      </c>
      <c r="IO87" s="675">
        <v>0</v>
      </c>
      <c r="IP87" s="675">
        <v>0</v>
      </c>
      <c r="IQ87" s="675">
        <v>0</v>
      </c>
      <c r="IR87" s="675">
        <v>0</v>
      </c>
      <c r="IS87" s="675">
        <v>0</v>
      </c>
      <c r="IT87" s="675">
        <v>0</v>
      </c>
      <c r="IU87" s="675">
        <v>0</v>
      </c>
      <c r="IV87" s="675">
        <v>0</v>
      </c>
      <c r="IW87" s="675">
        <v>0</v>
      </c>
      <c r="IX87" s="675">
        <v>0</v>
      </c>
      <c r="IY87" s="675">
        <v>0</v>
      </c>
      <c r="IZ87" s="675">
        <v>0</v>
      </c>
      <c r="JA87" s="675">
        <v>0</v>
      </c>
      <c r="JB87" s="675">
        <v>0</v>
      </c>
      <c r="JC87" s="675">
        <v>0</v>
      </c>
      <c r="JD87" s="675">
        <v>0</v>
      </c>
      <c r="JE87" s="675">
        <v>0</v>
      </c>
      <c r="JF87" s="675">
        <v>0</v>
      </c>
      <c r="JG87" s="675">
        <v>0</v>
      </c>
      <c r="JH87" s="675">
        <v>0</v>
      </c>
      <c r="JI87" s="675">
        <v>0</v>
      </c>
      <c r="JJ87" s="675">
        <v>0</v>
      </c>
      <c r="JK87" s="675">
        <v>0</v>
      </c>
      <c r="JL87" s="675">
        <v>0</v>
      </c>
      <c r="JM87" s="675">
        <v>0</v>
      </c>
      <c r="JN87" s="675">
        <v>32469</v>
      </c>
      <c r="JO87" s="675">
        <v>0</v>
      </c>
      <c r="JP87" s="675">
        <v>0</v>
      </c>
      <c r="JQ87" s="675">
        <v>0</v>
      </c>
      <c r="JR87" s="675">
        <v>0</v>
      </c>
      <c r="JS87" s="675">
        <v>0</v>
      </c>
      <c r="JT87" s="675">
        <v>0</v>
      </c>
      <c r="JU87" s="675">
        <v>0</v>
      </c>
      <c r="JV87" s="675">
        <v>0</v>
      </c>
      <c r="JW87" s="675">
        <v>0</v>
      </c>
      <c r="JX87" s="675">
        <v>0</v>
      </c>
      <c r="JY87" s="675">
        <v>0</v>
      </c>
      <c r="JZ87" s="675">
        <v>0</v>
      </c>
      <c r="KA87" s="675">
        <v>0</v>
      </c>
      <c r="KB87" s="675">
        <v>0</v>
      </c>
      <c r="KC87" s="675">
        <v>0</v>
      </c>
      <c r="KD87" s="675">
        <v>0</v>
      </c>
      <c r="KE87" s="675">
        <v>0</v>
      </c>
      <c r="KF87" s="675">
        <v>0</v>
      </c>
    </row>
    <row r="88" spans="1:292" ht="13" x14ac:dyDescent="0.3">
      <c r="A88" s="675">
        <v>92801</v>
      </c>
      <c r="B88" s="675">
        <v>32570</v>
      </c>
      <c r="C88" s="675">
        <v>35</v>
      </c>
      <c r="D88" s="675">
        <v>2022</v>
      </c>
      <c r="E88" s="675">
        <v>5392</v>
      </c>
      <c r="F88" s="675">
        <v>0</v>
      </c>
      <c r="G88" s="675">
        <v>133.22900000000001</v>
      </c>
      <c r="H88" s="675">
        <v>95.34</v>
      </c>
      <c r="I88" s="675">
        <v>95.34</v>
      </c>
      <c r="J88" s="675">
        <v>133.22900000000001</v>
      </c>
      <c r="K88" s="675">
        <v>0</v>
      </c>
      <c r="L88" s="675">
        <v>6554</v>
      </c>
      <c r="M88" s="675">
        <v>0</v>
      </c>
      <c r="N88" s="675">
        <v>0</v>
      </c>
      <c r="O88" s="675">
        <v>0</v>
      </c>
      <c r="P88" s="675">
        <v>130.91200000000001</v>
      </c>
      <c r="Q88" s="675">
        <v>0</v>
      </c>
      <c r="R88" s="676">
        <v>41854</v>
      </c>
      <c r="S88" s="675">
        <v>319.71300000000002</v>
      </c>
      <c r="T88" s="675">
        <v>0</v>
      </c>
      <c r="U88" s="676">
        <v>41854</v>
      </c>
      <c r="V88" s="676">
        <v>0</v>
      </c>
      <c r="W88" s="676">
        <v>0</v>
      </c>
      <c r="X88" s="676">
        <v>0</v>
      </c>
      <c r="Y88" s="675">
        <v>0</v>
      </c>
      <c r="Z88" s="675">
        <v>0</v>
      </c>
      <c r="AA88" s="675">
        <v>1</v>
      </c>
      <c r="AB88" s="675">
        <v>1</v>
      </c>
      <c r="AC88" s="675">
        <v>0</v>
      </c>
      <c r="AD88" s="675" t="s">
        <v>316</v>
      </c>
      <c r="AE88" s="675">
        <v>0</v>
      </c>
      <c r="AF88" s="675">
        <v>0</v>
      </c>
      <c r="AG88" s="675">
        <v>0</v>
      </c>
      <c r="AH88" s="675">
        <v>0</v>
      </c>
      <c r="AI88" s="675">
        <v>0</v>
      </c>
      <c r="AJ88" s="675">
        <v>5104</v>
      </c>
      <c r="AK88" s="675" t="s">
        <v>671</v>
      </c>
      <c r="AL88" s="675" t="s">
        <v>28</v>
      </c>
      <c r="AM88" s="675">
        <v>0</v>
      </c>
      <c r="AN88" s="675">
        <v>0</v>
      </c>
      <c r="AO88" s="675">
        <v>0</v>
      </c>
      <c r="AP88" s="675">
        <v>0</v>
      </c>
      <c r="AQ88" s="675">
        <v>0</v>
      </c>
      <c r="AR88" s="675">
        <v>0</v>
      </c>
      <c r="AS88" s="675">
        <v>0</v>
      </c>
      <c r="AT88" s="675">
        <v>0</v>
      </c>
      <c r="AU88" s="675">
        <v>0</v>
      </c>
      <c r="AV88" s="675">
        <v>2255</v>
      </c>
      <c r="AW88" s="675">
        <v>1320037</v>
      </c>
      <c r="AX88" s="675">
        <v>1256143</v>
      </c>
      <c r="AY88" s="675">
        <v>1363096</v>
      </c>
      <c r="AZ88" s="675">
        <v>78492</v>
      </c>
      <c r="BA88" s="676">
        <v>2</v>
      </c>
      <c r="BB88" s="675">
        <v>0</v>
      </c>
      <c r="BC88" s="675">
        <v>0</v>
      </c>
      <c r="BD88" s="675">
        <v>0</v>
      </c>
      <c r="BE88" s="675">
        <v>0</v>
      </c>
      <c r="BF88" s="675">
        <v>1069185</v>
      </c>
      <c r="BG88" s="675">
        <v>0</v>
      </c>
      <c r="BH88" s="676">
        <v>133.22800000000001</v>
      </c>
      <c r="BI88" s="676">
        <v>36638</v>
      </c>
      <c r="BJ88" s="675">
        <v>12</v>
      </c>
      <c r="BK88" s="675">
        <v>0</v>
      </c>
      <c r="BL88" s="675">
        <v>0</v>
      </c>
      <c r="BM88" s="675">
        <v>0</v>
      </c>
      <c r="BN88" s="675">
        <v>0</v>
      </c>
      <c r="BO88" s="675">
        <v>0</v>
      </c>
      <c r="BP88" s="675">
        <v>0</v>
      </c>
      <c r="BQ88" s="675">
        <v>5392</v>
      </c>
      <c r="BR88" s="675">
        <v>1</v>
      </c>
      <c r="BS88" s="675">
        <v>0</v>
      </c>
      <c r="BT88" s="675">
        <v>0</v>
      </c>
      <c r="BU88" s="675">
        <v>0</v>
      </c>
      <c r="BV88" s="675">
        <v>0</v>
      </c>
      <c r="BW88" s="675">
        <v>0</v>
      </c>
      <c r="BX88" s="675">
        <v>0</v>
      </c>
      <c r="BY88" s="675">
        <v>0</v>
      </c>
      <c r="BZ88" s="675">
        <v>0</v>
      </c>
      <c r="CA88" s="675">
        <v>0</v>
      </c>
      <c r="CB88" s="675">
        <v>0</v>
      </c>
      <c r="CC88" s="675">
        <v>0</v>
      </c>
      <c r="CD88" s="675">
        <v>0</v>
      </c>
      <c r="CE88" s="675">
        <v>0</v>
      </c>
      <c r="CF88" s="675">
        <v>0</v>
      </c>
      <c r="CG88" s="675">
        <v>0</v>
      </c>
      <c r="CH88" s="676">
        <v>27256</v>
      </c>
      <c r="CI88" s="675">
        <v>0</v>
      </c>
      <c r="CJ88" s="675">
        <v>4</v>
      </c>
      <c r="CK88" s="675">
        <v>0</v>
      </c>
      <c r="CL88" s="675">
        <v>0</v>
      </c>
      <c r="CM88" s="675">
        <v>0</v>
      </c>
      <c r="CN88" s="675">
        <v>0</v>
      </c>
      <c r="CO88" s="675">
        <v>0</v>
      </c>
      <c r="CP88" s="675">
        <v>0</v>
      </c>
      <c r="CQ88" s="675">
        <v>0</v>
      </c>
      <c r="CR88" s="675">
        <v>130.91200000000001</v>
      </c>
      <c r="CS88" s="675">
        <v>0</v>
      </c>
      <c r="CT88" s="675">
        <v>0</v>
      </c>
      <c r="CU88" s="675">
        <v>0</v>
      </c>
      <c r="CV88" s="675">
        <v>0</v>
      </c>
      <c r="CW88" s="675">
        <v>0</v>
      </c>
      <c r="CX88" s="675">
        <v>0</v>
      </c>
      <c r="CY88" s="675">
        <v>0</v>
      </c>
      <c r="CZ88" s="675">
        <v>0</v>
      </c>
      <c r="DA88" s="675">
        <v>1</v>
      </c>
      <c r="DB88" s="675">
        <v>624858</v>
      </c>
      <c r="DC88" s="675">
        <v>0</v>
      </c>
      <c r="DD88" s="675">
        <v>0</v>
      </c>
      <c r="DE88" s="675">
        <v>59641</v>
      </c>
      <c r="DF88" s="675">
        <v>59641</v>
      </c>
      <c r="DG88" s="675">
        <v>45.5</v>
      </c>
      <c r="DH88" s="675">
        <v>0</v>
      </c>
      <c r="DI88" s="675">
        <v>0</v>
      </c>
      <c r="DJ88" s="675">
        <v>0</v>
      </c>
      <c r="DK88" s="675">
        <v>5392</v>
      </c>
      <c r="DL88" s="675">
        <v>0</v>
      </c>
      <c r="DM88" s="675">
        <v>78531</v>
      </c>
      <c r="DN88" s="675">
        <v>0</v>
      </c>
      <c r="DO88" s="675">
        <v>0</v>
      </c>
      <c r="DP88" s="675">
        <v>0</v>
      </c>
      <c r="DQ88" s="675">
        <v>0</v>
      </c>
      <c r="DR88" s="675">
        <v>0</v>
      </c>
      <c r="DS88" s="675">
        <v>0</v>
      </c>
      <c r="DT88" s="675">
        <v>0</v>
      </c>
      <c r="DU88" s="675">
        <v>0</v>
      </c>
      <c r="DV88" s="675">
        <v>0</v>
      </c>
      <c r="DW88" s="675">
        <v>0</v>
      </c>
      <c r="DX88" s="675">
        <v>0</v>
      </c>
      <c r="DY88" s="675">
        <v>0</v>
      </c>
      <c r="DZ88" s="675">
        <v>0</v>
      </c>
      <c r="EA88" s="675">
        <v>0</v>
      </c>
      <c r="EB88" s="675">
        <v>0</v>
      </c>
      <c r="EC88" s="675">
        <v>10.752000000000001</v>
      </c>
      <c r="ED88" s="675">
        <v>77515</v>
      </c>
      <c r="EE88" s="675">
        <v>0</v>
      </c>
      <c r="EF88" s="675">
        <v>0</v>
      </c>
      <c r="EG88" s="675">
        <v>0</v>
      </c>
      <c r="EH88" s="675">
        <v>1016</v>
      </c>
      <c r="EI88" s="675">
        <v>0</v>
      </c>
      <c r="EJ88" s="675">
        <v>0</v>
      </c>
      <c r="EK88" s="675">
        <v>0</v>
      </c>
      <c r="EL88" s="675">
        <v>0</v>
      </c>
      <c r="EM88" s="675">
        <v>0</v>
      </c>
      <c r="EN88" s="675">
        <v>3.1E-2</v>
      </c>
      <c r="EO88" s="675">
        <v>0</v>
      </c>
      <c r="EP88" s="675">
        <v>0</v>
      </c>
      <c r="EQ88" s="675">
        <v>3.1E-2</v>
      </c>
      <c r="ER88" s="675">
        <v>0</v>
      </c>
      <c r="ES88" s="675">
        <v>0.155</v>
      </c>
      <c r="ET88" s="676">
        <v>1000</v>
      </c>
      <c r="EU88" s="675">
        <v>78492</v>
      </c>
      <c r="EV88" s="675">
        <v>0</v>
      </c>
      <c r="EW88" s="675">
        <v>0</v>
      </c>
      <c r="EX88" s="675">
        <v>0</v>
      </c>
      <c r="EY88" s="675">
        <v>0</v>
      </c>
      <c r="EZ88" s="675">
        <v>1056687</v>
      </c>
      <c r="FA88" s="675">
        <v>0</v>
      </c>
      <c r="FB88" s="676">
        <v>1135179</v>
      </c>
      <c r="FC88" s="675">
        <v>0.97327799999999998</v>
      </c>
      <c r="FD88" s="675">
        <v>0</v>
      </c>
      <c r="FE88" s="675">
        <v>162775</v>
      </c>
      <c r="FF88" s="675">
        <v>36681</v>
      </c>
      <c r="FG88" s="675">
        <v>6.1239999999999996E-2</v>
      </c>
      <c r="FH88" s="675">
        <v>5.4803999999999999E-2</v>
      </c>
      <c r="FI88" s="675">
        <v>0</v>
      </c>
      <c r="FJ88" s="675">
        <v>0</v>
      </c>
      <c r="FK88" s="675">
        <v>209.48700000000002</v>
      </c>
      <c r="FL88" s="675">
        <v>1361891</v>
      </c>
      <c r="FM88" s="675">
        <v>0</v>
      </c>
      <c r="FN88" s="675">
        <v>0</v>
      </c>
      <c r="FO88" s="675">
        <v>0</v>
      </c>
      <c r="FP88" s="675">
        <v>0</v>
      </c>
      <c r="FQ88" s="675">
        <v>0</v>
      </c>
      <c r="FR88" s="675">
        <v>0</v>
      </c>
      <c r="FS88" s="675">
        <v>0</v>
      </c>
      <c r="FT88" s="675">
        <v>0</v>
      </c>
      <c r="FU88" s="675">
        <v>0</v>
      </c>
      <c r="FV88" s="675">
        <v>0</v>
      </c>
      <c r="FW88" s="675">
        <v>0</v>
      </c>
      <c r="FX88" s="675">
        <v>0</v>
      </c>
      <c r="FY88" s="675">
        <v>0</v>
      </c>
      <c r="FZ88" s="675">
        <v>547</v>
      </c>
      <c r="GA88" s="675">
        <v>10.942</v>
      </c>
      <c r="GB88" s="676">
        <v>335511</v>
      </c>
      <c r="GC88" s="676">
        <v>335511</v>
      </c>
      <c r="GD88" s="676">
        <v>37.858000000000004</v>
      </c>
      <c r="GE88" s="675">
        <v>0</v>
      </c>
      <c r="GF88" s="675">
        <v>0</v>
      </c>
      <c r="GG88" s="675">
        <v>0</v>
      </c>
      <c r="GH88" s="675">
        <v>0</v>
      </c>
      <c r="GI88" s="675">
        <v>0</v>
      </c>
      <c r="GJ88" s="675">
        <v>0</v>
      </c>
      <c r="GK88" s="675">
        <v>5224</v>
      </c>
      <c r="GL88" s="675">
        <v>4981</v>
      </c>
      <c r="GM88" s="675">
        <v>0</v>
      </c>
      <c r="GN88" s="675">
        <v>0</v>
      </c>
      <c r="GO88" s="675">
        <v>0</v>
      </c>
      <c r="GP88" s="675">
        <v>1334635</v>
      </c>
      <c r="GQ88" s="675">
        <v>1334635</v>
      </c>
      <c r="GR88" s="675">
        <v>0</v>
      </c>
      <c r="GS88" s="675">
        <v>0</v>
      </c>
      <c r="GT88" s="675">
        <v>0</v>
      </c>
      <c r="GU88" s="675">
        <v>0</v>
      </c>
      <c r="GV88" s="675">
        <v>0</v>
      </c>
      <c r="GW88" s="675">
        <v>0</v>
      </c>
      <c r="GX88" s="675">
        <v>0</v>
      </c>
      <c r="GY88" s="675">
        <v>0</v>
      </c>
      <c r="GZ88" s="675">
        <v>0</v>
      </c>
      <c r="HA88" s="675">
        <v>0</v>
      </c>
      <c r="HB88" s="675">
        <v>260786259</v>
      </c>
      <c r="HC88" s="675">
        <v>5.0923999999999997E-2</v>
      </c>
      <c r="HD88" s="676">
        <v>26256</v>
      </c>
      <c r="HE88" s="675">
        <v>0</v>
      </c>
      <c r="HF88" s="675">
        <v>0</v>
      </c>
      <c r="HG88" s="675">
        <v>0</v>
      </c>
      <c r="HH88" s="675">
        <v>0</v>
      </c>
      <c r="HI88" s="675">
        <v>0</v>
      </c>
      <c r="HJ88" s="675">
        <v>0</v>
      </c>
      <c r="HK88" s="675">
        <v>0</v>
      </c>
      <c r="HL88" s="675">
        <v>0</v>
      </c>
      <c r="HM88" s="675">
        <v>0</v>
      </c>
      <c r="HN88" s="675">
        <v>0</v>
      </c>
      <c r="HO88" s="675">
        <v>0</v>
      </c>
      <c r="HP88" s="675">
        <v>0</v>
      </c>
      <c r="HQ88" s="675">
        <v>0</v>
      </c>
      <c r="HR88" s="675">
        <v>0</v>
      </c>
      <c r="HS88" s="675">
        <v>0</v>
      </c>
      <c r="HT88" s="675">
        <v>0</v>
      </c>
      <c r="HU88" s="675">
        <v>0</v>
      </c>
      <c r="HV88" s="675">
        <v>0</v>
      </c>
      <c r="HW88" s="675">
        <v>0</v>
      </c>
      <c r="HX88" s="675">
        <v>0</v>
      </c>
      <c r="HY88" s="675">
        <v>0</v>
      </c>
      <c r="HZ88" s="675">
        <v>0</v>
      </c>
      <c r="IA88" s="675">
        <v>0</v>
      </c>
      <c r="IB88" s="675">
        <v>0</v>
      </c>
      <c r="IC88" s="675">
        <v>0</v>
      </c>
      <c r="ID88" s="675">
        <v>0</v>
      </c>
      <c r="IE88" s="675">
        <v>0</v>
      </c>
      <c r="IF88" s="675">
        <v>0</v>
      </c>
      <c r="IG88" s="675">
        <v>0</v>
      </c>
      <c r="IH88" s="675">
        <v>0</v>
      </c>
      <c r="II88" s="675">
        <v>0</v>
      </c>
      <c r="IJ88" s="675">
        <v>0</v>
      </c>
      <c r="IK88" s="675">
        <v>0</v>
      </c>
      <c r="IL88" s="675">
        <v>0</v>
      </c>
      <c r="IM88" s="675">
        <v>0</v>
      </c>
      <c r="IN88" s="675">
        <v>0</v>
      </c>
      <c r="IO88" s="675">
        <v>0</v>
      </c>
      <c r="IP88" s="675">
        <v>0</v>
      </c>
      <c r="IQ88" s="675">
        <v>0</v>
      </c>
      <c r="IR88" s="675">
        <v>0</v>
      </c>
      <c r="IS88" s="675">
        <v>0</v>
      </c>
      <c r="IT88" s="675">
        <v>0</v>
      </c>
      <c r="IU88" s="675">
        <v>0</v>
      </c>
      <c r="IV88" s="675">
        <v>0</v>
      </c>
      <c r="IW88" s="675">
        <v>0</v>
      </c>
      <c r="IX88" s="675">
        <v>0</v>
      </c>
      <c r="IY88" s="675">
        <v>0</v>
      </c>
      <c r="IZ88" s="675">
        <v>0</v>
      </c>
      <c r="JA88" s="675">
        <v>0</v>
      </c>
      <c r="JB88" s="675">
        <v>0</v>
      </c>
      <c r="JC88" s="675">
        <v>0</v>
      </c>
      <c r="JD88" s="675">
        <v>0</v>
      </c>
      <c r="JE88" s="675">
        <v>0</v>
      </c>
      <c r="JF88" s="675">
        <v>0</v>
      </c>
      <c r="JG88" s="675">
        <v>0</v>
      </c>
      <c r="JH88" s="675">
        <v>0</v>
      </c>
      <c r="JI88" s="675">
        <v>0</v>
      </c>
      <c r="JJ88" s="675">
        <v>0</v>
      </c>
      <c r="JK88" s="675">
        <v>0</v>
      </c>
      <c r="JL88" s="675">
        <v>0</v>
      </c>
      <c r="JM88" s="675">
        <v>0</v>
      </c>
      <c r="JN88" s="675">
        <v>32469</v>
      </c>
      <c r="JO88" s="675">
        <v>0</v>
      </c>
      <c r="JP88" s="675">
        <v>0</v>
      </c>
      <c r="JQ88" s="675">
        <v>0</v>
      </c>
      <c r="JR88" s="675">
        <v>0</v>
      </c>
      <c r="JS88" s="675">
        <v>0</v>
      </c>
      <c r="JT88" s="675">
        <v>0</v>
      </c>
      <c r="JU88" s="675">
        <v>0</v>
      </c>
      <c r="JV88" s="675">
        <v>0</v>
      </c>
      <c r="JW88" s="675">
        <v>0</v>
      </c>
      <c r="JX88" s="675">
        <v>0</v>
      </c>
      <c r="JY88" s="675">
        <v>0</v>
      </c>
      <c r="JZ88" s="675">
        <v>0</v>
      </c>
      <c r="KA88" s="675">
        <v>0</v>
      </c>
      <c r="KB88" s="675">
        <v>0</v>
      </c>
      <c r="KC88" s="675">
        <v>0</v>
      </c>
      <c r="KD88" s="675">
        <v>0</v>
      </c>
      <c r="KE88" s="675">
        <v>0</v>
      </c>
      <c r="KF88" s="675">
        <v>0</v>
      </c>
    </row>
    <row r="89" spans="1:292" x14ac:dyDescent="0.25">
      <c r="A89" s="675">
        <v>101802</v>
      </c>
      <c r="B89" s="675">
        <v>32570</v>
      </c>
      <c r="C89" s="675">
        <v>35</v>
      </c>
      <c r="D89" s="675">
        <v>2022</v>
      </c>
      <c r="E89" s="675">
        <v>5392</v>
      </c>
      <c r="F89" s="675">
        <v>0</v>
      </c>
      <c r="G89" s="675">
        <v>1021.009</v>
      </c>
      <c r="H89" s="675">
        <v>1008.163</v>
      </c>
      <c r="I89" s="675">
        <v>1008.163</v>
      </c>
      <c r="J89" s="675">
        <v>1021.009</v>
      </c>
      <c r="K89" s="675">
        <v>0</v>
      </c>
      <c r="L89" s="675">
        <v>6554</v>
      </c>
      <c r="M89" s="675">
        <v>0</v>
      </c>
      <c r="N89" s="675">
        <v>0</v>
      </c>
      <c r="O89" s="675">
        <v>0</v>
      </c>
      <c r="P89" s="675">
        <v>1001.649</v>
      </c>
      <c r="Q89" s="675">
        <v>0</v>
      </c>
      <c r="R89" s="675">
        <v>320240</v>
      </c>
      <c r="S89" s="675">
        <v>319.71300000000002</v>
      </c>
      <c r="T89" s="675">
        <v>0</v>
      </c>
      <c r="U89" s="675">
        <v>320240</v>
      </c>
      <c r="V89" s="675">
        <v>888.71</v>
      </c>
      <c r="W89" s="675">
        <v>582461</v>
      </c>
      <c r="X89" s="675">
        <v>582461</v>
      </c>
      <c r="Y89" s="675">
        <v>0</v>
      </c>
      <c r="Z89" s="675">
        <v>0</v>
      </c>
      <c r="AA89" s="675">
        <v>1</v>
      </c>
      <c r="AB89" s="675">
        <v>1</v>
      </c>
      <c r="AC89" s="675">
        <v>0</v>
      </c>
      <c r="AD89" s="675" t="s">
        <v>316</v>
      </c>
      <c r="AE89" s="675">
        <v>0</v>
      </c>
      <c r="AF89" s="675">
        <v>0</v>
      </c>
      <c r="AG89" s="675">
        <v>0</v>
      </c>
      <c r="AH89" s="675">
        <v>0</v>
      </c>
      <c r="AI89" s="675">
        <v>0</v>
      </c>
      <c r="AJ89" s="675">
        <v>5104</v>
      </c>
      <c r="AK89" s="675" t="s">
        <v>671</v>
      </c>
      <c r="AL89" s="675" t="s">
        <v>51</v>
      </c>
      <c r="AM89" s="675">
        <v>0</v>
      </c>
      <c r="AN89" s="675">
        <v>0</v>
      </c>
      <c r="AO89" s="675">
        <v>0</v>
      </c>
      <c r="AP89" s="675">
        <v>0</v>
      </c>
      <c r="AQ89" s="675">
        <v>0</v>
      </c>
      <c r="AR89" s="675">
        <v>0</v>
      </c>
      <c r="AS89" s="675">
        <v>0</v>
      </c>
      <c r="AT89" s="675">
        <v>0</v>
      </c>
      <c r="AU89" s="675">
        <v>0</v>
      </c>
      <c r="AV89" s="675">
        <v>1111020</v>
      </c>
      <c r="AW89" s="675">
        <v>10502025</v>
      </c>
      <c r="AX89" s="675">
        <v>10300807</v>
      </c>
      <c r="AY89" s="675">
        <v>12569718</v>
      </c>
      <c r="AZ89" s="675">
        <v>320240</v>
      </c>
      <c r="BA89" s="675">
        <v>0</v>
      </c>
      <c r="BB89" s="675">
        <v>0</v>
      </c>
      <c r="BC89" s="675">
        <v>0</v>
      </c>
      <c r="BD89" s="675">
        <v>0</v>
      </c>
      <c r="BE89" s="675">
        <v>0</v>
      </c>
      <c r="BF89" s="675">
        <v>8748762</v>
      </c>
      <c r="BG89" s="675">
        <v>0</v>
      </c>
      <c r="BH89" s="675">
        <v>0</v>
      </c>
      <c r="BI89" s="675">
        <v>0</v>
      </c>
      <c r="BJ89" s="675">
        <v>12</v>
      </c>
      <c r="BK89" s="675">
        <v>0</v>
      </c>
      <c r="BL89" s="675">
        <v>0</v>
      </c>
      <c r="BM89" s="675">
        <v>0</v>
      </c>
      <c r="BN89" s="675">
        <v>0</v>
      </c>
      <c r="BO89" s="675">
        <v>0</v>
      </c>
      <c r="BP89" s="675">
        <v>0</v>
      </c>
      <c r="BQ89" s="675">
        <v>5392</v>
      </c>
      <c r="BR89" s="675">
        <v>1</v>
      </c>
      <c r="BS89" s="675">
        <v>0</v>
      </c>
      <c r="BT89" s="675">
        <v>0</v>
      </c>
      <c r="BU89" s="675">
        <v>0</v>
      </c>
      <c r="BV89" s="675">
        <v>0</v>
      </c>
      <c r="BW89" s="675">
        <v>0</v>
      </c>
      <c r="BX89" s="675">
        <v>0</v>
      </c>
      <c r="BY89" s="675">
        <v>0</v>
      </c>
      <c r="BZ89" s="675">
        <v>0</v>
      </c>
      <c r="CA89" s="675">
        <v>0</v>
      </c>
      <c r="CB89" s="675">
        <v>0</v>
      </c>
      <c r="CC89" s="675">
        <v>0</v>
      </c>
      <c r="CD89" s="675">
        <v>0</v>
      </c>
      <c r="CE89" s="675">
        <v>0</v>
      </c>
      <c r="CF89" s="675">
        <v>0</v>
      </c>
      <c r="CG89" s="675">
        <v>0</v>
      </c>
      <c r="CH89" s="675">
        <v>201218</v>
      </c>
      <c r="CI89" s="675">
        <v>0</v>
      </c>
      <c r="CJ89" s="675">
        <v>4</v>
      </c>
      <c r="CK89" s="675">
        <v>0</v>
      </c>
      <c r="CL89" s="675">
        <v>0</v>
      </c>
      <c r="CM89" s="675">
        <v>0</v>
      </c>
      <c r="CN89" s="675">
        <v>0</v>
      </c>
      <c r="CO89" s="675">
        <v>0</v>
      </c>
      <c r="CP89" s="675">
        <v>0</v>
      </c>
      <c r="CQ89" s="675">
        <v>0</v>
      </c>
      <c r="CR89" s="675">
        <v>1001.649</v>
      </c>
      <c r="CS89" s="675">
        <v>0</v>
      </c>
      <c r="CT89" s="675">
        <v>0</v>
      </c>
      <c r="CU89" s="675">
        <v>0</v>
      </c>
      <c r="CV89" s="675">
        <v>0</v>
      </c>
      <c r="CW89" s="675">
        <v>0</v>
      </c>
      <c r="CX89" s="675">
        <v>0</v>
      </c>
      <c r="CY89" s="675">
        <v>0</v>
      </c>
      <c r="CZ89" s="675">
        <v>0</v>
      </c>
      <c r="DA89" s="675">
        <v>1</v>
      </c>
      <c r="DB89" s="675">
        <v>6607500</v>
      </c>
      <c r="DC89" s="675">
        <v>0</v>
      </c>
      <c r="DD89" s="675">
        <v>0</v>
      </c>
      <c r="DE89" s="675">
        <v>1483170</v>
      </c>
      <c r="DF89" s="675">
        <v>1483170</v>
      </c>
      <c r="DG89" s="675">
        <v>1131.5</v>
      </c>
      <c r="DH89" s="675">
        <v>0</v>
      </c>
      <c r="DI89" s="675">
        <v>0</v>
      </c>
      <c r="DJ89" s="675">
        <v>0</v>
      </c>
      <c r="DK89" s="675">
        <v>5392</v>
      </c>
      <c r="DL89" s="675">
        <v>0</v>
      </c>
      <c r="DM89" s="675">
        <v>315839</v>
      </c>
      <c r="DN89" s="675">
        <v>0</v>
      </c>
      <c r="DO89" s="675">
        <v>0</v>
      </c>
      <c r="DP89" s="675">
        <v>0</v>
      </c>
      <c r="DQ89" s="675">
        <v>0</v>
      </c>
      <c r="DR89" s="675">
        <v>0</v>
      </c>
      <c r="DS89" s="675">
        <v>0</v>
      </c>
      <c r="DT89" s="675">
        <v>0</v>
      </c>
      <c r="DU89" s="675">
        <v>0</v>
      </c>
      <c r="DV89" s="675">
        <v>0</v>
      </c>
      <c r="DW89" s="675">
        <v>0</v>
      </c>
      <c r="DX89" s="675">
        <v>0</v>
      </c>
      <c r="DY89" s="675">
        <v>0</v>
      </c>
      <c r="DZ89" s="675">
        <v>0</v>
      </c>
      <c r="EA89" s="675">
        <v>0</v>
      </c>
      <c r="EB89" s="675">
        <v>0</v>
      </c>
      <c r="EC89" s="675">
        <v>5.173</v>
      </c>
      <c r="ED89" s="675">
        <v>37294</v>
      </c>
      <c r="EE89" s="675">
        <v>0</v>
      </c>
      <c r="EF89" s="675">
        <v>0</v>
      </c>
      <c r="EG89" s="675">
        <v>0</v>
      </c>
      <c r="EH89" s="675">
        <v>278545</v>
      </c>
      <c r="EI89" s="675">
        <v>0</v>
      </c>
      <c r="EJ89" s="675">
        <v>0</v>
      </c>
      <c r="EK89" s="675">
        <v>10.865</v>
      </c>
      <c r="EL89" s="675">
        <v>0</v>
      </c>
      <c r="EM89" s="675">
        <v>0</v>
      </c>
      <c r="EN89" s="675">
        <v>1.9810000000000001</v>
      </c>
      <c r="EO89" s="675">
        <v>0</v>
      </c>
      <c r="EP89" s="675">
        <v>0</v>
      </c>
      <c r="EQ89" s="675">
        <v>12.846</v>
      </c>
      <c r="ER89" s="675">
        <v>0</v>
      </c>
      <c r="ES89" s="675">
        <v>42.5</v>
      </c>
      <c r="ET89" s="675">
        <v>0</v>
      </c>
      <c r="EU89" s="675">
        <v>320240</v>
      </c>
      <c r="EV89" s="675">
        <v>0</v>
      </c>
      <c r="EW89" s="675">
        <v>0</v>
      </c>
      <c r="EX89" s="675">
        <v>0</v>
      </c>
      <c r="EY89" s="675">
        <v>0</v>
      </c>
      <c r="EZ89" s="675">
        <v>8668730</v>
      </c>
      <c r="FA89" s="675">
        <v>0</v>
      </c>
      <c r="FB89" s="675">
        <v>8988970</v>
      </c>
      <c r="FC89" s="675">
        <v>0.97327799999999998</v>
      </c>
      <c r="FD89" s="675">
        <v>0</v>
      </c>
      <c r="FE89" s="675">
        <v>1331929</v>
      </c>
      <c r="FF89" s="675">
        <v>300148</v>
      </c>
      <c r="FG89" s="675">
        <v>6.1239999999999996E-2</v>
      </c>
      <c r="FH89" s="675">
        <v>5.4803999999999999E-2</v>
      </c>
      <c r="FI89" s="675">
        <v>0</v>
      </c>
      <c r="FJ89" s="675">
        <v>0</v>
      </c>
      <c r="FK89" s="675">
        <v>1714.1580000000001</v>
      </c>
      <c r="FL89" s="675">
        <v>10822265</v>
      </c>
      <c r="FM89" s="675">
        <v>0</v>
      </c>
      <c r="FN89" s="675">
        <v>0</v>
      </c>
      <c r="FO89" s="675">
        <v>0</v>
      </c>
      <c r="FP89" s="675">
        <v>0</v>
      </c>
      <c r="FQ89" s="675">
        <v>0</v>
      </c>
      <c r="FR89" s="675">
        <v>0</v>
      </c>
      <c r="FS89" s="675">
        <v>0</v>
      </c>
      <c r="FT89" s="675">
        <v>0</v>
      </c>
      <c r="FU89" s="675">
        <v>0</v>
      </c>
      <c r="FV89" s="675">
        <v>0</v>
      </c>
      <c r="FW89" s="675">
        <v>0</v>
      </c>
      <c r="FX89" s="675">
        <v>0</v>
      </c>
      <c r="FY89" s="675">
        <v>0</v>
      </c>
      <c r="FZ89" s="675">
        <v>0</v>
      </c>
      <c r="GA89" s="675">
        <v>0</v>
      </c>
      <c r="GB89" s="675">
        <v>0</v>
      </c>
      <c r="GC89" s="675">
        <v>0</v>
      </c>
      <c r="GD89" s="675">
        <v>0</v>
      </c>
      <c r="GE89" s="675">
        <v>0</v>
      </c>
      <c r="GF89" s="675">
        <v>0</v>
      </c>
      <c r="GG89" s="675">
        <v>0</v>
      </c>
      <c r="GH89" s="675">
        <v>0</v>
      </c>
      <c r="GI89" s="675">
        <v>0</v>
      </c>
      <c r="GJ89" s="675">
        <v>0</v>
      </c>
      <c r="GK89" s="675">
        <v>5147</v>
      </c>
      <c r="GL89" s="675">
        <v>19678</v>
      </c>
      <c r="GM89" s="675">
        <v>0</v>
      </c>
      <c r="GN89" s="675">
        <v>0</v>
      </c>
      <c r="GO89" s="675">
        <v>0</v>
      </c>
      <c r="GP89" s="675">
        <v>10621047</v>
      </c>
      <c r="GQ89" s="675">
        <v>10621047</v>
      </c>
      <c r="GR89" s="675">
        <v>0</v>
      </c>
      <c r="GS89" s="675">
        <v>0</v>
      </c>
      <c r="GT89" s="675">
        <v>0</v>
      </c>
      <c r="GU89" s="675">
        <v>0</v>
      </c>
      <c r="GV89" s="675">
        <v>0</v>
      </c>
      <c r="GW89" s="675">
        <v>0</v>
      </c>
      <c r="GX89" s="675">
        <v>0</v>
      </c>
      <c r="GY89" s="675">
        <v>0</v>
      </c>
      <c r="GZ89" s="675">
        <v>0</v>
      </c>
      <c r="HA89" s="675">
        <v>0</v>
      </c>
      <c r="HB89" s="675">
        <v>260786259</v>
      </c>
      <c r="HC89" s="675">
        <v>5.0923999999999997E-2</v>
      </c>
      <c r="HD89" s="675">
        <v>201218</v>
      </c>
      <c r="HE89" s="675">
        <v>0</v>
      </c>
      <c r="HF89" s="675">
        <v>0</v>
      </c>
      <c r="HG89" s="675">
        <v>0</v>
      </c>
      <c r="HH89" s="675">
        <v>0</v>
      </c>
      <c r="HI89" s="675">
        <v>0</v>
      </c>
      <c r="HJ89" s="675">
        <v>0</v>
      </c>
      <c r="HK89" s="675">
        <v>0</v>
      </c>
      <c r="HL89" s="675">
        <v>0</v>
      </c>
      <c r="HM89" s="675">
        <v>0</v>
      </c>
      <c r="HN89" s="675">
        <v>0</v>
      </c>
      <c r="HO89" s="675">
        <v>0</v>
      </c>
      <c r="HP89" s="675">
        <v>0</v>
      </c>
      <c r="HQ89" s="675">
        <v>0</v>
      </c>
      <c r="HR89" s="675">
        <v>0</v>
      </c>
      <c r="HS89" s="675">
        <v>0</v>
      </c>
      <c r="HT89" s="675">
        <v>0</v>
      </c>
      <c r="HU89" s="675">
        <v>0</v>
      </c>
      <c r="HV89" s="675">
        <v>0</v>
      </c>
      <c r="HW89" s="675">
        <v>0</v>
      </c>
      <c r="HX89" s="675">
        <v>0</v>
      </c>
      <c r="HY89" s="675">
        <v>0</v>
      </c>
      <c r="HZ89" s="675">
        <v>0</v>
      </c>
      <c r="IA89" s="675">
        <v>0</v>
      </c>
      <c r="IB89" s="675">
        <v>0</v>
      </c>
      <c r="IC89" s="675">
        <v>0</v>
      </c>
      <c r="ID89" s="675">
        <v>0</v>
      </c>
      <c r="IE89" s="675">
        <v>888.71</v>
      </c>
      <c r="IF89" s="675">
        <v>0</v>
      </c>
      <c r="IG89" s="675">
        <v>0</v>
      </c>
      <c r="IH89" s="675">
        <v>0</v>
      </c>
      <c r="II89" s="675">
        <v>0</v>
      </c>
      <c r="IJ89" s="675">
        <v>0</v>
      </c>
      <c r="IK89" s="675">
        <v>0</v>
      </c>
      <c r="IL89" s="675">
        <v>0</v>
      </c>
      <c r="IM89" s="675">
        <v>0</v>
      </c>
      <c r="IN89" s="675">
        <v>0</v>
      </c>
      <c r="IO89" s="675">
        <v>0</v>
      </c>
      <c r="IP89" s="675">
        <v>0</v>
      </c>
      <c r="IQ89" s="675">
        <v>0</v>
      </c>
      <c r="IR89" s="675">
        <v>0</v>
      </c>
      <c r="IS89" s="675">
        <v>0</v>
      </c>
      <c r="IT89" s="675">
        <v>0</v>
      </c>
      <c r="IU89" s="675">
        <v>0</v>
      </c>
      <c r="IV89" s="675">
        <v>0</v>
      </c>
      <c r="IW89" s="675">
        <v>0</v>
      </c>
      <c r="IX89" s="675">
        <v>0</v>
      </c>
      <c r="IY89" s="675">
        <v>0</v>
      </c>
      <c r="IZ89" s="675">
        <v>0</v>
      </c>
      <c r="JA89" s="675">
        <v>0</v>
      </c>
      <c r="JB89" s="675">
        <v>0</v>
      </c>
      <c r="JC89" s="675">
        <v>0</v>
      </c>
      <c r="JD89" s="675">
        <v>0</v>
      </c>
      <c r="JE89" s="675">
        <v>0</v>
      </c>
      <c r="JF89" s="675">
        <v>0</v>
      </c>
      <c r="JG89" s="675">
        <v>0</v>
      </c>
      <c r="JH89" s="675">
        <v>0</v>
      </c>
      <c r="JI89" s="675">
        <v>0</v>
      </c>
      <c r="JJ89" s="675">
        <v>0</v>
      </c>
      <c r="JK89" s="675">
        <v>0</v>
      </c>
      <c r="JL89" s="675">
        <v>0</v>
      </c>
      <c r="JM89" s="675">
        <v>0</v>
      </c>
      <c r="JN89" s="675">
        <v>32469</v>
      </c>
      <c r="JO89" s="675">
        <v>0</v>
      </c>
      <c r="JP89" s="675">
        <v>0</v>
      </c>
      <c r="JQ89" s="675">
        <v>0</v>
      </c>
      <c r="JR89" s="675">
        <v>0</v>
      </c>
      <c r="JS89" s="675">
        <v>0</v>
      </c>
      <c r="JT89" s="675">
        <v>0</v>
      </c>
      <c r="JU89" s="675">
        <v>0</v>
      </c>
      <c r="JV89" s="675">
        <v>0</v>
      </c>
      <c r="JW89" s="675">
        <v>0</v>
      </c>
      <c r="JX89" s="675">
        <v>0</v>
      </c>
      <c r="JY89" s="675">
        <v>0</v>
      </c>
      <c r="JZ89" s="675">
        <v>0</v>
      </c>
      <c r="KA89" s="675">
        <v>0</v>
      </c>
      <c r="KB89" s="675">
        <v>0</v>
      </c>
      <c r="KC89" s="675">
        <v>0</v>
      </c>
      <c r="KD89" s="675">
        <v>0</v>
      </c>
      <c r="KE89" s="675">
        <v>0</v>
      </c>
      <c r="KF89" s="675">
        <v>0</v>
      </c>
    </row>
    <row r="90" spans="1:292" x14ac:dyDescent="0.25">
      <c r="A90" s="675">
        <v>101803</v>
      </c>
      <c r="B90" s="675">
        <v>32570</v>
      </c>
      <c r="C90" s="675">
        <v>35</v>
      </c>
      <c r="D90" s="675">
        <v>2022</v>
      </c>
      <c r="E90" s="675">
        <v>5392</v>
      </c>
      <c r="F90" s="675">
        <v>0</v>
      </c>
      <c r="G90" s="675">
        <v>915.68799999999999</v>
      </c>
      <c r="H90" s="675">
        <v>896.5</v>
      </c>
      <c r="I90" s="675">
        <v>896.5</v>
      </c>
      <c r="J90" s="675">
        <v>915.68799999999999</v>
      </c>
      <c r="K90" s="675">
        <v>0</v>
      </c>
      <c r="L90" s="675">
        <v>6554</v>
      </c>
      <c r="M90" s="675">
        <v>0</v>
      </c>
      <c r="N90" s="675">
        <v>0</v>
      </c>
      <c r="O90" s="675">
        <v>0</v>
      </c>
      <c r="P90" s="675">
        <v>869.71300000000008</v>
      </c>
      <c r="Q90" s="675">
        <v>0</v>
      </c>
      <c r="R90" s="675">
        <v>278059</v>
      </c>
      <c r="S90" s="675">
        <v>319.71300000000002</v>
      </c>
      <c r="T90" s="675">
        <v>0</v>
      </c>
      <c r="U90" s="675">
        <v>278059</v>
      </c>
      <c r="V90" s="675">
        <v>16.123000000000001</v>
      </c>
      <c r="W90" s="675">
        <v>10567</v>
      </c>
      <c r="X90" s="675">
        <v>10567</v>
      </c>
      <c r="Y90" s="675">
        <v>0</v>
      </c>
      <c r="Z90" s="675">
        <v>0</v>
      </c>
      <c r="AA90" s="675">
        <v>1</v>
      </c>
      <c r="AB90" s="675">
        <v>1</v>
      </c>
      <c r="AC90" s="675">
        <v>0</v>
      </c>
      <c r="AD90" s="675" t="s">
        <v>316</v>
      </c>
      <c r="AE90" s="675">
        <v>0</v>
      </c>
      <c r="AF90" s="675">
        <v>0</v>
      </c>
      <c r="AG90" s="675">
        <v>0</v>
      </c>
      <c r="AH90" s="675">
        <v>0</v>
      </c>
      <c r="AI90" s="675">
        <v>0</v>
      </c>
      <c r="AJ90" s="675">
        <v>5104</v>
      </c>
      <c r="AK90" s="675" t="s">
        <v>671</v>
      </c>
      <c r="AL90" s="675" t="s">
        <v>92</v>
      </c>
      <c r="AM90" s="675">
        <v>0</v>
      </c>
      <c r="AN90" s="675">
        <v>0</v>
      </c>
      <c r="AO90" s="675">
        <v>0</v>
      </c>
      <c r="AP90" s="675">
        <v>0</v>
      </c>
      <c r="AQ90" s="675">
        <v>0</v>
      </c>
      <c r="AR90" s="675">
        <v>0</v>
      </c>
      <c r="AS90" s="675">
        <v>0</v>
      </c>
      <c r="AT90" s="675">
        <v>0</v>
      </c>
      <c r="AU90" s="675">
        <v>0</v>
      </c>
      <c r="AV90" s="675">
        <v>-88005</v>
      </c>
      <c r="AW90" s="675">
        <v>8101212</v>
      </c>
      <c r="AX90" s="675">
        <v>7872116</v>
      </c>
      <c r="AY90" s="675">
        <v>8249151</v>
      </c>
      <c r="AZ90" s="675">
        <v>316047</v>
      </c>
      <c r="BA90" s="675">
        <v>20.917000000000002</v>
      </c>
      <c r="BB90" s="675">
        <v>0</v>
      </c>
      <c r="BC90" s="675">
        <v>0</v>
      </c>
      <c r="BD90" s="675">
        <v>0</v>
      </c>
      <c r="BE90" s="675">
        <v>0</v>
      </c>
      <c r="BF90" s="675">
        <v>6713457</v>
      </c>
      <c r="BG90" s="675">
        <v>0</v>
      </c>
      <c r="BH90" s="675">
        <v>138.13800000000001</v>
      </c>
      <c r="BI90" s="675">
        <v>37988</v>
      </c>
      <c r="BJ90" s="675">
        <v>12</v>
      </c>
      <c r="BK90" s="675">
        <v>0</v>
      </c>
      <c r="BL90" s="675">
        <v>0</v>
      </c>
      <c r="BM90" s="675">
        <v>0</v>
      </c>
      <c r="BN90" s="675">
        <v>0</v>
      </c>
      <c r="BO90" s="675">
        <v>0</v>
      </c>
      <c r="BP90" s="675">
        <v>0</v>
      </c>
      <c r="BQ90" s="675">
        <v>5392</v>
      </c>
      <c r="BR90" s="675">
        <v>1</v>
      </c>
      <c r="BS90" s="675">
        <v>0</v>
      </c>
      <c r="BT90" s="675">
        <v>0</v>
      </c>
      <c r="BU90" s="675">
        <v>0</v>
      </c>
      <c r="BV90" s="675">
        <v>0</v>
      </c>
      <c r="BW90" s="675">
        <v>0</v>
      </c>
      <c r="BX90" s="675">
        <v>0</v>
      </c>
      <c r="BY90" s="675">
        <v>0</v>
      </c>
      <c r="BZ90" s="675">
        <v>0</v>
      </c>
      <c r="CA90" s="675">
        <v>0</v>
      </c>
      <c r="CB90" s="675">
        <v>0</v>
      </c>
      <c r="CC90" s="675">
        <v>0</v>
      </c>
      <c r="CD90" s="675">
        <v>0</v>
      </c>
      <c r="CE90" s="675">
        <v>0</v>
      </c>
      <c r="CF90" s="675">
        <v>0</v>
      </c>
      <c r="CG90" s="675">
        <v>0</v>
      </c>
      <c r="CH90" s="675">
        <v>191108</v>
      </c>
      <c r="CI90" s="675">
        <v>0</v>
      </c>
      <c r="CJ90" s="675">
        <v>5</v>
      </c>
      <c r="CK90" s="675">
        <v>0</v>
      </c>
      <c r="CL90" s="675">
        <v>0</v>
      </c>
      <c r="CM90" s="675">
        <v>0</v>
      </c>
      <c r="CN90" s="675">
        <v>0</v>
      </c>
      <c r="CO90" s="675">
        <v>0</v>
      </c>
      <c r="CP90" s="675">
        <v>0</v>
      </c>
      <c r="CQ90" s="675">
        <v>0.75</v>
      </c>
      <c r="CR90" s="675">
        <v>869.71300000000008</v>
      </c>
      <c r="CS90" s="675">
        <v>0</v>
      </c>
      <c r="CT90" s="675">
        <v>0</v>
      </c>
      <c r="CU90" s="675">
        <v>0</v>
      </c>
      <c r="CV90" s="675">
        <v>0</v>
      </c>
      <c r="CW90" s="675">
        <v>0</v>
      </c>
      <c r="CX90" s="675">
        <v>0</v>
      </c>
      <c r="CY90" s="675">
        <v>0</v>
      </c>
      <c r="CZ90" s="675">
        <v>0</v>
      </c>
      <c r="DA90" s="675">
        <v>1</v>
      </c>
      <c r="DB90" s="675">
        <v>5875661</v>
      </c>
      <c r="DC90" s="675">
        <v>0</v>
      </c>
      <c r="DD90" s="675">
        <v>0</v>
      </c>
      <c r="DE90" s="675">
        <v>291876</v>
      </c>
      <c r="DF90" s="675">
        <v>291876</v>
      </c>
      <c r="DG90" s="675">
        <v>222.67000000000002</v>
      </c>
      <c r="DH90" s="675">
        <v>0</v>
      </c>
      <c r="DI90" s="675">
        <v>0</v>
      </c>
      <c r="DJ90" s="675">
        <v>0</v>
      </c>
      <c r="DK90" s="675">
        <v>5392</v>
      </c>
      <c r="DL90" s="675">
        <v>0</v>
      </c>
      <c r="DM90" s="675">
        <v>670954</v>
      </c>
      <c r="DN90" s="675">
        <v>0</v>
      </c>
      <c r="DO90" s="675">
        <v>0</v>
      </c>
      <c r="DP90" s="675">
        <v>0</v>
      </c>
      <c r="DQ90" s="675">
        <v>0</v>
      </c>
      <c r="DR90" s="675">
        <v>0</v>
      </c>
      <c r="DS90" s="675">
        <v>0</v>
      </c>
      <c r="DT90" s="675">
        <v>0</v>
      </c>
      <c r="DU90" s="675">
        <v>0</v>
      </c>
      <c r="DV90" s="675">
        <v>0</v>
      </c>
      <c r="DW90" s="675">
        <v>0</v>
      </c>
      <c r="DX90" s="675">
        <v>0</v>
      </c>
      <c r="DY90" s="675">
        <v>0</v>
      </c>
      <c r="DZ90" s="675">
        <v>0</v>
      </c>
      <c r="EA90" s="675">
        <v>0</v>
      </c>
      <c r="EB90" s="675">
        <v>0</v>
      </c>
      <c r="EC90" s="675">
        <v>52.193000000000005</v>
      </c>
      <c r="ED90" s="675">
        <v>376280</v>
      </c>
      <c r="EE90" s="675">
        <v>0</v>
      </c>
      <c r="EF90" s="675">
        <v>0</v>
      </c>
      <c r="EG90" s="675">
        <v>0</v>
      </c>
      <c r="EH90" s="675">
        <v>294674</v>
      </c>
      <c r="EI90" s="675">
        <v>0</v>
      </c>
      <c r="EJ90" s="675">
        <v>0</v>
      </c>
      <c r="EK90" s="675">
        <v>10.957000000000001</v>
      </c>
      <c r="EL90" s="675">
        <v>0</v>
      </c>
      <c r="EM90" s="675">
        <v>0.76500000000000001</v>
      </c>
      <c r="EN90" s="675">
        <v>1.9590000000000001</v>
      </c>
      <c r="EO90" s="675">
        <v>0</v>
      </c>
      <c r="EP90" s="675">
        <v>0</v>
      </c>
      <c r="EQ90" s="675">
        <v>13.681000000000001</v>
      </c>
      <c r="ER90" s="675">
        <v>0</v>
      </c>
      <c r="ES90" s="675">
        <v>44.961000000000006</v>
      </c>
      <c r="ET90" s="675">
        <v>10646</v>
      </c>
      <c r="EU90" s="675">
        <v>316047</v>
      </c>
      <c r="EV90" s="675">
        <v>0</v>
      </c>
      <c r="EW90" s="675">
        <v>0</v>
      </c>
      <c r="EX90" s="675">
        <v>0</v>
      </c>
      <c r="EY90" s="675">
        <v>0</v>
      </c>
      <c r="EZ90" s="675">
        <v>6619724</v>
      </c>
      <c r="FA90" s="675">
        <v>0</v>
      </c>
      <c r="FB90" s="675">
        <v>6935771</v>
      </c>
      <c r="FC90" s="675">
        <v>0.97327799999999998</v>
      </c>
      <c r="FD90" s="675">
        <v>0</v>
      </c>
      <c r="FE90" s="675">
        <v>1022070</v>
      </c>
      <c r="FF90" s="675">
        <v>230322</v>
      </c>
      <c r="FG90" s="675">
        <v>6.1239999999999996E-2</v>
      </c>
      <c r="FH90" s="675">
        <v>5.4803999999999999E-2</v>
      </c>
      <c r="FI90" s="675">
        <v>0</v>
      </c>
      <c r="FJ90" s="675">
        <v>0</v>
      </c>
      <c r="FK90" s="675">
        <v>1315.3780000000002</v>
      </c>
      <c r="FL90" s="675">
        <v>8379271</v>
      </c>
      <c r="FM90" s="675">
        <v>0</v>
      </c>
      <c r="FN90" s="675">
        <v>0</v>
      </c>
      <c r="FO90" s="675">
        <v>0</v>
      </c>
      <c r="FP90" s="675">
        <v>0</v>
      </c>
      <c r="FQ90" s="675">
        <v>0</v>
      </c>
      <c r="FR90" s="675">
        <v>0</v>
      </c>
      <c r="FS90" s="675">
        <v>0</v>
      </c>
      <c r="FT90" s="675">
        <v>0</v>
      </c>
      <c r="FU90" s="675">
        <v>0</v>
      </c>
      <c r="FV90" s="675">
        <v>0</v>
      </c>
      <c r="FW90" s="675">
        <v>0</v>
      </c>
      <c r="FX90" s="675">
        <v>0</v>
      </c>
      <c r="FY90" s="675">
        <v>0</v>
      </c>
      <c r="FZ90" s="675">
        <v>0</v>
      </c>
      <c r="GA90" s="675">
        <v>0</v>
      </c>
      <c r="GB90" s="675">
        <v>48725</v>
      </c>
      <c r="GC90" s="675">
        <v>48725</v>
      </c>
      <c r="GD90" s="675">
        <v>5.5070000000000006</v>
      </c>
      <c r="GE90" s="675">
        <v>0</v>
      </c>
      <c r="GF90" s="675">
        <v>0</v>
      </c>
      <c r="GG90" s="675">
        <v>0</v>
      </c>
      <c r="GH90" s="675">
        <v>0</v>
      </c>
      <c r="GI90" s="675">
        <v>0</v>
      </c>
      <c r="GJ90" s="675">
        <v>0</v>
      </c>
      <c r="GK90" s="675">
        <v>5081</v>
      </c>
      <c r="GL90" s="675">
        <v>8781</v>
      </c>
      <c r="GM90" s="675">
        <v>0</v>
      </c>
      <c r="GN90" s="675">
        <v>0</v>
      </c>
      <c r="GO90" s="675">
        <v>0</v>
      </c>
      <c r="GP90" s="675">
        <v>8188163</v>
      </c>
      <c r="GQ90" s="675">
        <v>8188163</v>
      </c>
      <c r="GR90" s="675">
        <v>0</v>
      </c>
      <c r="GS90" s="675">
        <v>0</v>
      </c>
      <c r="GT90" s="675">
        <v>0</v>
      </c>
      <c r="GU90" s="675">
        <v>0</v>
      </c>
      <c r="GV90" s="675">
        <v>0</v>
      </c>
      <c r="GW90" s="675">
        <v>0</v>
      </c>
      <c r="GX90" s="675">
        <v>0</v>
      </c>
      <c r="GY90" s="675">
        <v>0</v>
      </c>
      <c r="GZ90" s="675">
        <v>0</v>
      </c>
      <c r="HA90" s="675">
        <v>0</v>
      </c>
      <c r="HB90" s="675">
        <v>260786259</v>
      </c>
      <c r="HC90" s="675">
        <v>5.0923999999999997E-2</v>
      </c>
      <c r="HD90" s="675">
        <v>180462</v>
      </c>
      <c r="HE90" s="675">
        <v>0</v>
      </c>
      <c r="HF90" s="675">
        <v>0</v>
      </c>
      <c r="HG90" s="675">
        <v>0</v>
      </c>
      <c r="HH90" s="675">
        <v>0</v>
      </c>
      <c r="HI90" s="675">
        <v>0</v>
      </c>
      <c r="HJ90" s="675">
        <v>0</v>
      </c>
      <c r="HK90" s="675">
        <v>0</v>
      </c>
      <c r="HL90" s="675">
        <v>0</v>
      </c>
      <c r="HM90" s="675">
        <v>0</v>
      </c>
      <c r="HN90" s="675">
        <v>0</v>
      </c>
      <c r="HO90" s="675">
        <v>0</v>
      </c>
      <c r="HP90" s="675">
        <v>0</v>
      </c>
      <c r="HQ90" s="675">
        <v>0</v>
      </c>
      <c r="HR90" s="675">
        <v>0</v>
      </c>
      <c r="HS90" s="675">
        <v>0</v>
      </c>
      <c r="HT90" s="675">
        <v>0</v>
      </c>
      <c r="HU90" s="675">
        <v>0</v>
      </c>
      <c r="HV90" s="675">
        <v>0</v>
      </c>
      <c r="HW90" s="675">
        <v>0</v>
      </c>
      <c r="HX90" s="675">
        <v>0</v>
      </c>
      <c r="HY90" s="675">
        <v>0</v>
      </c>
      <c r="HZ90" s="675">
        <v>0</v>
      </c>
      <c r="IA90" s="675">
        <v>0</v>
      </c>
      <c r="IB90" s="675">
        <v>0</v>
      </c>
      <c r="IC90" s="675">
        <v>0</v>
      </c>
      <c r="ID90" s="675">
        <v>0</v>
      </c>
      <c r="IE90" s="675">
        <v>0</v>
      </c>
      <c r="IF90" s="675">
        <v>0</v>
      </c>
      <c r="IG90" s="675">
        <v>0</v>
      </c>
      <c r="IH90" s="675">
        <v>0</v>
      </c>
      <c r="II90" s="675">
        <v>0</v>
      </c>
      <c r="IJ90" s="675">
        <v>0</v>
      </c>
      <c r="IK90" s="675">
        <v>0</v>
      </c>
      <c r="IL90" s="675">
        <v>0</v>
      </c>
      <c r="IM90" s="675">
        <v>0</v>
      </c>
      <c r="IN90" s="675">
        <v>0</v>
      </c>
      <c r="IO90" s="675">
        <v>0</v>
      </c>
      <c r="IP90" s="675">
        <v>0</v>
      </c>
      <c r="IQ90" s="675">
        <v>0</v>
      </c>
      <c r="IR90" s="675">
        <v>0</v>
      </c>
      <c r="IS90" s="675">
        <v>0</v>
      </c>
      <c r="IT90" s="675">
        <v>0</v>
      </c>
      <c r="IU90" s="675">
        <v>0</v>
      </c>
      <c r="IV90" s="675">
        <v>0</v>
      </c>
      <c r="IW90" s="675">
        <v>0</v>
      </c>
      <c r="IX90" s="675">
        <v>0</v>
      </c>
      <c r="IY90" s="675">
        <v>0</v>
      </c>
      <c r="IZ90" s="675">
        <v>0</v>
      </c>
      <c r="JA90" s="675">
        <v>0</v>
      </c>
      <c r="JB90" s="675">
        <v>0</v>
      </c>
      <c r="JC90" s="675">
        <v>0</v>
      </c>
      <c r="JD90" s="675">
        <v>0</v>
      </c>
      <c r="JE90" s="675">
        <v>0</v>
      </c>
      <c r="JF90" s="675">
        <v>0</v>
      </c>
      <c r="JG90" s="675">
        <v>0</v>
      </c>
      <c r="JH90" s="675">
        <v>0</v>
      </c>
      <c r="JI90" s="675">
        <v>0</v>
      </c>
      <c r="JJ90" s="675">
        <v>0</v>
      </c>
      <c r="JK90" s="675">
        <v>0</v>
      </c>
      <c r="JL90" s="675">
        <v>0</v>
      </c>
      <c r="JM90" s="675">
        <v>0</v>
      </c>
      <c r="JN90" s="675">
        <v>32469</v>
      </c>
      <c r="JO90" s="675">
        <v>0</v>
      </c>
      <c r="JP90" s="675">
        <v>0</v>
      </c>
      <c r="JQ90" s="675">
        <v>0</v>
      </c>
      <c r="JR90" s="675">
        <v>0</v>
      </c>
      <c r="JS90" s="675">
        <v>0</v>
      </c>
      <c r="JT90" s="675">
        <v>0</v>
      </c>
      <c r="JU90" s="675">
        <v>0</v>
      </c>
      <c r="JV90" s="675">
        <v>0</v>
      </c>
      <c r="JW90" s="675">
        <v>0</v>
      </c>
      <c r="JX90" s="675">
        <v>0</v>
      </c>
      <c r="JY90" s="675">
        <v>0</v>
      </c>
      <c r="JZ90" s="675">
        <v>0</v>
      </c>
      <c r="KA90" s="675">
        <v>0</v>
      </c>
      <c r="KB90" s="675">
        <v>0</v>
      </c>
      <c r="KC90" s="675">
        <v>0</v>
      </c>
      <c r="KD90" s="675">
        <v>0</v>
      </c>
      <c r="KE90" s="675">
        <v>0</v>
      </c>
      <c r="KF90" s="675">
        <v>0</v>
      </c>
    </row>
    <row r="91" spans="1:292" x14ac:dyDescent="0.25">
      <c r="A91" s="675">
        <v>101804</v>
      </c>
      <c r="B91" s="675">
        <v>32570</v>
      </c>
      <c r="C91" s="675">
        <v>35</v>
      </c>
      <c r="D91" s="675">
        <v>2022</v>
      </c>
      <c r="E91" s="675">
        <v>5392</v>
      </c>
      <c r="F91" s="675">
        <v>0</v>
      </c>
      <c r="G91" s="675">
        <v>898.07900000000006</v>
      </c>
      <c r="H91" s="675">
        <v>774.00300000000004</v>
      </c>
      <c r="I91" s="675">
        <v>774.00300000000004</v>
      </c>
      <c r="J91" s="675">
        <v>898.07900000000006</v>
      </c>
      <c r="K91" s="675">
        <v>0</v>
      </c>
      <c r="L91" s="675">
        <v>6554</v>
      </c>
      <c r="M91" s="675">
        <v>0</v>
      </c>
      <c r="N91" s="675">
        <v>0</v>
      </c>
      <c r="O91" s="675">
        <v>0</v>
      </c>
      <c r="P91" s="675">
        <v>851.76200000000006</v>
      </c>
      <c r="Q91" s="675">
        <v>0</v>
      </c>
      <c r="R91" s="675">
        <v>272319</v>
      </c>
      <c r="S91" s="675">
        <v>319.71300000000002</v>
      </c>
      <c r="T91" s="675">
        <v>0</v>
      </c>
      <c r="U91" s="675">
        <v>272319</v>
      </c>
      <c r="V91" s="675">
        <v>370.67900000000003</v>
      </c>
      <c r="W91" s="675">
        <v>242943</v>
      </c>
      <c r="X91" s="675">
        <v>242943</v>
      </c>
      <c r="Y91" s="675">
        <v>0</v>
      </c>
      <c r="Z91" s="675">
        <v>0</v>
      </c>
      <c r="AA91" s="675">
        <v>1</v>
      </c>
      <c r="AB91" s="675">
        <v>1</v>
      </c>
      <c r="AC91" s="675">
        <v>0</v>
      </c>
      <c r="AD91" s="675" t="s">
        <v>316</v>
      </c>
      <c r="AE91" s="675">
        <v>0</v>
      </c>
      <c r="AF91" s="675">
        <v>0</v>
      </c>
      <c r="AG91" s="675">
        <v>0</v>
      </c>
      <c r="AH91" s="675">
        <v>0</v>
      </c>
      <c r="AI91" s="675">
        <v>0</v>
      </c>
      <c r="AJ91" s="675">
        <v>5104</v>
      </c>
      <c r="AK91" s="675" t="s">
        <v>671</v>
      </c>
      <c r="AL91" s="675" t="s">
        <v>7</v>
      </c>
      <c r="AM91" s="675">
        <v>0</v>
      </c>
      <c r="AN91" s="675">
        <v>0</v>
      </c>
      <c r="AO91" s="675">
        <v>0</v>
      </c>
      <c r="AP91" s="675">
        <v>0</v>
      </c>
      <c r="AQ91" s="675">
        <v>0</v>
      </c>
      <c r="AR91" s="675">
        <v>0</v>
      </c>
      <c r="AS91" s="675">
        <v>0</v>
      </c>
      <c r="AT91" s="675">
        <v>0</v>
      </c>
      <c r="AU91" s="675">
        <v>0</v>
      </c>
      <c r="AV91" s="675">
        <v>328975</v>
      </c>
      <c r="AW91" s="675">
        <v>9669522</v>
      </c>
      <c r="AX91" s="675">
        <v>9360737</v>
      </c>
      <c r="AY91" s="675">
        <v>9962197</v>
      </c>
      <c r="AZ91" s="675">
        <v>404113</v>
      </c>
      <c r="BA91" s="675">
        <v>0</v>
      </c>
      <c r="BB91" s="675">
        <v>0</v>
      </c>
      <c r="BC91" s="675">
        <v>0</v>
      </c>
      <c r="BD91" s="675">
        <v>0</v>
      </c>
      <c r="BE91" s="675">
        <v>0</v>
      </c>
      <c r="BF91" s="675">
        <v>7891583</v>
      </c>
      <c r="BG91" s="675">
        <v>0</v>
      </c>
      <c r="BH91" s="675">
        <v>479.25100000000003</v>
      </c>
      <c r="BI91" s="675">
        <v>131794</v>
      </c>
      <c r="BJ91" s="675">
        <v>12</v>
      </c>
      <c r="BK91" s="675">
        <v>0</v>
      </c>
      <c r="BL91" s="675">
        <v>0</v>
      </c>
      <c r="BM91" s="675">
        <v>0</v>
      </c>
      <c r="BN91" s="675">
        <v>0</v>
      </c>
      <c r="BO91" s="675">
        <v>0</v>
      </c>
      <c r="BP91" s="675">
        <v>0</v>
      </c>
      <c r="BQ91" s="675">
        <v>5392</v>
      </c>
      <c r="BR91" s="675">
        <v>1</v>
      </c>
      <c r="BS91" s="675">
        <v>0</v>
      </c>
      <c r="BT91" s="675">
        <v>0</v>
      </c>
      <c r="BU91" s="675">
        <v>0</v>
      </c>
      <c r="BV91" s="675">
        <v>0</v>
      </c>
      <c r="BW91" s="675">
        <v>0</v>
      </c>
      <c r="BX91" s="675">
        <v>0</v>
      </c>
      <c r="BY91" s="675">
        <v>0</v>
      </c>
      <c r="BZ91" s="675">
        <v>0</v>
      </c>
      <c r="CA91" s="675">
        <v>0</v>
      </c>
      <c r="CB91" s="675">
        <v>0</v>
      </c>
      <c r="CC91" s="675">
        <v>0</v>
      </c>
      <c r="CD91" s="675">
        <v>0</v>
      </c>
      <c r="CE91" s="675">
        <v>0</v>
      </c>
      <c r="CF91" s="675">
        <v>0</v>
      </c>
      <c r="CG91" s="675">
        <v>0</v>
      </c>
      <c r="CH91" s="675">
        <v>176991</v>
      </c>
      <c r="CI91" s="675">
        <v>0</v>
      </c>
      <c r="CJ91" s="675">
        <v>4</v>
      </c>
      <c r="CK91" s="675">
        <v>0</v>
      </c>
      <c r="CL91" s="675">
        <v>0</v>
      </c>
      <c r="CM91" s="675">
        <v>0</v>
      </c>
      <c r="CN91" s="675">
        <v>0</v>
      </c>
      <c r="CO91" s="675">
        <v>0</v>
      </c>
      <c r="CP91" s="675">
        <v>0.95900000000000007</v>
      </c>
      <c r="CQ91" s="675">
        <v>0</v>
      </c>
      <c r="CR91" s="675">
        <v>851.76200000000006</v>
      </c>
      <c r="CS91" s="675">
        <v>0</v>
      </c>
      <c r="CT91" s="675">
        <v>0</v>
      </c>
      <c r="CU91" s="675">
        <v>0</v>
      </c>
      <c r="CV91" s="675">
        <v>0</v>
      </c>
      <c r="CW91" s="675">
        <v>0</v>
      </c>
      <c r="CX91" s="675">
        <v>0</v>
      </c>
      <c r="CY91" s="675">
        <v>0</v>
      </c>
      <c r="CZ91" s="675">
        <v>0</v>
      </c>
      <c r="DA91" s="675">
        <v>1</v>
      </c>
      <c r="DB91" s="675">
        <v>5072816</v>
      </c>
      <c r="DC91" s="675">
        <v>0</v>
      </c>
      <c r="DD91" s="675">
        <v>0</v>
      </c>
      <c r="DE91" s="675">
        <v>1276942</v>
      </c>
      <c r="DF91" s="675">
        <v>1292090</v>
      </c>
      <c r="DG91" s="675">
        <v>974.17000000000007</v>
      </c>
      <c r="DH91" s="675">
        <v>0</v>
      </c>
      <c r="DI91" s="675">
        <v>15148</v>
      </c>
      <c r="DJ91" s="675">
        <v>0</v>
      </c>
      <c r="DK91" s="675">
        <v>5392</v>
      </c>
      <c r="DL91" s="675">
        <v>0</v>
      </c>
      <c r="DM91" s="675">
        <v>570348</v>
      </c>
      <c r="DN91" s="675">
        <v>0</v>
      </c>
      <c r="DO91" s="675">
        <v>3805</v>
      </c>
      <c r="DP91" s="675">
        <v>0</v>
      </c>
      <c r="DQ91" s="675">
        <v>0</v>
      </c>
      <c r="DR91" s="675">
        <v>0</v>
      </c>
      <c r="DS91" s="675">
        <v>0</v>
      </c>
      <c r="DT91" s="675">
        <v>0</v>
      </c>
      <c r="DU91" s="675">
        <v>0</v>
      </c>
      <c r="DV91" s="675">
        <v>0.25800000000000001</v>
      </c>
      <c r="DW91" s="675">
        <v>0</v>
      </c>
      <c r="DX91" s="675">
        <v>0</v>
      </c>
      <c r="DY91" s="675">
        <v>0</v>
      </c>
      <c r="DZ91" s="675">
        <v>0.77400000000000002</v>
      </c>
      <c r="EA91" s="675">
        <v>0</v>
      </c>
      <c r="EB91" s="675">
        <v>0</v>
      </c>
      <c r="EC91" s="675">
        <v>25.923999999999999</v>
      </c>
      <c r="ED91" s="675">
        <v>186896</v>
      </c>
      <c r="EE91" s="675">
        <v>0</v>
      </c>
      <c r="EF91" s="675">
        <v>0</v>
      </c>
      <c r="EG91" s="675">
        <v>0</v>
      </c>
      <c r="EH91" s="675">
        <v>370393</v>
      </c>
      <c r="EI91" s="675">
        <v>9254</v>
      </c>
      <c r="EJ91" s="675">
        <v>0.35300000000000004</v>
      </c>
      <c r="EK91" s="675">
        <v>15.061</v>
      </c>
      <c r="EL91" s="675">
        <v>0</v>
      </c>
      <c r="EM91" s="675">
        <v>3.3920000000000003</v>
      </c>
      <c r="EN91" s="675">
        <v>0.23100000000000001</v>
      </c>
      <c r="EO91" s="675">
        <v>0</v>
      </c>
      <c r="EP91" s="675">
        <v>0</v>
      </c>
      <c r="EQ91" s="675">
        <v>19.037000000000003</v>
      </c>
      <c r="ER91" s="675">
        <v>0</v>
      </c>
      <c r="ES91" s="675">
        <v>56.514000000000003</v>
      </c>
      <c r="ET91" s="675">
        <v>0</v>
      </c>
      <c r="EU91" s="675">
        <v>404113</v>
      </c>
      <c r="EV91" s="675">
        <v>0</v>
      </c>
      <c r="EW91" s="675">
        <v>0</v>
      </c>
      <c r="EX91" s="675">
        <v>0</v>
      </c>
      <c r="EY91" s="675">
        <v>0</v>
      </c>
      <c r="EZ91" s="675">
        <v>7888566</v>
      </c>
      <c r="FA91" s="675">
        <v>0</v>
      </c>
      <c r="FB91" s="675">
        <v>8292679</v>
      </c>
      <c r="FC91" s="675">
        <v>0.97327799999999998</v>
      </c>
      <c r="FD91" s="675">
        <v>0</v>
      </c>
      <c r="FE91" s="675">
        <v>1201430</v>
      </c>
      <c r="FF91" s="675">
        <v>270741</v>
      </c>
      <c r="FG91" s="675">
        <v>6.1239999999999996E-2</v>
      </c>
      <c r="FH91" s="675">
        <v>5.4803999999999999E-2</v>
      </c>
      <c r="FI91" s="675">
        <v>0</v>
      </c>
      <c r="FJ91" s="675">
        <v>0</v>
      </c>
      <c r="FK91" s="675">
        <v>1546.21</v>
      </c>
      <c r="FL91" s="675">
        <v>9941841</v>
      </c>
      <c r="FM91" s="675">
        <v>0</v>
      </c>
      <c r="FN91" s="675">
        <v>0</v>
      </c>
      <c r="FO91" s="675">
        <v>38759</v>
      </c>
      <c r="FP91" s="675">
        <v>0</v>
      </c>
      <c r="FQ91" s="675">
        <v>52629</v>
      </c>
      <c r="FR91" s="675">
        <v>38759</v>
      </c>
      <c r="FS91" s="675">
        <v>13870</v>
      </c>
      <c r="FT91" s="675">
        <v>0</v>
      </c>
      <c r="FU91" s="675">
        <v>0</v>
      </c>
      <c r="FV91" s="675">
        <v>0</v>
      </c>
      <c r="FW91" s="675">
        <v>0</v>
      </c>
      <c r="FX91" s="675">
        <v>0</v>
      </c>
      <c r="FY91" s="675">
        <v>0</v>
      </c>
      <c r="FZ91" s="675">
        <v>685</v>
      </c>
      <c r="GA91" s="675">
        <v>13.692</v>
      </c>
      <c r="GB91" s="675">
        <v>930059</v>
      </c>
      <c r="GC91" s="675">
        <v>930059</v>
      </c>
      <c r="GD91" s="675">
        <v>105.039</v>
      </c>
      <c r="GE91" s="675">
        <v>0</v>
      </c>
      <c r="GF91" s="675">
        <v>0</v>
      </c>
      <c r="GG91" s="675">
        <v>0</v>
      </c>
      <c r="GH91" s="675">
        <v>0</v>
      </c>
      <c r="GI91" s="675">
        <v>0</v>
      </c>
      <c r="GJ91" s="675">
        <v>0</v>
      </c>
      <c r="GK91" s="675">
        <v>5281</v>
      </c>
      <c r="GL91" s="675">
        <v>20194</v>
      </c>
      <c r="GM91" s="675">
        <v>0</v>
      </c>
      <c r="GN91" s="675">
        <v>18469</v>
      </c>
      <c r="GO91" s="675">
        <v>0</v>
      </c>
      <c r="GP91" s="675">
        <v>9764850</v>
      </c>
      <c r="GQ91" s="675">
        <v>9764850</v>
      </c>
      <c r="GR91" s="675">
        <v>0</v>
      </c>
      <c r="GS91" s="675">
        <v>0</v>
      </c>
      <c r="GT91" s="675">
        <v>0</v>
      </c>
      <c r="GU91" s="675">
        <v>0</v>
      </c>
      <c r="GV91" s="675">
        <v>0</v>
      </c>
      <c r="GW91" s="675">
        <v>0</v>
      </c>
      <c r="GX91" s="675">
        <v>0</v>
      </c>
      <c r="GY91" s="675">
        <v>0</v>
      </c>
      <c r="GZ91" s="675">
        <v>0</v>
      </c>
      <c r="HA91" s="675">
        <v>0</v>
      </c>
      <c r="HB91" s="675">
        <v>260786259</v>
      </c>
      <c r="HC91" s="675">
        <v>5.0923999999999997E-2</v>
      </c>
      <c r="HD91" s="675">
        <v>176991</v>
      </c>
      <c r="HE91" s="675">
        <v>0</v>
      </c>
      <c r="HF91" s="675">
        <v>0</v>
      </c>
      <c r="HG91" s="675">
        <v>0</v>
      </c>
      <c r="HH91" s="675">
        <v>0</v>
      </c>
      <c r="HI91" s="675">
        <v>0</v>
      </c>
      <c r="HJ91" s="675">
        <v>0</v>
      </c>
      <c r="HK91" s="675">
        <v>0</v>
      </c>
      <c r="HL91" s="675">
        <v>0</v>
      </c>
      <c r="HM91" s="675">
        <v>0</v>
      </c>
      <c r="HN91" s="675">
        <v>0</v>
      </c>
      <c r="HO91" s="675">
        <v>0</v>
      </c>
      <c r="HP91" s="675">
        <v>0</v>
      </c>
      <c r="HQ91" s="675">
        <v>0</v>
      </c>
      <c r="HR91" s="675">
        <v>0</v>
      </c>
      <c r="HS91" s="675">
        <v>0</v>
      </c>
      <c r="HT91" s="675">
        <v>0</v>
      </c>
      <c r="HU91" s="675">
        <v>0</v>
      </c>
      <c r="HV91" s="675">
        <v>0</v>
      </c>
      <c r="HW91" s="675">
        <v>0</v>
      </c>
      <c r="HX91" s="675">
        <v>0</v>
      </c>
      <c r="HY91" s="675">
        <v>0</v>
      </c>
      <c r="HZ91" s="675">
        <v>0</v>
      </c>
      <c r="IA91" s="675">
        <v>0</v>
      </c>
      <c r="IB91" s="675">
        <v>0</v>
      </c>
      <c r="IC91" s="675">
        <v>0</v>
      </c>
      <c r="ID91" s="675">
        <v>0</v>
      </c>
      <c r="IE91" s="675">
        <v>0</v>
      </c>
      <c r="IF91" s="675">
        <v>0</v>
      </c>
      <c r="IG91" s="675">
        <v>0</v>
      </c>
      <c r="IH91" s="675">
        <v>0</v>
      </c>
      <c r="II91" s="675">
        <v>0</v>
      </c>
      <c r="IJ91" s="675">
        <v>0</v>
      </c>
      <c r="IK91" s="675">
        <v>0</v>
      </c>
      <c r="IL91" s="675">
        <v>0</v>
      </c>
      <c r="IM91" s="675">
        <v>0</v>
      </c>
      <c r="IN91" s="675">
        <v>0</v>
      </c>
      <c r="IO91" s="675">
        <v>0</v>
      </c>
      <c r="IP91" s="675">
        <v>0</v>
      </c>
      <c r="IQ91" s="675">
        <v>0</v>
      </c>
      <c r="IR91" s="675">
        <v>0</v>
      </c>
      <c r="IS91" s="675">
        <v>0</v>
      </c>
      <c r="IT91" s="675">
        <v>0</v>
      </c>
      <c r="IU91" s="675">
        <v>0</v>
      </c>
      <c r="IV91" s="675">
        <v>0</v>
      </c>
      <c r="IW91" s="675">
        <v>0</v>
      </c>
      <c r="IX91" s="675">
        <v>0</v>
      </c>
      <c r="IY91" s="675">
        <v>0</v>
      </c>
      <c r="IZ91" s="675">
        <v>0</v>
      </c>
      <c r="JA91" s="675">
        <v>0</v>
      </c>
      <c r="JB91" s="675">
        <v>0</v>
      </c>
      <c r="JC91" s="675">
        <v>0</v>
      </c>
      <c r="JD91" s="675">
        <v>0</v>
      </c>
      <c r="JE91" s="675">
        <v>0</v>
      </c>
      <c r="JF91" s="675">
        <v>0</v>
      </c>
      <c r="JG91" s="675">
        <v>0</v>
      </c>
      <c r="JH91" s="675">
        <v>0</v>
      </c>
      <c r="JI91" s="675">
        <v>0</v>
      </c>
      <c r="JJ91" s="675">
        <v>0</v>
      </c>
      <c r="JK91" s="675">
        <v>0</v>
      </c>
      <c r="JL91" s="675">
        <v>0</v>
      </c>
      <c r="JM91" s="675">
        <v>0</v>
      </c>
      <c r="JN91" s="675">
        <v>32469</v>
      </c>
      <c r="JO91" s="675">
        <v>0</v>
      </c>
      <c r="JP91" s="675">
        <v>0</v>
      </c>
      <c r="JQ91" s="675">
        <v>0</v>
      </c>
      <c r="JR91" s="675">
        <v>0</v>
      </c>
      <c r="JS91" s="675">
        <v>0</v>
      </c>
      <c r="JT91" s="675">
        <v>0</v>
      </c>
      <c r="JU91" s="675">
        <v>0</v>
      </c>
      <c r="JV91" s="675">
        <v>0</v>
      </c>
      <c r="JW91" s="675">
        <v>0</v>
      </c>
      <c r="JX91" s="675">
        <v>0</v>
      </c>
      <c r="JY91" s="675">
        <v>0</v>
      </c>
      <c r="JZ91" s="675">
        <v>0</v>
      </c>
      <c r="KA91" s="675">
        <v>0</v>
      </c>
      <c r="KB91" s="675">
        <v>0</v>
      </c>
      <c r="KC91" s="675">
        <v>0</v>
      </c>
      <c r="KD91" s="675">
        <v>0</v>
      </c>
      <c r="KE91" s="675">
        <v>0</v>
      </c>
      <c r="KF91" s="675">
        <v>0</v>
      </c>
    </row>
    <row r="92" spans="1:292" x14ac:dyDescent="0.25">
      <c r="A92" s="675">
        <v>101806</v>
      </c>
      <c r="B92" s="675">
        <v>32570</v>
      </c>
      <c r="C92" s="675">
        <v>35</v>
      </c>
      <c r="D92" s="675">
        <v>2022</v>
      </c>
      <c r="E92" s="675">
        <v>5392</v>
      </c>
      <c r="F92" s="675">
        <v>0</v>
      </c>
      <c r="G92" s="675">
        <v>1254.2860000000001</v>
      </c>
      <c r="H92" s="675">
        <v>1196.6670000000001</v>
      </c>
      <c r="I92" s="675">
        <v>1196.6670000000001</v>
      </c>
      <c r="J92" s="675">
        <v>1254.2860000000001</v>
      </c>
      <c r="K92" s="675">
        <v>0</v>
      </c>
      <c r="L92" s="675">
        <v>6554</v>
      </c>
      <c r="M92" s="675">
        <v>0</v>
      </c>
      <c r="N92" s="675">
        <v>0</v>
      </c>
      <c r="O92" s="675">
        <v>0</v>
      </c>
      <c r="P92" s="675">
        <v>1261.028</v>
      </c>
      <c r="Q92" s="675">
        <v>0</v>
      </c>
      <c r="R92" s="675">
        <v>403167</v>
      </c>
      <c r="S92" s="675">
        <v>319.71300000000002</v>
      </c>
      <c r="T92" s="675">
        <v>0</v>
      </c>
      <c r="U92" s="675">
        <v>403167</v>
      </c>
      <c r="V92" s="675">
        <v>644.90500000000009</v>
      </c>
      <c r="W92" s="675">
        <v>422671</v>
      </c>
      <c r="X92" s="675">
        <v>422671</v>
      </c>
      <c r="Y92" s="675">
        <v>0</v>
      </c>
      <c r="Z92" s="675">
        <v>0</v>
      </c>
      <c r="AA92" s="675">
        <v>1</v>
      </c>
      <c r="AB92" s="675">
        <v>1</v>
      </c>
      <c r="AC92" s="675">
        <v>0</v>
      </c>
      <c r="AD92" s="675" t="s">
        <v>316</v>
      </c>
      <c r="AE92" s="675">
        <v>0</v>
      </c>
      <c r="AF92" s="675">
        <v>0</v>
      </c>
      <c r="AG92" s="675">
        <v>0</v>
      </c>
      <c r="AH92" s="675">
        <v>0</v>
      </c>
      <c r="AI92" s="675">
        <v>0</v>
      </c>
      <c r="AJ92" s="675">
        <v>5104</v>
      </c>
      <c r="AK92" s="675" t="s">
        <v>671</v>
      </c>
      <c r="AL92" s="675" t="s">
        <v>450</v>
      </c>
      <c r="AM92" s="675">
        <v>0</v>
      </c>
      <c r="AN92" s="675">
        <v>0</v>
      </c>
      <c r="AO92" s="675">
        <v>0</v>
      </c>
      <c r="AP92" s="675">
        <v>0</v>
      </c>
      <c r="AQ92" s="675">
        <v>0</v>
      </c>
      <c r="AR92" s="675">
        <v>0</v>
      </c>
      <c r="AS92" s="675">
        <v>0</v>
      </c>
      <c r="AT92" s="675">
        <v>0</v>
      </c>
      <c r="AU92" s="675">
        <v>0</v>
      </c>
      <c r="AV92" s="675">
        <v>796837</v>
      </c>
      <c r="AW92" s="675">
        <v>12915808</v>
      </c>
      <c r="AX92" s="675">
        <v>12558288</v>
      </c>
      <c r="AY92" s="675">
        <v>13900786</v>
      </c>
      <c r="AZ92" s="675">
        <v>477120</v>
      </c>
      <c r="BA92" s="675">
        <v>68.917000000000002</v>
      </c>
      <c r="BB92" s="675">
        <v>33547</v>
      </c>
      <c r="BC92" s="675">
        <v>33547</v>
      </c>
      <c r="BD92" s="675">
        <v>42.654000000000003</v>
      </c>
      <c r="BE92" s="675">
        <v>0</v>
      </c>
      <c r="BF92" s="675">
        <v>10654454</v>
      </c>
      <c r="BG92" s="675">
        <v>0</v>
      </c>
      <c r="BH92" s="675">
        <v>268.91900000000004</v>
      </c>
      <c r="BI92" s="675">
        <v>73953</v>
      </c>
      <c r="BJ92" s="675">
        <v>12</v>
      </c>
      <c r="BK92" s="675">
        <v>0</v>
      </c>
      <c r="BL92" s="675">
        <v>0</v>
      </c>
      <c r="BM92" s="675">
        <v>0</v>
      </c>
      <c r="BN92" s="675">
        <v>0</v>
      </c>
      <c r="BO92" s="675">
        <v>0</v>
      </c>
      <c r="BP92" s="675">
        <v>0</v>
      </c>
      <c r="BQ92" s="675">
        <v>5392</v>
      </c>
      <c r="BR92" s="675">
        <v>1</v>
      </c>
      <c r="BS92" s="675">
        <v>0</v>
      </c>
      <c r="BT92" s="675">
        <v>0</v>
      </c>
      <c r="BU92" s="675">
        <v>0</v>
      </c>
      <c r="BV92" s="675">
        <v>0</v>
      </c>
      <c r="BW92" s="675">
        <v>0</v>
      </c>
      <c r="BX92" s="675">
        <v>0</v>
      </c>
      <c r="BY92" s="675">
        <v>0</v>
      </c>
      <c r="BZ92" s="675">
        <v>0</v>
      </c>
      <c r="CA92" s="675">
        <v>0</v>
      </c>
      <c r="CB92" s="675">
        <v>0</v>
      </c>
      <c r="CC92" s="675">
        <v>0</v>
      </c>
      <c r="CD92" s="675">
        <v>0</v>
      </c>
      <c r="CE92" s="675">
        <v>0</v>
      </c>
      <c r="CF92" s="675">
        <v>0</v>
      </c>
      <c r="CG92" s="675">
        <v>0</v>
      </c>
      <c r="CH92" s="675">
        <v>283567</v>
      </c>
      <c r="CI92" s="675">
        <v>0</v>
      </c>
      <c r="CJ92" s="675">
        <v>4</v>
      </c>
      <c r="CK92" s="675">
        <v>0</v>
      </c>
      <c r="CL92" s="675">
        <v>0</v>
      </c>
      <c r="CM92" s="675">
        <v>0</v>
      </c>
      <c r="CN92" s="675">
        <v>0</v>
      </c>
      <c r="CO92" s="675">
        <v>0</v>
      </c>
      <c r="CP92" s="675">
        <v>0</v>
      </c>
      <c r="CQ92" s="675">
        <v>7.6670000000000007</v>
      </c>
      <c r="CR92" s="675">
        <v>1260.934</v>
      </c>
      <c r="CS92" s="675">
        <v>0</v>
      </c>
      <c r="CT92" s="675">
        <v>0</v>
      </c>
      <c r="CU92" s="675">
        <v>0</v>
      </c>
      <c r="CV92" s="675">
        <v>0</v>
      </c>
      <c r="CW92" s="675">
        <v>0</v>
      </c>
      <c r="CX92" s="675">
        <v>0</v>
      </c>
      <c r="CY92" s="675">
        <v>0</v>
      </c>
      <c r="CZ92" s="675">
        <v>0</v>
      </c>
      <c r="DA92" s="675">
        <v>1</v>
      </c>
      <c r="DB92" s="675">
        <v>7842956</v>
      </c>
      <c r="DC92" s="675">
        <v>0</v>
      </c>
      <c r="DD92" s="675">
        <v>0</v>
      </c>
      <c r="DE92" s="675">
        <v>1734411</v>
      </c>
      <c r="DF92" s="675">
        <v>1734411</v>
      </c>
      <c r="DG92" s="675">
        <v>1323.17</v>
      </c>
      <c r="DH92" s="675">
        <v>0</v>
      </c>
      <c r="DI92" s="675">
        <v>0</v>
      </c>
      <c r="DJ92" s="675">
        <v>0</v>
      </c>
      <c r="DK92" s="675">
        <v>5392</v>
      </c>
      <c r="DL92" s="675">
        <v>0</v>
      </c>
      <c r="DM92" s="675">
        <v>607242</v>
      </c>
      <c r="DN92" s="675">
        <v>0</v>
      </c>
      <c r="DO92" s="675">
        <v>0</v>
      </c>
      <c r="DP92" s="675">
        <v>0</v>
      </c>
      <c r="DQ92" s="675">
        <v>0</v>
      </c>
      <c r="DR92" s="675">
        <v>0</v>
      </c>
      <c r="DS92" s="675">
        <v>0</v>
      </c>
      <c r="DT92" s="675">
        <v>0</v>
      </c>
      <c r="DU92" s="675">
        <v>0</v>
      </c>
      <c r="DV92" s="675">
        <v>0</v>
      </c>
      <c r="DW92" s="675">
        <v>0</v>
      </c>
      <c r="DX92" s="675">
        <v>0</v>
      </c>
      <c r="DY92" s="675">
        <v>0</v>
      </c>
      <c r="DZ92" s="675">
        <v>0</v>
      </c>
      <c r="EA92" s="675">
        <v>0</v>
      </c>
      <c r="EB92" s="675">
        <v>0</v>
      </c>
      <c r="EC92" s="675">
        <v>18.792000000000002</v>
      </c>
      <c r="ED92" s="675">
        <v>135479</v>
      </c>
      <c r="EE92" s="675">
        <v>0</v>
      </c>
      <c r="EF92" s="675">
        <v>0</v>
      </c>
      <c r="EG92" s="675">
        <v>0</v>
      </c>
      <c r="EH92" s="675">
        <v>471763</v>
      </c>
      <c r="EI92" s="675">
        <v>0</v>
      </c>
      <c r="EJ92" s="675">
        <v>0</v>
      </c>
      <c r="EK92" s="675">
        <v>18.89</v>
      </c>
      <c r="EL92" s="675">
        <v>0</v>
      </c>
      <c r="EM92" s="675">
        <v>2.7070000000000003</v>
      </c>
      <c r="EN92" s="675">
        <v>1.4380000000000002</v>
      </c>
      <c r="EO92" s="675">
        <v>0</v>
      </c>
      <c r="EP92" s="675">
        <v>0</v>
      </c>
      <c r="EQ92" s="675">
        <v>23.035</v>
      </c>
      <c r="ER92" s="675">
        <v>0</v>
      </c>
      <c r="ES92" s="675">
        <v>71.981000000000009</v>
      </c>
      <c r="ET92" s="675">
        <v>36375</v>
      </c>
      <c r="EU92" s="675">
        <v>477120</v>
      </c>
      <c r="EV92" s="675">
        <v>0</v>
      </c>
      <c r="EW92" s="675">
        <v>0</v>
      </c>
      <c r="EX92" s="675">
        <v>0</v>
      </c>
      <c r="EY92" s="675">
        <v>0</v>
      </c>
      <c r="EZ92" s="675">
        <v>10570705</v>
      </c>
      <c r="FA92" s="675">
        <v>0</v>
      </c>
      <c r="FB92" s="675">
        <v>11047825</v>
      </c>
      <c r="FC92" s="675">
        <v>0.97327799999999998</v>
      </c>
      <c r="FD92" s="675">
        <v>0</v>
      </c>
      <c r="FE92" s="675">
        <v>1622055</v>
      </c>
      <c r="FF92" s="675">
        <v>365528</v>
      </c>
      <c r="FG92" s="675">
        <v>6.1239999999999996E-2</v>
      </c>
      <c r="FH92" s="675">
        <v>5.4803999999999999E-2</v>
      </c>
      <c r="FI92" s="675">
        <v>0</v>
      </c>
      <c r="FJ92" s="675">
        <v>0</v>
      </c>
      <c r="FK92" s="675">
        <v>2087.5430000000001</v>
      </c>
      <c r="FL92" s="675">
        <v>13318975</v>
      </c>
      <c r="FM92" s="675">
        <v>0</v>
      </c>
      <c r="FN92" s="675">
        <v>0</v>
      </c>
      <c r="FO92" s="675">
        <v>24161</v>
      </c>
      <c r="FP92" s="675">
        <v>0</v>
      </c>
      <c r="FQ92" s="675">
        <v>26887</v>
      </c>
      <c r="FR92" s="675">
        <v>24161</v>
      </c>
      <c r="FS92" s="675">
        <v>2726</v>
      </c>
      <c r="FT92" s="675">
        <v>0</v>
      </c>
      <c r="FU92" s="675">
        <v>0</v>
      </c>
      <c r="FV92" s="675">
        <v>0</v>
      </c>
      <c r="FW92" s="675">
        <v>0</v>
      </c>
      <c r="FX92" s="675">
        <v>0</v>
      </c>
      <c r="FY92" s="675">
        <v>0</v>
      </c>
      <c r="FZ92" s="675">
        <v>162</v>
      </c>
      <c r="GA92" s="675">
        <v>3.2360000000000002</v>
      </c>
      <c r="GB92" s="675">
        <v>306158</v>
      </c>
      <c r="GC92" s="675">
        <v>306158</v>
      </c>
      <c r="GD92" s="675">
        <v>34.584000000000003</v>
      </c>
      <c r="GE92" s="675">
        <v>0</v>
      </c>
      <c r="GF92" s="675">
        <v>0</v>
      </c>
      <c r="GG92" s="675">
        <v>0</v>
      </c>
      <c r="GH92" s="675">
        <v>0</v>
      </c>
      <c r="GI92" s="675">
        <v>0</v>
      </c>
      <c r="GJ92" s="675">
        <v>0</v>
      </c>
      <c r="GK92" s="675">
        <v>5152</v>
      </c>
      <c r="GL92" s="675">
        <v>31473</v>
      </c>
      <c r="GM92" s="675">
        <v>0</v>
      </c>
      <c r="GN92" s="675">
        <v>48529</v>
      </c>
      <c r="GO92" s="675">
        <v>0</v>
      </c>
      <c r="GP92" s="675">
        <v>13035408</v>
      </c>
      <c r="GQ92" s="675">
        <v>13035408</v>
      </c>
      <c r="GR92" s="675">
        <v>0</v>
      </c>
      <c r="GS92" s="675">
        <v>0</v>
      </c>
      <c r="GT92" s="675">
        <v>0</v>
      </c>
      <c r="GU92" s="675">
        <v>0</v>
      </c>
      <c r="GV92" s="675">
        <v>0</v>
      </c>
      <c r="GW92" s="675">
        <v>0</v>
      </c>
      <c r="GX92" s="675">
        <v>0</v>
      </c>
      <c r="GY92" s="675">
        <v>0</v>
      </c>
      <c r="GZ92" s="675">
        <v>0</v>
      </c>
      <c r="HA92" s="675">
        <v>0</v>
      </c>
      <c r="HB92" s="675">
        <v>260786259</v>
      </c>
      <c r="HC92" s="675">
        <v>5.0923999999999997E-2</v>
      </c>
      <c r="HD92" s="675">
        <v>247192</v>
      </c>
      <c r="HE92" s="675">
        <v>0</v>
      </c>
      <c r="HF92" s="675">
        <v>0</v>
      </c>
      <c r="HG92" s="675">
        <v>0</v>
      </c>
      <c r="HH92" s="675">
        <v>0</v>
      </c>
      <c r="HI92" s="675">
        <v>0</v>
      </c>
      <c r="HJ92" s="675">
        <v>0</v>
      </c>
      <c r="HK92" s="675">
        <v>0</v>
      </c>
      <c r="HL92" s="675">
        <v>0</v>
      </c>
      <c r="HM92" s="675">
        <v>0</v>
      </c>
      <c r="HN92" s="675">
        <v>0</v>
      </c>
      <c r="HO92" s="675">
        <v>0</v>
      </c>
      <c r="HP92" s="675">
        <v>0</v>
      </c>
      <c r="HQ92" s="675">
        <v>0</v>
      </c>
      <c r="HR92" s="675">
        <v>0</v>
      </c>
      <c r="HS92" s="675">
        <v>0</v>
      </c>
      <c r="HT92" s="675">
        <v>0</v>
      </c>
      <c r="HU92" s="675">
        <v>0</v>
      </c>
      <c r="HV92" s="675">
        <v>0</v>
      </c>
      <c r="HW92" s="675">
        <v>0</v>
      </c>
      <c r="HX92" s="675">
        <v>0</v>
      </c>
      <c r="HY92" s="675">
        <v>0</v>
      </c>
      <c r="HZ92" s="675">
        <v>0</v>
      </c>
      <c r="IA92" s="675">
        <v>0</v>
      </c>
      <c r="IB92" s="675">
        <v>0</v>
      </c>
      <c r="IC92" s="675">
        <v>0</v>
      </c>
      <c r="ID92" s="675">
        <v>0</v>
      </c>
      <c r="IE92" s="675">
        <v>0</v>
      </c>
      <c r="IF92" s="675">
        <v>0</v>
      </c>
      <c r="IG92" s="675">
        <v>0</v>
      </c>
      <c r="IH92" s="675">
        <v>0</v>
      </c>
      <c r="II92" s="675">
        <v>0</v>
      </c>
      <c r="IJ92" s="675">
        <v>0</v>
      </c>
      <c r="IK92" s="675">
        <v>0</v>
      </c>
      <c r="IL92" s="675">
        <v>0</v>
      </c>
      <c r="IM92" s="675">
        <v>0</v>
      </c>
      <c r="IN92" s="675">
        <v>0</v>
      </c>
      <c r="IO92" s="675">
        <v>0</v>
      </c>
      <c r="IP92" s="675">
        <v>0</v>
      </c>
      <c r="IQ92" s="675">
        <v>0</v>
      </c>
      <c r="IR92" s="675">
        <v>0</v>
      </c>
      <c r="IS92" s="675">
        <v>0</v>
      </c>
      <c r="IT92" s="675">
        <v>0</v>
      </c>
      <c r="IU92" s="675">
        <v>0</v>
      </c>
      <c r="IV92" s="675">
        <v>0</v>
      </c>
      <c r="IW92" s="675">
        <v>0</v>
      </c>
      <c r="IX92" s="675">
        <v>0</v>
      </c>
      <c r="IY92" s="675">
        <v>0</v>
      </c>
      <c r="IZ92" s="675">
        <v>0</v>
      </c>
      <c r="JA92" s="675">
        <v>0</v>
      </c>
      <c r="JB92" s="675">
        <v>0</v>
      </c>
      <c r="JC92" s="675">
        <v>0</v>
      </c>
      <c r="JD92" s="675">
        <v>0</v>
      </c>
      <c r="JE92" s="675">
        <v>0</v>
      </c>
      <c r="JF92" s="675">
        <v>0</v>
      </c>
      <c r="JG92" s="675">
        <v>0</v>
      </c>
      <c r="JH92" s="675">
        <v>0</v>
      </c>
      <c r="JI92" s="675">
        <v>0</v>
      </c>
      <c r="JJ92" s="675">
        <v>0</v>
      </c>
      <c r="JK92" s="675">
        <v>0</v>
      </c>
      <c r="JL92" s="675">
        <v>0</v>
      </c>
      <c r="JM92" s="675">
        <v>0</v>
      </c>
      <c r="JN92" s="675">
        <v>32469</v>
      </c>
      <c r="JO92" s="675">
        <v>0</v>
      </c>
      <c r="JP92" s="675">
        <v>0</v>
      </c>
      <c r="JQ92" s="675">
        <v>0</v>
      </c>
      <c r="JR92" s="675">
        <v>0</v>
      </c>
      <c r="JS92" s="675">
        <v>0</v>
      </c>
      <c r="JT92" s="675">
        <v>0</v>
      </c>
      <c r="JU92" s="675">
        <v>0</v>
      </c>
      <c r="JV92" s="675">
        <v>0</v>
      </c>
      <c r="JW92" s="675">
        <v>0</v>
      </c>
      <c r="JX92" s="675">
        <v>0</v>
      </c>
      <c r="JY92" s="675">
        <v>0</v>
      </c>
      <c r="JZ92" s="675">
        <v>0</v>
      </c>
      <c r="KA92" s="675">
        <v>0</v>
      </c>
      <c r="KB92" s="675">
        <v>0</v>
      </c>
      <c r="KC92" s="675">
        <v>0</v>
      </c>
      <c r="KD92" s="675">
        <v>0</v>
      </c>
      <c r="KE92" s="675">
        <v>0</v>
      </c>
      <c r="KF92" s="675">
        <v>0</v>
      </c>
    </row>
    <row r="93" spans="1:292" x14ac:dyDescent="0.25">
      <c r="A93" s="675">
        <v>101810</v>
      </c>
      <c r="B93" s="675">
        <v>32570</v>
      </c>
      <c r="C93" s="675">
        <v>35</v>
      </c>
      <c r="D93" s="675">
        <v>2022</v>
      </c>
      <c r="E93" s="675">
        <v>5392</v>
      </c>
      <c r="F93" s="675">
        <v>0</v>
      </c>
      <c r="G93" s="675">
        <v>698.21600000000001</v>
      </c>
      <c r="H93" s="675">
        <v>697.40500000000009</v>
      </c>
      <c r="I93" s="675">
        <v>697.40500000000009</v>
      </c>
      <c r="J93" s="675">
        <v>698.21600000000001</v>
      </c>
      <c r="K93" s="675">
        <v>0</v>
      </c>
      <c r="L93" s="675">
        <v>6554</v>
      </c>
      <c r="M93" s="675">
        <v>0</v>
      </c>
      <c r="N93" s="675">
        <v>0</v>
      </c>
      <c r="O93" s="675">
        <v>0</v>
      </c>
      <c r="P93" s="675">
        <v>645.45299999999997</v>
      </c>
      <c r="Q93" s="675">
        <v>0</v>
      </c>
      <c r="R93" s="675">
        <v>206360</v>
      </c>
      <c r="S93" s="675">
        <v>319.71300000000002</v>
      </c>
      <c r="T93" s="675">
        <v>0</v>
      </c>
      <c r="U93" s="675">
        <v>206360</v>
      </c>
      <c r="V93" s="675">
        <v>381.45699999999999</v>
      </c>
      <c r="W93" s="675">
        <v>250007</v>
      </c>
      <c r="X93" s="675">
        <v>250007</v>
      </c>
      <c r="Y93" s="675">
        <v>0</v>
      </c>
      <c r="Z93" s="675">
        <v>0</v>
      </c>
      <c r="AA93" s="675">
        <v>1</v>
      </c>
      <c r="AB93" s="675">
        <v>1</v>
      </c>
      <c r="AC93" s="675">
        <v>0</v>
      </c>
      <c r="AD93" s="675" t="s">
        <v>316</v>
      </c>
      <c r="AE93" s="675">
        <v>0</v>
      </c>
      <c r="AF93" s="675">
        <v>0</v>
      </c>
      <c r="AG93" s="675">
        <v>0</v>
      </c>
      <c r="AH93" s="675">
        <v>0</v>
      </c>
      <c r="AI93" s="675">
        <v>0</v>
      </c>
      <c r="AJ93" s="675">
        <v>5104</v>
      </c>
      <c r="AK93" s="675" t="s">
        <v>671</v>
      </c>
      <c r="AL93" s="675" t="s">
        <v>344</v>
      </c>
      <c r="AM93" s="675">
        <v>0</v>
      </c>
      <c r="AN93" s="675">
        <v>0</v>
      </c>
      <c r="AO93" s="675">
        <v>0</v>
      </c>
      <c r="AP93" s="675">
        <v>0</v>
      </c>
      <c r="AQ93" s="675">
        <v>0</v>
      </c>
      <c r="AR93" s="675">
        <v>0</v>
      </c>
      <c r="AS93" s="675">
        <v>0</v>
      </c>
      <c r="AT93" s="675">
        <v>0</v>
      </c>
      <c r="AU93" s="675">
        <v>0</v>
      </c>
      <c r="AV93" s="675">
        <v>265403</v>
      </c>
      <c r="AW93" s="675">
        <v>6932790</v>
      </c>
      <c r="AX93" s="675">
        <v>6790562</v>
      </c>
      <c r="AY93" s="675">
        <v>7757970</v>
      </c>
      <c r="AZ93" s="675">
        <v>206360</v>
      </c>
      <c r="BA93" s="675">
        <v>9.25</v>
      </c>
      <c r="BB93" s="675">
        <v>0</v>
      </c>
      <c r="BC93" s="675">
        <v>0</v>
      </c>
      <c r="BD93" s="675">
        <v>0</v>
      </c>
      <c r="BE93" s="675">
        <v>0</v>
      </c>
      <c r="BF93" s="675">
        <v>5763500</v>
      </c>
      <c r="BG93" s="675">
        <v>0</v>
      </c>
      <c r="BH93" s="675">
        <v>0</v>
      </c>
      <c r="BI93" s="675">
        <v>0</v>
      </c>
      <c r="BJ93" s="675">
        <v>12</v>
      </c>
      <c r="BK93" s="675">
        <v>0</v>
      </c>
      <c r="BL93" s="675">
        <v>0</v>
      </c>
      <c r="BM93" s="675">
        <v>0</v>
      </c>
      <c r="BN93" s="675">
        <v>0</v>
      </c>
      <c r="BO93" s="675">
        <v>0</v>
      </c>
      <c r="BP93" s="675">
        <v>0</v>
      </c>
      <c r="BQ93" s="675">
        <v>5392</v>
      </c>
      <c r="BR93" s="675">
        <v>1</v>
      </c>
      <c r="BS93" s="675">
        <v>0</v>
      </c>
      <c r="BT93" s="675">
        <v>0</v>
      </c>
      <c r="BU93" s="675">
        <v>0</v>
      </c>
      <c r="BV93" s="675">
        <v>0</v>
      </c>
      <c r="BW93" s="675">
        <v>0</v>
      </c>
      <c r="BX93" s="675">
        <v>0</v>
      </c>
      <c r="BY93" s="675">
        <v>0</v>
      </c>
      <c r="BZ93" s="675">
        <v>0</v>
      </c>
      <c r="CA93" s="675">
        <v>0</v>
      </c>
      <c r="CB93" s="675">
        <v>0</v>
      </c>
      <c r="CC93" s="675">
        <v>0</v>
      </c>
      <c r="CD93" s="675">
        <v>0</v>
      </c>
      <c r="CE93" s="675">
        <v>0</v>
      </c>
      <c r="CF93" s="675">
        <v>0</v>
      </c>
      <c r="CG93" s="675">
        <v>0</v>
      </c>
      <c r="CH93" s="675">
        <v>142228</v>
      </c>
      <c r="CI93" s="675">
        <v>0</v>
      </c>
      <c r="CJ93" s="675">
        <v>4</v>
      </c>
      <c r="CK93" s="675">
        <v>0</v>
      </c>
      <c r="CL93" s="675">
        <v>0</v>
      </c>
      <c r="CM93" s="675">
        <v>0</v>
      </c>
      <c r="CN93" s="675">
        <v>0</v>
      </c>
      <c r="CO93" s="675">
        <v>0</v>
      </c>
      <c r="CP93" s="675">
        <v>0</v>
      </c>
      <c r="CQ93" s="675">
        <v>0</v>
      </c>
      <c r="CR93" s="675">
        <v>645.45299999999997</v>
      </c>
      <c r="CS93" s="675">
        <v>0</v>
      </c>
      <c r="CT93" s="675">
        <v>0</v>
      </c>
      <c r="CU93" s="675">
        <v>0</v>
      </c>
      <c r="CV93" s="675">
        <v>0</v>
      </c>
      <c r="CW93" s="675">
        <v>0</v>
      </c>
      <c r="CX93" s="675">
        <v>0</v>
      </c>
      <c r="CY93" s="675">
        <v>0</v>
      </c>
      <c r="CZ93" s="675">
        <v>0</v>
      </c>
      <c r="DA93" s="675">
        <v>1</v>
      </c>
      <c r="DB93" s="675">
        <v>4570792</v>
      </c>
      <c r="DC93" s="675">
        <v>0</v>
      </c>
      <c r="DD93" s="675">
        <v>0</v>
      </c>
      <c r="DE93" s="675">
        <v>1002762</v>
      </c>
      <c r="DF93" s="675">
        <v>1002762</v>
      </c>
      <c r="DG93" s="675">
        <v>765</v>
      </c>
      <c r="DH93" s="675">
        <v>0</v>
      </c>
      <c r="DI93" s="675">
        <v>0</v>
      </c>
      <c r="DJ93" s="675">
        <v>0</v>
      </c>
      <c r="DK93" s="675">
        <v>5392</v>
      </c>
      <c r="DL93" s="675">
        <v>0</v>
      </c>
      <c r="DM93" s="675">
        <v>98183</v>
      </c>
      <c r="DN93" s="675">
        <v>0</v>
      </c>
      <c r="DO93" s="675">
        <v>0</v>
      </c>
      <c r="DP93" s="675">
        <v>0</v>
      </c>
      <c r="DQ93" s="675">
        <v>0</v>
      </c>
      <c r="DR93" s="675">
        <v>0</v>
      </c>
      <c r="DS93" s="675">
        <v>0</v>
      </c>
      <c r="DT93" s="675">
        <v>0</v>
      </c>
      <c r="DU93" s="675">
        <v>0</v>
      </c>
      <c r="DV93" s="675">
        <v>0</v>
      </c>
      <c r="DW93" s="675">
        <v>0</v>
      </c>
      <c r="DX93" s="675">
        <v>0</v>
      </c>
      <c r="DY93" s="675">
        <v>0</v>
      </c>
      <c r="DZ93" s="675">
        <v>0</v>
      </c>
      <c r="EA93" s="675">
        <v>0</v>
      </c>
      <c r="EB93" s="675">
        <v>0</v>
      </c>
      <c r="EC93" s="675">
        <v>10.796000000000001</v>
      </c>
      <c r="ED93" s="675">
        <v>77833</v>
      </c>
      <c r="EE93" s="675">
        <v>0</v>
      </c>
      <c r="EF93" s="675">
        <v>0</v>
      </c>
      <c r="EG93" s="675">
        <v>0</v>
      </c>
      <c r="EH93" s="675">
        <v>20350</v>
      </c>
      <c r="EI93" s="675">
        <v>0</v>
      </c>
      <c r="EJ93" s="675">
        <v>0</v>
      </c>
      <c r="EK93" s="675">
        <v>0.47500000000000003</v>
      </c>
      <c r="EL93" s="675">
        <v>0</v>
      </c>
      <c r="EM93" s="675">
        <v>0</v>
      </c>
      <c r="EN93" s="675">
        <v>0.33600000000000002</v>
      </c>
      <c r="EO93" s="675">
        <v>0</v>
      </c>
      <c r="EP93" s="675">
        <v>0</v>
      </c>
      <c r="EQ93" s="675">
        <v>0.81100000000000005</v>
      </c>
      <c r="ER93" s="675">
        <v>0</v>
      </c>
      <c r="ES93" s="675">
        <v>3.105</v>
      </c>
      <c r="ET93" s="675">
        <v>4625</v>
      </c>
      <c r="EU93" s="675">
        <v>206360</v>
      </c>
      <c r="EV93" s="675">
        <v>0</v>
      </c>
      <c r="EW93" s="675">
        <v>0</v>
      </c>
      <c r="EX93" s="675">
        <v>0</v>
      </c>
      <c r="EY93" s="675">
        <v>0</v>
      </c>
      <c r="EZ93" s="675">
        <v>5715384</v>
      </c>
      <c r="FA93" s="675">
        <v>0</v>
      </c>
      <c r="FB93" s="675">
        <v>5921744</v>
      </c>
      <c r="FC93" s="675">
        <v>0.97327799999999998</v>
      </c>
      <c r="FD93" s="675">
        <v>0</v>
      </c>
      <c r="FE93" s="675">
        <v>877447</v>
      </c>
      <c r="FF93" s="675">
        <v>197731</v>
      </c>
      <c r="FG93" s="675">
        <v>6.1239999999999996E-2</v>
      </c>
      <c r="FH93" s="675">
        <v>5.4803999999999999E-2</v>
      </c>
      <c r="FI93" s="675">
        <v>0</v>
      </c>
      <c r="FJ93" s="675">
        <v>0</v>
      </c>
      <c r="FK93" s="675">
        <v>1129.251</v>
      </c>
      <c r="FL93" s="675">
        <v>7139150</v>
      </c>
      <c r="FM93" s="675">
        <v>0</v>
      </c>
      <c r="FN93" s="675">
        <v>0</v>
      </c>
      <c r="FO93" s="675">
        <v>0</v>
      </c>
      <c r="FP93" s="675">
        <v>0</v>
      </c>
      <c r="FQ93" s="675">
        <v>0</v>
      </c>
      <c r="FR93" s="675">
        <v>0</v>
      </c>
      <c r="FS93" s="675">
        <v>0</v>
      </c>
      <c r="FT93" s="675">
        <v>0</v>
      </c>
      <c r="FU93" s="675">
        <v>0</v>
      </c>
      <c r="FV93" s="675">
        <v>0</v>
      </c>
      <c r="FW93" s="675">
        <v>0</v>
      </c>
      <c r="FX93" s="675">
        <v>0</v>
      </c>
      <c r="FY93" s="675">
        <v>0</v>
      </c>
      <c r="FZ93" s="675">
        <v>0</v>
      </c>
      <c r="GA93" s="675">
        <v>0</v>
      </c>
      <c r="GB93" s="675">
        <v>0</v>
      </c>
      <c r="GC93" s="675">
        <v>0</v>
      </c>
      <c r="GD93" s="675">
        <v>0</v>
      </c>
      <c r="GE93" s="675">
        <v>0</v>
      </c>
      <c r="GF93" s="675">
        <v>0</v>
      </c>
      <c r="GG93" s="675">
        <v>0</v>
      </c>
      <c r="GH93" s="675">
        <v>0</v>
      </c>
      <c r="GI93" s="675">
        <v>0</v>
      </c>
      <c r="GJ93" s="675">
        <v>0</v>
      </c>
      <c r="GK93" s="675">
        <v>5173</v>
      </c>
      <c r="GL93" s="675">
        <v>15800</v>
      </c>
      <c r="GM93" s="675">
        <v>0</v>
      </c>
      <c r="GN93" s="675">
        <v>0</v>
      </c>
      <c r="GO93" s="675">
        <v>0</v>
      </c>
      <c r="GP93" s="675">
        <v>6996922</v>
      </c>
      <c r="GQ93" s="675">
        <v>6996922</v>
      </c>
      <c r="GR93" s="675">
        <v>0</v>
      </c>
      <c r="GS93" s="675">
        <v>0</v>
      </c>
      <c r="GT93" s="675">
        <v>0</v>
      </c>
      <c r="GU93" s="675">
        <v>0</v>
      </c>
      <c r="GV93" s="675">
        <v>0</v>
      </c>
      <c r="GW93" s="675">
        <v>0</v>
      </c>
      <c r="GX93" s="675">
        <v>0</v>
      </c>
      <c r="GY93" s="675">
        <v>0</v>
      </c>
      <c r="GZ93" s="675">
        <v>0</v>
      </c>
      <c r="HA93" s="675">
        <v>0</v>
      </c>
      <c r="HB93" s="675">
        <v>260786259</v>
      </c>
      <c r="HC93" s="675">
        <v>5.0923999999999997E-2</v>
      </c>
      <c r="HD93" s="675">
        <v>137603</v>
      </c>
      <c r="HE93" s="675">
        <v>0</v>
      </c>
      <c r="HF93" s="675">
        <v>0</v>
      </c>
      <c r="HG93" s="675">
        <v>0</v>
      </c>
      <c r="HH93" s="675">
        <v>0</v>
      </c>
      <c r="HI93" s="675">
        <v>0</v>
      </c>
      <c r="HJ93" s="675">
        <v>0</v>
      </c>
      <c r="HK93" s="675">
        <v>0</v>
      </c>
      <c r="HL93" s="675">
        <v>0</v>
      </c>
      <c r="HM93" s="675">
        <v>0</v>
      </c>
      <c r="HN93" s="675">
        <v>0</v>
      </c>
      <c r="HO93" s="675">
        <v>0</v>
      </c>
      <c r="HP93" s="675">
        <v>0</v>
      </c>
      <c r="HQ93" s="675">
        <v>0</v>
      </c>
      <c r="HR93" s="675">
        <v>0</v>
      </c>
      <c r="HS93" s="675">
        <v>0</v>
      </c>
      <c r="HT93" s="675">
        <v>0</v>
      </c>
      <c r="HU93" s="675">
        <v>0</v>
      </c>
      <c r="HV93" s="675">
        <v>0</v>
      </c>
      <c r="HW93" s="675">
        <v>0</v>
      </c>
      <c r="HX93" s="675">
        <v>0</v>
      </c>
      <c r="HY93" s="675">
        <v>0</v>
      </c>
      <c r="HZ93" s="675">
        <v>0</v>
      </c>
      <c r="IA93" s="675">
        <v>0</v>
      </c>
      <c r="IB93" s="675">
        <v>0</v>
      </c>
      <c r="IC93" s="675">
        <v>0</v>
      </c>
      <c r="ID93" s="675">
        <v>0</v>
      </c>
      <c r="IE93" s="675">
        <v>0</v>
      </c>
      <c r="IF93" s="675">
        <v>0</v>
      </c>
      <c r="IG93" s="675">
        <v>0</v>
      </c>
      <c r="IH93" s="675">
        <v>0</v>
      </c>
      <c r="II93" s="675">
        <v>0</v>
      </c>
      <c r="IJ93" s="675">
        <v>0</v>
      </c>
      <c r="IK93" s="675">
        <v>0</v>
      </c>
      <c r="IL93" s="675">
        <v>0</v>
      </c>
      <c r="IM93" s="675">
        <v>0</v>
      </c>
      <c r="IN93" s="675">
        <v>0</v>
      </c>
      <c r="IO93" s="675">
        <v>0</v>
      </c>
      <c r="IP93" s="675">
        <v>0</v>
      </c>
      <c r="IQ93" s="675">
        <v>0</v>
      </c>
      <c r="IR93" s="675">
        <v>0</v>
      </c>
      <c r="IS93" s="675">
        <v>0</v>
      </c>
      <c r="IT93" s="675">
        <v>0</v>
      </c>
      <c r="IU93" s="675">
        <v>0</v>
      </c>
      <c r="IV93" s="675">
        <v>0</v>
      </c>
      <c r="IW93" s="675">
        <v>0</v>
      </c>
      <c r="IX93" s="675">
        <v>0</v>
      </c>
      <c r="IY93" s="675">
        <v>0</v>
      </c>
      <c r="IZ93" s="675">
        <v>0</v>
      </c>
      <c r="JA93" s="675">
        <v>0</v>
      </c>
      <c r="JB93" s="675">
        <v>0</v>
      </c>
      <c r="JC93" s="675">
        <v>0</v>
      </c>
      <c r="JD93" s="675">
        <v>0</v>
      </c>
      <c r="JE93" s="675">
        <v>0</v>
      </c>
      <c r="JF93" s="675">
        <v>0</v>
      </c>
      <c r="JG93" s="675">
        <v>0</v>
      </c>
      <c r="JH93" s="675">
        <v>0</v>
      </c>
      <c r="JI93" s="675">
        <v>0</v>
      </c>
      <c r="JJ93" s="675">
        <v>0</v>
      </c>
      <c r="JK93" s="675">
        <v>0</v>
      </c>
      <c r="JL93" s="675">
        <v>0</v>
      </c>
      <c r="JM93" s="675">
        <v>0</v>
      </c>
      <c r="JN93" s="675">
        <v>32469</v>
      </c>
      <c r="JO93" s="675">
        <v>0</v>
      </c>
      <c r="JP93" s="675">
        <v>0</v>
      </c>
      <c r="JQ93" s="675">
        <v>0</v>
      </c>
      <c r="JR93" s="675">
        <v>0</v>
      </c>
      <c r="JS93" s="675">
        <v>0</v>
      </c>
      <c r="JT93" s="675">
        <v>0</v>
      </c>
      <c r="JU93" s="675">
        <v>0</v>
      </c>
      <c r="JV93" s="675">
        <v>0</v>
      </c>
      <c r="JW93" s="675">
        <v>0</v>
      </c>
      <c r="JX93" s="675">
        <v>0</v>
      </c>
      <c r="JY93" s="675">
        <v>0</v>
      </c>
      <c r="JZ93" s="675">
        <v>0</v>
      </c>
      <c r="KA93" s="675">
        <v>0</v>
      </c>
      <c r="KB93" s="675">
        <v>0</v>
      </c>
      <c r="KC93" s="675">
        <v>0</v>
      </c>
      <c r="KD93" s="675">
        <v>0</v>
      </c>
      <c r="KE93" s="675">
        <v>0</v>
      </c>
      <c r="KF93" s="675">
        <v>0</v>
      </c>
    </row>
    <row r="94" spans="1:292" x14ac:dyDescent="0.25">
      <c r="A94" s="675">
        <v>101811</v>
      </c>
      <c r="B94" s="675">
        <v>32570</v>
      </c>
      <c r="C94" s="675">
        <v>35</v>
      </c>
      <c r="D94" s="675">
        <v>2022</v>
      </c>
      <c r="E94" s="675">
        <v>5392</v>
      </c>
      <c r="F94" s="675">
        <v>0</v>
      </c>
      <c r="G94" s="675">
        <v>270.839</v>
      </c>
      <c r="H94" s="675">
        <v>232.452</v>
      </c>
      <c r="I94" s="675">
        <v>232.452</v>
      </c>
      <c r="J94" s="675">
        <v>270.839</v>
      </c>
      <c r="K94" s="675">
        <v>0</v>
      </c>
      <c r="L94" s="675">
        <v>6554</v>
      </c>
      <c r="M94" s="675">
        <v>0</v>
      </c>
      <c r="N94" s="675">
        <v>0</v>
      </c>
      <c r="O94" s="675">
        <v>0</v>
      </c>
      <c r="P94" s="675">
        <v>373.34200000000004</v>
      </c>
      <c r="Q94" s="675">
        <v>0</v>
      </c>
      <c r="R94" s="675">
        <v>119362</v>
      </c>
      <c r="S94" s="675">
        <v>319.71300000000002</v>
      </c>
      <c r="T94" s="675">
        <v>0</v>
      </c>
      <c r="U94" s="675">
        <v>119362</v>
      </c>
      <c r="V94" s="675">
        <v>27.843</v>
      </c>
      <c r="W94" s="675">
        <v>18248</v>
      </c>
      <c r="X94" s="675">
        <v>18248</v>
      </c>
      <c r="Y94" s="675">
        <v>0</v>
      </c>
      <c r="Z94" s="675">
        <v>0</v>
      </c>
      <c r="AA94" s="675">
        <v>1</v>
      </c>
      <c r="AB94" s="675">
        <v>1</v>
      </c>
      <c r="AC94" s="675">
        <v>0</v>
      </c>
      <c r="AD94" s="675" t="s">
        <v>316</v>
      </c>
      <c r="AE94" s="675">
        <v>0</v>
      </c>
      <c r="AF94" s="675">
        <v>0</v>
      </c>
      <c r="AG94" s="675">
        <v>0</v>
      </c>
      <c r="AH94" s="675">
        <v>0</v>
      </c>
      <c r="AI94" s="675">
        <v>0</v>
      </c>
      <c r="AJ94" s="675">
        <v>5104</v>
      </c>
      <c r="AK94" s="675" t="s">
        <v>671</v>
      </c>
      <c r="AL94" s="675" t="s">
        <v>345</v>
      </c>
      <c r="AM94" s="675">
        <v>0</v>
      </c>
      <c r="AN94" s="675">
        <v>0</v>
      </c>
      <c r="AO94" s="675">
        <v>0</v>
      </c>
      <c r="AP94" s="675">
        <v>0</v>
      </c>
      <c r="AQ94" s="675">
        <v>0</v>
      </c>
      <c r="AR94" s="675">
        <v>0</v>
      </c>
      <c r="AS94" s="675">
        <v>0</v>
      </c>
      <c r="AT94" s="675">
        <v>0</v>
      </c>
      <c r="AU94" s="675">
        <v>0</v>
      </c>
      <c r="AV94" s="675">
        <v>216915</v>
      </c>
      <c r="AW94" s="675">
        <v>3574559</v>
      </c>
      <c r="AX94" s="675">
        <v>3461733</v>
      </c>
      <c r="AY94" s="675">
        <v>3567895</v>
      </c>
      <c r="AZ94" s="675">
        <v>178812</v>
      </c>
      <c r="BA94" s="675">
        <v>0</v>
      </c>
      <c r="BB94" s="675">
        <v>0</v>
      </c>
      <c r="BC94" s="675">
        <v>0</v>
      </c>
      <c r="BD94" s="675">
        <v>0</v>
      </c>
      <c r="BE94" s="675">
        <v>0</v>
      </c>
      <c r="BF94" s="675">
        <v>2949817</v>
      </c>
      <c r="BG94" s="675">
        <v>0</v>
      </c>
      <c r="BH94" s="675">
        <v>216.18100000000001</v>
      </c>
      <c r="BI94" s="675">
        <v>59450</v>
      </c>
      <c r="BJ94" s="675">
        <v>12</v>
      </c>
      <c r="BK94" s="675">
        <v>0</v>
      </c>
      <c r="BL94" s="675">
        <v>0</v>
      </c>
      <c r="BM94" s="675">
        <v>0</v>
      </c>
      <c r="BN94" s="675">
        <v>0</v>
      </c>
      <c r="BO94" s="675">
        <v>0</v>
      </c>
      <c r="BP94" s="675">
        <v>0</v>
      </c>
      <c r="BQ94" s="675">
        <v>5392</v>
      </c>
      <c r="BR94" s="675">
        <v>1</v>
      </c>
      <c r="BS94" s="675">
        <v>0</v>
      </c>
      <c r="BT94" s="675">
        <v>0</v>
      </c>
      <c r="BU94" s="675">
        <v>0</v>
      </c>
      <c r="BV94" s="675">
        <v>0</v>
      </c>
      <c r="BW94" s="675">
        <v>0</v>
      </c>
      <c r="BX94" s="675">
        <v>0</v>
      </c>
      <c r="BY94" s="675">
        <v>0</v>
      </c>
      <c r="BZ94" s="675">
        <v>0</v>
      </c>
      <c r="CA94" s="675">
        <v>0</v>
      </c>
      <c r="CB94" s="675">
        <v>0</v>
      </c>
      <c r="CC94" s="675">
        <v>0</v>
      </c>
      <c r="CD94" s="675">
        <v>0</v>
      </c>
      <c r="CE94" s="675">
        <v>0</v>
      </c>
      <c r="CF94" s="675">
        <v>0</v>
      </c>
      <c r="CG94" s="675">
        <v>0</v>
      </c>
      <c r="CH94" s="675">
        <v>53376</v>
      </c>
      <c r="CI94" s="675">
        <v>0</v>
      </c>
      <c r="CJ94" s="675">
        <v>4</v>
      </c>
      <c r="CK94" s="675">
        <v>0</v>
      </c>
      <c r="CL94" s="675">
        <v>0</v>
      </c>
      <c r="CM94" s="675">
        <v>0</v>
      </c>
      <c r="CN94" s="675">
        <v>0</v>
      </c>
      <c r="CO94" s="675">
        <v>0</v>
      </c>
      <c r="CP94" s="675">
        <v>0</v>
      </c>
      <c r="CQ94" s="675">
        <v>0</v>
      </c>
      <c r="CR94" s="675">
        <v>373.34200000000004</v>
      </c>
      <c r="CS94" s="675">
        <v>0</v>
      </c>
      <c r="CT94" s="675">
        <v>0</v>
      </c>
      <c r="CU94" s="675">
        <v>0</v>
      </c>
      <c r="CV94" s="675">
        <v>0</v>
      </c>
      <c r="CW94" s="675">
        <v>0</v>
      </c>
      <c r="CX94" s="675">
        <v>0</v>
      </c>
      <c r="CY94" s="675">
        <v>0</v>
      </c>
      <c r="CZ94" s="675">
        <v>0</v>
      </c>
      <c r="DA94" s="675">
        <v>1</v>
      </c>
      <c r="DB94" s="675">
        <v>1523490</v>
      </c>
      <c r="DC94" s="675">
        <v>0</v>
      </c>
      <c r="DD94" s="675">
        <v>0</v>
      </c>
      <c r="DE94" s="675">
        <v>469699</v>
      </c>
      <c r="DF94" s="675">
        <v>469699</v>
      </c>
      <c r="DG94" s="675">
        <v>358.33</v>
      </c>
      <c r="DH94" s="675">
        <v>0</v>
      </c>
      <c r="DI94" s="675">
        <v>0</v>
      </c>
      <c r="DJ94" s="675">
        <v>0</v>
      </c>
      <c r="DK94" s="675">
        <v>5392</v>
      </c>
      <c r="DL94" s="675">
        <v>0</v>
      </c>
      <c r="DM94" s="675">
        <v>1019371</v>
      </c>
      <c r="DN94" s="675">
        <v>0</v>
      </c>
      <c r="DO94" s="675">
        <v>0</v>
      </c>
      <c r="DP94" s="675">
        <v>0</v>
      </c>
      <c r="DQ94" s="675">
        <v>0</v>
      </c>
      <c r="DR94" s="675">
        <v>0</v>
      </c>
      <c r="DS94" s="675">
        <v>0</v>
      </c>
      <c r="DT94" s="675">
        <v>0</v>
      </c>
      <c r="DU94" s="675">
        <v>0</v>
      </c>
      <c r="DV94" s="675">
        <v>0</v>
      </c>
      <c r="DW94" s="675">
        <v>0</v>
      </c>
      <c r="DX94" s="675">
        <v>0</v>
      </c>
      <c r="DY94" s="675">
        <v>0</v>
      </c>
      <c r="DZ94" s="675">
        <v>0</v>
      </c>
      <c r="EA94" s="675">
        <v>0</v>
      </c>
      <c r="EB94" s="675">
        <v>0.13400000000000001</v>
      </c>
      <c r="EC94" s="675">
        <v>3.512</v>
      </c>
      <c r="ED94" s="675">
        <v>25319</v>
      </c>
      <c r="EE94" s="675">
        <v>0</v>
      </c>
      <c r="EF94" s="675">
        <v>0</v>
      </c>
      <c r="EG94" s="675">
        <v>0.12300000000000001</v>
      </c>
      <c r="EH94" s="675">
        <v>36775</v>
      </c>
      <c r="EI94" s="675">
        <v>957277</v>
      </c>
      <c r="EJ94" s="675">
        <v>36.515000000000001</v>
      </c>
      <c r="EK94" s="675">
        <v>1.103</v>
      </c>
      <c r="EL94" s="675">
        <v>0</v>
      </c>
      <c r="EM94" s="675">
        <v>0.496</v>
      </c>
      <c r="EN94" s="675">
        <v>1.6E-2</v>
      </c>
      <c r="EO94" s="675">
        <v>0</v>
      </c>
      <c r="EP94" s="675">
        <v>0</v>
      </c>
      <c r="EQ94" s="675">
        <v>38.387</v>
      </c>
      <c r="ER94" s="675">
        <v>0</v>
      </c>
      <c r="ES94" s="675">
        <v>5.6110000000000007</v>
      </c>
      <c r="ET94" s="675">
        <v>0</v>
      </c>
      <c r="EU94" s="675">
        <v>178812</v>
      </c>
      <c r="EV94" s="675">
        <v>0</v>
      </c>
      <c r="EW94" s="675">
        <v>0</v>
      </c>
      <c r="EX94" s="675">
        <v>0</v>
      </c>
      <c r="EY94" s="675">
        <v>0</v>
      </c>
      <c r="EZ94" s="675">
        <v>2911446</v>
      </c>
      <c r="FA94" s="675">
        <v>0</v>
      </c>
      <c r="FB94" s="675">
        <v>3090258</v>
      </c>
      <c r="FC94" s="675">
        <v>0.97327799999999998</v>
      </c>
      <c r="FD94" s="675">
        <v>0</v>
      </c>
      <c r="FE94" s="675">
        <v>449086</v>
      </c>
      <c r="FF94" s="675">
        <v>101201</v>
      </c>
      <c r="FG94" s="675">
        <v>6.1239999999999996E-2</v>
      </c>
      <c r="FH94" s="675">
        <v>5.4803999999999999E-2</v>
      </c>
      <c r="FI94" s="675">
        <v>0</v>
      </c>
      <c r="FJ94" s="675">
        <v>0</v>
      </c>
      <c r="FK94" s="675">
        <v>577.96199999999999</v>
      </c>
      <c r="FL94" s="675">
        <v>3693921</v>
      </c>
      <c r="FM94" s="675">
        <v>0</v>
      </c>
      <c r="FN94" s="675">
        <v>0</v>
      </c>
      <c r="FO94" s="675">
        <v>0</v>
      </c>
      <c r="FP94" s="675">
        <v>0</v>
      </c>
      <c r="FQ94" s="675">
        <v>0</v>
      </c>
      <c r="FR94" s="675">
        <v>0</v>
      </c>
      <c r="FS94" s="675">
        <v>0</v>
      </c>
      <c r="FT94" s="675">
        <v>0</v>
      </c>
      <c r="FU94" s="675">
        <v>0</v>
      </c>
      <c r="FV94" s="675">
        <v>0</v>
      </c>
      <c r="FW94" s="675">
        <v>0</v>
      </c>
      <c r="FX94" s="675">
        <v>0</v>
      </c>
      <c r="FY94" s="675">
        <v>0</v>
      </c>
      <c r="FZ94" s="675">
        <v>0</v>
      </c>
      <c r="GA94" s="675">
        <v>0</v>
      </c>
      <c r="GB94" s="675">
        <v>0</v>
      </c>
      <c r="GC94" s="675">
        <v>0</v>
      </c>
      <c r="GD94" s="675">
        <v>0</v>
      </c>
      <c r="GE94" s="675">
        <v>0</v>
      </c>
      <c r="GF94" s="675">
        <v>0</v>
      </c>
      <c r="GG94" s="675">
        <v>0</v>
      </c>
      <c r="GH94" s="675">
        <v>0</v>
      </c>
      <c r="GI94" s="675">
        <v>0</v>
      </c>
      <c r="GJ94" s="675">
        <v>0</v>
      </c>
      <c r="GK94" s="675">
        <v>5121</v>
      </c>
      <c r="GL94" s="675">
        <v>26765</v>
      </c>
      <c r="GM94" s="675">
        <v>0</v>
      </c>
      <c r="GN94" s="675">
        <v>0</v>
      </c>
      <c r="GO94" s="675">
        <v>0</v>
      </c>
      <c r="GP94" s="675">
        <v>3640545</v>
      </c>
      <c r="GQ94" s="675">
        <v>3640545</v>
      </c>
      <c r="GR94" s="675">
        <v>0</v>
      </c>
      <c r="GS94" s="675">
        <v>0</v>
      </c>
      <c r="GT94" s="675">
        <v>0</v>
      </c>
      <c r="GU94" s="675">
        <v>0</v>
      </c>
      <c r="GV94" s="675">
        <v>0</v>
      </c>
      <c r="GW94" s="675">
        <v>0</v>
      </c>
      <c r="GX94" s="675">
        <v>0</v>
      </c>
      <c r="GY94" s="675">
        <v>0</v>
      </c>
      <c r="GZ94" s="675">
        <v>0</v>
      </c>
      <c r="HA94" s="675">
        <v>0</v>
      </c>
      <c r="HB94" s="675">
        <v>260786259</v>
      </c>
      <c r="HC94" s="675">
        <v>5.0923999999999997E-2</v>
      </c>
      <c r="HD94" s="675">
        <v>53376</v>
      </c>
      <c r="HE94" s="675">
        <v>0</v>
      </c>
      <c r="HF94" s="675">
        <v>0</v>
      </c>
      <c r="HG94" s="675">
        <v>0</v>
      </c>
      <c r="HH94" s="675">
        <v>0</v>
      </c>
      <c r="HI94" s="675">
        <v>0</v>
      </c>
      <c r="HJ94" s="675">
        <v>0</v>
      </c>
      <c r="HK94" s="675">
        <v>0</v>
      </c>
      <c r="HL94" s="675">
        <v>0</v>
      </c>
      <c r="HM94" s="675">
        <v>0</v>
      </c>
      <c r="HN94" s="675">
        <v>0</v>
      </c>
      <c r="HO94" s="675">
        <v>0</v>
      </c>
      <c r="HP94" s="675">
        <v>0</v>
      </c>
      <c r="HQ94" s="675">
        <v>0</v>
      </c>
      <c r="HR94" s="675">
        <v>0</v>
      </c>
      <c r="HS94" s="675">
        <v>0</v>
      </c>
      <c r="HT94" s="675">
        <v>0</v>
      </c>
      <c r="HU94" s="675">
        <v>0</v>
      </c>
      <c r="HV94" s="675">
        <v>0</v>
      </c>
      <c r="HW94" s="675">
        <v>0</v>
      </c>
      <c r="HX94" s="675">
        <v>0</v>
      </c>
      <c r="HY94" s="675">
        <v>0</v>
      </c>
      <c r="HZ94" s="675">
        <v>0</v>
      </c>
      <c r="IA94" s="675">
        <v>0</v>
      </c>
      <c r="IB94" s="675">
        <v>0</v>
      </c>
      <c r="IC94" s="675">
        <v>0</v>
      </c>
      <c r="ID94" s="675">
        <v>0</v>
      </c>
      <c r="IE94" s="675">
        <v>0</v>
      </c>
      <c r="IF94" s="675">
        <v>0</v>
      </c>
      <c r="IG94" s="675">
        <v>0</v>
      </c>
      <c r="IH94" s="675">
        <v>0</v>
      </c>
      <c r="II94" s="675">
        <v>0</v>
      </c>
      <c r="IJ94" s="675">
        <v>0</v>
      </c>
      <c r="IK94" s="675">
        <v>0</v>
      </c>
      <c r="IL94" s="675">
        <v>0</v>
      </c>
      <c r="IM94" s="675">
        <v>0</v>
      </c>
      <c r="IN94" s="675">
        <v>0</v>
      </c>
      <c r="IO94" s="675">
        <v>0</v>
      </c>
      <c r="IP94" s="675">
        <v>0</v>
      </c>
      <c r="IQ94" s="675">
        <v>0</v>
      </c>
      <c r="IR94" s="675">
        <v>0</v>
      </c>
      <c r="IS94" s="675">
        <v>0</v>
      </c>
      <c r="IT94" s="675">
        <v>0</v>
      </c>
      <c r="IU94" s="675">
        <v>0</v>
      </c>
      <c r="IV94" s="675">
        <v>0</v>
      </c>
      <c r="IW94" s="675">
        <v>0</v>
      </c>
      <c r="IX94" s="675">
        <v>0</v>
      </c>
      <c r="IY94" s="675">
        <v>0</v>
      </c>
      <c r="IZ94" s="675">
        <v>0</v>
      </c>
      <c r="JA94" s="675">
        <v>0</v>
      </c>
      <c r="JB94" s="675">
        <v>0</v>
      </c>
      <c r="JC94" s="675">
        <v>0</v>
      </c>
      <c r="JD94" s="675">
        <v>0</v>
      </c>
      <c r="JE94" s="675">
        <v>0</v>
      </c>
      <c r="JF94" s="675">
        <v>0</v>
      </c>
      <c r="JG94" s="675">
        <v>0</v>
      </c>
      <c r="JH94" s="675">
        <v>0</v>
      </c>
      <c r="JI94" s="675">
        <v>0</v>
      </c>
      <c r="JJ94" s="675">
        <v>0</v>
      </c>
      <c r="JK94" s="675">
        <v>0</v>
      </c>
      <c r="JL94" s="675">
        <v>0</v>
      </c>
      <c r="JM94" s="675">
        <v>0</v>
      </c>
      <c r="JN94" s="675">
        <v>32469</v>
      </c>
      <c r="JO94" s="675">
        <v>0</v>
      </c>
      <c r="JP94" s="675">
        <v>0</v>
      </c>
      <c r="JQ94" s="675">
        <v>0</v>
      </c>
      <c r="JR94" s="675">
        <v>0</v>
      </c>
      <c r="JS94" s="675">
        <v>0</v>
      </c>
      <c r="JT94" s="675">
        <v>0</v>
      </c>
      <c r="JU94" s="675">
        <v>0</v>
      </c>
      <c r="JV94" s="675">
        <v>0</v>
      </c>
      <c r="JW94" s="675">
        <v>0</v>
      </c>
      <c r="JX94" s="675">
        <v>0</v>
      </c>
      <c r="JY94" s="675">
        <v>0</v>
      </c>
      <c r="JZ94" s="675">
        <v>0</v>
      </c>
      <c r="KA94" s="675">
        <v>0</v>
      </c>
      <c r="KB94" s="675">
        <v>0</v>
      </c>
      <c r="KC94" s="675">
        <v>0</v>
      </c>
      <c r="KD94" s="675">
        <v>0</v>
      </c>
      <c r="KE94" s="675">
        <v>0</v>
      </c>
      <c r="KF94" s="675">
        <v>0</v>
      </c>
    </row>
    <row r="95" spans="1:292" x14ac:dyDescent="0.25">
      <c r="A95" s="675">
        <v>101814</v>
      </c>
      <c r="B95" s="675">
        <v>32570</v>
      </c>
      <c r="C95" s="675">
        <v>35</v>
      </c>
      <c r="D95" s="675">
        <v>2022</v>
      </c>
      <c r="E95" s="675">
        <v>5392</v>
      </c>
      <c r="F95" s="675">
        <v>0</v>
      </c>
      <c r="G95" s="675">
        <v>1401.758</v>
      </c>
      <c r="H95" s="675">
        <v>1391.758</v>
      </c>
      <c r="I95" s="675">
        <v>1391.758</v>
      </c>
      <c r="J95" s="675">
        <v>1401.758</v>
      </c>
      <c r="K95" s="675">
        <v>0</v>
      </c>
      <c r="L95" s="675">
        <v>6554</v>
      </c>
      <c r="M95" s="675">
        <v>0</v>
      </c>
      <c r="N95" s="675">
        <v>0</v>
      </c>
      <c r="O95" s="675">
        <v>0</v>
      </c>
      <c r="P95" s="675">
        <v>1545.4850000000001</v>
      </c>
      <c r="Q95" s="675">
        <v>0</v>
      </c>
      <c r="R95" s="675">
        <v>494112</v>
      </c>
      <c r="S95" s="675">
        <v>319.71300000000002</v>
      </c>
      <c r="T95" s="675">
        <v>0</v>
      </c>
      <c r="U95" s="675">
        <v>494112</v>
      </c>
      <c r="V95" s="675">
        <v>574.66200000000003</v>
      </c>
      <c r="W95" s="675">
        <v>376633</v>
      </c>
      <c r="X95" s="675">
        <v>376633</v>
      </c>
      <c r="Y95" s="675">
        <v>0</v>
      </c>
      <c r="Z95" s="675">
        <v>0</v>
      </c>
      <c r="AA95" s="675">
        <v>1</v>
      </c>
      <c r="AB95" s="675">
        <v>1</v>
      </c>
      <c r="AC95" s="675">
        <v>0</v>
      </c>
      <c r="AD95" s="675" t="s">
        <v>316</v>
      </c>
      <c r="AE95" s="675">
        <v>0</v>
      </c>
      <c r="AF95" s="675">
        <v>0</v>
      </c>
      <c r="AG95" s="675">
        <v>0</v>
      </c>
      <c r="AH95" s="675">
        <v>0</v>
      </c>
      <c r="AI95" s="675">
        <v>0</v>
      </c>
      <c r="AJ95" s="675">
        <v>5104</v>
      </c>
      <c r="AK95" s="675" t="s">
        <v>671</v>
      </c>
      <c r="AL95" s="675" t="s">
        <v>346</v>
      </c>
      <c r="AM95" s="675">
        <v>0</v>
      </c>
      <c r="AN95" s="675">
        <v>0</v>
      </c>
      <c r="AO95" s="675">
        <v>0</v>
      </c>
      <c r="AP95" s="675">
        <v>0</v>
      </c>
      <c r="AQ95" s="675">
        <v>0</v>
      </c>
      <c r="AR95" s="675">
        <v>0</v>
      </c>
      <c r="AS95" s="675">
        <v>0</v>
      </c>
      <c r="AT95" s="675">
        <v>0</v>
      </c>
      <c r="AU95" s="675">
        <v>0</v>
      </c>
      <c r="AV95" s="675">
        <v>749048</v>
      </c>
      <c r="AW95" s="675">
        <v>13840401</v>
      </c>
      <c r="AX95" s="675">
        <v>13806276</v>
      </c>
      <c r="AY95" s="675">
        <v>15104247</v>
      </c>
      <c r="AZ95" s="675">
        <v>494112</v>
      </c>
      <c r="BA95" s="675">
        <v>68.25</v>
      </c>
      <c r="BB95" s="675">
        <v>0</v>
      </c>
      <c r="BC95" s="675">
        <v>0</v>
      </c>
      <c r="BD95" s="675">
        <v>0</v>
      </c>
      <c r="BE95" s="675">
        <v>0</v>
      </c>
      <c r="BF95" s="675">
        <v>11722475</v>
      </c>
      <c r="BG95" s="675">
        <v>0</v>
      </c>
      <c r="BH95" s="675">
        <v>0</v>
      </c>
      <c r="BI95" s="675">
        <v>0</v>
      </c>
      <c r="BJ95" s="675">
        <v>12</v>
      </c>
      <c r="BK95" s="675">
        <v>0</v>
      </c>
      <c r="BL95" s="675">
        <v>0</v>
      </c>
      <c r="BM95" s="675">
        <v>0</v>
      </c>
      <c r="BN95" s="675">
        <v>0</v>
      </c>
      <c r="BO95" s="675">
        <v>0</v>
      </c>
      <c r="BP95" s="675">
        <v>0</v>
      </c>
      <c r="BQ95" s="675">
        <v>5392</v>
      </c>
      <c r="BR95" s="675">
        <v>1</v>
      </c>
      <c r="BS95" s="675">
        <v>0</v>
      </c>
      <c r="BT95" s="675">
        <v>0</v>
      </c>
      <c r="BU95" s="675">
        <v>0</v>
      </c>
      <c r="BV95" s="675">
        <v>0</v>
      </c>
      <c r="BW95" s="675">
        <v>0</v>
      </c>
      <c r="BX95" s="675">
        <v>0</v>
      </c>
      <c r="BY95" s="675">
        <v>0</v>
      </c>
      <c r="BZ95" s="675">
        <v>0</v>
      </c>
      <c r="CA95" s="675">
        <v>0</v>
      </c>
      <c r="CB95" s="675">
        <v>0</v>
      </c>
      <c r="CC95" s="675">
        <v>0</v>
      </c>
      <c r="CD95" s="675">
        <v>0</v>
      </c>
      <c r="CE95" s="675">
        <v>0</v>
      </c>
      <c r="CF95" s="675">
        <v>0</v>
      </c>
      <c r="CG95" s="675">
        <v>0</v>
      </c>
      <c r="CH95" s="675">
        <v>34125</v>
      </c>
      <c r="CI95" s="675">
        <v>0</v>
      </c>
      <c r="CJ95" s="675">
        <v>4</v>
      </c>
      <c r="CK95" s="675">
        <v>0</v>
      </c>
      <c r="CL95" s="675">
        <v>0</v>
      </c>
      <c r="CM95" s="675">
        <v>0</v>
      </c>
      <c r="CN95" s="675">
        <v>0</v>
      </c>
      <c r="CO95" s="675">
        <v>0</v>
      </c>
      <c r="CP95" s="675">
        <v>0</v>
      </c>
      <c r="CQ95" s="675">
        <v>0</v>
      </c>
      <c r="CR95" s="675">
        <v>1545.4850000000001</v>
      </c>
      <c r="CS95" s="675">
        <v>0</v>
      </c>
      <c r="CT95" s="675">
        <v>0</v>
      </c>
      <c r="CU95" s="675">
        <v>0</v>
      </c>
      <c r="CV95" s="675">
        <v>0</v>
      </c>
      <c r="CW95" s="675">
        <v>0</v>
      </c>
      <c r="CX95" s="675">
        <v>0</v>
      </c>
      <c r="CY95" s="675">
        <v>0</v>
      </c>
      <c r="CZ95" s="675">
        <v>0</v>
      </c>
      <c r="DA95" s="675">
        <v>1</v>
      </c>
      <c r="DB95" s="675">
        <v>9121582</v>
      </c>
      <c r="DC95" s="675">
        <v>0</v>
      </c>
      <c r="DD95" s="675">
        <v>0</v>
      </c>
      <c r="DE95" s="675">
        <v>2107989</v>
      </c>
      <c r="DF95" s="675">
        <v>2107989</v>
      </c>
      <c r="DG95" s="675">
        <v>1608.17</v>
      </c>
      <c r="DH95" s="675">
        <v>0</v>
      </c>
      <c r="DI95" s="675">
        <v>0</v>
      </c>
      <c r="DJ95" s="675">
        <v>0</v>
      </c>
      <c r="DK95" s="675">
        <v>5392</v>
      </c>
      <c r="DL95" s="675">
        <v>0</v>
      </c>
      <c r="DM95" s="675">
        <v>438125</v>
      </c>
      <c r="DN95" s="675">
        <v>0</v>
      </c>
      <c r="DO95" s="675">
        <v>0</v>
      </c>
      <c r="DP95" s="675">
        <v>0</v>
      </c>
      <c r="DQ95" s="675">
        <v>0</v>
      </c>
      <c r="DR95" s="675">
        <v>0</v>
      </c>
      <c r="DS95" s="675">
        <v>0</v>
      </c>
      <c r="DT95" s="675">
        <v>0</v>
      </c>
      <c r="DU95" s="675">
        <v>0</v>
      </c>
      <c r="DV95" s="675">
        <v>0</v>
      </c>
      <c r="DW95" s="675">
        <v>0</v>
      </c>
      <c r="DX95" s="675">
        <v>0</v>
      </c>
      <c r="DY95" s="675">
        <v>0</v>
      </c>
      <c r="DZ95" s="675">
        <v>0</v>
      </c>
      <c r="EA95" s="675">
        <v>0</v>
      </c>
      <c r="EB95" s="675">
        <v>0</v>
      </c>
      <c r="EC95" s="675">
        <v>31.684000000000001</v>
      </c>
      <c r="ED95" s="675">
        <v>228423</v>
      </c>
      <c r="EE95" s="675">
        <v>0</v>
      </c>
      <c r="EF95" s="675">
        <v>0</v>
      </c>
      <c r="EG95" s="675">
        <v>0</v>
      </c>
      <c r="EH95" s="675">
        <v>209702</v>
      </c>
      <c r="EI95" s="675">
        <v>0</v>
      </c>
      <c r="EJ95" s="675">
        <v>0</v>
      </c>
      <c r="EK95" s="675">
        <v>9.0020000000000007</v>
      </c>
      <c r="EL95" s="675">
        <v>0</v>
      </c>
      <c r="EM95" s="675">
        <v>0</v>
      </c>
      <c r="EN95" s="675">
        <v>0.998</v>
      </c>
      <c r="EO95" s="675">
        <v>0</v>
      </c>
      <c r="EP95" s="675">
        <v>0</v>
      </c>
      <c r="EQ95" s="675">
        <v>10</v>
      </c>
      <c r="ER95" s="675">
        <v>0</v>
      </c>
      <c r="ES95" s="675">
        <v>31.996000000000002</v>
      </c>
      <c r="ET95" s="675">
        <v>34125</v>
      </c>
      <c r="EU95" s="675">
        <v>494112</v>
      </c>
      <c r="EV95" s="675">
        <v>0</v>
      </c>
      <c r="EW95" s="675">
        <v>0</v>
      </c>
      <c r="EX95" s="675">
        <v>0</v>
      </c>
      <c r="EY95" s="675">
        <v>0</v>
      </c>
      <c r="EZ95" s="675">
        <v>11619454</v>
      </c>
      <c r="FA95" s="675">
        <v>0</v>
      </c>
      <c r="FB95" s="675">
        <v>12113566</v>
      </c>
      <c r="FC95" s="675">
        <v>0.97327799999999998</v>
      </c>
      <c r="FD95" s="675">
        <v>0</v>
      </c>
      <c r="FE95" s="675">
        <v>1784653</v>
      </c>
      <c r="FF95" s="675">
        <v>402169</v>
      </c>
      <c r="FG95" s="675">
        <v>6.1239999999999996E-2</v>
      </c>
      <c r="FH95" s="675">
        <v>5.4803999999999999E-2</v>
      </c>
      <c r="FI95" s="675">
        <v>0</v>
      </c>
      <c r="FJ95" s="675">
        <v>0</v>
      </c>
      <c r="FK95" s="675">
        <v>2296.8020000000001</v>
      </c>
      <c r="FL95" s="675">
        <v>14334513</v>
      </c>
      <c r="FM95" s="675">
        <v>0</v>
      </c>
      <c r="FN95" s="675">
        <v>0</v>
      </c>
      <c r="FO95" s="675">
        <v>69237</v>
      </c>
      <c r="FP95" s="675">
        <v>0</v>
      </c>
      <c r="FQ95" s="675">
        <v>69237</v>
      </c>
      <c r="FR95" s="675">
        <v>69237</v>
      </c>
      <c r="FS95" s="675">
        <v>0</v>
      </c>
      <c r="FT95" s="675">
        <v>0</v>
      </c>
      <c r="FU95" s="675">
        <v>0</v>
      </c>
      <c r="FV95" s="675">
        <v>0</v>
      </c>
      <c r="FW95" s="675">
        <v>0</v>
      </c>
      <c r="FX95" s="675">
        <v>0</v>
      </c>
      <c r="FY95" s="675">
        <v>0</v>
      </c>
      <c r="FZ95" s="675">
        <v>0</v>
      </c>
      <c r="GA95" s="675">
        <v>0</v>
      </c>
      <c r="GB95" s="675">
        <v>0</v>
      </c>
      <c r="GC95" s="675">
        <v>0</v>
      </c>
      <c r="GD95" s="675">
        <v>0</v>
      </c>
      <c r="GE95" s="675">
        <v>0</v>
      </c>
      <c r="GF95" s="675">
        <v>0</v>
      </c>
      <c r="GG95" s="675">
        <v>0</v>
      </c>
      <c r="GH95" s="675">
        <v>0</v>
      </c>
      <c r="GI95" s="675">
        <v>0</v>
      </c>
      <c r="GJ95" s="675">
        <v>0</v>
      </c>
      <c r="GK95" s="675">
        <v>5107</v>
      </c>
      <c r="GL95" s="675">
        <v>43740</v>
      </c>
      <c r="GM95" s="675">
        <v>0</v>
      </c>
      <c r="GN95" s="675">
        <v>119565</v>
      </c>
      <c r="GO95" s="675">
        <v>0</v>
      </c>
      <c r="GP95" s="675">
        <v>14300388</v>
      </c>
      <c r="GQ95" s="675">
        <v>14300388</v>
      </c>
      <c r="GR95" s="675">
        <v>0</v>
      </c>
      <c r="GS95" s="675">
        <v>0</v>
      </c>
      <c r="GT95" s="675">
        <v>0</v>
      </c>
      <c r="GU95" s="675">
        <v>0</v>
      </c>
      <c r="GV95" s="675">
        <v>0</v>
      </c>
      <c r="GW95" s="675">
        <v>0</v>
      </c>
      <c r="GX95" s="675">
        <v>0</v>
      </c>
      <c r="GY95" s="675">
        <v>0</v>
      </c>
      <c r="GZ95" s="675">
        <v>0</v>
      </c>
      <c r="HA95" s="675">
        <v>0</v>
      </c>
      <c r="HB95" s="675">
        <v>0</v>
      </c>
      <c r="HC95" s="675">
        <v>0</v>
      </c>
      <c r="HD95" s="675">
        <v>0</v>
      </c>
      <c r="HE95" s="675">
        <v>0</v>
      </c>
      <c r="HF95" s="675">
        <v>0</v>
      </c>
      <c r="HG95" s="675">
        <v>0</v>
      </c>
      <c r="HH95" s="675">
        <v>0</v>
      </c>
      <c r="HI95" s="675">
        <v>0</v>
      </c>
      <c r="HJ95" s="675">
        <v>0</v>
      </c>
      <c r="HK95" s="675">
        <v>0</v>
      </c>
      <c r="HL95" s="675">
        <v>0</v>
      </c>
      <c r="HM95" s="675">
        <v>0</v>
      </c>
      <c r="HN95" s="675">
        <v>0</v>
      </c>
      <c r="HO95" s="675">
        <v>0</v>
      </c>
      <c r="HP95" s="675">
        <v>0</v>
      </c>
      <c r="HQ95" s="675">
        <v>0</v>
      </c>
      <c r="HR95" s="675">
        <v>0</v>
      </c>
      <c r="HS95" s="675">
        <v>0</v>
      </c>
      <c r="HT95" s="675">
        <v>0</v>
      </c>
      <c r="HU95" s="675">
        <v>0</v>
      </c>
      <c r="HV95" s="675">
        <v>0</v>
      </c>
      <c r="HW95" s="675">
        <v>0</v>
      </c>
      <c r="HX95" s="675">
        <v>0</v>
      </c>
      <c r="HY95" s="675">
        <v>0</v>
      </c>
      <c r="HZ95" s="675">
        <v>0</v>
      </c>
      <c r="IA95" s="675">
        <v>0</v>
      </c>
      <c r="IB95" s="675">
        <v>0</v>
      </c>
      <c r="IC95" s="675">
        <v>0</v>
      </c>
      <c r="ID95" s="675">
        <v>0</v>
      </c>
      <c r="IE95" s="675">
        <v>0</v>
      </c>
      <c r="IF95" s="675">
        <v>0</v>
      </c>
      <c r="IG95" s="675">
        <v>0</v>
      </c>
      <c r="IH95" s="675">
        <v>0</v>
      </c>
      <c r="II95" s="675">
        <v>0</v>
      </c>
      <c r="IJ95" s="675">
        <v>0</v>
      </c>
      <c r="IK95" s="675">
        <v>0</v>
      </c>
      <c r="IL95" s="675">
        <v>0</v>
      </c>
      <c r="IM95" s="675">
        <v>0</v>
      </c>
      <c r="IN95" s="675">
        <v>0</v>
      </c>
      <c r="IO95" s="675">
        <v>0</v>
      </c>
      <c r="IP95" s="675">
        <v>0</v>
      </c>
      <c r="IQ95" s="675">
        <v>0</v>
      </c>
      <c r="IR95" s="675">
        <v>0</v>
      </c>
      <c r="IS95" s="675">
        <v>0</v>
      </c>
      <c r="IT95" s="675">
        <v>0</v>
      </c>
      <c r="IU95" s="675">
        <v>0</v>
      </c>
      <c r="IV95" s="675">
        <v>0</v>
      </c>
      <c r="IW95" s="675">
        <v>0</v>
      </c>
      <c r="IX95" s="675">
        <v>0</v>
      </c>
      <c r="IY95" s="675">
        <v>0</v>
      </c>
      <c r="IZ95" s="675">
        <v>0</v>
      </c>
      <c r="JA95" s="675">
        <v>0</v>
      </c>
      <c r="JB95" s="675">
        <v>0</v>
      </c>
      <c r="JC95" s="675">
        <v>0</v>
      </c>
      <c r="JD95" s="675">
        <v>0</v>
      </c>
      <c r="JE95" s="675">
        <v>0</v>
      </c>
      <c r="JF95" s="675">
        <v>0</v>
      </c>
      <c r="JG95" s="675">
        <v>0</v>
      </c>
      <c r="JH95" s="675">
        <v>0</v>
      </c>
      <c r="JI95" s="675">
        <v>0</v>
      </c>
      <c r="JJ95" s="675">
        <v>0</v>
      </c>
      <c r="JK95" s="675">
        <v>0</v>
      </c>
      <c r="JL95" s="675">
        <v>0</v>
      </c>
      <c r="JM95" s="675">
        <v>0</v>
      </c>
      <c r="JN95" s="675">
        <v>32469</v>
      </c>
      <c r="JO95" s="675">
        <v>0</v>
      </c>
      <c r="JP95" s="675">
        <v>0</v>
      </c>
      <c r="JQ95" s="675">
        <v>0</v>
      </c>
      <c r="JR95" s="675">
        <v>0</v>
      </c>
      <c r="JS95" s="675">
        <v>0</v>
      </c>
      <c r="JT95" s="675">
        <v>0</v>
      </c>
      <c r="JU95" s="675">
        <v>0</v>
      </c>
      <c r="JV95" s="675">
        <v>0</v>
      </c>
      <c r="JW95" s="675">
        <v>0</v>
      </c>
      <c r="JX95" s="675">
        <v>0</v>
      </c>
      <c r="JY95" s="675">
        <v>0</v>
      </c>
      <c r="JZ95" s="675">
        <v>0</v>
      </c>
      <c r="KA95" s="675">
        <v>0</v>
      </c>
      <c r="KB95" s="675">
        <v>0</v>
      </c>
      <c r="KC95" s="675">
        <v>0</v>
      </c>
      <c r="KD95" s="675">
        <v>0</v>
      </c>
      <c r="KE95" s="675">
        <v>0</v>
      </c>
      <c r="KF95" s="675">
        <v>0</v>
      </c>
    </row>
    <row r="96" spans="1:292" x14ac:dyDescent="0.25">
      <c r="A96" s="675">
        <v>101815</v>
      </c>
      <c r="B96" s="675">
        <v>32570</v>
      </c>
      <c r="C96" s="675">
        <v>35</v>
      </c>
      <c r="D96" s="675">
        <v>2022</v>
      </c>
      <c r="E96" s="675">
        <v>5392</v>
      </c>
      <c r="F96" s="675">
        <v>0</v>
      </c>
      <c r="G96" s="675">
        <v>266.61799999999999</v>
      </c>
      <c r="H96" s="675">
        <v>266.40600000000001</v>
      </c>
      <c r="I96" s="675">
        <v>266.40600000000001</v>
      </c>
      <c r="J96" s="675">
        <v>266.61799999999999</v>
      </c>
      <c r="K96" s="675">
        <v>0</v>
      </c>
      <c r="L96" s="675">
        <v>6554</v>
      </c>
      <c r="M96" s="675">
        <v>0</v>
      </c>
      <c r="N96" s="675">
        <v>0</v>
      </c>
      <c r="O96" s="675">
        <v>0</v>
      </c>
      <c r="P96" s="675">
        <v>233.095</v>
      </c>
      <c r="Q96" s="675">
        <v>0</v>
      </c>
      <c r="R96" s="675">
        <v>74524</v>
      </c>
      <c r="S96" s="675">
        <v>319.71300000000002</v>
      </c>
      <c r="T96" s="675">
        <v>0</v>
      </c>
      <c r="U96" s="675">
        <v>74524</v>
      </c>
      <c r="V96" s="675">
        <v>206.42700000000002</v>
      </c>
      <c r="W96" s="675">
        <v>135292</v>
      </c>
      <c r="X96" s="675">
        <v>135292</v>
      </c>
      <c r="Y96" s="675">
        <v>0</v>
      </c>
      <c r="Z96" s="675">
        <v>0</v>
      </c>
      <c r="AA96" s="675">
        <v>1</v>
      </c>
      <c r="AB96" s="675">
        <v>1</v>
      </c>
      <c r="AC96" s="675">
        <v>0</v>
      </c>
      <c r="AD96" s="675" t="s">
        <v>316</v>
      </c>
      <c r="AE96" s="675">
        <v>0</v>
      </c>
      <c r="AF96" s="675">
        <v>0</v>
      </c>
      <c r="AG96" s="675">
        <v>0</v>
      </c>
      <c r="AH96" s="675">
        <v>0</v>
      </c>
      <c r="AI96" s="675">
        <v>0</v>
      </c>
      <c r="AJ96" s="675">
        <v>5104</v>
      </c>
      <c r="AK96" s="675" t="s">
        <v>671</v>
      </c>
      <c r="AL96" s="675" t="s">
        <v>53</v>
      </c>
      <c r="AM96" s="675">
        <v>0</v>
      </c>
      <c r="AN96" s="675">
        <v>0</v>
      </c>
      <c r="AO96" s="675">
        <v>0</v>
      </c>
      <c r="AP96" s="675">
        <v>0</v>
      </c>
      <c r="AQ96" s="675">
        <v>0</v>
      </c>
      <c r="AR96" s="675">
        <v>0</v>
      </c>
      <c r="AS96" s="675">
        <v>0</v>
      </c>
      <c r="AT96" s="675">
        <v>0</v>
      </c>
      <c r="AU96" s="675">
        <v>0</v>
      </c>
      <c r="AV96" s="675">
        <v>18360</v>
      </c>
      <c r="AW96" s="675">
        <v>2716837</v>
      </c>
      <c r="AX96" s="675">
        <v>2655126</v>
      </c>
      <c r="AY96" s="675">
        <v>2918213</v>
      </c>
      <c r="AZ96" s="675">
        <v>74524</v>
      </c>
      <c r="BA96" s="675">
        <v>18.083000000000002</v>
      </c>
      <c r="BB96" s="675">
        <v>0</v>
      </c>
      <c r="BC96" s="675">
        <v>0</v>
      </c>
      <c r="BD96" s="675">
        <v>0</v>
      </c>
      <c r="BE96" s="675">
        <v>0</v>
      </c>
      <c r="BF96" s="675">
        <v>2248466</v>
      </c>
      <c r="BG96" s="675">
        <v>0</v>
      </c>
      <c r="BH96" s="675">
        <v>0</v>
      </c>
      <c r="BI96" s="675">
        <v>0</v>
      </c>
      <c r="BJ96" s="675">
        <v>12</v>
      </c>
      <c r="BK96" s="675">
        <v>0</v>
      </c>
      <c r="BL96" s="675">
        <v>0</v>
      </c>
      <c r="BM96" s="675">
        <v>0</v>
      </c>
      <c r="BN96" s="675">
        <v>0</v>
      </c>
      <c r="BO96" s="675">
        <v>0</v>
      </c>
      <c r="BP96" s="675">
        <v>0</v>
      </c>
      <c r="BQ96" s="675">
        <v>5392</v>
      </c>
      <c r="BR96" s="675">
        <v>1</v>
      </c>
      <c r="BS96" s="675">
        <v>0</v>
      </c>
      <c r="BT96" s="675">
        <v>0</v>
      </c>
      <c r="BU96" s="675">
        <v>0</v>
      </c>
      <c r="BV96" s="675">
        <v>0</v>
      </c>
      <c r="BW96" s="675">
        <v>0</v>
      </c>
      <c r="BX96" s="675">
        <v>0</v>
      </c>
      <c r="BY96" s="675">
        <v>0</v>
      </c>
      <c r="BZ96" s="675">
        <v>0</v>
      </c>
      <c r="CA96" s="675">
        <v>0</v>
      </c>
      <c r="CB96" s="675">
        <v>0</v>
      </c>
      <c r="CC96" s="675">
        <v>0</v>
      </c>
      <c r="CD96" s="675">
        <v>0</v>
      </c>
      <c r="CE96" s="675">
        <v>0</v>
      </c>
      <c r="CF96" s="675">
        <v>0</v>
      </c>
      <c r="CG96" s="675">
        <v>0</v>
      </c>
      <c r="CH96" s="675">
        <v>61711</v>
      </c>
      <c r="CI96" s="675">
        <v>0</v>
      </c>
      <c r="CJ96" s="675">
        <v>4</v>
      </c>
      <c r="CK96" s="675">
        <v>0</v>
      </c>
      <c r="CL96" s="675">
        <v>0</v>
      </c>
      <c r="CM96" s="675">
        <v>0</v>
      </c>
      <c r="CN96" s="675">
        <v>0</v>
      </c>
      <c r="CO96" s="675">
        <v>0</v>
      </c>
      <c r="CP96" s="675">
        <v>0</v>
      </c>
      <c r="CQ96" s="675">
        <v>0.5</v>
      </c>
      <c r="CR96" s="675">
        <v>233.095</v>
      </c>
      <c r="CS96" s="675">
        <v>0</v>
      </c>
      <c r="CT96" s="675">
        <v>0</v>
      </c>
      <c r="CU96" s="675">
        <v>0</v>
      </c>
      <c r="CV96" s="675">
        <v>0</v>
      </c>
      <c r="CW96" s="675">
        <v>0</v>
      </c>
      <c r="CX96" s="675">
        <v>0</v>
      </c>
      <c r="CY96" s="675">
        <v>0</v>
      </c>
      <c r="CZ96" s="675">
        <v>0</v>
      </c>
      <c r="DA96" s="675">
        <v>1</v>
      </c>
      <c r="DB96" s="675">
        <v>1746025</v>
      </c>
      <c r="DC96" s="675">
        <v>0</v>
      </c>
      <c r="DD96" s="675">
        <v>0</v>
      </c>
      <c r="DE96" s="675">
        <v>332511</v>
      </c>
      <c r="DF96" s="675">
        <v>332511</v>
      </c>
      <c r="DG96" s="675">
        <v>253.67000000000002</v>
      </c>
      <c r="DH96" s="675">
        <v>0</v>
      </c>
      <c r="DI96" s="675">
        <v>0</v>
      </c>
      <c r="DJ96" s="675">
        <v>0</v>
      </c>
      <c r="DK96" s="675">
        <v>5392</v>
      </c>
      <c r="DL96" s="675">
        <v>0</v>
      </c>
      <c r="DM96" s="675">
        <v>96372</v>
      </c>
      <c r="DN96" s="675">
        <v>0</v>
      </c>
      <c r="DO96" s="675">
        <v>0</v>
      </c>
      <c r="DP96" s="675">
        <v>0</v>
      </c>
      <c r="DQ96" s="675">
        <v>0</v>
      </c>
      <c r="DR96" s="675">
        <v>0</v>
      </c>
      <c r="DS96" s="675">
        <v>0</v>
      </c>
      <c r="DT96" s="675">
        <v>0</v>
      </c>
      <c r="DU96" s="675">
        <v>0</v>
      </c>
      <c r="DV96" s="675">
        <v>0</v>
      </c>
      <c r="DW96" s="675">
        <v>0</v>
      </c>
      <c r="DX96" s="675">
        <v>0</v>
      </c>
      <c r="DY96" s="675">
        <v>0</v>
      </c>
      <c r="DZ96" s="675">
        <v>0</v>
      </c>
      <c r="EA96" s="675">
        <v>0</v>
      </c>
      <c r="EB96" s="675">
        <v>0</v>
      </c>
      <c r="EC96" s="675">
        <v>12.404</v>
      </c>
      <c r="ED96" s="675">
        <v>89425</v>
      </c>
      <c r="EE96" s="675">
        <v>0</v>
      </c>
      <c r="EF96" s="675">
        <v>0</v>
      </c>
      <c r="EG96" s="675">
        <v>0</v>
      </c>
      <c r="EH96" s="675">
        <v>6947</v>
      </c>
      <c r="EI96" s="675">
        <v>0</v>
      </c>
      <c r="EJ96" s="675">
        <v>0</v>
      </c>
      <c r="EK96" s="675">
        <v>0</v>
      </c>
      <c r="EL96" s="675">
        <v>0</v>
      </c>
      <c r="EM96" s="675">
        <v>0</v>
      </c>
      <c r="EN96" s="675">
        <v>0.21200000000000002</v>
      </c>
      <c r="EO96" s="675">
        <v>0</v>
      </c>
      <c r="EP96" s="675">
        <v>0</v>
      </c>
      <c r="EQ96" s="675">
        <v>0.21200000000000002</v>
      </c>
      <c r="ER96" s="675">
        <v>0</v>
      </c>
      <c r="ES96" s="675">
        <v>1.06</v>
      </c>
      <c r="ET96" s="675">
        <v>9167</v>
      </c>
      <c r="EU96" s="675">
        <v>74524</v>
      </c>
      <c r="EV96" s="675">
        <v>0</v>
      </c>
      <c r="EW96" s="675">
        <v>0</v>
      </c>
      <c r="EX96" s="675">
        <v>0</v>
      </c>
      <c r="EY96" s="675">
        <v>0</v>
      </c>
      <c r="EZ96" s="675">
        <v>2235676</v>
      </c>
      <c r="FA96" s="675">
        <v>0</v>
      </c>
      <c r="FB96" s="675">
        <v>2310200</v>
      </c>
      <c r="FC96" s="675">
        <v>0.97327799999999998</v>
      </c>
      <c r="FD96" s="675">
        <v>0</v>
      </c>
      <c r="FE96" s="675">
        <v>342311</v>
      </c>
      <c r="FF96" s="675">
        <v>77139</v>
      </c>
      <c r="FG96" s="675">
        <v>6.1239999999999996E-2</v>
      </c>
      <c r="FH96" s="675">
        <v>5.4803999999999999E-2</v>
      </c>
      <c r="FI96" s="675">
        <v>0</v>
      </c>
      <c r="FJ96" s="675">
        <v>0</v>
      </c>
      <c r="FK96" s="675">
        <v>440.54500000000002</v>
      </c>
      <c r="FL96" s="675">
        <v>2791361</v>
      </c>
      <c r="FM96" s="675">
        <v>0</v>
      </c>
      <c r="FN96" s="675">
        <v>0</v>
      </c>
      <c r="FO96" s="675">
        <v>0</v>
      </c>
      <c r="FP96" s="675">
        <v>0</v>
      </c>
      <c r="FQ96" s="675">
        <v>0</v>
      </c>
      <c r="FR96" s="675">
        <v>0</v>
      </c>
      <c r="FS96" s="675">
        <v>0</v>
      </c>
      <c r="FT96" s="675">
        <v>0</v>
      </c>
      <c r="FU96" s="675">
        <v>0</v>
      </c>
      <c r="FV96" s="675">
        <v>0</v>
      </c>
      <c r="FW96" s="675">
        <v>0</v>
      </c>
      <c r="FX96" s="675">
        <v>0</v>
      </c>
      <c r="FY96" s="675">
        <v>0</v>
      </c>
      <c r="FZ96" s="675">
        <v>0</v>
      </c>
      <c r="GA96" s="675">
        <v>0</v>
      </c>
      <c r="GB96" s="675">
        <v>0</v>
      </c>
      <c r="GC96" s="675">
        <v>0</v>
      </c>
      <c r="GD96" s="675">
        <v>0</v>
      </c>
      <c r="GE96" s="675">
        <v>0</v>
      </c>
      <c r="GF96" s="675">
        <v>0</v>
      </c>
      <c r="GG96" s="675">
        <v>0</v>
      </c>
      <c r="GH96" s="675">
        <v>0</v>
      </c>
      <c r="GI96" s="675">
        <v>0</v>
      </c>
      <c r="GJ96" s="675">
        <v>0</v>
      </c>
      <c r="GK96" s="675">
        <v>4975</v>
      </c>
      <c r="GL96" s="675">
        <v>6218</v>
      </c>
      <c r="GM96" s="675">
        <v>0</v>
      </c>
      <c r="GN96" s="675">
        <v>0</v>
      </c>
      <c r="GO96" s="675">
        <v>0</v>
      </c>
      <c r="GP96" s="675">
        <v>2729650</v>
      </c>
      <c r="GQ96" s="675">
        <v>2729650</v>
      </c>
      <c r="GR96" s="675">
        <v>0</v>
      </c>
      <c r="GS96" s="675">
        <v>0</v>
      </c>
      <c r="GT96" s="675">
        <v>0</v>
      </c>
      <c r="GU96" s="675">
        <v>0</v>
      </c>
      <c r="GV96" s="675">
        <v>0</v>
      </c>
      <c r="GW96" s="675">
        <v>0</v>
      </c>
      <c r="GX96" s="675">
        <v>0</v>
      </c>
      <c r="GY96" s="675">
        <v>0</v>
      </c>
      <c r="GZ96" s="675">
        <v>0</v>
      </c>
      <c r="HA96" s="675">
        <v>0</v>
      </c>
      <c r="HB96" s="675">
        <v>260786259</v>
      </c>
      <c r="HC96" s="675">
        <v>5.0923999999999997E-2</v>
      </c>
      <c r="HD96" s="675">
        <v>52544</v>
      </c>
      <c r="HE96" s="675">
        <v>0</v>
      </c>
      <c r="HF96" s="675">
        <v>0</v>
      </c>
      <c r="HG96" s="675">
        <v>0</v>
      </c>
      <c r="HH96" s="675">
        <v>0</v>
      </c>
      <c r="HI96" s="675">
        <v>0</v>
      </c>
      <c r="HJ96" s="675">
        <v>0</v>
      </c>
      <c r="HK96" s="675">
        <v>0</v>
      </c>
      <c r="HL96" s="675">
        <v>0</v>
      </c>
      <c r="HM96" s="675">
        <v>0</v>
      </c>
      <c r="HN96" s="675">
        <v>0</v>
      </c>
      <c r="HO96" s="675">
        <v>0</v>
      </c>
      <c r="HP96" s="675">
        <v>0</v>
      </c>
      <c r="HQ96" s="675">
        <v>0</v>
      </c>
      <c r="HR96" s="675">
        <v>0</v>
      </c>
      <c r="HS96" s="675">
        <v>0</v>
      </c>
      <c r="HT96" s="675">
        <v>0</v>
      </c>
      <c r="HU96" s="675">
        <v>0</v>
      </c>
      <c r="HV96" s="675">
        <v>0</v>
      </c>
      <c r="HW96" s="675">
        <v>0</v>
      </c>
      <c r="HX96" s="675">
        <v>0</v>
      </c>
      <c r="HY96" s="675">
        <v>0</v>
      </c>
      <c r="HZ96" s="675">
        <v>0</v>
      </c>
      <c r="IA96" s="675">
        <v>0</v>
      </c>
      <c r="IB96" s="675">
        <v>0</v>
      </c>
      <c r="IC96" s="675">
        <v>0</v>
      </c>
      <c r="ID96" s="675">
        <v>0</v>
      </c>
      <c r="IE96" s="675">
        <v>0</v>
      </c>
      <c r="IF96" s="675">
        <v>0</v>
      </c>
      <c r="IG96" s="675">
        <v>0</v>
      </c>
      <c r="IH96" s="675">
        <v>0</v>
      </c>
      <c r="II96" s="675">
        <v>0</v>
      </c>
      <c r="IJ96" s="675">
        <v>0</v>
      </c>
      <c r="IK96" s="675">
        <v>0</v>
      </c>
      <c r="IL96" s="675">
        <v>0</v>
      </c>
      <c r="IM96" s="675">
        <v>0</v>
      </c>
      <c r="IN96" s="675">
        <v>0</v>
      </c>
      <c r="IO96" s="675">
        <v>0</v>
      </c>
      <c r="IP96" s="675">
        <v>0</v>
      </c>
      <c r="IQ96" s="675">
        <v>0</v>
      </c>
      <c r="IR96" s="675">
        <v>0</v>
      </c>
      <c r="IS96" s="675">
        <v>0</v>
      </c>
      <c r="IT96" s="675">
        <v>0</v>
      </c>
      <c r="IU96" s="675">
        <v>0</v>
      </c>
      <c r="IV96" s="675">
        <v>0</v>
      </c>
      <c r="IW96" s="675">
        <v>0</v>
      </c>
      <c r="IX96" s="675">
        <v>0</v>
      </c>
      <c r="IY96" s="675">
        <v>0</v>
      </c>
      <c r="IZ96" s="675">
        <v>0</v>
      </c>
      <c r="JA96" s="675">
        <v>0</v>
      </c>
      <c r="JB96" s="675">
        <v>0</v>
      </c>
      <c r="JC96" s="675">
        <v>0</v>
      </c>
      <c r="JD96" s="675">
        <v>0</v>
      </c>
      <c r="JE96" s="675">
        <v>0</v>
      </c>
      <c r="JF96" s="675">
        <v>0</v>
      </c>
      <c r="JG96" s="675">
        <v>0</v>
      </c>
      <c r="JH96" s="675">
        <v>0</v>
      </c>
      <c r="JI96" s="675">
        <v>0</v>
      </c>
      <c r="JJ96" s="675">
        <v>0</v>
      </c>
      <c r="JK96" s="675">
        <v>0</v>
      </c>
      <c r="JL96" s="675">
        <v>0</v>
      </c>
      <c r="JM96" s="675">
        <v>0</v>
      </c>
      <c r="JN96" s="675">
        <v>32469</v>
      </c>
      <c r="JO96" s="675">
        <v>0</v>
      </c>
      <c r="JP96" s="675">
        <v>0</v>
      </c>
      <c r="JQ96" s="675">
        <v>0</v>
      </c>
      <c r="JR96" s="675">
        <v>0</v>
      </c>
      <c r="JS96" s="675">
        <v>0</v>
      </c>
      <c r="JT96" s="675">
        <v>0</v>
      </c>
      <c r="JU96" s="675">
        <v>0</v>
      </c>
      <c r="JV96" s="675">
        <v>0</v>
      </c>
      <c r="JW96" s="675">
        <v>0</v>
      </c>
      <c r="JX96" s="675">
        <v>0</v>
      </c>
      <c r="JY96" s="675">
        <v>0</v>
      </c>
      <c r="JZ96" s="675">
        <v>0</v>
      </c>
      <c r="KA96" s="675">
        <v>0</v>
      </c>
      <c r="KB96" s="675">
        <v>0</v>
      </c>
      <c r="KC96" s="675">
        <v>0</v>
      </c>
      <c r="KD96" s="675">
        <v>0</v>
      </c>
      <c r="KE96" s="675">
        <v>0</v>
      </c>
      <c r="KF96" s="675">
        <v>0</v>
      </c>
    </row>
    <row r="97" spans="1:292" x14ac:dyDescent="0.25">
      <c r="A97" s="675">
        <v>101819</v>
      </c>
      <c r="B97" s="675">
        <v>32570</v>
      </c>
      <c r="C97" s="675">
        <v>35</v>
      </c>
      <c r="D97" s="675">
        <v>2022</v>
      </c>
      <c r="E97" s="675">
        <v>5392</v>
      </c>
      <c r="F97" s="675">
        <v>0</v>
      </c>
      <c r="G97" s="675">
        <v>464.51800000000003</v>
      </c>
      <c r="H97" s="675">
        <v>458.03800000000001</v>
      </c>
      <c r="I97" s="675">
        <v>458.03800000000001</v>
      </c>
      <c r="J97" s="675">
        <v>464.51800000000003</v>
      </c>
      <c r="K97" s="675">
        <v>0</v>
      </c>
      <c r="L97" s="675">
        <v>6554</v>
      </c>
      <c r="M97" s="675">
        <v>0</v>
      </c>
      <c r="N97" s="675">
        <v>0</v>
      </c>
      <c r="O97" s="675">
        <v>0</v>
      </c>
      <c r="P97" s="675">
        <v>453.63200000000001</v>
      </c>
      <c r="Q97" s="675">
        <v>0</v>
      </c>
      <c r="R97" s="675">
        <v>145032</v>
      </c>
      <c r="S97" s="675">
        <v>319.71300000000002</v>
      </c>
      <c r="T97" s="675">
        <v>0</v>
      </c>
      <c r="U97" s="675">
        <v>145032</v>
      </c>
      <c r="V97" s="675">
        <v>383.95600000000002</v>
      </c>
      <c r="W97" s="675">
        <v>251645</v>
      </c>
      <c r="X97" s="675">
        <v>251645</v>
      </c>
      <c r="Y97" s="675">
        <v>0</v>
      </c>
      <c r="Z97" s="675">
        <v>0</v>
      </c>
      <c r="AA97" s="675">
        <v>1</v>
      </c>
      <c r="AB97" s="675">
        <v>1</v>
      </c>
      <c r="AC97" s="675">
        <v>0</v>
      </c>
      <c r="AD97" s="675" t="s">
        <v>316</v>
      </c>
      <c r="AE97" s="675">
        <v>0</v>
      </c>
      <c r="AF97" s="675">
        <v>0</v>
      </c>
      <c r="AG97" s="675">
        <v>0</v>
      </c>
      <c r="AH97" s="675">
        <v>0</v>
      </c>
      <c r="AI97" s="675">
        <v>0</v>
      </c>
      <c r="AJ97" s="675">
        <v>5104</v>
      </c>
      <c r="AK97" s="675" t="s">
        <v>671</v>
      </c>
      <c r="AL97" s="675" t="s">
        <v>347</v>
      </c>
      <c r="AM97" s="675">
        <v>0</v>
      </c>
      <c r="AN97" s="675">
        <v>0</v>
      </c>
      <c r="AO97" s="675">
        <v>0</v>
      </c>
      <c r="AP97" s="675">
        <v>0</v>
      </c>
      <c r="AQ97" s="675">
        <v>0</v>
      </c>
      <c r="AR97" s="675">
        <v>0</v>
      </c>
      <c r="AS97" s="675">
        <v>0</v>
      </c>
      <c r="AT97" s="675">
        <v>0</v>
      </c>
      <c r="AU97" s="675">
        <v>0</v>
      </c>
      <c r="AV97" s="675">
        <v>350553</v>
      </c>
      <c r="AW97" s="675">
        <v>4771334</v>
      </c>
      <c r="AX97" s="675">
        <v>4665350</v>
      </c>
      <c r="AY97" s="675">
        <v>5486543</v>
      </c>
      <c r="AZ97" s="675">
        <v>145032</v>
      </c>
      <c r="BA97" s="675">
        <v>28.5</v>
      </c>
      <c r="BB97" s="675">
        <v>0</v>
      </c>
      <c r="BC97" s="675">
        <v>0</v>
      </c>
      <c r="BD97" s="675">
        <v>0</v>
      </c>
      <c r="BE97" s="675">
        <v>0</v>
      </c>
      <c r="BF97" s="675">
        <v>3962405</v>
      </c>
      <c r="BG97" s="675">
        <v>0</v>
      </c>
      <c r="BH97" s="675">
        <v>0</v>
      </c>
      <c r="BI97" s="675">
        <v>0</v>
      </c>
      <c r="BJ97" s="675">
        <v>12</v>
      </c>
      <c r="BK97" s="675">
        <v>0</v>
      </c>
      <c r="BL97" s="675">
        <v>0</v>
      </c>
      <c r="BM97" s="675">
        <v>0</v>
      </c>
      <c r="BN97" s="675">
        <v>0</v>
      </c>
      <c r="BO97" s="675">
        <v>0</v>
      </c>
      <c r="BP97" s="675">
        <v>0</v>
      </c>
      <c r="BQ97" s="675">
        <v>5392</v>
      </c>
      <c r="BR97" s="675">
        <v>1</v>
      </c>
      <c r="BS97" s="675">
        <v>0</v>
      </c>
      <c r="BT97" s="675">
        <v>0</v>
      </c>
      <c r="BU97" s="675">
        <v>0</v>
      </c>
      <c r="BV97" s="675">
        <v>0</v>
      </c>
      <c r="BW97" s="675">
        <v>0</v>
      </c>
      <c r="BX97" s="675">
        <v>0</v>
      </c>
      <c r="BY97" s="675">
        <v>0</v>
      </c>
      <c r="BZ97" s="675">
        <v>0</v>
      </c>
      <c r="CA97" s="675">
        <v>0</v>
      </c>
      <c r="CB97" s="675">
        <v>0</v>
      </c>
      <c r="CC97" s="675">
        <v>0</v>
      </c>
      <c r="CD97" s="675">
        <v>0</v>
      </c>
      <c r="CE97" s="675">
        <v>0</v>
      </c>
      <c r="CF97" s="675">
        <v>0</v>
      </c>
      <c r="CG97" s="675">
        <v>0</v>
      </c>
      <c r="CH97" s="675">
        <v>105984</v>
      </c>
      <c r="CI97" s="675">
        <v>0</v>
      </c>
      <c r="CJ97" s="675">
        <v>4</v>
      </c>
      <c r="CK97" s="675">
        <v>0</v>
      </c>
      <c r="CL97" s="675">
        <v>0</v>
      </c>
      <c r="CM97" s="675">
        <v>0</v>
      </c>
      <c r="CN97" s="675">
        <v>0</v>
      </c>
      <c r="CO97" s="675">
        <v>0</v>
      </c>
      <c r="CP97" s="675">
        <v>0</v>
      </c>
      <c r="CQ97" s="675">
        <v>0.75</v>
      </c>
      <c r="CR97" s="675">
        <v>453.63200000000001</v>
      </c>
      <c r="CS97" s="675">
        <v>0</v>
      </c>
      <c r="CT97" s="675">
        <v>0</v>
      </c>
      <c r="CU97" s="675">
        <v>0</v>
      </c>
      <c r="CV97" s="675">
        <v>0</v>
      </c>
      <c r="CW97" s="675">
        <v>0</v>
      </c>
      <c r="CX97" s="675">
        <v>0</v>
      </c>
      <c r="CY97" s="675">
        <v>0</v>
      </c>
      <c r="CZ97" s="675">
        <v>0</v>
      </c>
      <c r="DA97" s="675">
        <v>1</v>
      </c>
      <c r="DB97" s="675">
        <v>3001981</v>
      </c>
      <c r="DC97" s="675">
        <v>0</v>
      </c>
      <c r="DD97" s="675">
        <v>0</v>
      </c>
      <c r="DE97" s="675">
        <v>657799</v>
      </c>
      <c r="DF97" s="675">
        <v>657799</v>
      </c>
      <c r="DG97" s="675">
        <v>501.83</v>
      </c>
      <c r="DH97" s="675">
        <v>0</v>
      </c>
      <c r="DI97" s="675">
        <v>0</v>
      </c>
      <c r="DJ97" s="675">
        <v>0</v>
      </c>
      <c r="DK97" s="675">
        <v>5392</v>
      </c>
      <c r="DL97" s="675">
        <v>0</v>
      </c>
      <c r="DM97" s="675">
        <v>159773</v>
      </c>
      <c r="DN97" s="675">
        <v>0</v>
      </c>
      <c r="DO97" s="675">
        <v>0</v>
      </c>
      <c r="DP97" s="675">
        <v>0</v>
      </c>
      <c r="DQ97" s="675">
        <v>0</v>
      </c>
      <c r="DR97" s="675">
        <v>0</v>
      </c>
      <c r="DS97" s="675">
        <v>0</v>
      </c>
      <c r="DT97" s="675">
        <v>0</v>
      </c>
      <c r="DU97" s="675">
        <v>0</v>
      </c>
      <c r="DV97" s="675">
        <v>0</v>
      </c>
      <c r="DW97" s="675">
        <v>0</v>
      </c>
      <c r="DX97" s="675">
        <v>0</v>
      </c>
      <c r="DY97" s="675">
        <v>0</v>
      </c>
      <c r="DZ97" s="675">
        <v>0</v>
      </c>
      <c r="EA97" s="675">
        <v>0</v>
      </c>
      <c r="EB97" s="675">
        <v>0</v>
      </c>
      <c r="EC97" s="675">
        <v>2.7800000000000002</v>
      </c>
      <c r="ED97" s="675">
        <v>20042</v>
      </c>
      <c r="EE97" s="675">
        <v>0</v>
      </c>
      <c r="EF97" s="675">
        <v>0</v>
      </c>
      <c r="EG97" s="675">
        <v>0</v>
      </c>
      <c r="EH97" s="675">
        <v>139731</v>
      </c>
      <c r="EI97" s="675">
        <v>0</v>
      </c>
      <c r="EJ97" s="675">
        <v>0</v>
      </c>
      <c r="EK97" s="675">
        <v>5.0710000000000006</v>
      </c>
      <c r="EL97" s="675">
        <v>0</v>
      </c>
      <c r="EM97" s="675">
        <v>0.46900000000000003</v>
      </c>
      <c r="EN97" s="675">
        <v>0.94000000000000006</v>
      </c>
      <c r="EO97" s="675">
        <v>0</v>
      </c>
      <c r="EP97" s="675">
        <v>0</v>
      </c>
      <c r="EQ97" s="675">
        <v>6.48</v>
      </c>
      <c r="ER97" s="675">
        <v>0</v>
      </c>
      <c r="ES97" s="675">
        <v>21.32</v>
      </c>
      <c r="ET97" s="675">
        <v>14438</v>
      </c>
      <c r="EU97" s="675">
        <v>145032</v>
      </c>
      <c r="EV97" s="675">
        <v>0</v>
      </c>
      <c r="EW97" s="675">
        <v>0</v>
      </c>
      <c r="EX97" s="675">
        <v>0</v>
      </c>
      <c r="EY97" s="675">
        <v>0</v>
      </c>
      <c r="EZ97" s="675">
        <v>3926166</v>
      </c>
      <c r="FA97" s="675">
        <v>0</v>
      </c>
      <c r="FB97" s="675">
        <v>4071198</v>
      </c>
      <c r="FC97" s="675">
        <v>0.97327799999999998</v>
      </c>
      <c r="FD97" s="675">
        <v>0</v>
      </c>
      <c r="FE97" s="675">
        <v>603244</v>
      </c>
      <c r="FF97" s="675">
        <v>135940</v>
      </c>
      <c r="FG97" s="675">
        <v>6.1239999999999996E-2</v>
      </c>
      <c r="FH97" s="675">
        <v>5.4803999999999999E-2</v>
      </c>
      <c r="FI97" s="675">
        <v>0</v>
      </c>
      <c r="FJ97" s="675">
        <v>0</v>
      </c>
      <c r="FK97" s="675">
        <v>776.36</v>
      </c>
      <c r="FL97" s="675">
        <v>4916366</v>
      </c>
      <c r="FM97" s="675">
        <v>0</v>
      </c>
      <c r="FN97" s="675">
        <v>0</v>
      </c>
      <c r="FO97" s="675">
        <v>0</v>
      </c>
      <c r="FP97" s="675">
        <v>0</v>
      </c>
      <c r="FQ97" s="675">
        <v>0</v>
      </c>
      <c r="FR97" s="675">
        <v>0</v>
      </c>
      <c r="FS97" s="675">
        <v>0</v>
      </c>
      <c r="FT97" s="675">
        <v>0</v>
      </c>
      <c r="FU97" s="675">
        <v>0</v>
      </c>
      <c r="FV97" s="675">
        <v>0</v>
      </c>
      <c r="FW97" s="675">
        <v>0</v>
      </c>
      <c r="FX97" s="675">
        <v>0</v>
      </c>
      <c r="FY97" s="675">
        <v>0</v>
      </c>
      <c r="FZ97" s="675">
        <v>0</v>
      </c>
      <c r="GA97" s="675">
        <v>0</v>
      </c>
      <c r="GB97" s="675">
        <v>0</v>
      </c>
      <c r="GC97" s="675">
        <v>0</v>
      </c>
      <c r="GD97" s="675">
        <v>0</v>
      </c>
      <c r="GE97" s="675">
        <v>0</v>
      </c>
      <c r="GF97" s="675">
        <v>0</v>
      </c>
      <c r="GG97" s="675">
        <v>0</v>
      </c>
      <c r="GH97" s="675">
        <v>0</v>
      </c>
      <c r="GI97" s="675">
        <v>0</v>
      </c>
      <c r="GJ97" s="675">
        <v>0</v>
      </c>
      <c r="GK97" s="675">
        <v>5126</v>
      </c>
      <c r="GL97" s="675">
        <v>15602</v>
      </c>
      <c r="GM97" s="675">
        <v>0</v>
      </c>
      <c r="GN97" s="675">
        <v>0</v>
      </c>
      <c r="GO97" s="675">
        <v>0</v>
      </c>
      <c r="GP97" s="675">
        <v>4810382</v>
      </c>
      <c r="GQ97" s="675">
        <v>4810382</v>
      </c>
      <c r="GR97" s="675">
        <v>0</v>
      </c>
      <c r="GS97" s="675">
        <v>0</v>
      </c>
      <c r="GT97" s="675">
        <v>0</v>
      </c>
      <c r="GU97" s="675">
        <v>0</v>
      </c>
      <c r="GV97" s="675">
        <v>0</v>
      </c>
      <c r="GW97" s="675">
        <v>0</v>
      </c>
      <c r="GX97" s="675">
        <v>0</v>
      </c>
      <c r="GY97" s="675">
        <v>0</v>
      </c>
      <c r="GZ97" s="675">
        <v>0</v>
      </c>
      <c r="HA97" s="675">
        <v>0</v>
      </c>
      <c r="HB97" s="675">
        <v>260786259</v>
      </c>
      <c r="HC97" s="675">
        <v>5.0923999999999997E-2</v>
      </c>
      <c r="HD97" s="675">
        <v>91546</v>
      </c>
      <c r="HE97" s="675">
        <v>0</v>
      </c>
      <c r="HF97" s="675">
        <v>0</v>
      </c>
      <c r="HG97" s="675">
        <v>0</v>
      </c>
      <c r="HH97" s="675">
        <v>0</v>
      </c>
      <c r="HI97" s="675">
        <v>0</v>
      </c>
      <c r="HJ97" s="675">
        <v>0</v>
      </c>
      <c r="HK97" s="675">
        <v>0</v>
      </c>
      <c r="HL97" s="675">
        <v>0</v>
      </c>
      <c r="HM97" s="675">
        <v>0</v>
      </c>
      <c r="HN97" s="675">
        <v>0</v>
      </c>
      <c r="HO97" s="675">
        <v>0</v>
      </c>
      <c r="HP97" s="675">
        <v>0</v>
      </c>
      <c r="HQ97" s="675">
        <v>0</v>
      </c>
      <c r="HR97" s="675">
        <v>0</v>
      </c>
      <c r="HS97" s="675">
        <v>0</v>
      </c>
      <c r="HT97" s="675">
        <v>0</v>
      </c>
      <c r="HU97" s="675">
        <v>0</v>
      </c>
      <c r="HV97" s="675">
        <v>0</v>
      </c>
      <c r="HW97" s="675">
        <v>0</v>
      </c>
      <c r="HX97" s="675">
        <v>0</v>
      </c>
      <c r="HY97" s="675">
        <v>0</v>
      </c>
      <c r="HZ97" s="675">
        <v>0</v>
      </c>
      <c r="IA97" s="675">
        <v>0</v>
      </c>
      <c r="IB97" s="675">
        <v>0</v>
      </c>
      <c r="IC97" s="675">
        <v>0</v>
      </c>
      <c r="ID97" s="675">
        <v>0</v>
      </c>
      <c r="IE97" s="675">
        <v>233.29600000000002</v>
      </c>
      <c r="IF97" s="675">
        <v>0</v>
      </c>
      <c r="IG97" s="675">
        <v>0</v>
      </c>
      <c r="IH97" s="675">
        <v>0</v>
      </c>
      <c r="II97" s="675">
        <v>0</v>
      </c>
      <c r="IJ97" s="675">
        <v>0</v>
      </c>
      <c r="IK97" s="675">
        <v>0</v>
      </c>
      <c r="IL97" s="675">
        <v>0</v>
      </c>
      <c r="IM97" s="675">
        <v>0</v>
      </c>
      <c r="IN97" s="675">
        <v>0</v>
      </c>
      <c r="IO97" s="675">
        <v>0</v>
      </c>
      <c r="IP97" s="675">
        <v>0</v>
      </c>
      <c r="IQ97" s="675">
        <v>0</v>
      </c>
      <c r="IR97" s="675">
        <v>0</v>
      </c>
      <c r="IS97" s="675">
        <v>0</v>
      </c>
      <c r="IT97" s="675">
        <v>0</v>
      </c>
      <c r="IU97" s="675">
        <v>0</v>
      </c>
      <c r="IV97" s="675">
        <v>0</v>
      </c>
      <c r="IW97" s="675">
        <v>0</v>
      </c>
      <c r="IX97" s="675">
        <v>0</v>
      </c>
      <c r="IY97" s="675">
        <v>0</v>
      </c>
      <c r="IZ97" s="675">
        <v>0</v>
      </c>
      <c r="JA97" s="675">
        <v>0</v>
      </c>
      <c r="JB97" s="675">
        <v>0</v>
      </c>
      <c r="JC97" s="675">
        <v>0</v>
      </c>
      <c r="JD97" s="675">
        <v>0</v>
      </c>
      <c r="JE97" s="675">
        <v>0</v>
      </c>
      <c r="JF97" s="675">
        <v>0</v>
      </c>
      <c r="JG97" s="675">
        <v>0</v>
      </c>
      <c r="JH97" s="675">
        <v>0</v>
      </c>
      <c r="JI97" s="675">
        <v>0</v>
      </c>
      <c r="JJ97" s="675">
        <v>0</v>
      </c>
      <c r="JK97" s="675">
        <v>0</v>
      </c>
      <c r="JL97" s="675">
        <v>0</v>
      </c>
      <c r="JM97" s="675">
        <v>0</v>
      </c>
      <c r="JN97" s="675">
        <v>32469</v>
      </c>
      <c r="JO97" s="675">
        <v>0</v>
      </c>
      <c r="JP97" s="675">
        <v>0</v>
      </c>
      <c r="JQ97" s="675">
        <v>0</v>
      </c>
      <c r="JR97" s="675">
        <v>0</v>
      </c>
      <c r="JS97" s="675">
        <v>0</v>
      </c>
      <c r="JT97" s="675">
        <v>0</v>
      </c>
      <c r="JU97" s="675">
        <v>0</v>
      </c>
      <c r="JV97" s="675">
        <v>0</v>
      </c>
      <c r="JW97" s="675">
        <v>0</v>
      </c>
      <c r="JX97" s="675">
        <v>0</v>
      </c>
      <c r="JY97" s="675">
        <v>0</v>
      </c>
      <c r="JZ97" s="675">
        <v>0</v>
      </c>
      <c r="KA97" s="675">
        <v>0</v>
      </c>
      <c r="KB97" s="675">
        <v>0</v>
      </c>
      <c r="KC97" s="675">
        <v>0</v>
      </c>
      <c r="KD97" s="675">
        <v>0</v>
      </c>
      <c r="KE97" s="675">
        <v>0</v>
      </c>
      <c r="KF97" s="675">
        <v>0</v>
      </c>
    </row>
    <row r="98" spans="1:292" x14ac:dyDescent="0.25">
      <c r="A98" s="675">
        <v>101821</v>
      </c>
      <c r="B98" s="675">
        <v>32570</v>
      </c>
      <c r="C98" s="675">
        <v>35</v>
      </c>
      <c r="D98" s="675">
        <v>2022</v>
      </c>
      <c r="E98" s="675">
        <v>5392</v>
      </c>
      <c r="F98" s="675">
        <v>0</v>
      </c>
      <c r="G98" s="675">
        <v>164.83100000000002</v>
      </c>
      <c r="H98" s="675">
        <v>141.79400000000001</v>
      </c>
      <c r="I98" s="675">
        <v>141.79400000000001</v>
      </c>
      <c r="J98" s="675">
        <v>164.83100000000002</v>
      </c>
      <c r="K98" s="675">
        <v>0</v>
      </c>
      <c r="L98" s="675">
        <v>6554</v>
      </c>
      <c r="M98" s="675">
        <v>0</v>
      </c>
      <c r="N98" s="675">
        <v>0</v>
      </c>
      <c r="O98" s="675">
        <v>0</v>
      </c>
      <c r="P98" s="675">
        <v>193.67500000000001</v>
      </c>
      <c r="Q98" s="675">
        <v>0</v>
      </c>
      <c r="R98" s="675">
        <v>61920</v>
      </c>
      <c r="S98" s="675">
        <v>319.71300000000002</v>
      </c>
      <c r="T98" s="675">
        <v>0</v>
      </c>
      <c r="U98" s="675">
        <v>61920</v>
      </c>
      <c r="V98" s="675">
        <v>0</v>
      </c>
      <c r="W98" s="675">
        <v>0</v>
      </c>
      <c r="X98" s="675">
        <v>0</v>
      </c>
      <c r="Y98" s="675">
        <v>0</v>
      </c>
      <c r="Z98" s="675">
        <v>0</v>
      </c>
      <c r="AA98" s="675">
        <v>1</v>
      </c>
      <c r="AB98" s="675">
        <v>1</v>
      </c>
      <c r="AC98" s="675">
        <v>0</v>
      </c>
      <c r="AD98" s="675" t="s">
        <v>316</v>
      </c>
      <c r="AE98" s="675">
        <v>0</v>
      </c>
      <c r="AF98" s="675">
        <v>0</v>
      </c>
      <c r="AG98" s="675">
        <v>0</v>
      </c>
      <c r="AH98" s="675">
        <v>0</v>
      </c>
      <c r="AI98" s="675">
        <v>0</v>
      </c>
      <c r="AJ98" s="675">
        <v>5104</v>
      </c>
      <c r="AK98" s="675" t="s">
        <v>671</v>
      </c>
      <c r="AL98" s="675" t="s">
        <v>9</v>
      </c>
      <c r="AM98" s="675">
        <v>0</v>
      </c>
      <c r="AN98" s="675">
        <v>0</v>
      </c>
      <c r="AO98" s="675">
        <v>0</v>
      </c>
      <c r="AP98" s="675">
        <v>0</v>
      </c>
      <c r="AQ98" s="675">
        <v>0</v>
      </c>
      <c r="AR98" s="675">
        <v>0</v>
      </c>
      <c r="AS98" s="675">
        <v>0</v>
      </c>
      <c r="AT98" s="675">
        <v>0</v>
      </c>
      <c r="AU98" s="675">
        <v>0</v>
      </c>
      <c r="AV98" s="675">
        <v>10823</v>
      </c>
      <c r="AW98" s="675">
        <v>1833234</v>
      </c>
      <c r="AX98" s="675">
        <v>1755421</v>
      </c>
      <c r="AY98" s="675">
        <v>1831239</v>
      </c>
      <c r="AZ98" s="675">
        <v>107248</v>
      </c>
      <c r="BA98" s="675">
        <v>0</v>
      </c>
      <c r="BB98" s="675">
        <v>0</v>
      </c>
      <c r="BC98" s="675">
        <v>0</v>
      </c>
      <c r="BD98" s="675">
        <v>0</v>
      </c>
      <c r="BE98" s="675">
        <v>0</v>
      </c>
      <c r="BF98" s="675">
        <v>1496979</v>
      </c>
      <c r="BG98" s="675">
        <v>0</v>
      </c>
      <c r="BH98" s="675">
        <v>164.82900000000001</v>
      </c>
      <c r="BI98" s="675">
        <v>45328</v>
      </c>
      <c r="BJ98" s="675">
        <v>12</v>
      </c>
      <c r="BK98" s="675">
        <v>0</v>
      </c>
      <c r="BL98" s="675">
        <v>0</v>
      </c>
      <c r="BM98" s="675">
        <v>0</v>
      </c>
      <c r="BN98" s="675">
        <v>0</v>
      </c>
      <c r="BO98" s="675">
        <v>0</v>
      </c>
      <c r="BP98" s="675">
        <v>0</v>
      </c>
      <c r="BQ98" s="675">
        <v>5392</v>
      </c>
      <c r="BR98" s="675">
        <v>1</v>
      </c>
      <c r="BS98" s="675">
        <v>0</v>
      </c>
      <c r="BT98" s="675">
        <v>0</v>
      </c>
      <c r="BU98" s="675">
        <v>0</v>
      </c>
      <c r="BV98" s="675">
        <v>0</v>
      </c>
      <c r="BW98" s="675">
        <v>0</v>
      </c>
      <c r="BX98" s="675">
        <v>0</v>
      </c>
      <c r="BY98" s="675">
        <v>0</v>
      </c>
      <c r="BZ98" s="675">
        <v>0</v>
      </c>
      <c r="CA98" s="675">
        <v>0</v>
      </c>
      <c r="CB98" s="675">
        <v>0</v>
      </c>
      <c r="CC98" s="675">
        <v>0</v>
      </c>
      <c r="CD98" s="675">
        <v>0</v>
      </c>
      <c r="CE98" s="675">
        <v>0</v>
      </c>
      <c r="CF98" s="675">
        <v>0</v>
      </c>
      <c r="CG98" s="675">
        <v>0</v>
      </c>
      <c r="CH98" s="675">
        <v>32485</v>
      </c>
      <c r="CI98" s="675">
        <v>0</v>
      </c>
      <c r="CJ98" s="675">
        <v>4</v>
      </c>
      <c r="CK98" s="675">
        <v>0</v>
      </c>
      <c r="CL98" s="675">
        <v>0</v>
      </c>
      <c r="CM98" s="675">
        <v>0</v>
      </c>
      <c r="CN98" s="675">
        <v>0</v>
      </c>
      <c r="CO98" s="675">
        <v>0</v>
      </c>
      <c r="CP98" s="675">
        <v>0.34600000000000003</v>
      </c>
      <c r="CQ98" s="675">
        <v>0</v>
      </c>
      <c r="CR98" s="675">
        <v>193.67500000000001</v>
      </c>
      <c r="CS98" s="675">
        <v>0</v>
      </c>
      <c r="CT98" s="675">
        <v>0</v>
      </c>
      <c r="CU98" s="675">
        <v>0</v>
      </c>
      <c r="CV98" s="675">
        <v>0</v>
      </c>
      <c r="CW98" s="675">
        <v>0</v>
      </c>
      <c r="CX98" s="675">
        <v>0</v>
      </c>
      <c r="CY98" s="675">
        <v>0</v>
      </c>
      <c r="CZ98" s="675">
        <v>0</v>
      </c>
      <c r="DA98" s="675">
        <v>1</v>
      </c>
      <c r="DB98" s="675">
        <v>929318</v>
      </c>
      <c r="DC98" s="675">
        <v>0</v>
      </c>
      <c r="DD98" s="675">
        <v>0</v>
      </c>
      <c r="DE98" s="675">
        <v>268059</v>
      </c>
      <c r="DF98" s="675">
        <v>273524</v>
      </c>
      <c r="DG98" s="675">
        <v>204.5</v>
      </c>
      <c r="DH98" s="675">
        <v>0</v>
      </c>
      <c r="DI98" s="675">
        <v>5465</v>
      </c>
      <c r="DJ98" s="675">
        <v>0</v>
      </c>
      <c r="DK98" s="675">
        <v>5392</v>
      </c>
      <c r="DL98" s="675">
        <v>0</v>
      </c>
      <c r="DM98" s="675">
        <v>191999</v>
      </c>
      <c r="DN98" s="675">
        <v>0</v>
      </c>
      <c r="DO98" s="675">
        <v>0</v>
      </c>
      <c r="DP98" s="675">
        <v>0</v>
      </c>
      <c r="DQ98" s="675">
        <v>0</v>
      </c>
      <c r="DR98" s="675">
        <v>0</v>
      </c>
      <c r="DS98" s="675">
        <v>0</v>
      </c>
      <c r="DT98" s="675">
        <v>0</v>
      </c>
      <c r="DU98" s="675">
        <v>0</v>
      </c>
      <c r="DV98" s="675">
        <v>0</v>
      </c>
      <c r="DW98" s="675">
        <v>0</v>
      </c>
      <c r="DX98" s="675">
        <v>0</v>
      </c>
      <c r="DY98" s="675">
        <v>0</v>
      </c>
      <c r="DZ98" s="675">
        <v>0</v>
      </c>
      <c r="EA98" s="675">
        <v>0</v>
      </c>
      <c r="EB98" s="675">
        <v>0</v>
      </c>
      <c r="EC98" s="675">
        <v>7.8100000000000005</v>
      </c>
      <c r="ED98" s="675">
        <v>56305</v>
      </c>
      <c r="EE98" s="675">
        <v>0</v>
      </c>
      <c r="EF98" s="675">
        <v>0</v>
      </c>
      <c r="EG98" s="675">
        <v>0</v>
      </c>
      <c r="EH98" s="675">
        <v>135694</v>
      </c>
      <c r="EI98" s="675">
        <v>0</v>
      </c>
      <c r="EJ98" s="675">
        <v>0</v>
      </c>
      <c r="EK98" s="675">
        <v>6.7680000000000007</v>
      </c>
      <c r="EL98" s="675">
        <v>0</v>
      </c>
      <c r="EM98" s="675">
        <v>0</v>
      </c>
      <c r="EN98" s="675">
        <v>0.08</v>
      </c>
      <c r="EO98" s="675">
        <v>0</v>
      </c>
      <c r="EP98" s="675">
        <v>0</v>
      </c>
      <c r="EQ98" s="675">
        <v>6.8480000000000008</v>
      </c>
      <c r="ER98" s="675">
        <v>0</v>
      </c>
      <c r="ES98" s="675">
        <v>20.704000000000001</v>
      </c>
      <c r="ET98" s="675">
        <v>0</v>
      </c>
      <c r="EU98" s="675">
        <v>107248</v>
      </c>
      <c r="EV98" s="675">
        <v>0</v>
      </c>
      <c r="EW98" s="675">
        <v>0</v>
      </c>
      <c r="EX98" s="675">
        <v>0</v>
      </c>
      <c r="EY98" s="675">
        <v>0</v>
      </c>
      <c r="EZ98" s="675">
        <v>1476160</v>
      </c>
      <c r="FA98" s="675">
        <v>0</v>
      </c>
      <c r="FB98" s="675">
        <v>1583408</v>
      </c>
      <c r="FC98" s="675">
        <v>0.97327799999999998</v>
      </c>
      <c r="FD98" s="675">
        <v>0</v>
      </c>
      <c r="FE98" s="675">
        <v>227903</v>
      </c>
      <c r="FF98" s="675">
        <v>51358</v>
      </c>
      <c r="FG98" s="675">
        <v>6.1239999999999996E-2</v>
      </c>
      <c r="FH98" s="675">
        <v>5.4803999999999999E-2</v>
      </c>
      <c r="FI98" s="675">
        <v>0</v>
      </c>
      <c r="FJ98" s="675">
        <v>0</v>
      </c>
      <c r="FK98" s="675">
        <v>293.30500000000001</v>
      </c>
      <c r="FL98" s="675">
        <v>1895154</v>
      </c>
      <c r="FM98" s="675">
        <v>0</v>
      </c>
      <c r="FN98" s="675">
        <v>0</v>
      </c>
      <c r="FO98" s="675">
        <v>0</v>
      </c>
      <c r="FP98" s="675">
        <v>0</v>
      </c>
      <c r="FQ98" s="675">
        <v>0</v>
      </c>
      <c r="FR98" s="675">
        <v>0</v>
      </c>
      <c r="FS98" s="675">
        <v>0</v>
      </c>
      <c r="FT98" s="675">
        <v>0</v>
      </c>
      <c r="FU98" s="675">
        <v>0</v>
      </c>
      <c r="FV98" s="675">
        <v>0</v>
      </c>
      <c r="FW98" s="675">
        <v>0</v>
      </c>
      <c r="FX98" s="675">
        <v>0</v>
      </c>
      <c r="FY98" s="675">
        <v>0</v>
      </c>
      <c r="FZ98" s="675">
        <v>0</v>
      </c>
      <c r="GA98" s="675">
        <v>0</v>
      </c>
      <c r="GB98" s="675">
        <v>143239</v>
      </c>
      <c r="GC98" s="675">
        <v>143239</v>
      </c>
      <c r="GD98" s="675">
        <v>16.189</v>
      </c>
      <c r="GE98" s="675">
        <v>0</v>
      </c>
      <c r="GF98" s="675">
        <v>0</v>
      </c>
      <c r="GG98" s="675">
        <v>0</v>
      </c>
      <c r="GH98" s="675">
        <v>0</v>
      </c>
      <c r="GI98" s="675">
        <v>0</v>
      </c>
      <c r="GJ98" s="675">
        <v>0</v>
      </c>
      <c r="GK98" s="675">
        <v>5208</v>
      </c>
      <c r="GL98" s="675">
        <v>7250</v>
      </c>
      <c r="GM98" s="675">
        <v>0</v>
      </c>
      <c r="GN98" s="675">
        <v>0</v>
      </c>
      <c r="GO98" s="675">
        <v>0</v>
      </c>
      <c r="GP98" s="675">
        <v>1862669</v>
      </c>
      <c r="GQ98" s="675">
        <v>1862669</v>
      </c>
      <c r="GR98" s="675">
        <v>0</v>
      </c>
      <c r="GS98" s="675">
        <v>0</v>
      </c>
      <c r="GT98" s="675">
        <v>0</v>
      </c>
      <c r="GU98" s="675">
        <v>0</v>
      </c>
      <c r="GV98" s="675">
        <v>0</v>
      </c>
      <c r="GW98" s="675">
        <v>0</v>
      </c>
      <c r="GX98" s="675">
        <v>0</v>
      </c>
      <c r="GY98" s="675">
        <v>0</v>
      </c>
      <c r="GZ98" s="675">
        <v>0</v>
      </c>
      <c r="HA98" s="675">
        <v>0</v>
      </c>
      <c r="HB98" s="675">
        <v>260786259</v>
      </c>
      <c r="HC98" s="675">
        <v>5.0923999999999997E-2</v>
      </c>
      <c r="HD98" s="675">
        <v>32485</v>
      </c>
      <c r="HE98" s="675">
        <v>0</v>
      </c>
      <c r="HF98" s="675">
        <v>0</v>
      </c>
      <c r="HG98" s="675">
        <v>0</v>
      </c>
      <c r="HH98" s="675">
        <v>0</v>
      </c>
      <c r="HI98" s="675">
        <v>0</v>
      </c>
      <c r="HJ98" s="675">
        <v>0</v>
      </c>
      <c r="HK98" s="675">
        <v>0</v>
      </c>
      <c r="HL98" s="675">
        <v>0</v>
      </c>
      <c r="HM98" s="675">
        <v>0</v>
      </c>
      <c r="HN98" s="675">
        <v>0</v>
      </c>
      <c r="HO98" s="675">
        <v>0</v>
      </c>
      <c r="HP98" s="675">
        <v>0</v>
      </c>
      <c r="HQ98" s="675">
        <v>0</v>
      </c>
      <c r="HR98" s="675">
        <v>0</v>
      </c>
      <c r="HS98" s="675">
        <v>0</v>
      </c>
      <c r="HT98" s="675">
        <v>0</v>
      </c>
      <c r="HU98" s="675">
        <v>0</v>
      </c>
      <c r="HV98" s="675">
        <v>0</v>
      </c>
      <c r="HW98" s="675">
        <v>0</v>
      </c>
      <c r="HX98" s="675">
        <v>0</v>
      </c>
      <c r="HY98" s="675">
        <v>0</v>
      </c>
      <c r="HZ98" s="675">
        <v>0</v>
      </c>
      <c r="IA98" s="675">
        <v>0</v>
      </c>
      <c r="IB98" s="675">
        <v>0</v>
      </c>
      <c r="IC98" s="675">
        <v>0</v>
      </c>
      <c r="ID98" s="675">
        <v>0</v>
      </c>
      <c r="IE98" s="675">
        <v>0</v>
      </c>
      <c r="IF98" s="675">
        <v>0</v>
      </c>
      <c r="IG98" s="675">
        <v>0</v>
      </c>
      <c r="IH98" s="675">
        <v>0</v>
      </c>
      <c r="II98" s="675">
        <v>0</v>
      </c>
      <c r="IJ98" s="675">
        <v>0</v>
      </c>
      <c r="IK98" s="675">
        <v>0</v>
      </c>
      <c r="IL98" s="675">
        <v>0</v>
      </c>
      <c r="IM98" s="675">
        <v>0</v>
      </c>
      <c r="IN98" s="675">
        <v>0</v>
      </c>
      <c r="IO98" s="675">
        <v>0</v>
      </c>
      <c r="IP98" s="675">
        <v>0</v>
      </c>
      <c r="IQ98" s="675">
        <v>0</v>
      </c>
      <c r="IR98" s="675">
        <v>0</v>
      </c>
      <c r="IS98" s="675">
        <v>0</v>
      </c>
      <c r="IT98" s="675">
        <v>0</v>
      </c>
      <c r="IU98" s="675">
        <v>0</v>
      </c>
      <c r="IV98" s="675">
        <v>0</v>
      </c>
      <c r="IW98" s="675">
        <v>0</v>
      </c>
      <c r="IX98" s="675">
        <v>0</v>
      </c>
      <c r="IY98" s="675">
        <v>0</v>
      </c>
      <c r="IZ98" s="675">
        <v>0</v>
      </c>
      <c r="JA98" s="675">
        <v>0</v>
      </c>
      <c r="JB98" s="675">
        <v>0</v>
      </c>
      <c r="JC98" s="675">
        <v>0</v>
      </c>
      <c r="JD98" s="675">
        <v>0</v>
      </c>
      <c r="JE98" s="675">
        <v>0</v>
      </c>
      <c r="JF98" s="675">
        <v>0</v>
      </c>
      <c r="JG98" s="675">
        <v>0</v>
      </c>
      <c r="JH98" s="675">
        <v>0</v>
      </c>
      <c r="JI98" s="675">
        <v>0</v>
      </c>
      <c r="JJ98" s="675">
        <v>0</v>
      </c>
      <c r="JK98" s="675">
        <v>0</v>
      </c>
      <c r="JL98" s="675">
        <v>0</v>
      </c>
      <c r="JM98" s="675">
        <v>0</v>
      </c>
      <c r="JN98" s="675">
        <v>32469</v>
      </c>
      <c r="JO98" s="675">
        <v>0</v>
      </c>
      <c r="JP98" s="675">
        <v>0</v>
      </c>
      <c r="JQ98" s="675">
        <v>0</v>
      </c>
      <c r="JR98" s="675">
        <v>0</v>
      </c>
      <c r="JS98" s="675">
        <v>0</v>
      </c>
      <c r="JT98" s="675">
        <v>0</v>
      </c>
      <c r="JU98" s="675">
        <v>0</v>
      </c>
      <c r="JV98" s="675">
        <v>0</v>
      </c>
      <c r="JW98" s="675">
        <v>0</v>
      </c>
      <c r="JX98" s="675">
        <v>0</v>
      </c>
      <c r="JY98" s="675">
        <v>0</v>
      </c>
      <c r="JZ98" s="675">
        <v>0</v>
      </c>
      <c r="KA98" s="675">
        <v>0</v>
      </c>
      <c r="KB98" s="675">
        <v>0</v>
      </c>
      <c r="KC98" s="675">
        <v>0</v>
      </c>
      <c r="KD98" s="675">
        <v>0</v>
      </c>
      <c r="KE98" s="675">
        <v>0</v>
      </c>
      <c r="KF98" s="675">
        <v>0</v>
      </c>
    </row>
    <row r="99" spans="1:292" x14ac:dyDescent="0.25">
      <c r="A99" s="675">
        <v>101828</v>
      </c>
      <c r="B99" s="675">
        <v>32570</v>
      </c>
      <c r="C99" s="675">
        <v>35</v>
      </c>
      <c r="D99" s="675">
        <v>2022</v>
      </c>
      <c r="E99" s="675">
        <v>5392</v>
      </c>
      <c r="F99" s="675">
        <v>0</v>
      </c>
      <c r="G99" s="675">
        <v>2041.5940000000001</v>
      </c>
      <c r="H99" s="675">
        <v>1978.125</v>
      </c>
      <c r="I99" s="675">
        <v>1978.125</v>
      </c>
      <c r="J99" s="675">
        <v>2041.5940000000001</v>
      </c>
      <c r="K99" s="675">
        <v>0</v>
      </c>
      <c r="L99" s="675">
        <v>6554</v>
      </c>
      <c r="M99" s="675">
        <v>0</v>
      </c>
      <c r="N99" s="675">
        <v>0</v>
      </c>
      <c r="O99" s="675">
        <v>0</v>
      </c>
      <c r="P99" s="675">
        <v>2136.201</v>
      </c>
      <c r="Q99" s="675">
        <v>0</v>
      </c>
      <c r="R99" s="675">
        <v>682971</v>
      </c>
      <c r="S99" s="675">
        <v>319.71300000000002</v>
      </c>
      <c r="T99" s="675">
        <v>0</v>
      </c>
      <c r="U99" s="675">
        <v>682971</v>
      </c>
      <c r="V99" s="675">
        <v>1014.422</v>
      </c>
      <c r="W99" s="675">
        <v>664852</v>
      </c>
      <c r="X99" s="675">
        <v>664852</v>
      </c>
      <c r="Y99" s="675">
        <v>0</v>
      </c>
      <c r="Z99" s="675">
        <v>0</v>
      </c>
      <c r="AA99" s="675">
        <v>1</v>
      </c>
      <c r="AB99" s="675">
        <v>1</v>
      </c>
      <c r="AC99" s="675">
        <v>0</v>
      </c>
      <c r="AD99" s="675" t="s">
        <v>316</v>
      </c>
      <c r="AE99" s="675">
        <v>0</v>
      </c>
      <c r="AF99" s="675">
        <v>0</v>
      </c>
      <c r="AG99" s="675">
        <v>0</v>
      </c>
      <c r="AH99" s="675">
        <v>0</v>
      </c>
      <c r="AI99" s="675">
        <v>0</v>
      </c>
      <c r="AJ99" s="675">
        <v>5104</v>
      </c>
      <c r="AK99" s="675" t="s">
        <v>671</v>
      </c>
      <c r="AL99" s="675" t="s">
        <v>348</v>
      </c>
      <c r="AM99" s="675">
        <v>0</v>
      </c>
      <c r="AN99" s="675">
        <v>0</v>
      </c>
      <c r="AO99" s="675">
        <v>0</v>
      </c>
      <c r="AP99" s="675">
        <v>0</v>
      </c>
      <c r="AQ99" s="675">
        <v>0</v>
      </c>
      <c r="AR99" s="675">
        <v>0</v>
      </c>
      <c r="AS99" s="675">
        <v>0</v>
      </c>
      <c r="AT99" s="675">
        <v>0</v>
      </c>
      <c r="AU99" s="675">
        <v>0</v>
      </c>
      <c r="AV99" s="675">
        <v>1140742</v>
      </c>
      <c r="AW99" s="675">
        <v>20447631</v>
      </c>
      <c r="AX99" s="675">
        <v>19943221</v>
      </c>
      <c r="AY99" s="675">
        <v>22836505</v>
      </c>
      <c r="AZ99" s="675">
        <v>785028</v>
      </c>
      <c r="BA99" s="675">
        <v>0</v>
      </c>
      <c r="BB99" s="675">
        <v>0</v>
      </c>
      <c r="BC99" s="675">
        <v>0</v>
      </c>
      <c r="BD99" s="675">
        <v>0</v>
      </c>
      <c r="BE99" s="675">
        <v>0</v>
      </c>
      <c r="BF99" s="675">
        <v>16990194</v>
      </c>
      <c r="BG99" s="675">
        <v>0</v>
      </c>
      <c r="BH99" s="675">
        <v>371.11500000000001</v>
      </c>
      <c r="BI99" s="675">
        <v>102057</v>
      </c>
      <c r="BJ99" s="675">
        <v>12</v>
      </c>
      <c r="BK99" s="675">
        <v>0</v>
      </c>
      <c r="BL99" s="675">
        <v>0</v>
      </c>
      <c r="BM99" s="675">
        <v>0</v>
      </c>
      <c r="BN99" s="675">
        <v>0</v>
      </c>
      <c r="BO99" s="675">
        <v>0</v>
      </c>
      <c r="BP99" s="675">
        <v>0</v>
      </c>
      <c r="BQ99" s="675">
        <v>5392</v>
      </c>
      <c r="BR99" s="675">
        <v>1</v>
      </c>
      <c r="BS99" s="675">
        <v>0</v>
      </c>
      <c r="BT99" s="675">
        <v>0</v>
      </c>
      <c r="BU99" s="675">
        <v>0</v>
      </c>
      <c r="BV99" s="675">
        <v>0</v>
      </c>
      <c r="BW99" s="675">
        <v>0</v>
      </c>
      <c r="BX99" s="675">
        <v>0</v>
      </c>
      <c r="BY99" s="675">
        <v>0</v>
      </c>
      <c r="BZ99" s="675">
        <v>0</v>
      </c>
      <c r="CA99" s="675">
        <v>0</v>
      </c>
      <c r="CB99" s="675">
        <v>0</v>
      </c>
      <c r="CC99" s="675">
        <v>0</v>
      </c>
      <c r="CD99" s="675">
        <v>0</v>
      </c>
      <c r="CE99" s="675">
        <v>0</v>
      </c>
      <c r="CF99" s="675">
        <v>0</v>
      </c>
      <c r="CG99" s="675">
        <v>0</v>
      </c>
      <c r="CH99" s="675">
        <v>402353</v>
      </c>
      <c r="CI99" s="675">
        <v>0</v>
      </c>
      <c r="CJ99" s="675">
        <v>4</v>
      </c>
      <c r="CK99" s="675">
        <v>0</v>
      </c>
      <c r="CL99" s="675">
        <v>0</v>
      </c>
      <c r="CM99" s="675">
        <v>0</v>
      </c>
      <c r="CN99" s="675">
        <v>0</v>
      </c>
      <c r="CO99" s="675">
        <v>0</v>
      </c>
      <c r="CP99" s="675">
        <v>0</v>
      </c>
      <c r="CQ99" s="675">
        <v>0</v>
      </c>
      <c r="CR99" s="675">
        <v>2136.201</v>
      </c>
      <c r="CS99" s="675">
        <v>0</v>
      </c>
      <c r="CT99" s="675">
        <v>0</v>
      </c>
      <c r="CU99" s="675">
        <v>0</v>
      </c>
      <c r="CV99" s="675">
        <v>0</v>
      </c>
      <c r="CW99" s="675">
        <v>0</v>
      </c>
      <c r="CX99" s="675">
        <v>0</v>
      </c>
      <c r="CY99" s="675">
        <v>0</v>
      </c>
      <c r="CZ99" s="675">
        <v>0</v>
      </c>
      <c r="DA99" s="675">
        <v>1</v>
      </c>
      <c r="DB99" s="675">
        <v>12964631</v>
      </c>
      <c r="DC99" s="675">
        <v>0</v>
      </c>
      <c r="DD99" s="675">
        <v>0</v>
      </c>
      <c r="DE99" s="675">
        <v>2942746</v>
      </c>
      <c r="DF99" s="675">
        <v>2942746</v>
      </c>
      <c r="DG99" s="675">
        <v>2245</v>
      </c>
      <c r="DH99" s="675">
        <v>0</v>
      </c>
      <c r="DI99" s="675">
        <v>0</v>
      </c>
      <c r="DJ99" s="675">
        <v>0</v>
      </c>
      <c r="DK99" s="675">
        <v>5392</v>
      </c>
      <c r="DL99" s="675">
        <v>0</v>
      </c>
      <c r="DM99" s="675">
        <v>556672</v>
      </c>
      <c r="DN99" s="675">
        <v>0</v>
      </c>
      <c r="DO99" s="675">
        <v>0</v>
      </c>
      <c r="DP99" s="675">
        <v>0</v>
      </c>
      <c r="DQ99" s="675">
        <v>0</v>
      </c>
      <c r="DR99" s="675">
        <v>0</v>
      </c>
      <c r="DS99" s="675">
        <v>0</v>
      </c>
      <c r="DT99" s="675">
        <v>0</v>
      </c>
      <c r="DU99" s="675">
        <v>0</v>
      </c>
      <c r="DV99" s="675">
        <v>0</v>
      </c>
      <c r="DW99" s="675">
        <v>0</v>
      </c>
      <c r="DX99" s="675">
        <v>0</v>
      </c>
      <c r="DY99" s="675">
        <v>0</v>
      </c>
      <c r="DZ99" s="675">
        <v>0</v>
      </c>
      <c r="EA99" s="675">
        <v>0</v>
      </c>
      <c r="EB99" s="675">
        <v>0</v>
      </c>
      <c r="EC99" s="675">
        <v>2.9319999999999999</v>
      </c>
      <c r="ED99" s="675">
        <v>21138</v>
      </c>
      <c r="EE99" s="675">
        <v>0</v>
      </c>
      <c r="EF99" s="675">
        <v>0</v>
      </c>
      <c r="EG99" s="675">
        <v>0</v>
      </c>
      <c r="EH99" s="675">
        <v>535534</v>
      </c>
      <c r="EI99" s="675">
        <v>0</v>
      </c>
      <c r="EJ99" s="675">
        <v>0</v>
      </c>
      <c r="EK99" s="675">
        <v>22.279</v>
      </c>
      <c r="EL99" s="675">
        <v>0</v>
      </c>
      <c r="EM99" s="675">
        <v>2.923</v>
      </c>
      <c r="EN99" s="675">
        <v>1.2210000000000001</v>
      </c>
      <c r="EO99" s="675">
        <v>0</v>
      </c>
      <c r="EP99" s="675">
        <v>0</v>
      </c>
      <c r="EQ99" s="675">
        <v>26.423000000000002</v>
      </c>
      <c r="ER99" s="675">
        <v>0</v>
      </c>
      <c r="ES99" s="675">
        <v>81.710999999999999</v>
      </c>
      <c r="ET99" s="675">
        <v>0</v>
      </c>
      <c r="EU99" s="675">
        <v>785028</v>
      </c>
      <c r="EV99" s="675">
        <v>0</v>
      </c>
      <c r="EW99" s="675">
        <v>0</v>
      </c>
      <c r="EX99" s="675">
        <v>0</v>
      </c>
      <c r="EY99" s="675">
        <v>0</v>
      </c>
      <c r="EZ99" s="675">
        <v>16773709</v>
      </c>
      <c r="FA99" s="675">
        <v>0</v>
      </c>
      <c r="FB99" s="675">
        <v>17558737</v>
      </c>
      <c r="FC99" s="675">
        <v>0.97327799999999998</v>
      </c>
      <c r="FD99" s="675">
        <v>0</v>
      </c>
      <c r="FE99" s="675">
        <v>2586621</v>
      </c>
      <c r="FF99" s="675">
        <v>582891</v>
      </c>
      <c r="FG99" s="675">
        <v>6.1239999999999996E-2</v>
      </c>
      <c r="FH99" s="675">
        <v>5.4803999999999999E-2</v>
      </c>
      <c r="FI99" s="675">
        <v>0</v>
      </c>
      <c r="FJ99" s="675">
        <v>0</v>
      </c>
      <c r="FK99" s="675">
        <v>3328.9140000000002</v>
      </c>
      <c r="FL99" s="675">
        <v>21130602</v>
      </c>
      <c r="FM99" s="675">
        <v>0</v>
      </c>
      <c r="FN99" s="675">
        <v>0</v>
      </c>
      <c r="FO99" s="675">
        <v>0</v>
      </c>
      <c r="FP99" s="675">
        <v>0</v>
      </c>
      <c r="FQ99" s="675">
        <v>0</v>
      </c>
      <c r="FR99" s="675">
        <v>0</v>
      </c>
      <c r="FS99" s="675">
        <v>0</v>
      </c>
      <c r="FT99" s="675">
        <v>0</v>
      </c>
      <c r="FU99" s="675">
        <v>0</v>
      </c>
      <c r="FV99" s="675">
        <v>0</v>
      </c>
      <c r="FW99" s="675">
        <v>0</v>
      </c>
      <c r="FX99" s="675">
        <v>0</v>
      </c>
      <c r="FY99" s="675">
        <v>0</v>
      </c>
      <c r="FZ99" s="675">
        <v>0</v>
      </c>
      <c r="GA99" s="675">
        <v>0</v>
      </c>
      <c r="GB99" s="675">
        <v>327779</v>
      </c>
      <c r="GC99" s="675">
        <v>327779</v>
      </c>
      <c r="GD99" s="675">
        <v>37.045999999999999</v>
      </c>
      <c r="GE99" s="675">
        <v>0</v>
      </c>
      <c r="GF99" s="675">
        <v>0</v>
      </c>
      <c r="GG99" s="675">
        <v>0</v>
      </c>
      <c r="GH99" s="675">
        <v>0</v>
      </c>
      <c r="GI99" s="675">
        <v>0</v>
      </c>
      <c r="GJ99" s="675">
        <v>0</v>
      </c>
      <c r="GK99" s="675">
        <v>5143</v>
      </c>
      <c r="GL99" s="675">
        <v>24455</v>
      </c>
      <c r="GM99" s="675">
        <v>0</v>
      </c>
      <c r="GN99" s="675">
        <v>0</v>
      </c>
      <c r="GO99" s="675">
        <v>0</v>
      </c>
      <c r="GP99" s="675">
        <v>20728249</v>
      </c>
      <c r="GQ99" s="675">
        <v>20728249</v>
      </c>
      <c r="GR99" s="675">
        <v>0</v>
      </c>
      <c r="GS99" s="675">
        <v>0</v>
      </c>
      <c r="GT99" s="675">
        <v>0</v>
      </c>
      <c r="GU99" s="675">
        <v>0</v>
      </c>
      <c r="GV99" s="675">
        <v>0</v>
      </c>
      <c r="GW99" s="675">
        <v>0</v>
      </c>
      <c r="GX99" s="675">
        <v>0</v>
      </c>
      <c r="GY99" s="675">
        <v>0</v>
      </c>
      <c r="GZ99" s="675">
        <v>0</v>
      </c>
      <c r="HA99" s="675">
        <v>0</v>
      </c>
      <c r="HB99" s="675">
        <v>260786259</v>
      </c>
      <c r="HC99" s="675">
        <v>5.0923999999999997E-2</v>
      </c>
      <c r="HD99" s="675">
        <v>402353</v>
      </c>
      <c r="HE99" s="675">
        <v>0</v>
      </c>
      <c r="HF99" s="675">
        <v>0</v>
      </c>
      <c r="HG99" s="675">
        <v>0</v>
      </c>
      <c r="HH99" s="675">
        <v>0</v>
      </c>
      <c r="HI99" s="675">
        <v>0</v>
      </c>
      <c r="HJ99" s="675">
        <v>0</v>
      </c>
      <c r="HK99" s="675">
        <v>0</v>
      </c>
      <c r="HL99" s="675">
        <v>0</v>
      </c>
      <c r="HM99" s="675">
        <v>0</v>
      </c>
      <c r="HN99" s="675">
        <v>0</v>
      </c>
      <c r="HO99" s="675">
        <v>0</v>
      </c>
      <c r="HP99" s="675">
        <v>0</v>
      </c>
      <c r="HQ99" s="675">
        <v>0</v>
      </c>
      <c r="HR99" s="675">
        <v>0</v>
      </c>
      <c r="HS99" s="675">
        <v>0</v>
      </c>
      <c r="HT99" s="675">
        <v>0</v>
      </c>
      <c r="HU99" s="675">
        <v>0</v>
      </c>
      <c r="HV99" s="675">
        <v>0</v>
      </c>
      <c r="HW99" s="675">
        <v>0</v>
      </c>
      <c r="HX99" s="675">
        <v>0</v>
      </c>
      <c r="HY99" s="675">
        <v>0</v>
      </c>
      <c r="HZ99" s="675">
        <v>0</v>
      </c>
      <c r="IA99" s="675">
        <v>0</v>
      </c>
      <c r="IB99" s="675">
        <v>0</v>
      </c>
      <c r="IC99" s="675">
        <v>0</v>
      </c>
      <c r="ID99" s="675">
        <v>0</v>
      </c>
      <c r="IE99" s="675">
        <v>377.30400000000003</v>
      </c>
      <c r="IF99" s="675">
        <v>0</v>
      </c>
      <c r="IG99" s="675">
        <v>0</v>
      </c>
      <c r="IH99" s="675">
        <v>0</v>
      </c>
      <c r="II99" s="675">
        <v>0</v>
      </c>
      <c r="IJ99" s="675">
        <v>0</v>
      </c>
      <c r="IK99" s="675">
        <v>0</v>
      </c>
      <c r="IL99" s="675">
        <v>0</v>
      </c>
      <c r="IM99" s="675">
        <v>0</v>
      </c>
      <c r="IN99" s="675">
        <v>0</v>
      </c>
      <c r="IO99" s="675">
        <v>0</v>
      </c>
      <c r="IP99" s="675">
        <v>0</v>
      </c>
      <c r="IQ99" s="675">
        <v>0</v>
      </c>
      <c r="IR99" s="675">
        <v>0</v>
      </c>
      <c r="IS99" s="675">
        <v>0</v>
      </c>
      <c r="IT99" s="675">
        <v>0</v>
      </c>
      <c r="IU99" s="675">
        <v>0</v>
      </c>
      <c r="IV99" s="675">
        <v>0</v>
      </c>
      <c r="IW99" s="675">
        <v>0</v>
      </c>
      <c r="IX99" s="675">
        <v>0</v>
      </c>
      <c r="IY99" s="675">
        <v>0</v>
      </c>
      <c r="IZ99" s="675">
        <v>0</v>
      </c>
      <c r="JA99" s="675">
        <v>0</v>
      </c>
      <c r="JB99" s="675">
        <v>0</v>
      </c>
      <c r="JC99" s="675">
        <v>0</v>
      </c>
      <c r="JD99" s="675">
        <v>0</v>
      </c>
      <c r="JE99" s="675">
        <v>0</v>
      </c>
      <c r="JF99" s="675">
        <v>0</v>
      </c>
      <c r="JG99" s="675">
        <v>0</v>
      </c>
      <c r="JH99" s="675">
        <v>0</v>
      </c>
      <c r="JI99" s="675">
        <v>0</v>
      </c>
      <c r="JJ99" s="675">
        <v>0</v>
      </c>
      <c r="JK99" s="675">
        <v>0</v>
      </c>
      <c r="JL99" s="675">
        <v>0</v>
      </c>
      <c r="JM99" s="675">
        <v>0</v>
      </c>
      <c r="JN99" s="675">
        <v>32469</v>
      </c>
      <c r="JO99" s="675">
        <v>0</v>
      </c>
      <c r="JP99" s="675">
        <v>0</v>
      </c>
      <c r="JQ99" s="675">
        <v>0</v>
      </c>
      <c r="JR99" s="675">
        <v>0</v>
      </c>
      <c r="JS99" s="675">
        <v>0</v>
      </c>
      <c r="JT99" s="675">
        <v>0</v>
      </c>
      <c r="JU99" s="675">
        <v>0</v>
      </c>
      <c r="JV99" s="675">
        <v>0</v>
      </c>
      <c r="JW99" s="675">
        <v>0</v>
      </c>
      <c r="JX99" s="675">
        <v>0</v>
      </c>
      <c r="JY99" s="675">
        <v>0</v>
      </c>
      <c r="JZ99" s="675">
        <v>0</v>
      </c>
      <c r="KA99" s="675">
        <v>0</v>
      </c>
      <c r="KB99" s="675">
        <v>0</v>
      </c>
      <c r="KC99" s="675">
        <v>0</v>
      </c>
      <c r="KD99" s="675">
        <v>0</v>
      </c>
      <c r="KE99" s="675">
        <v>0</v>
      </c>
      <c r="KF99" s="675">
        <v>0</v>
      </c>
    </row>
    <row r="100" spans="1:292" x14ac:dyDescent="0.25">
      <c r="A100" s="675">
        <v>101837</v>
      </c>
      <c r="B100" s="675">
        <v>32570</v>
      </c>
      <c r="C100" s="675">
        <v>35</v>
      </c>
      <c r="D100" s="675">
        <v>2022</v>
      </c>
      <c r="E100" s="675">
        <v>5392</v>
      </c>
      <c r="F100" s="675">
        <v>0</v>
      </c>
      <c r="G100" s="675">
        <v>303.11900000000003</v>
      </c>
      <c r="H100" s="675">
        <v>250.78700000000001</v>
      </c>
      <c r="I100" s="675">
        <v>250.78700000000001</v>
      </c>
      <c r="J100" s="675">
        <v>303.11900000000003</v>
      </c>
      <c r="K100" s="675">
        <v>0</v>
      </c>
      <c r="L100" s="675">
        <v>6554</v>
      </c>
      <c r="M100" s="675">
        <v>0</v>
      </c>
      <c r="N100" s="675">
        <v>0</v>
      </c>
      <c r="O100" s="675">
        <v>0</v>
      </c>
      <c r="P100" s="675">
        <v>310.14699999999999</v>
      </c>
      <c r="Q100" s="675">
        <v>0</v>
      </c>
      <c r="R100" s="675">
        <v>99158</v>
      </c>
      <c r="S100" s="675">
        <v>319.71300000000002</v>
      </c>
      <c r="T100" s="675">
        <v>0</v>
      </c>
      <c r="U100" s="675">
        <v>99158</v>
      </c>
      <c r="V100" s="675">
        <v>11.974</v>
      </c>
      <c r="W100" s="675">
        <v>7848</v>
      </c>
      <c r="X100" s="675">
        <v>7848</v>
      </c>
      <c r="Y100" s="675">
        <v>0</v>
      </c>
      <c r="Z100" s="675">
        <v>0</v>
      </c>
      <c r="AA100" s="675">
        <v>1</v>
      </c>
      <c r="AB100" s="675">
        <v>1</v>
      </c>
      <c r="AC100" s="675">
        <v>0</v>
      </c>
      <c r="AD100" s="675" t="s">
        <v>316</v>
      </c>
      <c r="AE100" s="675">
        <v>0</v>
      </c>
      <c r="AF100" s="675">
        <v>0</v>
      </c>
      <c r="AG100" s="675">
        <v>0</v>
      </c>
      <c r="AH100" s="675">
        <v>0</v>
      </c>
      <c r="AI100" s="675">
        <v>0</v>
      </c>
      <c r="AJ100" s="675">
        <v>5104</v>
      </c>
      <c r="AK100" s="675" t="s">
        <v>671</v>
      </c>
      <c r="AL100" s="675" t="s">
        <v>12</v>
      </c>
      <c r="AM100" s="675">
        <v>0</v>
      </c>
      <c r="AN100" s="675">
        <v>0</v>
      </c>
      <c r="AO100" s="675">
        <v>0</v>
      </c>
      <c r="AP100" s="675">
        <v>0</v>
      </c>
      <c r="AQ100" s="675">
        <v>0</v>
      </c>
      <c r="AR100" s="675">
        <v>0</v>
      </c>
      <c r="AS100" s="675">
        <v>0</v>
      </c>
      <c r="AT100" s="675">
        <v>0</v>
      </c>
      <c r="AU100" s="675">
        <v>0</v>
      </c>
      <c r="AV100" s="675">
        <v>42326</v>
      </c>
      <c r="AW100" s="675">
        <v>2924394</v>
      </c>
      <c r="AX100" s="675">
        <v>2818498</v>
      </c>
      <c r="AY100" s="675">
        <v>3057307</v>
      </c>
      <c r="AZ100" s="675">
        <v>143316</v>
      </c>
      <c r="BA100" s="675">
        <v>4</v>
      </c>
      <c r="BB100" s="675">
        <v>0</v>
      </c>
      <c r="BC100" s="675">
        <v>0</v>
      </c>
      <c r="BD100" s="675">
        <v>0</v>
      </c>
      <c r="BE100" s="675">
        <v>0</v>
      </c>
      <c r="BF100" s="675">
        <v>2384889</v>
      </c>
      <c r="BG100" s="675">
        <v>0</v>
      </c>
      <c r="BH100" s="675">
        <v>160.57500000000002</v>
      </c>
      <c r="BI100" s="675">
        <v>44158</v>
      </c>
      <c r="BJ100" s="675">
        <v>12</v>
      </c>
      <c r="BK100" s="675">
        <v>0</v>
      </c>
      <c r="BL100" s="675">
        <v>0</v>
      </c>
      <c r="BM100" s="675">
        <v>0</v>
      </c>
      <c r="BN100" s="675">
        <v>0</v>
      </c>
      <c r="BO100" s="675">
        <v>0</v>
      </c>
      <c r="BP100" s="675">
        <v>0</v>
      </c>
      <c r="BQ100" s="675">
        <v>5392</v>
      </c>
      <c r="BR100" s="675">
        <v>1</v>
      </c>
      <c r="BS100" s="675">
        <v>0</v>
      </c>
      <c r="BT100" s="675">
        <v>0</v>
      </c>
      <c r="BU100" s="675">
        <v>0</v>
      </c>
      <c r="BV100" s="675">
        <v>0</v>
      </c>
      <c r="BW100" s="675">
        <v>0</v>
      </c>
      <c r="BX100" s="675">
        <v>0</v>
      </c>
      <c r="BY100" s="675">
        <v>0</v>
      </c>
      <c r="BZ100" s="675">
        <v>0</v>
      </c>
      <c r="CA100" s="675">
        <v>0</v>
      </c>
      <c r="CB100" s="675">
        <v>0</v>
      </c>
      <c r="CC100" s="675">
        <v>0</v>
      </c>
      <c r="CD100" s="675">
        <v>0</v>
      </c>
      <c r="CE100" s="675">
        <v>0</v>
      </c>
      <c r="CF100" s="675">
        <v>0</v>
      </c>
      <c r="CG100" s="675">
        <v>0</v>
      </c>
      <c r="CH100" s="675">
        <v>61738</v>
      </c>
      <c r="CI100" s="675">
        <v>0</v>
      </c>
      <c r="CJ100" s="675">
        <v>4</v>
      </c>
      <c r="CK100" s="675">
        <v>0</v>
      </c>
      <c r="CL100" s="675">
        <v>0</v>
      </c>
      <c r="CM100" s="675">
        <v>0</v>
      </c>
      <c r="CN100" s="675">
        <v>0</v>
      </c>
      <c r="CO100" s="675">
        <v>0</v>
      </c>
      <c r="CP100" s="675">
        <v>0</v>
      </c>
      <c r="CQ100" s="675">
        <v>0</v>
      </c>
      <c r="CR100" s="675">
        <v>310.14699999999999</v>
      </c>
      <c r="CS100" s="675">
        <v>0</v>
      </c>
      <c r="CT100" s="675">
        <v>0</v>
      </c>
      <c r="CU100" s="675">
        <v>0</v>
      </c>
      <c r="CV100" s="675">
        <v>0</v>
      </c>
      <c r="CW100" s="675">
        <v>0</v>
      </c>
      <c r="CX100" s="675">
        <v>0</v>
      </c>
      <c r="CY100" s="675">
        <v>0</v>
      </c>
      <c r="CZ100" s="675">
        <v>0</v>
      </c>
      <c r="DA100" s="675">
        <v>1</v>
      </c>
      <c r="DB100" s="675">
        <v>1643658</v>
      </c>
      <c r="DC100" s="675">
        <v>0</v>
      </c>
      <c r="DD100" s="675">
        <v>0</v>
      </c>
      <c r="DE100" s="675">
        <v>197275</v>
      </c>
      <c r="DF100" s="675">
        <v>197275</v>
      </c>
      <c r="DG100" s="675">
        <v>150.5</v>
      </c>
      <c r="DH100" s="675">
        <v>0</v>
      </c>
      <c r="DI100" s="675">
        <v>0</v>
      </c>
      <c r="DJ100" s="675">
        <v>0</v>
      </c>
      <c r="DK100" s="675">
        <v>5392</v>
      </c>
      <c r="DL100" s="675">
        <v>0</v>
      </c>
      <c r="DM100" s="675">
        <v>140392</v>
      </c>
      <c r="DN100" s="675">
        <v>0</v>
      </c>
      <c r="DO100" s="675">
        <v>0</v>
      </c>
      <c r="DP100" s="675">
        <v>0</v>
      </c>
      <c r="DQ100" s="675">
        <v>0</v>
      </c>
      <c r="DR100" s="675">
        <v>0</v>
      </c>
      <c r="DS100" s="675">
        <v>0</v>
      </c>
      <c r="DT100" s="675">
        <v>0</v>
      </c>
      <c r="DU100" s="675">
        <v>0</v>
      </c>
      <c r="DV100" s="675">
        <v>0</v>
      </c>
      <c r="DW100" s="675">
        <v>0</v>
      </c>
      <c r="DX100" s="675">
        <v>0</v>
      </c>
      <c r="DY100" s="675">
        <v>0</v>
      </c>
      <c r="DZ100" s="675">
        <v>0</v>
      </c>
      <c r="EA100" s="675">
        <v>0</v>
      </c>
      <c r="EB100" s="675">
        <v>0</v>
      </c>
      <c r="EC100" s="675">
        <v>18.378</v>
      </c>
      <c r="ED100" s="675">
        <v>132494</v>
      </c>
      <c r="EE100" s="675">
        <v>0</v>
      </c>
      <c r="EF100" s="675">
        <v>0</v>
      </c>
      <c r="EG100" s="675">
        <v>0</v>
      </c>
      <c r="EH100" s="675">
        <v>7898</v>
      </c>
      <c r="EI100" s="675">
        <v>0</v>
      </c>
      <c r="EJ100" s="675">
        <v>0</v>
      </c>
      <c r="EK100" s="675">
        <v>0</v>
      </c>
      <c r="EL100" s="675">
        <v>0</v>
      </c>
      <c r="EM100" s="675">
        <v>0</v>
      </c>
      <c r="EN100" s="675">
        <v>0.24100000000000002</v>
      </c>
      <c r="EO100" s="675">
        <v>0</v>
      </c>
      <c r="EP100" s="675">
        <v>0</v>
      </c>
      <c r="EQ100" s="675">
        <v>0.24100000000000002</v>
      </c>
      <c r="ER100" s="675">
        <v>0</v>
      </c>
      <c r="ES100" s="675">
        <v>1.2050000000000001</v>
      </c>
      <c r="ET100" s="675">
        <v>2000</v>
      </c>
      <c r="EU100" s="675">
        <v>143316</v>
      </c>
      <c r="EV100" s="675">
        <v>0</v>
      </c>
      <c r="EW100" s="675">
        <v>0</v>
      </c>
      <c r="EX100" s="675">
        <v>0</v>
      </c>
      <c r="EY100" s="675">
        <v>0</v>
      </c>
      <c r="EZ100" s="675">
        <v>2373598</v>
      </c>
      <c r="FA100" s="675">
        <v>0</v>
      </c>
      <c r="FB100" s="675">
        <v>2516914</v>
      </c>
      <c r="FC100" s="675">
        <v>0.97327799999999998</v>
      </c>
      <c r="FD100" s="675">
        <v>0</v>
      </c>
      <c r="FE100" s="675">
        <v>363080</v>
      </c>
      <c r="FF100" s="675">
        <v>81820</v>
      </c>
      <c r="FG100" s="675">
        <v>6.1239999999999996E-2</v>
      </c>
      <c r="FH100" s="675">
        <v>5.4803999999999999E-2</v>
      </c>
      <c r="FI100" s="675">
        <v>0</v>
      </c>
      <c r="FJ100" s="675">
        <v>0</v>
      </c>
      <c r="FK100" s="675">
        <v>467.27500000000003</v>
      </c>
      <c r="FL100" s="675">
        <v>3023552</v>
      </c>
      <c r="FM100" s="675">
        <v>0</v>
      </c>
      <c r="FN100" s="675">
        <v>0</v>
      </c>
      <c r="FO100" s="675">
        <v>22387</v>
      </c>
      <c r="FP100" s="675">
        <v>0</v>
      </c>
      <c r="FQ100" s="675">
        <v>22387</v>
      </c>
      <c r="FR100" s="675">
        <v>22387</v>
      </c>
      <c r="FS100" s="675">
        <v>0</v>
      </c>
      <c r="FT100" s="675">
        <v>0</v>
      </c>
      <c r="FU100" s="675">
        <v>0</v>
      </c>
      <c r="FV100" s="675">
        <v>0</v>
      </c>
      <c r="FW100" s="675">
        <v>0</v>
      </c>
      <c r="FX100" s="675">
        <v>0</v>
      </c>
      <c r="FY100" s="675">
        <v>0</v>
      </c>
      <c r="FZ100" s="675">
        <v>300</v>
      </c>
      <c r="GA100" s="675">
        <v>6.0060000000000002</v>
      </c>
      <c r="GB100" s="675">
        <v>461196</v>
      </c>
      <c r="GC100" s="675">
        <v>461196</v>
      </c>
      <c r="GD100" s="675">
        <v>52.091000000000001</v>
      </c>
      <c r="GE100" s="675">
        <v>0</v>
      </c>
      <c r="GF100" s="675">
        <v>0</v>
      </c>
      <c r="GG100" s="675">
        <v>0</v>
      </c>
      <c r="GH100" s="675">
        <v>0</v>
      </c>
      <c r="GI100" s="675">
        <v>0</v>
      </c>
      <c r="GJ100" s="675">
        <v>0</v>
      </c>
      <c r="GK100" s="675">
        <v>5238</v>
      </c>
      <c r="GL100" s="675">
        <v>9088</v>
      </c>
      <c r="GM100" s="675">
        <v>0</v>
      </c>
      <c r="GN100" s="675">
        <v>31476</v>
      </c>
      <c r="GO100" s="675">
        <v>0</v>
      </c>
      <c r="GP100" s="675">
        <v>2961814</v>
      </c>
      <c r="GQ100" s="675">
        <v>2961814</v>
      </c>
      <c r="GR100" s="675">
        <v>0</v>
      </c>
      <c r="GS100" s="675">
        <v>0</v>
      </c>
      <c r="GT100" s="675">
        <v>0</v>
      </c>
      <c r="GU100" s="675">
        <v>0</v>
      </c>
      <c r="GV100" s="675">
        <v>0</v>
      </c>
      <c r="GW100" s="675">
        <v>0</v>
      </c>
      <c r="GX100" s="675">
        <v>0</v>
      </c>
      <c r="GY100" s="675">
        <v>0</v>
      </c>
      <c r="GZ100" s="675">
        <v>0</v>
      </c>
      <c r="HA100" s="675">
        <v>0</v>
      </c>
      <c r="HB100" s="675">
        <v>260786259</v>
      </c>
      <c r="HC100" s="675">
        <v>5.0923999999999997E-2</v>
      </c>
      <c r="HD100" s="675">
        <v>59738</v>
      </c>
      <c r="HE100" s="675">
        <v>0</v>
      </c>
      <c r="HF100" s="675">
        <v>0</v>
      </c>
      <c r="HG100" s="675">
        <v>0</v>
      </c>
      <c r="HH100" s="675">
        <v>0</v>
      </c>
      <c r="HI100" s="675">
        <v>0</v>
      </c>
      <c r="HJ100" s="675">
        <v>0</v>
      </c>
      <c r="HK100" s="675">
        <v>0</v>
      </c>
      <c r="HL100" s="675">
        <v>0</v>
      </c>
      <c r="HM100" s="675">
        <v>0</v>
      </c>
      <c r="HN100" s="675">
        <v>0</v>
      </c>
      <c r="HO100" s="675">
        <v>0</v>
      </c>
      <c r="HP100" s="675">
        <v>0</v>
      </c>
      <c r="HQ100" s="675">
        <v>0</v>
      </c>
      <c r="HR100" s="675">
        <v>0</v>
      </c>
      <c r="HS100" s="675">
        <v>0</v>
      </c>
      <c r="HT100" s="675">
        <v>0</v>
      </c>
      <c r="HU100" s="675">
        <v>0</v>
      </c>
      <c r="HV100" s="675">
        <v>0</v>
      </c>
      <c r="HW100" s="675">
        <v>0</v>
      </c>
      <c r="HX100" s="675">
        <v>0</v>
      </c>
      <c r="HY100" s="675">
        <v>0</v>
      </c>
      <c r="HZ100" s="675">
        <v>0</v>
      </c>
      <c r="IA100" s="675">
        <v>0</v>
      </c>
      <c r="IB100" s="675">
        <v>0</v>
      </c>
      <c r="IC100" s="675">
        <v>0</v>
      </c>
      <c r="ID100" s="675">
        <v>0</v>
      </c>
      <c r="IE100" s="675">
        <v>0</v>
      </c>
      <c r="IF100" s="675">
        <v>0</v>
      </c>
      <c r="IG100" s="675">
        <v>0</v>
      </c>
      <c r="IH100" s="675">
        <v>0</v>
      </c>
      <c r="II100" s="675">
        <v>0</v>
      </c>
      <c r="IJ100" s="675">
        <v>0</v>
      </c>
      <c r="IK100" s="675">
        <v>0</v>
      </c>
      <c r="IL100" s="675">
        <v>0</v>
      </c>
      <c r="IM100" s="675">
        <v>0</v>
      </c>
      <c r="IN100" s="675">
        <v>0</v>
      </c>
      <c r="IO100" s="675">
        <v>0</v>
      </c>
      <c r="IP100" s="675">
        <v>0</v>
      </c>
      <c r="IQ100" s="675">
        <v>0</v>
      </c>
      <c r="IR100" s="675">
        <v>0</v>
      </c>
      <c r="IS100" s="675">
        <v>0</v>
      </c>
      <c r="IT100" s="675">
        <v>0</v>
      </c>
      <c r="IU100" s="675">
        <v>0</v>
      </c>
      <c r="IV100" s="675">
        <v>0</v>
      </c>
      <c r="IW100" s="675">
        <v>0</v>
      </c>
      <c r="IX100" s="675">
        <v>0</v>
      </c>
      <c r="IY100" s="675">
        <v>0</v>
      </c>
      <c r="IZ100" s="675">
        <v>0</v>
      </c>
      <c r="JA100" s="675">
        <v>0</v>
      </c>
      <c r="JB100" s="675">
        <v>0</v>
      </c>
      <c r="JC100" s="675">
        <v>0</v>
      </c>
      <c r="JD100" s="675">
        <v>0</v>
      </c>
      <c r="JE100" s="675">
        <v>0</v>
      </c>
      <c r="JF100" s="675">
        <v>0</v>
      </c>
      <c r="JG100" s="675">
        <v>0</v>
      </c>
      <c r="JH100" s="675">
        <v>0</v>
      </c>
      <c r="JI100" s="675">
        <v>0</v>
      </c>
      <c r="JJ100" s="675">
        <v>0</v>
      </c>
      <c r="JK100" s="675">
        <v>0</v>
      </c>
      <c r="JL100" s="675">
        <v>0</v>
      </c>
      <c r="JM100" s="675">
        <v>0</v>
      </c>
      <c r="JN100" s="675">
        <v>32469</v>
      </c>
      <c r="JO100" s="675">
        <v>0</v>
      </c>
      <c r="JP100" s="675">
        <v>0</v>
      </c>
      <c r="JQ100" s="675">
        <v>0</v>
      </c>
      <c r="JR100" s="675">
        <v>0</v>
      </c>
      <c r="JS100" s="675">
        <v>0</v>
      </c>
      <c r="JT100" s="675">
        <v>0</v>
      </c>
      <c r="JU100" s="675">
        <v>0</v>
      </c>
      <c r="JV100" s="675">
        <v>0</v>
      </c>
      <c r="JW100" s="675">
        <v>0</v>
      </c>
      <c r="JX100" s="675">
        <v>0</v>
      </c>
      <c r="JY100" s="675">
        <v>0</v>
      </c>
      <c r="JZ100" s="675">
        <v>0</v>
      </c>
      <c r="KA100" s="675">
        <v>0</v>
      </c>
      <c r="KB100" s="675">
        <v>0</v>
      </c>
      <c r="KC100" s="675">
        <v>0</v>
      </c>
      <c r="KD100" s="675">
        <v>0</v>
      </c>
      <c r="KE100" s="675">
        <v>0</v>
      </c>
      <c r="KF100" s="675">
        <v>0</v>
      </c>
    </row>
    <row r="101" spans="1:292" x14ac:dyDescent="0.25">
      <c r="A101" s="675">
        <v>101838</v>
      </c>
      <c r="B101" s="675">
        <v>32570</v>
      </c>
      <c r="C101" s="675">
        <v>35</v>
      </c>
      <c r="D101" s="675">
        <v>2022</v>
      </c>
      <c r="E101" s="675">
        <v>5392</v>
      </c>
      <c r="F101" s="675">
        <v>0</v>
      </c>
      <c r="G101" s="675">
        <v>1736.25</v>
      </c>
      <c r="H101" s="675">
        <v>1638.701</v>
      </c>
      <c r="I101" s="675">
        <v>1638.701</v>
      </c>
      <c r="J101" s="675">
        <v>1736.25</v>
      </c>
      <c r="K101" s="675">
        <v>0</v>
      </c>
      <c r="L101" s="675">
        <v>6554</v>
      </c>
      <c r="M101" s="675">
        <v>0</v>
      </c>
      <c r="N101" s="675">
        <v>0</v>
      </c>
      <c r="O101" s="675">
        <v>0</v>
      </c>
      <c r="P101" s="675">
        <v>1702.384</v>
      </c>
      <c r="Q101" s="675">
        <v>0</v>
      </c>
      <c r="R101" s="675">
        <v>544274</v>
      </c>
      <c r="S101" s="675">
        <v>319.71300000000002</v>
      </c>
      <c r="T101" s="675">
        <v>0</v>
      </c>
      <c r="U101" s="675">
        <v>544274</v>
      </c>
      <c r="V101" s="675">
        <v>1002.0780000000001</v>
      </c>
      <c r="W101" s="675">
        <v>656762</v>
      </c>
      <c r="X101" s="675">
        <v>656762</v>
      </c>
      <c r="Y101" s="675">
        <v>0</v>
      </c>
      <c r="Z101" s="675">
        <v>0</v>
      </c>
      <c r="AA101" s="675">
        <v>1</v>
      </c>
      <c r="AB101" s="675">
        <v>1</v>
      </c>
      <c r="AC101" s="675">
        <v>0</v>
      </c>
      <c r="AD101" s="675" t="s">
        <v>316</v>
      </c>
      <c r="AE101" s="675">
        <v>0</v>
      </c>
      <c r="AF101" s="675">
        <v>0</v>
      </c>
      <c r="AG101" s="675">
        <v>0</v>
      </c>
      <c r="AH101" s="675">
        <v>0</v>
      </c>
      <c r="AI101" s="675">
        <v>0</v>
      </c>
      <c r="AJ101" s="675">
        <v>5104</v>
      </c>
      <c r="AK101" s="675" t="s">
        <v>671</v>
      </c>
      <c r="AL101" s="675" t="s">
        <v>13</v>
      </c>
      <c r="AM101" s="675">
        <v>0</v>
      </c>
      <c r="AN101" s="675">
        <v>0</v>
      </c>
      <c r="AO101" s="675">
        <v>0</v>
      </c>
      <c r="AP101" s="675">
        <v>0</v>
      </c>
      <c r="AQ101" s="675">
        <v>0</v>
      </c>
      <c r="AR101" s="675">
        <v>0</v>
      </c>
      <c r="AS101" s="675">
        <v>0</v>
      </c>
      <c r="AT101" s="675">
        <v>0</v>
      </c>
      <c r="AU101" s="675">
        <v>0</v>
      </c>
      <c r="AV101" s="675">
        <v>619096</v>
      </c>
      <c r="AW101" s="675">
        <v>18116851</v>
      </c>
      <c r="AX101" s="675">
        <v>17647111</v>
      </c>
      <c r="AY101" s="675">
        <v>20049043</v>
      </c>
      <c r="AZ101" s="675">
        <v>671838</v>
      </c>
      <c r="BA101" s="675">
        <v>0</v>
      </c>
      <c r="BB101" s="675">
        <v>0</v>
      </c>
      <c r="BC101" s="675">
        <v>0</v>
      </c>
      <c r="BD101" s="675">
        <v>0</v>
      </c>
      <c r="BE101" s="675">
        <v>0</v>
      </c>
      <c r="BF101" s="675">
        <v>14947244</v>
      </c>
      <c r="BG101" s="675">
        <v>0</v>
      </c>
      <c r="BH101" s="675">
        <v>463.86799999999999</v>
      </c>
      <c r="BI101" s="675">
        <v>127564</v>
      </c>
      <c r="BJ101" s="675">
        <v>12</v>
      </c>
      <c r="BK101" s="675">
        <v>0</v>
      </c>
      <c r="BL101" s="675">
        <v>0</v>
      </c>
      <c r="BM101" s="675">
        <v>0</v>
      </c>
      <c r="BN101" s="675">
        <v>0</v>
      </c>
      <c r="BO101" s="675">
        <v>0</v>
      </c>
      <c r="BP101" s="675">
        <v>0</v>
      </c>
      <c r="BQ101" s="675">
        <v>5392</v>
      </c>
      <c r="BR101" s="675">
        <v>1</v>
      </c>
      <c r="BS101" s="675">
        <v>0</v>
      </c>
      <c r="BT101" s="675">
        <v>0</v>
      </c>
      <c r="BU101" s="675">
        <v>0</v>
      </c>
      <c r="BV101" s="675">
        <v>0</v>
      </c>
      <c r="BW101" s="675">
        <v>0</v>
      </c>
      <c r="BX101" s="675">
        <v>0</v>
      </c>
      <c r="BY101" s="675">
        <v>0</v>
      </c>
      <c r="BZ101" s="675">
        <v>0</v>
      </c>
      <c r="CA101" s="675">
        <v>0</v>
      </c>
      <c r="CB101" s="675">
        <v>0</v>
      </c>
      <c r="CC101" s="675">
        <v>0</v>
      </c>
      <c r="CD101" s="675">
        <v>0</v>
      </c>
      <c r="CE101" s="675">
        <v>0</v>
      </c>
      <c r="CF101" s="675">
        <v>0</v>
      </c>
      <c r="CG101" s="675">
        <v>0</v>
      </c>
      <c r="CH101" s="675">
        <v>342176</v>
      </c>
      <c r="CI101" s="675">
        <v>0</v>
      </c>
      <c r="CJ101" s="675">
        <v>4</v>
      </c>
      <c r="CK101" s="675">
        <v>0</v>
      </c>
      <c r="CL101" s="675">
        <v>0</v>
      </c>
      <c r="CM101" s="675">
        <v>0</v>
      </c>
      <c r="CN101" s="675">
        <v>0</v>
      </c>
      <c r="CO101" s="675">
        <v>0</v>
      </c>
      <c r="CP101" s="675">
        <v>0.30599999999999999</v>
      </c>
      <c r="CQ101" s="675">
        <v>0</v>
      </c>
      <c r="CR101" s="675">
        <v>1702.384</v>
      </c>
      <c r="CS101" s="675">
        <v>0</v>
      </c>
      <c r="CT101" s="675">
        <v>0</v>
      </c>
      <c r="CU101" s="675">
        <v>0</v>
      </c>
      <c r="CV101" s="675">
        <v>0</v>
      </c>
      <c r="CW101" s="675">
        <v>0</v>
      </c>
      <c r="CX101" s="675">
        <v>0</v>
      </c>
      <c r="CY101" s="675">
        <v>0</v>
      </c>
      <c r="CZ101" s="675">
        <v>0</v>
      </c>
      <c r="DA101" s="675">
        <v>1</v>
      </c>
      <c r="DB101" s="675">
        <v>10740046</v>
      </c>
      <c r="DC101" s="675">
        <v>0</v>
      </c>
      <c r="DD101" s="675">
        <v>0</v>
      </c>
      <c r="DE101" s="675">
        <v>1816992</v>
      </c>
      <c r="DF101" s="675">
        <v>1821825</v>
      </c>
      <c r="DG101" s="675">
        <v>1386.17</v>
      </c>
      <c r="DH101" s="675">
        <v>0</v>
      </c>
      <c r="DI101" s="675">
        <v>4833</v>
      </c>
      <c r="DJ101" s="675">
        <v>0</v>
      </c>
      <c r="DK101" s="675">
        <v>5392</v>
      </c>
      <c r="DL101" s="675">
        <v>0</v>
      </c>
      <c r="DM101" s="675">
        <v>1800763</v>
      </c>
      <c r="DN101" s="675">
        <v>0</v>
      </c>
      <c r="DO101" s="675">
        <v>0</v>
      </c>
      <c r="DP101" s="675">
        <v>0</v>
      </c>
      <c r="DQ101" s="675">
        <v>0</v>
      </c>
      <c r="DR101" s="675">
        <v>0</v>
      </c>
      <c r="DS101" s="675">
        <v>0</v>
      </c>
      <c r="DT101" s="675">
        <v>0</v>
      </c>
      <c r="DU101" s="675">
        <v>0</v>
      </c>
      <c r="DV101" s="675">
        <v>0</v>
      </c>
      <c r="DW101" s="675">
        <v>0</v>
      </c>
      <c r="DX101" s="675">
        <v>0</v>
      </c>
      <c r="DY101" s="675">
        <v>0</v>
      </c>
      <c r="DZ101" s="675">
        <v>0</v>
      </c>
      <c r="EA101" s="675">
        <v>0</v>
      </c>
      <c r="EB101" s="675">
        <v>0</v>
      </c>
      <c r="EC101" s="675">
        <v>55.77</v>
      </c>
      <c r="ED101" s="675">
        <v>402068</v>
      </c>
      <c r="EE101" s="675">
        <v>0</v>
      </c>
      <c r="EF101" s="675">
        <v>0</v>
      </c>
      <c r="EG101" s="675">
        <v>0</v>
      </c>
      <c r="EH101" s="675">
        <v>572236</v>
      </c>
      <c r="EI101" s="675">
        <v>826459</v>
      </c>
      <c r="EJ101" s="675">
        <v>31.525000000000002</v>
      </c>
      <c r="EK101" s="675">
        <v>25.842000000000002</v>
      </c>
      <c r="EL101" s="675">
        <v>0</v>
      </c>
      <c r="EM101" s="675">
        <v>0</v>
      </c>
      <c r="EN101" s="675">
        <v>1.9570000000000001</v>
      </c>
      <c r="EO101" s="675">
        <v>0</v>
      </c>
      <c r="EP101" s="675">
        <v>0</v>
      </c>
      <c r="EQ101" s="675">
        <v>59.324000000000005</v>
      </c>
      <c r="ER101" s="675">
        <v>0</v>
      </c>
      <c r="ES101" s="675">
        <v>87.311000000000007</v>
      </c>
      <c r="ET101" s="675">
        <v>0</v>
      </c>
      <c r="EU101" s="675">
        <v>671838</v>
      </c>
      <c r="EV101" s="675">
        <v>0</v>
      </c>
      <c r="EW101" s="675">
        <v>0</v>
      </c>
      <c r="EX101" s="675">
        <v>0</v>
      </c>
      <c r="EY101" s="675">
        <v>0</v>
      </c>
      <c r="EZ101" s="675">
        <v>14858710</v>
      </c>
      <c r="FA101" s="675">
        <v>0</v>
      </c>
      <c r="FB101" s="675">
        <v>15530548</v>
      </c>
      <c r="FC101" s="675">
        <v>0.97327799999999998</v>
      </c>
      <c r="FD101" s="675">
        <v>0</v>
      </c>
      <c r="FE101" s="675">
        <v>2275598</v>
      </c>
      <c r="FF101" s="675">
        <v>512803</v>
      </c>
      <c r="FG101" s="675">
        <v>6.1239999999999996E-2</v>
      </c>
      <c r="FH101" s="675">
        <v>5.4803999999999999E-2</v>
      </c>
      <c r="FI101" s="675">
        <v>0</v>
      </c>
      <c r="FJ101" s="675">
        <v>0</v>
      </c>
      <c r="FK101" s="675">
        <v>2928.636</v>
      </c>
      <c r="FL101" s="675">
        <v>18661125</v>
      </c>
      <c r="FM101" s="675">
        <v>0</v>
      </c>
      <c r="FN101" s="675">
        <v>0</v>
      </c>
      <c r="FO101" s="675">
        <v>45346</v>
      </c>
      <c r="FP101" s="675">
        <v>0</v>
      </c>
      <c r="FQ101" s="675">
        <v>45346</v>
      </c>
      <c r="FR101" s="675">
        <v>45346</v>
      </c>
      <c r="FS101" s="675">
        <v>0</v>
      </c>
      <c r="FT101" s="675">
        <v>0</v>
      </c>
      <c r="FU101" s="675">
        <v>0</v>
      </c>
      <c r="FV101" s="675">
        <v>0</v>
      </c>
      <c r="FW101" s="675">
        <v>0</v>
      </c>
      <c r="FX101" s="675">
        <v>0</v>
      </c>
      <c r="FY101" s="675">
        <v>0</v>
      </c>
      <c r="FZ101" s="675">
        <v>31</v>
      </c>
      <c r="GA101" s="675">
        <v>0.622</v>
      </c>
      <c r="GB101" s="675">
        <v>338242</v>
      </c>
      <c r="GC101" s="675">
        <v>338242</v>
      </c>
      <c r="GD101" s="675">
        <v>38.225000000000001</v>
      </c>
      <c r="GE101" s="675">
        <v>0</v>
      </c>
      <c r="GF101" s="675">
        <v>0</v>
      </c>
      <c r="GG101" s="675">
        <v>0</v>
      </c>
      <c r="GH101" s="675">
        <v>0</v>
      </c>
      <c r="GI101" s="675">
        <v>0</v>
      </c>
      <c r="GJ101" s="675">
        <v>0</v>
      </c>
      <c r="GK101" s="675">
        <v>5167</v>
      </c>
      <c r="GL101" s="675">
        <v>32090</v>
      </c>
      <c r="GM101" s="675">
        <v>0</v>
      </c>
      <c r="GN101" s="675">
        <v>0</v>
      </c>
      <c r="GO101" s="675">
        <v>0</v>
      </c>
      <c r="GP101" s="675">
        <v>18318949</v>
      </c>
      <c r="GQ101" s="675">
        <v>18318949</v>
      </c>
      <c r="GR101" s="675">
        <v>0</v>
      </c>
      <c r="GS101" s="675">
        <v>0</v>
      </c>
      <c r="GT101" s="675">
        <v>0</v>
      </c>
      <c r="GU101" s="675">
        <v>0</v>
      </c>
      <c r="GV101" s="675">
        <v>0</v>
      </c>
      <c r="GW101" s="675">
        <v>0</v>
      </c>
      <c r="GX101" s="675">
        <v>0</v>
      </c>
      <c r="GY101" s="675">
        <v>0</v>
      </c>
      <c r="GZ101" s="675">
        <v>0</v>
      </c>
      <c r="HA101" s="675">
        <v>0</v>
      </c>
      <c r="HB101" s="675">
        <v>260786259</v>
      </c>
      <c r="HC101" s="675">
        <v>5.0923999999999997E-2</v>
      </c>
      <c r="HD101" s="675">
        <v>342176</v>
      </c>
      <c r="HE101" s="675">
        <v>0</v>
      </c>
      <c r="HF101" s="675">
        <v>0</v>
      </c>
      <c r="HG101" s="675">
        <v>0</v>
      </c>
      <c r="HH101" s="675">
        <v>0</v>
      </c>
      <c r="HI101" s="675">
        <v>0</v>
      </c>
      <c r="HJ101" s="675">
        <v>0</v>
      </c>
      <c r="HK101" s="675">
        <v>0</v>
      </c>
      <c r="HL101" s="675">
        <v>0</v>
      </c>
      <c r="HM101" s="675">
        <v>0</v>
      </c>
      <c r="HN101" s="675">
        <v>0</v>
      </c>
      <c r="HO101" s="675">
        <v>0</v>
      </c>
      <c r="HP101" s="675">
        <v>0</v>
      </c>
      <c r="HQ101" s="675">
        <v>0</v>
      </c>
      <c r="HR101" s="675">
        <v>0</v>
      </c>
      <c r="HS101" s="675">
        <v>0</v>
      </c>
      <c r="HT101" s="675">
        <v>0</v>
      </c>
      <c r="HU101" s="675">
        <v>0</v>
      </c>
      <c r="HV101" s="675">
        <v>0</v>
      </c>
      <c r="HW101" s="675">
        <v>0</v>
      </c>
      <c r="HX101" s="675">
        <v>0</v>
      </c>
      <c r="HY101" s="675">
        <v>0</v>
      </c>
      <c r="HZ101" s="675">
        <v>0</v>
      </c>
      <c r="IA101" s="675">
        <v>0</v>
      </c>
      <c r="IB101" s="675">
        <v>0</v>
      </c>
      <c r="IC101" s="675">
        <v>0</v>
      </c>
      <c r="ID101" s="675">
        <v>0</v>
      </c>
      <c r="IE101" s="675">
        <v>0</v>
      </c>
      <c r="IF101" s="675">
        <v>0</v>
      </c>
      <c r="IG101" s="675">
        <v>0</v>
      </c>
      <c r="IH101" s="675">
        <v>0</v>
      </c>
      <c r="II101" s="675">
        <v>0</v>
      </c>
      <c r="IJ101" s="675">
        <v>0</v>
      </c>
      <c r="IK101" s="675">
        <v>0</v>
      </c>
      <c r="IL101" s="675">
        <v>0</v>
      </c>
      <c r="IM101" s="675">
        <v>0</v>
      </c>
      <c r="IN101" s="675">
        <v>0</v>
      </c>
      <c r="IO101" s="675">
        <v>0</v>
      </c>
      <c r="IP101" s="675">
        <v>0</v>
      </c>
      <c r="IQ101" s="675">
        <v>0</v>
      </c>
      <c r="IR101" s="675">
        <v>0</v>
      </c>
      <c r="IS101" s="675">
        <v>0</v>
      </c>
      <c r="IT101" s="675">
        <v>0</v>
      </c>
      <c r="IU101" s="675">
        <v>0</v>
      </c>
      <c r="IV101" s="675">
        <v>0</v>
      </c>
      <c r="IW101" s="675">
        <v>0</v>
      </c>
      <c r="IX101" s="675">
        <v>0</v>
      </c>
      <c r="IY101" s="675">
        <v>0</v>
      </c>
      <c r="IZ101" s="675">
        <v>0</v>
      </c>
      <c r="JA101" s="675">
        <v>0</v>
      </c>
      <c r="JB101" s="675">
        <v>0</v>
      </c>
      <c r="JC101" s="675">
        <v>0</v>
      </c>
      <c r="JD101" s="675">
        <v>0</v>
      </c>
      <c r="JE101" s="675">
        <v>0</v>
      </c>
      <c r="JF101" s="675">
        <v>0</v>
      </c>
      <c r="JG101" s="675">
        <v>0</v>
      </c>
      <c r="JH101" s="675">
        <v>0</v>
      </c>
      <c r="JI101" s="675">
        <v>0</v>
      </c>
      <c r="JJ101" s="675">
        <v>0</v>
      </c>
      <c r="JK101" s="675">
        <v>0</v>
      </c>
      <c r="JL101" s="675">
        <v>0</v>
      </c>
      <c r="JM101" s="675">
        <v>0</v>
      </c>
      <c r="JN101" s="675">
        <v>32469</v>
      </c>
      <c r="JO101" s="675">
        <v>0</v>
      </c>
      <c r="JP101" s="675">
        <v>0</v>
      </c>
      <c r="JQ101" s="675">
        <v>0</v>
      </c>
      <c r="JR101" s="675">
        <v>0</v>
      </c>
      <c r="JS101" s="675">
        <v>0</v>
      </c>
      <c r="JT101" s="675">
        <v>0</v>
      </c>
      <c r="JU101" s="675">
        <v>0</v>
      </c>
      <c r="JV101" s="675">
        <v>0</v>
      </c>
      <c r="JW101" s="675">
        <v>0</v>
      </c>
      <c r="JX101" s="675">
        <v>0</v>
      </c>
      <c r="JY101" s="675">
        <v>0</v>
      </c>
      <c r="JZ101" s="675">
        <v>0</v>
      </c>
      <c r="KA101" s="675">
        <v>0</v>
      </c>
      <c r="KB101" s="675">
        <v>0</v>
      </c>
      <c r="KC101" s="675">
        <v>0</v>
      </c>
      <c r="KD101" s="675">
        <v>0</v>
      </c>
      <c r="KE101" s="675">
        <v>0</v>
      </c>
      <c r="KF101" s="675">
        <v>0</v>
      </c>
    </row>
    <row r="102" spans="1:292" x14ac:dyDescent="0.25">
      <c r="A102" s="675">
        <v>101840</v>
      </c>
      <c r="B102" s="675">
        <v>32570</v>
      </c>
      <c r="C102" s="675">
        <v>35</v>
      </c>
      <c r="D102" s="675">
        <v>2022</v>
      </c>
      <c r="E102" s="675">
        <v>5392</v>
      </c>
      <c r="F102" s="675">
        <v>0</v>
      </c>
      <c r="G102" s="675">
        <v>388.53800000000001</v>
      </c>
      <c r="H102" s="675">
        <v>385.72900000000004</v>
      </c>
      <c r="I102" s="675">
        <v>385.72900000000004</v>
      </c>
      <c r="J102" s="675">
        <v>388.53800000000001</v>
      </c>
      <c r="K102" s="675">
        <v>0</v>
      </c>
      <c r="L102" s="675">
        <v>6554</v>
      </c>
      <c r="M102" s="675">
        <v>0</v>
      </c>
      <c r="N102" s="675">
        <v>0</v>
      </c>
      <c r="O102" s="675">
        <v>0</v>
      </c>
      <c r="P102" s="675">
        <v>365.36700000000002</v>
      </c>
      <c r="Q102" s="675">
        <v>0</v>
      </c>
      <c r="R102" s="675">
        <v>116813</v>
      </c>
      <c r="S102" s="675">
        <v>319.71300000000002</v>
      </c>
      <c r="T102" s="675">
        <v>0</v>
      </c>
      <c r="U102" s="675">
        <v>116813</v>
      </c>
      <c r="V102" s="675">
        <v>8.1170000000000009</v>
      </c>
      <c r="W102" s="675">
        <v>5320</v>
      </c>
      <c r="X102" s="675">
        <v>5320</v>
      </c>
      <c r="Y102" s="675">
        <v>0</v>
      </c>
      <c r="Z102" s="675">
        <v>0</v>
      </c>
      <c r="AA102" s="675">
        <v>1</v>
      </c>
      <c r="AB102" s="675">
        <v>1</v>
      </c>
      <c r="AC102" s="675">
        <v>0</v>
      </c>
      <c r="AD102" s="675" t="s">
        <v>316</v>
      </c>
      <c r="AE102" s="675">
        <v>0</v>
      </c>
      <c r="AF102" s="675">
        <v>0</v>
      </c>
      <c r="AG102" s="675">
        <v>0</v>
      </c>
      <c r="AH102" s="675">
        <v>0</v>
      </c>
      <c r="AI102" s="675">
        <v>0</v>
      </c>
      <c r="AJ102" s="675">
        <v>5104</v>
      </c>
      <c r="AK102" s="675" t="s">
        <v>671</v>
      </c>
      <c r="AL102" s="675" t="s">
        <v>29</v>
      </c>
      <c r="AM102" s="675">
        <v>0</v>
      </c>
      <c r="AN102" s="675">
        <v>0</v>
      </c>
      <c r="AO102" s="675">
        <v>0</v>
      </c>
      <c r="AP102" s="675">
        <v>0</v>
      </c>
      <c r="AQ102" s="675">
        <v>0</v>
      </c>
      <c r="AR102" s="675">
        <v>0</v>
      </c>
      <c r="AS102" s="675">
        <v>0</v>
      </c>
      <c r="AT102" s="675">
        <v>0</v>
      </c>
      <c r="AU102" s="675">
        <v>0</v>
      </c>
      <c r="AV102" s="675">
        <v>149345</v>
      </c>
      <c r="AW102" s="675">
        <v>3896902</v>
      </c>
      <c r="AX102" s="675">
        <v>3807038</v>
      </c>
      <c r="AY102" s="675">
        <v>4243244</v>
      </c>
      <c r="AZ102" s="675">
        <v>116813</v>
      </c>
      <c r="BA102" s="675">
        <v>26.583000000000002</v>
      </c>
      <c r="BB102" s="675">
        <v>15279</v>
      </c>
      <c r="BC102" s="675">
        <v>15279</v>
      </c>
      <c r="BD102" s="675">
        <v>19.427</v>
      </c>
      <c r="BE102" s="675">
        <v>0</v>
      </c>
      <c r="BF102" s="675">
        <v>3232152</v>
      </c>
      <c r="BG102" s="675">
        <v>0</v>
      </c>
      <c r="BH102" s="675">
        <v>0</v>
      </c>
      <c r="BI102" s="675">
        <v>0</v>
      </c>
      <c r="BJ102" s="675">
        <v>12</v>
      </c>
      <c r="BK102" s="675">
        <v>0</v>
      </c>
      <c r="BL102" s="675">
        <v>0</v>
      </c>
      <c r="BM102" s="675">
        <v>0</v>
      </c>
      <c r="BN102" s="675">
        <v>0</v>
      </c>
      <c r="BO102" s="675">
        <v>0</v>
      </c>
      <c r="BP102" s="675">
        <v>0</v>
      </c>
      <c r="BQ102" s="675">
        <v>5392</v>
      </c>
      <c r="BR102" s="675">
        <v>1</v>
      </c>
      <c r="BS102" s="675">
        <v>0</v>
      </c>
      <c r="BT102" s="675">
        <v>0</v>
      </c>
      <c r="BU102" s="675">
        <v>0</v>
      </c>
      <c r="BV102" s="675">
        <v>0</v>
      </c>
      <c r="BW102" s="675">
        <v>0</v>
      </c>
      <c r="BX102" s="675">
        <v>0</v>
      </c>
      <c r="BY102" s="675">
        <v>0</v>
      </c>
      <c r="BZ102" s="675">
        <v>0</v>
      </c>
      <c r="CA102" s="675">
        <v>0</v>
      </c>
      <c r="CB102" s="675">
        <v>0</v>
      </c>
      <c r="CC102" s="675">
        <v>0</v>
      </c>
      <c r="CD102" s="675">
        <v>0</v>
      </c>
      <c r="CE102" s="675">
        <v>0</v>
      </c>
      <c r="CF102" s="675">
        <v>0</v>
      </c>
      <c r="CG102" s="675">
        <v>0</v>
      </c>
      <c r="CH102" s="675">
        <v>89864</v>
      </c>
      <c r="CI102" s="675">
        <v>0</v>
      </c>
      <c r="CJ102" s="675">
        <v>4</v>
      </c>
      <c r="CK102" s="675">
        <v>0</v>
      </c>
      <c r="CL102" s="675">
        <v>0</v>
      </c>
      <c r="CM102" s="675">
        <v>0</v>
      </c>
      <c r="CN102" s="675">
        <v>0</v>
      </c>
      <c r="CO102" s="675">
        <v>0</v>
      </c>
      <c r="CP102" s="675">
        <v>0</v>
      </c>
      <c r="CQ102" s="675">
        <v>0</v>
      </c>
      <c r="CR102" s="675">
        <v>365.36700000000002</v>
      </c>
      <c r="CS102" s="675">
        <v>0</v>
      </c>
      <c r="CT102" s="675">
        <v>0</v>
      </c>
      <c r="CU102" s="675">
        <v>0</v>
      </c>
      <c r="CV102" s="675">
        <v>0</v>
      </c>
      <c r="CW102" s="675">
        <v>0</v>
      </c>
      <c r="CX102" s="675">
        <v>0</v>
      </c>
      <c r="CY102" s="675">
        <v>0</v>
      </c>
      <c r="CZ102" s="675">
        <v>0</v>
      </c>
      <c r="DA102" s="675">
        <v>1</v>
      </c>
      <c r="DB102" s="675">
        <v>2528068</v>
      </c>
      <c r="DC102" s="675">
        <v>0</v>
      </c>
      <c r="DD102" s="675">
        <v>0</v>
      </c>
      <c r="DE102" s="675">
        <v>684238</v>
      </c>
      <c r="DF102" s="675">
        <v>684238</v>
      </c>
      <c r="DG102" s="675">
        <v>522</v>
      </c>
      <c r="DH102" s="675">
        <v>0</v>
      </c>
      <c r="DI102" s="675">
        <v>0</v>
      </c>
      <c r="DJ102" s="675">
        <v>0</v>
      </c>
      <c r="DK102" s="675">
        <v>5392</v>
      </c>
      <c r="DL102" s="675">
        <v>0</v>
      </c>
      <c r="DM102" s="675">
        <v>87990</v>
      </c>
      <c r="DN102" s="675">
        <v>0</v>
      </c>
      <c r="DO102" s="675">
        <v>0</v>
      </c>
      <c r="DP102" s="675">
        <v>0</v>
      </c>
      <c r="DQ102" s="675">
        <v>0</v>
      </c>
      <c r="DR102" s="675">
        <v>0</v>
      </c>
      <c r="DS102" s="675">
        <v>0</v>
      </c>
      <c r="DT102" s="675">
        <v>0</v>
      </c>
      <c r="DU102" s="675">
        <v>0</v>
      </c>
      <c r="DV102" s="675">
        <v>0</v>
      </c>
      <c r="DW102" s="675">
        <v>0</v>
      </c>
      <c r="DX102" s="675">
        <v>0</v>
      </c>
      <c r="DY102" s="675">
        <v>0</v>
      </c>
      <c r="DZ102" s="675">
        <v>0</v>
      </c>
      <c r="EA102" s="675">
        <v>0</v>
      </c>
      <c r="EB102" s="675">
        <v>0</v>
      </c>
      <c r="EC102" s="675">
        <v>3.9530000000000003</v>
      </c>
      <c r="ED102" s="675">
        <v>28499</v>
      </c>
      <c r="EE102" s="675">
        <v>0</v>
      </c>
      <c r="EF102" s="675">
        <v>0</v>
      </c>
      <c r="EG102" s="675">
        <v>0</v>
      </c>
      <c r="EH102" s="675">
        <v>59491</v>
      </c>
      <c r="EI102" s="675">
        <v>0</v>
      </c>
      <c r="EJ102" s="675">
        <v>0</v>
      </c>
      <c r="EK102" s="675">
        <v>2.484</v>
      </c>
      <c r="EL102" s="675">
        <v>0</v>
      </c>
      <c r="EM102" s="675">
        <v>0</v>
      </c>
      <c r="EN102" s="675">
        <v>0.32500000000000001</v>
      </c>
      <c r="EO102" s="675">
        <v>0</v>
      </c>
      <c r="EP102" s="675">
        <v>0</v>
      </c>
      <c r="EQ102" s="675">
        <v>2.8090000000000002</v>
      </c>
      <c r="ER102" s="675">
        <v>0</v>
      </c>
      <c r="ES102" s="675">
        <v>9.077</v>
      </c>
      <c r="ET102" s="675">
        <v>13292</v>
      </c>
      <c r="EU102" s="675">
        <v>116813</v>
      </c>
      <c r="EV102" s="675">
        <v>0</v>
      </c>
      <c r="EW102" s="675">
        <v>0</v>
      </c>
      <c r="EX102" s="675">
        <v>0</v>
      </c>
      <c r="EY102" s="675">
        <v>0</v>
      </c>
      <c r="EZ102" s="675">
        <v>3204082</v>
      </c>
      <c r="FA102" s="675">
        <v>0</v>
      </c>
      <c r="FB102" s="675">
        <v>3320895</v>
      </c>
      <c r="FC102" s="675">
        <v>0.97327799999999998</v>
      </c>
      <c r="FD102" s="675">
        <v>0</v>
      </c>
      <c r="FE102" s="675">
        <v>492069</v>
      </c>
      <c r="FF102" s="675">
        <v>110887</v>
      </c>
      <c r="FG102" s="675">
        <v>6.1239999999999996E-2</v>
      </c>
      <c r="FH102" s="675">
        <v>5.4803999999999999E-2</v>
      </c>
      <c r="FI102" s="675">
        <v>0</v>
      </c>
      <c r="FJ102" s="675">
        <v>0</v>
      </c>
      <c r="FK102" s="675">
        <v>633.28</v>
      </c>
      <c r="FL102" s="675">
        <v>4013715</v>
      </c>
      <c r="FM102" s="675">
        <v>0</v>
      </c>
      <c r="FN102" s="675">
        <v>0</v>
      </c>
      <c r="FO102" s="675">
        <v>0</v>
      </c>
      <c r="FP102" s="675">
        <v>0</v>
      </c>
      <c r="FQ102" s="675">
        <v>0</v>
      </c>
      <c r="FR102" s="675">
        <v>0</v>
      </c>
      <c r="FS102" s="675">
        <v>0</v>
      </c>
      <c r="FT102" s="675">
        <v>0</v>
      </c>
      <c r="FU102" s="675">
        <v>0</v>
      </c>
      <c r="FV102" s="675">
        <v>0</v>
      </c>
      <c r="FW102" s="675">
        <v>0</v>
      </c>
      <c r="FX102" s="675">
        <v>0</v>
      </c>
      <c r="FY102" s="675">
        <v>0</v>
      </c>
      <c r="FZ102" s="675">
        <v>0</v>
      </c>
      <c r="GA102" s="675">
        <v>0</v>
      </c>
      <c r="GB102" s="675">
        <v>0</v>
      </c>
      <c r="GC102" s="675">
        <v>0</v>
      </c>
      <c r="GD102" s="675">
        <v>0</v>
      </c>
      <c r="GE102" s="675">
        <v>0</v>
      </c>
      <c r="GF102" s="675">
        <v>0</v>
      </c>
      <c r="GG102" s="675">
        <v>0</v>
      </c>
      <c r="GH102" s="675">
        <v>0</v>
      </c>
      <c r="GI102" s="675">
        <v>0</v>
      </c>
      <c r="GJ102" s="675">
        <v>0</v>
      </c>
      <c r="GK102" s="675">
        <v>4970</v>
      </c>
      <c r="GL102" s="675">
        <v>12974</v>
      </c>
      <c r="GM102" s="675">
        <v>0</v>
      </c>
      <c r="GN102" s="675">
        <v>0</v>
      </c>
      <c r="GO102" s="675">
        <v>0</v>
      </c>
      <c r="GP102" s="675">
        <v>3923851</v>
      </c>
      <c r="GQ102" s="675">
        <v>3923851</v>
      </c>
      <c r="GR102" s="675">
        <v>0</v>
      </c>
      <c r="GS102" s="675">
        <v>0</v>
      </c>
      <c r="GT102" s="675">
        <v>0</v>
      </c>
      <c r="GU102" s="675">
        <v>0</v>
      </c>
      <c r="GV102" s="675">
        <v>0</v>
      </c>
      <c r="GW102" s="675">
        <v>0</v>
      </c>
      <c r="GX102" s="675">
        <v>0</v>
      </c>
      <c r="GY102" s="675">
        <v>0</v>
      </c>
      <c r="GZ102" s="675">
        <v>0</v>
      </c>
      <c r="HA102" s="675">
        <v>0</v>
      </c>
      <c r="HB102" s="675">
        <v>260786259</v>
      </c>
      <c r="HC102" s="675">
        <v>5.0923999999999997E-2</v>
      </c>
      <c r="HD102" s="675">
        <v>76572</v>
      </c>
      <c r="HE102" s="675">
        <v>0</v>
      </c>
      <c r="HF102" s="675">
        <v>0</v>
      </c>
      <c r="HG102" s="675">
        <v>0</v>
      </c>
      <c r="HH102" s="675">
        <v>0</v>
      </c>
      <c r="HI102" s="675">
        <v>0</v>
      </c>
      <c r="HJ102" s="675">
        <v>0</v>
      </c>
      <c r="HK102" s="675">
        <v>0</v>
      </c>
      <c r="HL102" s="675">
        <v>0</v>
      </c>
      <c r="HM102" s="675">
        <v>0</v>
      </c>
      <c r="HN102" s="675">
        <v>0</v>
      </c>
      <c r="HO102" s="675">
        <v>0</v>
      </c>
      <c r="HP102" s="675">
        <v>0</v>
      </c>
      <c r="HQ102" s="675">
        <v>0</v>
      </c>
      <c r="HR102" s="675">
        <v>0</v>
      </c>
      <c r="HS102" s="675">
        <v>0</v>
      </c>
      <c r="HT102" s="675">
        <v>0</v>
      </c>
      <c r="HU102" s="675">
        <v>0</v>
      </c>
      <c r="HV102" s="675">
        <v>0</v>
      </c>
      <c r="HW102" s="675">
        <v>0</v>
      </c>
      <c r="HX102" s="675">
        <v>0</v>
      </c>
      <c r="HY102" s="675">
        <v>0</v>
      </c>
      <c r="HZ102" s="675">
        <v>0</v>
      </c>
      <c r="IA102" s="675">
        <v>0</v>
      </c>
      <c r="IB102" s="675">
        <v>0</v>
      </c>
      <c r="IC102" s="675">
        <v>0</v>
      </c>
      <c r="ID102" s="675">
        <v>0</v>
      </c>
      <c r="IE102" s="675">
        <v>0</v>
      </c>
      <c r="IF102" s="675">
        <v>0</v>
      </c>
      <c r="IG102" s="675">
        <v>0</v>
      </c>
      <c r="IH102" s="675">
        <v>0</v>
      </c>
      <c r="II102" s="675">
        <v>0</v>
      </c>
      <c r="IJ102" s="675">
        <v>0</v>
      </c>
      <c r="IK102" s="675">
        <v>0</v>
      </c>
      <c r="IL102" s="675">
        <v>0</v>
      </c>
      <c r="IM102" s="675">
        <v>0</v>
      </c>
      <c r="IN102" s="675">
        <v>0</v>
      </c>
      <c r="IO102" s="675">
        <v>0</v>
      </c>
      <c r="IP102" s="675">
        <v>0</v>
      </c>
      <c r="IQ102" s="675">
        <v>0</v>
      </c>
      <c r="IR102" s="675">
        <v>0</v>
      </c>
      <c r="IS102" s="675">
        <v>0</v>
      </c>
      <c r="IT102" s="675">
        <v>0</v>
      </c>
      <c r="IU102" s="675">
        <v>0</v>
      </c>
      <c r="IV102" s="675">
        <v>0</v>
      </c>
      <c r="IW102" s="675">
        <v>0</v>
      </c>
      <c r="IX102" s="675">
        <v>0</v>
      </c>
      <c r="IY102" s="675">
        <v>0</v>
      </c>
      <c r="IZ102" s="675">
        <v>0</v>
      </c>
      <c r="JA102" s="675">
        <v>0</v>
      </c>
      <c r="JB102" s="675">
        <v>0</v>
      </c>
      <c r="JC102" s="675">
        <v>0</v>
      </c>
      <c r="JD102" s="675">
        <v>0</v>
      </c>
      <c r="JE102" s="675">
        <v>0</v>
      </c>
      <c r="JF102" s="675">
        <v>0</v>
      </c>
      <c r="JG102" s="675">
        <v>0</v>
      </c>
      <c r="JH102" s="675">
        <v>0</v>
      </c>
      <c r="JI102" s="675">
        <v>0</v>
      </c>
      <c r="JJ102" s="675">
        <v>0</v>
      </c>
      <c r="JK102" s="675">
        <v>0</v>
      </c>
      <c r="JL102" s="675">
        <v>0</v>
      </c>
      <c r="JM102" s="675">
        <v>0</v>
      </c>
      <c r="JN102" s="675">
        <v>32469</v>
      </c>
      <c r="JO102" s="675">
        <v>0</v>
      </c>
      <c r="JP102" s="675">
        <v>0</v>
      </c>
      <c r="JQ102" s="675">
        <v>0</v>
      </c>
      <c r="JR102" s="675">
        <v>0</v>
      </c>
      <c r="JS102" s="675">
        <v>0</v>
      </c>
      <c r="JT102" s="675">
        <v>0</v>
      </c>
      <c r="JU102" s="675">
        <v>0</v>
      </c>
      <c r="JV102" s="675">
        <v>0</v>
      </c>
      <c r="JW102" s="675">
        <v>0</v>
      </c>
      <c r="JX102" s="675">
        <v>0</v>
      </c>
      <c r="JY102" s="675">
        <v>0</v>
      </c>
      <c r="JZ102" s="675">
        <v>0</v>
      </c>
      <c r="KA102" s="675">
        <v>0</v>
      </c>
      <c r="KB102" s="675">
        <v>0</v>
      </c>
      <c r="KC102" s="675">
        <v>0</v>
      </c>
      <c r="KD102" s="675">
        <v>0</v>
      </c>
      <c r="KE102" s="675">
        <v>0</v>
      </c>
      <c r="KF102" s="675">
        <v>0</v>
      </c>
    </row>
    <row r="103" spans="1:292" x14ac:dyDescent="0.25">
      <c r="A103" s="675">
        <v>101842</v>
      </c>
      <c r="B103" s="675">
        <v>32570</v>
      </c>
      <c r="C103" s="675">
        <v>35</v>
      </c>
      <c r="D103" s="675">
        <v>2022</v>
      </c>
      <c r="E103" s="675">
        <v>5392</v>
      </c>
      <c r="F103" s="675">
        <v>0</v>
      </c>
      <c r="G103" s="675">
        <v>50.436</v>
      </c>
      <c r="H103" s="675">
        <v>31.970000000000002</v>
      </c>
      <c r="I103" s="675">
        <v>31.970000000000002</v>
      </c>
      <c r="J103" s="675">
        <v>50.436</v>
      </c>
      <c r="K103" s="675">
        <v>0</v>
      </c>
      <c r="L103" s="675">
        <v>6554</v>
      </c>
      <c r="M103" s="675">
        <v>0</v>
      </c>
      <c r="N103" s="675">
        <v>0</v>
      </c>
      <c r="O103" s="675">
        <v>0</v>
      </c>
      <c r="P103" s="675">
        <v>60.114000000000004</v>
      </c>
      <c r="Q103" s="675">
        <v>0</v>
      </c>
      <c r="R103" s="675">
        <v>19219</v>
      </c>
      <c r="S103" s="675">
        <v>319.71300000000002</v>
      </c>
      <c r="T103" s="675">
        <v>0</v>
      </c>
      <c r="U103" s="675">
        <v>19219</v>
      </c>
      <c r="V103" s="675">
        <v>11.463000000000001</v>
      </c>
      <c r="W103" s="675">
        <v>7513</v>
      </c>
      <c r="X103" s="675">
        <v>7513</v>
      </c>
      <c r="Y103" s="675">
        <v>0</v>
      </c>
      <c r="Z103" s="675">
        <v>0</v>
      </c>
      <c r="AA103" s="675">
        <v>1</v>
      </c>
      <c r="AB103" s="675">
        <v>1</v>
      </c>
      <c r="AC103" s="675">
        <v>0</v>
      </c>
      <c r="AD103" s="675" t="s">
        <v>316</v>
      </c>
      <c r="AE103" s="675">
        <v>0</v>
      </c>
      <c r="AF103" s="675">
        <v>0</v>
      </c>
      <c r="AG103" s="675">
        <v>0</v>
      </c>
      <c r="AH103" s="675">
        <v>0</v>
      </c>
      <c r="AI103" s="675">
        <v>0</v>
      </c>
      <c r="AJ103" s="675">
        <v>5104</v>
      </c>
      <c r="AK103" s="675" t="s">
        <v>671</v>
      </c>
      <c r="AL103" s="675" t="s">
        <v>30</v>
      </c>
      <c r="AM103" s="675">
        <v>0</v>
      </c>
      <c r="AN103" s="675">
        <v>0</v>
      </c>
      <c r="AO103" s="675">
        <v>0</v>
      </c>
      <c r="AP103" s="675">
        <v>0</v>
      </c>
      <c r="AQ103" s="675">
        <v>0</v>
      </c>
      <c r="AR103" s="675">
        <v>0</v>
      </c>
      <c r="AS103" s="675">
        <v>0</v>
      </c>
      <c r="AT103" s="675">
        <v>0</v>
      </c>
      <c r="AU103" s="675">
        <v>0</v>
      </c>
      <c r="AV103" s="675">
        <v>32998</v>
      </c>
      <c r="AW103" s="675">
        <v>535833</v>
      </c>
      <c r="AX103" s="675">
        <v>517507</v>
      </c>
      <c r="AY103" s="675">
        <v>571881</v>
      </c>
      <c r="AZ103" s="675">
        <v>25668</v>
      </c>
      <c r="BA103" s="675">
        <v>3.8330000000000002</v>
      </c>
      <c r="BB103" s="675">
        <v>0</v>
      </c>
      <c r="BC103" s="675">
        <v>0</v>
      </c>
      <c r="BD103" s="675">
        <v>0</v>
      </c>
      <c r="BE103" s="675">
        <v>0</v>
      </c>
      <c r="BF103" s="675">
        <v>442111</v>
      </c>
      <c r="BG103" s="675">
        <v>0</v>
      </c>
      <c r="BH103" s="675">
        <v>23.452000000000002</v>
      </c>
      <c r="BI103" s="675">
        <v>6449</v>
      </c>
      <c r="BJ103" s="675">
        <v>12</v>
      </c>
      <c r="BK103" s="675">
        <v>0</v>
      </c>
      <c r="BL103" s="675">
        <v>0</v>
      </c>
      <c r="BM103" s="675">
        <v>0</v>
      </c>
      <c r="BN103" s="675">
        <v>0</v>
      </c>
      <c r="BO103" s="675">
        <v>0</v>
      </c>
      <c r="BP103" s="675">
        <v>0</v>
      </c>
      <c r="BQ103" s="675">
        <v>5392</v>
      </c>
      <c r="BR103" s="675">
        <v>1</v>
      </c>
      <c r="BS103" s="675">
        <v>0</v>
      </c>
      <c r="BT103" s="675">
        <v>0</v>
      </c>
      <c r="BU103" s="675">
        <v>0</v>
      </c>
      <c r="BV103" s="675">
        <v>0</v>
      </c>
      <c r="BW103" s="675">
        <v>0</v>
      </c>
      <c r="BX103" s="675">
        <v>0</v>
      </c>
      <c r="BY103" s="675">
        <v>0</v>
      </c>
      <c r="BZ103" s="675">
        <v>0</v>
      </c>
      <c r="CA103" s="675">
        <v>0</v>
      </c>
      <c r="CB103" s="675">
        <v>0</v>
      </c>
      <c r="CC103" s="675">
        <v>0</v>
      </c>
      <c r="CD103" s="675">
        <v>0</v>
      </c>
      <c r="CE103" s="675">
        <v>0</v>
      </c>
      <c r="CF103" s="675">
        <v>0</v>
      </c>
      <c r="CG103" s="675">
        <v>0</v>
      </c>
      <c r="CH103" s="675">
        <v>11877</v>
      </c>
      <c r="CI103" s="675">
        <v>0</v>
      </c>
      <c r="CJ103" s="675">
        <v>4</v>
      </c>
      <c r="CK103" s="675">
        <v>0</v>
      </c>
      <c r="CL103" s="675">
        <v>0</v>
      </c>
      <c r="CM103" s="675">
        <v>0</v>
      </c>
      <c r="CN103" s="675">
        <v>0</v>
      </c>
      <c r="CO103" s="675">
        <v>0</v>
      </c>
      <c r="CP103" s="675">
        <v>0</v>
      </c>
      <c r="CQ103" s="675">
        <v>8.3000000000000004E-2</v>
      </c>
      <c r="CR103" s="675">
        <v>60.114000000000004</v>
      </c>
      <c r="CS103" s="675">
        <v>0</v>
      </c>
      <c r="CT103" s="675">
        <v>0</v>
      </c>
      <c r="CU103" s="675">
        <v>0</v>
      </c>
      <c r="CV103" s="675">
        <v>0</v>
      </c>
      <c r="CW103" s="675">
        <v>0</v>
      </c>
      <c r="CX103" s="675">
        <v>0</v>
      </c>
      <c r="CY103" s="675">
        <v>0</v>
      </c>
      <c r="CZ103" s="675">
        <v>0</v>
      </c>
      <c r="DA103" s="675">
        <v>1</v>
      </c>
      <c r="DB103" s="675">
        <v>209531</v>
      </c>
      <c r="DC103" s="675">
        <v>0</v>
      </c>
      <c r="DD103" s="675">
        <v>0</v>
      </c>
      <c r="DE103" s="675">
        <v>49378</v>
      </c>
      <c r="DF103" s="675">
        <v>49378</v>
      </c>
      <c r="DG103" s="675">
        <v>37.67</v>
      </c>
      <c r="DH103" s="675">
        <v>0</v>
      </c>
      <c r="DI103" s="675">
        <v>0</v>
      </c>
      <c r="DJ103" s="675">
        <v>0</v>
      </c>
      <c r="DK103" s="675">
        <v>5392</v>
      </c>
      <c r="DL103" s="675">
        <v>0</v>
      </c>
      <c r="DM103" s="675">
        <v>24245</v>
      </c>
      <c r="DN103" s="675">
        <v>0</v>
      </c>
      <c r="DO103" s="675">
        <v>0</v>
      </c>
      <c r="DP103" s="675">
        <v>0</v>
      </c>
      <c r="DQ103" s="675">
        <v>0</v>
      </c>
      <c r="DR103" s="675">
        <v>0</v>
      </c>
      <c r="DS103" s="675">
        <v>0</v>
      </c>
      <c r="DT103" s="675">
        <v>0</v>
      </c>
      <c r="DU103" s="675">
        <v>0</v>
      </c>
      <c r="DV103" s="675">
        <v>0</v>
      </c>
      <c r="DW103" s="675">
        <v>0</v>
      </c>
      <c r="DX103" s="675">
        <v>0</v>
      </c>
      <c r="DY103" s="675">
        <v>0</v>
      </c>
      <c r="DZ103" s="675">
        <v>0</v>
      </c>
      <c r="EA103" s="675">
        <v>0</v>
      </c>
      <c r="EB103" s="675">
        <v>0</v>
      </c>
      <c r="EC103" s="675">
        <v>3.363</v>
      </c>
      <c r="ED103" s="675">
        <v>24245</v>
      </c>
      <c r="EE103" s="675">
        <v>0</v>
      </c>
      <c r="EF103" s="675">
        <v>0</v>
      </c>
      <c r="EG103" s="675">
        <v>0</v>
      </c>
      <c r="EH103" s="675">
        <v>0</v>
      </c>
      <c r="EI103" s="675">
        <v>0</v>
      </c>
      <c r="EJ103" s="675">
        <v>0</v>
      </c>
      <c r="EK103" s="675">
        <v>0</v>
      </c>
      <c r="EL103" s="675">
        <v>0</v>
      </c>
      <c r="EM103" s="675">
        <v>0</v>
      </c>
      <c r="EN103" s="675">
        <v>0</v>
      </c>
      <c r="EO103" s="675">
        <v>0</v>
      </c>
      <c r="EP103" s="675">
        <v>0</v>
      </c>
      <c r="EQ103" s="675">
        <v>0</v>
      </c>
      <c r="ER103" s="675">
        <v>0</v>
      </c>
      <c r="ES103" s="675">
        <v>0</v>
      </c>
      <c r="ET103" s="675">
        <v>1937</v>
      </c>
      <c r="EU103" s="675">
        <v>25668</v>
      </c>
      <c r="EV103" s="675">
        <v>0</v>
      </c>
      <c r="EW103" s="675">
        <v>0</v>
      </c>
      <c r="EX103" s="675">
        <v>0</v>
      </c>
      <c r="EY103" s="675">
        <v>0</v>
      </c>
      <c r="EZ103" s="675">
        <v>435031</v>
      </c>
      <c r="FA103" s="675">
        <v>0</v>
      </c>
      <c r="FB103" s="675">
        <v>460699</v>
      </c>
      <c r="FC103" s="675">
        <v>0.97327799999999998</v>
      </c>
      <c r="FD103" s="675">
        <v>0</v>
      </c>
      <c r="FE103" s="675">
        <v>67308</v>
      </c>
      <c r="FF103" s="675">
        <v>15168</v>
      </c>
      <c r="FG103" s="675">
        <v>6.1239999999999996E-2</v>
      </c>
      <c r="FH103" s="675">
        <v>5.4803999999999999E-2</v>
      </c>
      <c r="FI103" s="675">
        <v>0</v>
      </c>
      <c r="FJ103" s="675">
        <v>0</v>
      </c>
      <c r="FK103" s="675">
        <v>86.624000000000009</v>
      </c>
      <c r="FL103" s="675">
        <v>555052</v>
      </c>
      <c r="FM103" s="675">
        <v>0</v>
      </c>
      <c r="FN103" s="675">
        <v>0</v>
      </c>
      <c r="FO103" s="675">
        <v>0</v>
      </c>
      <c r="FP103" s="675">
        <v>0</v>
      </c>
      <c r="FQ103" s="675">
        <v>0</v>
      </c>
      <c r="FR103" s="675">
        <v>0</v>
      </c>
      <c r="FS103" s="675">
        <v>0</v>
      </c>
      <c r="FT103" s="675">
        <v>0</v>
      </c>
      <c r="FU103" s="675">
        <v>0</v>
      </c>
      <c r="FV103" s="675">
        <v>0</v>
      </c>
      <c r="FW103" s="675">
        <v>0</v>
      </c>
      <c r="FX103" s="675">
        <v>0</v>
      </c>
      <c r="FY103" s="675">
        <v>0</v>
      </c>
      <c r="FZ103" s="675">
        <v>197</v>
      </c>
      <c r="GA103" s="675">
        <v>3.9470000000000001</v>
      </c>
      <c r="GB103" s="675">
        <v>163583</v>
      </c>
      <c r="GC103" s="675">
        <v>163583</v>
      </c>
      <c r="GD103" s="675">
        <v>18.466000000000001</v>
      </c>
      <c r="GE103" s="675">
        <v>0</v>
      </c>
      <c r="GF103" s="675">
        <v>0</v>
      </c>
      <c r="GG103" s="675">
        <v>0</v>
      </c>
      <c r="GH103" s="675">
        <v>0</v>
      </c>
      <c r="GI103" s="675">
        <v>0</v>
      </c>
      <c r="GJ103" s="675">
        <v>0</v>
      </c>
      <c r="GK103" s="675">
        <v>5305</v>
      </c>
      <c r="GL103" s="675">
        <v>2818</v>
      </c>
      <c r="GM103" s="675">
        <v>0</v>
      </c>
      <c r="GN103" s="675">
        <v>0</v>
      </c>
      <c r="GO103" s="675">
        <v>0</v>
      </c>
      <c r="GP103" s="675">
        <v>543175</v>
      </c>
      <c r="GQ103" s="675">
        <v>543175</v>
      </c>
      <c r="GR103" s="675">
        <v>0</v>
      </c>
      <c r="GS103" s="675">
        <v>0</v>
      </c>
      <c r="GT103" s="675">
        <v>0</v>
      </c>
      <c r="GU103" s="675">
        <v>0</v>
      </c>
      <c r="GV103" s="675">
        <v>0</v>
      </c>
      <c r="GW103" s="675">
        <v>0</v>
      </c>
      <c r="GX103" s="675">
        <v>0</v>
      </c>
      <c r="GY103" s="675">
        <v>0</v>
      </c>
      <c r="GZ103" s="675">
        <v>0</v>
      </c>
      <c r="HA103" s="675">
        <v>0</v>
      </c>
      <c r="HB103" s="675">
        <v>260786259</v>
      </c>
      <c r="HC103" s="675">
        <v>5.0923999999999997E-2</v>
      </c>
      <c r="HD103" s="675">
        <v>9940</v>
      </c>
      <c r="HE103" s="675">
        <v>0</v>
      </c>
      <c r="HF103" s="675">
        <v>0</v>
      </c>
      <c r="HG103" s="675">
        <v>0</v>
      </c>
      <c r="HH103" s="675">
        <v>0</v>
      </c>
      <c r="HI103" s="675">
        <v>0</v>
      </c>
      <c r="HJ103" s="675">
        <v>0</v>
      </c>
      <c r="HK103" s="675">
        <v>0</v>
      </c>
      <c r="HL103" s="675">
        <v>0</v>
      </c>
      <c r="HM103" s="675">
        <v>0</v>
      </c>
      <c r="HN103" s="675">
        <v>0</v>
      </c>
      <c r="HO103" s="675">
        <v>0</v>
      </c>
      <c r="HP103" s="675">
        <v>0</v>
      </c>
      <c r="HQ103" s="675">
        <v>0</v>
      </c>
      <c r="HR103" s="675">
        <v>0</v>
      </c>
      <c r="HS103" s="675">
        <v>0</v>
      </c>
      <c r="HT103" s="675">
        <v>0</v>
      </c>
      <c r="HU103" s="675">
        <v>0</v>
      </c>
      <c r="HV103" s="675">
        <v>0</v>
      </c>
      <c r="HW103" s="675">
        <v>0</v>
      </c>
      <c r="HX103" s="675">
        <v>0</v>
      </c>
      <c r="HY103" s="675">
        <v>0</v>
      </c>
      <c r="HZ103" s="675">
        <v>0</v>
      </c>
      <c r="IA103" s="675">
        <v>0</v>
      </c>
      <c r="IB103" s="675">
        <v>0</v>
      </c>
      <c r="IC103" s="675">
        <v>0</v>
      </c>
      <c r="ID103" s="675">
        <v>0</v>
      </c>
      <c r="IE103" s="675">
        <v>0</v>
      </c>
      <c r="IF103" s="675">
        <v>0</v>
      </c>
      <c r="IG103" s="675">
        <v>0</v>
      </c>
      <c r="IH103" s="675">
        <v>0</v>
      </c>
      <c r="II103" s="675">
        <v>0</v>
      </c>
      <c r="IJ103" s="675">
        <v>0</v>
      </c>
      <c r="IK103" s="675">
        <v>0</v>
      </c>
      <c r="IL103" s="675">
        <v>0</v>
      </c>
      <c r="IM103" s="675">
        <v>0</v>
      </c>
      <c r="IN103" s="675">
        <v>0</v>
      </c>
      <c r="IO103" s="675">
        <v>0</v>
      </c>
      <c r="IP103" s="675">
        <v>0</v>
      </c>
      <c r="IQ103" s="675">
        <v>0</v>
      </c>
      <c r="IR103" s="675">
        <v>0</v>
      </c>
      <c r="IS103" s="675">
        <v>0</v>
      </c>
      <c r="IT103" s="675">
        <v>0</v>
      </c>
      <c r="IU103" s="675">
        <v>0</v>
      </c>
      <c r="IV103" s="675">
        <v>0</v>
      </c>
      <c r="IW103" s="675">
        <v>0</v>
      </c>
      <c r="IX103" s="675">
        <v>0</v>
      </c>
      <c r="IY103" s="675">
        <v>0</v>
      </c>
      <c r="IZ103" s="675">
        <v>0</v>
      </c>
      <c r="JA103" s="675">
        <v>0</v>
      </c>
      <c r="JB103" s="675">
        <v>0</v>
      </c>
      <c r="JC103" s="675">
        <v>0</v>
      </c>
      <c r="JD103" s="675">
        <v>0</v>
      </c>
      <c r="JE103" s="675">
        <v>0</v>
      </c>
      <c r="JF103" s="675">
        <v>0</v>
      </c>
      <c r="JG103" s="675">
        <v>0</v>
      </c>
      <c r="JH103" s="675">
        <v>0</v>
      </c>
      <c r="JI103" s="675">
        <v>0</v>
      </c>
      <c r="JJ103" s="675">
        <v>0</v>
      </c>
      <c r="JK103" s="675">
        <v>0</v>
      </c>
      <c r="JL103" s="675">
        <v>0</v>
      </c>
      <c r="JM103" s="675">
        <v>0</v>
      </c>
      <c r="JN103" s="675">
        <v>32469</v>
      </c>
      <c r="JO103" s="675">
        <v>0</v>
      </c>
      <c r="JP103" s="675">
        <v>0</v>
      </c>
      <c r="JQ103" s="675">
        <v>0</v>
      </c>
      <c r="JR103" s="675">
        <v>0</v>
      </c>
      <c r="JS103" s="675">
        <v>0</v>
      </c>
      <c r="JT103" s="675">
        <v>0</v>
      </c>
      <c r="JU103" s="675">
        <v>0</v>
      </c>
      <c r="JV103" s="675">
        <v>0</v>
      </c>
      <c r="JW103" s="675">
        <v>0</v>
      </c>
      <c r="JX103" s="675">
        <v>0</v>
      </c>
      <c r="JY103" s="675">
        <v>0</v>
      </c>
      <c r="JZ103" s="675">
        <v>0</v>
      </c>
      <c r="KA103" s="675">
        <v>0</v>
      </c>
      <c r="KB103" s="675">
        <v>0</v>
      </c>
      <c r="KC103" s="675">
        <v>0</v>
      </c>
      <c r="KD103" s="675">
        <v>0</v>
      </c>
      <c r="KE103" s="675">
        <v>0</v>
      </c>
      <c r="KF103" s="675">
        <v>0</v>
      </c>
    </row>
    <row r="104" spans="1:292" x14ac:dyDescent="0.25">
      <c r="A104" s="675">
        <v>101845</v>
      </c>
      <c r="B104" s="675">
        <v>32570</v>
      </c>
      <c r="C104" s="675">
        <v>35</v>
      </c>
      <c r="D104" s="675">
        <v>2022</v>
      </c>
      <c r="E104" s="675">
        <v>5392</v>
      </c>
      <c r="F104" s="675">
        <v>0</v>
      </c>
      <c r="G104" s="675">
        <v>11459.829</v>
      </c>
      <c r="H104" s="675">
        <v>10757.424999999999</v>
      </c>
      <c r="I104" s="675">
        <v>10757.424999999999</v>
      </c>
      <c r="J104" s="675">
        <v>11459.829</v>
      </c>
      <c r="K104" s="675">
        <v>0</v>
      </c>
      <c r="L104" s="675">
        <v>6554</v>
      </c>
      <c r="M104" s="675">
        <v>0</v>
      </c>
      <c r="N104" s="675">
        <v>0</v>
      </c>
      <c r="O104" s="675">
        <v>0</v>
      </c>
      <c r="P104" s="675">
        <v>10872.768</v>
      </c>
      <c r="Q104" s="675">
        <v>0</v>
      </c>
      <c r="R104" s="675">
        <v>3476165</v>
      </c>
      <c r="S104" s="675">
        <v>319.71300000000002</v>
      </c>
      <c r="T104" s="675">
        <v>0</v>
      </c>
      <c r="U104" s="675">
        <v>3476165</v>
      </c>
      <c r="V104" s="675">
        <v>4.7520000000000007</v>
      </c>
      <c r="W104" s="675">
        <v>3114</v>
      </c>
      <c r="X104" s="675">
        <v>3114</v>
      </c>
      <c r="Y104" s="675">
        <v>0</v>
      </c>
      <c r="Z104" s="675">
        <v>0</v>
      </c>
      <c r="AA104" s="675">
        <v>1</v>
      </c>
      <c r="AB104" s="675">
        <v>1</v>
      </c>
      <c r="AC104" s="675">
        <v>0</v>
      </c>
      <c r="AD104" s="675" t="s">
        <v>316</v>
      </c>
      <c r="AE104" s="675">
        <v>0</v>
      </c>
      <c r="AF104" s="675">
        <v>0</v>
      </c>
      <c r="AG104" s="675">
        <v>0</v>
      </c>
      <c r="AH104" s="675">
        <v>0</v>
      </c>
      <c r="AI104" s="675">
        <v>0</v>
      </c>
      <c r="AJ104" s="675">
        <v>5104</v>
      </c>
      <c r="AK104" s="675" t="s">
        <v>671</v>
      </c>
      <c r="AL104" s="675" t="s">
        <v>102</v>
      </c>
      <c r="AM104" s="675">
        <v>0</v>
      </c>
      <c r="AN104" s="675">
        <v>0</v>
      </c>
      <c r="AO104" s="675">
        <v>0</v>
      </c>
      <c r="AP104" s="675">
        <v>0</v>
      </c>
      <c r="AQ104" s="675">
        <v>0</v>
      </c>
      <c r="AR104" s="675">
        <v>0</v>
      </c>
      <c r="AS104" s="675">
        <v>0</v>
      </c>
      <c r="AT104" s="675">
        <v>0</v>
      </c>
      <c r="AU104" s="675">
        <v>0</v>
      </c>
      <c r="AV104" s="675">
        <v>6455581</v>
      </c>
      <c r="AW104" s="675">
        <v>115115170</v>
      </c>
      <c r="AX104" s="675">
        <v>111020649</v>
      </c>
      <c r="AY104" s="675">
        <v>121678998</v>
      </c>
      <c r="AZ104" s="675">
        <v>5060875</v>
      </c>
      <c r="BA104" s="675">
        <v>486.91700000000003</v>
      </c>
      <c r="BB104" s="675">
        <v>0</v>
      </c>
      <c r="BC104" s="675">
        <v>0</v>
      </c>
      <c r="BD104" s="675">
        <v>0</v>
      </c>
      <c r="BE104" s="675">
        <v>0</v>
      </c>
      <c r="BF104" s="675">
        <v>93678893</v>
      </c>
      <c r="BG104" s="675">
        <v>0</v>
      </c>
      <c r="BH104" s="675">
        <v>5397.2539999999999</v>
      </c>
      <c r="BI104" s="675">
        <v>1484245</v>
      </c>
      <c r="BJ104" s="675">
        <v>12</v>
      </c>
      <c r="BK104" s="675">
        <v>0</v>
      </c>
      <c r="BL104" s="675">
        <v>0</v>
      </c>
      <c r="BM104" s="675">
        <v>0</v>
      </c>
      <c r="BN104" s="675">
        <v>0</v>
      </c>
      <c r="BO104" s="675">
        <v>0</v>
      </c>
      <c r="BP104" s="675">
        <v>0</v>
      </c>
      <c r="BQ104" s="675">
        <v>5392</v>
      </c>
      <c r="BR104" s="675">
        <v>1</v>
      </c>
      <c r="BS104" s="675">
        <v>0</v>
      </c>
      <c r="BT104" s="675">
        <v>0</v>
      </c>
      <c r="BU104" s="675">
        <v>0</v>
      </c>
      <c r="BV104" s="675">
        <v>0</v>
      </c>
      <c r="BW104" s="675">
        <v>0</v>
      </c>
      <c r="BX104" s="675">
        <v>0</v>
      </c>
      <c r="BY104" s="675">
        <v>0</v>
      </c>
      <c r="BZ104" s="675">
        <v>0</v>
      </c>
      <c r="CA104" s="675">
        <v>262.81800000000004</v>
      </c>
      <c r="CB104" s="675">
        <v>100465</v>
      </c>
      <c r="CC104" s="675">
        <v>0</v>
      </c>
      <c r="CD104" s="675">
        <v>0</v>
      </c>
      <c r="CE104" s="675">
        <v>0</v>
      </c>
      <c r="CF104" s="675">
        <v>0</v>
      </c>
      <c r="CG104" s="675">
        <v>0</v>
      </c>
      <c r="CH104" s="675">
        <v>2509811</v>
      </c>
      <c r="CI104" s="675">
        <v>0</v>
      </c>
      <c r="CJ104" s="675">
        <v>4</v>
      </c>
      <c r="CK104" s="675">
        <v>0</v>
      </c>
      <c r="CL104" s="675">
        <v>0</v>
      </c>
      <c r="CM104" s="675">
        <v>0</v>
      </c>
      <c r="CN104" s="675">
        <v>0</v>
      </c>
      <c r="CO104" s="675">
        <v>0</v>
      </c>
      <c r="CP104" s="675">
        <v>2.1240000000000001</v>
      </c>
      <c r="CQ104" s="675">
        <v>31.5</v>
      </c>
      <c r="CR104" s="675">
        <v>10872.768</v>
      </c>
      <c r="CS104" s="675">
        <v>0</v>
      </c>
      <c r="CT104" s="675">
        <v>0</v>
      </c>
      <c r="CU104" s="675">
        <v>0</v>
      </c>
      <c r="CV104" s="675">
        <v>0</v>
      </c>
      <c r="CW104" s="675">
        <v>0</v>
      </c>
      <c r="CX104" s="675">
        <v>0</v>
      </c>
      <c r="CY104" s="675">
        <v>0</v>
      </c>
      <c r="CZ104" s="675">
        <v>0</v>
      </c>
      <c r="DA104" s="675">
        <v>1</v>
      </c>
      <c r="DB104" s="675">
        <v>70504163</v>
      </c>
      <c r="DC104" s="675">
        <v>0</v>
      </c>
      <c r="DD104" s="675">
        <v>0</v>
      </c>
      <c r="DE104" s="675">
        <v>15309266</v>
      </c>
      <c r="DF104" s="675">
        <v>15342815</v>
      </c>
      <c r="DG104" s="675">
        <v>11679.33</v>
      </c>
      <c r="DH104" s="675">
        <v>0</v>
      </c>
      <c r="DI104" s="675">
        <v>33549</v>
      </c>
      <c r="DJ104" s="675">
        <v>0</v>
      </c>
      <c r="DK104" s="675">
        <v>5392</v>
      </c>
      <c r="DL104" s="675">
        <v>0</v>
      </c>
      <c r="DM104" s="675">
        <v>6418886</v>
      </c>
      <c r="DN104" s="675">
        <v>0</v>
      </c>
      <c r="DO104" s="675">
        <v>0</v>
      </c>
      <c r="DP104" s="675">
        <v>0</v>
      </c>
      <c r="DQ104" s="675">
        <v>0</v>
      </c>
      <c r="DR104" s="675">
        <v>0</v>
      </c>
      <c r="DS104" s="675">
        <v>0</v>
      </c>
      <c r="DT104" s="675">
        <v>0</v>
      </c>
      <c r="DU104" s="675">
        <v>0</v>
      </c>
      <c r="DV104" s="675">
        <v>0</v>
      </c>
      <c r="DW104" s="675">
        <v>0</v>
      </c>
      <c r="DX104" s="675">
        <v>0</v>
      </c>
      <c r="DY104" s="675">
        <v>0</v>
      </c>
      <c r="DZ104" s="675">
        <v>0</v>
      </c>
      <c r="EA104" s="675">
        <v>0</v>
      </c>
      <c r="EB104" s="675">
        <v>0</v>
      </c>
      <c r="EC104" s="675">
        <v>190.42400000000001</v>
      </c>
      <c r="ED104" s="675">
        <v>1372843</v>
      </c>
      <c r="EE104" s="675">
        <v>0</v>
      </c>
      <c r="EF104" s="675">
        <v>0</v>
      </c>
      <c r="EG104" s="675">
        <v>0</v>
      </c>
      <c r="EH104" s="675">
        <v>5046043</v>
      </c>
      <c r="EI104" s="675">
        <v>0</v>
      </c>
      <c r="EJ104" s="675">
        <v>0</v>
      </c>
      <c r="EK104" s="675">
        <v>223.607</v>
      </c>
      <c r="EL104" s="675">
        <v>0</v>
      </c>
      <c r="EM104" s="675">
        <v>22.324000000000002</v>
      </c>
      <c r="EN104" s="675">
        <v>6.4250000000000007</v>
      </c>
      <c r="EO104" s="675">
        <v>0</v>
      </c>
      <c r="EP104" s="675">
        <v>0</v>
      </c>
      <c r="EQ104" s="675">
        <v>252.35600000000002</v>
      </c>
      <c r="ER104" s="675">
        <v>0</v>
      </c>
      <c r="ES104" s="675">
        <v>769.91800000000001</v>
      </c>
      <c r="ET104" s="675">
        <v>251334</v>
      </c>
      <c r="EU104" s="675">
        <v>5060875</v>
      </c>
      <c r="EV104" s="675">
        <v>0</v>
      </c>
      <c r="EW104" s="675">
        <v>0</v>
      </c>
      <c r="EX104" s="675">
        <v>0</v>
      </c>
      <c r="EY104" s="675">
        <v>0</v>
      </c>
      <c r="EZ104" s="675">
        <v>93544899</v>
      </c>
      <c r="FA104" s="675">
        <v>0</v>
      </c>
      <c r="FB104" s="675">
        <v>98605774</v>
      </c>
      <c r="FC104" s="675">
        <v>0.97327799999999998</v>
      </c>
      <c r="FD104" s="675">
        <v>0</v>
      </c>
      <c r="FE104" s="675">
        <v>14261860</v>
      </c>
      <c r="FF104" s="675">
        <v>3213890</v>
      </c>
      <c r="FG104" s="675">
        <v>6.1239999999999996E-2</v>
      </c>
      <c r="FH104" s="675">
        <v>5.4803999999999999E-2</v>
      </c>
      <c r="FI104" s="675">
        <v>0</v>
      </c>
      <c r="FJ104" s="675">
        <v>0</v>
      </c>
      <c r="FK104" s="675">
        <v>18354.645</v>
      </c>
      <c r="FL104" s="675">
        <v>118591335</v>
      </c>
      <c r="FM104" s="675">
        <v>0</v>
      </c>
      <c r="FN104" s="675">
        <v>0</v>
      </c>
      <c r="FO104" s="675">
        <v>770106</v>
      </c>
      <c r="FP104" s="675">
        <v>0</v>
      </c>
      <c r="FQ104" s="675">
        <v>770106</v>
      </c>
      <c r="FR104" s="675">
        <v>770106</v>
      </c>
      <c r="FS104" s="675">
        <v>0</v>
      </c>
      <c r="FT104" s="675">
        <v>0</v>
      </c>
      <c r="FU104" s="675">
        <v>0</v>
      </c>
      <c r="FV104" s="675">
        <v>0</v>
      </c>
      <c r="FW104" s="675">
        <v>0</v>
      </c>
      <c r="FX104" s="675">
        <v>0</v>
      </c>
      <c r="FY104" s="675">
        <v>0</v>
      </c>
      <c r="FZ104" s="675">
        <v>0</v>
      </c>
      <c r="GA104" s="675">
        <v>0</v>
      </c>
      <c r="GB104" s="675">
        <v>3981980</v>
      </c>
      <c r="GC104" s="675">
        <v>3981980</v>
      </c>
      <c r="GD104" s="675">
        <v>450.048</v>
      </c>
      <c r="GE104" s="675">
        <v>0</v>
      </c>
      <c r="GF104" s="675">
        <v>0</v>
      </c>
      <c r="GG104" s="675">
        <v>0</v>
      </c>
      <c r="GH104" s="675">
        <v>0</v>
      </c>
      <c r="GI104" s="675">
        <v>0</v>
      </c>
      <c r="GJ104" s="675">
        <v>0</v>
      </c>
      <c r="GK104" s="675">
        <v>5294</v>
      </c>
      <c r="GL104" s="675">
        <v>84870</v>
      </c>
      <c r="GM104" s="675">
        <v>0</v>
      </c>
      <c r="GN104" s="675">
        <v>466563</v>
      </c>
      <c r="GO104" s="675">
        <v>0</v>
      </c>
      <c r="GP104" s="675">
        <v>116081524</v>
      </c>
      <c r="GQ104" s="675">
        <v>116081524</v>
      </c>
      <c r="GR104" s="675">
        <v>0</v>
      </c>
      <c r="GS104" s="675">
        <v>0</v>
      </c>
      <c r="GT104" s="675">
        <v>0</v>
      </c>
      <c r="GU104" s="675">
        <v>0</v>
      </c>
      <c r="GV104" s="675">
        <v>0</v>
      </c>
      <c r="GW104" s="675">
        <v>0</v>
      </c>
      <c r="GX104" s="675">
        <v>0</v>
      </c>
      <c r="GY104" s="675">
        <v>0</v>
      </c>
      <c r="GZ104" s="675">
        <v>0</v>
      </c>
      <c r="HA104" s="675">
        <v>0</v>
      </c>
      <c r="HB104" s="675">
        <v>260786259</v>
      </c>
      <c r="HC104" s="675">
        <v>5.0923999999999997E-2</v>
      </c>
      <c r="HD104" s="675">
        <v>2258477</v>
      </c>
      <c r="HE104" s="675">
        <v>0</v>
      </c>
      <c r="HF104" s="675">
        <v>0</v>
      </c>
      <c r="HG104" s="675">
        <v>0</v>
      </c>
      <c r="HH104" s="675">
        <v>0</v>
      </c>
      <c r="HI104" s="675">
        <v>0</v>
      </c>
      <c r="HJ104" s="675">
        <v>0</v>
      </c>
      <c r="HK104" s="675">
        <v>0</v>
      </c>
      <c r="HL104" s="675">
        <v>0</v>
      </c>
      <c r="HM104" s="675">
        <v>0</v>
      </c>
      <c r="HN104" s="675">
        <v>0</v>
      </c>
      <c r="HO104" s="675">
        <v>0</v>
      </c>
      <c r="HP104" s="675">
        <v>0</v>
      </c>
      <c r="HQ104" s="675">
        <v>0</v>
      </c>
      <c r="HR104" s="675">
        <v>0</v>
      </c>
      <c r="HS104" s="675">
        <v>0</v>
      </c>
      <c r="HT104" s="675">
        <v>0</v>
      </c>
      <c r="HU104" s="675">
        <v>0</v>
      </c>
      <c r="HV104" s="675">
        <v>0</v>
      </c>
      <c r="HW104" s="675">
        <v>0</v>
      </c>
      <c r="HX104" s="675">
        <v>0</v>
      </c>
      <c r="HY104" s="675">
        <v>0</v>
      </c>
      <c r="HZ104" s="675">
        <v>0</v>
      </c>
      <c r="IA104" s="675">
        <v>0</v>
      </c>
      <c r="IB104" s="675">
        <v>0</v>
      </c>
      <c r="IC104" s="675">
        <v>0</v>
      </c>
      <c r="ID104" s="675">
        <v>0</v>
      </c>
      <c r="IE104" s="675">
        <v>0</v>
      </c>
      <c r="IF104" s="675">
        <v>0</v>
      </c>
      <c r="IG104" s="675">
        <v>0</v>
      </c>
      <c r="IH104" s="675">
        <v>0</v>
      </c>
      <c r="II104" s="675">
        <v>0</v>
      </c>
      <c r="IJ104" s="675">
        <v>0</v>
      </c>
      <c r="IK104" s="675">
        <v>0</v>
      </c>
      <c r="IL104" s="675">
        <v>0</v>
      </c>
      <c r="IM104" s="675">
        <v>0</v>
      </c>
      <c r="IN104" s="675">
        <v>0</v>
      </c>
      <c r="IO104" s="675">
        <v>0</v>
      </c>
      <c r="IP104" s="675">
        <v>0</v>
      </c>
      <c r="IQ104" s="675">
        <v>0</v>
      </c>
      <c r="IR104" s="675">
        <v>0</v>
      </c>
      <c r="IS104" s="675">
        <v>0</v>
      </c>
      <c r="IT104" s="675">
        <v>0</v>
      </c>
      <c r="IU104" s="675">
        <v>0</v>
      </c>
      <c r="IV104" s="675">
        <v>0</v>
      </c>
      <c r="IW104" s="675">
        <v>0</v>
      </c>
      <c r="IX104" s="675">
        <v>0</v>
      </c>
      <c r="IY104" s="675">
        <v>0</v>
      </c>
      <c r="IZ104" s="675">
        <v>0</v>
      </c>
      <c r="JA104" s="675">
        <v>0</v>
      </c>
      <c r="JB104" s="675">
        <v>0</v>
      </c>
      <c r="JC104" s="675">
        <v>0</v>
      </c>
      <c r="JD104" s="675">
        <v>0</v>
      </c>
      <c r="JE104" s="675">
        <v>0</v>
      </c>
      <c r="JF104" s="675">
        <v>0</v>
      </c>
      <c r="JG104" s="675">
        <v>0</v>
      </c>
      <c r="JH104" s="675">
        <v>0</v>
      </c>
      <c r="JI104" s="675">
        <v>0</v>
      </c>
      <c r="JJ104" s="675">
        <v>0</v>
      </c>
      <c r="JK104" s="675">
        <v>0</v>
      </c>
      <c r="JL104" s="675">
        <v>0</v>
      </c>
      <c r="JM104" s="675">
        <v>0</v>
      </c>
      <c r="JN104" s="675">
        <v>32469</v>
      </c>
      <c r="JO104" s="675">
        <v>0</v>
      </c>
      <c r="JP104" s="675">
        <v>0</v>
      </c>
      <c r="JQ104" s="675">
        <v>0</v>
      </c>
      <c r="JR104" s="675">
        <v>0</v>
      </c>
      <c r="JS104" s="675">
        <v>0</v>
      </c>
      <c r="JT104" s="675">
        <v>0</v>
      </c>
      <c r="JU104" s="675">
        <v>0</v>
      </c>
      <c r="JV104" s="675">
        <v>0</v>
      </c>
      <c r="JW104" s="675">
        <v>0</v>
      </c>
      <c r="JX104" s="675">
        <v>0</v>
      </c>
      <c r="JY104" s="675">
        <v>0</v>
      </c>
      <c r="JZ104" s="675">
        <v>0</v>
      </c>
      <c r="KA104" s="675">
        <v>0</v>
      </c>
      <c r="KB104" s="675">
        <v>0</v>
      </c>
      <c r="KC104" s="675">
        <v>0</v>
      </c>
      <c r="KD104" s="675">
        <v>0</v>
      </c>
      <c r="KE104" s="675">
        <v>0</v>
      </c>
      <c r="KF104" s="675">
        <v>0</v>
      </c>
    </row>
    <row r="105" spans="1:292" x14ac:dyDescent="0.25">
      <c r="A105" s="675">
        <v>101846</v>
      </c>
      <c r="B105" s="675">
        <v>32570</v>
      </c>
      <c r="C105" s="675">
        <v>35</v>
      </c>
      <c r="D105" s="675">
        <v>2022</v>
      </c>
      <c r="E105" s="675">
        <v>5392</v>
      </c>
      <c r="F105" s="675">
        <v>0</v>
      </c>
      <c r="G105" s="675">
        <v>3263.56</v>
      </c>
      <c r="H105" s="675">
        <v>2949.2719999999999</v>
      </c>
      <c r="I105" s="675">
        <v>2949.2719999999999</v>
      </c>
      <c r="J105" s="675">
        <v>3263.56</v>
      </c>
      <c r="K105" s="675">
        <v>0</v>
      </c>
      <c r="L105" s="675">
        <v>6554</v>
      </c>
      <c r="M105" s="675">
        <v>0</v>
      </c>
      <c r="N105" s="675">
        <v>0</v>
      </c>
      <c r="O105" s="675">
        <v>0</v>
      </c>
      <c r="P105" s="675">
        <v>3165.2580000000003</v>
      </c>
      <c r="Q105" s="675">
        <v>0</v>
      </c>
      <c r="R105" s="675">
        <v>1011974</v>
      </c>
      <c r="S105" s="675">
        <v>319.71300000000002</v>
      </c>
      <c r="T105" s="675">
        <v>0</v>
      </c>
      <c r="U105" s="675">
        <v>1011974</v>
      </c>
      <c r="V105" s="675">
        <v>1058.9940000000001</v>
      </c>
      <c r="W105" s="675">
        <v>694065</v>
      </c>
      <c r="X105" s="675">
        <v>694065</v>
      </c>
      <c r="Y105" s="675">
        <v>0</v>
      </c>
      <c r="Z105" s="675">
        <v>0</v>
      </c>
      <c r="AA105" s="675">
        <v>1</v>
      </c>
      <c r="AB105" s="675">
        <v>1</v>
      </c>
      <c r="AC105" s="675">
        <v>0</v>
      </c>
      <c r="AD105" s="675" t="s">
        <v>316</v>
      </c>
      <c r="AE105" s="675">
        <v>0</v>
      </c>
      <c r="AF105" s="675">
        <v>0</v>
      </c>
      <c r="AG105" s="675">
        <v>0</v>
      </c>
      <c r="AH105" s="675">
        <v>0</v>
      </c>
      <c r="AI105" s="675">
        <v>0</v>
      </c>
      <c r="AJ105" s="675">
        <v>5104</v>
      </c>
      <c r="AK105" s="675" t="s">
        <v>671</v>
      </c>
      <c r="AL105" s="675" t="s">
        <v>31</v>
      </c>
      <c r="AM105" s="675">
        <v>0</v>
      </c>
      <c r="AN105" s="675">
        <v>0</v>
      </c>
      <c r="AO105" s="675">
        <v>0</v>
      </c>
      <c r="AP105" s="675">
        <v>0</v>
      </c>
      <c r="AQ105" s="675">
        <v>0</v>
      </c>
      <c r="AR105" s="675">
        <v>0</v>
      </c>
      <c r="AS105" s="675">
        <v>0</v>
      </c>
      <c r="AT105" s="675">
        <v>0</v>
      </c>
      <c r="AU105" s="675">
        <v>0</v>
      </c>
      <c r="AV105" s="675">
        <v>854486</v>
      </c>
      <c r="AW105" s="675">
        <v>33294386</v>
      </c>
      <c r="AX105" s="675">
        <v>32321022</v>
      </c>
      <c r="AY105" s="675">
        <v>35244935</v>
      </c>
      <c r="AZ105" s="675">
        <v>1303954</v>
      </c>
      <c r="BA105" s="675">
        <v>76.417000000000002</v>
      </c>
      <c r="BB105" s="675">
        <v>128336</v>
      </c>
      <c r="BC105" s="675">
        <v>128336</v>
      </c>
      <c r="BD105" s="675">
        <v>163.178</v>
      </c>
      <c r="BE105" s="675">
        <v>0</v>
      </c>
      <c r="BF105" s="675">
        <v>27457035</v>
      </c>
      <c r="BG105" s="675">
        <v>0</v>
      </c>
      <c r="BH105" s="675">
        <v>1061.7440000000001</v>
      </c>
      <c r="BI105" s="675">
        <v>291980</v>
      </c>
      <c r="BJ105" s="675">
        <v>12</v>
      </c>
      <c r="BK105" s="675">
        <v>0</v>
      </c>
      <c r="BL105" s="675">
        <v>0</v>
      </c>
      <c r="BM105" s="675">
        <v>0</v>
      </c>
      <c r="BN105" s="675">
        <v>0</v>
      </c>
      <c r="BO105" s="675">
        <v>0</v>
      </c>
      <c r="BP105" s="675">
        <v>0</v>
      </c>
      <c r="BQ105" s="675">
        <v>5392</v>
      </c>
      <c r="BR105" s="675">
        <v>1</v>
      </c>
      <c r="BS105" s="675">
        <v>0</v>
      </c>
      <c r="BT105" s="675">
        <v>0</v>
      </c>
      <c r="BU105" s="675">
        <v>0</v>
      </c>
      <c r="BV105" s="675">
        <v>0</v>
      </c>
      <c r="BW105" s="675">
        <v>0</v>
      </c>
      <c r="BX105" s="675">
        <v>0</v>
      </c>
      <c r="BY105" s="675">
        <v>0</v>
      </c>
      <c r="BZ105" s="675">
        <v>0</v>
      </c>
      <c r="CA105" s="675">
        <v>0</v>
      </c>
      <c r="CB105" s="675">
        <v>0</v>
      </c>
      <c r="CC105" s="675">
        <v>0</v>
      </c>
      <c r="CD105" s="675">
        <v>0</v>
      </c>
      <c r="CE105" s="675">
        <v>0</v>
      </c>
      <c r="CF105" s="675">
        <v>0</v>
      </c>
      <c r="CG105" s="675">
        <v>0</v>
      </c>
      <c r="CH105" s="675">
        <v>681384</v>
      </c>
      <c r="CI105" s="675">
        <v>0</v>
      </c>
      <c r="CJ105" s="675">
        <v>4</v>
      </c>
      <c r="CK105" s="675">
        <v>0</v>
      </c>
      <c r="CL105" s="675">
        <v>0</v>
      </c>
      <c r="CM105" s="675">
        <v>0</v>
      </c>
      <c r="CN105" s="675">
        <v>0</v>
      </c>
      <c r="CO105" s="675">
        <v>0</v>
      </c>
      <c r="CP105" s="675">
        <v>0</v>
      </c>
      <c r="CQ105" s="675">
        <v>0</v>
      </c>
      <c r="CR105" s="675">
        <v>3165.2580000000003</v>
      </c>
      <c r="CS105" s="675">
        <v>0</v>
      </c>
      <c r="CT105" s="675">
        <v>0</v>
      </c>
      <c r="CU105" s="675">
        <v>0</v>
      </c>
      <c r="CV105" s="675">
        <v>0</v>
      </c>
      <c r="CW105" s="675">
        <v>0</v>
      </c>
      <c r="CX105" s="675">
        <v>0</v>
      </c>
      <c r="CY105" s="675">
        <v>0</v>
      </c>
      <c r="CZ105" s="675">
        <v>0</v>
      </c>
      <c r="DA105" s="675">
        <v>1</v>
      </c>
      <c r="DB105" s="675">
        <v>19329529</v>
      </c>
      <c r="DC105" s="675">
        <v>0</v>
      </c>
      <c r="DD105" s="675">
        <v>0</v>
      </c>
      <c r="DE105" s="675">
        <v>3705854</v>
      </c>
      <c r="DF105" s="675">
        <v>3705854</v>
      </c>
      <c r="DG105" s="675">
        <v>2827.17</v>
      </c>
      <c r="DH105" s="675">
        <v>0</v>
      </c>
      <c r="DI105" s="675">
        <v>0</v>
      </c>
      <c r="DJ105" s="675">
        <v>0</v>
      </c>
      <c r="DK105" s="675">
        <v>5392</v>
      </c>
      <c r="DL105" s="675">
        <v>0</v>
      </c>
      <c r="DM105" s="675">
        <v>2479474</v>
      </c>
      <c r="DN105" s="675">
        <v>0</v>
      </c>
      <c r="DO105" s="675">
        <v>0</v>
      </c>
      <c r="DP105" s="675">
        <v>0</v>
      </c>
      <c r="DQ105" s="675">
        <v>0</v>
      </c>
      <c r="DR105" s="675">
        <v>0</v>
      </c>
      <c r="DS105" s="675">
        <v>0</v>
      </c>
      <c r="DT105" s="675">
        <v>0</v>
      </c>
      <c r="DU105" s="675">
        <v>0</v>
      </c>
      <c r="DV105" s="675">
        <v>0</v>
      </c>
      <c r="DW105" s="675">
        <v>0</v>
      </c>
      <c r="DX105" s="675">
        <v>0</v>
      </c>
      <c r="DY105" s="675">
        <v>0</v>
      </c>
      <c r="DZ105" s="675">
        <v>0</v>
      </c>
      <c r="EA105" s="675">
        <v>0</v>
      </c>
      <c r="EB105" s="675">
        <v>0</v>
      </c>
      <c r="EC105" s="675">
        <v>55.806000000000004</v>
      </c>
      <c r="ED105" s="675">
        <v>402328</v>
      </c>
      <c r="EE105" s="675">
        <v>0</v>
      </c>
      <c r="EF105" s="675">
        <v>0</v>
      </c>
      <c r="EG105" s="675">
        <v>0</v>
      </c>
      <c r="EH105" s="675">
        <v>2077146</v>
      </c>
      <c r="EI105" s="675">
        <v>0</v>
      </c>
      <c r="EJ105" s="675">
        <v>0</v>
      </c>
      <c r="EK105" s="675">
        <v>84.135000000000005</v>
      </c>
      <c r="EL105" s="675">
        <v>0</v>
      </c>
      <c r="EM105" s="675">
        <v>14.286000000000001</v>
      </c>
      <c r="EN105" s="675">
        <v>4.3330000000000002</v>
      </c>
      <c r="EO105" s="675">
        <v>0</v>
      </c>
      <c r="EP105" s="675">
        <v>0</v>
      </c>
      <c r="EQ105" s="675">
        <v>102.754</v>
      </c>
      <c r="ER105" s="675">
        <v>0</v>
      </c>
      <c r="ES105" s="675">
        <v>316.928</v>
      </c>
      <c r="ET105" s="675">
        <v>38209</v>
      </c>
      <c r="EU105" s="675">
        <v>1303954</v>
      </c>
      <c r="EV105" s="675">
        <v>0</v>
      </c>
      <c r="EW105" s="675">
        <v>0</v>
      </c>
      <c r="EX105" s="675">
        <v>0</v>
      </c>
      <c r="EY105" s="675">
        <v>0</v>
      </c>
      <c r="EZ105" s="675">
        <v>27198926</v>
      </c>
      <c r="FA105" s="675">
        <v>0</v>
      </c>
      <c r="FB105" s="675">
        <v>28502880</v>
      </c>
      <c r="FC105" s="675">
        <v>0.97327799999999998</v>
      </c>
      <c r="FD105" s="675">
        <v>0</v>
      </c>
      <c r="FE105" s="675">
        <v>4180113</v>
      </c>
      <c r="FF105" s="675">
        <v>941983</v>
      </c>
      <c r="FG105" s="675">
        <v>6.1239999999999996E-2</v>
      </c>
      <c r="FH105" s="675">
        <v>5.4803999999999999E-2</v>
      </c>
      <c r="FI105" s="675">
        <v>0</v>
      </c>
      <c r="FJ105" s="675">
        <v>0</v>
      </c>
      <c r="FK105" s="675">
        <v>5379.6980000000003</v>
      </c>
      <c r="FL105" s="675">
        <v>34306360</v>
      </c>
      <c r="FM105" s="675">
        <v>0</v>
      </c>
      <c r="FN105" s="675">
        <v>0</v>
      </c>
      <c r="FO105" s="675">
        <v>0</v>
      </c>
      <c r="FP105" s="675">
        <v>0</v>
      </c>
      <c r="FQ105" s="675">
        <v>0</v>
      </c>
      <c r="FR105" s="675">
        <v>0</v>
      </c>
      <c r="FS105" s="675">
        <v>0</v>
      </c>
      <c r="FT105" s="675">
        <v>0</v>
      </c>
      <c r="FU105" s="675">
        <v>0</v>
      </c>
      <c r="FV105" s="675">
        <v>0</v>
      </c>
      <c r="FW105" s="675">
        <v>0</v>
      </c>
      <c r="FX105" s="675">
        <v>0</v>
      </c>
      <c r="FY105" s="675">
        <v>0</v>
      </c>
      <c r="FZ105" s="675">
        <v>2010</v>
      </c>
      <c r="GA105" s="675">
        <v>40.198</v>
      </c>
      <c r="GB105" s="675">
        <v>1873642</v>
      </c>
      <c r="GC105" s="675">
        <v>1873642</v>
      </c>
      <c r="GD105" s="675">
        <v>211.53400000000002</v>
      </c>
      <c r="GE105" s="675">
        <v>0</v>
      </c>
      <c r="GF105" s="675">
        <v>0</v>
      </c>
      <c r="GG105" s="675">
        <v>0</v>
      </c>
      <c r="GH105" s="675">
        <v>0</v>
      </c>
      <c r="GI105" s="675">
        <v>0</v>
      </c>
      <c r="GJ105" s="675">
        <v>0</v>
      </c>
      <c r="GK105" s="675">
        <v>5152.9530000000004</v>
      </c>
      <c r="GL105" s="675">
        <v>46024</v>
      </c>
      <c r="GM105" s="675">
        <v>0</v>
      </c>
      <c r="GN105" s="675">
        <v>0</v>
      </c>
      <c r="GO105" s="675">
        <v>0</v>
      </c>
      <c r="GP105" s="675">
        <v>33624976</v>
      </c>
      <c r="GQ105" s="675">
        <v>33624976</v>
      </c>
      <c r="GR105" s="675">
        <v>0</v>
      </c>
      <c r="GS105" s="675">
        <v>0</v>
      </c>
      <c r="GT105" s="675">
        <v>0</v>
      </c>
      <c r="GU105" s="675">
        <v>0</v>
      </c>
      <c r="GV105" s="675">
        <v>0</v>
      </c>
      <c r="GW105" s="675">
        <v>0</v>
      </c>
      <c r="GX105" s="675">
        <v>0</v>
      </c>
      <c r="GY105" s="675">
        <v>0</v>
      </c>
      <c r="GZ105" s="675">
        <v>0</v>
      </c>
      <c r="HA105" s="675">
        <v>0</v>
      </c>
      <c r="HB105" s="675">
        <v>260786259</v>
      </c>
      <c r="HC105" s="675">
        <v>5.0923999999999997E-2</v>
      </c>
      <c r="HD105" s="675">
        <v>643175</v>
      </c>
      <c r="HE105" s="675">
        <v>0</v>
      </c>
      <c r="HF105" s="675">
        <v>0</v>
      </c>
      <c r="HG105" s="675">
        <v>0</v>
      </c>
      <c r="HH105" s="675">
        <v>0</v>
      </c>
      <c r="HI105" s="675">
        <v>0</v>
      </c>
      <c r="HJ105" s="675">
        <v>0</v>
      </c>
      <c r="HK105" s="675">
        <v>0</v>
      </c>
      <c r="HL105" s="675">
        <v>0</v>
      </c>
      <c r="HM105" s="675">
        <v>0</v>
      </c>
      <c r="HN105" s="675">
        <v>0</v>
      </c>
      <c r="HO105" s="675">
        <v>0</v>
      </c>
      <c r="HP105" s="675">
        <v>0</v>
      </c>
      <c r="HQ105" s="675">
        <v>0</v>
      </c>
      <c r="HR105" s="675">
        <v>0</v>
      </c>
      <c r="HS105" s="675">
        <v>0</v>
      </c>
      <c r="HT105" s="675">
        <v>0</v>
      </c>
      <c r="HU105" s="675">
        <v>0</v>
      </c>
      <c r="HV105" s="675">
        <v>0</v>
      </c>
      <c r="HW105" s="675">
        <v>0</v>
      </c>
      <c r="HX105" s="675">
        <v>0</v>
      </c>
      <c r="HY105" s="675">
        <v>0</v>
      </c>
      <c r="HZ105" s="675">
        <v>0</v>
      </c>
      <c r="IA105" s="675">
        <v>0</v>
      </c>
      <c r="IB105" s="675">
        <v>0</v>
      </c>
      <c r="IC105" s="675">
        <v>0</v>
      </c>
      <c r="ID105" s="675">
        <v>0</v>
      </c>
      <c r="IE105" s="675">
        <v>0</v>
      </c>
      <c r="IF105" s="675">
        <v>0</v>
      </c>
      <c r="IG105" s="675">
        <v>0</v>
      </c>
      <c r="IH105" s="675">
        <v>0</v>
      </c>
      <c r="II105" s="675">
        <v>0</v>
      </c>
      <c r="IJ105" s="675">
        <v>0</v>
      </c>
      <c r="IK105" s="675">
        <v>0</v>
      </c>
      <c r="IL105" s="675">
        <v>0</v>
      </c>
      <c r="IM105" s="675">
        <v>0</v>
      </c>
      <c r="IN105" s="675">
        <v>0</v>
      </c>
      <c r="IO105" s="675">
        <v>0</v>
      </c>
      <c r="IP105" s="675">
        <v>0</v>
      </c>
      <c r="IQ105" s="675">
        <v>0</v>
      </c>
      <c r="IR105" s="675">
        <v>0</v>
      </c>
      <c r="IS105" s="675">
        <v>0</v>
      </c>
      <c r="IT105" s="675">
        <v>0</v>
      </c>
      <c r="IU105" s="675">
        <v>0</v>
      </c>
      <c r="IV105" s="675">
        <v>0</v>
      </c>
      <c r="IW105" s="675">
        <v>0</v>
      </c>
      <c r="IX105" s="675">
        <v>0</v>
      </c>
      <c r="IY105" s="675">
        <v>0</v>
      </c>
      <c r="IZ105" s="675">
        <v>0</v>
      </c>
      <c r="JA105" s="675">
        <v>0</v>
      </c>
      <c r="JB105" s="675">
        <v>0</v>
      </c>
      <c r="JC105" s="675">
        <v>0</v>
      </c>
      <c r="JD105" s="675">
        <v>0</v>
      </c>
      <c r="JE105" s="675">
        <v>0</v>
      </c>
      <c r="JF105" s="675">
        <v>0</v>
      </c>
      <c r="JG105" s="675">
        <v>0</v>
      </c>
      <c r="JH105" s="675">
        <v>0</v>
      </c>
      <c r="JI105" s="675">
        <v>0</v>
      </c>
      <c r="JJ105" s="675">
        <v>0</v>
      </c>
      <c r="JK105" s="675">
        <v>0</v>
      </c>
      <c r="JL105" s="675">
        <v>0</v>
      </c>
      <c r="JM105" s="675">
        <v>0</v>
      </c>
      <c r="JN105" s="675">
        <v>32469</v>
      </c>
      <c r="JO105" s="675">
        <v>0</v>
      </c>
      <c r="JP105" s="675">
        <v>0</v>
      </c>
      <c r="JQ105" s="675">
        <v>0</v>
      </c>
      <c r="JR105" s="675">
        <v>0</v>
      </c>
      <c r="JS105" s="675">
        <v>0</v>
      </c>
      <c r="JT105" s="675">
        <v>0</v>
      </c>
      <c r="JU105" s="675">
        <v>0</v>
      </c>
      <c r="JV105" s="675">
        <v>0</v>
      </c>
      <c r="JW105" s="675">
        <v>0</v>
      </c>
      <c r="JX105" s="675">
        <v>0</v>
      </c>
      <c r="JY105" s="675">
        <v>0</v>
      </c>
      <c r="JZ105" s="675">
        <v>0</v>
      </c>
      <c r="KA105" s="675">
        <v>0</v>
      </c>
      <c r="KB105" s="675">
        <v>0</v>
      </c>
      <c r="KC105" s="675">
        <v>0</v>
      </c>
      <c r="KD105" s="675">
        <v>0</v>
      </c>
      <c r="KE105" s="675">
        <v>0</v>
      </c>
      <c r="KF105" s="675">
        <v>0</v>
      </c>
    </row>
    <row r="106" spans="1:292" x14ac:dyDescent="0.25">
      <c r="A106" s="675">
        <v>101847</v>
      </c>
      <c r="B106" s="675">
        <v>32570</v>
      </c>
      <c r="C106" s="675">
        <v>35</v>
      </c>
      <c r="D106" s="675">
        <v>2022</v>
      </c>
      <c r="E106" s="675">
        <v>5392</v>
      </c>
      <c r="F106" s="675">
        <v>0</v>
      </c>
      <c r="G106" s="675">
        <v>452.62800000000004</v>
      </c>
      <c r="H106" s="675">
        <v>452.33199999999999</v>
      </c>
      <c r="I106" s="675">
        <v>452.33199999999999</v>
      </c>
      <c r="J106" s="675">
        <v>452.62800000000004</v>
      </c>
      <c r="K106" s="675">
        <v>0</v>
      </c>
      <c r="L106" s="675">
        <v>6554</v>
      </c>
      <c r="M106" s="675">
        <v>0</v>
      </c>
      <c r="N106" s="675">
        <v>0</v>
      </c>
      <c r="O106" s="675">
        <v>0</v>
      </c>
      <c r="P106" s="675">
        <v>439.96700000000004</v>
      </c>
      <c r="Q106" s="675">
        <v>0</v>
      </c>
      <c r="R106" s="675">
        <v>140663</v>
      </c>
      <c r="S106" s="675">
        <v>319.71300000000002</v>
      </c>
      <c r="T106" s="675">
        <v>0</v>
      </c>
      <c r="U106" s="675">
        <v>140663</v>
      </c>
      <c r="V106" s="675">
        <v>0</v>
      </c>
      <c r="W106" s="675">
        <v>0</v>
      </c>
      <c r="X106" s="675">
        <v>0</v>
      </c>
      <c r="Y106" s="675">
        <v>0</v>
      </c>
      <c r="Z106" s="675">
        <v>0</v>
      </c>
      <c r="AA106" s="675">
        <v>1</v>
      </c>
      <c r="AB106" s="675">
        <v>1</v>
      </c>
      <c r="AC106" s="675">
        <v>0</v>
      </c>
      <c r="AD106" s="675" t="s">
        <v>316</v>
      </c>
      <c r="AE106" s="675">
        <v>0</v>
      </c>
      <c r="AF106" s="675">
        <v>0</v>
      </c>
      <c r="AG106" s="675">
        <v>0</v>
      </c>
      <c r="AH106" s="675">
        <v>0</v>
      </c>
      <c r="AI106" s="675">
        <v>0</v>
      </c>
      <c r="AJ106" s="675">
        <v>5104</v>
      </c>
      <c r="AK106" s="675" t="s">
        <v>671</v>
      </c>
      <c r="AL106" s="675" t="s">
        <v>32</v>
      </c>
      <c r="AM106" s="675">
        <v>0</v>
      </c>
      <c r="AN106" s="675">
        <v>0</v>
      </c>
      <c r="AO106" s="675">
        <v>0</v>
      </c>
      <c r="AP106" s="675">
        <v>0</v>
      </c>
      <c r="AQ106" s="675">
        <v>0</v>
      </c>
      <c r="AR106" s="675">
        <v>0</v>
      </c>
      <c r="AS106" s="675">
        <v>0</v>
      </c>
      <c r="AT106" s="675">
        <v>0</v>
      </c>
      <c r="AU106" s="675">
        <v>0</v>
      </c>
      <c r="AV106" s="675">
        <v>187871</v>
      </c>
      <c r="AW106" s="675">
        <v>4332154</v>
      </c>
      <c r="AX106" s="675">
        <v>4238076</v>
      </c>
      <c r="AY106" s="675">
        <v>4516070</v>
      </c>
      <c r="AZ106" s="675">
        <v>140663</v>
      </c>
      <c r="BA106" s="675">
        <v>9.75</v>
      </c>
      <c r="BB106" s="675">
        <v>0</v>
      </c>
      <c r="BC106" s="675">
        <v>0</v>
      </c>
      <c r="BD106" s="675">
        <v>0</v>
      </c>
      <c r="BE106" s="675">
        <v>0</v>
      </c>
      <c r="BF106" s="675">
        <v>3606853</v>
      </c>
      <c r="BG106" s="675">
        <v>0</v>
      </c>
      <c r="BH106" s="675">
        <v>0</v>
      </c>
      <c r="BI106" s="675">
        <v>0</v>
      </c>
      <c r="BJ106" s="675">
        <v>12</v>
      </c>
      <c r="BK106" s="675">
        <v>0</v>
      </c>
      <c r="BL106" s="675">
        <v>0</v>
      </c>
      <c r="BM106" s="675">
        <v>0</v>
      </c>
      <c r="BN106" s="675">
        <v>0</v>
      </c>
      <c r="BO106" s="675">
        <v>0</v>
      </c>
      <c r="BP106" s="675">
        <v>0</v>
      </c>
      <c r="BQ106" s="675">
        <v>5392</v>
      </c>
      <c r="BR106" s="675">
        <v>1</v>
      </c>
      <c r="BS106" s="675">
        <v>0</v>
      </c>
      <c r="BT106" s="675">
        <v>0</v>
      </c>
      <c r="BU106" s="675">
        <v>0</v>
      </c>
      <c r="BV106" s="675">
        <v>0</v>
      </c>
      <c r="BW106" s="675">
        <v>0</v>
      </c>
      <c r="BX106" s="675">
        <v>0</v>
      </c>
      <c r="BY106" s="675">
        <v>0</v>
      </c>
      <c r="BZ106" s="675">
        <v>0</v>
      </c>
      <c r="CA106" s="675">
        <v>0</v>
      </c>
      <c r="CB106" s="675">
        <v>0</v>
      </c>
      <c r="CC106" s="675">
        <v>0</v>
      </c>
      <c r="CD106" s="675">
        <v>0</v>
      </c>
      <c r="CE106" s="675">
        <v>0</v>
      </c>
      <c r="CF106" s="675">
        <v>0</v>
      </c>
      <c r="CG106" s="675">
        <v>0</v>
      </c>
      <c r="CH106" s="675">
        <v>94078</v>
      </c>
      <c r="CI106" s="675">
        <v>0</v>
      </c>
      <c r="CJ106" s="675">
        <v>4</v>
      </c>
      <c r="CK106" s="675">
        <v>0</v>
      </c>
      <c r="CL106" s="675">
        <v>0</v>
      </c>
      <c r="CM106" s="675">
        <v>0</v>
      </c>
      <c r="CN106" s="675">
        <v>0</v>
      </c>
      <c r="CO106" s="675">
        <v>0</v>
      </c>
      <c r="CP106" s="675">
        <v>0</v>
      </c>
      <c r="CQ106" s="675">
        <v>0</v>
      </c>
      <c r="CR106" s="675">
        <v>439.96700000000004</v>
      </c>
      <c r="CS106" s="675">
        <v>0</v>
      </c>
      <c r="CT106" s="675">
        <v>0</v>
      </c>
      <c r="CU106" s="675">
        <v>0</v>
      </c>
      <c r="CV106" s="675">
        <v>0</v>
      </c>
      <c r="CW106" s="675">
        <v>0</v>
      </c>
      <c r="CX106" s="675">
        <v>0</v>
      </c>
      <c r="CY106" s="675">
        <v>0</v>
      </c>
      <c r="CZ106" s="675">
        <v>0</v>
      </c>
      <c r="DA106" s="675">
        <v>1</v>
      </c>
      <c r="DB106" s="675">
        <v>2964584</v>
      </c>
      <c r="DC106" s="675">
        <v>0</v>
      </c>
      <c r="DD106" s="675">
        <v>0</v>
      </c>
      <c r="DE106" s="675">
        <v>572387</v>
      </c>
      <c r="DF106" s="675">
        <v>572387</v>
      </c>
      <c r="DG106" s="675">
        <v>436.67</v>
      </c>
      <c r="DH106" s="675">
        <v>0</v>
      </c>
      <c r="DI106" s="675">
        <v>0</v>
      </c>
      <c r="DJ106" s="675">
        <v>0</v>
      </c>
      <c r="DK106" s="675">
        <v>5392</v>
      </c>
      <c r="DL106" s="675">
        <v>0</v>
      </c>
      <c r="DM106" s="675">
        <v>168912</v>
      </c>
      <c r="DN106" s="675">
        <v>0</v>
      </c>
      <c r="DO106" s="675">
        <v>0</v>
      </c>
      <c r="DP106" s="675">
        <v>0</v>
      </c>
      <c r="DQ106" s="675">
        <v>0</v>
      </c>
      <c r="DR106" s="675">
        <v>0</v>
      </c>
      <c r="DS106" s="675">
        <v>0</v>
      </c>
      <c r="DT106" s="675">
        <v>0</v>
      </c>
      <c r="DU106" s="675">
        <v>0</v>
      </c>
      <c r="DV106" s="675">
        <v>0</v>
      </c>
      <c r="DW106" s="675">
        <v>0</v>
      </c>
      <c r="DX106" s="675">
        <v>0</v>
      </c>
      <c r="DY106" s="675">
        <v>0</v>
      </c>
      <c r="DZ106" s="675">
        <v>0</v>
      </c>
      <c r="EA106" s="675">
        <v>0</v>
      </c>
      <c r="EB106" s="675">
        <v>0</v>
      </c>
      <c r="EC106" s="675">
        <v>22.084</v>
      </c>
      <c r="ED106" s="675">
        <v>159212</v>
      </c>
      <c r="EE106" s="675">
        <v>0</v>
      </c>
      <c r="EF106" s="675">
        <v>0</v>
      </c>
      <c r="EG106" s="675">
        <v>0</v>
      </c>
      <c r="EH106" s="675">
        <v>9700</v>
      </c>
      <c r="EI106" s="675">
        <v>0</v>
      </c>
      <c r="EJ106" s="675">
        <v>0</v>
      </c>
      <c r="EK106" s="675">
        <v>0</v>
      </c>
      <c r="EL106" s="675">
        <v>0</v>
      </c>
      <c r="EM106" s="675">
        <v>0</v>
      </c>
      <c r="EN106" s="675">
        <v>0.29600000000000004</v>
      </c>
      <c r="EO106" s="675">
        <v>0</v>
      </c>
      <c r="EP106" s="675">
        <v>0</v>
      </c>
      <c r="EQ106" s="675">
        <v>0.29600000000000004</v>
      </c>
      <c r="ER106" s="675">
        <v>0</v>
      </c>
      <c r="ES106" s="675">
        <v>1.48</v>
      </c>
      <c r="ET106" s="675">
        <v>4875</v>
      </c>
      <c r="EU106" s="675">
        <v>140663</v>
      </c>
      <c r="EV106" s="675">
        <v>0</v>
      </c>
      <c r="EW106" s="675">
        <v>0</v>
      </c>
      <c r="EX106" s="675">
        <v>0</v>
      </c>
      <c r="EY106" s="675">
        <v>0</v>
      </c>
      <c r="EZ106" s="675">
        <v>3565220</v>
      </c>
      <c r="FA106" s="675">
        <v>0</v>
      </c>
      <c r="FB106" s="675">
        <v>3705883</v>
      </c>
      <c r="FC106" s="675">
        <v>0.97327799999999998</v>
      </c>
      <c r="FD106" s="675">
        <v>0</v>
      </c>
      <c r="FE106" s="675">
        <v>549114</v>
      </c>
      <c r="FF106" s="675">
        <v>123742</v>
      </c>
      <c r="FG106" s="675">
        <v>6.1239999999999996E-2</v>
      </c>
      <c r="FH106" s="675">
        <v>5.4803999999999999E-2</v>
      </c>
      <c r="FI106" s="675">
        <v>0</v>
      </c>
      <c r="FJ106" s="675">
        <v>0</v>
      </c>
      <c r="FK106" s="675">
        <v>706.69600000000003</v>
      </c>
      <c r="FL106" s="675">
        <v>4472817</v>
      </c>
      <c r="FM106" s="675">
        <v>0</v>
      </c>
      <c r="FN106" s="675">
        <v>0</v>
      </c>
      <c r="FO106" s="675">
        <v>0</v>
      </c>
      <c r="FP106" s="675">
        <v>0</v>
      </c>
      <c r="FQ106" s="675">
        <v>0</v>
      </c>
      <c r="FR106" s="675">
        <v>0</v>
      </c>
      <c r="FS106" s="675">
        <v>0</v>
      </c>
      <c r="FT106" s="675">
        <v>0</v>
      </c>
      <c r="FU106" s="675">
        <v>0</v>
      </c>
      <c r="FV106" s="675">
        <v>0</v>
      </c>
      <c r="FW106" s="675">
        <v>0</v>
      </c>
      <c r="FX106" s="675">
        <v>0</v>
      </c>
      <c r="FY106" s="675">
        <v>0</v>
      </c>
      <c r="FZ106" s="675">
        <v>0</v>
      </c>
      <c r="GA106" s="675">
        <v>0</v>
      </c>
      <c r="GB106" s="675">
        <v>0</v>
      </c>
      <c r="GC106" s="675">
        <v>0</v>
      </c>
      <c r="GD106" s="675">
        <v>0</v>
      </c>
      <c r="GE106" s="675">
        <v>0</v>
      </c>
      <c r="GF106" s="675">
        <v>0</v>
      </c>
      <c r="GG106" s="675">
        <v>0</v>
      </c>
      <c r="GH106" s="675">
        <v>0</v>
      </c>
      <c r="GI106" s="675">
        <v>0</v>
      </c>
      <c r="GJ106" s="675">
        <v>0</v>
      </c>
      <c r="GK106" s="675">
        <v>5060</v>
      </c>
      <c r="GL106" s="675">
        <v>12838</v>
      </c>
      <c r="GM106" s="675">
        <v>0</v>
      </c>
      <c r="GN106" s="675">
        <v>0</v>
      </c>
      <c r="GO106" s="675">
        <v>0</v>
      </c>
      <c r="GP106" s="675">
        <v>4378739</v>
      </c>
      <c r="GQ106" s="675">
        <v>4378739</v>
      </c>
      <c r="GR106" s="675">
        <v>0</v>
      </c>
      <c r="GS106" s="675">
        <v>0</v>
      </c>
      <c r="GT106" s="675">
        <v>0</v>
      </c>
      <c r="GU106" s="675">
        <v>0</v>
      </c>
      <c r="GV106" s="675">
        <v>0</v>
      </c>
      <c r="GW106" s="675">
        <v>0</v>
      </c>
      <c r="GX106" s="675">
        <v>0</v>
      </c>
      <c r="GY106" s="675">
        <v>0</v>
      </c>
      <c r="GZ106" s="675">
        <v>0</v>
      </c>
      <c r="HA106" s="675">
        <v>0</v>
      </c>
      <c r="HB106" s="675">
        <v>260786259</v>
      </c>
      <c r="HC106" s="675">
        <v>5.0923999999999997E-2</v>
      </c>
      <c r="HD106" s="675">
        <v>89203</v>
      </c>
      <c r="HE106" s="675">
        <v>0</v>
      </c>
      <c r="HF106" s="675">
        <v>0</v>
      </c>
      <c r="HG106" s="675">
        <v>0</v>
      </c>
      <c r="HH106" s="675">
        <v>0</v>
      </c>
      <c r="HI106" s="675">
        <v>0</v>
      </c>
      <c r="HJ106" s="675">
        <v>0</v>
      </c>
      <c r="HK106" s="675">
        <v>0</v>
      </c>
      <c r="HL106" s="675">
        <v>0</v>
      </c>
      <c r="HM106" s="675">
        <v>0</v>
      </c>
      <c r="HN106" s="675">
        <v>0</v>
      </c>
      <c r="HO106" s="675">
        <v>0</v>
      </c>
      <c r="HP106" s="675">
        <v>0</v>
      </c>
      <c r="HQ106" s="675">
        <v>0</v>
      </c>
      <c r="HR106" s="675">
        <v>0</v>
      </c>
      <c r="HS106" s="675">
        <v>0</v>
      </c>
      <c r="HT106" s="675">
        <v>0</v>
      </c>
      <c r="HU106" s="675">
        <v>0</v>
      </c>
      <c r="HV106" s="675">
        <v>0</v>
      </c>
      <c r="HW106" s="675">
        <v>0</v>
      </c>
      <c r="HX106" s="675">
        <v>0</v>
      </c>
      <c r="HY106" s="675">
        <v>0</v>
      </c>
      <c r="HZ106" s="675">
        <v>0</v>
      </c>
      <c r="IA106" s="675">
        <v>0</v>
      </c>
      <c r="IB106" s="675">
        <v>0</v>
      </c>
      <c r="IC106" s="675">
        <v>0</v>
      </c>
      <c r="ID106" s="675">
        <v>0</v>
      </c>
      <c r="IE106" s="675">
        <v>0</v>
      </c>
      <c r="IF106" s="675">
        <v>0</v>
      </c>
      <c r="IG106" s="675">
        <v>0</v>
      </c>
      <c r="IH106" s="675">
        <v>0</v>
      </c>
      <c r="II106" s="675">
        <v>0</v>
      </c>
      <c r="IJ106" s="675">
        <v>0</v>
      </c>
      <c r="IK106" s="675">
        <v>0</v>
      </c>
      <c r="IL106" s="675">
        <v>0</v>
      </c>
      <c r="IM106" s="675">
        <v>0</v>
      </c>
      <c r="IN106" s="675">
        <v>0</v>
      </c>
      <c r="IO106" s="675">
        <v>0</v>
      </c>
      <c r="IP106" s="675">
        <v>0</v>
      </c>
      <c r="IQ106" s="675">
        <v>0</v>
      </c>
      <c r="IR106" s="675">
        <v>0</v>
      </c>
      <c r="IS106" s="675">
        <v>0</v>
      </c>
      <c r="IT106" s="675">
        <v>0</v>
      </c>
      <c r="IU106" s="675">
        <v>0</v>
      </c>
      <c r="IV106" s="675">
        <v>0</v>
      </c>
      <c r="IW106" s="675">
        <v>0</v>
      </c>
      <c r="IX106" s="675">
        <v>0</v>
      </c>
      <c r="IY106" s="675">
        <v>0</v>
      </c>
      <c r="IZ106" s="675">
        <v>0</v>
      </c>
      <c r="JA106" s="675">
        <v>0</v>
      </c>
      <c r="JB106" s="675">
        <v>0</v>
      </c>
      <c r="JC106" s="675">
        <v>0</v>
      </c>
      <c r="JD106" s="675">
        <v>0</v>
      </c>
      <c r="JE106" s="675">
        <v>0</v>
      </c>
      <c r="JF106" s="675">
        <v>0</v>
      </c>
      <c r="JG106" s="675">
        <v>0</v>
      </c>
      <c r="JH106" s="675">
        <v>0</v>
      </c>
      <c r="JI106" s="675">
        <v>0</v>
      </c>
      <c r="JJ106" s="675">
        <v>0</v>
      </c>
      <c r="JK106" s="675">
        <v>0</v>
      </c>
      <c r="JL106" s="675">
        <v>0</v>
      </c>
      <c r="JM106" s="675">
        <v>0</v>
      </c>
      <c r="JN106" s="675">
        <v>32469</v>
      </c>
      <c r="JO106" s="675">
        <v>0</v>
      </c>
      <c r="JP106" s="675">
        <v>0</v>
      </c>
      <c r="JQ106" s="675">
        <v>0</v>
      </c>
      <c r="JR106" s="675">
        <v>0</v>
      </c>
      <c r="JS106" s="675">
        <v>0</v>
      </c>
      <c r="JT106" s="675">
        <v>0</v>
      </c>
      <c r="JU106" s="675">
        <v>0</v>
      </c>
      <c r="JV106" s="675">
        <v>0</v>
      </c>
      <c r="JW106" s="675">
        <v>0</v>
      </c>
      <c r="JX106" s="675">
        <v>0</v>
      </c>
      <c r="JY106" s="675">
        <v>0</v>
      </c>
      <c r="JZ106" s="675">
        <v>0</v>
      </c>
      <c r="KA106" s="675">
        <v>0</v>
      </c>
      <c r="KB106" s="675">
        <v>0</v>
      </c>
      <c r="KC106" s="675">
        <v>0</v>
      </c>
      <c r="KD106" s="675">
        <v>0</v>
      </c>
      <c r="KE106" s="675">
        <v>0</v>
      </c>
      <c r="KF106" s="675">
        <v>0</v>
      </c>
    </row>
    <row r="107" spans="1:292" x14ac:dyDescent="0.25">
      <c r="A107" s="675">
        <v>101849</v>
      </c>
      <c r="B107" s="675">
        <v>32570</v>
      </c>
      <c r="C107" s="675">
        <v>35</v>
      </c>
      <c r="D107" s="675">
        <v>2022</v>
      </c>
      <c r="E107" s="675">
        <v>5392</v>
      </c>
      <c r="F107" s="675">
        <v>0</v>
      </c>
      <c r="G107" s="675">
        <v>228.87700000000001</v>
      </c>
      <c r="H107" s="675">
        <v>227.76400000000001</v>
      </c>
      <c r="I107" s="675">
        <v>227.76400000000001</v>
      </c>
      <c r="J107" s="675">
        <v>228.87700000000001</v>
      </c>
      <c r="K107" s="675">
        <v>0</v>
      </c>
      <c r="L107" s="675">
        <v>6554</v>
      </c>
      <c r="M107" s="675">
        <v>0</v>
      </c>
      <c r="N107" s="675">
        <v>0</v>
      </c>
      <c r="O107" s="675">
        <v>0</v>
      </c>
      <c r="P107" s="675">
        <v>222.72200000000001</v>
      </c>
      <c r="Q107" s="675">
        <v>0</v>
      </c>
      <c r="R107" s="675">
        <v>71207</v>
      </c>
      <c r="S107" s="675">
        <v>319.71300000000002</v>
      </c>
      <c r="T107" s="675">
        <v>0</v>
      </c>
      <c r="U107" s="675">
        <v>71207</v>
      </c>
      <c r="V107" s="675">
        <v>78.621000000000009</v>
      </c>
      <c r="W107" s="675">
        <v>51528</v>
      </c>
      <c r="X107" s="675">
        <v>51528</v>
      </c>
      <c r="Y107" s="675">
        <v>0</v>
      </c>
      <c r="Z107" s="675">
        <v>0</v>
      </c>
      <c r="AA107" s="675">
        <v>1</v>
      </c>
      <c r="AB107" s="675">
        <v>1</v>
      </c>
      <c r="AC107" s="675">
        <v>0</v>
      </c>
      <c r="AD107" s="675" t="s">
        <v>316</v>
      </c>
      <c r="AE107" s="675">
        <v>0</v>
      </c>
      <c r="AF107" s="675">
        <v>0</v>
      </c>
      <c r="AG107" s="675">
        <v>0</v>
      </c>
      <c r="AH107" s="675">
        <v>0</v>
      </c>
      <c r="AI107" s="675">
        <v>0</v>
      </c>
      <c r="AJ107" s="675">
        <v>5104</v>
      </c>
      <c r="AK107" s="675" t="s">
        <v>671</v>
      </c>
      <c r="AL107" s="675" t="s">
        <v>14</v>
      </c>
      <c r="AM107" s="675">
        <v>0</v>
      </c>
      <c r="AN107" s="675">
        <v>0</v>
      </c>
      <c r="AO107" s="675">
        <v>0</v>
      </c>
      <c r="AP107" s="675">
        <v>0</v>
      </c>
      <c r="AQ107" s="675">
        <v>0</v>
      </c>
      <c r="AR107" s="675">
        <v>0</v>
      </c>
      <c r="AS107" s="675">
        <v>0</v>
      </c>
      <c r="AT107" s="675">
        <v>0</v>
      </c>
      <c r="AU107" s="675">
        <v>0</v>
      </c>
      <c r="AV107" s="675">
        <v>159860</v>
      </c>
      <c r="AW107" s="675">
        <v>2221976</v>
      </c>
      <c r="AX107" s="675">
        <v>2170160</v>
      </c>
      <c r="AY107" s="675">
        <v>2404343</v>
      </c>
      <c r="AZ107" s="675">
        <v>71207</v>
      </c>
      <c r="BA107" s="675">
        <v>13.417</v>
      </c>
      <c r="BB107" s="675">
        <v>0</v>
      </c>
      <c r="BC107" s="675">
        <v>0</v>
      </c>
      <c r="BD107" s="675">
        <v>0</v>
      </c>
      <c r="BE107" s="675">
        <v>0</v>
      </c>
      <c r="BF107" s="675">
        <v>1846257</v>
      </c>
      <c r="BG107" s="675">
        <v>0</v>
      </c>
      <c r="BH107" s="675">
        <v>0</v>
      </c>
      <c r="BI107" s="675">
        <v>0</v>
      </c>
      <c r="BJ107" s="675">
        <v>12</v>
      </c>
      <c r="BK107" s="675">
        <v>0</v>
      </c>
      <c r="BL107" s="675">
        <v>0</v>
      </c>
      <c r="BM107" s="675">
        <v>0</v>
      </c>
      <c r="BN107" s="675">
        <v>0</v>
      </c>
      <c r="BO107" s="675">
        <v>0</v>
      </c>
      <c r="BP107" s="675">
        <v>0</v>
      </c>
      <c r="BQ107" s="675">
        <v>5392</v>
      </c>
      <c r="BR107" s="675">
        <v>1</v>
      </c>
      <c r="BS107" s="675">
        <v>0</v>
      </c>
      <c r="BT107" s="675">
        <v>0</v>
      </c>
      <c r="BU107" s="675">
        <v>0</v>
      </c>
      <c r="BV107" s="675">
        <v>0</v>
      </c>
      <c r="BW107" s="675">
        <v>0</v>
      </c>
      <c r="BX107" s="675">
        <v>0</v>
      </c>
      <c r="BY107" s="675">
        <v>0</v>
      </c>
      <c r="BZ107" s="675">
        <v>0</v>
      </c>
      <c r="CA107" s="675">
        <v>0</v>
      </c>
      <c r="CB107" s="675">
        <v>0</v>
      </c>
      <c r="CC107" s="675">
        <v>0</v>
      </c>
      <c r="CD107" s="675">
        <v>0</v>
      </c>
      <c r="CE107" s="675">
        <v>0</v>
      </c>
      <c r="CF107" s="675">
        <v>0</v>
      </c>
      <c r="CG107" s="675">
        <v>0</v>
      </c>
      <c r="CH107" s="675">
        <v>51816</v>
      </c>
      <c r="CI107" s="675">
        <v>0</v>
      </c>
      <c r="CJ107" s="675">
        <v>4</v>
      </c>
      <c r="CK107" s="675">
        <v>0</v>
      </c>
      <c r="CL107" s="675">
        <v>0</v>
      </c>
      <c r="CM107" s="675">
        <v>0</v>
      </c>
      <c r="CN107" s="675">
        <v>0</v>
      </c>
      <c r="CO107" s="675">
        <v>0</v>
      </c>
      <c r="CP107" s="675">
        <v>0</v>
      </c>
      <c r="CQ107" s="675">
        <v>0</v>
      </c>
      <c r="CR107" s="675">
        <v>222.72200000000001</v>
      </c>
      <c r="CS107" s="675">
        <v>0</v>
      </c>
      <c r="CT107" s="675">
        <v>0</v>
      </c>
      <c r="CU107" s="675">
        <v>0</v>
      </c>
      <c r="CV107" s="675">
        <v>0</v>
      </c>
      <c r="CW107" s="675">
        <v>0</v>
      </c>
      <c r="CX107" s="675">
        <v>0</v>
      </c>
      <c r="CY107" s="675">
        <v>0</v>
      </c>
      <c r="CZ107" s="675">
        <v>0</v>
      </c>
      <c r="DA107" s="675">
        <v>1</v>
      </c>
      <c r="DB107" s="675">
        <v>1492765</v>
      </c>
      <c r="DC107" s="675">
        <v>0</v>
      </c>
      <c r="DD107" s="675">
        <v>0</v>
      </c>
      <c r="DE107" s="675">
        <v>321146</v>
      </c>
      <c r="DF107" s="675">
        <v>321146</v>
      </c>
      <c r="DG107" s="675">
        <v>245</v>
      </c>
      <c r="DH107" s="675">
        <v>0</v>
      </c>
      <c r="DI107" s="675">
        <v>0</v>
      </c>
      <c r="DJ107" s="675">
        <v>0</v>
      </c>
      <c r="DK107" s="675">
        <v>5392</v>
      </c>
      <c r="DL107" s="675">
        <v>0</v>
      </c>
      <c r="DM107" s="675">
        <v>31509</v>
      </c>
      <c r="DN107" s="675">
        <v>0</v>
      </c>
      <c r="DO107" s="675">
        <v>0</v>
      </c>
      <c r="DP107" s="675">
        <v>0</v>
      </c>
      <c r="DQ107" s="675">
        <v>0</v>
      </c>
      <c r="DR107" s="675">
        <v>0</v>
      </c>
      <c r="DS107" s="675">
        <v>0</v>
      </c>
      <c r="DT107" s="675">
        <v>0</v>
      </c>
      <c r="DU107" s="675">
        <v>0</v>
      </c>
      <c r="DV107" s="675">
        <v>0</v>
      </c>
      <c r="DW107" s="675">
        <v>0</v>
      </c>
      <c r="DX107" s="675">
        <v>0</v>
      </c>
      <c r="DY107" s="675">
        <v>0</v>
      </c>
      <c r="DZ107" s="675">
        <v>0</v>
      </c>
      <c r="EA107" s="675">
        <v>0</v>
      </c>
      <c r="EB107" s="675">
        <v>0</v>
      </c>
      <c r="EC107" s="675">
        <v>1.006</v>
      </c>
      <c r="ED107" s="675">
        <v>7253</v>
      </c>
      <c r="EE107" s="675">
        <v>0</v>
      </c>
      <c r="EF107" s="675">
        <v>0</v>
      </c>
      <c r="EG107" s="675">
        <v>0</v>
      </c>
      <c r="EH107" s="675">
        <v>24256</v>
      </c>
      <c r="EI107" s="675">
        <v>0</v>
      </c>
      <c r="EJ107" s="675">
        <v>0</v>
      </c>
      <c r="EK107" s="675">
        <v>0.93200000000000005</v>
      </c>
      <c r="EL107" s="675">
        <v>0</v>
      </c>
      <c r="EM107" s="675">
        <v>0</v>
      </c>
      <c r="EN107" s="675">
        <v>0.18100000000000002</v>
      </c>
      <c r="EO107" s="675">
        <v>0</v>
      </c>
      <c r="EP107" s="675">
        <v>0</v>
      </c>
      <c r="EQ107" s="675">
        <v>1.113</v>
      </c>
      <c r="ER107" s="675">
        <v>0</v>
      </c>
      <c r="ES107" s="675">
        <v>3.7010000000000001</v>
      </c>
      <c r="ET107" s="675">
        <v>6709</v>
      </c>
      <c r="EU107" s="675">
        <v>71207</v>
      </c>
      <c r="EV107" s="675">
        <v>0</v>
      </c>
      <c r="EW107" s="675">
        <v>0</v>
      </c>
      <c r="EX107" s="675">
        <v>0</v>
      </c>
      <c r="EY107" s="675">
        <v>0</v>
      </c>
      <c r="EZ107" s="675">
        <v>1825741</v>
      </c>
      <c r="FA107" s="675">
        <v>0</v>
      </c>
      <c r="FB107" s="675">
        <v>1896948</v>
      </c>
      <c r="FC107" s="675">
        <v>0.97327799999999998</v>
      </c>
      <c r="FD107" s="675">
        <v>0</v>
      </c>
      <c r="FE107" s="675">
        <v>281078</v>
      </c>
      <c r="FF107" s="675">
        <v>63341</v>
      </c>
      <c r="FG107" s="675">
        <v>6.1239999999999996E-2</v>
      </c>
      <c r="FH107" s="675">
        <v>5.4803999999999999E-2</v>
      </c>
      <c r="FI107" s="675">
        <v>0</v>
      </c>
      <c r="FJ107" s="675">
        <v>0</v>
      </c>
      <c r="FK107" s="675">
        <v>361.74</v>
      </c>
      <c r="FL107" s="675">
        <v>2293183</v>
      </c>
      <c r="FM107" s="675">
        <v>0</v>
      </c>
      <c r="FN107" s="675">
        <v>0</v>
      </c>
      <c r="FO107" s="675">
        <v>0</v>
      </c>
      <c r="FP107" s="675">
        <v>0</v>
      </c>
      <c r="FQ107" s="675">
        <v>0</v>
      </c>
      <c r="FR107" s="675">
        <v>0</v>
      </c>
      <c r="FS107" s="675">
        <v>0</v>
      </c>
      <c r="FT107" s="675">
        <v>0</v>
      </c>
      <c r="FU107" s="675">
        <v>0</v>
      </c>
      <c r="FV107" s="675">
        <v>0</v>
      </c>
      <c r="FW107" s="675">
        <v>0</v>
      </c>
      <c r="FX107" s="675">
        <v>0</v>
      </c>
      <c r="FY107" s="675">
        <v>0</v>
      </c>
      <c r="FZ107" s="675">
        <v>0</v>
      </c>
      <c r="GA107" s="675">
        <v>0</v>
      </c>
      <c r="GB107" s="675">
        <v>0</v>
      </c>
      <c r="GC107" s="675">
        <v>0</v>
      </c>
      <c r="GD107" s="675">
        <v>0</v>
      </c>
      <c r="GE107" s="675">
        <v>0</v>
      </c>
      <c r="GF107" s="675">
        <v>0</v>
      </c>
      <c r="GG107" s="675">
        <v>0</v>
      </c>
      <c r="GH107" s="675">
        <v>0</v>
      </c>
      <c r="GI107" s="675">
        <v>0</v>
      </c>
      <c r="GJ107" s="675">
        <v>0</v>
      </c>
      <c r="GK107" s="675">
        <v>5145</v>
      </c>
      <c r="GL107" s="675">
        <v>17296</v>
      </c>
      <c r="GM107" s="675">
        <v>0</v>
      </c>
      <c r="GN107" s="675">
        <v>26516</v>
      </c>
      <c r="GO107" s="675">
        <v>0</v>
      </c>
      <c r="GP107" s="675">
        <v>2241367</v>
      </c>
      <c r="GQ107" s="675">
        <v>2241367</v>
      </c>
      <c r="GR107" s="675">
        <v>0</v>
      </c>
      <c r="GS107" s="675">
        <v>0</v>
      </c>
      <c r="GT107" s="675">
        <v>0</v>
      </c>
      <c r="GU107" s="675">
        <v>0</v>
      </c>
      <c r="GV107" s="675">
        <v>0</v>
      </c>
      <c r="GW107" s="675">
        <v>0</v>
      </c>
      <c r="GX107" s="675">
        <v>0</v>
      </c>
      <c r="GY107" s="675">
        <v>0</v>
      </c>
      <c r="GZ107" s="675">
        <v>0</v>
      </c>
      <c r="HA107" s="675">
        <v>0</v>
      </c>
      <c r="HB107" s="675">
        <v>260786259</v>
      </c>
      <c r="HC107" s="675">
        <v>5.0923999999999997E-2</v>
      </c>
      <c r="HD107" s="675">
        <v>45107</v>
      </c>
      <c r="HE107" s="675">
        <v>0</v>
      </c>
      <c r="HF107" s="675">
        <v>0</v>
      </c>
      <c r="HG107" s="675">
        <v>0</v>
      </c>
      <c r="HH107" s="675">
        <v>0</v>
      </c>
      <c r="HI107" s="675">
        <v>0</v>
      </c>
      <c r="HJ107" s="675">
        <v>0</v>
      </c>
      <c r="HK107" s="675">
        <v>0</v>
      </c>
      <c r="HL107" s="675">
        <v>0</v>
      </c>
      <c r="HM107" s="675">
        <v>0</v>
      </c>
      <c r="HN107" s="675">
        <v>0</v>
      </c>
      <c r="HO107" s="675">
        <v>0</v>
      </c>
      <c r="HP107" s="675">
        <v>0</v>
      </c>
      <c r="HQ107" s="675">
        <v>0</v>
      </c>
      <c r="HR107" s="675">
        <v>0</v>
      </c>
      <c r="HS107" s="675">
        <v>0</v>
      </c>
      <c r="HT107" s="675">
        <v>0</v>
      </c>
      <c r="HU107" s="675">
        <v>0</v>
      </c>
      <c r="HV107" s="675">
        <v>0</v>
      </c>
      <c r="HW107" s="675">
        <v>0</v>
      </c>
      <c r="HX107" s="675">
        <v>0</v>
      </c>
      <c r="HY107" s="675">
        <v>0</v>
      </c>
      <c r="HZ107" s="675">
        <v>0</v>
      </c>
      <c r="IA107" s="675">
        <v>0</v>
      </c>
      <c r="IB107" s="675">
        <v>0</v>
      </c>
      <c r="IC107" s="675">
        <v>0</v>
      </c>
      <c r="ID107" s="675">
        <v>0</v>
      </c>
      <c r="IE107" s="675">
        <v>0</v>
      </c>
      <c r="IF107" s="675">
        <v>0</v>
      </c>
      <c r="IG107" s="675">
        <v>0</v>
      </c>
      <c r="IH107" s="675">
        <v>0</v>
      </c>
      <c r="II107" s="675">
        <v>0</v>
      </c>
      <c r="IJ107" s="675">
        <v>0</v>
      </c>
      <c r="IK107" s="675">
        <v>0</v>
      </c>
      <c r="IL107" s="675">
        <v>0</v>
      </c>
      <c r="IM107" s="675">
        <v>0</v>
      </c>
      <c r="IN107" s="675">
        <v>0</v>
      </c>
      <c r="IO107" s="675">
        <v>0</v>
      </c>
      <c r="IP107" s="675">
        <v>0</v>
      </c>
      <c r="IQ107" s="675">
        <v>0</v>
      </c>
      <c r="IR107" s="675">
        <v>0</v>
      </c>
      <c r="IS107" s="675">
        <v>0</v>
      </c>
      <c r="IT107" s="675">
        <v>0</v>
      </c>
      <c r="IU107" s="675">
        <v>0</v>
      </c>
      <c r="IV107" s="675">
        <v>0</v>
      </c>
      <c r="IW107" s="675">
        <v>0</v>
      </c>
      <c r="IX107" s="675">
        <v>0</v>
      </c>
      <c r="IY107" s="675">
        <v>0</v>
      </c>
      <c r="IZ107" s="675">
        <v>0</v>
      </c>
      <c r="JA107" s="675">
        <v>0</v>
      </c>
      <c r="JB107" s="675">
        <v>0</v>
      </c>
      <c r="JC107" s="675">
        <v>0</v>
      </c>
      <c r="JD107" s="675">
        <v>0</v>
      </c>
      <c r="JE107" s="675">
        <v>0</v>
      </c>
      <c r="JF107" s="675">
        <v>0</v>
      </c>
      <c r="JG107" s="675">
        <v>0</v>
      </c>
      <c r="JH107" s="675">
        <v>0</v>
      </c>
      <c r="JI107" s="675">
        <v>0</v>
      </c>
      <c r="JJ107" s="675">
        <v>0</v>
      </c>
      <c r="JK107" s="675">
        <v>0</v>
      </c>
      <c r="JL107" s="675">
        <v>0</v>
      </c>
      <c r="JM107" s="675">
        <v>0</v>
      </c>
      <c r="JN107" s="675">
        <v>32469</v>
      </c>
      <c r="JO107" s="675">
        <v>0</v>
      </c>
      <c r="JP107" s="675">
        <v>0</v>
      </c>
      <c r="JQ107" s="675">
        <v>0</v>
      </c>
      <c r="JR107" s="675">
        <v>0</v>
      </c>
      <c r="JS107" s="675">
        <v>0</v>
      </c>
      <c r="JT107" s="675">
        <v>0</v>
      </c>
      <c r="JU107" s="675">
        <v>0</v>
      </c>
      <c r="JV107" s="675">
        <v>0</v>
      </c>
      <c r="JW107" s="675">
        <v>0</v>
      </c>
      <c r="JX107" s="675">
        <v>0</v>
      </c>
      <c r="JY107" s="675">
        <v>0</v>
      </c>
      <c r="JZ107" s="675">
        <v>0</v>
      </c>
      <c r="KA107" s="675">
        <v>0</v>
      </c>
      <c r="KB107" s="675">
        <v>0</v>
      </c>
      <c r="KC107" s="675">
        <v>0</v>
      </c>
      <c r="KD107" s="675">
        <v>0</v>
      </c>
      <c r="KE107" s="675">
        <v>0</v>
      </c>
      <c r="KF107" s="675">
        <v>0</v>
      </c>
    </row>
    <row r="108" spans="1:292" x14ac:dyDescent="0.25">
      <c r="A108" s="675">
        <v>101853</v>
      </c>
      <c r="B108" s="675">
        <v>32570</v>
      </c>
      <c r="C108" s="675">
        <v>35</v>
      </c>
      <c r="D108" s="675">
        <v>2022</v>
      </c>
      <c r="E108" s="675">
        <v>5392</v>
      </c>
      <c r="F108" s="675">
        <v>0</v>
      </c>
      <c r="G108" s="675">
        <v>1240.347</v>
      </c>
      <c r="H108" s="675">
        <v>1216.2570000000001</v>
      </c>
      <c r="I108" s="675">
        <v>1216.2570000000001</v>
      </c>
      <c r="J108" s="675">
        <v>1240.347</v>
      </c>
      <c r="K108" s="675">
        <v>0</v>
      </c>
      <c r="L108" s="675">
        <v>6554</v>
      </c>
      <c r="M108" s="675">
        <v>0</v>
      </c>
      <c r="N108" s="675">
        <v>0</v>
      </c>
      <c r="O108" s="675">
        <v>0</v>
      </c>
      <c r="P108" s="675">
        <v>1271.059</v>
      </c>
      <c r="Q108" s="675">
        <v>0</v>
      </c>
      <c r="R108" s="675">
        <v>406374</v>
      </c>
      <c r="S108" s="675">
        <v>319.71300000000002</v>
      </c>
      <c r="T108" s="675">
        <v>0</v>
      </c>
      <c r="U108" s="675">
        <v>406374</v>
      </c>
      <c r="V108" s="675">
        <v>688.44400000000007</v>
      </c>
      <c r="W108" s="675">
        <v>451206</v>
      </c>
      <c r="X108" s="675">
        <v>451206</v>
      </c>
      <c r="Y108" s="675">
        <v>0</v>
      </c>
      <c r="Z108" s="675">
        <v>0</v>
      </c>
      <c r="AA108" s="675">
        <v>1</v>
      </c>
      <c r="AB108" s="675">
        <v>1</v>
      </c>
      <c r="AC108" s="675">
        <v>0</v>
      </c>
      <c r="AD108" s="675" t="s">
        <v>316</v>
      </c>
      <c r="AE108" s="675">
        <v>0</v>
      </c>
      <c r="AF108" s="675">
        <v>0</v>
      </c>
      <c r="AG108" s="675">
        <v>0</v>
      </c>
      <c r="AH108" s="675">
        <v>0</v>
      </c>
      <c r="AI108" s="675">
        <v>0</v>
      </c>
      <c r="AJ108" s="675">
        <v>5104</v>
      </c>
      <c r="AK108" s="675" t="s">
        <v>671</v>
      </c>
      <c r="AL108" s="675" t="s">
        <v>99</v>
      </c>
      <c r="AM108" s="675">
        <v>0</v>
      </c>
      <c r="AN108" s="675">
        <v>0</v>
      </c>
      <c r="AO108" s="675">
        <v>0</v>
      </c>
      <c r="AP108" s="675">
        <v>0</v>
      </c>
      <c r="AQ108" s="675">
        <v>0</v>
      </c>
      <c r="AR108" s="675">
        <v>0</v>
      </c>
      <c r="AS108" s="675">
        <v>0</v>
      </c>
      <c r="AT108" s="675">
        <v>0</v>
      </c>
      <c r="AU108" s="675">
        <v>0</v>
      </c>
      <c r="AV108" s="675">
        <v>285156</v>
      </c>
      <c r="AW108" s="675">
        <v>13595430</v>
      </c>
      <c r="AX108" s="675">
        <v>13350985</v>
      </c>
      <c r="AY108" s="675">
        <v>14547578</v>
      </c>
      <c r="AZ108" s="675">
        <v>406374</v>
      </c>
      <c r="BA108" s="675">
        <v>0</v>
      </c>
      <c r="BB108" s="675">
        <v>0</v>
      </c>
      <c r="BC108" s="675">
        <v>0</v>
      </c>
      <c r="BD108" s="675">
        <v>0</v>
      </c>
      <c r="BE108" s="675">
        <v>0</v>
      </c>
      <c r="BF108" s="675">
        <v>11332203</v>
      </c>
      <c r="BG108" s="675">
        <v>0</v>
      </c>
      <c r="BH108" s="675">
        <v>0</v>
      </c>
      <c r="BI108" s="675">
        <v>0</v>
      </c>
      <c r="BJ108" s="675">
        <v>12</v>
      </c>
      <c r="BK108" s="675">
        <v>0</v>
      </c>
      <c r="BL108" s="675">
        <v>0</v>
      </c>
      <c r="BM108" s="675">
        <v>0</v>
      </c>
      <c r="BN108" s="675">
        <v>0</v>
      </c>
      <c r="BO108" s="675">
        <v>0</v>
      </c>
      <c r="BP108" s="675">
        <v>0</v>
      </c>
      <c r="BQ108" s="675">
        <v>5392</v>
      </c>
      <c r="BR108" s="675">
        <v>1</v>
      </c>
      <c r="BS108" s="675">
        <v>0</v>
      </c>
      <c r="BT108" s="675">
        <v>0</v>
      </c>
      <c r="BU108" s="675">
        <v>0</v>
      </c>
      <c r="BV108" s="675">
        <v>0</v>
      </c>
      <c r="BW108" s="675">
        <v>0</v>
      </c>
      <c r="BX108" s="675">
        <v>0</v>
      </c>
      <c r="BY108" s="675">
        <v>0</v>
      </c>
      <c r="BZ108" s="675">
        <v>0</v>
      </c>
      <c r="CA108" s="675">
        <v>0</v>
      </c>
      <c r="CB108" s="675">
        <v>0</v>
      </c>
      <c r="CC108" s="675">
        <v>0</v>
      </c>
      <c r="CD108" s="675">
        <v>0</v>
      </c>
      <c r="CE108" s="675">
        <v>0</v>
      </c>
      <c r="CF108" s="675">
        <v>0</v>
      </c>
      <c r="CG108" s="675">
        <v>0</v>
      </c>
      <c r="CH108" s="675">
        <v>244445</v>
      </c>
      <c r="CI108" s="675">
        <v>0</v>
      </c>
      <c r="CJ108" s="675">
        <v>4</v>
      </c>
      <c r="CK108" s="675">
        <v>0</v>
      </c>
      <c r="CL108" s="675">
        <v>0</v>
      </c>
      <c r="CM108" s="675">
        <v>0</v>
      </c>
      <c r="CN108" s="675">
        <v>0</v>
      </c>
      <c r="CO108" s="675">
        <v>0</v>
      </c>
      <c r="CP108" s="675">
        <v>0</v>
      </c>
      <c r="CQ108" s="675">
        <v>0</v>
      </c>
      <c r="CR108" s="675">
        <v>1271.059</v>
      </c>
      <c r="CS108" s="675">
        <v>0</v>
      </c>
      <c r="CT108" s="675">
        <v>0</v>
      </c>
      <c r="CU108" s="675">
        <v>0</v>
      </c>
      <c r="CV108" s="675">
        <v>0</v>
      </c>
      <c r="CW108" s="675">
        <v>0</v>
      </c>
      <c r="CX108" s="675">
        <v>0</v>
      </c>
      <c r="CY108" s="675">
        <v>0</v>
      </c>
      <c r="CZ108" s="675">
        <v>0</v>
      </c>
      <c r="DA108" s="675">
        <v>1</v>
      </c>
      <c r="DB108" s="675">
        <v>7971348</v>
      </c>
      <c r="DC108" s="675">
        <v>0</v>
      </c>
      <c r="DD108" s="675">
        <v>0</v>
      </c>
      <c r="DE108" s="675">
        <v>2596695</v>
      </c>
      <c r="DF108" s="675">
        <v>2596695</v>
      </c>
      <c r="DG108" s="675">
        <v>1981</v>
      </c>
      <c r="DH108" s="675">
        <v>0</v>
      </c>
      <c r="DI108" s="675">
        <v>0</v>
      </c>
      <c r="DJ108" s="675">
        <v>0</v>
      </c>
      <c r="DK108" s="675">
        <v>5392</v>
      </c>
      <c r="DL108" s="675">
        <v>0</v>
      </c>
      <c r="DM108" s="675">
        <v>624093</v>
      </c>
      <c r="DN108" s="675">
        <v>0</v>
      </c>
      <c r="DO108" s="675">
        <v>0</v>
      </c>
      <c r="DP108" s="675">
        <v>0</v>
      </c>
      <c r="DQ108" s="675">
        <v>0</v>
      </c>
      <c r="DR108" s="675">
        <v>0</v>
      </c>
      <c r="DS108" s="675">
        <v>0</v>
      </c>
      <c r="DT108" s="675">
        <v>0</v>
      </c>
      <c r="DU108" s="675">
        <v>0</v>
      </c>
      <c r="DV108" s="675">
        <v>0</v>
      </c>
      <c r="DW108" s="675">
        <v>0</v>
      </c>
      <c r="DX108" s="675">
        <v>0</v>
      </c>
      <c r="DY108" s="675">
        <v>0</v>
      </c>
      <c r="DZ108" s="675">
        <v>0</v>
      </c>
      <c r="EA108" s="675">
        <v>0</v>
      </c>
      <c r="EB108" s="675">
        <v>0</v>
      </c>
      <c r="EC108" s="675">
        <v>14.012</v>
      </c>
      <c r="ED108" s="675">
        <v>101018</v>
      </c>
      <c r="EE108" s="675">
        <v>0</v>
      </c>
      <c r="EF108" s="675">
        <v>0</v>
      </c>
      <c r="EG108" s="675">
        <v>0</v>
      </c>
      <c r="EH108" s="675">
        <v>523075</v>
      </c>
      <c r="EI108" s="675">
        <v>0</v>
      </c>
      <c r="EJ108" s="675">
        <v>0</v>
      </c>
      <c r="EK108" s="675">
        <v>19.850000000000001</v>
      </c>
      <c r="EL108" s="675">
        <v>0</v>
      </c>
      <c r="EM108" s="675">
        <v>0.47000000000000003</v>
      </c>
      <c r="EN108" s="675">
        <v>3.77</v>
      </c>
      <c r="EO108" s="675">
        <v>0</v>
      </c>
      <c r="EP108" s="675">
        <v>0</v>
      </c>
      <c r="EQ108" s="675">
        <v>24.09</v>
      </c>
      <c r="ER108" s="675">
        <v>0</v>
      </c>
      <c r="ES108" s="675">
        <v>79.81</v>
      </c>
      <c r="ET108" s="675">
        <v>0</v>
      </c>
      <c r="EU108" s="675">
        <v>406374</v>
      </c>
      <c r="EV108" s="675">
        <v>0</v>
      </c>
      <c r="EW108" s="675">
        <v>0</v>
      </c>
      <c r="EX108" s="675">
        <v>0</v>
      </c>
      <c r="EY108" s="675">
        <v>0</v>
      </c>
      <c r="EZ108" s="675">
        <v>11236968</v>
      </c>
      <c r="FA108" s="675">
        <v>0</v>
      </c>
      <c r="FB108" s="675">
        <v>11643342</v>
      </c>
      <c r="FC108" s="675">
        <v>0.97327799999999998</v>
      </c>
      <c r="FD108" s="675">
        <v>0</v>
      </c>
      <c r="FE108" s="675">
        <v>1725237</v>
      </c>
      <c r="FF108" s="675">
        <v>388780</v>
      </c>
      <c r="FG108" s="675">
        <v>6.1239999999999996E-2</v>
      </c>
      <c r="FH108" s="675">
        <v>5.4803999999999999E-2</v>
      </c>
      <c r="FI108" s="675">
        <v>0</v>
      </c>
      <c r="FJ108" s="675">
        <v>0</v>
      </c>
      <c r="FK108" s="675">
        <v>2220.335</v>
      </c>
      <c r="FL108" s="675">
        <v>14001804</v>
      </c>
      <c r="FM108" s="675">
        <v>0</v>
      </c>
      <c r="FN108" s="675">
        <v>0</v>
      </c>
      <c r="FO108" s="675">
        <v>0</v>
      </c>
      <c r="FP108" s="675">
        <v>0</v>
      </c>
      <c r="FQ108" s="675">
        <v>0</v>
      </c>
      <c r="FR108" s="675">
        <v>0</v>
      </c>
      <c r="FS108" s="675">
        <v>0</v>
      </c>
      <c r="FT108" s="675">
        <v>0</v>
      </c>
      <c r="FU108" s="675">
        <v>0</v>
      </c>
      <c r="FV108" s="675">
        <v>0</v>
      </c>
      <c r="FW108" s="675">
        <v>0</v>
      </c>
      <c r="FX108" s="675">
        <v>0</v>
      </c>
      <c r="FY108" s="675">
        <v>0</v>
      </c>
      <c r="FZ108" s="675">
        <v>0</v>
      </c>
      <c r="GA108" s="675">
        <v>0</v>
      </c>
      <c r="GB108" s="675">
        <v>0</v>
      </c>
      <c r="GC108" s="675">
        <v>0</v>
      </c>
      <c r="GD108" s="675">
        <v>0</v>
      </c>
      <c r="GE108" s="675">
        <v>0</v>
      </c>
      <c r="GF108" s="675">
        <v>0</v>
      </c>
      <c r="GG108" s="675">
        <v>0</v>
      </c>
      <c r="GH108" s="675">
        <v>0</v>
      </c>
      <c r="GI108" s="675">
        <v>0</v>
      </c>
      <c r="GJ108" s="675">
        <v>0</v>
      </c>
      <c r="GK108" s="675">
        <v>5068</v>
      </c>
      <c r="GL108" s="675">
        <v>32243</v>
      </c>
      <c r="GM108" s="675">
        <v>0</v>
      </c>
      <c r="GN108" s="675">
        <v>0</v>
      </c>
      <c r="GO108" s="675">
        <v>0</v>
      </c>
      <c r="GP108" s="675">
        <v>13757359</v>
      </c>
      <c r="GQ108" s="675">
        <v>13757359</v>
      </c>
      <c r="GR108" s="675">
        <v>0</v>
      </c>
      <c r="GS108" s="675">
        <v>0</v>
      </c>
      <c r="GT108" s="675">
        <v>0</v>
      </c>
      <c r="GU108" s="675">
        <v>0</v>
      </c>
      <c r="GV108" s="675">
        <v>0</v>
      </c>
      <c r="GW108" s="675">
        <v>0</v>
      </c>
      <c r="GX108" s="675">
        <v>0</v>
      </c>
      <c r="GY108" s="675">
        <v>0</v>
      </c>
      <c r="GZ108" s="675">
        <v>0</v>
      </c>
      <c r="HA108" s="675">
        <v>0</v>
      </c>
      <c r="HB108" s="675">
        <v>260786259</v>
      </c>
      <c r="HC108" s="675">
        <v>5.0923999999999997E-2</v>
      </c>
      <c r="HD108" s="675">
        <v>244445</v>
      </c>
      <c r="HE108" s="675">
        <v>0</v>
      </c>
      <c r="HF108" s="675">
        <v>0</v>
      </c>
      <c r="HG108" s="675">
        <v>0</v>
      </c>
      <c r="HH108" s="675">
        <v>0</v>
      </c>
      <c r="HI108" s="675">
        <v>0</v>
      </c>
      <c r="HJ108" s="675">
        <v>0</v>
      </c>
      <c r="HK108" s="675">
        <v>0</v>
      </c>
      <c r="HL108" s="675">
        <v>0</v>
      </c>
      <c r="HM108" s="675">
        <v>0</v>
      </c>
      <c r="HN108" s="675">
        <v>0</v>
      </c>
      <c r="HO108" s="675">
        <v>0</v>
      </c>
      <c r="HP108" s="675">
        <v>0</v>
      </c>
      <c r="HQ108" s="675">
        <v>0</v>
      </c>
      <c r="HR108" s="675">
        <v>0</v>
      </c>
      <c r="HS108" s="675">
        <v>0</v>
      </c>
      <c r="HT108" s="675">
        <v>0</v>
      </c>
      <c r="HU108" s="675">
        <v>0</v>
      </c>
      <c r="HV108" s="675">
        <v>0</v>
      </c>
      <c r="HW108" s="675">
        <v>0</v>
      </c>
      <c r="HX108" s="675">
        <v>0</v>
      </c>
      <c r="HY108" s="675">
        <v>0</v>
      </c>
      <c r="HZ108" s="675">
        <v>0</v>
      </c>
      <c r="IA108" s="675">
        <v>0</v>
      </c>
      <c r="IB108" s="675">
        <v>0</v>
      </c>
      <c r="IC108" s="675">
        <v>0</v>
      </c>
      <c r="ID108" s="675">
        <v>0</v>
      </c>
      <c r="IE108" s="675">
        <v>0</v>
      </c>
      <c r="IF108" s="675">
        <v>0</v>
      </c>
      <c r="IG108" s="675">
        <v>0</v>
      </c>
      <c r="IH108" s="675">
        <v>0</v>
      </c>
      <c r="II108" s="675">
        <v>0</v>
      </c>
      <c r="IJ108" s="675">
        <v>0</v>
      </c>
      <c r="IK108" s="675">
        <v>0</v>
      </c>
      <c r="IL108" s="675">
        <v>0</v>
      </c>
      <c r="IM108" s="675">
        <v>0</v>
      </c>
      <c r="IN108" s="675">
        <v>0</v>
      </c>
      <c r="IO108" s="675">
        <v>0</v>
      </c>
      <c r="IP108" s="675">
        <v>0</v>
      </c>
      <c r="IQ108" s="675">
        <v>0</v>
      </c>
      <c r="IR108" s="675">
        <v>0</v>
      </c>
      <c r="IS108" s="675">
        <v>0</v>
      </c>
      <c r="IT108" s="675">
        <v>0</v>
      </c>
      <c r="IU108" s="675">
        <v>0</v>
      </c>
      <c r="IV108" s="675">
        <v>0</v>
      </c>
      <c r="IW108" s="675">
        <v>0</v>
      </c>
      <c r="IX108" s="675">
        <v>0</v>
      </c>
      <c r="IY108" s="675">
        <v>0</v>
      </c>
      <c r="IZ108" s="675">
        <v>0</v>
      </c>
      <c r="JA108" s="675">
        <v>0</v>
      </c>
      <c r="JB108" s="675">
        <v>0</v>
      </c>
      <c r="JC108" s="675">
        <v>0</v>
      </c>
      <c r="JD108" s="675">
        <v>0</v>
      </c>
      <c r="JE108" s="675">
        <v>0</v>
      </c>
      <c r="JF108" s="675">
        <v>0</v>
      </c>
      <c r="JG108" s="675">
        <v>0</v>
      </c>
      <c r="JH108" s="675">
        <v>0</v>
      </c>
      <c r="JI108" s="675">
        <v>0</v>
      </c>
      <c r="JJ108" s="675">
        <v>0</v>
      </c>
      <c r="JK108" s="675">
        <v>0</v>
      </c>
      <c r="JL108" s="675">
        <v>0</v>
      </c>
      <c r="JM108" s="675">
        <v>0</v>
      </c>
      <c r="JN108" s="675">
        <v>32469</v>
      </c>
      <c r="JO108" s="675">
        <v>0</v>
      </c>
      <c r="JP108" s="675">
        <v>0</v>
      </c>
      <c r="JQ108" s="675">
        <v>0</v>
      </c>
      <c r="JR108" s="675">
        <v>0</v>
      </c>
      <c r="JS108" s="675">
        <v>0</v>
      </c>
      <c r="JT108" s="675">
        <v>0</v>
      </c>
      <c r="JU108" s="675">
        <v>0</v>
      </c>
      <c r="JV108" s="675">
        <v>0</v>
      </c>
      <c r="JW108" s="675">
        <v>0</v>
      </c>
      <c r="JX108" s="675">
        <v>0</v>
      </c>
      <c r="JY108" s="675">
        <v>0</v>
      </c>
      <c r="JZ108" s="675">
        <v>0</v>
      </c>
      <c r="KA108" s="675">
        <v>0</v>
      </c>
      <c r="KB108" s="675">
        <v>0</v>
      </c>
      <c r="KC108" s="675">
        <v>0</v>
      </c>
      <c r="KD108" s="675">
        <v>0</v>
      </c>
      <c r="KE108" s="675">
        <v>0</v>
      </c>
      <c r="KF108" s="675">
        <v>0</v>
      </c>
    </row>
    <row r="109" spans="1:292" x14ac:dyDescent="0.25">
      <c r="A109" s="675">
        <v>101855</v>
      </c>
      <c r="B109" s="675">
        <v>32570</v>
      </c>
      <c r="C109" s="675">
        <v>35</v>
      </c>
      <c r="D109" s="675">
        <v>2022</v>
      </c>
      <c r="E109" s="675">
        <v>5392</v>
      </c>
      <c r="F109" s="675">
        <v>0</v>
      </c>
      <c r="G109" s="675">
        <v>226.09</v>
      </c>
      <c r="H109" s="675">
        <v>224.006</v>
      </c>
      <c r="I109" s="675">
        <v>224.006</v>
      </c>
      <c r="J109" s="675">
        <v>226.09</v>
      </c>
      <c r="K109" s="675">
        <v>0</v>
      </c>
      <c r="L109" s="675">
        <v>6554</v>
      </c>
      <c r="M109" s="675">
        <v>0</v>
      </c>
      <c r="N109" s="675">
        <v>0</v>
      </c>
      <c r="O109" s="675">
        <v>0</v>
      </c>
      <c r="P109" s="675">
        <v>242.96700000000001</v>
      </c>
      <c r="Q109" s="675">
        <v>0</v>
      </c>
      <c r="R109" s="675">
        <v>77680</v>
      </c>
      <c r="S109" s="675">
        <v>319.71300000000002</v>
      </c>
      <c r="T109" s="675">
        <v>0</v>
      </c>
      <c r="U109" s="675">
        <v>77680</v>
      </c>
      <c r="V109" s="675">
        <v>1.5090000000000001</v>
      </c>
      <c r="W109" s="675">
        <v>989</v>
      </c>
      <c r="X109" s="675">
        <v>989</v>
      </c>
      <c r="Y109" s="675">
        <v>0</v>
      </c>
      <c r="Z109" s="675">
        <v>0</v>
      </c>
      <c r="AA109" s="675">
        <v>1</v>
      </c>
      <c r="AB109" s="675">
        <v>1</v>
      </c>
      <c r="AC109" s="675">
        <v>0</v>
      </c>
      <c r="AD109" s="675" t="s">
        <v>316</v>
      </c>
      <c r="AE109" s="675">
        <v>0</v>
      </c>
      <c r="AF109" s="675">
        <v>0</v>
      </c>
      <c r="AG109" s="675">
        <v>0</v>
      </c>
      <c r="AH109" s="675">
        <v>0</v>
      </c>
      <c r="AI109" s="675">
        <v>0</v>
      </c>
      <c r="AJ109" s="675">
        <v>5104</v>
      </c>
      <c r="AK109" s="675" t="s">
        <v>671</v>
      </c>
      <c r="AL109" s="675" t="s">
        <v>2</v>
      </c>
      <c r="AM109" s="675">
        <v>0</v>
      </c>
      <c r="AN109" s="675">
        <v>0</v>
      </c>
      <c r="AO109" s="675">
        <v>0</v>
      </c>
      <c r="AP109" s="675">
        <v>0</v>
      </c>
      <c r="AQ109" s="675">
        <v>0</v>
      </c>
      <c r="AR109" s="675">
        <v>0</v>
      </c>
      <c r="AS109" s="675">
        <v>0</v>
      </c>
      <c r="AT109" s="675">
        <v>0</v>
      </c>
      <c r="AU109" s="675">
        <v>0</v>
      </c>
      <c r="AV109" s="675">
        <v>94698</v>
      </c>
      <c r="AW109" s="675">
        <v>2167829</v>
      </c>
      <c r="AX109" s="675">
        <v>2123272</v>
      </c>
      <c r="AY109" s="675">
        <v>2369607</v>
      </c>
      <c r="AZ109" s="675">
        <v>77680</v>
      </c>
      <c r="BA109" s="675">
        <v>0</v>
      </c>
      <c r="BB109" s="675">
        <v>0</v>
      </c>
      <c r="BC109" s="675">
        <v>0</v>
      </c>
      <c r="BD109" s="675">
        <v>0</v>
      </c>
      <c r="BE109" s="675">
        <v>0</v>
      </c>
      <c r="BF109" s="675">
        <v>1808865</v>
      </c>
      <c r="BG109" s="675">
        <v>0</v>
      </c>
      <c r="BH109" s="675">
        <v>0</v>
      </c>
      <c r="BI109" s="675">
        <v>0</v>
      </c>
      <c r="BJ109" s="675">
        <v>12</v>
      </c>
      <c r="BK109" s="675">
        <v>0</v>
      </c>
      <c r="BL109" s="675">
        <v>0</v>
      </c>
      <c r="BM109" s="675">
        <v>0</v>
      </c>
      <c r="BN109" s="675">
        <v>0</v>
      </c>
      <c r="BO109" s="675">
        <v>0</v>
      </c>
      <c r="BP109" s="675">
        <v>0</v>
      </c>
      <c r="BQ109" s="675">
        <v>5392</v>
      </c>
      <c r="BR109" s="675">
        <v>1</v>
      </c>
      <c r="BS109" s="675">
        <v>0</v>
      </c>
      <c r="BT109" s="675">
        <v>0</v>
      </c>
      <c r="BU109" s="675">
        <v>0</v>
      </c>
      <c r="BV109" s="675">
        <v>0</v>
      </c>
      <c r="BW109" s="675">
        <v>0</v>
      </c>
      <c r="BX109" s="675">
        <v>0</v>
      </c>
      <c r="BY109" s="675">
        <v>0</v>
      </c>
      <c r="BZ109" s="675">
        <v>0</v>
      </c>
      <c r="CA109" s="675">
        <v>0</v>
      </c>
      <c r="CB109" s="675">
        <v>0</v>
      </c>
      <c r="CC109" s="675">
        <v>0</v>
      </c>
      <c r="CD109" s="675">
        <v>0</v>
      </c>
      <c r="CE109" s="675">
        <v>0</v>
      </c>
      <c r="CF109" s="675">
        <v>0</v>
      </c>
      <c r="CG109" s="675">
        <v>0</v>
      </c>
      <c r="CH109" s="675">
        <v>44557</v>
      </c>
      <c r="CI109" s="675">
        <v>0</v>
      </c>
      <c r="CJ109" s="675">
        <v>4</v>
      </c>
      <c r="CK109" s="675">
        <v>0</v>
      </c>
      <c r="CL109" s="675">
        <v>0</v>
      </c>
      <c r="CM109" s="675">
        <v>0</v>
      </c>
      <c r="CN109" s="675">
        <v>0</v>
      </c>
      <c r="CO109" s="675">
        <v>0</v>
      </c>
      <c r="CP109" s="675">
        <v>0</v>
      </c>
      <c r="CQ109" s="675">
        <v>0</v>
      </c>
      <c r="CR109" s="675">
        <v>242.96700000000001</v>
      </c>
      <c r="CS109" s="675">
        <v>0</v>
      </c>
      <c r="CT109" s="675">
        <v>0</v>
      </c>
      <c r="CU109" s="675">
        <v>0</v>
      </c>
      <c r="CV109" s="675">
        <v>0</v>
      </c>
      <c r="CW109" s="675">
        <v>0</v>
      </c>
      <c r="CX109" s="675">
        <v>0</v>
      </c>
      <c r="CY109" s="675">
        <v>0</v>
      </c>
      <c r="CZ109" s="675">
        <v>0</v>
      </c>
      <c r="DA109" s="675">
        <v>1</v>
      </c>
      <c r="DB109" s="675">
        <v>1468135</v>
      </c>
      <c r="DC109" s="675">
        <v>0</v>
      </c>
      <c r="DD109" s="675">
        <v>0</v>
      </c>
      <c r="DE109" s="675">
        <v>337531</v>
      </c>
      <c r="DF109" s="675">
        <v>337531</v>
      </c>
      <c r="DG109" s="675">
        <v>257.5</v>
      </c>
      <c r="DH109" s="675">
        <v>0</v>
      </c>
      <c r="DI109" s="675">
        <v>0</v>
      </c>
      <c r="DJ109" s="675">
        <v>0</v>
      </c>
      <c r="DK109" s="675">
        <v>5392</v>
      </c>
      <c r="DL109" s="675">
        <v>0</v>
      </c>
      <c r="DM109" s="675">
        <v>51875</v>
      </c>
      <c r="DN109" s="675">
        <v>0</v>
      </c>
      <c r="DO109" s="675">
        <v>0</v>
      </c>
      <c r="DP109" s="675">
        <v>0</v>
      </c>
      <c r="DQ109" s="675">
        <v>0</v>
      </c>
      <c r="DR109" s="675">
        <v>0</v>
      </c>
      <c r="DS109" s="675">
        <v>0</v>
      </c>
      <c r="DT109" s="675">
        <v>0</v>
      </c>
      <c r="DU109" s="675">
        <v>0</v>
      </c>
      <c r="DV109" s="675">
        <v>0</v>
      </c>
      <c r="DW109" s="675">
        <v>0</v>
      </c>
      <c r="DX109" s="675">
        <v>0</v>
      </c>
      <c r="DY109" s="675">
        <v>0</v>
      </c>
      <c r="DZ109" s="675">
        <v>0</v>
      </c>
      <c r="EA109" s="675">
        <v>0</v>
      </c>
      <c r="EB109" s="675">
        <v>0</v>
      </c>
      <c r="EC109" s="675">
        <v>0.61</v>
      </c>
      <c r="ED109" s="675">
        <v>4398</v>
      </c>
      <c r="EE109" s="675">
        <v>0</v>
      </c>
      <c r="EF109" s="675">
        <v>0</v>
      </c>
      <c r="EG109" s="675">
        <v>0</v>
      </c>
      <c r="EH109" s="675">
        <v>47477</v>
      </c>
      <c r="EI109" s="675">
        <v>0</v>
      </c>
      <c r="EJ109" s="675">
        <v>0</v>
      </c>
      <c r="EK109" s="675">
        <v>1.5880000000000001</v>
      </c>
      <c r="EL109" s="675">
        <v>0</v>
      </c>
      <c r="EM109" s="675">
        <v>0</v>
      </c>
      <c r="EN109" s="675">
        <v>0.496</v>
      </c>
      <c r="EO109" s="675">
        <v>0</v>
      </c>
      <c r="EP109" s="675">
        <v>0</v>
      </c>
      <c r="EQ109" s="675">
        <v>2.0840000000000001</v>
      </c>
      <c r="ER109" s="675">
        <v>0</v>
      </c>
      <c r="ES109" s="675">
        <v>7.2440000000000007</v>
      </c>
      <c r="ET109" s="675">
        <v>0</v>
      </c>
      <c r="EU109" s="675">
        <v>77680</v>
      </c>
      <c r="EV109" s="675">
        <v>0</v>
      </c>
      <c r="EW109" s="675">
        <v>0</v>
      </c>
      <c r="EX109" s="675">
        <v>0</v>
      </c>
      <c r="EY109" s="675">
        <v>0</v>
      </c>
      <c r="EZ109" s="675">
        <v>1785829</v>
      </c>
      <c r="FA109" s="675">
        <v>0</v>
      </c>
      <c r="FB109" s="675">
        <v>1863509</v>
      </c>
      <c r="FC109" s="675">
        <v>0.97327799999999998</v>
      </c>
      <c r="FD109" s="675">
        <v>0</v>
      </c>
      <c r="FE109" s="675">
        <v>275385</v>
      </c>
      <c r="FF109" s="675">
        <v>62058</v>
      </c>
      <c r="FG109" s="675">
        <v>6.1239999999999996E-2</v>
      </c>
      <c r="FH109" s="675">
        <v>5.4803999999999999E-2</v>
      </c>
      <c r="FI109" s="675">
        <v>0</v>
      </c>
      <c r="FJ109" s="675">
        <v>0</v>
      </c>
      <c r="FK109" s="675">
        <v>354.41400000000004</v>
      </c>
      <c r="FL109" s="675">
        <v>2245509</v>
      </c>
      <c r="FM109" s="675">
        <v>0</v>
      </c>
      <c r="FN109" s="675">
        <v>0</v>
      </c>
      <c r="FO109" s="675">
        <v>4979</v>
      </c>
      <c r="FP109" s="675">
        <v>0</v>
      </c>
      <c r="FQ109" s="675">
        <v>4979</v>
      </c>
      <c r="FR109" s="675">
        <v>4979</v>
      </c>
      <c r="FS109" s="675">
        <v>0</v>
      </c>
      <c r="FT109" s="675">
        <v>0</v>
      </c>
      <c r="FU109" s="675">
        <v>0</v>
      </c>
      <c r="FV109" s="675">
        <v>0</v>
      </c>
      <c r="FW109" s="675">
        <v>0</v>
      </c>
      <c r="FX109" s="675">
        <v>0</v>
      </c>
      <c r="FY109" s="675">
        <v>0</v>
      </c>
      <c r="FZ109" s="675">
        <v>0</v>
      </c>
      <c r="GA109" s="675">
        <v>0</v>
      </c>
      <c r="GB109" s="675">
        <v>0</v>
      </c>
      <c r="GC109" s="675">
        <v>0</v>
      </c>
      <c r="GD109" s="675">
        <v>0</v>
      </c>
      <c r="GE109" s="675">
        <v>0</v>
      </c>
      <c r="GF109" s="675">
        <v>0</v>
      </c>
      <c r="GG109" s="675">
        <v>0</v>
      </c>
      <c r="GH109" s="675">
        <v>0</v>
      </c>
      <c r="GI109" s="675">
        <v>0</v>
      </c>
      <c r="GJ109" s="675">
        <v>0</v>
      </c>
      <c r="GK109" s="675">
        <v>5111</v>
      </c>
      <c r="GL109" s="675">
        <v>5112</v>
      </c>
      <c r="GM109" s="675">
        <v>0</v>
      </c>
      <c r="GN109" s="675">
        <v>11565</v>
      </c>
      <c r="GO109" s="675">
        <v>0</v>
      </c>
      <c r="GP109" s="675">
        <v>2200952</v>
      </c>
      <c r="GQ109" s="675">
        <v>2200952</v>
      </c>
      <c r="GR109" s="675">
        <v>0</v>
      </c>
      <c r="GS109" s="675">
        <v>0</v>
      </c>
      <c r="GT109" s="675">
        <v>0</v>
      </c>
      <c r="GU109" s="675">
        <v>0</v>
      </c>
      <c r="GV109" s="675">
        <v>0</v>
      </c>
      <c r="GW109" s="675">
        <v>0</v>
      </c>
      <c r="GX109" s="675">
        <v>0</v>
      </c>
      <c r="GY109" s="675">
        <v>0</v>
      </c>
      <c r="GZ109" s="675">
        <v>0</v>
      </c>
      <c r="HA109" s="675">
        <v>0</v>
      </c>
      <c r="HB109" s="675">
        <v>260786259</v>
      </c>
      <c r="HC109" s="675">
        <v>5.0923999999999997E-2</v>
      </c>
      <c r="HD109" s="675">
        <v>44557</v>
      </c>
      <c r="HE109" s="675">
        <v>0</v>
      </c>
      <c r="HF109" s="675">
        <v>0</v>
      </c>
      <c r="HG109" s="675">
        <v>0</v>
      </c>
      <c r="HH109" s="675">
        <v>0</v>
      </c>
      <c r="HI109" s="675">
        <v>0</v>
      </c>
      <c r="HJ109" s="675">
        <v>0</v>
      </c>
      <c r="HK109" s="675">
        <v>0</v>
      </c>
      <c r="HL109" s="675">
        <v>0</v>
      </c>
      <c r="HM109" s="675">
        <v>0</v>
      </c>
      <c r="HN109" s="675">
        <v>0</v>
      </c>
      <c r="HO109" s="675">
        <v>0</v>
      </c>
      <c r="HP109" s="675">
        <v>0</v>
      </c>
      <c r="HQ109" s="675">
        <v>0</v>
      </c>
      <c r="HR109" s="675">
        <v>0</v>
      </c>
      <c r="HS109" s="675">
        <v>0</v>
      </c>
      <c r="HT109" s="675">
        <v>0</v>
      </c>
      <c r="HU109" s="675">
        <v>0</v>
      </c>
      <c r="HV109" s="675">
        <v>0</v>
      </c>
      <c r="HW109" s="675">
        <v>0</v>
      </c>
      <c r="HX109" s="675">
        <v>0</v>
      </c>
      <c r="HY109" s="675">
        <v>0</v>
      </c>
      <c r="HZ109" s="675">
        <v>0</v>
      </c>
      <c r="IA109" s="675">
        <v>0</v>
      </c>
      <c r="IB109" s="675">
        <v>0</v>
      </c>
      <c r="IC109" s="675">
        <v>0</v>
      </c>
      <c r="ID109" s="675">
        <v>0</v>
      </c>
      <c r="IE109" s="675">
        <v>0</v>
      </c>
      <c r="IF109" s="675">
        <v>0</v>
      </c>
      <c r="IG109" s="675">
        <v>0</v>
      </c>
      <c r="IH109" s="675">
        <v>0</v>
      </c>
      <c r="II109" s="675">
        <v>0</v>
      </c>
      <c r="IJ109" s="675">
        <v>0</v>
      </c>
      <c r="IK109" s="675">
        <v>0</v>
      </c>
      <c r="IL109" s="675">
        <v>0</v>
      </c>
      <c r="IM109" s="675">
        <v>0</v>
      </c>
      <c r="IN109" s="675">
        <v>0</v>
      </c>
      <c r="IO109" s="675">
        <v>0</v>
      </c>
      <c r="IP109" s="675">
        <v>0</v>
      </c>
      <c r="IQ109" s="675">
        <v>0</v>
      </c>
      <c r="IR109" s="675">
        <v>0</v>
      </c>
      <c r="IS109" s="675">
        <v>0</v>
      </c>
      <c r="IT109" s="675">
        <v>0</v>
      </c>
      <c r="IU109" s="675">
        <v>0</v>
      </c>
      <c r="IV109" s="675">
        <v>0</v>
      </c>
      <c r="IW109" s="675">
        <v>0</v>
      </c>
      <c r="IX109" s="675">
        <v>0</v>
      </c>
      <c r="IY109" s="675">
        <v>0</v>
      </c>
      <c r="IZ109" s="675">
        <v>0</v>
      </c>
      <c r="JA109" s="675">
        <v>0</v>
      </c>
      <c r="JB109" s="675">
        <v>0</v>
      </c>
      <c r="JC109" s="675">
        <v>0</v>
      </c>
      <c r="JD109" s="675">
        <v>0</v>
      </c>
      <c r="JE109" s="675">
        <v>0</v>
      </c>
      <c r="JF109" s="675">
        <v>0</v>
      </c>
      <c r="JG109" s="675">
        <v>0</v>
      </c>
      <c r="JH109" s="675">
        <v>0</v>
      </c>
      <c r="JI109" s="675">
        <v>0</v>
      </c>
      <c r="JJ109" s="675">
        <v>0</v>
      </c>
      <c r="JK109" s="675">
        <v>0</v>
      </c>
      <c r="JL109" s="675">
        <v>0</v>
      </c>
      <c r="JM109" s="675">
        <v>0</v>
      </c>
      <c r="JN109" s="675">
        <v>32469</v>
      </c>
      <c r="JO109" s="675">
        <v>0</v>
      </c>
      <c r="JP109" s="675">
        <v>0</v>
      </c>
      <c r="JQ109" s="675">
        <v>0</v>
      </c>
      <c r="JR109" s="675">
        <v>0</v>
      </c>
      <c r="JS109" s="675">
        <v>0</v>
      </c>
      <c r="JT109" s="675">
        <v>0</v>
      </c>
      <c r="JU109" s="675">
        <v>0</v>
      </c>
      <c r="JV109" s="675">
        <v>0</v>
      </c>
      <c r="JW109" s="675">
        <v>0</v>
      </c>
      <c r="JX109" s="675">
        <v>0</v>
      </c>
      <c r="JY109" s="675">
        <v>0</v>
      </c>
      <c r="JZ109" s="675">
        <v>0</v>
      </c>
      <c r="KA109" s="675">
        <v>0</v>
      </c>
      <c r="KB109" s="675">
        <v>0</v>
      </c>
      <c r="KC109" s="675">
        <v>0</v>
      </c>
      <c r="KD109" s="675">
        <v>0</v>
      </c>
      <c r="KE109" s="675">
        <v>0</v>
      </c>
      <c r="KF109" s="675">
        <v>0</v>
      </c>
    </row>
    <row r="110" spans="1:292" x14ac:dyDescent="0.25">
      <c r="A110" s="675">
        <v>101856</v>
      </c>
      <c r="B110" s="675">
        <v>32570</v>
      </c>
      <c r="C110" s="675">
        <v>35</v>
      </c>
      <c r="D110" s="675">
        <v>2022</v>
      </c>
      <c r="E110" s="675">
        <v>5392</v>
      </c>
      <c r="F110" s="675">
        <v>0</v>
      </c>
      <c r="G110" s="675">
        <v>604.05799999999999</v>
      </c>
      <c r="H110" s="675">
        <v>600.36300000000006</v>
      </c>
      <c r="I110" s="675">
        <v>600.36300000000006</v>
      </c>
      <c r="J110" s="675">
        <v>604.05799999999999</v>
      </c>
      <c r="K110" s="675">
        <v>0</v>
      </c>
      <c r="L110" s="675">
        <v>6554</v>
      </c>
      <c r="M110" s="675">
        <v>0</v>
      </c>
      <c r="N110" s="675">
        <v>0</v>
      </c>
      <c r="O110" s="675">
        <v>0</v>
      </c>
      <c r="P110" s="675">
        <v>573.64300000000003</v>
      </c>
      <c r="Q110" s="675">
        <v>0</v>
      </c>
      <c r="R110" s="675">
        <v>183401</v>
      </c>
      <c r="S110" s="675">
        <v>319.71300000000002</v>
      </c>
      <c r="T110" s="675">
        <v>0</v>
      </c>
      <c r="U110" s="675">
        <v>183401</v>
      </c>
      <c r="V110" s="675">
        <v>523.36099999999999</v>
      </c>
      <c r="W110" s="675">
        <v>343011</v>
      </c>
      <c r="X110" s="675">
        <v>343011</v>
      </c>
      <c r="Y110" s="675">
        <v>0</v>
      </c>
      <c r="Z110" s="675">
        <v>0</v>
      </c>
      <c r="AA110" s="675">
        <v>1</v>
      </c>
      <c r="AB110" s="675">
        <v>1</v>
      </c>
      <c r="AC110" s="675">
        <v>0</v>
      </c>
      <c r="AD110" s="675" t="s">
        <v>316</v>
      </c>
      <c r="AE110" s="675">
        <v>0</v>
      </c>
      <c r="AF110" s="675">
        <v>0</v>
      </c>
      <c r="AG110" s="675">
        <v>0</v>
      </c>
      <c r="AH110" s="675">
        <v>0</v>
      </c>
      <c r="AI110" s="675">
        <v>0</v>
      </c>
      <c r="AJ110" s="675">
        <v>5104</v>
      </c>
      <c r="AK110" s="675" t="s">
        <v>671</v>
      </c>
      <c r="AL110" s="675" t="s">
        <v>33</v>
      </c>
      <c r="AM110" s="675">
        <v>0</v>
      </c>
      <c r="AN110" s="675">
        <v>0</v>
      </c>
      <c r="AO110" s="675">
        <v>0</v>
      </c>
      <c r="AP110" s="675">
        <v>0</v>
      </c>
      <c r="AQ110" s="675">
        <v>0</v>
      </c>
      <c r="AR110" s="675">
        <v>0</v>
      </c>
      <c r="AS110" s="675">
        <v>0</v>
      </c>
      <c r="AT110" s="675">
        <v>0</v>
      </c>
      <c r="AU110" s="675">
        <v>0</v>
      </c>
      <c r="AV110" s="675">
        <v>857942</v>
      </c>
      <c r="AW110" s="675">
        <v>6107146</v>
      </c>
      <c r="AX110" s="675">
        <v>5988100</v>
      </c>
      <c r="AY110" s="675">
        <v>7577672</v>
      </c>
      <c r="AZ110" s="675">
        <v>183401</v>
      </c>
      <c r="BA110" s="675">
        <v>0</v>
      </c>
      <c r="BB110" s="675">
        <v>0</v>
      </c>
      <c r="BC110" s="675">
        <v>0</v>
      </c>
      <c r="BD110" s="675">
        <v>0</v>
      </c>
      <c r="BE110" s="675">
        <v>0</v>
      </c>
      <c r="BF110" s="675">
        <v>5083585</v>
      </c>
      <c r="BG110" s="675">
        <v>0</v>
      </c>
      <c r="BH110" s="675">
        <v>0</v>
      </c>
      <c r="BI110" s="675">
        <v>0</v>
      </c>
      <c r="BJ110" s="675">
        <v>12</v>
      </c>
      <c r="BK110" s="675">
        <v>0</v>
      </c>
      <c r="BL110" s="675">
        <v>0</v>
      </c>
      <c r="BM110" s="675">
        <v>0</v>
      </c>
      <c r="BN110" s="675">
        <v>0</v>
      </c>
      <c r="BO110" s="675">
        <v>0</v>
      </c>
      <c r="BP110" s="675">
        <v>0</v>
      </c>
      <c r="BQ110" s="675">
        <v>5392</v>
      </c>
      <c r="BR110" s="675">
        <v>1</v>
      </c>
      <c r="BS110" s="675">
        <v>0</v>
      </c>
      <c r="BT110" s="675">
        <v>0</v>
      </c>
      <c r="BU110" s="675">
        <v>0</v>
      </c>
      <c r="BV110" s="675">
        <v>0</v>
      </c>
      <c r="BW110" s="675">
        <v>0</v>
      </c>
      <c r="BX110" s="675">
        <v>0</v>
      </c>
      <c r="BY110" s="675">
        <v>0</v>
      </c>
      <c r="BZ110" s="675">
        <v>0</v>
      </c>
      <c r="CA110" s="675">
        <v>0</v>
      </c>
      <c r="CB110" s="675">
        <v>0</v>
      </c>
      <c r="CC110" s="675">
        <v>0</v>
      </c>
      <c r="CD110" s="675">
        <v>0</v>
      </c>
      <c r="CE110" s="675">
        <v>0</v>
      </c>
      <c r="CF110" s="675">
        <v>0</v>
      </c>
      <c r="CG110" s="675">
        <v>0</v>
      </c>
      <c r="CH110" s="675">
        <v>119046</v>
      </c>
      <c r="CI110" s="675">
        <v>0</v>
      </c>
      <c r="CJ110" s="675">
        <v>4</v>
      </c>
      <c r="CK110" s="675">
        <v>0</v>
      </c>
      <c r="CL110" s="675">
        <v>0</v>
      </c>
      <c r="CM110" s="675">
        <v>0</v>
      </c>
      <c r="CN110" s="675">
        <v>0</v>
      </c>
      <c r="CO110" s="675">
        <v>0</v>
      </c>
      <c r="CP110" s="675">
        <v>0</v>
      </c>
      <c r="CQ110" s="675">
        <v>0</v>
      </c>
      <c r="CR110" s="675">
        <v>573.64300000000003</v>
      </c>
      <c r="CS110" s="675">
        <v>0</v>
      </c>
      <c r="CT110" s="675">
        <v>0</v>
      </c>
      <c r="CU110" s="675">
        <v>0</v>
      </c>
      <c r="CV110" s="675">
        <v>0</v>
      </c>
      <c r="CW110" s="675">
        <v>0</v>
      </c>
      <c r="CX110" s="675">
        <v>0</v>
      </c>
      <c r="CY110" s="675">
        <v>0</v>
      </c>
      <c r="CZ110" s="675">
        <v>0</v>
      </c>
      <c r="DA110" s="675">
        <v>1</v>
      </c>
      <c r="DB110" s="675">
        <v>3934779</v>
      </c>
      <c r="DC110" s="675">
        <v>0</v>
      </c>
      <c r="DD110" s="675">
        <v>0</v>
      </c>
      <c r="DE110" s="675">
        <v>858141</v>
      </c>
      <c r="DF110" s="675">
        <v>858141</v>
      </c>
      <c r="DG110" s="675">
        <v>654.66999999999996</v>
      </c>
      <c r="DH110" s="675">
        <v>0</v>
      </c>
      <c r="DI110" s="675">
        <v>0</v>
      </c>
      <c r="DJ110" s="675">
        <v>0</v>
      </c>
      <c r="DK110" s="675">
        <v>5392</v>
      </c>
      <c r="DL110" s="675">
        <v>0</v>
      </c>
      <c r="DM110" s="675">
        <v>87230</v>
      </c>
      <c r="DN110" s="675">
        <v>0</v>
      </c>
      <c r="DO110" s="675">
        <v>0</v>
      </c>
      <c r="DP110" s="675">
        <v>0</v>
      </c>
      <c r="DQ110" s="675">
        <v>0</v>
      </c>
      <c r="DR110" s="675">
        <v>0</v>
      </c>
      <c r="DS110" s="675">
        <v>0</v>
      </c>
      <c r="DT110" s="675">
        <v>0</v>
      </c>
      <c r="DU110" s="675">
        <v>0</v>
      </c>
      <c r="DV110" s="675">
        <v>0</v>
      </c>
      <c r="DW110" s="675">
        <v>0</v>
      </c>
      <c r="DX110" s="675">
        <v>0</v>
      </c>
      <c r="DY110" s="675">
        <v>0</v>
      </c>
      <c r="DZ110" s="675">
        <v>0</v>
      </c>
      <c r="EA110" s="675">
        <v>0</v>
      </c>
      <c r="EB110" s="675">
        <v>0</v>
      </c>
      <c r="EC110" s="675">
        <v>0.9840000000000001</v>
      </c>
      <c r="ED110" s="675">
        <v>7094</v>
      </c>
      <c r="EE110" s="675">
        <v>0</v>
      </c>
      <c r="EF110" s="675">
        <v>0</v>
      </c>
      <c r="EG110" s="675">
        <v>0</v>
      </c>
      <c r="EH110" s="675">
        <v>80136</v>
      </c>
      <c r="EI110" s="675">
        <v>0</v>
      </c>
      <c r="EJ110" s="675">
        <v>0</v>
      </c>
      <c r="EK110" s="675">
        <v>3.1240000000000001</v>
      </c>
      <c r="EL110" s="675">
        <v>0</v>
      </c>
      <c r="EM110" s="675">
        <v>0</v>
      </c>
      <c r="EN110" s="675">
        <v>0.57100000000000006</v>
      </c>
      <c r="EO110" s="675">
        <v>0</v>
      </c>
      <c r="EP110" s="675">
        <v>0</v>
      </c>
      <c r="EQ110" s="675">
        <v>3.6950000000000003</v>
      </c>
      <c r="ER110" s="675">
        <v>0</v>
      </c>
      <c r="ES110" s="675">
        <v>12.227</v>
      </c>
      <c r="ET110" s="675">
        <v>0</v>
      </c>
      <c r="EU110" s="675">
        <v>183401</v>
      </c>
      <c r="EV110" s="675">
        <v>0</v>
      </c>
      <c r="EW110" s="675">
        <v>0</v>
      </c>
      <c r="EX110" s="675">
        <v>0</v>
      </c>
      <c r="EY110" s="675">
        <v>0</v>
      </c>
      <c r="EZ110" s="675">
        <v>5039760</v>
      </c>
      <c r="FA110" s="675">
        <v>0</v>
      </c>
      <c r="FB110" s="675">
        <v>5223161</v>
      </c>
      <c r="FC110" s="675">
        <v>0.97327799999999998</v>
      </c>
      <c r="FD110" s="675">
        <v>0</v>
      </c>
      <c r="FE110" s="675">
        <v>773935</v>
      </c>
      <c r="FF110" s="675">
        <v>174405</v>
      </c>
      <c r="FG110" s="675">
        <v>6.1239999999999996E-2</v>
      </c>
      <c r="FH110" s="675">
        <v>5.4803999999999999E-2</v>
      </c>
      <c r="FI110" s="675">
        <v>0</v>
      </c>
      <c r="FJ110" s="675">
        <v>0</v>
      </c>
      <c r="FK110" s="675">
        <v>996.03399999999999</v>
      </c>
      <c r="FL110" s="675">
        <v>6290547</v>
      </c>
      <c r="FM110" s="675">
        <v>0</v>
      </c>
      <c r="FN110" s="675">
        <v>0</v>
      </c>
      <c r="FO110" s="675">
        <v>0</v>
      </c>
      <c r="FP110" s="675">
        <v>0</v>
      </c>
      <c r="FQ110" s="675">
        <v>0</v>
      </c>
      <c r="FR110" s="675">
        <v>0</v>
      </c>
      <c r="FS110" s="675">
        <v>0</v>
      </c>
      <c r="FT110" s="675">
        <v>0</v>
      </c>
      <c r="FU110" s="675">
        <v>0</v>
      </c>
      <c r="FV110" s="675">
        <v>0</v>
      </c>
      <c r="FW110" s="675">
        <v>0</v>
      </c>
      <c r="FX110" s="675">
        <v>0</v>
      </c>
      <c r="FY110" s="675">
        <v>0</v>
      </c>
      <c r="FZ110" s="675">
        <v>0</v>
      </c>
      <c r="GA110" s="675">
        <v>0</v>
      </c>
      <c r="GB110" s="675">
        <v>0</v>
      </c>
      <c r="GC110" s="675">
        <v>0</v>
      </c>
      <c r="GD110" s="675">
        <v>0</v>
      </c>
      <c r="GE110" s="675">
        <v>0</v>
      </c>
      <c r="GF110" s="675">
        <v>0</v>
      </c>
      <c r="GG110" s="675">
        <v>0</v>
      </c>
      <c r="GH110" s="675">
        <v>0</v>
      </c>
      <c r="GI110" s="675">
        <v>0</v>
      </c>
      <c r="GJ110" s="675">
        <v>0</v>
      </c>
      <c r="GK110" s="675">
        <v>5043</v>
      </c>
      <c r="GL110" s="675">
        <v>9296</v>
      </c>
      <c r="GM110" s="675">
        <v>0</v>
      </c>
      <c r="GN110" s="675">
        <v>0</v>
      </c>
      <c r="GO110" s="675">
        <v>0</v>
      </c>
      <c r="GP110" s="675">
        <v>6171501</v>
      </c>
      <c r="GQ110" s="675">
        <v>6171501</v>
      </c>
      <c r="GR110" s="675">
        <v>0</v>
      </c>
      <c r="GS110" s="675">
        <v>0</v>
      </c>
      <c r="GT110" s="675">
        <v>0</v>
      </c>
      <c r="GU110" s="675">
        <v>0</v>
      </c>
      <c r="GV110" s="675">
        <v>0</v>
      </c>
      <c r="GW110" s="675">
        <v>0</v>
      </c>
      <c r="GX110" s="675">
        <v>0</v>
      </c>
      <c r="GY110" s="675">
        <v>0</v>
      </c>
      <c r="GZ110" s="675">
        <v>0</v>
      </c>
      <c r="HA110" s="675">
        <v>0</v>
      </c>
      <c r="HB110" s="675">
        <v>260786259</v>
      </c>
      <c r="HC110" s="675">
        <v>5.0923999999999997E-2</v>
      </c>
      <c r="HD110" s="675">
        <v>119046</v>
      </c>
      <c r="HE110" s="675">
        <v>0</v>
      </c>
      <c r="HF110" s="675">
        <v>0</v>
      </c>
      <c r="HG110" s="675">
        <v>0</v>
      </c>
      <c r="HH110" s="675">
        <v>0</v>
      </c>
      <c r="HI110" s="675">
        <v>0</v>
      </c>
      <c r="HJ110" s="675">
        <v>0</v>
      </c>
      <c r="HK110" s="675">
        <v>0</v>
      </c>
      <c r="HL110" s="675">
        <v>0</v>
      </c>
      <c r="HM110" s="675">
        <v>0</v>
      </c>
      <c r="HN110" s="675">
        <v>0</v>
      </c>
      <c r="HO110" s="675">
        <v>0</v>
      </c>
      <c r="HP110" s="675">
        <v>0</v>
      </c>
      <c r="HQ110" s="675">
        <v>0</v>
      </c>
      <c r="HR110" s="675">
        <v>0</v>
      </c>
      <c r="HS110" s="675">
        <v>0</v>
      </c>
      <c r="HT110" s="675">
        <v>0</v>
      </c>
      <c r="HU110" s="675">
        <v>0</v>
      </c>
      <c r="HV110" s="675">
        <v>0</v>
      </c>
      <c r="HW110" s="675">
        <v>0</v>
      </c>
      <c r="HX110" s="675">
        <v>0</v>
      </c>
      <c r="HY110" s="675">
        <v>0</v>
      </c>
      <c r="HZ110" s="675">
        <v>0</v>
      </c>
      <c r="IA110" s="675">
        <v>0</v>
      </c>
      <c r="IB110" s="675">
        <v>0</v>
      </c>
      <c r="IC110" s="675">
        <v>0</v>
      </c>
      <c r="ID110" s="675">
        <v>0</v>
      </c>
      <c r="IE110" s="675">
        <v>403.91400000000004</v>
      </c>
      <c r="IF110" s="675">
        <v>0</v>
      </c>
      <c r="IG110" s="675">
        <v>0</v>
      </c>
      <c r="IH110" s="675">
        <v>0</v>
      </c>
      <c r="II110" s="675">
        <v>0</v>
      </c>
      <c r="IJ110" s="675">
        <v>0</v>
      </c>
      <c r="IK110" s="675">
        <v>0</v>
      </c>
      <c r="IL110" s="675">
        <v>0</v>
      </c>
      <c r="IM110" s="675">
        <v>0</v>
      </c>
      <c r="IN110" s="675">
        <v>0</v>
      </c>
      <c r="IO110" s="675">
        <v>0</v>
      </c>
      <c r="IP110" s="675">
        <v>0</v>
      </c>
      <c r="IQ110" s="675">
        <v>0</v>
      </c>
      <c r="IR110" s="675">
        <v>0</v>
      </c>
      <c r="IS110" s="675">
        <v>0</v>
      </c>
      <c r="IT110" s="675">
        <v>0</v>
      </c>
      <c r="IU110" s="675">
        <v>0</v>
      </c>
      <c r="IV110" s="675">
        <v>0</v>
      </c>
      <c r="IW110" s="675">
        <v>0</v>
      </c>
      <c r="IX110" s="675">
        <v>0</v>
      </c>
      <c r="IY110" s="675">
        <v>0</v>
      </c>
      <c r="IZ110" s="675">
        <v>0</v>
      </c>
      <c r="JA110" s="675">
        <v>0</v>
      </c>
      <c r="JB110" s="675">
        <v>0</v>
      </c>
      <c r="JC110" s="675">
        <v>0</v>
      </c>
      <c r="JD110" s="675">
        <v>0</v>
      </c>
      <c r="JE110" s="675">
        <v>0</v>
      </c>
      <c r="JF110" s="675">
        <v>0</v>
      </c>
      <c r="JG110" s="675">
        <v>0</v>
      </c>
      <c r="JH110" s="675">
        <v>0</v>
      </c>
      <c r="JI110" s="675">
        <v>0</v>
      </c>
      <c r="JJ110" s="675">
        <v>0</v>
      </c>
      <c r="JK110" s="675">
        <v>0</v>
      </c>
      <c r="JL110" s="675">
        <v>0</v>
      </c>
      <c r="JM110" s="675">
        <v>0</v>
      </c>
      <c r="JN110" s="675">
        <v>32469</v>
      </c>
      <c r="JO110" s="675">
        <v>0</v>
      </c>
      <c r="JP110" s="675">
        <v>0</v>
      </c>
      <c r="JQ110" s="675">
        <v>0</v>
      </c>
      <c r="JR110" s="675">
        <v>0</v>
      </c>
      <c r="JS110" s="675">
        <v>0</v>
      </c>
      <c r="JT110" s="675">
        <v>0</v>
      </c>
      <c r="JU110" s="675">
        <v>0</v>
      </c>
      <c r="JV110" s="675">
        <v>0</v>
      </c>
      <c r="JW110" s="675">
        <v>0</v>
      </c>
      <c r="JX110" s="675">
        <v>0</v>
      </c>
      <c r="JY110" s="675">
        <v>0</v>
      </c>
      <c r="JZ110" s="675">
        <v>0</v>
      </c>
      <c r="KA110" s="675">
        <v>0</v>
      </c>
      <c r="KB110" s="675">
        <v>0</v>
      </c>
      <c r="KC110" s="675">
        <v>0</v>
      </c>
      <c r="KD110" s="675">
        <v>0</v>
      </c>
      <c r="KE110" s="675">
        <v>0</v>
      </c>
      <c r="KF110" s="675">
        <v>0</v>
      </c>
    </row>
    <row r="111" spans="1:292" x14ac:dyDescent="0.25">
      <c r="A111" s="675">
        <v>101858</v>
      </c>
      <c r="B111" s="675">
        <v>32570</v>
      </c>
      <c r="C111" s="675">
        <v>35</v>
      </c>
      <c r="D111" s="675">
        <v>2022</v>
      </c>
      <c r="E111" s="675">
        <v>5392</v>
      </c>
      <c r="F111" s="675">
        <v>0</v>
      </c>
      <c r="G111" s="675">
        <v>5264.3440000000001</v>
      </c>
      <c r="H111" s="675">
        <v>5032.7970000000005</v>
      </c>
      <c r="I111" s="675">
        <v>5032.7970000000005</v>
      </c>
      <c r="J111" s="675">
        <v>5264.3440000000001</v>
      </c>
      <c r="K111" s="675">
        <v>0</v>
      </c>
      <c r="L111" s="675">
        <v>6554</v>
      </c>
      <c r="M111" s="675">
        <v>0</v>
      </c>
      <c r="N111" s="675">
        <v>0</v>
      </c>
      <c r="O111" s="675">
        <v>0</v>
      </c>
      <c r="P111" s="675">
        <v>4784.2750000000005</v>
      </c>
      <c r="Q111" s="675">
        <v>0</v>
      </c>
      <c r="R111" s="675">
        <v>1529595</v>
      </c>
      <c r="S111" s="675">
        <v>319.71300000000002</v>
      </c>
      <c r="T111" s="675">
        <v>0</v>
      </c>
      <c r="U111" s="675">
        <v>1529595</v>
      </c>
      <c r="V111" s="675">
        <v>1321.4840000000002</v>
      </c>
      <c r="W111" s="675">
        <v>866101</v>
      </c>
      <c r="X111" s="675">
        <v>866101</v>
      </c>
      <c r="Y111" s="675">
        <v>0</v>
      </c>
      <c r="Z111" s="675">
        <v>0</v>
      </c>
      <c r="AA111" s="675">
        <v>1</v>
      </c>
      <c r="AB111" s="675">
        <v>1</v>
      </c>
      <c r="AC111" s="675">
        <v>0</v>
      </c>
      <c r="AD111" s="675" t="s">
        <v>316</v>
      </c>
      <c r="AE111" s="675">
        <v>0</v>
      </c>
      <c r="AF111" s="675">
        <v>0</v>
      </c>
      <c r="AG111" s="675">
        <v>0</v>
      </c>
      <c r="AH111" s="675">
        <v>0</v>
      </c>
      <c r="AI111" s="675">
        <v>0</v>
      </c>
      <c r="AJ111" s="675">
        <v>5104</v>
      </c>
      <c r="AK111" s="675" t="s">
        <v>671</v>
      </c>
      <c r="AL111" s="675" t="s">
        <v>60</v>
      </c>
      <c r="AM111" s="675">
        <v>0</v>
      </c>
      <c r="AN111" s="675">
        <v>0</v>
      </c>
      <c r="AO111" s="675">
        <v>0</v>
      </c>
      <c r="AP111" s="675">
        <v>0</v>
      </c>
      <c r="AQ111" s="675">
        <v>0</v>
      </c>
      <c r="AR111" s="675">
        <v>0</v>
      </c>
      <c r="AS111" s="675">
        <v>0</v>
      </c>
      <c r="AT111" s="675">
        <v>0</v>
      </c>
      <c r="AU111" s="675">
        <v>0</v>
      </c>
      <c r="AV111" s="675">
        <v>763993</v>
      </c>
      <c r="AW111" s="675">
        <v>50488780</v>
      </c>
      <c r="AX111" s="675">
        <v>48982218</v>
      </c>
      <c r="AY111" s="675">
        <v>53677972</v>
      </c>
      <c r="AZ111" s="675">
        <v>1947297</v>
      </c>
      <c r="BA111" s="675">
        <v>102.75</v>
      </c>
      <c r="BB111" s="675">
        <v>207015</v>
      </c>
      <c r="BC111" s="675">
        <v>207015</v>
      </c>
      <c r="BD111" s="675">
        <v>263.21699999999998</v>
      </c>
      <c r="BE111" s="675">
        <v>0</v>
      </c>
      <c r="BF111" s="675">
        <v>41607559</v>
      </c>
      <c r="BG111" s="675">
        <v>0</v>
      </c>
      <c r="BH111" s="675">
        <v>915.36099999999999</v>
      </c>
      <c r="BI111" s="675">
        <v>251724</v>
      </c>
      <c r="BJ111" s="675">
        <v>12</v>
      </c>
      <c r="BK111" s="675">
        <v>0</v>
      </c>
      <c r="BL111" s="675">
        <v>0</v>
      </c>
      <c r="BM111" s="675">
        <v>0</v>
      </c>
      <c r="BN111" s="675">
        <v>0</v>
      </c>
      <c r="BO111" s="675">
        <v>0</v>
      </c>
      <c r="BP111" s="675">
        <v>0</v>
      </c>
      <c r="BQ111" s="675">
        <v>5392</v>
      </c>
      <c r="BR111" s="675">
        <v>1</v>
      </c>
      <c r="BS111" s="675">
        <v>0</v>
      </c>
      <c r="BT111" s="675">
        <v>0</v>
      </c>
      <c r="BU111" s="675">
        <v>0</v>
      </c>
      <c r="BV111" s="675">
        <v>0</v>
      </c>
      <c r="BW111" s="675">
        <v>0</v>
      </c>
      <c r="BX111" s="675">
        <v>0</v>
      </c>
      <c r="BY111" s="675">
        <v>0</v>
      </c>
      <c r="BZ111" s="675">
        <v>0</v>
      </c>
      <c r="CA111" s="675">
        <v>434.202</v>
      </c>
      <c r="CB111" s="675">
        <v>165978</v>
      </c>
      <c r="CC111" s="675">
        <v>0</v>
      </c>
      <c r="CD111" s="675">
        <v>0</v>
      </c>
      <c r="CE111" s="675">
        <v>0</v>
      </c>
      <c r="CF111" s="675">
        <v>0</v>
      </c>
      <c r="CG111" s="675">
        <v>0</v>
      </c>
      <c r="CH111" s="675">
        <v>1088860</v>
      </c>
      <c r="CI111" s="675">
        <v>0</v>
      </c>
      <c r="CJ111" s="675">
        <v>4</v>
      </c>
      <c r="CK111" s="675">
        <v>0</v>
      </c>
      <c r="CL111" s="675">
        <v>0</v>
      </c>
      <c r="CM111" s="675">
        <v>0</v>
      </c>
      <c r="CN111" s="675">
        <v>0</v>
      </c>
      <c r="CO111" s="675">
        <v>0</v>
      </c>
      <c r="CP111" s="675">
        <v>0</v>
      </c>
      <c r="CQ111" s="675">
        <v>0</v>
      </c>
      <c r="CR111" s="675">
        <v>4784.2750000000005</v>
      </c>
      <c r="CS111" s="675">
        <v>0</v>
      </c>
      <c r="CT111" s="675">
        <v>0</v>
      </c>
      <c r="CU111" s="675">
        <v>0</v>
      </c>
      <c r="CV111" s="675">
        <v>0</v>
      </c>
      <c r="CW111" s="675">
        <v>0</v>
      </c>
      <c r="CX111" s="675">
        <v>0</v>
      </c>
      <c r="CY111" s="675">
        <v>0</v>
      </c>
      <c r="CZ111" s="675">
        <v>0</v>
      </c>
      <c r="DA111" s="675">
        <v>1</v>
      </c>
      <c r="DB111" s="675">
        <v>32984952</v>
      </c>
      <c r="DC111" s="675">
        <v>0</v>
      </c>
      <c r="DD111" s="675">
        <v>0</v>
      </c>
      <c r="DE111" s="675">
        <v>4774366</v>
      </c>
      <c r="DF111" s="675">
        <v>4774366</v>
      </c>
      <c r="DG111" s="675">
        <v>3642.33</v>
      </c>
      <c r="DH111" s="675">
        <v>0</v>
      </c>
      <c r="DI111" s="675">
        <v>0</v>
      </c>
      <c r="DJ111" s="675">
        <v>0</v>
      </c>
      <c r="DK111" s="675">
        <v>5392</v>
      </c>
      <c r="DL111" s="675">
        <v>0</v>
      </c>
      <c r="DM111" s="675">
        <v>2765561</v>
      </c>
      <c r="DN111" s="675">
        <v>0</v>
      </c>
      <c r="DO111" s="675">
        <v>0</v>
      </c>
      <c r="DP111" s="675">
        <v>0</v>
      </c>
      <c r="DQ111" s="675">
        <v>0</v>
      </c>
      <c r="DR111" s="675">
        <v>0</v>
      </c>
      <c r="DS111" s="675">
        <v>0</v>
      </c>
      <c r="DT111" s="675">
        <v>0</v>
      </c>
      <c r="DU111" s="675">
        <v>0</v>
      </c>
      <c r="DV111" s="675">
        <v>0</v>
      </c>
      <c r="DW111" s="675">
        <v>0</v>
      </c>
      <c r="DX111" s="675">
        <v>0</v>
      </c>
      <c r="DY111" s="675">
        <v>0</v>
      </c>
      <c r="DZ111" s="675">
        <v>0</v>
      </c>
      <c r="EA111" s="675">
        <v>0</v>
      </c>
      <c r="EB111" s="675">
        <v>0</v>
      </c>
      <c r="EC111" s="675">
        <v>93.533000000000001</v>
      </c>
      <c r="ED111" s="675">
        <v>674317</v>
      </c>
      <c r="EE111" s="675">
        <v>0</v>
      </c>
      <c r="EF111" s="675">
        <v>0</v>
      </c>
      <c r="EG111" s="675">
        <v>0</v>
      </c>
      <c r="EH111" s="675">
        <v>2091244</v>
      </c>
      <c r="EI111" s="675">
        <v>0</v>
      </c>
      <c r="EJ111" s="675">
        <v>0</v>
      </c>
      <c r="EK111" s="675">
        <v>74.183000000000007</v>
      </c>
      <c r="EL111" s="675">
        <v>0</v>
      </c>
      <c r="EM111" s="675">
        <v>19.845000000000002</v>
      </c>
      <c r="EN111" s="675">
        <v>7.399</v>
      </c>
      <c r="EO111" s="675">
        <v>0</v>
      </c>
      <c r="EP111" s="675">
        <v>0</v>
      </c>
      <c r="EQ111" s="675">
        <v>101.42700000000001</v>
      </c>
      <c r="ER111" s="675">
        <v>0</v>
      </c>
      <c r="ES111" s="675">
        <v>319.07900000000001</v>
      </c>
      <c r="ET111" s="675">
        <v>51375</v>
      </c>
      <c r="EU111" s="675">
        <v>1947297</v>
      </c>
      <c r="EV111" s="675">
        <v>0</v>
      </c>
      <c r="EW111" s="675">
        <v>0</v>
      </c>
      <c r="EX111" s="675">
        <v>0</v>
      </c>
      <c r="EY111" s="675">
        <v>0</v>
      </c>
      <c r="EZ111" s="675">
        <v>41220349</v>
      </c>
      <c r="FA111" s="675">
        <v>0</v>
      </c>
      <c r="FB111" s="675">
        <v>43167646</v>
      </c>
      <c r="FC111" s="675">
        <v>0.97327799999999998</v>
      </c>
      <c r="FD111" s="675">
        <v>0</v>
      </c>
      <c r="FE111" s="675">
        <v>6334417</v>
      </c>
      <c r="FF111" s="675">
        <v>1427452</v>
      </c>
      <c r="FG111" s="675">
        <v>6.1239999999999996E-2</v>
      </c>
      <c r="FH111" s="675">
        <v>5.4803999999999999E-2</v>
      </c>
      <c r="FI111" s="675">
        <v>0</v>
      </c>
      <c r="FJ111" s="675">
        <v>0</v>
      </c>
      <c r="FK111" s="675">
        <v>8152.2310000000007</v>
      </c>
      <c r="FL111" s="675">
        <v>52018375</v>
      </c>
      <c r="FM111" s="675">
        <v>0</v>
      </c>
      <c r="FN111" s="675">
        <v>0</v>
      </c>
      <c r="FO111" s="675">
        <v>0</v>
      </c>
      <c r="FP111" s="675">
        <v>0</v>
      </c>
      <c r="FQ111" s="675">
        <v>0</v>
      </c>
      <c r="FR111" s="675">
        <v>0</v>
      </c>
      <c r="FS111" s="675">
        <v>0</v>
      </c>
      <c r="FT111" s="675">
        <v>0</v>
      </c>
      <c r="FU111" s="675">
        <v>0</v>
      </c>
      <c r="FV111" s="675">
        <v>0</v>
      </c>
      <c r="FW111" s="675">
        <v>0</v>
      </c>
      <c r="FX111" s="675">
        <v>0</v>
      </c>
      <c r="FY111" s="675">
        <v>0</v>
      </c>
      <c r="FZ111" s="675">
        <v>661</v>
      </c>
      <c r="GA111" s="675">
        <v>13.21</v>
      </c>
      <c r="GB111" s="675">
        <v>1151949</v>
      </c>
      <c r="GC111" s="675">
        <v>1151949</v>
      </c>
      <c r="GD111" s="675">
        <v>130.12</v>
      </c>
      <c r="GE111" s="675">
        <v>0</v>
      </c>
      <c r="GF111" s="675">
        <v>0</v>
      </c>
      <c r="GG111" s="675">
        <v>0</v>
      </c>
      <c r="GH111" s="675">
        <v>0</v>
      </c>
      <c r="GI111" s="675">
        <v>0</v>
      </c>
      <c r="GJ111" s="675">
        <v>0</v>
      </c>
      <c r="GK111" s="675">
        <v>5121</v>
      </c>
      <c r="GL111" s="675">
        <v>18083</v>
      </c>
      <c r="GM111" s="675">
        <v>0</v>
      </c>
      <c r="GN111" s="675">
        <v>0</v>
      </c>
      <c r="GO111" s="675">
        <v>0</v>
      </c>
      <c r="GP111" s="675">
        <v>50929515</v>
      </c>
      <c r="GQ111" s="675">
        <v>50929515</v>
      </c>
      <c r="GR111" s="675">
        <v>0</v>
      </c>
      <c r="GS111" s="675">
        <v>0</v>
      </c>
      <c r="GT111" s="675">
        <v>0</v>
      </c>
      <c r="GU111" s="675">
        <v>0</v>
      </c>
      <c r="GV111" s="675">
        <v>0</v>
      </c>
      <c r="GW111" s="675">
        <v>0</v>
      </c>
      <c r="GX111" s="675">
        <v>0</v>
      </c>
      <c r="GY111" s="675">
        <v>0</v>
      </c>
      <c r="GZ111" s="675">
        <v>0</v>
      </c>
      <c r="HA111" s="675">
        <v>0</v>
      </c>
      <c r="HB111" s="675">
        <v>260786259</v>
      </c>
      <c r="HC111" s="675">
        <v>5.0923999999999997E-2</v>
      </c>
      <c r="HD111" s="675">
        <v>1037485</v>
      </c>
      <c r="HE111" s="675">
        <v>0</v>
      </c>
      <c r="HF111" s="675">
        <v>0</v>
      </c>
      <c r="HG111" s="675">
        <v>0</v>
      </c>
      <c r="HH111" s="675">
        <v>0</v>
      </c>
      <c r="HI111" s="675">
        <v>0</v>
      </c>
      <c r="HJ111" s="675">
        <v>0</v>
      </c>
      <c r="HK111" s="675">
        <v>0</v>
      </c>
      <c r="HL111" s="675">
        <v>0</v>
      </c>
      <c r="HM111" s="675">
        <v>0</v>
      </c>
      <c r="HN111" s="675">
        <v>0</v>
      </c>
      <c r="HO111" s="675">
        <v>0</v>
      </c>
      <c r="HP111" s="675">
        <v>0</v>
      </c>
      <c r="HQ111" s="675">
        <v>0</v>
      </c>
      <c r="HR111" s="675">
        <v>0</v>
      </c>
      <c r="HS111" s="675">
        <v>0</v>
      </c>
      <c r="HT111" s="675">
        <v>0</v>
      </c>
      <c r="HU111" s="675">
        <v>0</v>
      </c>
      <c r="HV111" s="675">
        <v>0</v>
      </c>
      <c r="HW111" s="675">
        <v>0</v>
      </c>
      <c r="HX111" s="675">
        <v>0</v>
      </c>
      <c r="HY111" s="675">
        <v>0</v>
      </c>
      <c r="HZ111" s="675">
        <v>0</v>
      </c>
      <c r="IA111" s="675">
        <v>0</v>
      </c>
      <c r="IB111" s="675">
        <v>0</v>
      </c>
      <c r="IC111" s="675">
        <v>0</v>
      </c>
      <c r="ID111" s="675">
        <v>0</v>
      </c>
      <c r="IE111" s="675">
        <v>0</v>
      </c>
      <c r="IF111" s="675">
        <v>0</v>
      </c>
      <c r="IG111" s="675">
        <v>0</v>
      </c>
      <c r="IH111" s="675">
        <v>0</v>
      </c>
      <c r="II111" s="675">
        <v>0</v>
      </c>
      <c r="IJ111" s="675">
        <v>0</v>
      </c>
      <c r="IK111" s="675">
        <v>0</v>
      </c>
      <c r="IL111" s="675">
        <v>0</v>
      </c>
      <c r="IM111" s="675">
        <v>0</v>
      </c>
      <c r="IN111" s="675">
        <v>0</v>
      </c>
      <c r="IO111" s="675">
        <v>0</v>
      </c>
      <c r="IP111" s="675">
        <v>0</v>
      </c>
      <c r="IQ111" s="675">
        <v>0</v>
      </c>
      <c r="IR111" s="675">
        <v>0</v>
      </c>
      <c r="IS111" s="675">
        <v>0</v>
      </c>
      <c r="IT111" s="675">
        <v>0</v>
      </c>
      <c r="IU111" s="675">
        <v>0</v>
      </c>
      <c r="IV111" s="675">
        <v>0</v>
      </c>
      <c r="IW111" s="675">
        <v>0</v>
      </c>
      <c r="IX111" s="675">
        <v>0</v>
      </c>
      <c r="IY111" s="675">
        <v>0</v>
      </c>
      <c r="IZ111" s="675">
        <v>0</v>
      </c>
      <c r="JA111" s="675">
        <v>0</v>
      </c>
      <c r="JB111" s="675">
        <v>0</v>
      </c>
      <c r="JC111" s="675">
        <v>0</v>
      </c>
      <c r="JD111" s="675">
        <v>0</v>
      </c>
      <c r="JE111" s="675">
        <v>0</v>
      </c>
      <c r="JF111" s="675">
        <v>0</v>
      </c>
      <c r="JG111" s="675">
        <v>0</v>
      </c>
      <c r="JH111" s="675">
        <v>0</v>
      </c>
      <c r="JI111" s="675">
        <v>0</v>
      </c>
      <c r="JJ111" s="675">
        <v>0</v>
      </c>
      <c r="JK111" s="675">
        <v>0</v>
      </c>
      <c r="JL111" s="675">
        <v>0</v>
      </c>
      <c r="JM111" s="675">
        <v>0</v>
      </c>
      <c r="JN111" s="675">
        <v>32469</v>
      </c>
      <c r="JO111" s="675">
        <v>0</v>
      </c>
      <c r="JP111" s="675">
        <v>0</v>
      </c>
      <c r="JQ111" s="675">
        <v>0</v>
      </c>
      <c r="JR111" s="675">
        <v>0</v>
      </c>
      <c r="JS111" s="675">
        <v>0</v>
      </c>
      <c r="JT111" s="675">
        <v>0</v>
      </c>
      <c r="JU111" s="675">
        <v>0</v>
      </c>
      <c r="JV111" s="675">
        <v>0</v>
      </c>
      <c r="JW111" s="675">
        <v>0</v>
      </c>
      <c r="JX111" s="675">
        <v>0</v>
      </c>
      <c r="JY111" s="675">
        <v>0</v>
      </c>
      <c r="JZ111" s="675">
        <v>0</v>
      </c>
      <c r="KA111" s="675">
        <v>0</v>
      </c>
      <c r="KB111" s="675">
        <v>0</v>
      </c>
      <c r="KC111" s="675">
        <v>0</v>
      </c>
      <c r="KD111" s="675">
        <v>0</v>
      </c>
      <c r="KE111" s="675">
        <v>0</v>
      </c>
      <c r="KF111" s="675">
        <v>0</v>
      </c>
    </row>
    <row r="112" spans="1:292" x14ac:dyDescent="0.25">
      <c r="A112" s="675">
        <v>101859</v>
      </c>
      <c r="B112" s="675">
        <v>32570</v>
      </c>
      <c r="C112" s="675">
        <v>35</v>
      </c>
      <c r="D112" s="675">
        <v>2022</v>
      </c>
      <c r="E112" s="675">
        <v>5392</v>
      </c>
      <c r="F112" s="675">
        <v>0</v>
      </c>
      <c r="G112" s="675">
        <v>504.74900000000002</v>
      </c>
      <c r="H112" s="675">
        <v>494.94500000000005</v>
      </c>
      <c r="I112" s="675">
        <v>494.94500000000005</v>
      </c>
      <c r="J112" s="675">
        <v>504.74900000000002</v>
      </c>
      <c r="K112" s="675">
        <v>0</v>
      </c>
      <c r="L112" s="675">
        <v>6554</v>
      </c>
      <c r="M112" s="675">
        <v>0</v>
      </c>
      <c r="N112" s="675">
        <v>0</v>
      </c>
      <c r="O112" s="675">
        <v>0</v>
      </c>
      <c r="P112" s="675">
        <v>494.92200000000003</v>
      </c>
      <c r="Q112" s="675">
        <v>0</v>
      </c>
      <c r="R112" s="675">
        <v>158233</v>
      </c>
      <c r="S112" s="675">
        <v>319.71300000000002</v>
      </c>
      <c r="T112" s="675">
        <v>0</v>
      </c>
      <c r="U112" s="675">
        <v>158233</v>
      </c>
      <c r="V112" s="675">
        <v>280.43</v>
      </c>
      <c r="W112" s="675">
        <v>183794</v>
      </c>
      <c r="X112" s="675">
        <v>183794</v>
      </c>
      <c r="Y112" s="675">
        <v>0</v>
      </c>
      <c r="Z112" s="675">
        <v>0</v>
      </c>
      <c r="AA112" s="675">
        <v>1</v>
      </c>
      <c r="AB112" s="675">
        <v>1</v>
      </c>
      <c r="AC112" s="675">
        <v>0</v>
      </c>
      <c r="AD112" s="675" t="s">
        <v>316</v>
      </c>
      <c r="AE112" s="675">
        <v>0</v>
      </c>
      <c r="AF112" s="675">
        <v>0</v>
      </c>
      <c r="AG112" s="675">
        <v>0</v>
      </c>
      <c r="AH112" s="675">
        <v>0</v>
      </c>
      <c r="AI112" s="675">
        <v>0</v>
      </c>
      <c r="AJ112" s="675">
        <v>5104</v>
      </c>
      <c r="AK112" s="675" t="s">
        <v>671</v>
      </c>
      <c r="AL112" s="675" t="s">
        <v>349</v>
      </c>
      <c r="AM112" s="675">
        <v>0</v>
      </c>
      <c r="AN112" s="675">
        <v>0</v>
      </c>
      <c r="AO112" s="675">
        <v>0</v>
      </c>
      <c r="AP112" s="675">
        <v>0</v>
      </c>
      <c r="AQ112" s="675">
        <v>0</v>
      </c>
      <c r="AR112" s="675">
        <v>0</v>
      </c>
      <c r="AS112" s="675">
        <v>0</v>
      </c>
      <c r="AT112" s="675">
        <v>0</v>
      </c>
      <c r="AU112" s="675">
        <v>0</v>
      </c>
      <c r="AV112" s="675">
        <v>406404</v>
      </c>
      <c r="AW112" s="675">
        <v>5055223</v>
      </c>
      <c r="AX112" s="675">
        <v>4955748</v>
      </c>
      <c r="AY112" s="675">
        <v>5684221</v>
      </c>
      <c r="AZ112" s="675">
        <v>158233</v>
      </c>
      <c r="BA112" s="675">
        <v>0</v>
      </c>
      <c r="BB112" s="675">
        <v>0</v>
      </c>
      <c r="BC112" s="675">
        <v>0</v>
      </c>
      <c r="BD112" s="675">
        <v>0</v>
      </c>
      <c r="BE112" s="675">
        <v>0</v>
      </c>
      <c r="BF112" s="675">
        <v>4212485</v>
      </c>
      <c r="BG112" s="675">
        <v>0</v>
      </c>
      <c r="BH112" s="675">
        <v>0</v>
      </c>
      <c r="BI112" s="675">
        <v>0</v>
      </c>
      <c r="BJ112" s="675">
        <v>12</v>
      </c>
      <c r="BK112" s="675">
        <v>0</v>
      </c>
      <c r="BL112" s="675">
        <v>0</v>
      </c>
      <c r="BM112" s="675">
        <v>0</v>
      </c>
      <c r="BN112" s="675">
        <v>0</v>
      </c>
      <c r="BO112" s="675">
        <v>0</v>
      </c>
      <c r="BP112" s="675">
        <v>0</v>
      </c>
      <c r="BQ112" s="675">
        <v>5392</v>
      </c>
      <c r="BR112" s="675">
        <v>1</v>
      </c>
      <c r="BS112" s="675">
        <v>0</v>
      </c>
      <c r="BT112" s="675">
        <v>0</v>
      </c>
      <c r="BU112" s="675">
        <v>0</v>
      </c>
      <c r="BV112" s="675">
        <v>0</v>
      </c>
      <c r="BW112" s="675">
        <v>0</v>
      </c>
      <c r="BX112" s="675">
        <v>0</v>
      </c>
      <c r="BY112" s="675">
        <v>0</v>
      </c>
      <c r="BZ112" s="675">
        <v>0</v>
      </c>
      <c r="CA112" s="675">
        <v>0</v>
      </c>
      <c r="CB112" s="675">
        <v>0</v>
      </c>
      <c r="CC112" s="675">
        <v>0</v>
      </c>
      <c r="CD112" s="675">
        <v>0</v>
      </c>
      <c r="CE112" s="675">
        <v>0</v>
      </c>
      <c r="CF112" s="675">
        <v>0</v>
      </c>
      <c r="CG112" s="675">
        <v>0</v>
      </c>
      <c r="CH112" s="675">
        <v>99475</v>
      </c>
      <c r="CI112" s="675">
        <v>0</v>
      </c>
      <c r="CJ112" s="675">
        <v>4</v>
      </c>
      <c r="CK112" s="675">
        <v>0</v>
      </c>
      <c r="CL112" s="675">
        <v>0</v>
      </c>
      <c r="CM112" s="675">
        <v>0</v>
      </c>
      <c r="CN112" s="675">
        <v>0</v>
      </c>
      <c r="CO112" s="675">
        <v>0</v>
      </c>
      <c r="CP112" s="675">
        <v>0</v>
      </c>
      <c r="CQ112" s="675">
        <v>0</v>
      </c>
      <c r="CR112" s="675">
        <v>494.92200000000003</v>
      </c>
      <c r="CS112" s="675">
        <v>0</v>
      </c>
      <c r="CT112" s="675">
        <v>0</v>
      </c>
      <c r="CU112" s="675">
        <v>0</v>
      </c>
      <c r="CV112" s="675">
        <v>0</v>
      </c>
      <c r="CW112" s="675">
        <v>0</v>
      </c>
      <c r="CX112" s="675">
        <v>0</v>
      </c>
      <c r="CY112" s="675">
        <v>0</v>
      </c>
      <c r="CZ112" s="675">
        <v>0</v>
      </c>
      <c r="DA112" s="675">
        <v>1</v>
      </c>
      <c r="DB112" s="675">
        <v>3243870</v>
      </c>
      <c r="DC112" s="675">
        <v>0</v>
      </c>
      <c r="DD112" s="675">
        <v>0</v>
      </c>
      <c r="DE112" s="675">
        <v>632684</v>
      </c>
      <c r="DF112" s="675">
        <v>632684</v>
      </c>
      <c r="DG112" s="675">
        <v>482.67</v>
      </c>
      <c r="DH112" s="675">
        <v>0</v>
      </c>
      <c r="DI112" s="675">
        <v>0</v>
      </c>
      <c r="DJ112" s="675">
        <v>0</v>
      </c>
      <c r="DK112" s="675">
        <v>5392</v>
      </c>
      <c r="DL112" s="675">
        <v>0</v>
      </c>
      <c r="DM112" s="675">
        <v>267796</v>
      </c>
      <c r="DN112" s="675">
        <v>0</v>
      </c>
      <c r="DO112" s="675">
        <v>0</v>
      </c>
      <c r="DP112" s="675">
        <v>0</v>
      </c>
      <c r="DQ112" s="675">
        <v>0</v>
      </c>
      <c r="DR112" s="675">
        <v>0</v>
      </c>
      <c r="DS112" s="675">
        <v>0</v>
      </c>
      <c r="DT112" s="675">
        <v>0</v>
      </c>
      <c r="DU112" s="675">
        <v>0</v>
      </c>
      <c r="DV112" s="675">
        <v>0</v>
      </c>
      <c r="DW112" s="675">
        <v>0</v>
      </c>
      <c r="DX112" s="675">
        <v>0</v>
      </c>
      <c r="DY112" s="675">
        <v>0</v>
      </c>
      <c r="DZ112" s="675">
        <v>0</v>
      </c>
      <c r="EA112" s="675">
        <v>0</v>
      </c>
      <c r="EB112" s="675">
        <v>0</v>
      </c>
      <c r="EC112" s="675">
        <v>9.18</v>
      </c>
      <c r="ED112" s="675">
        <v>66182</v>
      </c>
      <c r="EE112" s="675">
        <v>0</v>
      </c>
      <c r="EF112" s="675">
        <v>0</v>
      </c>
      <c r="EG112" s="675">
        <v>0</v>
      </c>
      <c r="EH112" s="675">
        <v>201614</v>
      </c>
      <c r="EI112" s="675">
        <v>0</v>
      </c>
      <c r="EJ112" s="675">
        <v>0</v>
      </c>
      <c r="EK112" s="675">
        <v>9.1289999999999996</v>
      </c>
      <c r="EL112" s="675">
        <v>0</v>
      </c>
      <c r="EM112" s="675">
        <v>0</v>
      </c>
      <c r="EN112" s="675">
        <v>0.67500000000000004</v>
      </c>
      <c r="EO112" s="675">
        <v>0</v>
      </c>
      <c r="EP112" s="675">
        <v>0</v>
      </c>
      <c r="EQ112" s="675">
        <v>9.8040000000000003</v>
      </c>
      <c r="ER112" s="675">
        <v>0</v>
      </c>
      <c r="ES112" s="675">
        <v>30.762</v>
      </c>
      <c r="ET112" s="675">
        <v>0</v>
      </c>
      <c r="EU112" s="675">
        <v>158233</v>
      </c>
      <c r="EV112" s="675">
        <v>0</v>
      </c>
      <c r="EW112" s="675">
        <v>0</v>
      </c>
      <c r="EX112" s="675">
        <v>0</v>
      </c>
      <c r="EY112" s="675">
        <v>0</v>
      </c>
      <c r="EZ112" s="675">
        <v>4169911</v>
      </c>
      <c r="FA112" s="675">
        <v>0</v>
      </c>
      <c r="FB112" s="675">
        <v>4328144</v>
      </c>
      <c r="FC112" s="675">
        <v>0.97327799999999998</v>
      </c>
      <c r="FD112" s="675">
        <v>0</v>
      </c>
      <c r="FE112" s="675">
        <v>641317</v>
      </c>
      <c r="FF112" s="675">
        <v>144520</v>
      </c>
      <c r="FG112" s="675">
        <v>6.1239999999999996E-2</v>
      </c>
      <c r="FH112" s="675">
        <v>5.4803999999999999E-2</v>
      </c>
      <c r="FI112" s="675">
        <v>0</v>
      </c>
      <c r="FJ112" s="675">
        <v>0</v>
      </c>
      <c r="FK112" s="675">
        <v>825.35900000000004</v>
      </c>
      <c r="FL112" s="675">
        <v>5213456</v>
      </c>
      <c r="FM112" s="675">
        <v>0</v>
      </c>
      <c r="FN112" s="675">
        <v>0</v>
      </c>
      <c r="FO112" s="675">
        <v>0</v>
      </c>
      <c r="FP112" s="675">
        <v>0</v>
      </c>
      <c r="FQ112" s="675">
        <v>0</v>
      </c>
      <c r="FR112" s="675">
        <v>0</v>
      </c>
      <c r="FS112" s="675">
        <v>0</v>
      </c>
      <c r="FT112" s="675">
        <v>0</v>
      </c>
      <c r="FU112" s="675">
        <v>0</v>
      </c>
      <c r="FV112" s="675">
        <v>0</v>
      </c>
      <c r="FW112" s="675">
        <v>0</v>
      </c>
      <c r="FX112" s="675">
        <v>0</v>
      </c>
      <c r="FY112" s="675">
        <v>0</v>
      </c>
      <c r="FZ112" s="675">
        <v>0</v>
      </c>
      <c r="GA112" s="675">
        <v>0</v>
      </c>
      <c r="GB112" s="675">
        <v>0</v>
      </c>
      <c r="GC112" s="675">
        <v>0</v>
      </c>
      <c r="GD112" s="675">
        <v>0</v>
      </c>
      <c r="GE112" s="675">
        <v>0</v>
      </c>
      <c r="GF112" s="675">
        <v>0</v>
      </c>
      <c r="GG112" s="675">
        <v>0</v>
      </c>
      <c r="GH112" s="675">
        <v>0</v>
      </c>
      <c r="GI112" s="675">
        <v>0</v>
      </c>
      <c r="GJ112" s="675">
        <v>0</v>
      </c>
      <c r="GK112" s="675">
        <v>4971</v>
      </c>
      <c r="GL112" s="675">
        <v>6412</v>
      </c>
      <c r="GM112" s="675">
        <v>0</v>
      </c>
      <c r="GN112" s="675">
        <v>0</v>
      </c>
      <c r="GO112" s="675">
        <v>0</v>
      </c>
      <c r="GP112" s="675">
        <v>5113981</v>
      </c>
      <c r="GQ112" s="675">
        <v>5113981</v>
      </c>
      <c r="GR112" s="675">
        <v>0</v>
      </c>
      <c r="GS112" s="675">
        <v>0</v>
      </c>
      <c r="GT112" s="675">
        <v>0</v>
      </c>
      <c r="GU112" s="675">
        <v>0</v>
      </c>
      <c r="GV112" s="675">
        <v>0</v>
      </c>
      <c r="GW112" s="675">
        <v>0</v>
      </c>
      <c r="GX112" s="675">
        <v>0</v>
      </c>
      <c r="GY112" s="675">
        <v>0</v>
      </c>
      <c r="GZ112" s="675">
        <v>0</v>
      </c>
      <c r="HA112" s="675">
        <v>0</v>
      </c>
      <c r="HB112" s="675">
        <v>260786259</v>
      </c>
      <c r="HC112" s="675">
        <v>5.0923999999999997E-2</v>
      </c>
      <c r="HD112" s="675">
        <v>99475</v>
      </c>
      <c r="HE112" s="675">
        <v>0</v>
      </c>
      <c r="HF112" s="675">
        <v>0</v>
      </c>
      <c r="HG112" s="675">
        <v>0</v>
      </c>
      <c r="HH112" s="675">
        <v>0</v>
      </c>
      <c r="HI112" s="675">
        <v>0</v>
      </c>
      <c r="HJ112" s="675">
        <v>0</v>
      </c>
      <c r="HK112" s="675">
        <v>0</v>
      </c>
      <c r="HL112" s="675">
        <v>0</v>
      </c>
      <c r="HM112" s="675">
        <v>0</v>
      </c>
      <c r="HN112" s="675">
        <v>0</v>
      </c>
      <c r="HO112" s="675">
        <v>0</v>
      </c>
      <c r="HP112" s="675">
        <v>0</v>
      </c>
      <c r="HQ112" s="675">
        <v>0</v>
      </c>
      <c r="HR112" s="675">
        <v>0</v>
      </c>
      <c r="HS112" s="675">
        <v>0</v>
      </c>
      <c r="HT112" s="675">
        <v>0</v>
      </c>
      <c r="HU112" s="675">
        <v>0</v>
      </c>
      <c r="HV112" s="675">
        <v>0</v>
      </c>
      <c r="HW112" s="675">
        <v>0</v>
      </c>
      <c r="HX112" s="675">
        <v>0</v>
      </c>
      <c r="HY112" s="675">
        <v>0</v>
      </c>
      <c r="HZ112" s="675">
        <v>0</v>
      </c>
      <c r="IA112" s="675">
        <v>0</v>
      </c>
      <c r="IB112" s="675">
        <v>0</v>
      </c>
      <c r="IC112" s="675">
        <v>0</v>
      </c>
      <c r="ID112" s="675">
        <v>0</v>
      </c>
      <c r="IE112" s="675">
        <v>0</v>
      </c>
      <c r="IF112" s="675">
        <v>0</v>
      </c>
      <c r="IG112" s="675">
        <v>0</v>
      </c>
      <c r="IH112" s="675">
        <v>0</v>
      </c>
      <c r="II112" s="675">
        <v>0</v>
      </c>
      <c r="IJ112" s="675">
        <v>0</v>
      </c>
      <c r="IK112" s="675">
        <v>0</v>
      </c>
      <c r="IL112" s="675">
        <v>0</v>
      </c>
      <c r="IM112" s="675">
        <v>0</v>
      </c>
      <c r="IN112" s="675">
        <v>0</v>
      </c>
      <c r="IO112" s="675">
        <v>0</v>
      </c>
      <c r="IP112" s="675">
        <v>0</v>
      </c>
      <c r="IQ112" s="675">
        <v>0</v>
      </c>
      <c r="IR112" s="675">
        <v>0</v>
      </c>
      <c r="IS112" s="675">
        <v>0</v>
      </c>
      <c r="IT112" s="675">
        <v>0</v>
      </c>
      <c r="IU112" s="675">
        <v>0</v>
      </c>
      <c r="IV112" s="675">
        <v>0</v>
      </c>
      <c r="IW112" s="675">
        <v>0</v>
      </c>
      <c r="IX112" s="675">
        <v>0</v>
      </c>
      <c r="IY112" s="675">
        <v>0</v>
      </c>
      <c r="IZ112" s="675">
        <v>0</v>
      </c>
      <c r="JA112" s="675">
        <v>0</v>
      </c>
      <c r="JB112" s="675">
        <v>0</v>
      </c>
      <c r="JC112" s="675">
        <v>0</v>
      </c>
      <c r="JD112" s="675">
        <v>0</v>
      </c>
      <c r="JE112" s="675">
        <v>0</v>
      </c>
      <c r="JF112" s="675">
        <v>0</v>
      </c>
      <c r="JG112" s="675">
        <v>0</v>
      </c>
      <c r="JH112" s="675">
        <v>0</v>
      </c>
      <c r="JI112" s="675">
        <v>0</v>
      </c>
      <c r="JJ112" s="675">
        <v>0</v>
      </c>
      <c r="JK112" s="675">
        <v>0</v>
      </c>
      <c r="JL112" s="675">
        <v>0</v>
      </c>
      <c r="JM112" s="675">
        <v>0</v>
      </c>
      <c r="JN112" s="675">
        <v>32469</v>
      </c>
      <c r="JO112" s="675">
        <v>0</v>
      </c>
      <c r="JP112" s="675">
        <v>0</v>
      </c>
      <c r="JQ112" s="675">
        <v>0</v>
      </c>
      <c r="JR112" s="675">
        <v>0</v>
      </c>
      <c r="JS112" s="675">
        <v>0</v>
      </c>
      <c r="JT112" s="675">
        <v>0</v>
      </c>
      <c r="JU112" s="675">
        <v>0</v>
      </c>
      <c r="JV112" s="675">
        <v>0</v>
      </c>
      <c r="JW112" s="675">
        <v>0</v>
      </c>
      <c r="JX112" s="675">
        <v>0</v>
      </c>
      <c r="JY112" s="675">
        <v>0</v>
      </c>
      <c r="JZ112" s="675">
        <v>0</v>
      </c>
      <c r="KA112" s="675">
        <v>0</v>
      </c>
      <c r="KB112" s="675">
        <v>0</v>
      </c>
      <c r="KC112" s="675">
        <v>0</v>
      </c>
      <c r="KD112" s="675">
        <v>0</v>
      </c>
      <c r="KE112" s="675">
        <v>0</v>
      </c>
      <c r="KF112" s="675">
        <v>0</v>
      </c>
    </row>
    <row r="113" spans="1:292" x14ac:dyDescent="0.25">
      <c r="A113" s="675">
        <v>101861</v>
      </c>
      <c r="B113" s="675">
        <v>32570</v>
      </c>
      <c r="C113" s="675">
        <v>35</v>
      </c>
      <c r="D113" s="675">
        <v>2022</v>
      </c>
      <c r="E113" s="675">
        <v>5392</v>
      </c>
      <c r="F113" s="675">
        <v>0</v>
      </c>
      <c r="G113" s="675">
        <v>739.38499999999999</v>
      </c>
      <c r="H113" s="675">
        <v>725.923</v>
      </c>
      <c r="I113" s="675">
        <v>725.923</v>
      </c>
      <c r="J113" s="675">
        <v>739.38499999999999</v>
      </c>
      <c r="K113" s="675">
        <v>0</v>
      </c>
      <c r="L113" s="675">
        <v>6554</v>
      </c>
      <c r="M113" s="675">
        <v>0</v>
      </c>
      <c r="N113" s="675">
        <v>0</v>
      </c>
      <c r="O113" s="675">
        <v>0</v>
      </c>
      <c r="P113" s="675">
        <v>1117.278</v>
      </c>
      <c r="Q113" s="675">
        <v>0</v>
      </c>
      <c r="R113" s="675">
        <v>357208</v>
      </c>
      <c r="S113" s="675">
        <v>319.71300000000002</v>
      </c>
      <c r="T113" s="675">
        <v>0</v>
      </c>
      <c r="U113" s="675">
        <v>357208</v>
      </c>
      <c r="V113" s="675">
        <v>21.105</v>
      </c>
      <c r="W113" s="675">
        <v>13832</v>
      </c>
      <c r="X113" s="675">
        <v>13832</v>
      </c>
      <c r="Y113" s="675">
        <v>0</v>
      </c>
      <c r="Z113" s="675">
        <v>0</v>
      </c>
      <c r="AA113" s="675">
        <v>1</v>
      </c>
      <c r="AB113" s="675">
        <v>1</v>
      </c>
      <c r="AC113" s="675">
        <v>0</v>
      </c>
      <c r="AD113" s="675" t="s">
        <v>316</v>
      </c>
      <c r="AE113" s="675">
        <v>0</v>
      </c>
      <c r="AF113" s="675">
        <v>0</v>
      </c>
      <c r="AG113" s="675">
        <v>0</v>
      </c>
      <c r="AH113" s="675">
        <v>0</v>
      </c>
      <c r="AI113" s="675">
        <v>0</v>
      </c>
      <c r="AJ113" s="675">
        <v>5104</v>
      </c>
      <c r="AK113" s="675" t="s">
        <v>671</v>
      </c>
      <c r="AL113" s="675" t="s">
        <v>350</v>
      </c>
      <c r="AM113" s="675">
        <v>0</v>
      </c>
      <c r="AN113" s="675">
        <v>0</v>
      </c>
      <c r="AO113" s="675">
        <v>0</v>
      </c>
      <c r="AP113" s="675">
        <v>0</v>
      </c>
      <c r="AQ113" s="675">
        <v>0</v>
      </c>
      <c r="AR113" s="675">
        <v>0</v>
      </c>
      <c r="AS113" s="675">
        <v>0</v>
      </c>
      <c r="AT113" s="675">
        <v>0</v>
      </c>
      <c r="AU113" s="675">
        <v>0</v>
      </c>
      <c r="AV113" s="675">
        <v>644895</v>
      </c>
      <c r="AW113" s="675">
        <v>7604894</v>
      </c>
      <c r="AX113" s="675">
        <v>7459178</v>
      </c>
      <c r="AY113" s="675">
        <v>8271024</v>
      </c>
      <c r="AZ113" s="675">
        <v>357208</v>
      </c>
      <c r="BA113" s="675">
        <v>0</v>
      </c>
      <c r="BB113" s="675">
        <v>19272</v>
      </c>
      <c r="BC113" s="675">
        <v>19272</v>
      </c>
      <c r="BD113" s="675">
        <v>24.504000000000001</v>
      </c>
      <c r="BE113" s="675">
        <v>0</v>
      </c>
      <c r="BF113" s="675">
        <v>6394250</v>
      </c>
      <c r="BG113" s="675">
        <v>0</v>
      </c>
      <c r="BH113" s="675">
        <v>0</v>
      </c>
      <c r="BI113" s="675">
        <v>0</v>
      </c>
      <c r="BJ113" s="675">
        <v>12</v>
      </c>
      <c r="BK113" s="675">
        <v>0</v>
      </c>
      <c r="BL113" s="675">
        <v>0</v>
      </c>
      <c r="BM113" s="675">
        <v>0</v>
      </c>
      <c r="BN113" s="675">
        <v>0</v>
      </c>
      <c r="BO113" s="675">
        <v>0</v>
      </c>
      <c r="BP113" s="675">
        <v>0</v>
      </c>
      <c r="BQ113" s="675">
        <v>5392</v>
      </c>
      <c r="BR113" s="675">
        <v>1</v>
      </c>
      <c r="BS113" s="675">
        <v>0</v>
      </c>
      <c r="BT113" s="675">
        <v>0</v>
      </c>
      <c r="BU113" s="675">
        <v>0</v>
      </c>
      <c r="BV113" s="675">
        <v>0</v>
      </c>
      <c r="BW113" s="675">
        <v>0</v>
      </c>
      <c r="BX113" s="675">
        <v>0</v>
      </c>
      <c r="BY113" s="675">
        <v>0</v>
      </c>
      <c r="BZ113" s="675">
        <v>0</v>
      </c>
      <c r="CA113" s="675">
        <v>0</v>
      </c>
      <c r="CB113" s="675">
        <v>0</v>
      </c>
      <c r="CC113" s="675">
        <v>0</v>
      </c>
      <c r="CD113" s="675">
        <v>0</v>
      </c>
      <c r="CE113" s="675">
        <v>0</v>
      </c>
      <c r="CF113" s="675">
        <v>0</v>
      </c>
      <c r="CG113" s="675">
        <v>0</v>
      </c>
      <c r="CH113" s="675">
        <v>145716</v>
      </c>
      <c r="CI113" s="675">
        <v>0</v>
      </c>
      <c r="CJ113" s="675">
        <v>5</v>
      </c>
      <c r="CK113" s="675">
        <v>0</v>
      </c>
      <c r="CL113" s="675">
        <v>0</v>
      </c>
      <c r="CM113" s="675">
        <v>0</v>
      </c>
      <c r="CN113" s="675">
        <v>0</v>
      </c>
      <c r="CO113" s="675">
        <v>0</v>
      </c>
      <c r="CP113" s="675">
        <v>0</v>
      </c>
      <c r="CQ113" s="675">
        <v>0</v>
      </c>
      <c r="CR113" s="675">
        <v>1117.278</v>
      </c>
      <c r="CS113" s="675">
        <v>0</v>
      </c>
      <c r="CT113" s="675">
        <v>0</v>
      </c>
      <c r="CU113" s="675">
        <v>0</v>
      </c>
      <c r="CV113" s="675">
        <v>0</v>
      </c>
      <c r="CW113" s="675">
        <v>0</v>
      </c>
      <c r="CX113" s="675">
        <v>0</v>
      </c>
      <c r="CY113" s="675">
        <v>0</v>
      </c>
      <c r="CZ113" s="675">
        <v>0</v>
      </c>
      <c r="DA113" s="675">
        <v>1</v>
      </c>
      <c r="DB113" s="675">
        <v>4757699</v>
      </c>
      <c r="DC113" s="675">
        <v>0</v>
      </c>
      <c r="DD113" s="675">
        <v>0</v>
      </c>
      <c r="DE113" s="675">
        <v>1247659</v>
      </c>
      <c r="DF113" s="675">
        <v>1247659</v>
      </c>
      <c r="DG113" s="675">
        <v>951.83</v>
      </c>
      <c r="DH113" s="675">
        <v>0</v>
      </c>
      <c r="DI113" s="675">
        <v>0</v>
      </c>
      <c r="DJ113" s="675">
        <v>0</v>
      </c>
      <c r="DK113" s="675">
        <v>5392</v>
      </c>
      <c r="DL113" s="675">
        <v>0</v>
      </c>
      <c r="DM113" s="675">
        <v>531350</v>
      </c>
      <c r="DN113" s="675">
        <v>0</v>
      </c>
      <c r="DO113" s="675">
        <v>0</v>
      </c>
      <c r="DP113" s="675">
        <v>0</v>
      </c>
      <c r="DQ113" s="675">
        <v>0</v>
      </c>
      <c r="DR113" s="675">
        <v>0</v>
      </c>
      <c r="DS113" s="675">
        <v>0</v>
      </c>
      <c r="DT113" s="675">
        <v>0</v>
      </c>
      <c r="DU113" s="675">
        <v>0</v>
      </c>
      <c r="DV113" s="675">
        <v>0</v>
      </c>
      <c r="DW113" s="675">
        <v>0</v>
      </c>
      <c r="DX113" s="675">
        <v>0</v>
      </c>
      <c r="DY113" s="675">
        <v>0</v>
      </c>
      <c r="DZ113" s="675">
        <v>0</v>
      </c>
      <c r="EA113" s="675">
        <v>0</v>
      </c>
      <c r="EB113" s="675">
        <v>0</v>
      </c>
      <c r="EC113" s="675">
        <v>35.306000000000004</v>
      </c>
      <c r="ED113" s="675">
        <v>254535</v>
      </c>
      <c r="EE113" s="675">
        <v>0</v>
      </c>
      <c r="EF113" s="675">
        <v>0</v>
      </c>
      <c r="EG113" s="675">
        <v>0</v>
      </c>
      <c r="EH113" s="675">
        <v>276815</v>
      </c>
      <c r="EI113" s="675">
        <v>0</v>
      </c>
      <c r="EJ113" s="675">
        <v>0</v>
      </c>
      <c r="EK113" s="675">
        <v>12.537000000000001</v>
      </c>
      <c r="EL113" s="675">
        <v>0</v>
      </c>
      <c r="EM113" s="675">
        <v>0</v>
      </c>
      <c r="EN113" s="675">
        <v>0.92500000000000004</v>
      </c>
      <c r="EO113" s="675">
        <v>0</v>
      </c>
      <c r="EP113" s="675">
        <v>0</v>
      </c>
      <c r="EQ113" s="675">
        <v>13.462000000000002</v>
      </c>
      <c r="ER113" s="675">
        <v>0</v>
      </c>
      <c r="ES113" s="675">
        <v>42.236000000000004</v>
      </c>
      <c r="ET113" s="675">
        <v>0</v>
      </c>
      <c r="EU113" s="675">
        <v>357208</v>
      </c>
      <c r="EV113" s="675">
        <v>0</v>
      </c>
      <c r="EW113" s="675">
        <v>0</v>
      </c>
      <c r="EX113" s="675">
        <v>0</v>
      </c>
      <c r="EY113" s="675">
        <v>0</v>
      </c>
      <c r="EZ113" s="675">
        <v>6266334</v>
      </c>
      <c r="FA113" s="675">
        <v>0</v>
      </c>
      <c r="FB113" s="675">
        <v>6623542</v>
      </c>
      <c r="FC113" s="675">
        <v>0.97327799999999998</v>
      </c>
      <c r="FD113" s="675">
        <v>0</v>
      </c>
      <c r="FE113" s="675">
        <v>973473</v>
      </c>
      <c r="FF113" s="675">
        <v>219371</v>
      </c>
      <c r="FG113" s="675">
        <v>6.1239999999999996E-2</v>
      </c>
      <c r="FH113" s="675">
        <v>5.4803999999999999E-2</v>
      </c>
      <c r="FI113" s="675">
        <v>0</v>
      </c>
      <c r="FJ113" s="675">
        <v>0</v>
      </c>
      <c r="FK113" s="675">
        <v>1252.835</v>
      </c>
      <c r="FL113" s="675">
        <v>7962102</v>
      </c>
      <c r="FM113" s="675">
        <v>0</v>
      </c>
      <c r="FN113" s="675">
        <v>0</v>
      </c>
      <c r="FO113" s="675">
        <v>53730</v>
      </c>
      <c r="FP113" s="675">
        <v>0</v>
      </c>
      <c r="FQ113" s="675">
        <v>53730</v>
      </c>
      <c r="FR113" s="675">
        <v>53730</v>
      </c>
      <c r="FS113" s="675">
        <v>0</v>
      </c>
      <c r="FT113" s="675">
        <v>0</v>
      </c>
      <c r="FU113" s="675">
        <v>0</v>
      </c>
      <c r="FV113" s="675">
        <v>0</v>
      </c>
      <c r="FW113" s="675">
        <v>0</v>
      </c>
      <c r="FX113" s="675">
        <v>0</v>
      </c>
      <c r="FY113" s="675">
        <v>0</v>
      </c>
      <c r="FZ113" s="675">
        <v>0</v>
      </c>
      <c r="GA113" s="675">
        <v>0</v>
      </c>
      <c r="GB113" s="675">
        <v>0</v>
      </c>
      <c r="GC113" s="675">
        <v>0</v>
      </c>
      <c r="GD113" s="675">
        <v>0</v>
      </c>
      <c r="GE113" s="675">
        <v>0</v>
      </c>
      <c r="GF113" s="675">
        <v>0</v>
      </c>
      <c r="GG113" s="675">
        <v>0</v>
      </c>
      <c r="GH113" s="675">
        <v>0</v>
      </c>
      <c r="GI113" s="675">
        <v>0</v>
      </c>
      <c r="GJ113" s="675">
        <v>0</v>
      </c>
      <c r="GK113" s="675">
        <v>4971</v>
      </c>
      <c r="GL113" s="675">
        <v>4393</v>
      </c>
      <c r="GM113" s="675">
        <v>0</v>
      </c>
      <c r="GN113" s="675">
        <v>0</v>
      </c>
      <c r="GO113" s="675">
        <v>0</v>
      </c>
      <c r="GP113" s="675">
        <v>7816386</v>
      </c>
      <c r="GQ113" s="675">
        <v>7816386</v>
      </c>
      <c r="GR113" s="675">
        <v>0</v>
      </c>
      <c r="GS113" s="675">
        <v>0</v>
      </c>
      <c r="GT113" s="675">
        <v>0</v>
      </c>
      <c r="GU113" s="675">
        <v>0</v>
      </c>
      <c r="GV113" s="675">
        <v>0</v>
      </c>
      <c r="GW113" s="675">
        <v>0</v>
      </c>
      <c r="GX113" s="675">
        <v>0</v>
      </c>
      <c r="GY113" s="675">
        <v>0</v>
      </c>
      <c r="GZ113" s="675">
        <v>0</v>
      </c>
      <c r="HA113" s="675">
        <v>0</v>
      </c>
      <c r="HB113" s="675">
        <v>260786259</v>
      </c>
      <c r="HC113" s="675">
        <v>5.0923999999999997E-2</v>
      </c>
      <c r="HD113" s="675">
        <v>145716</v>
      </c>
      <c r="HE113" s="675">
        <v>0</v>
      </c>
      <c r="HF113" s="675">
        <v>0</v>
      </c>
      <c r="HG113" s="675">
        <v>0</v>
      </c>
      <c r="HH113" s="675">
        <v>0</v>
      </c>
      <c r="HI113" s="675">
        <v>0</v>
      </c>
      <c r="HJ113" s="675">
        <v>0</v>
      </c>
      <c r="HK113" s="675">
        <v>0</v>
      </c>
      <c r="HL113" s="675">
        <v>0</v>
      </c>
      <c r="HM113" s="675">
        <v>0</v>
      </c>
      <c r="HN113" s="675">
        <v>0</v>
      </c>
      <c r="HO113" s="675">
        <v>0</v>
      </c>
      <c r="HP113" s="675">
        <v>0</v>
      </c>
      <c r="HQ113" s="675">
        <v>0</v>
      </c>
      <c r="HR113" s="675">
        <v>0</v>
      </c>
      <c r="HS113" s="675">
        <v>0</v>
      </c>
      <c r="HT113" s="675">
        <v>0</v>
      </c>
      <c r="HU113" s="675">
        <v>0</v>
      </c>
      <c r="HV113" s="675">
        <v>0</v>
      </c>
      <c r="HW113" s="675">
        <v>0</v>
      </c>
      <c r="HX113" s="675">
        <v>0</v>
      </c>
      <c r="HY113" s="675">
        <v>0</v>
      </c>
      <c r="HZ113" s="675">
        <v>0</v>
      </c>
      <c r="IA113" s="675">
        <v>0</v>
      </c>
      <c r="IB113" s="675">
        <v>0</v>
      </c>
      <c r="IC113" s="675">
        <v>0</v>
      </c>
      <c r="ID113" s="675">
        <v>0</v>
      </c>
      <c r="IE113" s="675">
        <v>0</v>
      </c>
      <c r="IF113" s="675">
        <v>0</v>
      </c>
      <c r="IG113" s="675">
        <v>0</v>
      </c>
      <c r="IH113" s="675">
        <v>0</v>
      </c>
      <c r="II113" s="675">
        <v>0</v>
      </c>
      <c r="IJ113" s="675">
        <v>0</v>
      </c>
      <c r="IK113" s="675">
        <v>0</v>
      </c>
      <c r="IL113" s="675">
        <v>0</v>
      </c>
      <c r="IM113" s="675">
        <v>0</v>
      </c>
      <c r="IN113" s="675">
        <v>0</v>
      </c>
      <c r="IO113" s="675">
        <v>0</v>
      </c>
      <c r="IP113" s="675">
        <v>0</v>
      </c>
      <c r="IQ113" s="675">
        <v>0</v>
      </c>
      <c r="IR113" s="675">
        <v>0</v>
      </c>
      <c r="IS113" s="675">
        <v>0</v>
      </c>
      <c r="IT113" s="675">
        <v>0</v>
      </c>
      <c r="IU113" s="675">
        <v>0</v>
      </c>
      <c r="IV113" s="675">
        <v>0</v>
      </c>
      <c r="IW113" s="675">
        <v>0</v>
      </c>
      <c r="IX113" s="675">
        <v>0</v>
      </c>
      <c r="IY113" s="675">
        <v>0</v>
      </c>
      <c r="IZ113" s="675">
        <v>0</v>
      </c>
      <c r="JA113" s="675">
        <v>0</v>
      </c>
      <c r="JB113" s="675">
        <v>0</v>
      </c>
      <c r="JC113" s="675">
        <v>0</v>
      </c>
      <c r="JD113" s="675">
        <v>0</v>
      </c>
      <c r="JE113" s="675">
        <v>0</v>
      </c>
      <c r="JF113" s="675">
        <v>0</v>
      </c>
      <c r="JG113" s="675">
        <v>0</v>
      </c>
      <c r="JH113" s="675">
        <v>0</v>
      </c>
      <c r="JI113" s="675">
        <v>0</v>
      </c>
      <c r="JJ113" s="675">
        <v>0</v>
      </c>
      <c r="JK113" s="675">
        <v>0</v>
      </c>
      <c r="JL113" s="675">
        <v>0</v>
      </c>
      <c r="JM113" s="675">
        <v>0</v>
      </c>
      <c r="JN113" s="675">
        <v>32469</v>
      </c>
      <c r="JO113" s="675">
        <v>0</v>
      </c>
      <c r="JP113" s="675">
        <v>0</v>
      </c>
      <c r="JQ113" s="675">
        <v>0</v>
      </c>
      <c r="JR113" s="675">
        <v>0</v>
      </c>
      <c r="JS113" s="675">
        <v>0</v>
      </c>
      <c r="JT113" s="675">
        <v>0</v>
      </c>
      <c r="JU113" s="675">
        <v>0</v>
      </c>
      <c r="JV113" s="675">
        <v>0</v>
      </c>
      <c r="JW113" s="675">
        <v>0</v>
      </c>
      <c r="JX113" s="675">
        <v>0</v>
      </c>
      <c r="JY113" s="675">
        <v>0</v>
      </c>
      <c r="JZ113" s="675">
        <v>0</v>
      </c>
      <c r="KA113" s="675">
        <v>0</v>
      </c>
      <c r="KB113" s="675">
        <v>0</v>
      </c>
      <c r="KC113" s="675">
        <v>0</v>
      </c>
      <c r="KD113" s="675">
        <v>0</v>
      </c>
      <c r="KE113" s="675">
        <v>0</v>
      </c>
      <c r="KF113" s="675">
        <v>0</v>
      </c>
    </row>
    <row r="114" spans="1:292" x14ac:dyDescent="0.25">
      <c r="A114" s="675">
        <v>101862</v>
      </c>
      <c r="B114" s="675">
        <v>32570</v>
      </c>
      <c r="C114" s="675">
        <v>35</v>
      </c>
      <c r="D114" s="675">
        <v>2022</v>
      </c>
      <c r="E114" s="675">
        <v>5392</v>
      </c>
      <c r="F114" s="675">
        <v>0</v>
      </c>
      <c r="G114" s="675">
        <v>3680.5730000000003</v>
      </c>
      <c r="H114" s="675">
        <v>3423.9300000000003</v>
      </c>
      <c r="I114" s="675">
        <v>3423.9300000000003</v>
      </c>
      <c r="J114" s="675">
        <v>3680.5730000000003</v>
      </c>
      <c r="K114" s="675">
        <v>0</v>
      </c>
      <c r="L114" s="675">
        <v>6554</v>
      </c>
      <c r="M114" s="675">
        <v>0</v>
      </c>
      <c r="N114" s="675">
        <v>0</v>
      </c>
      <c r="O114" s="675">
        <v>0</v>
      </c>
      <c r="P114" s="675">
        <v>3616.9830000000002</v>
      </c>
      <c r="Q114" s="675">
        <v>0</v>
      </c>
      <c r="R114" s="675">
        <v>1156396</v>
      </c>
      <c r="S114" s="675">
        <v>319.71300000000002</v>
      </c>
      <c r="T114" s="675">
        <v>0</v>
      </c>
      <c r="U114" s="675">
        <v>1156396</v>
      </c>
      <c r="V114" s="675">
        <v>762.45100000000002</v>
      </c>
      <c r="W114" s="675">
        <v>499710</v>
      </c>
      <c r="X114" s="675">
        <v>499710</v>
      </c>
      <c r="Y114" s="675">
        <v>0</v>
      </c>
      <c r="Z114" s="675">
        <v>0</v>
      </c>
      <c r="AA114" s="675">
        <v>1</v>
      </c>
      <c r="AB114" s="675">
        <v>1</v>
      </c>
      <c r="AC114" s="675">
        <v>0</v>
      </c>
      <c r="AD114" s="675" t="s">
        <v>316</v>
      </c>
      <c r="AE114" s="675">
        <v>0</v>
      </c>
      <c r="AF114" s="675">
        <v>0</v>
      </c>
      <c r="AG114" s="675">
        <v>0</v>
      </c>
      <c r="AH114" s="675">
        <v>0</v>
      </c>
      <c r="AI114" s="675">
        <v>0</v>
      </c>
      <c r="AJ114" s="675">
        <v>5104</v>
      </c>
      <c r="AK114" s="675" t="s">
        <v>671</v>
      </c>
      <c r="AL114" s="675" t="s">
        <v>351</v>
      </c>
      <c r="AM114" s="675">
        <v>0</v>
      </c>
      <c r="AN114" s="675">
        <v>0</v>
      </c>
      <c r="AO114" s="675">
        <v>0</v>
      </c>
      <c r="AP114" s="675">
        <v>0</v>
      </c>
      <c r="AQ114" s="675">
        <v>0</v>
      </c>
      <c r="AR114" s="675">
        <v>0</v>
      </c>
      <c r="AS114" s="675">
        <v>0</v>
      </c>
      <c r="AT114" s="675">
        <v>0</v>
      </c>
      <c r="AU114" s="675">
        <v>0</v>
      </c>
      <c r="AV114" s="675">
        <v>336852</v>
      </c>
      <c r="AW114" s="675">
        <v>34623138</v>
      </c>
      <c r="AX114" s="675">
        <v>33541937</v>
      </c>
      <c r="AY114" s="675">
        <v>36307946</v>
      </c>
      <c r="AZ114" s="675">
        <v>1469029</v>
      </c>
      <c r="BA114" s="675">
        <v>86.417000000000002</v>
      </c>
      <c r="BB114" s="675">
        <v>144735</v>
      </c>
      <c r="BC114" s="675">
        <v>144735</v>
      </c>
      <c r="BD114" s="675">
        <v>184.029</v>
      </c>
      <c r="BE114" s="675">
        <v>0</v>
      </c>
      <c r="BF114" s="675">
        <v>28581689</v>
      </c>
      <c r="BG114" s="675">
        <v>0</v>
      </c>
      <c r="BH114" s="675">
        <v>1101.45</v>
      </c>
      <c r="BI114" s="675">
        <v>302899</v>
      </c>
      <c r="BJ114" s="675">
        <v>12</v>
      </c>
      <c r="BK114" s="675">
        <v>0</v>
      </c>
      <c r="BL114" s="675">
        <v>0</v>
      </c>
      <c r="BM114" s="675">
        <v>0</v>
      </c>
      <c r="BN114" s="675">
        <v>0</v>
      </c>
      <c r="BO114" s="675">
        <v>0</v>
      </c>
      <c r="BP114" s="675">
        <v>0</v>
      </c>
      <c r="BQ114" s="675">
        <v>5392</v>
      </c>
      <c r="BR114" s="675">
        <v>1</v>
      </c>
      <c r="BS114" s="675">
        <v>0</v>
      </c>
      <c r="BT114" s="675">
        <v>0</v>
      </c>
      <c r="BU114" s="675">
        <v>0</v>
      </c>
      <c r="BV114" s="675">
        <v>0</v>
      </c>
      <c r="BW114" s="675">
        <v>0</v>
      </c>
      <c r="BX114" s="675">
        <v>0</v>
      </c>
      <c r="BY114" s="675">
        <v>0</v>
      </c>
      <c r="BZ114" s="675">
        <v>0</v>
      </c>
      <c r="CA114" s="675">
        <v>25.465</v>
      </c>
      <c r="CB114" s="675">
        <v>9734</v>
      </c>
      <c r="CC114" s="675">
        <v>0</v>
      </c>
      <c r="CD114" s="675">
        <v>0</v>
      </c>
      <c r="CE114" s="675">
        <v>0</v>
      </c>
      <c r="CF114" s="675">
        <v>0</v>
      </c>
      <c r="CG114" s="675">
        <v>0</v>
      </c>
      <c r="CH114" s="675">
        <v>768568</v>
      </c>
      <c r="CI114" s="675">
        <v>0</v>
      </c>
      <c r="CJ114" s="675">
        <v>4</v>
      </c>
      <c r="CK114" s="675">
        <v>0</v>
      </c>
      <c r="CL114" s="675">
        <v>0</v>
      </c>
      <c r="CM114" s="675">
        <v>0</v>
      </c>
      <c r="CN114" s="675">
        <v>0</v>
      </c>
      <c r="CO114" s="675">
        <v>0</v>
      </c>
      <c r="CP114" s="675">
        <v>0</v>
      </c>
      <c r="CQ114" s="675">
        <v>0</v>
      </c>
      <c r="CR114" s="675">
        <v>3616.9830000000002</v>
      </c>
      <c r="CS114" s="675">
        <v>0</v>
      </c>
      <c r="CT114" s="675">
        <v>0</v>
      </c>
      <c r="CU114" s="675">
        <v>0</v>
      </c>
      <c r="CV114" s="675">
        <v>0</v>
      </c>
      <c r="CW114" s="675">
        <v>0</v>
      </c>
      <c r="CX114" s="675">
        <v>0</v>
      </c>
      <c r="CY114" s="675">
        <v>0</v>
      </c>
      <c r="CZ114" s="675">
        <v>0</v>
      </c>
      <c r="DA114" s="675">
        <v>1</v>
      </c>
      <c r="DB114" s="675">
        <v>22440437</v>
      </c>
      <c r="DC114" s="675">
        <v>0</v>
      </c>
      <c r="DD114" s="675">
        <v>0</v>
      </c>
      <c r="DE114" s="675">
        <v>2832206</v>
      </c>
      <c r="DF114" s="675">
        <v>2832206</v>
      </c>
      <c r="DG114" s="675">
        <v>2160.67</v>
      </c>
      <c r="DH114" s="675">
        <v>0</v>
      </c>
      <c r="DI114" s="675">
        <v>0</v>
      </c>
      <c r="DJ114" s="675">
        <v>0</v>
      </c>
      <c r="DK114" s="675">
        <v>5392</v>
      </c>
      <c r="DL114" s="675">
        <v>0</v>
      </c>
      <c r="DM114" s="675">
        <v>1837461</v>
      </c>
      <c r="DN114" s="675">
        <v>0</v>
      </c>
      <c r="DO114" s="675">
        <v>0</v>
      </c>
      <c r="DP114" s="675">
        <v>0</v>
      </c>
      <c r="DQ114" s="675">
        <v>0</v>
      </c>
      <c r="DR114" s="675">
        <v>0</v>
      </c>
      <c r="DS114" s="675">
        <v>0</v>
      </c>
      <c r="DT114" s="675">
        <v>0</v>
      </c>
      <c r="DU114" s="675">
        <v>0</v>
      </c>
      <c r="DV114" s="675">
        <v>0</v>
      </c>
      <c r="DW114" s="675">
        <v>0</v>
      </c>
      <c r="DX114" s="675">
        <v>0</v>
      </c>
      <c r="DY114" s="675">
        <v>0</v>
      </c>
      <c r="DZ114" s="675">
        <v>0</v>
      </c>
      <c r="EA114" s="675">
        <v>0</v>
      </c>
      <c r="EB114" s="675">
        <v>3.3000000000000002E-2</v>
      </c>
      <c r="EC114" s="675">
        <v>42.792000000000002</v>
      </c>
      <c r="ED114" s="675">
        <v>308505</v>
      </c>
      <c r="EE114" s="675">
        <v>0</v>
      </c>
      <c r="EF114" s="675">
        <v>0</v>
      </c>
      <c r="EG114" s="675">
        <v>0</v>
      </c>
      <c r="EH114" s="675">
        <v>1528956</v>
      </c>
      <c r="EI114" s="675">
        <v>0</v>
      </c>
      <c r="EJ114" s="675">
        <v>0</v>
      </c>
      <c r="EK114" s="675">
        <v>63.546000000000006</v>
      </c>
      <c r="EL114" s="675">
        <v>0</v>
      </c>
      <c r="EM114" s="675">
        <v>6.343</v>
      </c>
      <c r="EN114" s="675">
        <v>4.7040000000000006</v>
      </c>
      <c r="EO114" s="675">
        <v>0</v>
      </c>
      <c r="EP114" s="675">
        <v>0</v>
      </c>
      <c r="EQ114" s="675">
        <v>74.626000000000005</v>
      </c>
      <c r="ER114" s="675">
        <v>0</v>
      </c>
      <c r="ES114" s="675">
        <v>233.286</v>
      </c>
      <c r="ET114" s="675">
        <v>43209</v>
      </c>
      <c r="EU114" s="675">
        <v>1469029</v>
      </c>
      <c r="EV114" s="675">
        <v>0</v>
      </c>
      <c r="EW114" s="675">
        <v>0</v>
      </c>
      <c r="EX114" s="675">
        <v>0</v>
      </c>
      <c r="EY114" s="675">
        <v>0</v>
      </c>
      <c r="EZ114" s="675">
        <v>28210037</v>
      </c>
      <c r="FA114" s="675">
        <v>0</v>
      </c>
      <c r="FB114" s="675">
        <v>29679066</v>
      </c>
      <c r="FC114" s="675">
        <v>0.97327799999999998</v>
      </c>
      <c r="FD114" s="675">
        <v>0</v>
      </c>
      <c r="FE114" s="675">
        <v>4351333</v>
      </c>
      <c r="FF114" s="675">
        <v>980567</v>
      </c>
      <c r="FG114" s="675">
        <v>6.1239999999999996E-2</v>
      </c>
      <c r="FH114" s="675">
        <v>5.4803999999999999E-2</v>
      </c>
      <c r="FI114" s="675">
        <v>0</v>
      </c>
      <c r="FJ114" s="675">
        <v>0</v>
      </c>
      <c r="FK114" s="675">
        <v>5600.0529999999999</v>
      </c>
      <c r="FL114" s="675">
        <v>35779534</v>
      </c>
      <c r="FM114" s="675">
        <v>0</v>
      </c>
      <c r="FN114" s="675">
        <v>0</v>
      </c>
      <c r="FO114" s="675">
        <v>0</v>
      </c>
      <c r="FP114" s="675">
        <v>0</v>
      </c>
      <c r="FQ114" s="675">
        <v>0</v>
      </c>
      <c r="FR114" s="675">
        <v>0</v>
      </c>
      <c r="FS114" s="675">
        <v>0</v>
      </c>
      <c r="FT114" s="675">
        <v>0</v>
      </c>
      <c r="FU114" s="675">
        <v>0</v>
      </c>
      <c r="FV114" s="675">
        <v>0</v>
      </c>
      <c r="FW114" s="675">
        <v>0</v>
      </c>
      <c r="FX114" s="675">
        <v>0</v>
      </c>
      <c r="FY114" s="675">
        <v>0</v>
      </c>
      <c r="FZ114" s="675">
        <v>1416</v>
      </c>
      <c r="GA114" s="675">
        <v>28.315000000000001</v>
      </c>
      <c r="GB114" s="675">
        <v>1611884</v>
      </c>
      <c r="GC114" s="675">
        <v>1611884</v>
      </c>
      <c r="GD114" s="675">
        <v>182.017</v>
      </c>
      <c r="GE114" s="675">
        <v>0</v>
      </c>
      <c r="GF114" s="675">
        <v>0</v>
      </c>
      <c r="GG114" s="675">
        <v>0</v>
      </c>
      <c r="GH114" s="675">
        <v>0</v>
      </c>
      <c r="GI114" s="675">
        <v>0</v>
      </c>
      <c r="GJ114" s="675">
        <v>0</v>
      </c>
      <c r="GK114" s="675">
        <v>5101</v>
      </c>
      <c r="GL114" s="675">
        <v>10856</v>
      </c>
      <c r="GM114" s="675">
        <v>0</v>
      </c>
      <c r="GN114" s="675">
        <v>0</v>
      </c>
      <c r="GO114" s="675">
        <v>0</v>
      </c>
      <c r="GP114" s="675">
        <v>35010966</v>
      </c>
      <c r="GQ114" s="675">
        <v>35010966</v>
      </c>
      <c r="GR114" s="675">
        <v>0</v>
      </c>
      <c r="GS114" s="675">
        <v>0</v>
      </c>
      <c r="GT114" s="675">
        <v>0</v>
      </c>
      <c r="GU114" s="675">
        <v>0</v>
      </c>
      <c r="GV114" s="675">
        <v>0</v>
      </c>
      <c r="GW114" s="675">
        <v>0</v>
      </c>
      <c r="GX114" s="675">
        <v>0</v>
      </c>
      <c r="GY114" s="675">
        <v>0</v>
      </c>
      <c r="GZ114" s="675">
        <v>0</v>
      </c>
      <c r="HA114" s="675">
        <v>0</v>
      </c>
      <c r="HB114" s="675">
        <v>260786259</v>
      </c>
      <c r="HC114" s="675">
        <v>5.0923999999999997E-2</v>
      </c>
      <c r="HD114" s="675">
        <v>725359</v>
      </c>
      <c r="HE114" s="675">
        <v>0</v>
      </c>
      <c r="HF114" s="675">
        <v>0</v>
      </c>
      <c r="HG114" s="675">
        <v>0</v>
      </c>
      <c r="HH114" s="675">
        <v>0</v>
      </c>
      <c r="HI114" s="675">
        <v>0</v>
      </c>
      <c r="HJ114" s="675">
        <v>0</v>
      </c>
      <c r="HK114" s="675">
        <v>0</v>
      </c>
      <c r="HL114" s="675">
        <v>0</v>
      </c>
      <c r="HM114" s="675">
        <v>0</v>
      </c>
      <c r="HN114" s="675">
        <v>0</v>
      </c>
      <c r="HO114" s="675">
        <v>0</v>
      </c>
      <c r="HP114" s="675">
        <v>0</v>
      </c>
      <c r="HQ114" s="675">
        <v>0</v>
      </c>
      <c r="HR114" s="675">
        <v>0</v>
      </c>
      <c r="HS114" s="675">
        <v>0</v>
      </c>
      <c r="HT114" s="675">
        <v>0</v>
      </c>
      <c r="HU114" s="675">
        <v>0</v>
      </c>
      <c r="HV114" s="675">
        <v>0</v>
      </c>
      <c r="HW114" s="675">
        <v>0</v>
      </c>
      <c r="HX114" s="675">
        <v>0</v>
      </c>
      <c r="HY114" s="675">
        <v>0</v>
      </c>
      <c r="HZ114" s="675">
        <v>0</v>
      </c>
      <c r="IA114" s="675">
        <v>0</v>
      </c>
      <c r="IB114" s="675">
        <v>0</v>
      </c>
      <c r="IC114" s="675">
        <v>0</v>
      </c>
      <c r="ID114" s="675">
        <v>0</v>
      </c>
      <c r="IE114" s="675">
        <v>0</v>
      </c>
      <c r="IF114" s="675">
        <v>0</v>
      </c>
      <c r="IG114" s="675">
        <v>0</v>
      </c>
      <c r="IH114" s="675">
        <v>0</v>
      </c>
      <c r="II114" s="675">
        <v>0</v>
      </c>
      <c r="IJ114" s="675">
        <v>0</v>
      </c>
      <c r="IK114" s="675">
        <v>0</v>
      </c>
      <c r="IL114" s="675">
        <v>0</v>
      </c>
      <c r="IM114" s="675">
        <v>0</v>
      </c>
      <c r="IN114" s="675">
        <v>0</v>
      </c>
      <c r="IO114" s="675">
        <v>0</v>
      </c>
      <c r="IP114" s="675">
        <v>0</v>
      </c>
      <c r="IQ114" s="675">
        <v>0</v>
      </c>
      <c r="IR114" s="675">
        <v>0</v>
      </c>
      <c r="IS114" s="675">
        <v>0</v>
      </c>
      <c r="IT114" s="675">
        <v>0</v>
      </c>
      <c r="IU114" s="675">
        <v>0</v>
      </c>
      <c r="IV114" s="675">
        <v>0</v>
      </c>
      <c r="IW114" s="675">
        <v>0</v>
      </c>
      <c r="IX114" s="675">
        <v>0</v>
      </c>
      <c r="IY114" s="675">
        <v>0</v>
      </c>
      <c r="IZ114" s="675">
        <v>0</v>
      </c>
      <c r="JA114" s="675">
        <v>0</v>
      </c>
      <c r="JB114" s="675">
        <v>0</v>
      </c>
      <c r="JC114" s="675">
        <v>0</v>
      </c>
      <c r="JD114" s="675">
        <v>0</v>
      </c>
      <c r="JE114" s="675">
        <v>0</v>
      </c>
      <c r="JF114" s="675">
        <v>0</v>
      </c>
      <c r="JG114" s="675">
        <v>0</v>
      </c>
      <c r="JH114" s="675">
        <v>0</v>
      </c>
      <c r="JI114" s="675">
        <v>0</v>
      </c>
      <c r="JJ114" s="675">
        <v>0</v>
      </c>
      <c r="JK114" s="675">
        <v>0</v>
      </c>
      <c r="JL114" s="675">
        <v>0</v>
      </c>
      <c r="JM114" s="675">
        <v>0</v>
      </c>
      <c r="JN114" s="675">
        <v>32469</v>
      </c>
      <c r="JO114" s="675">
        <v>0</v>
      </c>
      <c r="JP114" s="675">
        <v>0</v>
      </c>
      <c r="JQ114" s="675">
        <v>0</v>
      </c>
      <c r="JR114" s="675">
        <v>0</v>
      </c>
      <c r="JS114" s="675">
        <v>0</v>
      </c>
      <c r="JT114" s="675">
        <v>0</v>
      </c>
      <c r="JU114" s="675">
        <v>0</v>
      </c>
      <c r="JV114" s="675">
        <v>0</v>
      </c>
      <c r="JW114" s="675">
        <v>0</v>
      </c>
      <c r="JX114" s="675">
        <v>0</v>
      </c>
      <c r="JY114" s="675">
        <v>0</v>
      </c>
      <c r="JZ114" s="675">
        <v>0</v>
      </c>
      <c r="KA114" s="675">
        <v>0</v>
      </c>
      <c r="KB114" s="675">
        <v>0</v>
      </c>
      <c r="KC114" s="675">
        <v>0</v>
      </c>
      <c r="KD114" s="675">
        <v>0</v>
      </c>
      <c r="KE114" s="675">
        <v>0</v>
      </c>
      <c r="KF114" s="675">
        <v>0</v>
      </c>
    </row>
    <row r="115" spans="1:292" x14ac:dyDescent="0.25">
      <c r="A115" s="675">
        <v>101864</v>
      </c>
      <c r="B115" s="675">
        <v>32570</v>
      </c>
      <c r="C115" s="675">
        <v>35</v>
      </c>
      <c r="D115" s="675">
        <v>2022</v>
      </c>
      <c r="E115" s="675">
        <v>5392</v>
      </c>
      <c r="F115" s="675">
        <v>0</v>
      </c>
      <c r="G115" s="675">
        <v>178.495</v>
      </c>
      <c r="H115" s="675">
        <v>176.67400000000001</v>
      </c>
      <c r="I115" s="675">
        <v>176.67400000000001</v>
      </c>
      <c r="J115" s="675">
        <v>178.495</v>
      </c>
      <c r="K115" s="675">
        <v>0</v>
      </c>
      <c r="L115" s="675">
        <v>6554</v>
      </c>
      <c r="M115" s="675">
        <v>0</v>
      </c>
      <c r="N115" s="675">
        <v>0</v>
      </c>
      <c r="O115" s="675">
        <v>0</v>
      </c>
      <c r="P115" s="675">
        <v>215.83</v>
      </c>
      <c r="Q115" s="675">
        <v>0</v>
      </c>
      <c r="R115" s="675">
        <v>69004</v>
      </c>
      <c r="S115" s="675">
        <v>319.71300000000002</v>
      </c>
      <c r="T115" s="675">
        <v>0</v>
      </c>
      <c r="U115" s="675">
        <v>69004</v>
      </c>
      <c r="V115" s="675">
        <v>0</v>
      </c>
      <c r="W115" s="675">
        <v>0</v>
      </c>
      <c r="X115" s="675">
        <v>0</v>
      </c>
      <c r="Y115" s="675">
        <v>0</v>
      </c>
      <c r="Z115" s="675">
        <v>0</v>
      </c>
      <c r="AA115" s="675">
        <v>1</v>
      </c>
      <c r="AB115" s="675">
        <v>1</v>
      </c>
      <c r="AC115" s="675">
        <v>0</v>
      </c>
      <c r="AD115" s="675" t="s">
        <v>316</v>
      </c>
      <c r="AE115" s="675">
        <v>0</v>
      </c>
      <c r="AF115" s="675">
        <v>0</v>
      </c>
      <c r="AG115" s="675">
        <v>0</v>
      </c>
      <c r="AH115" s="675">
        <v>0</v>
      </c>
      <c r="AI115" s="675">
        <v>0</v>
      </c>
      <c r="AJ115" s="675">
        <v>5104</v>
      </c>
      <c r="AK115" s="675" t="s">
        <v>671</v>
      </c>
      <c r="AL115" s="675" t="s">
        <v>352</v>
      </c>
      <c r="AM115" s="675">
        <v>0</v>
      </c>
      <c r="AN115" s="675">
        <v>0</v>
      </c>
      <c r="AO115" s="675">
        <v>0</v>
      </c>
      <c r="AP115" s="675">
        <v>0</v>
      </c>
      <c r="AQ115" s="675">
        <v>0</v>
      </c>
      <c r="AR115" s="675">
        <v>0</v>
      </c>
      <c r="AS115" s="675">
        <v>0</v>
      </c>
      <c r="AT115" s="675">
        <v>0</v>
      </c>
      <c r="AU115" s="675">
        <v>0</v>
      </c>
      <c r="AV115" s="675">
        <v>99407</v>
      </c>
      <c r="AW115" s="675">
        <v>1831516</v>
      </c>
      <c r="AX115" s="675">
        <v>1796339</v>
      </c>
      <c r="AY115" s="675">
        <v>1887718</v>
      </c>
      <c r="AZ115" s="675">
        <v>69004</v>
      </c>
      <c r="BA115" s="675">
        <v>0</v>
      </c>
      <c r="BB115" s="675">
        <v>0</v>
      </c>
      <c r="BC115" s="675">
        <v>0</v>
      </c>
      <c r="BD115" s="675">
        <v>0</v>
      </c>
      <c r="BE115" s="675">
        <v>0</v>
      </c>
      <c r="BF115" s="675">
        <v>1521568</v>
      </c>
      <c r="BG115" s="675">
        <v>0</v>
      </c>
      <c r="BH115" s="675">
        <v>0</v>
      </c>
      <c r="BI115" s="675">
        <v>0</v>
      </c>
      <c r="BJ115" s="675">
        <v>12</v>
      </c>
      <c r="BK115" s="675">
        <v>0</v>
      </c>
      <c r="BL115" s="675">
        <v>0</v>
      </c>
      <c r="BM115" s="675">
        <v>0</v>
      </c>
      <c r="BN115" s="675">
        <v>0</v>
      </c>
      <c r="BO115" s="675">
        <v>0</v>
      </c>
      <c r="BP115" s="675">
        <v>0</v>
      </c>
      <c r="BQ115" s="675">
        <v>5392</v>
      </c>
      <c r="BR115" s="675">
        <v>1</v>
      </c>
      <c r="BS115" s="675">
        <v>0</v>
      </c>
      <c r="BT115" s="675">
        <v>0</v>
      </c>
      <c r="BU115" s="675">
        <v>0</v>
      </c>
      <c r="BV115" s="675">
        <v>0</v>
      </c>
      <c r="BW115" s="675">
        <v>0</v>
      </c>
      <c r="BX115" s="675">
        <v>0</v>
      </c>
      <c r="BY115" s="675">
        <v>0</v>
      </c>
      <c r="BZ115" s="675">
        <v>0</v>
      </c>
      <c r="CA115" s="675">
        <v>0</v>
      </c>
      <c r="CB115" s="675">
        <v>0</v>
      </c>
      <c r="CC115" s="675">
        <v>0</v>
      </c>
      <c r="CD115" s="675">
        <v>0</v>
      </c>
      <c r="CE115" s="675">
        <v>0</v>
      </c>
      <c r="CF115" s="675">
        <v>0</v>
      </c>
      <c r="CG115" s="675">
        <v>0</v>
      </c>
      <c r="CH115" s="675">
        <v>35177</v>
      </c>
      <c r="CI115" s="675">
        <v>0</v>
      </c>
      <c r="CJ115" s="675">
        <v>4</v>
      </c>
      <c r="CK115" s="675">
        <v>0</v>
      </c>
      <c r="CL115" s="675">
        <v>0</v>
      </c>
      <c r="CM115" s="675">
        <v>0</v>
      </c>
      <c r="CN115" s="675">
        <v>0</v>
      </c>
      <c r="CO115" s="675">
        <v>0</v>
      </c>
      <c r="CP115" s="675">
        <v>0</v>
      </c>
      <c r="CQ115" s="675">
        <v>0</v>
      </c>
      <c r="CR115" s="675">
        <v>215.83</v>
      </c>
      <c r="CS115" s="675">
        <v>0</v>
      </c>
      <c r="CT115" s="675">
        <v>0</v>
      </c>
      <c r="CU115" s="675">
        <v>0</v>
      </c>
      <c r="CV115" s="675">
        <v>0</v>
      </c>
      <c r="CW115" s="675">
        <v>0</v>
      </c>
      <c r="CX115" s="675">
        <v>0</v>
      </c>
      <c r="CY115" s="675">
        <v>0</v>
      </c>
      <c r="CZ115" s="675">
        <v>0</v>
      </c>
      <c r="DA115" s="675">
        <v>1</v>
      </c>
      <c r="DB115" s="675">
        <v>1157921</v>
      </c>
      <c r="DC115" s="675">
        <v>0</v>
      </c>
      <c r="DD115" s="675">
        <v>0</v>
      </c>
      <c r="DE115" s="675">
        <v>294707</v>
      </c>
      <c r="DF115" s="675">
        <v>294707</v>
      </c>
      <c r="DG115" s="675">
        <v>224.83</v>
      </c>
      <c r="DH115" s="675">
        <v>0</v>
      </c>
      <c r="DI115" s="675">
        <v>0</v>
      </c>
      <c r="DJ115" s="675">
        <v>0</v>
      </c>
      <c r="DK115" s="675">
        <v>5392</v>
      </c>
      <c r="DL115" s="675">
        <v>0</v>
      </c>
      <c r="DM115" s="675">
        <v>110716</v>
      </c>
      <c r="DN115" s="675">
        <v>0</v>
      </c>
      <c r="DO115" s="675">
        <v>0</v>
      </c>
      <c r="DP115" s="675">
        <v>0</v>
      </c>
      <c r="DQ115" s="675">
        <v>0</v>
      </c>
      <c r="DR115" s="675">
        <v>0</v>
      </c>
      <c r="DS115" s="675">
        <v>0</v>
      </c>
      <c r="DT115" s="675">
        <v>0</v>
      </c>
      <c r="DU115" s="675">
        <v>0</v>
      </c>
      <c r="DV115" s="675">
        <v>0</v>
      </c>
      <c r="DW115" s="675">
        <v>0</v>
      </c>
      <c r="DX115" s="675">
        <v>0</v>
      </c>
      <c r="DY115" s="675">
        <v>0</v>
      </c>
      <c r="DZ115" s="675">
        <v>0</v>
      </c>
      <c r="EA115" s="675">
        <v>0</v>
      </c>
      <c r="EB115" s="675">
        <v>0</v>
      </c>
      <c r="EC115" s="675">
        <v>10.349</v>
      </c>
      <c r="ED115" s="675">
        <v>74610</v>
      </c>
      <c r="EE115" s="675">
        <v>0</v>
      </c>
      <c r="EF115" s="675">
        <v>0</v>
      </c>
      <c r="EG115" s="675">
        <v>0</v>
      </c>
      <c r="EH115" s="675">
        <v>36106</v>
      </c>
      <c r="EI115" s="675">
        <v>0</v>
      </c>
      <c r="EJ115" s="675">
        <v>0</v>
      </c>
      <c r="EK115" s="675">
        <v>1.798</v>
      </c>
      <c r="EL115" s="675">
        <v>0</v>
      </c>
      <c r="EM115" s="675">
        <v>0</v>
      </c>
      <c r="EN115" s="675">
        <v>2.3E-2</v>
      </c>
      <c r="EO115" s="675">
        <v>0</v>
      </c>
      <c r="EP115" s="675">
        <v>0</v>
      </c>
      <c r="EQ115" s="675">
        <v>1.8210000000000002</v>
      </c>
      <c r="ER115" s="675">
        <v>0</v>
      </c>
      <c r="ES115" s="675">
        <v>5.5090000000000003</v>
      </c>
      <c r="ET115" s="675">
        <v>0</v>
      </c>
      <c r="EU115" s="675">
        <v>69004</v>
      </c>
      <c r="EV115" s="675">
        <v>0</v>
      </c>
      <c r="EW115" s="675">
        <v>0</v>
      </c>
      <c r="EX115" s="675">
        <v>0</v>
      </c>
      <c r="EY115" s="675">
        <v>0</v>
      </c>
      <c r="EZ115" s="675">
        <v>1512492</v>
      </c>
      <c r="FA115" s="675">
        <v>0</v>
      </c>
      <c r="FB115" s="675">
        <v>1581496</v>
      </c>
      <c r="FC115" s="675">
        <v>0.97327799999999998</v>
      </c>
      <c r="FD115" s="675">
        <v>0</v>
      </c>
      <c r="FE115" s="675">
        <v>231646</v>
      </c>
      <c r="FF115" s="675">
        <v>52201</v>
      </c>
      <c r="FG115" s="675">
        <v>6.1239999999999996E-2</v>
      </c>
      <c r="FH115" s="675">
        <v>5.4803999999999999E-2</v>
      </c>
      <c r="FI115" s="675">
        <v>0</v>
      </c>
      <c r="FJ115" s="675">
        <v>0</v>
      </c>
      <c r="FK115" s="675">
        <v>298.12299999999999</v>
      </c>
      <c r="FL115" s="675">
        <v>1900520</v>
      </c>
      <c r="FM115" s="675">
        <v>0</v>
      </c>
      <c r="FN115" s="675">
        <v>0</v>
      </c>
      <c r="FO115" s="675">
        <v>14447</v>
      </c>
      <c r="FP115" s="675">
        <v>3705</v>
      </c>
      <c r="FQ115" s="675">
        <v>18152</v>
      </c>
      <c r="FR115" s="675">
        <v>14447</v>
      </c>
      <c r="FS115" s="675">
        <v>0</v>
      </c>
      <c r="FT115" s="675">
        <v>0</v>
      </c>
      <c r="FU115" s="675">
        <v>0</v>
      </c>
      <c r="FV115" s="675">
        <v>0</v>
      </c>
      <c r="FW115" s="675">
        <v>0</v>
      </c>
      <c r="FX115" s="675">
        <v>0</v>
      </c>
      <c r="FY115" s="675">
        <v>0</v>
      </c>
      <c r="FZ115" s="675">
        <v>0</v>
      </c>
      <c r="GA115" s="675">
        <v>0</v>
      </c>
      <c r="GB115" s="675">
        <v>0</v>
      </c>
      <c r="GC115" s="675">
        <v>0</v>
      </c>
      <c r="GD115" s="675">
        <v>0</v>
      </c>
      <c r="GE115" s="675">
        <v>0</v>
      </c>
      <c r="GF115" s="675">
        <v>0</v>
      </c>
      <c r="GG115" s="675">
        <v>0</v>
      </c>
      <c r="GH115" s="675">
        <v>0</v>
      </c>
      <c r="GI115" s="675">
        <v>0</v>
      </c>
      <c r="GJ115" s="675">
        <v>0</v>
      </c>
      <c r="GK115" s="675">
        <v>4971</v>
      </c>
      <c r="GL115" s="675">
        <v>0</v>
      </c>
      <c r="GM115" s="675">
        <v>0</v>
      </c>
      <c r="GN115" s="675">
        <v>0</v>
      </c>
      <c r="GO115" s="675">
        <v>0</v>
      </c>
      <c r="GP115" s="675">
        <v>1865343</v>
      </c>
      <c r="GQ115" s="675">
        <v>1865343</v>
      </c>
      <c r="GR115" s="675">
        <v>0</v>
      </c>
      <c r="GS115" s="675">
        <v>0</v>
      </c>
      <c r="GT115" s="675">
        <v>0</v>
      </c>
      <c r="GU115" s="675">
        <v>0</v>
      </c>
      <c r="GV115" s="675">
        <v>0</v>
      </c>
      <c r="GW115" s="675">
        <v>0</v>
      </c>
      <c r="GX115" s="675">
        <v>0</v>
      </c>
      <c r="GY115" s="675">
        <v>0</v>
      </c>
      <c r="GZ115" s="675">
        <v>0</v>
      </c>
      <c r="HA115" s="675">
        <v>0</v>
      </c>
      <c r="HB115" s="675">
        <v>260786259</v>
      </c>
      <c r="HC115" s="675">
        <v>5.0923999999999997E-2</v>
      </c>
      <c r="HD115" s="675">
        <v>35177</v>
      </c>
      <c r="HE115" s="675">
        <v>0</v>
      </c>
      <c r="HF115" s="675">
        <v>0</v>
      </c>
      <c r="HG115" s="675">
        <v>0</v>
      </c>
      <c r="HH115" s="675">
        <v>0</v>
      </c>
      <c r="HI115" s="675">
        <v>0</v>
      </c>
      <c r="HJ115" s="675">
        <v>0</v>
      </c>
      <c r="HK115" s="675">
        <v>0</v>
      </c>
      <c r="HL115" s="675">
        <v>0</v>
      </c>
      <c r="HM115" s="675">
        <v>0</v>
      </c>
      <c r="HN115" s="675">
        <v>0</v>
      </c>
      <c r="HO115" s="675">
        <v>0</v>
      </c>
      <c r="HP115" s="675">
        <v>0</v>
      </c>
      <c r="HQ115" s="675">
        <v>0</v>
      </c>
      <c r="HR115" s="675">
        <v>0</v>
      </c>
      <c r="HS115" s="675">
        <v>0</v>
      </c>
      <c r="HT115" s="675">
        <v>0</v>
      </c>
      <c r="HU115" s="675">
        <v>0</v>
      </c>
      <c r="HV115" s="675">
        <v>0</v>
      </c>
      <c r="HW115" s="675">
        <v>0</v>
      </c>
      <c r="HX115" s="675">
        <v>0</v>
      </c>
      <c r="HY115" s="675">
        <v>0</v>
      </c>
      <c r="HZ115" s="675">
        <v>0</v>
      </c>
      <c r="IA115" s="675">
        <v>0</v>
      </c>
      <c r="IB115" s="675">
        <v>0</v>
      </c>
      <c r="IC115" s="675">
        <v>0</v>
      </c>
      <c r="ID115" s="675">
        <v>0</v>
      </c>
      <c r="IE115" s="675">
        <v>0</v>
      </c>
      <c r="IF115" s="675">
        <v>0</v>
      </c>
      <c r="IG115" s="675">
        <v>0</v>
      </c>
      <c r="IH115" s="675">
        <v>0</v>
      </c>
      <c r="II115" s="675">
        <v>0</v>
      </c>
      <c r="IJ115" s="675">
        <v>0</v>
      </c>
      <c r="IK115" s="675">
        <v>0</v>
      </c>
      <c r="IL115" s="675">
        <v>0</v>
      </c>
      <c r="IM115" s="675">
        <v>0</v>
      </c>
      <c r="IN115" s="675">
        <v>0</v>
      </c>
      <c r="IO115" s="675">
        <v>0</v>
      </c>
      <c r="IP115" s="675">
        <v>0</v>
      </c>
      <c r="IQ115" s="675">
        <v>0</v>
      </c>
      <c r="IR115" s="675">
        <v>0</v>
      </c>
      <c r="IS115" s="675">
        <v>0</v>
      </c>
      <c r="IT115" s="675">
        <v>0</v>
      </c>
      <c r="IU115" s="675">
        <v>0</v>
      </c>
      <c r="IV115" s="675">
        <v>0</v>
      </c>
      <c r="IW115" s="675">
        <v>0</v>
      </c>
      <c r="IX115" s="675">
        <v>0</v>
      </c>
      <c r="IY115" s="675">
        <v>0</v>
      </c>
      <c r="IZ115" s="675">
        <v>0</v>
      </c>
      <c r="JA115" s="675">
        <v>0</v>
      </c>
      <c r="JB115" s="675">
        <v>0</v>
      </c>
      <c r="JC115" s="675">
        <v>0</v>
      </c>
      <c r="JD115" s="675">
        <v>0</v>
      </c>
      <c r="JE115" s="675">
        <v>0</v>
      </c>
      <c r="JF115" s="675">
        <v>0</v>
      </c>
      <c r="JG115" s="675">
        <v>0</v>
      </c>
      <c r="JH115" s="675">
        <v>0</v>
      </c>
      <c r="JI115" s="675">
        <v>0</v>
      </c>
      <c r="JJ115" s="675">
        <v>0</v>
      </c>
      <c r="JK115" s="675">
        <v>0</v>
      </c>
      <c r="JL115" s="675">
        <v>0</v>
      </c>
      <c r="JM115" s="675">
        <v>0</v>
      </c>
      <c r="JN115" s="675">
        <v>32469</v>
      </c>
      <c r="JO115" s="675">
        <v>0</v>
      </c>
      <c r="JP115" s="675">
        <v>0</v>
      </c>
      <c r="JQ115" s="675">
        <v>0</v>
      </c>
      <c r="JR115" s="675">
        <v>0</v>
      </c>
      <c r="JS115" s="675">
        <v>0</v>
      </c>
      <c r="JT115" s="675">
        <v>0</v>
      </c>
      <c r="JU115" s="675">
        <v>0</v>
      </c>
      <c r="JV115" s="675">
        <v>0</v>
      </c>
      <c r="JW115" s="675">
        <v>0</v>
      </c>
      <c r="JX115" s="675">
        <v>0</v>
      </c>
      <c r="JY115" s="675">
        <v>0</v>
      </c>
      <c r="JZ115" s="675">
        <v>0</v>
      </c>
      <c r="KA115" s="675">
        <v>0</v>
      </c>
      <c r="KB115" s="675">
        <v>0</v>
      </c>
      <c r="KC115" s="675">
        <v>0</v>
      </c>
      <c r="KD115" s="675">
        <v>0</v>
      </c>
      <c r="KE115" s="675">
        <v>0</v>
      </c>
      <c r="KF115" s="675">
        <v>0</v>
      </c>
    </row>
    <row r="116" spans="1:292" x14ac:dyDescent="0.25">
      <c r="A116" s="675">
        <v>101868</v>
      </c>
      <c r="B116" s="675">
        <v>32570</v>
      </c>
      <c r="C116" s="675">
        <v>35</v>
      </c>
      <c r="D116" s="675">
        <v>2022</v>
      </c>
      <c r="E116" s="675">
        <v>5392</v>
      </c>
      <c r="F116" s="675">
        <v>0</v>
      </c>
      <c r="G116" s="675">
        <v>446.99100000000004</v>
      </c>
      <c r="H116" s="675">
        <v>397.33600000000001</v>
      </c>
      <c r="I116" s="675">
        <v>397.33600000000001</v>
      </c>
      <c r="J116" s="675">
        <v>446.99100000000004</v>
      </c>
      <c r="K116" s="675">
        <v>0</v>
      </c>
      <c r="L116" s="675">
        <v>6554</v>
      </c>
      <c r="M116" s="675">
        <v>0</v>
      </c>
      <c r="N116" s="675">
        <v>0</v>
      </c>
      <c r="O116" s="675">
        <v>0</v>
      </c>
      <c r="P116" s="675">
        <v>449.50600000000003</v>
      </c>
      <c r="Q116" s="675">
        <v>0</v>
      </c>
      <c r="R116" s="675">
        <v>143713</v>
      </c>
      <c r="S116" s="675">
        <v>319.71300000000002</v>
      </c>
      <c r="T116" s="675">
        <v>0</v>
      </c>
      <c r="U116" s="675">
        <v>143713</v>
      </c>
      <c r="V116" s="675">
        <v>0</v>
      </c>
      <c r="W116" s="675">
        <v>0</v>
      </c>
      <c r="X116" s="675">
        <v>0</v>
      </c>
      <c r="Y116" s="675">
        <v>0</v>
      </c>
      <c r="Z116" s="675">
        <v>0</v>
      </c>
      <c r="AA116" s="675">
        <v>1</v>
      </c>
      <c r="AB116" s="675">
        <v>1</v>
      </c>
      <c r="AC116" s="675">
        <v>0</v>
      </c>
      <c r="AD116" s="675" t="s">
        <v>316</v>
      </c>
      <c r="AE116" s="675">
        <v>0</v>
      </c>
      <c r="AF116" s="675">
        <v>0</v>
      </c>
      <c r="AG116" s="675">
        <v>0</v>
      </c>
      <c r="AH116" s="675">
        <v>0</v>
      </c>
      <c r="AI116" s="675">
        <v>0</v>
      </c>
      <c r="AJ116" s="675">
        <v>5104</v>
      </c>
      <c r="AK116" s="675" t="s">
        <v>671</v>
      </c>
      <c r="AL116" s="675" t="s">
        <v>353</v>
      </c>
      <c r="AM116" s="675">
        <v>0</v>
      </c>
      <c r="AN116" s="675">
        <v>0</v>
      </c>
      <c r="AO116" s="675">
        <v>0</v>
      </c>
      <c r="AP116" s="675">
        <v>0</v>
      </c>
      <c r="AQ116" s="675">
        <v>0</v>
      </c>
      <c r="AR116" s="675">
        <v>0</v>
      </c>
      <c r="AS116" s="675">
        <v>0</v>
      </c>
      <c r="AT116" s="675">
        <v>0</v>
      </c>
      <c r="AU116" s="675">
        <v>0</v>
      </c>
      <c r="AV116" s="675">
        <v>129998</v>
      </c>
      <c r="AW116" s="675">
        <v>4842643</v>
      </c>
      <c r="AX116" s="675">
        <v>4696884</v>
      </c>
      <c r="AY116" s="675">
        <v>4939064</v>
      </c>
      <c r="AZ116" s="675">
        <v>201380</v>
      </c>
      <c r="BA116" s="675">
        <v>0</v>
      </c>
      <c r="BB116" s="675">
        <v>0</v>
      </c>
      <c r="BC116" s="675">
        <v>0</v>
      </c>
      <c r="BD116" s="675">
        <v>0</v>
      </c>
      <c r="BE116" s="675">
        <v>0</v>
      </c>
      <c r="BF116" s="675">
        <v>3953894</v>
      </c>
      <c r="BG116" s="675">
        <v>0</v>
      </c>
      <c r="BH116" s="675">
        <v>209.69800000000001</v>
      </c>
      <c r="BI116" s="675">
        <v>57667</v>
      </c>
      <c r="BJ116" s="675">
        <v>12</v>
      </c>
      <c r="BK116" s="675">
        <v>0</v>
      </c>
      <c r="BL116" s="675">
        <v>0</v>
      </c>
      <c r="BM116" s="675">
        <v>0</v>
      </c>
      <c r="BN116" s="675">
        <v>0</v>
      </c>
      <c r="BO116" s="675">
        <v>0</v>
      </c>
      <c r="BP116" s="675">
        <v>0</v>
      </c>
      <c r="BQ116" s="675">
        <v>5392</v>
      </c>
      <c r="BR116" s="675">
        <v>1</v>
      </c>
      <c r="BS116" s="675">
        <v>0</v>
      </c>
      <c r="BT116" s="675">
        <v>0</v>
      </c>
      <c r="BU116" s="675">
        <v>0</v>
      </c>
      <c r="BV116" s="675">
        <v>0</v>
      </c>
      <c r="BW116" s="675">
        <v>0</v>
      </c>
      <c r="BX116" s="675">
        <v>0</v>
      </c>
      <c r="BY116" s="675">
        <v>0</v>
      </c>
      <c r="BZ116" s="675">
        <v>0</v>
      </c>
      <c r="CA116" s="675">
        <v>0</v>
      </c>
      <c r="CB116" s="675">
        <v>0</v>
      </c>
      <c r="CC116" s="675">
        <v>0</v>
      </c>
      <c r="CD116" s="675">
        <v>0</v>
      </c>
      <c r="CE116" s="675">
        <v>0</v>
      </c>
      <c r="CF116" s="675">
        <v>0</v>
      </c>
      <c r="CG116" s="675">
        <v>0</v>
      </c>
      <c r="CH116" s="675">
        <v>88092</v>
      </c>
      <c r="CI116" s="675">
        <v>0</v>
      </c>
      <c r="CJ116" s="675">
        <v>5</v>
      </c>
      <c r="CK116" s="675">
        <v>0</v>
      </c>
      <c r="CL116" s="675">
        <v>0</v>
      </c>
      <c r="CM116" s="675">
        <v>0</v>
      </c>
      <c r="CN116" s="675">
        <v>0</v>
      </c>
      <c r="CO116" s="675">
        <v>0</v>
      </c>
      <c r="CP116" s="675">
        <v>9.5000000000000001E-2</v>
      </c>
      <c r="CQ116" s="675">
        <v>0</v>
      </c>
      <c r="CR116" s="675">
        <v>449.50600000000003</v>
      </c>
      <c r="CS116" s="675">
        <v>0</v>
      </c>
      <c r="CT116" s="675">
        <v>0</v>
      </c>
      <c r="CU116" s="675">
        <v>0</v>
      </c>
      <c r="CV116" s="675">
        <v>0</v>
      </c>
      <c r="CW116" s="675">
        <v>0</v>
      </c>
      <c r="CX116" s="675">
        <v>0</v>
      </c>
      <c r="CY116" s="675">
        <v>0</v>
      </c>
      <c r="CZ116" s="675">
        <v>0</v>
      </c>
      <c r="DA116" s="675">
        <v>1</v>
      </c>
      <c r="DB116" s="675">
        <v>2604140</v>
      </c>
      <c r="DC116" s="675">
        <v>0</v>
      </c>
      <c r="DD116" s="675">
        <v>0</v>
      </c>
      <c r="DE116" s="675">
        <v>580462</v>
      </c>
      <c r="DF116" s="675">
        <v>581963</v>
      </c>
      <c r="DG116" s="675">
        <v>442.83</v>
      </c>
      <c r="DH116" s="675">
        <v>0</v>
      </c>
      <c r="DI116" s="675">
        <v>1501</v>
      </c>
      <c r="DJ116" s="675">
        <v>0</v>
      </c>
      <c r="DK116" s="675">
        <v>5392</v>
      </c>
      <c r="DL116" s="675">
        <v>0</v>
      </c>
      <c r="DM116" s="675">
        <v>512482</v>
      </c>
      <c r="DN116" s="675">
        <v>0</v>
      </c>
      <c r="DO116" s="675">
        <v>0</v>
      </c>
      <c r="DP116" s="675">
        <v>0</v>
      </c>
      <c r="DQ116" s="675">
        <v>0</v>
      </c>
      <c r="DR116" s="675">
        <v>0</v>
      </c>
      <c r="DS116" s="675">
        <v>0</v>
      </c>
      <c r="DT116" s="675">
        <v>0</v>
      </c>
      <c r="DU116" s="675">
        <v>0</v>
      </c>
      <c r="DV116" s="675">
        <v>0</v>
      </c>
      <c r="DW116" s="675">
        <v>0</v>
      </c>
      <c r="DX116" s="675">
        <v>0</v>
      </c>
      <c r="DY116" s="675">
        <v>0</v>
      </c>
      <c r="DZ116" s="675">
        <v>0</v>
      </c>
      <c r="EA116" s="675">
        <v>0</v>
      </c>
      <c r="EB116" s="675">
        <v>0</v>
      </c>
      <c r="EC116" s="675">
        <v>47.696000000000005</v>
      </c>
      <c r="ED116" s="675">
        <v>343860</v>
      </c>
      <c r="EE116" s="675">
        <v>0</v>
      </c>
      <c r="EF116" s="675">
        <v>0</v>
      </c>
      <c r="EG116" s="675">
        <v>0</v>
      </c>
      <c r="EH116" s="675">
        <v>165633</v>
      </c>
      <c r="EI116" s="675">
        <v>2989</v>
      </c>
      <c r="EJ116" s="675">
        <v>0.114</v>
      </c>
      <c r="EK116" s="675">
        <v>7.5470000000000006</v>
      </c>
      <c r="EL116" s="675">
        <v>0</v>
      </c>
      <c r="EM116" s="675">
        <v>0.877</v>
      </c>
      <c r="EN116" s="675">
        <v>0</v>
      </c>
      <c r="EO116" s="675">
        <v>0</v>
      </c>
      <c r="EP116" s="675">
        <v>0</v>
      </c>
      <c r="EQ116" s="675">
        <v>8.5380000000000003</v>
      </c>
      <c r="ER116" s="675">
        <v>0</v>
      </c>
      <c r="ES116" s="675">
        <v>25.272000000000002</v>
      </c>
      <c r="ET116" s="675">
        <v>0</v>
      </c>
      <c r="EU116" s="675">
        <v>201380</v>
      </c>
      <c r="EV116" s="675">
        <v>0</v>
      </c>
      <c r="EW116" s="675">
        <v>0</v>
      </c>
      <c r="EX116" s="675">
        <v>0</v>
      </c>
      <c r="EY116" s="675">
        <v>0</v>
      </c>
      <c r="EZ116" s="675">
        <v>3959288</v>
      </c>
      <c r="FA116" s="675">
        <v>0</v>
      </c>
      <c r="FB116" s="675">
        <v>4160668</v>
      </c>
      <c r="FC116" s="675">
        <v>0.97327799999999998</v>
      </c>
      <c r="FD116" s="675">
        <v>0</v>
      </c>
      <c r="FE116" s="675">
        <v>601948</v>
      </c>
      <c r="FF116" s="675">
        <v>135648</v>
      </c>
      <c r="FG116" s="675">
        <v>6.1239999999999996E-2</v>
      </c>
      <c r="FH116" s="675">
        <v>5.4803999999999999E-2</v>
      </c>
      <c r="FI116" s="675">
        <v>0</v>
      </c>
      <c r="FJ116" s="675">
        <v>0</v>
      </c>
      <c r="FK116" s="675">
        <v>774.69200000000001</v>
      </c>
      <c r="FL116" s="675">
        <v>4986356</v>
      </c>
      <c r="FM116" s="675">
        <v>0</v>
      </c>
      <c r="FN116" s="675">
        <v>0</v>
      </c>
      <c r="FO116" s="675">
        <v>40548</v>
      </c>
      <c r="FP116" s="675">
        <v>0</v>
      </c>
      <c r="FQ116" s="675">
        <v>40548</v>
      </c>
      <c r="FR116" s="675">
        <v>40548</v>
      </c>
      <c r="FS116" s="675">
        <v>0</v>
      </c>
      <c r="FT116" s="675">
        <v>0</v>
      </c>
      <c r="FU116" s="675">
        <v>0</v>
      </c>
      <c r="FV116" s="675">
        <v>0</v>
      </c>
      <c r="FW116" s="675">
        <v>0</v>
      </c>
      <c r="FX116" s="675">
        <v>0</v>
      </c>
      <c r="FY116" s="675">
        <v>0</v>
      </c>
      <c r="FZ116" s="675">
        <v>68</v>
      </c>
      <c r="GA116" s="675">
        <v>1.3680000000000001</v>
      </c>
      <c r="GB116" s="675">
        <v>363868</v>
      </c>
      <c r="GC116" s="675">
        <v>363868</v>
      </c>
      <c r="GD116" s="675">
        <v>41.117000000000004</v>
      </c>
      <c r="GE116" s="675">
        <v>0</v>
      </c>
      <c r="GF116" s="675">
        <v>0</v>
      </c>
      <c r="GG116" s="675">
        <v>0</v>
      </c>
      <c r="GH116" s="675">
        <v>0</v>
      </c>
      <c r="GI116" s="675">
        <v>0</v>
      </c>
      <c r="GJ116" s="675">
        <v>0</v>
      </c>
      <c r="GK116" s="675">
        <v>4971</v>
      </c>
      <c r="GL116" s="675">
        <v>0</v>
      </c>
      <c r="GM116" s="675">
        <v>0</v>
      </c>
      <c r="GN116" s="675">
        <v>0</v>
      </c>
      <c r="GO116" s="675">
        <v>0</v>
      </c>
      <c r="GP116" s="675">
        <v>4898264</v>
      </c>
      <c r="GQ116" s="675">
        <v>4898264</v>
      </c>
      <c r="GR116" s="675">
        <v>0</v>
      </c>
      <c r="GS116" s="675">
        <v>0</v>
      </c>
      <c r="GT116" s="675">
        <v>0</v>
      </c>
      <c r="GU116" s="675">
        <v>0</v>
      </c>
      <c r="GV116" s="675">
        <v>0</v>
      </c>
      <c r="GW116" s="675">
        <v>0</v>
      </c>
      <c r="GX116" s="675">
        <v>0</v>
      </c>
      <c r="GY116" s="675">
        <v>0</v>
      </c>
      <c r="GZ116" s="675">
        <v>0</v>
      </c>
      <c r="HA116" s="675">
        <v>0</v>
      </c>
      <c r="HB116" s="675">
        <v>260786259</v>
      </c>
      <c r="HC116" s="675">
        <v>5.0923999999999997E-2</v>
      </c>
      <c r="HD116" s="675">
        <v>88092</v>
      </c>
      <c r="HE116" s="675">
        <v>0</v>
      </c>
      <c r="HF116" s="675">
        <v>0</v>
      </c>
      <c r="HG116" s="675">
        <v>0</v>
      </c>
      <c r="HH116" s="675">
        <v>0</v>
      </c>
      <c r="HI116" s="675">
        <v>0</v>
      </c>
      <c r="HJ116" s="675">
        <v>0</v>
      </c>
      <c r="HK116" s="675">
        <v>0</v>
      </c>
      <c r="HL116" s="675">
        <v>0</v>
      </c>
      <c r="HM116" s="675">
        <v>0</v>
      </c>
      <c r="HN116" s="675">
        <v>0</v>
      </c>
      <c r="HO116" s="675">
        <v>0</v>
      </c>
      <c r="HP116" s="675">
        <v>0</v>
      </c>
      <c r="HQ116" s="675">
        <v>0</v>
      </c>
      <c r="HR116" s="675">
        <v>0</v>
      </c>
      <c r="HS116" s="675">
        <v>0</v>
      </c>
      <c r="HT116" s="675">
        <v>0</v>
      </c>
      <c r="HU116" s="675">
        <v>0</v>
      </c>
      <c r="HV116" s="675">
        <v>0</v>
      </c>
      <c r="HW116" s="675">
        <v>0</v>
      </c>
      <c r="HX116" s="675">
        <v>0</v>
      </c>
      <c r="HY116" s="675">
        <v>0</v>
      </c>
      <c r="HZ116" s="675">
        <v>0</v>
      </c>
      <c r="IA116" s="675">
        <v>0</v>
      </c>
      <c r="IB116" s="675">
        <v>0</v>
      </c>
      <c r="IC116" s="675">
        <v>0</v>
      </c>
      <c r="ID116" s="675">
        <v>0</v>
      </c>
      <c r="IE116" s="675">
        <v>0</v>
      </c>
      <c r="IF116" s="675">
        <v>0</v>
      </c>
      <c r="IG116" s="675">
        <v>0</v>
      </c>
      <c r="IH116" s="675">
        <v>0</v>
      </c>
      <c r="II116" s="675">
        <v>0</v>
      </c>
      <c r="IJ116" s="675">
        <v>0</v>
      </c>
      <c r="IK116" s="675">
        <v>0</v>
      </c>
      <c r="IL116" s="675">
        <v>0</v>
      </c>
      <c r="IM116" s="675">
        <v>0</v>
      </c>
      <c r="IN116" s="675">
        <v>0</v>
      </c>
      <c r="IO116" s="675">
        <v>0</v>
      </c>
      <c r="IP116" s="675">
        <v>0</v>
      </c>
      <c r="IQ116" s="675">
        <v>0</v>
      </c>
      <c r="IR116" s="675">
        <v>0</v>
      </c>
      <c r="IS116" s="675">
        <v>0</v>
      </c>
      <c r="IT116" s="675">
        <v>0</v>
      </c>
      <c r="IU116" s="675">
        <v>0</v>
      </c>
      <c r="IV116" s="675">
        <v>0</v>
      </c>
      <c r="IW116" s="675">
        <v>0</v>
      </c>
      <c r="IX116" s="675">
        <v>0</v>
      </c>
      <c r="IY116" s="675">
        <v>0</v>
      </c>
      <c r="IZ116" s="675">
        <v>0</v>
      </c>
      <c r="JA116" s="675">
        <v>0</v>
      </c>
      <c r="JB116" s="675">
        <v>0</v>
      </c>
      <c r="JC116" s="675">
        <v>0</v>
      </c>
      <c r="JD116" s="675">
        <v>0</v>
      </c>
      <c r="JE116" s="675">
        <v>0</v>
      </c>
      <c r="JF116" s="675">
        <v>0</v>
      </c>
      <c r="JG116" s="675">
        <v>0</v>
      </c>
      <c r="JH116" s="675">
        <v>0</v>
      </c>
      <c r="JI116" s="675">
        <v>0</v>
      </c>
      <c r="JJ116" s="675">
        <v>0</v>
      </c>
      <c r="JK116" s="675">
        <v>0</v>
      </c>
      <c r="JL116" s="675">
        <v>0</v>
      </c>
      <c r="JM116" s="675">
        <v>0</v>
      </c>
      <c r="JN116" s="675">
        <v>32469</v>
      </c>
      <c r="JO116" s="675">
        <v>0</v>
      </c>
      <c r="JP116" s="675">
        <v>0</v>
      </c>
      <c r="JQ116" s="675">
        <v>0</v>
      </c>
      <c r="JR116" s="675">
        <v>0</v>
      </c>
      <c r="JS116" s="675">
        <v>0</v>
      </c>
      <c r="JT116" s="675">
        <v>0</v>
      </c>
      <c r="JU116" s="675">
        <v>0</v>
      </c>
      <c r="JV116" s="675">
        <v>0</v>
      </c>
      <c r="JW116" s="675">
        <v>0</v>
      </c>
      <c r="JX116" s="675">
        <v>0</v>
      </c>
      <c r="JY116" s="675">
        <v>0</v>
      </c>
      <c r="JZ116" s="675">
        <v>0</v>
      </c>
      <c r="KA116" s="675">
        <v>0</v>
      </c>
      <c r="KB116" s="675">
        <v>0</v>
      </c>
      <c r="KC116" s="675">
        <v>0</v>
      </c>
      <c r="KD116" s="675">
        <v>0</v>
      </c>
      <c r="KE116" s="675">
        <v>0</v>
      </c>
      <c r="KF116" s="675">
        <v>0</v>
      </c>
    </row>
    <row r="117" spans="1:292" x14ac:dyDescent="0.25">
      <c r="A117" s="675">
        <v>101870</v>
      </c>
      <c r="B117" s="675">
        <v>32570</v>
      </c>
      <c r="C117" s="675">
        <v>35</v>
      </c>
      <c r="D117" s="675">
        <v>2022</v>
      </c>
      <c r="E117" s="675">
        <v>5392</v>
      </c>
      <c r="F117" s="675">
        <v>0</v>
      </c>
      <c r="G117" s="675">
        <v>801.69100000000003</v>
      </c>
      <c r="H117" s="675">
        <v>787.16600000000005</v>
      </c>
      <c r="I117" s="675">
        <v>787.16600000000005</v>
      </c>
      <c r="J117" s="675">
        <v>801.69100000000003</v>
      </c>
      <c r="K117" s="675">
        <v>0</v>
      </c>
      <c r="L117" s="675">
        <v>6554</v>
      </c>
      <c r="M117" s="675">
        <v>0</v>
      </c>
      <c r="N117" s="675">
        <v>0</v>
      </c>
      <c r="O117" s="675">
        <v>0</v>
      </c>
      <c r="P117" s="675">
        <v>631.98099999999999</v>
      </c>
      <c r="Q117" s="675">
        <v>0</v>
      </c>
      <c r="R117" s="675">
        <v>202053</v>
      </c>
      <c r="S117" s="675">
        <v>319.71300000000002</v>
      </c>
      <c r="T117" s="675">
        <v>0</v>
      </c>
      <c r="U117" s="675">
        <v>202053</v>
      </c>
      <c r="V117" s="675">
        <v>156.298</v>
      </c>
      <c r="W117" s="675">
        <v>102438</v>
      </c>
      <c r="X117" s="675">
        <v>102438</v>
      </c>
      <c r="Y117" s="675">
        <v>0</v>
      </c>
      <c r="Z117" s="675">
        <v>0</v>
      </c>
      <c r="AA117" s="675">
        <v>1</v>
      </c>
      <c r="AB117" s="675">
        <v>1</v>
      </c>
      <c r="AC117" s="675">
        <v>0</v>
      </c>
      <c r="AD117" s="675" t="s">
        <v>316</v>
      </c>
      <c r="AE117" s="675">
        <v>0</v>
      </c>
      <c r="AF117" s="675">
        <v>0</v>
      </c>
      <c r="AG117" s="675">
        <v>0</v>
      </c>
      <c r="AH117" s="675">
        <v>0</v>
      </c>
      <c r="AI117" s="675">
        <v>0</v>
      </c>
      <c r="AJ117" s="675">
        <v>5104</v>
      </c>
      <c r="AK117" s="675" t="s">
        <v>671</v>
      </c>
      <c r="AL117" s="675" t="s">
        <v>371</v>
      </c>
      <c r="AM117" s="675">
        <v>0</v>
      </c>
      <c r="AN117" s="675">
        <v>0</v>
      </c>
      <c r="AO117" s="675">
        <v>0</v>
      </c>
      <c r="AP117" s="675">
        <v>0</v>
      </c>
      <c r="AQ117" s="675">
        <v>0</v>
      </c>
      <c r="AR117" s="675">
        <v>0</v>
      </c>
      <c r="AS117" s="675">
        <v>0</v>
      </c>
      <c r="AT117" s="675">
        <v>0</v>
      </c>
      <c r="AU117" s="675">
        <v>0</v>
      </c>
      <c r="AV117" s="675">
        <v>7615</v>
      </c>
      <c r="AW117" s="675">
        <v>7527290</v>
      </c>
      <c r="AX117" s="675">
        <v>7357624</v>
      </c>
      <c r="AY117" s="675">
        <v>8109202</v>
      </c>
      <c r="AZ117" s="675">
        <v>213724</v>
      </c>
      <c r="BA117" s="675">
        <v>0</v>
      </c>
      <c r="BB117" s="675">
        <v>0</v>
      </c>
      <c r="BC117" s="675">
        <v>0</v>
      </c>
      <c r="BD117" s="675">
        <v>0</v>
      </c>
      <c r="BE117" s="675">
        <v>0</v>
      </c>
      <c r="BF117" s="675">
        <v>6227052</v>
      </c>
      <c r="BG117" s="675">
        <v>0</v>
      </c>
      <c r="BH117" s="675">
        <v>42.44</v>
      </c>
      <c r="BI117" s="675">
        <v>11671</v>
      </c>
      <c r="BJ117" s="675">
        <v>12</v>
      </c>
      <c r="BK117" s="675">
        <v>0</v>
      </c>
      <c r="BL117" s="675">
        <v>0</v>
      </c>
      <c r="BM117" s="675">
        <v>0</v>
      </c>
      <c r="BN117" s="675">
        <v>0</v>
      </c>
      <c r="BO117" s="675">
        <v>0</v>
      </c>
      <c r="BP117" s="675">
        <v>0</v>
      </c>
      <c r="BQ117" s="675">
        <v>5392</v>
      </c>
      <c r="BR117" s="675">
        <v>1</v>
      </c>
      <c r="BS117" s="675">
        <v>0</v>
      </c>
      <c r="BT117" s="675">
        <v>0</v>
      </c>
      <c r="BU117" s="675">
        <v>0</v>
      </c>
      <c r="BV117" s="675">
        <v>0</v>
      </c>
      <c r="BW117" s="675">
        <v>0</v>
      </c>
      <c r="BX117" s="675">
        <v>0</v>
      </c>
      <c r="BY117" s="675">
        <v>0</v>
      </c>
      <c r="BZ117" s="675">
        <v>0</v>
      </c>
      <c r="CA117" s="675">
        <v>0</v>
      </c>
      <c r="CB117" s="675">
        <v>0</v>
      </c>
      <c r="CC117" s="675">
        <v>0</v>
      </c>
      <c r="CD117" s="675">
        <v>0</v>
      </c>
      <c r="CE117" s="675">
        <v>0</v>
      </c>
      <c r="CF117" s="675">
        <v>0</v>
      </c>
      <c r="CG117" s="675">
        <v>0</v>
      </c>
      <c r="CH117" s="675">
        <v>157995</v>
      </c>
      <c r="CI117" s="675">
        <v>0</v>
      </c>
      <c r="CJ117" s="675">
        <v>4</v>
      </c>
      <c r="CK117" s="675">
        <v>0</v>
      </c>
      <c r="CL117" s="675">
        <v>0</v>
      </c>
      <c r="CM117" s="675">
        <v>0</v>
      </c>
      <c r="CN117" s="675">
        <v>0</v>
      </c>
      <c r="CO117" s="675">
        <v>0</v>
      </c>
      <c r="CP117" s="675">
        <v>0</v>
      </c>
      <c r="CQ117" s="675">
        <v>0</v>
      </c>
      <c r="CR117" s="675">
        <v>631.98099999999999</v>
      </c>
      <c r="CS117" s="675">
        <v>0</v>
      </c>
      <c r="CT117" s="675">
        <v>0</v>
      </c>
      <c r="CU117" s="675">
        <v>0</v>
      </c>
      <c r="CV117" s="675">
        <v>0</v>
      </c>
      <c r="CW117" s="675">
        <v>0</v>
      </c>
      <c r="CX117" s="675">
        <v>0</v>
      </c>
      <c r="CY117" s="675">
        <v>0</v>
      </c>
      <c r="CZ117" s="675">
        <v>0</v>
      </c>
      <c r="DA117" s="675">
        <v>1</v>
      </c>
      <c r="DB117" s="675">
        <v>5159086</v>
      </c>
      <c r="DC117" s="675">
        <v>0</v>
      </c>
      <c r="DD117" s="675">
        <v>0</v>
      </c>
      <c r="DE117" s="675">
        <v>658244</v>
      </c>
      <c r="DF117" s="675">
        <v>658244</v>
      </c>
      <c r="DG117" s="675">
        <v>502.17</v>
      </c>
      <c r="DH117" s="675">
        <v>0</v>
      </c>
      <c r="DI117" s="675">
        <v>0</v>
      </c>
      <c r="DJ117" s="675">
        <v>0</v>
      </c>
      <c r="DK117" s="675">
        <v>5392</v>
      </c>
      <c r="DL117" s="675">
        <v>0</v>
      </c>
      <c r="DM117" s="675">
        <v>424159</v>
      </c>
      <c r="DN117" s="675">
        <v>0</v>
      </c>
      <c r="DO117" s="675">
        <v>369</v>
      </c>
      <c r="DP117" s="675">
        <v>0</v>
      </c>
      <c r="DQ117" s="675">
        <v>0</v>
      </c>
      <c r="DR117" s="675">
        <v>0</v>
      </c>
      <c r="DS117" s="675">
        <v>0</v>
      </c>
      <c r="DT117" s="675">
        <v>2.5000000000000001E-2</v>
      </c>
      <c r="DU117" s="675">
        <v>0</v>
      </c>
      <c r="DV117" s="675">
        <v>0</v>
      </c>
      <c r="DW117" s="675">
        <v>0</v>
      </c>
      <c r="DX117" s="675">
        <v>0</v>
      </c>
      <c r="DY117" s="675">
        <v>0</v>
      </c>
      <c r="DZ117" s="675">
        <v>7.4999999999999997E-2</v>
      </c>
      <c r="EA117" s="675">
        <v>0</v>
      </c>
      <c r="EB117" s="675">
        <v>0</v>
      </c>
      <c r="EC117" s="675">
        <v>34.004000000000005</v>
      </c>
      <c r="ED117" s="675">
        <v>245148</v>
      </c>
      <c r="EE117" s="675">
        <v>0</v>
      </c>
      <c r="EF117" s="675">
        <v>0</v>
      </c>
      <c r="EG117" s="675">
        <v>0</v>
      </c>
      <c r="EH117" s="675">
        <v>178642</v>
      </c>
      <c r="EI117" s="675">
        <v>0</v>
      </c>
      <c r="EJ117" s="675">
        <v>0</v>
      </c>
      <c r="EK117" s="675">
        <v>7.399</v>
      </c>
      <c r="EL117" s="675">
        <v>0</v>
      </c>
      <c r="EM117" s="675">
        <v>0</v>
      </c>
      <c r="EN117" s="675">
        <v>1.012</v>
      </c>
      <c r="EO117" s="675">
        <v>0</v>
      </c>
      <c r="EP117" s="675">
        <v>0</v>
      </c>
      <c r="EQ117" s="675">
        <v>8.4109999999999996</v>
      </c>
      <c r="ER117" s="675">
        <v>0</v>
      </c>
      <c r="ES117" s="675">
        <v>27.257000000000001</v>
      </c>
      <c r="ET117" s="675">
        <v>0</v>
      </c>
      <c r="EU117" s="675">
        <v>213724</v>
      </c>
      <c r="EV117" s="675">
        <v>0</v>
      </c>
      <c r="EW117" s="675">
        <v>0</v>
      </c>
      <c r="EX117" s="675">
        <v>0</v>
      </c>
      <c r="EY117" s="675">
        <v>0</v>
      </c>
      <c r="EZ117" s="675">
        <v>6195970</v>
      </c>
      <c r="FA117" s="675">
        <v>0</v>
      </c>
      <c r="FB117" s="675">
        <v>6409694</v>
      </c>
      <c r="FC117" s="675">
        <v>0.97327799999999998</v>
      </c>
      <c r="FD117" s="675">
        <v>0</v>
      </c>
      <c r="FE117" s="675">
        <v>948019</v>
      </c>
      <c r="FF117" s="675">
        <v>213635</v>
      </c>
      <c r="FG117" s="675">
        <v>6.1239999999999996E-2</v>
      </c>
      <c r="FH117" s="675">
        <v>5.4803999999999999E-2</v>
      </c>
      <c r="FI117" s="675">
        <v>0</v>
      </c>
      <c r="FJ117" s="675">
        <v>0</v>
      </c>
      <c r="FK117" s="675">
        <v>1220.076</v>
      </c>
      <c r="FL117" s="675">
        <v>7729343</v>
      </c>
      <c r="FM117" s="675">
        <v>0</v>
      </c>
      <c r="FN117" s="675">
        <v>0</v>
      </c>
      <c r="FO117" s="675">
        <v>0</v>
      </c>
      <c r="FP117" s="675">
        <v>0</v>
      </c>
      <c r="FQ117" s="675">
        <v>0</v>
      </c>
      <c r="FR117" s="675">
        <v>0</v>
      </c>
      <c r="FS117" s="675">
        <v>0</v>
      </c>
      <c r="FT117" s="675">
        <v>0</v>
      </c>
      <c r="FU117" s="675">
        <v>0</v>
      </c>
      <c r="FV117" s="675">
        <v>0</v>
      </c>
      <c r="FW117" s="675">
        <v>0</v>
      </c>
      <c r="FX117" s="675">
        <v>0</v>
      </c>
      <c r="FY117" s="675">
        <v>0</v>
      </c>
      <c r="FZ117" s="675">
        <v>0</v>
      </c>
      <c r="GA117" s="675">
        <v>0</v>
      </c>
      <c r="GB117" s="675">
        <v>54096</v>
      </c>
      <c r="GC117" s="675">
        <v>54096</v>
      </c>
      <c r="GD117" s="675">
        <v>6.1139999999999999</v>
      </c>
      <c r="GE117" s="675">
        <v>0</v>
      </c>
      <c r="GF117" s="675">
        <v>0</v>
      </c>
      <c r="GG117" s="675">
        <v>0</v>
      </c>
      <c r="GH117" s="675">
        <v>0</v>
      </c>
      <c r="GI117" s="675">
        <v>0</v>
      </c>
      <c r="GJ117" s="675">
        <v>0</v>
      </c>
      <c r="GK117" s="675">
        <v>0</v>
      </c>
      <c r="GL117" s="675">
        <v>0</v>
      </c>
      <c r="GM117" s="675">
        <v>0</v>
      </c>
      <c r="GN117" s="675">
        <v>0</v>
      </c>
      <c r="GO117" s="675">
        <v>0</v>
      </c>
      <c r="GP117" s="675">
        <v>7571348</v>
      </c>
      <c r="GQ117" s="675">
        <v>7571348</v>
      </c>
      <c r="GR117" s="675">
        <v>0</v>
      </c>
      <c r="GS117" s="675">
        <v>0</v>
      </c>
      <c r="GT117" s="675">
        <v>0</v>
      </c>
      <c r="GU117" s="675">
        <v>0</v>
      </c>
      <c r="GV117" s="675">
        <v>0</v>
      </c>
      <c r="GW117" s="675">
        <v>0</v>
      </c>
      <c r="GX117" s="675">
        <v>0</v>
      </c>
      <c r="GY117" s="675">
        <v>0</v>
      </c>
      <c r="GZ117" s="675">
        <v>0</v>
      </c>
      <c r="HA117" s="675">
        <v>0</v>
      </c>
      <c r="HB117" s="675">
        <v>260786259</v>
      </c>
      <c r="HC117" s="675">
        <v>5.0923999999999997E-2</v>
      </c>
      <c r="HD117" s="675">
        <v>157995</v>
      </c>
      <c r="HE117" s="675">
        <v>0</v>
      </c>
      <c r="HF117" s="675">
        <v>0</v>
      </c>
      <c r="HG117" s="675">
        <v>0</v>
      </c>
      <c r="HH117" s="675">
        <v>0</v>
      </c>
      <c r="HI117" s="675">
        <v>0</v>
      </c>
      <c r="HJ117" s="675">
        <v>0</v>
      </c>
      <c r="HK117" s="675">
        <v>0</v>
      </c>
      <c r="HL117" s="675">
        <v>0</v>
      </c>
      <c r="HM117" s="675">
        <v>0</v>
      </c>
      <c r="HN117" s="675">
        <v>0</v>
      </c>
      <c r="HO117" s="675">
        <v>0</v>
      </c>
      <c r="HP117" s="675">
        <v>0</v>
      </c>
      <c r="HQ117" s="675">
        <v>0</v>
      </c>
      <c r="HR117" s="675">
        <v>0</v>
      </c>
      <c r="HS117" s="675">
        <v>0</v>
      </c>
      <c r="HT117" s="675">
        <v>0</v>
      </c>
      <c r="HU117" s="675">
        <v>0</v>
      </c>
      <c r="HV117" s="675">
        <v>0</v>
      </c>
      <c r="HW117" s="675">
        <v>0</v>
      </c>
      <c r="HX117" s="675">
        <v>0</v>
      </c>
      <c r="HY117" s="675">
        <v>0</v>
      </c>
      <c r="HZ117" s="675">
        <v>0</v>
      </c>
      <c r="IA117" s="675">
        <v>0</v>
      </c>
      <c r="IB117" s="675">
        <v>0</v>
      </c>
      <c r="IC117" s="675">
        <v>0</v>
      </c>
      <c r="ID117" s="675">
        <v>0</v>
      </c>
      <c r="IE117" s="675">
        <v>0</v>
      </c>
      <c r="IF117" s="675">
        <v>0</v>
      </c>
      <c r="IG117" s="675">
        <v>0</v>
      </c>
      <c r="IH117" s="675">
        <v>0</v>
      </c>
      <c r="II117" s="675">
        <v>0</v>
      </c>
      <c r="IJ117" s="675">
        <v>0</v>
      </c>
      <c r="IK117" s="675">
        <v>0</v>
      </c>
      <c r="IL117" s="675">
        <v>0</v>
      </c>
      <c r="IM117" s="675">
        <v>0</v>
      </c>
      <c r="IN117" s="675">
        <v>0</v>
      </c>
      <c r="IO117" s="675">
        <v>0</v>
      </c>
      <c r="IP117" s="675">
        <v>0</v>
      </c>
      <c r="IQ117" s="675">
        <v>0</v>
      </c>
      <c r="IR117" s="675">
        <v>0</v>
      </c>
      <c r="IS117" s="675">
        <v>0</v>
      </c>
      <c r="IT117" s="675">
        <v>0</v>
      </c>
      <c r="IU117" s="675">
        <v>0</v>
      </c>
      <c r="IV117" s="675">
        <v>0</v>
      </c>
      <c r="IW117" s="675">
        <v>0</v>
      </c>
      <c r="IX117" s="675">
        <v>0</v>
      </c>
      <c r="IY117" s="675">
        <v>0</v>
      </c>
      <c r="IZ117" s="675">
        <v>0</v>
      </c>
      <c r="JA117" s="675">
        <v>0</v>
      </c>
      <c r="JB117" s="675">
        <v>0</v>
      </c>
      <c r="JC117" s="675">
        <v>0</v>
      </c>
      <c r="JD117" s="675">
        <v>0</v>
      </c>
      <c r="JE117" s="675">
        <v>0</v>
      </c>
      <c r="JF117" s="675">
        <v>0</v>
      </c>
      <c r="JG117" s="675">
        <v>0</v>
      </c>
      <c r="JH117" s="675">
        <v>0</v>
      </c>
      <c r="JI117" s="675">
        <v>0</v>
      </c>
      <c r="JJ117" s="675">
        <v>0</v>
      </c>
      <c r="JK117" s="675">
        <v>0</v>
      </c>
      <c r="JL117" s="675">
        <v>0</v>
      </c>
      <c r="JM117" s="675">
        <v>0</v>
      </c>
      <c r="JN117" s="675">
        <v>32469</v>
      </c>
      <c r="JO117" s="675">
        <v>0</v>
      </c>
      <c r="JP117" s="675">
        <v>0</v>
      </c>
      <c r="JQ117" s="675">
        <v>0</v>
      </c>
      <c r="JR117" s="675">
        <v>0</v>
      </c>
      <c r="JS117" s="675">
        <v>0</v>
      </c>
      <c r="JT117" s="675">
        <v>0</v>
      </c>
      <c r="JU117" s="675">
        <v>0</v>
      </c>
      <c r="JV117" s="675">
        <v>0</v>
      </c>
      <c r="JW117" s="675">
        <v>0</v>
      </c>
      <c r="JX117" s="675">
        <v>0</v>
      </c>
      <c r="JY117" s="675">
        <v>0</v>
      </c>
      <c r="JZ117" s="675">
        <v>0</v>
      </c>
      <c r="KA117" s="675">
        <v>0</v>
      </c>
      <c r="KB117" s="675">
        <v>0</v>
      </c>
      <c r="KC117" s="675">
        <v>0</v>
      </c>
      <c r="KD117" s="675">
        <v>0</v>
      </c>
      <c r="KE117" s="675">
        <v>0</v>
      </c>
      <c r="KF117" s="675">
        <v>0</v>
      </c>
    </row>
    <row r="118" spans="1:292" x14ac:dyDescent="0.25">
      <c r="A118" s="675">
        <v>101871</v>
      </c>
      <c r="B118" s="675">
        <v>32570</v>
      </c>
      <c r="C118" s="675">
        <v>35</v>
      </c>
      <c r="D118" s="675">
        <v>2022</v>
      </c>
      <c r="E118" s="675">
        <v>5392</v>
      </c>
      <c r="F118" s="675">
        <v>0</v>
      </c>
      <c r="G118" s="675">
        <v>120.039</v>
      </c>
      <c r="H118" s="675">
        <v>119.69</v>
      </c>
      <c r="I118" s="675">
        <v>119.69</v>
      </c>
      <c r="J118" s="675">
        <v>120.039</v>
      </c>
      <c r="K118" s="675">
        <v>0</v>
      </c>
      <c r="L118" s="675">
        <v>6554</v>
      </c>
      <c r="M118" s="675">
        <v>0</v>
      </c>
      <c r="N118" s="675">
        <v>0</v>
      </c>
      <c r="O118" s="675">
        <v>0</v>
      </c>
      <c r="P118" s="675">
        <v>156.672</v>
      </c>
      <c r="Q118" s="675">
        <v>0</v>
      </c>
      <c r="R118" s="675">
        <v>50090</v>
      </c>
      <c r="S118" s="675">
        <v>319.71300000000002</v>
      </c>
      <c r="T118" s="675">
        <v>0</v>
      </c>
      <c r="U118" s="675">
        <v>50090</v>
      </c>
      <c r="V118" s="675">
        <v>13.632000000000001</v>
      </c>
      <c r="W118" s="675">
        <v>8934</v>
      </c>
      <c r="X118" s="675">
        <v>8934</v>
      </c>
      <c r="Y118" s="675">
        <v>0</v>
      </c>
      <c r="Z118" s="675">
        <v>0</v>
      </c>
      <c r="AA118" s="675">
        <v>1</v>
      </c>
      <c r="AB118" s="675">
        <v>1</v>
      </c>
      <c r="AC118" s="675">
        <v>0</v>
      </c>
      <c r="AD118" s="675" t="s">
        <v>316</v>
      </c>
      <c r="AE118" s="675">
        <v>0</v>
      </c>
      <c r="AF118" s="675">
        <v>0</v>
      </c>
      <c r="AG118" s="675">
        <v>0</v>
      </c>
      <c r="AH118" s="675">
        <v>0</v>
      </c>
      <c r="AI118" s="675">
        <v>0</v>
      </c>
      <c r="AJ118" s="675">
        <v>5104</v>
      </c>
      <c r="AK118" s="675" t="s">
        <v>671</v>
      </c>
      <c r="AL118" s="675" t="s">
        <v>387</v>
      </c>
      <c r="AM118" s="675">
        <v>0</v>
      </c>
      <c r="AN118" s="675">
        <v>0</v>
      </c>
      <c r="AO118" s="675">
        <v>0</v>
      </c>
      <c r="AP118" s="675">
        <v>0</v>
      </c>
      <c r="AQ118" s="675">
        <v>0</v>
      </c>
      <c r="AR118" s="675">
        <v>0</v>
      </c>
      <c r="AS118" s="675">
        <v>0</v>
      </c>
      <c r="AT118" s="675">
        <v>0</v>
      </c>
      <c r="AU118" s="675">
        <v>0</v>
      </c>
      <c r="AV118" s="675">
        <v>106238</v>
      </c>
      <c r="AW118" s="675">
        <v>1363001</v>
      </c>
      <c r="AX118" s="675">
        <v>1291108</v>
      </c>
      <c r="AY118" s="675">
        <v>1517501</v>
      </c>
      <c r="AZ118" s="675">
        <v>98326</v>
      </c>
      <c r="BA118" s="675">
        <v>0</v>
      </c>
      <c r="BB118" s="675">
        <v>0</v>
      </c>
      <c r="BC118" s="675">
        <v>0</v>
      </c>
      <c r="BD118" s="675">
        <v>0</v>
      </c>
      <c r="BE118" s="675">
        <v>0</v>
      </c>
      <c r="BF118" s="675">
        <v>1104771</v>
      </c>
      <c r="BG118" s="675">
        <v>0</v>
      </c>
      <c r="BH118" s="675">
        <v>0</v>
      </c>
      <c r="BI118" s="675">
        <v>0</v>
      </c>
      <c r="BJ118" s="675">
        <v>12</v>
      </c>
      <c r="BK118" s="675">
        <v>0</v>
      </c>
      <c r="BL118" s="675">
        <v>0</v>
      </c>
      <c r="BM118" s="675">
        <v>0</v>
      </c>
      <c r="BN118" s="675">
        <v>0</v>
      </c>
      <c r="BO118" s="675">
        <v>0</v>
      </c>
      <c r="BP118" s="675">
        <v>0</v>
      </c>
      <c r="BQ118" s="675">
        <v>5392</v>
      </c>
      <c r="BR118" s="675">
        <v>1</v>
      </c>
      <c r="BS118" s="675">
        <v>0</v>
      </c>
      <c r="BT118" s="675">
        <v>0</v>
      </c>
      <c r="BU118" s="675">
        <v>0</v>
      </c>
      <c r="BV118" s="675">
        <v>0</v>
      </c>
      <c r="BW118" s="675">
        <v>0</v>
      </c>
      <c r="BX118" s="675">
        <v>0</v>
      </c>
      <c r="BY118" s="675">
        <v>0</v>
      </c>
      <c r="BZ118" s="675">
        <v>0</v>
      </c>
      <c r="CA118" s="675">
        <v>126.18600000000001</v>
      </c>
      <c r="CB118" s="675">
        <v>48236</v>
      </c>
      <c r="CC118" s="675">
        <v>0</v>
      </c>
      <c r="CD118" s="675">
        <v>0</v>
      </c>
      <c r="CE118" s="675">
        <v>0</v>
      </c>
      <c r="CF118" s="675">
        <v>0</v>
      </c>
      <c r="CG118" s="675">
        <v>0</v>
      </c>
      <c r="CH118" s="675">
        <v>23657</v>
      </c>
      <c r="CI118" s="675">
        <v>0</v>
      </c>
      <c r="CJ118" s="675">
        <v>5</v>
      </c>
      <c r="CK118" s="675">
        <v>0</v>
      </c>
      <c r="CL118" s="675">
        <v>0</v>
      </c>
      <c r="CM118" s="675">
        <v>0</v>
      </c>
      <c r="CN118" s="675">
        <v>0</v>
      </c>
      <c r="CO118" s="675">
        <v>0</v>
      </c>
      <c r="CP118" s="675">
        <v>0</v>
      </c>
      <c r="CQ118" s="675">
        <v>0</v>
      </c>
      <c r="CR118" s="675">
        <v>156.672</v>
      </c>
      <c r="CS118" s="675">
        <v>0</v>
      </c>
      <c r="CT118" s="675">
        <v>0</v>
      </c>
      <c r="CU118" s="675">
        <v>0</v>
      </c>
      <c r="CV118" s="675">
        <v>0</v>
      </c>
      <c r="CW118" s="675">
        <v>0</v>
      </c>
      <c r="CX118" s="675">
        <v>0</v>
      </c>
      <c r="CY118" s="675">
        <v>0</v>
      </c>
      <c r="CZ118" s="675">
        <v>0</v>
      </c>
      <c r="DA118" s="675">
        <v>1</v>
      </c>
      <c r="DB118" s="675">
        <v>784448</v>
      </c>
      <c r="DC118" s="675">
        <v>0</v>
      </c>
      <c r="DD118" s="675">
        <v>0</v>
      </c>
      <c r="DE118" s="675">
        <v>153364</v>
      </c>
      <c r="DF118" s="675">
        <v>153364</v>
      </c>
      <c r="DG118" s="675">
        <v>117</v>
      </c>
      <c r="DH118" s="675">
        <v>0</v>
      </c>
      <c r="DI118" s="675">
        <v>0</v>
      </c>
      <c r="DJ118" s="675">
        <v>0</v>
      </c>
      <c r="DK118" s="675">
        <v>5392</v>
      </c>
      <c r="DL118" s="675">
        <v>0</v>
      </c>
      <c r="DM118" s="675">
        <v>188358</v>
      </c>
      <c r="DN118" s="675">
        <v>0</v>
      </c>
      <c r="DO118" s="675">
        <v>0</v>
      </c>
      <c r="DP118" s="675">
        <v>0</v>
      </c>
      <c r="DQ118" s="675">
        <v>0</v>
      </c>
      <c r="DR118" s="675">
        <v>0</v>
      </c>
      <c r="DS118" s="675">
        <v>0</v>
      </c>
      <c r="DT118" s="675">
        <v>0</v>
      </c>
      <c r="DU118" s="675">
        <v>0</v>
      </c>
      <c r="DV118" s="675">
        <v>0</v>
      </c>
      <c r="DW118" s="675">
        <v>0</v>
      </c>
      <c r="DX118" s="675">
        <v>0</v>
      </c>
      <c r="DY118" s="675">
        <v>0</v>
      </c>
      <c r="DZ118" s="675">
        <v>0</v>
      </c>
      <c r="EA118" s="675">
        <v>0</v>
      </c>
      <c r="EB118" s="675">
        <v>0</v>
      </c>
      <c r="EC118" s="675">
        <v>24.944000000000003</v>
      </c>
      <c r="ED118" s="675">
        <v>179831</v>
      </c>
      <c r="EE118" s="675">
        <v>0</v>
      </c>
      <c r="EF118" s="675">
        <v>0</v>
      </c>
      <c r="EG118" s="675">
        <v>0</v>
      </c>
      <c r="EH118" s="675">
        <v>8527</v>
      </c>
      <c r="EI118" s="675">
        <v>0</v>
      </c>
      <c r="EJ118" s="675">
        <v>0</v>
      </c>
      <c r="EK118" s="675">
        <v>0</v>
      </c>
      <c r="EL118" s="675">
        <v>0</v>
      </c>
      <c r="EM118" s="675">
        <v>0.222</v>
      </c>
      <c r="EN118" s="675">
        <v>0.127</v>
      </c>
      <c r="EO118" s="675">
        <v>0</v>
      </c>
      <c r="EP118" s="675">
        <v>0</v>
      </c>
      <c r="EQ118" s="675">
        <v>0.34900000000000003</v>
      </c>
      <c r="ER118" s="675">
        <v>0</v>
      </c>
      <c r="ES118" s="675">
        <v>1.3010000000000002</v>
      </c>
      <c r="ET118" s="675">
        <v>0</v>
      </c>
      <c r="EU118" s="675">
        <v>98326</v>
      </c>
      <c r="EV118" s="675">
        <v>0</v>
      </c>
      <c r="EW118" s="675">
        <v>0</v>
      </c>
      <c r="EX118" s="675">
        <v>0</v>
      </c>
      <c r="EY118" s="675">
        <v>0</v>
      </c>
      <c r="EZ118" s="675">
        <v>1085014</v>
      </c>
      <c r="FA118" s="675">
        <v>0</v>
      </c>
      <c r="FB118" s="675">
        <v>1183340</v>
      </c>
      <c r="FC118" s="675">
        <v>0.97327799999999998</v>
      </c>
      <c r="FD118" s="675">
        <v>0</v>
      </c>
      <c r="FE118" s="675">
        <v>168192</v>
      </c>
      <c r="FF118" s="675">
        <v>37902</v>
      </c>
      <c r="FG118" s="675">
        <v>6.1239999999999996E-2</v>
      </c>
      <c r="FH118" s="675">
        <v>5.4803999999999999E-2</v>
      </c>
      <c r="FI118" s="675">
        <v>0</v>
      </c>
      <c r="FJ118" s="675">
        <v>0</v>
      </c>
      <c r="FK118" s="675">
        <v>216.459</v>
      </c>
      <c r="FL118" s="675">
        <v>1413091</v>
      </c>
      <c r="FM118" s="675">
        <v>0</v>
      </c>
      <c r="FN118" s="675">
        <v>0</v>
      </c>
      <c r="FO118" s="675">
        <v>0</v>
      </c>
      <c r="FP118" s="675">
        <v>0</v>
      </c>
      <c r="FQ118" s="675">
        <v>0</v>
      </c>
      <c r="FR118" s="675">
        <v>0</v>
      </c>
      <c r="FS118" s="675">
        <v>0</v>
      </c>
      <c r="FT118" s="675">
        <v>0</v>
      </c>
      <c r="FU118" s="675">
        <v>0</v>
      </c>
      <c r="FV118" s="675">
        <v>0</v>
      </c>
      <c r="FW118" s="675">
        <v>0</v>
      </c>
      <c r="FX118" s="675">
        <v>0</v>
      </c>
      <c r="FY118" s="675">
        <v>0</v>
      </c>
      <c r="FZ118" s="675">
        <v>0</v>
      </c>
      <c r="GA118" s="675">
        <v>0</v>
      </c>
      <c r="GB118" s="675">
        <v>0</v>
      </c>
      <c r="GC118" s="675">
        <v>0</v>
      </c>
      <c r="GD118" s="675">
        <v>0</v>
      </c>
      <c r="GE118" s="675">
        <v>0</v>
      </c>
      <c r="GF118" s="675">
        <v>0</v>
      </c>
      <c r="GG118" s="675">
        <v>0</v>
      </c>
      <c r="GH118" s="675">
        <v>0</v>
      </c>
      <c r="GI118" s="675">
        <v>0</v>
      </c>
      <c r="GJ118" s="675">
        <v>0</v>
      </c>
      <c r="GK118" s="675">
        <v>0</v>
      </c>
      <c r="GL118" s="675">
        <v>0</v>
      </c>
      <c r="GM118" s="675">
        <v>0</v>
      </c>
      <c r="GN118" s="675">
        <v>0</v>
      </c>
      <c r="GO118" s="675">
        <v>0</v>
      </c>
      <c r="GP118" s="675">
        <v>1389434</v>
      </c>
      <c r="GQ118" s="675">
        <v>1389434</v>
      </c>
      <c r="GR118" s="675">
        <v>0</v>
      </c>
      <c r="GS118" s="675">
        <v>0</v>
      </c>
      <c r="GT118" s="675">
        <v>0</v>
      </c>
      <c r="GU118" s="675">
        <v>0</v>
      </c>
      <c r="GV118" s="675">
        <v>0</v>
      </c>
      <c r="GW118" s="675">
        <v>0</v>
      </c>
      <c r="GX118" s="675">
        <v>0</v>
      </c>
      <c r="GY118" s="675">
        <v>0</v>
      </c>
      <c r="GZ118" s="675">
        <v>0</v>
      </c>
      <c r="HA118" s="675">
        <v>0</v>
      </c>
      <c r="HB118" s="675">
        <v>260786259</v>
      </c>
      <c r="HC118" s="675">
        <v>5.0923999999999997E-2</v>
      </c>
      <c r="HD118" s="675">
        <v>23657</v>
      </c>
      <c r="HE118" s="675">
        <v>0</v>
      </c>
      <c r="HF118" s="675">
        <v>0</v>
      </c>
      <c r="HG118" s="675">
        <v>0</v>
      </c>
      <c r="HH118" s="675">
        <v>0</v>
      </c>
      <c r="HI118" s="675">
        <v>0</v>
      </c>
      <c r="HJ118" s="675">
        <v>0</v>
      </c>
      <c r="HK118" s="675">
        <v>0</v>
      </c>
      <c r="HL118" s="675">
        <v>0</v>
      </c>
      <c r="HM118" s="675">
        <v>0</v>
      </c>
      <c r="HN118" s="675">
        <v>0</v>
      </c>
      <c r="HO118" s="675">
        <v>0</v>
      </c>
      <c r="HP118" s="675">
        <v>0</v>
      </c>
      <c r="HQ118" s="675">
        <v>0</v>
      </c>
      <c r="HR118" s="675">
        <v>0</v>
      </c>
      <c r="HS118" s="675">
        <v>0</v>
      </c>
      <c r="HT118" s="675">
        <v>0</v>
      </c>
      <c r="HU118" s="675">
        <v>0</v>
      </c>
      <c r="HV118" s="675">
        <v>0</v>
      </c>
      <c r="HW118" s="675">
        <v>0</v>
      </c>
      <c r="HX118" s="675">
        <v>0</v>
      </c>
      <c r="HY118" s="675">
        <v>0</v>
      </c>
      <c r="HZ118" s="675">
        <v>0</v>
      </c>
      <c r="IA118" s="675">
        <v>0</v>
      </c>
      <c r="IB118" s="675">
        <v>0</v>
      </c>
      <c r="IC118" s="675">
        <v>0</v>
      </c>
      <c r="ID118" s="675">
        <v>0</v>
      </c>
      <c r="IE118" s="675">
        <v>0</v>
      </c>
      <c r="IF118" s="675">
        <v>0</v>
      </c>
      <c r="IG118" s="675">
        <v>0</v>
      </c>
      <c r="IH118" s="675">
        <v>0</v>
      </c>
      <c r="II118" s="675">
        <v>0</v>
      </c>
      <c r="IJ118" s="675">
        <v>0</v>
      </c>
      <c r="IK118" s="675">
        <v>0</v>
      </c>
      <c r="IL118" s="675">
        <v>0</v>
      </c>
      <c r="IM118" s="675">
        <v>0</v>
      </c>
      <c r="IN118" s="675">
        <v>0</v>
      </c>
      <c r="IO118" s="675">
        <v>0</v>
      </c>
      <c r="IP118" s="675">
        <v>0</v>
      </c>
      <c r="IQ118" s="675">
        <v>0</v>
      </c>
      <c r="IR118" s="675">
        <v>0</v>
      </c>
      <c r="IS118" s="675">
        <v>0</v>
      </c>
      <c r="IT118" s="675">
        <v>0</v>
      </c>
      <c r="IU118" s="675">
        <v>0</v>
      </c>
      <c r="IV118" s="675">
        <v>0</v>
      </c>
      <c r="IW118" s="675">
        <v>0</v>
      </c>
      <c r="IX118" s="675">
        <v>0</v>
      </c>
      <c r="IY118" s="675">
        <v>0</v>
      </c>
      <c r="IZ118" s="675">
        <v>0</v>
      </c>
      <c r="JA118" s="675">
        <v>0</v>
      </c>
      <c r="JB118" s="675">
        <v>0</v>
      </c>
      <c r="JC118" s="675">
        <v>0</v>
      </c>
      <c r="JD118" s="675">
        <v>0</v>
      </c>
      <c r="JE118" s="675">
        <v>0</v>
      </c>
      <c r="JF118" s="675">
        <v>0</v>
      </c>
      <c r="JG118" s="675">
        <v>0</v>
      </c>
      <c r="JH118" s="675">
        <v>0</v>
      </c>
      <c r="JI118" s="675">
        <v>0</v>
      </c>
      <c r="JJ118" s="675">
        <v>0</v>
      </c>
      <c r="JK118" s="675">
        <v>0</v>
      </c>
      <c r="JL118" s="675">
        <v>0</v>
      </c>
      <c r="JM118" s="675">
        <v>0</v>
      </c>
      <c r="JN118" s="675">
        <v>32469</v>
      </c>
      <c r="JO118" s="675">
        <v>0</v>
      </c>
      <c r="JP118" s="675">
        <v>0</v>
      </c>
      <c r="JQ118" s="675">
        <v>0</v>
      </c>
      <c r="JR118" s="675">
        <v>0</v>
      </c>
      <c r="JS118" s="675">
        <v>0</v>
      </c>
      <c r="JT118" s="675">
        <v>0</v>
      </c>
      <c r="JU118" s="675">
        <v>0</v>
      </c>
      <c r="JV118" s="675">
        <v>0</v>
      </c>
      <c r="JW118" s="675">
        <v>0</v>
      </c>
      <c r="JX118" s="675">
        <v>0</v>
      </c>
      <c r="JY118" s="675">
        <v>0</v>
      </c>
      <c r="JZ118" s="675">
        <v>0</v>
      </c>
      <c r="KA118" s="675">
        <v>0</v>
      </c>
      <c r="KB118" s="675">
        <v>0</v>
      </c>
      <c r="KC118" s="675">
        <v>0</v>
      </c>
      <c r="KD118" s="675">
        <v>0</v>
      </c>
      <c r="KE118" s="675">
        <v>0</v>
      </c>
      <c r="KF118" s="675">
        <v>0</v>
      </c>
    </row>
    <row r="119" spans="1:292" x14ac:dyDescent="0.25">
      <c r="A119" s="675">
        <v>101872</v>
      </c>
      <c r="B119" s="675">
        <v>32570</v>
      </c>
      <c r="C119" s="675">
        <v>35</v>
      </c>
      <c r="D119" s="675">
        <v>2022</v>
      </c>
      <c r="E119" s="675">
        <v>5392</v>
      </c>
      <c r="F119" s="675">
        <v>0</v>
      </c>
      <c r="G119" s="675">
        <v>142.70000000000002</v>
      </c>
      <c r="H119" s="675">
        <v>140.941</v>
      </c>
      <c r="I119" s="675">
        <v>140.941</v>
      </c>
      <c r="J119" s="675">
        <v>142.70000000000002</v>
      </c>
      <c r="K119" s="675">
        <v>0</v>
      </c>
      <c r="L119" s="675">
        <v>6554</v>
      </c>
      <c r="M119" s="675">
        <v>0</v>
      </c>
      <c r="N119" s="675">
        <v>0</v>
      </c>
      <c r="O119" s="675">
        <v>0</v>
      </c>
      <c r="P119" s="675">
        <v>63.399000000000001</v>
      </c>
      <c r="Q119" s="675">
        <v>0</v>
      </c>
      <c r="R119" s="675">
        <v>20269</v>
      </c>
      <c r="S119" s="675">
        <v>319.71300000000002</v>
      </c>
      <c r="T119" s="675">
        <v>0</v>
      </c>
      <c r="U119" s="675">
        <v>20269</v>
      </c>
      <c r="V119" s="675">
        <v>70.016000000000005</v>
      </c>
      <c r="W119" s="675">
        <v>45888</v>
      </c>
      <c r="X119" s="675">
        <v>45888</v>
      </c>
      <c r="Y119" s="675">
        <v>0</v>
      </c>
      <c r="Z119" s="675">
        <v>0</v>
      </c>
      <c r="AA119" s="675">
        <v>1</v>
      </c>
      <c r="AB119" s="675">
        <v>1</v>
      </c>
      <c r="AC119" s="675">
        <v>0</v>
      </c>
      <c r="AD119" s="675" t="s">
        <v>316</v>
      </c>
      <c r="AE119" s="675">
        <v>0</v>
      </c>
      <c r="AF119" s="675">
        <v>0</v>
      </c>
      <c r="AG119" s="675">
        <v>0</v>
      </c>
      <c r="AH119" s="675">
        <v>0</v>
      </c>
      <c r="AI119" s="675">
        <v>0</v>
      </c>
      <c r="AJ119" s="675">
        <v>5104</v>
      </c>
      <c r="AK119" s="675" t="s">
        <v>671</v>
      </c>
      <c r="AL119" s="675" t="s">
        <v>443</v>
      </c>
      <c r="AM119" s="675">
        <v>0</v>
      </c>
      <c r="AN119" s="675">
        <v>0</v>
      </c>
      <c r="AO119" s="675">
        <v>0</v>
      </c>
      <c r="AP119" s="675">
        <v>0</v>
      </c>
      <c r="AQ119" s="675">
        <v>0</v>
      </c>
      <c r="AR119" s="675">
        <v>0</v>
      </c>
      <c r="AS119" s="675">
        <v>0</v>
      </c>
      <c r="AT119" s="675">
        <v>0</v>
      </c>
      <c r="AU119" s="675">
        <v>0</v>
      </c>
      <c r="AV119" s="675">
        <v>25015</v>
      </c>
      <c r="AW119" s="675">
        <v>1435495</v>
      </c>
      <c r="AX119" s="675">
        <v>1378180</v>
      </c>
      <c r="AY119" s="675">
        <v>1627739</v>
      </c>
      <c r="AZ119" s="675">
        <v>49461</v>
      </c>
      <c r="BA119" s="675">
        <v>0</v>
      </c>
      <c r="BB119" s="675">
        <v>0</v>
      </c>
      <c r="BC119" s="675">
        <v>0</v>
      </c>
      <c r="BD119" s="675">
        <v>0</v>
      </c>
      <c r="BE119" s="675">
        <v>0</v>
      </c>
      <c r="BF119" s="675">
        <v>1142552</v>
      </c>
      <c r="BG119" s="675">
        <v>0</v>
      </c>
      <c r="BH119" s="675">
        <v>0</v>
      </c>
      <c r="BI119" s="675">
        <v>0</v>
      </c>
      <c r="BJ119" s="675">
        <v>12</v>
      </c>
      <c r="BK119" s="675">
        <v>0</v>
      </c>
      <c r="BL119" s="675">
        <v>0</v>
      </c>
      <c r="BM119" s="675">
        <v>0</v>
      </c>
      <c r="BN119" s="675">
        <v>0</v>
      </c>
      <c r="BO119" s="675">
        <v>0</v>
      </c>
      <c r="BP119" s="675">
        <v>0</v>
      </c>
      <c r="BQ119" s="675">
        <v>5392</v>
      </c>
      <c r="BR119" s="675">
        <v>1</v>
      </c>
      <c r="BS119" s="675">
        <v>0</v>
      </c>
      <c r="BT119" s="675">
        <v>0</v>
      </c>
      <c r="BU119" s="675">
        <v>0</v>
      </c>
      <c r="BV119" s="675">
        <v>0</v>
      </c>
      <c r="BW119" s="675">
        <v>0</v>
      </c>
      <c r="BX119" s="675">
        <v>0</v>
      </c>
      <c r="BY119" s="675">
        <v>0</v>
      </c>
      <c r="BZ119" s="675">
        <v>0</v>
      </c>
      <c r="CA119" s="675">
        <v>76.368000000000009</v>
      </c>
      <c r="CB119" s="675">
        <v>29192</v>
      </c>
      <c r="CC119" s="675">
        <v>0</v>
      </c>
      <c r="CD119" s="675">
        <v>0</v>
      </c>
      <c r="CE119" s="675">
        <v>0</v>
      </c>
      <c r="CF119" s="675">
        <v>0</v>
      </c>
      <c r="CG119" s="675">
        <v>0</v>
      </c>
      <c r="CH119" s="675">
        <v>28123</v>
      </c>
      <c r="CI119" s="675">
        <v>0</v>
      </c>
      <c r="CJ119" s="675">
        <v>5</v>
      </c>
      <c r="CK119" s="675">
        <v>0</v>
      </c>
      <c r="CL119" s="675">
        <v>0</v>
      </c>
      <c r="CM119" s="675">
        <v>0</v>
      </c>
      <c r="CN119" s="675">
        <v>0</v>
      </c>
      <c r="CO119" s="675">
        <v>0</v>
      </c>
      <c r="CP119" s="675">
        <v>0</v>
      </c>
      <c r="CQ119" s="675">
        <v>0</v>
      </c>
      <c r="CR119" s="675">
        <v>63.399000000000001</v>
      </c>
      <c r="CS119" s="675">
        <v>0</v>
      </c>
      <c r="CT119" s="675">
        <v>0</v>
      </c>
      <c r="CU119" s="675">
        <v>0</v>
      </c>
      <c r="CV119" s="675">
        <v>0</v>
      </c>
      <c r="CW119" s="675">
        <v>0</v>
      </c>
      <c r="CX119" s="675">
        <v>0</v>
      </c>
      <c r="CY119" s="675">
        <v>0</v>
      </c>
      <c r="CZ119" s="675">
        <v>0</v>
      </c>
      <c r="DA119" s="675">
        <v>1</v>
      </c>
      <c r="DB119" s="675">
        <v>923727</v>
      </c>
      <c r="DC119" s="675">
        <v>0</v>
      </c>
      <c r="DD119" s="675">
        <v>0</v>
      </c>
      <c r="DE119" s="675">
        <v>109888</v>
      </c>
      <c r="DF119" s="675">
        <v>109888</v>
      </c>
      <c r="DG119" s="675">
        <v>83.832999999999998</v>
      </c>
      <c r="DH119" s="675">
        <v>0</v>
      </c>
      <c r="DI119" s="675">
        <v>0</v>
      </c>
      <c r="DJ119" s="675">
        <v>0</v>
      </c>
      <c r="DK119" s="675">
        <v>5392</v>
      </c>
      <c r="DL119" s="675">
        <v>0</v>
      </c>
      <c r="DM119" s="675">
        <v>94419</v>
      </c>
      <c r="DN119" s="675">
        <v>0</v>
      </c>
      <c r="DO119" s="675">
        <v>0</v>
      </c>
      <c r="DP119" s="675">
        <v>0</v>
      </c>
      <c r="DQ119" s="675">
        <v>0</v>
      </c>
      <c r="DR119" s="675">
        <v>0</v>
      </c>
      <c r="DS119" s="675">
        <v>0</v>
      </c>
      <c r="DT119" s="675">
        <v>0</v>
      </c>
      <c r="DU119" s="675">
        <v>0</v>
      </c>
      <c r="DV119" s="675">
        <v>0</v>
      </c>
      <c r="DW119" s="675">
        <v>0</v>
      </c>
      <c r="DX119" s="675">
        <v>0</v>
      </c>
      <c r="DY119" s="675">
        <v>0</v>
      </c>
      <c r="DZ119" s="675">
        <v>0</v>
      </c>
      <c r="EA119" s="675">
        <v>0</v>
      </c>
      <c r="EB119" s="675">
        <v>0</v>
      </c>
      <c r="EC119" s="675">
        <v>8.043000000000001</v>
      </c>
      <c r="ED119" s="675">
        <v>57985</v>
      </c>
      <c r="EE119" s="675">
        <v>0</v>
      </c>
      <c r="EF119" s="675">
        <v>0</v>
      </c>
      <c r="EG119" s="675">
        <v>0</v>
      </c>
      <c r="EH119" s="675">
        <v>36434</v>
      </c>
      <c r="EI119" s="675">
        <v>0</v>
      </c>
      <c r="EJ119" s="675">
        <v>0</v>
      </c>
      <c r="EK119" s="675">
        <v>1.6180000000000001</v>
      </c>
      <c r="EL119" s="675">
        <v>0</v>
      </c>
      <c r="EM119" s="675">
        <v>0</v>
      </c>
      <c r="EN119" s="675">
        <v>0.14100000000000001</v>
      </c>
      <c r="EO119" s="675">
        <v>0</v>
      </c>
      <c r="EP119" s="675">
        <v>0</v>
      </c>
      <c r="EQ119" s="675">
        <v>1.7590000000000001</v>
      </c>
      <c r="ER119" s="675">
        <v>0</v>
      </c>
      <c r="ES119" s="675">
        <v>5.5590000000000002</v>
      </c>
      <c r="ET119" s="675">
        <v>0</v>
      </c>
      <c r="EU119" s="675">
        <v>49461</v>
      </c>
      <c r="EV119" s="675">
        <v>0</v>
      </c>
      <c r="EW119" s="675">
        <v>0</v>
      </c>
      <c r="EX119" s="675">
        <v>0</v>
      </c>
      <c r="EY119" s="675">
        <v>0</v>
      </c>
      <c r="EZ119" s="675">
        <v>1165038</v>
      </c>
      <c r="FA119" s="675">
        <v>0</v>
      </c>
      <c r="FB119" s="675">
        <v>1214499</v>
      </c>
      <c r="FC119" s="675">
        <v>0.97327799999999998</v>
      </c>
      <c r="FD119" s="675">
        <v>0</v>
      </c>
      <c r="FE119" s="675">
        <v>173944</v>
      </c>
      <c r="FF119" s="675">
        <v>39198</v>
      </c>
      <c r="FG119" s="675">
        <v>6.1239999999999996E-2</v>
      </c>
      <c r="FH119" s="675">
        <v>5.4803999999999999E-2</v>
      </c>
      <c r="FI119" s="675">
        <v>0</v>
      </c>
      <c r="FJ119" s="675">
        <v>0</v>
      </c>
      <c r="FK119" s="675">
        <v>223.86200000000002</v>
      </c>
      <c r="FL119" s="675">
        <v>1455764</v>
      </c>
      <c r="FM119" s="675">
        <v>0</v>
      </c>
      <c r="FN119" s="675">
        <v>0</v>
      </c>
      <c r="FO119" s="675">
        <v>11385</v>
      </c>
      <c r="FP119" s="675">
        <v>0</v>
      </c>
      <c r="FQ119" s="675">
        <v>11385</v>
      </c>
      <c r="FR119" s="675">
        <v>11385</v>
      </c>
      <c r="FS119" s="675">
        <v>0</v>
      </c>
      <c r="FT119" s="675">
        <v>0</v>
      </c>
      <c r="FU119" s="675">
        <v>0</v>
      </c>
      <c r="FV119" s="675">
        <v>0</v>
      </c>
      <c r="FW119" s="675">
        <v>0</v>
      </c>
      <c r="FX119" s="675">
        <v>0</v>
      </c>
      <c r="FY119" s="675">
        <v>0</v>
      </c>
      <c r="FZ119" s="675">
        <v>0</v>
      </c>
      <c r="GA119" s="675">
        <v>0</v>
      </c>
      <c r="GB119" s="675">
        <v>0</v>
      </c>
      <c r="GC119" s="675">
        <v>0</v>
      </c>
      <c r="GD119" s="675">
        <v>0</v>
      </c>
      <c r="GE119" s="675">
        <v>0</v>
      </c>
      <c r="GF119" s="675">
        <v>0</v>
      </c>
      <c r="GG119" s="675">
        <v>0</v>
      </c>
      <c r="GH119" s="675">
        <v>0</v>
      </c>
      <c r="GI119" s="675">
        <v>0</v>
      </c>
      <c r="GJ119" s="675">
        <v>0</v>
      </c>
      <c r="GK119" s="675">
        <v>0</v>
      </c>
      <c r="GL119" s="675">
        <v>0</v>
      </c>
      <c r="GM119" s="675">
        <v>0</v>
      </c>
      <c r="GN119" s="675">
        <v>0</v>
      </c>
      <c r="GO119" s="675">
        <v>0</v>
      </c>
      <c r="GP119" s="675">
        <v>1427641</v>
      </c>
      <c r="GQ119" s="675">
        <v>1427641</v>
      </c>
      <c r="GR119" s="675">
        <v>0</v>
      </c>
      <c r="GS119" s="675">
        <v>0</v>
      </c>
      <c r="GT119" s="675">
        <v>0</v>
      </c>
      <c r="GU119" s="675">
        <v>0</v>
      </c>
      <c r="GV119" s="675">
        <v>0</v>
      </c>
      <c r="GW119" s="675">
        <v>0</v>
      </c>
      <c r="GX119" s="675">
        <v>0</v>
      </c>
      <c r="GY119" s="675">
        <v>0</v>
      </c>
      <c r="GZ119" s="675">
        <v>0</v>
      </c>
      <c r="HA119" s="675">
        <v>0</v>
      </c>
      <c r="HB119" s="675">
        <v>260786259</v>
      </c>
      <c r="HC119" s="675">
        <v>5.0923999999999997E-2</v>
      </c>
      <c r="HD119" s="675">
        <v>28123</v>
      </c>
      <c r="HE119" s="675">
        <v>0</v>
      </c>
      <c r="HF119" s="675">
        <v>0</v>
      </c>
      <c r="HG119" s="675">
        <v>0</v>
      </c>
      <c r="HH119" s="675">
        <v>0</v>
      </c>
      <c r="HI119" s="675">
        <v>0</v>
      </c>
      <c r="HJ119" s="675">
        <v>0</v>
      </c>
      <c r="HK119" s="675">
        <v>0</v>
      </c>
      <c r="HL119" s="675">
        <v>0</v>
      </c>
      <c r="HM119" s="675">
        <v>0</v>
      </c>
      <c r="HN119" s="675">
        <v>0</v>
      </c>
      <c r="HO119" s="675">
        <v>0</v>
      </c>
      <c r="HP119" s="675">
        <v>0</v>
      </c>
      <c r="HQ119" s="675">
        <v>0</v>
      </c>
      <c r="HR119" s="675">
        <v>0</v>
      </c>
      <c r="HS119" s="675">
        <v>0</v>
      </c>
      <c r="HT119" s="675">
        <v>0</v>
      </c>
      <c r="HU119" s="675">
        <v>0</v>
      </c>
      <c r="HV119" s="675">
        <v>0</v>
      </c>
      <c r="HW119" s="675">
        <v>0</v>
      </c>
      <c r="HX119" s="675">
        <v>0</v>
      </c>
      <c r="HY119" s="675">
        <v>0</v>
      </c>
      <c r="HZ119" s="675">
        <v>0</v>
      </c>
      <c r="IA119" s="675">
        <v>0</v>
      </c>
      <c r="IB119" s="675">
        <v>0</v>
      </c>
      <c r="IC119" s="675">
        <v>0</v>
      </c>
      <c r="ID119" s="675">
        <v>0</v>
      </c>
      <c r="IE119" s="675">
        <v>0</v>
      </c>
      <c r="IF119" s="675">
        <v>0</v>
      </c>
      <c r="IG119" s="675">
        <v>0</v>
      </c>
      <c r="IH119" s="675">
        <v>0</v>
      </c>
      <c r="II119" s="675">
        <v>0</v>
      </c>
      <c r="IJ119" s="675">
        <v>0</v>
      </c>
      <c r="IK119" s="675">
        <v>0</v>
      </c>
      <c r="IL119" s="675">
        <v>0</v>
      </c>
      <c r="IM119" s="675">
        <v>0</v>
      </c>
      <c r="IN119" s="675">
        <v>0</v>
      </c>
      <c r="IO119" s="675">
        <v>0</v>
      </c>
      <c r="IP119" s="675">
        <v>0</v>
      </c>
      <c r="IQ119" s="675">
        <v>0</v>
      </c>
      <c r="IR119" s="675">
        <v>0</v>
      </c>
      <c r="IS119" s="675">
        <v>0</v>
      </c>
      <c r="IT119" s="675">
        <v>0</v>
      </c>
      <c r="IU119" s="675">
        <v>0</v>
      </c>
      <c r="IV119" s="675">
        <v>0</v>
      </c>
      <c r="IW119" s="675">
        <v>0</v>
      </c>
      <c r="IX119" s="675">
        <v>0</v>
      </c>
      <c r="IY119" s="675">
        <v>0</v>
      </c>
      <c r="IZ119" s="675">
        <v>0</v>
      </c>
      <c r="JA119" s="675">
        <v>0</v>
      </c>
      <c r="JB119" s="675">
        <v>0</v>
      </c>
      <c r="JC119" s="675">
        <v>0</v>
      </c>
      <c r="JD119" s="675">
        <v>0</v>
      </c>
      <c r="JE119" s="675">
        <v>0</v>
      </c>
      <c r="JF119" s="675">
        <v>0</v>
      </c>
      <c r="JG119" s="675">
        <v>0</v>
      </c>
      <c r="JH119" s="675">
        <v>0</v>
      </c>
      <c r="JI119" s="675">
        <v>0</v>
      </c>
      <c r="JJ119" s="675">
        <v>0</v>
      </c>
      <c r="JK119" s="675">
        <v>0</v>
      </c>
      <c r="JL119" s="675">
        <v>0</v>
      </c>
      <c r="JM119" s="675">
        <v>0</v>
      </c>
      <c r="JN119" s="675">
        <v>32469</v>
      </c>
      <c r="JO119" s="675">
        <v>0</v>
      </c>
      <c r="JP119" s="675">
        <v>0</v>
      </c>
      <c r="JQ119" s="675">
        <v>0</v>
      </c>
      <c r="JR119" s="675">
        <v>0</v>
      </c>
      <c r="JS119" s="675">
        <v>0</v>
      </c>
      <c r="JT119" s="675">
        <v>0</v>
      </c>
      <c r="JU119" s="675">
        <v>0</v>
      </c>
      <c r="JV119" s="675">
        <v>0</v>
      </c>
      <c r="JW119" s="675">
        <v>0</v>
      </c>
      <c r="JX119" s="675">
        <v>0</v>
      </c>
      <c r="JY119" s="675">
        <v>0</v>
      </c>
      <c r="JZ119" s="675">
        <v>0</v>
      </c>
      <c r="KA119" s="675">
        <v>0</v>
      </c>
      <c r="KB119" s="675">
        <v>0</v>
      </c>
      <c r="KC119" s="675">
        <v>0</v>
      </c>
      <c r="KD119" s="675">
        <v>0</v>
      </c>
      <c r="KE119" s="675">
        <v>0</v>
      </c>
      <c r="KF119" s="675">
        <v>0</v>
      </c>
    </row>
    <row r="120" spans="1:292" x14ac:dyDescent="0.25">
      <c r="A120" s="675">
        <v>101873</v>
      </c>
      <c r="B120" s="675">
        <v>32570</v>
      </c>
      <c r="C120" s="675">
        <v>35</v>
      </c>
      <c r="D120" s="675">
        <v>2022</v>
      </c>
      <c r="E120" s="675">
        <v>5392</v>
      </c>
      <c r="F120" s="675">
        <v>0</v>
      </c>
      <c r="G120" s="675">
        <v>243.84300000000002</v>
      </c>
      <c r="H120" s="675">
        <v>241.56700000000001</v>
      </c>
      <c r="I120" s="675">
        <v>241.56700000000001</v>
      </c>
      <c r="J120" s="675">
        <v>243.84300000000002</v>
      </c>
      <c r="K120" s="675">
        <v>0</v>
      </c>
      <c r="L120" s="675">
        <v>6554</v>
      </c>
      <c r="M120" s="675">
        <v>0</v>
      </c>
      <c r="N120" s="675">
        <v>0</v>
      </c>
      <c r="O120" s="675">
        <v>0</v>
      </c>
      <c r="P120" s="675">
        <v>203.03900000000002</v>
      </c>
      <c r="Q120" s="675">
        <v>0</v>
      </c>
      <c r="R120" s="675">
        <v>64914</v>
      </c>
      <c r="S120" s="675">
        <v>319.71300000000002</v>
      </c>
      <c r="T120" s="675">
        <v>0</v>
      </c>
      <c r="U120" s="675">
        <v>64914</v>
      </c>
      <c r="V120" s="675">
        <v>0</v>
      </c>
      <c r="W120" s="675">
        <v>0</v>
      </c>
      <c r="X120" s="675">
        <v>0</v>
      </c>
      <c r="Y120" s="675">
        <v>0</v>
      </c>
      <c r="Z120" s="675">
        <v>0</v>
      </c>
      <c r="AA120" s="675">
        <v>1</v>
      </c>
      <c r="AB120" s="675">
        <v>1</v>
      </c>
      <c r="AC120" s="675">
        <v>0</v>
      </c>
      <c r="AD120" s="675" t="s">
        <v>316</v>
      </c>
      <c r="AE120" s="675">
        <v>0</v>
      </c>
      <c r="AF120" s="675">
        <v>0</v>
      </c>
      <c r="AG120" s="675">
        <v>0</v>
      </c>
      <c r="AH120" s="675">
        <v>0</v>
      </c>
      <c r="AI120" s="675">
        <v>0</v>
      </c>
      <c r="AJ120" s="675">
        <v>5104</v>
      </c>
      <c r="AK120" s="675" t="s">
        <v>671</v>
      </c>
      <c r="AL120" s="675" t="s">
        <v>452</v>
      </c>
      <c r="AM120" s="675">
        <v>0</v>
      </c>
      <c r="AN120" s="675">
        <v>0</v>
      </c>
      <c r="AO120" s="675">
        <v>0</v>
      </c>
      <c r="AP120" s="675">
        <v>0</v>
      </c>
      <c r="AQ120" s="675">
        <v>0</v>
      </c>
      <c r="AR120" s="675">
        <v>0</v>
      </c>
      <c r="AS120" s="675">
        <v>0</v>
      </c>
      <c r="AT120" s="675">
        <v>0</v>
      </c>
      <c r="AU120" s="675">
        <v>0</v>
      </c>
      <c r="AV120" s="675">
        <v>152752</v>
      </c>
      <c r="AW120" s="675">
        <v>2321462</v>
      </c>
      <c r="AX120" s="675">
        <v>2317081</v>
      </c>
      <c r="AY120" s="675">
        <v>2538047</v>
      </c>
      <c r="AZ120" s="675">
        <v>69295</v>
      </c>
      <c r="BA120" s="675">
        <v>0</v>
      </c>
      <c r="BB120" s="675">
        <v>0</v>
      </c>
      <c r="BC120" s="675">
        <v>0</v>
      </c>
      <c r="BD120" s="675">
        <v>0</v>
      </c>
      <c r="BE120" s="675">
        <v>0</v>
      </c>
      <c r="BF120" s="675">
        <v>1943897</v>
      </c>
      <c r="BG120" s="675">
        <v>0</v>
      </c>
      <c r="BH120" s="675">
        <v>15.932</v>
      </c>
      <c r="BI120" s="675">
        <v>4381</v>
      </c>
      <c r="BJ120" s="675">
        <v>12</v>
      </c>
      <c r="BK120" s="675">
        <v>0</v>
      </c>
      <c r="BL120" s="675">
        <v>0</v>
      </c>
      <c r="BM120" s="675">
        <v>0</v>
      </c>
      <c r="BN120" s="675">
        <v>0</v>
      </c>
      <c r="BO120" s="675">
        <v>0</v>
      </c>
      <c r="BP120" s="675">
        <v>0</v>
      </c>
      <c r="BQ120" s="675">
        <v>5392</v>
      </c>
      <c r="BR120" s="675">
        <v>1</v>
      </c>
      <c r="BS120" s="675">
        <v>0</v>
      </c>
      <c r="BT120" s="675">
        <v>0</v>
      </c>
      <c r="BU120" s="675">
        <v>0</v>
      </c>
      <c r="BV120" s="675">
        <v>0</v>
      </c>
      <c r="BW120" s="675">
        <v>0</v>
      </c>
      <c r="BX120" s="675">
        <v>0</v>
      </c>
      <c r="BY120" s="675">
        <v>0</v>
      </c>
      <c r="BZ120" s="675">
        <v>0</v>
      </c>
      <c r="CA120" s="675">
        <v>0</v>
      </c>
      <c r="CB120" s="675">
        <v>0</v>
      </c>
      <c r="CC120" s="675">
        <v>0</v>
      </c>
      <c r="CD120" s="675">
        <v>0</v>
      </c>
      <c r="CE120" s="675">
        <v>0</v>
      </c>
      <c r="CF120" s="675">
        <v>0</v>
      </c>
      <c r="CG120" s="675">
        <v>0</v>
      </c>
      <c r="CH120" s="675">
        <v>0</v>
      </c>
      <c r="CI120" s="675">
        <v>0</v>
      </c>
      <c r="CJ120" s="675">
        <v>4</v>
      </c>
      <c r="CK120" s="675">
        <v>0</v>
      </c>
      <c r="CL120" s="675">
        <v>0</v>
      </c>
      <c r="CM120" s="675">
        <v>0</v>
      </c>
      <c r="CN120" s="675">
        <v>0</v>
      </c>
      <c r="CO120" s="675">
        <v>0</v>
      </c>
      <c r="CP120" s="675">
        <v>0</v>
      </c>
      <c r="CQ120" s="675">
        <v>0</v>
      </c>
      <c r="CR120" s="675">
        <v>203.03900000000002</v>
      </c>
      <c r="CS120" s="675">
        <v>0</v>
      </c>
      <c r="CT120" s="675">
        <v>0</v>
      </c>
      <c r="CU120" s="675">
        <v>0</v>
      </c>
      <c r="CV120" s="675">
        <v>0</v>
      </c>
      <c r="CW120" s="675">
        <v>0</v>
      </c>
      <c r="CX120" s="675">
        <v>0</v>
      </c>
      <c r="CY120" s="675">
        <v>0</v>
      </c>
      <c r="CZ120" s="675">
        <v>0</v>
      </c>
      <c r="DA120" s="675">
        <v>1</v>
      </c>
      <c r="DB120" s="675">
        <v>1583230</v>
      </c>
      <c r="DC120" s="675">
        <v>0</v>
      </c>
      <c r="DD120" s="675">
        <v>0</v>
      </c>
      <c r="DE120" s="675">
        <v>292745</v>
      </c>
      <c r="DF120" s="675">
        <v>292745</v>
      </c>
      <c r="DG120" s="675">
        <v>223.333</v>
      </c>
      <c r="DH120" s="675">
        <v>0</v>
      </c>
      <c r="DI120" s="675">
        <v>0</v>
      </c>
      <c r="DJ120" s="675">
        <v>0</v>
      </c>
      <c r="DK120" s="675">
        <v>5392</v>
      </c>
      <c r="DL120" s="675">
        <v>0</v>
      </c>
      <c r="DM120" s="675">
        <v>121294</v>
      </c>
      <c r="DN120" s="675">
        <v>0</v>
      </c>
      <c r="DO120" s="675">
        <v>0</v>
      </c>
      <c r="DP120" s="675">
        <v>0</v>
      </c>
      <c r="DQ120" s="675">
        <v>0</v>
      </c>
      <c r="DR120" s="675">
        <v>0</v>
      </c>
      <c r="DS120" s="675">
        <v>0</v>
      </c>
      <c r="DT120" s="675">
        <v>0</v>
      </c>
      <c r="DU120" s="675">
        <v>0</v>
      </c>
      <c r="DV120" s="675">
        <v>0</v>
      </c>
      <c r="DW120" s="675">
        <v>0</v>
      </c>
      <c r="DX120" s="675">
        <v>0</v>
      </c>
      <c r="DY120" s="675">
        <v>0</v>
      </c>
      <c r="DZ120" s="675">
        <v>0</v>
      </c>
      <c r="EA120" s="675">
        <v>0</v>
      </c>
      <c r="EB120" s="675">
        <v>0</v>
      </c>
      <c r="EC120" s="675">
        <v>10.528</v>
      </c>
      <c r="ED120" s="675">
        <v>75901</v>
      </c>
      <c r="EE120" s="675">
        <v>0</v>
      </c>
      <c r="EF120" s="675">
        <v>0</v>
      </c>
      <c r="EG120" s="675">
        <v>0</v>
      </c>
      <c r="EH120" s="675">
        <v>45393</v>
      </c>
      <c r="EI120" s="675">
        <v>0</v>
      </c>
      <c r="EJ120" s="675">
        <v>0</v>
      </c>
      <c r="EK120" s="675">
        <v>1.764</v>
      </c>
      <c r="EL120" s="675">
        <v>0</v>
      </c>
      <c r="EM120" s="675">
        <v>0.46300000000000002</v>
      </c>
      <c r="EN120" s="675">
        <v>4.9000000000000002E-2</v>
      </c>
      <c r="EO120" s="675">
        <v>0</v>
      </c>
      <c r="EP120" s="675">
        <v>0</v>
      </c>
      <c r="EQ120" s="675">
        <v>2.2760000000000002</v>
      </c>
      <c r="ER120" s="675">
        <v>0</v>
      </c>
      <c r="ES120" s="675">
        <v>6.9260000000000002</v>
      </c>
      <c r="ET120" s="675">
        <v>0</v>
      </c>
      <c r="EU120" s="675">
        <v>69295</v>
      </c>
      <c r="EV120" s="675">
        <v>0</v>
      </c>
      <c r="EW120" s="675">
        <v>0</v>
      </c>
      <c r="EX120" s="675">
        <v>0</v>
      </c>
      <c r="EY120" s="675">
        <v>0</v>
      </c>
      <c r="EZ120" s="675">
        <v>1954448</v>
      </c>
      <c r="FA120" s="675">
        <v>0</v>
      </c>
      <c r="FB120" s="675">
        <v>2023743</v>
      </c>
      <c r="FC120" s="675">
        <v>0.97327799999999998</v>
      </c>
      <c r="FD120" s="675">
        <v>0</v>
      </c>
      <c r="FE120" s="675">
        <v>295943</v>
      </c>
      <c r="FF120" s="675">
        <v>66690</v>
      </c>
      <c r="FG120" s="675">
        <v>6.1239999999999996E-2</v>
      </c>
      <c r="FH120" s="675">
        <v>5.4803999999999999E-2</v>
      </c>
      <c r="FI120" s="675">
        <v>0</v>
      </c>
      <c r="FJ120" s="675">
        <v>0</v>
      </c>
      <c r="FK120" s="675">
        <v>380.87100000000004</v>
      </c>
      <c r="FL120" s="675">
        <v>2386376</v>
      </c>
      <c r="FM120" s="675">
        <v>0</v>
      </c>
      <c r="FN120" s="675">
        <v>0</v>
      </c>
      <c r="FO120" s="675">
        <v>22093</v>
      </c>
      <c r="FP120" s="675">
        <v>0</v>
      </c>
      <c r="FQ120" s="675">
        <v>22093</v>
      </c>
      <c r="FR120" s="675">
        <v>22093</v>
      </c>
      <c r="FS120" s="675">
        <v>0</v>
      </c>
      <c r="FT120" s="675">
        <v>0</v>
      </c>
      <c r="FU120" s="675">
        <v>0</v>
      </c>
      <c r="FV120" s="675">
        <v>0</v>
      </c>
      <c r="FW120" s="675">
        <v>0</v>
      </c>
      <c r="FX120" s="675">
        <v>0</v>
      </c>
      <c r="FY120" s="675">
        <v>0</v>
      </c>
      <c r="FZ120" s="675">
        <v>0</v>
      </c>
      <c r="GA120" s="675">
        <v>0</v>
      </c>
      <c r="GB120" s="675">
        <v>0</v>
      </c>
      <c r="GC120" s="675">
        <v>0</v>
      </c>
      <c r="GD120" s="675">
        <v>0</v>
      </c>
      <c r="GE120" s="675">
        <v>0</v>
      </c>
      <c r="GF120" s="675">
        <v>0</v>
      </c>
      <c r="GG120" s="675">
        <v>0</v>
      </c>
      <c r="GH120" s="675">
        <v>0</v>
      </c>
      <c r="GI120" s="675">
        <v>0</v>
      </c>
      <c r="GJ120" s="675">
        <v>0</v>
      </c>
      <c r="GK120" s="675">
        <v>0</v>
      </c>
      <c r="GL120" s="675">
        <v>0</v>
      </c>
      <c r="GM120" s="675">
        <v>0</v>
      </c>
      <c r="GN120" s="675">
        <v>0</v>
      </c>
      <c r="GO120" s="675">
        <v>0</v>
      </c>
      <c r="GP120" s="675">
        <v>2386376</v>
      </c>
      <c r="GQ120" s="675">
        <v>2386376</v>
      </c>
      <c r="GR120" s="675">
        <v>0</v>
      </c>
      <c r="GS120" s="675">
        <v>0</v>
      </c>
      <c r="GT120" s="675">
        <v>0</v>
      </c>
      <c r="GU120" s="675">
        <v>0</v>
      </c>
      <c r="GV120" s="675">
        <v>0</v>
      </c>
      <c r="GW120" s="675">
        <v>0</v>
      </c>
      <c r="GX120" s="675">
        <v>0</v>
      </c>
      <c r="GY120" s="675">
        <v>0</v>
      </c>
      <c r="GZ120" s="675">
        <v>0</v>
      </c>
      <c r="HA120" s="675">
        <v>0</v>
      </c>
      <c r="HB120" s="675">
        <v>0</v>
      </c>
      <c r="HC120" s="675">
        <v>0</v>
      </c>
      <c r="HD120" s="675">
        <v>0</v>
      </c>
      <c r="HE120" s="675">
        <v>0</v>
      </c>
      <c r="HF120" s="675">
        <v>0</v>
      </c>
      <c r="HG120" s="675">
        <v>0</v>
      </c>
      <c r="HH120" s="675">
        <v>0</v>
      </c>
      <c r="HI120" s="675">
        <v>0</v>
      </c>
      <c r="HJ120" s="675">
        <v>0</v>
      </c>
      <c r="HK120" s="675">
        <v>0</v>
      </c>
      <c r="HL120" s="675">
        <v>0</v>
      </c>
      <c r="HM120" s="675">
        <v>0</v>
      </c>
      <c r="HN120" s="675">
        <v>0</v>
      </c>
      <c r="HO120" s="675">
        <v>0</v>
      </c>
      <c r="HP120" s="675">
        <v>0</v>
      </c>
      <c r="HQ120" s="675">
        <v>0</v>
      </c>
      <c r="HR120" s="675">
        <v>0</v>
      </c>
      <c r="HS120" s="675">
        <v>0</v>
      </c>
      <c r="HT120" s="675">
        <v>0</v>
      </c>
      <c r="HU120" s="675">
        <v>0</v>
      </c>
      <c r="HV120" s="675">
        <v>0</v>
      </c>
      <c r="HW120" s="675">
        <v>0</v>
      </c>
      <c r="HX120" s="675">
        <v>0</v>
      </c>
      <c r="HY120" s="675">
        <v>0</v>
      </c>
      <c r="HZ120" s="675">
        <v>0</v>
      </c>
      <c r="IA120" s="675">
        <v>0</v>
      </c>
      <c r="IB120" s="675">
        <v>0</v>
      </c>
      <c r="IC120" s="675">
        <v>0</v>
      </c>
      <c r="ID120" s="675">
        <v>0</v>
      </c>
      <c r="IE120" s="675">
        <v>0</v>
      </c>
      <c r="IF120" s="675">
        <v>0</v>
      </c>
      <c r="IG120" s="675">
        <v>0</v>
      </c>
      <c r="IH120" s="675">
        <v>0</v>
      </c>
      <c r="II120" s="675">
        <v>0</v>
      </c>
      <c r="IJ120" s="675">
        <v>0</v>
      </c>
      <c r="IK120" s="675">
        <v>0</v>
      </c>
      <c r="IL120" s="675">
        <v>0</v>
      </c>
      <c r="IM120" s="675">
        <v>0</v>
      </c>
      <c r="IN120" s="675">
        <v>0</v>
      </c>
      <c r="IO120" s="675">
        <v>0</v>
      </c>
      <c r="IP120" s="675">
        <v>0</v>
      </c>
      <c r="IQ120" s="675">
        <v>0</v>
      </c>
      <c r="IR120" s="675">
        <v>0</v>
      </c>
      <c r="IS120" s="675">
        <v>0</v>
      </c>
      <c r="IT120" s="675">
        <v>0</v>
      </c>
      <c r="IU120" s="675">
        <v>0</v>
      </c>
      <c r="IV120" s="675">
        <v>0</v>
      </c>
      <c r="IW120" s="675">
        <v>0</v>
      </c>
      <c r="IX120" s="675">
        <v>0</v>
      </c>
      <c r="IY120" s="675">
        <v>0</v>
      </c>
      <c r="IZ120" s="675">
        <v>0</v>
      </c>
      <c r="JA120" s="675">
        <v>0</v>
      </c>
      <c r="JB120" s="675">
        <v>0</v>
      </c>
      <c r="JC120" s="675">
        <v>0</v>
      </c>
      <c r="JD120" s="675">
        <v>0</v>
      </c>
      <c r="JE120" s="675">
        <v>0</v>
      </c>
      <c r="JF120" s="675">
        <v>0</v>
      </c>
      <c r="JG120" s="675">
        <v>0</v>
      </c>
      <c r="JH120" s="675">
        <v>0</v>
      </c>
      <c r="JI120" s="675">
        <v>0</v>
      </c>
      <c r="JJ120" s="675">
        <v>0</v>
      </c>
      <c r="JK120" s="675">
        <v>0</v>
      </c>
      <c r="JL120" s="675">
        <v>0</v>
      </c>
      <c r="JM120" s="675">
        <v>0</v>
      </c>
      <c r="JN120" s="675">
        <v>32469</v>
      </c>
      <c r="JO120" s="675">
        <v>0</v>
      </c>
      <c r="JP120" s="675">
        <v>0</v>
      </c>
      <c r="JQ120" s="675">
        <v>0</v>
      </c>
      <c r="JR120" s="675">
        <v>0</v>
      </c>
      <c r="JS120" s="675">
        <v>0</v>
      </c>
      <c r="JT120" s="675">
        <v>0</v>
      </c>
      <c r="JU120" s="675">
        <v>0</v>
      </c>
      <c r="JV120" s="675">
        <v>0</v>
      </c>
      <c r="JW120" s="675">
        <v>0</v>
      </c>
      <c r="JX120" s="675">
        <v>0</v>
      </c>
      <c r="JY120" s="675">
        <v>0</v>
      </c>
      <c r="JZ120" s="675">
        <v>0</v>
      </c>
      <c r="KA120" s="675">
        <v>0</v>
      </c>
      <c r="KB120" s="675">
        <v>0</v>
      </c>
      <c r="KC120" s="675">
        <v>0</v>
      </c>
      <c r="KD120" s="675">
        <v>0</v>
      </c>
      <c r="KE120" s="675">
        <v>0</v>
      </c>
      <c r="KF120" s="675">
        <v>0</v>
      </c>
    </row>
    <row r="121" spans="1:292" x14ac:dyDescent="0.25">
      <c r="A121" s="675">
        <v>101874</v>
      </c>
      <c r="B121" s="675">
        <v>32570</v>
      </c>
      <c r="C121" s="675">
        <v>35</v>
      </c>
      <c r="D121" s="675">
        <v>2022</v>
      </c>
      <c r="E121" s="675">
        <v>5392</v>
      </c>
      <c r="F121" s="675">
        <v>0</v>
      </c>
      <c r="G121" s="675">
        <v>384.16</v>
      </c>
      <c r="H121" s="675">
        <v>343.38300000000004</v>
      </c>
      <c r="I121" s="675">
        <v>343.38300000000004</v>
      </c>
      <c r="J121" s="675">
        <v>384.16</v>
      </c>
      <c r="K121" s="675">
        <v>0</v>
      </c>
      <c r="L121" s="675">
        <v>6554</v>
      </c>
      <c r="M121" s="675">
        <v>0</v>
      </c>
      <c r="N121" s="675">
        <v>0</v>
      </c>
      <c r="O121" s="675">
        <v>0</v>
      </c>
      <c r="P121" s="675">
        <v>357.02100000000002</v>
      </c>
      <c r="Q121" s="675">
        <v>0</v>
      </c>
      <c r="R121" s="675">
        <v>114144</v>
      </c>
      <c r="S121" s="675">
        <v>319.71300000000002</v>
      </c>
      <c r="T121" s="675">
        <v>0</v>
      </c>
      <c r="U121" s="675">
        <v>114144</v>
      </c>
      <c r="V121" s="675">
        <v>3.915</v>
      </c>
      <c r="W121" s="675">
        <v>2566</v>
      </c>
      <c r="X121" s="675">
        <v>2566</v>
      </c>
      <c r="Y121" s="675">
        <v>0</v>
      </c>
      <c r="Z121" s="675">
        <v>0</v>
      </c>
      <c r="AA121" s="675">
        <v>1</v>
      </c>
      <c r="AB121" s="675">
        <v>1</v>
      </c>
      <c r="AC121" s="675">
        <v>0</v>
      </c>
      <c r="AD121" s="675" t="s">
        <v>316</v>
      </c>
      <c r="AE121" s="675">
        <v>0</v>
      </c>
      <c r="AF121" s="675">
        <v>0</v>
      </c>
      <c r="AG121" s="675">
        <v>0</v>
      </c>
      <c r="AH121" s="675">
        <v>0</v>
      </c>
      <c r="AI121" s="675">
        <v>0</v>
      </c>
      <c r="AJ121" s="675">
        <v>5104</v>
      </c>
      <c r="AK121" s="675" t="s">
        <v>671</v>
      </c>
      <c r="AL121" s="675" t="s">
        <v>445</v>
      </c>
      <c r="AM121" s="675">
        <v>0</v>
      </c>
      <c r="AN121" s="675">
        <v>0</v>
      </c>
      <c r="AO121" s="675">
        <v>0</v>
      </c>
      <c r="AP121" s="675">
        <v>0</v>
      </c>
      <c r="AQ121" s="675">
        <v>0</v>
      </c>
      <c r="AR121" s="675">
        <v>0</v>
      </c>
      <c r="AS121" s="675">
        <v>0</v>
      </c>
      <c r="AT121" s="675">
        <v>0</v>
      </c>
      <c r="AU121" s="675">
        <v>0</v>
      </c>
      <c r="AV121" s="675">
        <v>76021</v>
      </c>
      <c r="AW121" s="675">
        <v>3404057</v>
      </c>
      <c r="AX121" s="675">
        <v>3336189</v>
      </c>
      <c r="AY121" s="675">
        <v>3542206</v>
      </c>
      <c r="AZ121" s="675">
        <v>182012</v>
      </c>
      <c r="BA121" s="675">
        <v>0</v>
      </c>
      <c r="BB121" s="675">
        <v>0</v>
      </c>
      <c r="BC121" s="675">
        <v>0</v>
      </c>
      <c r="BD121" s="675">
        <v>0</v>
      </c>
      <c r="BE121" s="675">
        <v>0</v>
      </c>
      <c r="BF121" s="675">
        <v>2842106</v>
      </c>
      <c r="BG121" s="675">
        <v>0</v>
      </c>
      <c r="BH121" s="675">
        <v>192.51900000000001</v>
      </c>
      <c r="BI121" s="675">
        <v>52943</v>
      </c>
      <c r="BJ121" s="675">
        <v>12</v>
      </c>
      <c r="BK121" s="675">
        <v>0</v>
      </c>
      <c r="BL121" s="675">
        <v>0</v>
      </c>
      <c r="BM121" s="675">
        <v>0</v>
      </c>
      <c r="BN121" s="675">
        <v>0</v>
      </c>
      <c r="BO121" s="675">
        <v>0</v>
      </c>
      <c r="BP121" s="675">
        <v>0</v>
      </c>
      <c r="BQ121" s="675">
        <v>5392</v>
      </c>
      <c r="BR121" s="675">
        <v>1</v>
      </c>
      <c r="BS121" s="675">
        <v>0</v>
      </c>
      <c r="BT121" s="675">
        <v>0</v>
      </c>
      <c r="BU121" s="675">
        <v>0</v>
      </c>
      <c r="BV121" s="675">
        <v>0</v>
      </c>
      <c r="BW121" s="675">
        <v>0</v>
      </c>
      <c r="BX121" s="675">
        <v>0</v>
      </c>
      <c r="BY121" s="675">
        <v>0</v>
      </c>
      <c r="BZ121" s="675">
        <v>0</v>
      </c>
      <c r="CA121" s="675">
        <v>39.044000000000004</v>
      </c>
      <c r="CB121" s="675">
        <v>14925</v>
      </c>
      <c r="CC121" s="675">
        <v>0</v>
      </c>
      <c r="CD121" s="675">
        <v>0</v>
      </c>
      <c r="CE121" s="675">
        <v>0</v>
      </c>
      <c r="CF121" s="675">
        <v>0</v>
      </c>
      <c r="CG121" s="675">
        <v>0</v>
      </c>
      <c r="CH121" s="675">
        <v>0</v>
      </c>
      <c r="CI121" s="675">
        <v>0</v>
      </c>
      <c r="CJ121" s="675">
        <v>4</v>
      </c>
      <c r="CK121" s="675">
        <v>0</v>
      </c>
      <c r="CL121" s="675">
        <v>0</v>
      </c>
      <c r="CM121" s="675">
        <v>0</v>
      </c>
      <c r="CN121" s="675">
        <v>0</v>
      </c>
      <c r="CO121" s="675">
        <v>0</v>
      </c>
      <c r="CP121" s="675">
        <v>0</v>
      </c>
      <c r="CQ121" s="675">
        <v>0</v>
      </c>
      <c r="CR121" s="675">
        <v>357.02100000000002</v>
      </c>
      <c r="CS121" s="675">
        <v>0</v>
      </c>
      <c r="CT121" s="675">
        <v>0</v>
      </c>
      <c r="CU121" s="675">
        <v>0</v>
      </c>
      <c r="CV121" s="675">
        <v>0</v>
      </c>
      <c r="CW121" s="675">
        <v>0</v>
      </c>
      <c r="CX121" s="675">
        <v>0</v>
      </c>
      <c r="CY121" s="675">
        <v>0</v>
      </c>
      <c r="CZ121" s="675">
        <v>0</v>
      </c>
      <c r="DA121" s="675">
        <v>1</v>
      </c>
      <c r="DB121" s="675">
        <v>2250532</v>
      </c>
      <c r="DC121" s="675">
        <v>0</v>
      </c>
      <c r="DD121" s="675">
        <v>0</v>
      </c>
      <c r="DE121" s="675">
        <v>157951</v>
      </c>
      <c r="DF121" s="675">
        <v>157951</v>
      </c>
      <c r="DG121" s="675">
        <v>120.5</v>
      </c>
      <c r="DH121" s="675">
        <v>0</v>
      </c>
      <c r="DI121" s="675">
        <v>0</v>
      </c>
      <c r="DJ121" s="675">
        <v>0</v>
      </c>
      <c r="DK121" s="675">
        <v>5392</v>
      </c>
      <c r="DL121" s="675">
        <v>0</v>
      </c>
      <c r="DM121" s="675">
        <v>148523</v>
      </c>
      <c r="DN121" s="675">
        <v>0</v>
      </c>
      <c r="DO121" s="675">
        <v>0</v>
      </c>
      <c r="DP121" s="675">
        <v>0</v>
      </c>
      <c r="DQ121" s="675">
        <v>0</v>
      </c>
      <c r="DR121" s="675">
        <v>0</v>
      </c>
      <c r="DS121" s="675">
        <v>0</v>
      </c>
      <c r="DT121" s="675">
        <v>0</v>
      </c>
      <c r="DU121" s="675">
        <v>0</v>
      </c>
      <c r="DV121" s="675">
        <v>0</v>
      </c>
      <c r="DW121" s="675">
        <v>0</v>
      </c>
      <c r="DX121" s="675">
        <v>0</v>
      </c>
      <c r="DY121" s="675">
        <v>0</v>
      </c>
      <c r="DZ121" s="675">
        <v>0</v>
      </c>
      <c r="EA121" s="675">
        <v>0</v>
      </c>
      <c r="EB121" s="675">
        <v>0</v>
      </c>
      <c r="EC121" s="675">
        <v>20.474</v>
      </c>
      <c r="ED121" s="675">
        <v>147605</v>
      </c>
      <c r="EE121" s="675">
        <v>0</v>
      </c>
      <c r="EF121" s="675">
        <v>0</v>
      </c>
      <c r="EG121" s="675">
        <v>0</v>
      </c>
      <c r="EH121" s="675">
        <v>918</v>
      </c>
      <c r="EI121" s="675">
        <v>0</v>
      </c>
      <c r="EJ121" s="675">
        <v>0</v>
      </c>
      <c r="EK121" s="675">
        <v>0</v>
      </c>
      <c r="EL121" s="675">
        <v>0</v>
      </c>
      <c r="EM121" s="675">
        <v>0</v>
      </c>
      <c r="EN121" s="675">
        <v>2.8000000000000001E-2</v>
      </c>
      <c r="EO121" s="675">
        <v>0</v>
      </c>
      <c r="EP121" s="675">
        <v>0</v>
      </c>
      <c r="EQ121" s="675">
        <v>2.8000000000000001E-2</v>
      </c>
      <c r="ER121" s="675">
        <v>0</v>
      </c>
      <c r="ES121" s="675">
        <v>0.14000000000000001</v>
      </c>
      <c r="ET121" s="675">
        <v>0</v>
      </c>
      <c r="EU121" s="675">
        <v>182012</v>
      </c>
      <c r="EV121" s="675">
        <v>0</v>
      </c>
      <c r="EW121" s="675">
        <v>0</v>
      </c>
      <c r="EX121" s="675">
        <v>0</v>
      </c>
      <c r="EY121" s="675">
        <v>0</v>
      </c>
      <c r="EZ121" s="675">
        <v>2805995</v>
      </c>
      <c r="FA121" s="675">
        <v>0</v>
      </c>
      <c r="FB121" s="675">
        <v>2988007</v>
      </c>
      <c r="FC121" s="675">
        <v>0.97327799999999998</v>
      </c>
      <c r="FD121" s="675">
        <v>0</v>
      </c>
      <c r="FE121" s="675">
        <v>432688</v>
      </c>
      <c r="FF121" s="675">
        <v>97506</v>
      </c>
      <c r="FG121" s="675">
        <v>6.1239999999999996E-2</v>
      </c>
      <c r="FH121" s="675">
        <v>5.4803999999999999E-2</v>
      </c>
      <c r="FI121" s="675">
        <v>0</v>
      </c>
      <c r="FJ121" s="675">
        <v>0</v>
      </c>
      <c r="FK121" s="675">
        <v>556.85800000000006</v>
      </c>
      <c r="FL121" s="675">
        <v>3518201</v>
      </c>
      <c r="FM121" s="675">
        <v>0</v>
      </c>
      <c r="FN121" s="675">
        <v>0</v>
      </c>
      <c r="FO121" s="675">
        <v>0</v>
      </c>
      <c r="FP121" s="675">
        <v>0</v>
      </c>
      <c r="FQ121" s="675">
        <v>0</v>
      </c>
      <c r="FR121" s="675">
        <v>0</v>
      </c>
      <c r="FS121" s="675">
        <v>0</v>
      </c>
      <c r="FT121" s="675">
        <v>0</v>
      </c>
      <c r="FU121" s="675">
        <v>0</v>
      </c>
      <c r="FV121" s="675">
        <v>0</v>
      </c>
      <c r="FW121" s="675">
        <v>0</v>
      </c>
      <c r="FX121" s="675">
        <v>0</v>
      </c>
      <c r="FY121" s="675">
        <v>0</v>
      </c>
      <c r="FZ121" s="675">
        <v>24</v>
      </c>
      <c r="GA121" s="675">
        <v>0.48100000000000004</v>
      </c>
      <c r="GB121" s="675">
        <v>360567</v>
      </c>
      <c r="GC121" s="675">
        <v>360567</v>
      </c>
      <c r="GD121" s="675">
        <v>40.749000000000002</v>
      </c>
      <c r="GE121" s="675">
        <v>0</v>
      </c>
      <c r="GF121" s="675">
        <v>0</v>
      </c>
      <c r="GG121" s="675">
        <v>0</v>
      </c>
      <c r="GH121" s="675">
        <v>0</v>
      </c>
      <c r="GI121" s="675">
        <v>0</v>
      </c>
      <c r="GJ121" s="675">
        <v>0</v>
      </c>
      <c r="GK121" s="675">
        <v>0</v>
      </c>
      <c r="GL121" s="675">
        <v>0</v>
      </c>
      <c r="GM121" s="675">
        <v>0</v>
      </c>
      <c r="GN121" s="675">
        <v>0</v>
      </c>
      <c r="GO121" s="675">
        <v>0</v>
      </c>
      <c r="GP121" s="675">
        <v>3518201</v>
      </c>
      <c r="GQ121" s="675">
        <v>3518201</v>
      </c>
      <c r="GR121" s="675">
        <v>0</v>
      </c>
      <c r="GS121" s="675">
        <v>0</v>
      </c>
      <c r="GT121" s="675">
        <v>0</v>
      </c>
      <c r="GU121" s="675">
        <v>0</v>
      </c>
      <c r="GV121" s="675">
        <v>0</v>
      </c>
      <c r="GW121" s="675">
        <v>0</v>
      </c>
      <c r="GX121" s="675">
        <v>0</v>
      </c>
      <c r="GY121" s="675">
        <v>0</v>
      </c>
      <c r="GZ121" s="675">
        <v>0</v>
      </c>
      <c r="HA121" s="675">
        <v>0</v>
      </c>
      <c r="HB121" s="675">
        <v>0</v>
      </c>
      <c r="HC121" s="675">
        <v>0</v>
      </c>
      <c r="HD121" s="675">
        <v>0</v>
      </c>
      <c r="HE121" s="675">
        <v>0</v>
      </c>
      <c r="HF121" s="675">
        <v>0</v>
      </c>
      <c r="HG121" s="675">
        <v>0</v>
      </c>
      <c r="HH121" s="675">
        <v>0</v>
      </c>
      <c r="HI121" s="675">
        <v>0</v>
      </c>
      <c r="HJ121" s="675">
        <v>0</v>
      </c>
      <c r="HK121" s="675">
        <v>0</v>
      </c>
      <c r="HL121" s="675">
        <v>0</v>
      </c>
      <c r="HM121" s="675">
        <v>0</v>
      </c>
      <c r="HN121" s="675">
        <v>0</v>
      </c>
      <c r="HO121" s="675">
        <v>0</v>
      </c>
      <c r="HP121" s="675">
        <v>0</v>
      </c>
      <c r="HQ121" s="675">
        <v>0</v>
      </c>
      <c r="HR121" s="675">
        <v>0</v>
      </c>
      <c r="HS121" s="675">
        <v>0</v>
      </c>
      <c r="HT121" s="675">
        <v>0</v>
      </c>
      <c r="HU121" s="675">
        <v>0</v>
      </c>
      <c r="HV121" s="675">
        <v>0</v>
      </c>
      <c r="HW121" s="675">
        <v>0</v>
      </c>
      <c r="HX121" s="675">
        <v>0</v>
      </c>
      <c r="HY121" s="675">
        <v>0</v>
      </c>
      <c r="HZ121" s="675">
        <v>0</v>
      </c>
      <c r="IA121" s="675">
        <v>0</v>
      </c>
      <c r="IB121" s="675">
        <v>0</v>
      </c>
      <c r="IC121" s="675">
        <v>0</v>
      </c>
      <c r="ID121" s="675">
        <v>0</v>
      </c>
      <c r="IE121" s="675">
        <v>0</v>
      </c>
      <c r="IF121" s="675">
        <v>0</v>
      </c>
      <c r="IG121" s="675">
        <v>0</v>
      </c>
      <c r="IH121" s="675">
        <v>0</v>
      </c>
      <c r="II121" s="675">
        <v>0</v>
      </c>
      <c r="IJ121" s="675">
        <v>0</v>
      </c>
      <c r="IK121" s="675">
        <v>0</v>
      </c>
      <c r="IL121" s="675">
        <v>0</v>
      </c>
      <c r="IM121" s="675">
        <v>0</v>
      </c>
      <c r="IN121" s="675">
        <v>0</v>
      </c>
      <c r="IO121" s="675">
        <v>0</v>
      </c>
      <c r="IP121" s="675">
        <v>0</v>
      </c>
      <c r="IQ121" s="675">
        <v>0</v>
      </c>
      <c r="IR121" s="675">
        <v>0</v>
      </c>
      <c r="IS121" s="675">
        <v>0</v>
      </c>
      <c r="IT121" s="675">
        <v>0</v>
      </c>
      <c r="IU121" s="675">
        <v>0</v>
      </c>
      <c r="IV121" s="675">
        <v>0</v>
      </c>
      <c r="IW121" s="675">
        <v>0</v>
      </c>
      <c r="IX121" s="675">
        <v>0</v>
      </c>
      <c r="IY121" s="675">
        <v>0</v>
      </c>
      <c r="IZ121" s="675">
        <v>0</v>
      </c>
      <c r="JA121" s="675">
        <v>0</v>
      </c>
      <c r="JB121" s="675">
        <v>0</v>
      </c>
      <c r="JC121" s="675">
        <v>0</v>
      </c>
      <c r="JD121" s="675">
        <v>0</v>
      </c>
      <c r="JE121" s="675">
        <v>0</v>
      </c>
      <c r="JF121" s="675">
        <v>0</v>
      </c>
      <c r="JG121" s="675">
        <v>0</v>
      </c>
      <c r="JH121" s="675">
        <v>0</v>
      </c>
      <c r="JI121" s="675">
        <v>0</v>
      </c>
      <c r="JJ121" s="675">
        <v>0</v>
      </c>
      <c r="JK121" s="675">
        <v>0</v>
      </c>
      <c r="JL121" s="675">
        <v>0</v>
      </c>
      <c r="JM121" s="675">
        <v>0</v>
      </c>
      <c r="JN121" s="675">
        <v>32469</v>
      </c>
      <c r="JO121" s="675">
        <v>0</v>
      </c>
      <c r="JP121" s="675">
        <v>0</v>
      </c>
      <c r="JQ121" s="675">
        <v>0</v>
      </c>
      <c r="JR121" s="675">
        <v>0</v>
      </c>
      <c r="JS121" s="675">
        <v>0</v>
      </c>
      <c r="JT121" s="675">
        <v>0</v>
      </c>
      <c r="JU121" s="675">
        <v>0</v>
      </c>
      <c r="JV121" s="675">
        <v>0</v>
      </c>
      <c r="JW121" s="675">
        <v>0</v>
      </c>
      <c r="JX121" s="675">
        <v>0</v>
      </c>
      <c r="JY121" s="675">
        <v>0</v>
      </c>
      <c r="JZ121" s="675">
        <v>0</v>
      </c>
      <c r="KA121" s="675">
        <v>0</v>
      </c>
      <c r="KB121" s="675">
        <v>0</v>
      </c>
      <c r="KC121" s="675">
        <v>0</v>
      </c>
      <c r="KD121" s="675">
        <v>0</v>
      </c>
      <c r="KE121" s="675">
        <v>0</v>
      </c>
      <c r="KF121" s="675">
        <v>0</v>
      </c>
    </row>
    <row r="122" spans="1:292" x14ac:dyDescent="0.25">
      <c r="A122" s="675">
        <v>101875</v>
      </c>
      <c r="B122" s="675">
        <v>32570</v>
      </c>
      <c r="C122" s="675">
        <v>35</v>
      </c>
      <c r="D122" s="675">
        <v>2022</v>
      </c>
      <c r="E122" s="675">
        <v>5392</v>
      </c>
      <c r="F122" s="675">
        <v>0</v>
      </c>
      <c r="G122" s="675">
        <v>36.548999999999999</v>
      </c>
      <c r="H122" s="675">
        <v>36.338999999999999</v>
      </c>
      <c r="I122" s="675">
        <v>36.338999999999999</v>
      </c>
      <c r="J122" s="675">
        <v>36.548999999999999</v>
      </c>
      <c r="K122" s="675">
        <v>0</v>
      </c>
      <c r="L122" s="675">
        <v>6554</v>
      </c>
      <c r="M122" s="675">
        <v>0</v>
      </c>
      <c r="N122" s="675">
        <v>0</v>
      </c>
      <c r="O122" s="675">
        <v>0</v>
      </c>
      <c r="P122" s="675">
        <v>0</v>
      </c>
      <c r="Q122" s="675">
        <v>0</v>
      </c>
      <c r="R122" s="675">
        <v>0</v>
      </c>
      <c r="S122" s="675">
        <v>319.71300000000002</v>
      </c>
      <c r="T122" s="675">
        <v>0</v>
      </c>
      <c r="U122" s="675">
        <v>0</v>
      </c>
      <c r="V122" s="675">
        <v>0.40400000000000003</v>
      </c>
      <c r="W122" s="675">
        <v>265</v>
      </c>
      <c r="X122" s="675">
        <v>265</v>
      </c>
      <c r="Y122" s="675">
        <v>0</v>
      </c>
      <c r="Z122" s="675">
        <v>0</v>
      </c>
      <c r="AA122" s="675">
        <v>1</v>
      </c>
      <c r="AB122" s="675">
        <v>1</v>
      </c>
      <c r="AC122" s="675">
        <v>0</v>
      </c>
      <c r="AD122" s="675" t="s">
        <v>316</v>
      </c>
      <c r="AE122" s="675">
        <v>0</v>
      </c>
      <c r="AF122" s="675">
        <v>0</v>
      </c>
      <c r="AG122" s="675">
        <v>0</v>
      </c>
      <c r="AH122" s="675">
        <v>0</v>
      </c>
      <c r="AI122" s="675">
        <v>0</v>
      </c>
      <c r="AJ122" s="675">
        <v>5104</v>
      </c>
      <c r="AK122" s="675" t="s">
        <v>671</v>
      </c>
      <c r="AL122" s="675" t="s">
        <v>465</v>
      </c>
      <c r="AM122" s="675">
        <v>0</v>
      </c>
      <c r="AN122" s="675">
        <v>0</v>
      </c>
      <c r="AO122" s="675">
        <v>0</v>
      </c>
      <c r="AP122" s="675">
        <v>0</v>
      </c>
      <c r="AQ122" s="675">
        <v>0</v>
      </c>
      <c r="AR122" s="675">
        <v>0</v>
      </c>
      <c r="AS122" s="675">
        <v>0</v>
      </c>
      <c r="AT122" s="675">
        <v>0</v>
      </c>
      <c r="AU122" s="675">
        <v>0</v>
      </c>
      <c r="AV122" s="675">
        <v>42016</v>
      </c>
      <c r="AW122" s="675">
        <v>392275</v>
      </c>
      <c r="AX122" s="675">
        <v>392275</v>
      </c>
      <c r="AY122" s="675">
        <v>430277</v>
      </c>
      <c r="AZ122" s="675">
        <v>0</v>
      </c>
      <c r="BA122" s="675">
        <v>0</v>
      </c>
      <c r="BB122" s="675">
        <v>0</v>
      </c>
      <c r="BC122" s="675">
        <v>0</v>
      </c>
      <c r="BD122" s="675">
        <v>0</v>
      </c>
      <c r="BE122" s="675">
        <v>0</v>
      </c>
      <c r="BF122" s="675">
        <v>323124</v>
      </c>
      <c r="BG122" s="675">
        <v>0</v>
      </c>
      <c r="BH122" s="675">
        <v>0</v>
      </c>
      <c r="BI122" s="675">
        <v>0</v>
      </c>
      <c r="BJ122" s="675">
        <v>12</v>
      </c>
      <c r="BK122" s="675">
        <v>0</v>
      </c>
      <c r="BL122" s="675">
        <v>0</v>
      </c>
      <c r="BM122" s="675">
        <v>0</v>
      </c>
      <c r="BN122" s="675">
        <v>0</v>
      </c>
      <c r="BO122" s="675">
        <v>0</v>
      </c>
      <c r="BP122" s="675">
        <v>0</v>
      </c>
      <c r="BQ122" s="675">
        <v>5392</v>
      </c>
      <c r="BR122" s="675">
        <v>1</v>
      </c>
      <c r="BS122" s="675">
        <v>0</v>
      </c>
      <c r="BT122" s="675">
        <v>0</v>
      </c>
      <c r="BU122" s="675">
        <v>0</v>
      </c>
      <c r="BV122" s="675">
        <v>0</v>
      </c>
      <c r="BW122" s="675">
        <v>0</v>
      </c>
      <c r="BX122" s="675">
        <v>0</v>
      </c>
      <c r="BY122" s="675">
        <v>0</v>
      </c>
      <c r="BZ122" s="675">
        <v>0</v>
      </c>
      <c r="CA122" s="675">
        <v>0</v>
      </c>
      <c r="CB122" s="675">
        <v>0</v>
      </c>
      <c r="CC122" s="675">
        <v>0</v>
      </c>
      <c r="CD122" s="675">
        <v>0</v>
      </c>
      <c r="CE122" s="675">
        <v>0</v>
      </c>
      <c r="CF122" s="675">
        <v>0</v>
      </c>
      <c r="CG122" s="675">
        <v>0</v>
      </c>
      <c r="CH122" s="675">
        <v>0</v>
      </c>
      <c r="CI122" s="675">
        <v>0</v>
      </c>
      <c r="CJ122" s="675">
        <v>4</v>
      </c>
      <c r="CK122" s="675">
        <v>0</v>
      </c>
      <c r="CL122" s="675">
        <v>0</v>
      </c>
      <c r="CM122" s="675">
        <v>0</v>
      </c>
      <c r="CN122" s="675">
        <v>0</v>
      </c>
      <c r="CO122" s="675">
        <v>0</v>
      </c>
      <c r="CP122" s="675">
        <v>0</v>
      </c>
      <c r="CQ122" s="675">
        <v>0</v>
      </c>
      <c r="CR122" s="675">
        <v>0</v>
      </c>
      <c r="CS122" s="675">
        <v>0</v>
      </c>
      <c r="CT122" s="675">
        <v>0</v>
      </c>
      <c r="CU122" s="675">
        <v>0</v>
      </c>
      <c r="CV122" s="675">
        <v>0</v>
      </c>
      <c r="CW122" s="675">
        <v>0</v>
      </c>
      <c r="CX122" s="675">
        <v>0</v>
      </c>
      <c r="CY122" s="675">
        <v>0</v>
      </c>
      <c r="CZ122" s="675">
        <v>0</v>
      </c>
      <c r="DA122" s="675">
        <v>1</v>
      </c>
      <c r="DB122" s="675">
        <v>238166</v>
      </c>
      <c r="DC122" s="675">
        <v>0</v>
      </c>
      <c r="DD122" s="675">
        <v>0</v>
      </c>
      <c r="DE122" s="675">
        <v>87824</v>
      </c>
      <c r="DF122" s="675">
        <v>87824</v>
      </c>
      <c r="DG122" s="675">
        <v>67</v>
      </c>
      <c r="DH122" s="675">
        <v>0</v>
      </c>
      <c r="DI122" s="675">
        <v>0</v>
      </c>
      <c r="DJ122" s="675">
        <v>0</v>
      </c>
      <c r="DK122" s="675">
        <v>5392</v>
      </c>
      <c r="DL122" s="675">
        <v>0</v>
      </c>
      <c r="DM122" s="675">
        <v>5741</v>
      </c>
      <c r="DN122" s="675">
        <v>0</v>
      </c>
      <c r="DO122" s="675">
        <v>0</v>
      </c>
      <c r="DP122" s="675">
        <v>0</v>
      </c>
      <c r="DQ122" s="675">
        <v>0</v>
      </c>
      <c r="DR122" s="675">
        <v>0</v>
      </c>
      <c r="DS122" s="675">
        <v>0</v>
      </c>
      <c r="DT122" s="675">
        <v>0</v>
      </c>
      <c r="DU122" s="675">
        <v>0</v>
      </c>
      <c r="DV122" s="675">
        <v>0</v>
      </c>
      <c r="DW122" s="675">
        <v>0</v>
      </c>
      <c r="DX122" s="675">
        <v>0</v>
      </c>
      <c r="DY122" s="675">
        <v>0</v>
      </c>
      <c r="DZ122" s="675">
        <v>0</v>
      </c>
      <c r="EA122" s="675">
        <v>0</v>
      </c>
      <c r="EB122" s="675">
        <v>0</v>
      </c>
      <c r="EC122" s="675">
        <v>0</v>
      </c>
      <c r="ED122" s="675">
        <v>0</v>
      </c>
      <c r="EE122" s="675">
        <v>0</v>
      </c>
      <c r="EF122" s="675">
        <v>0</v>
      </c>
      <c r="EG122" s="675">
        <v>0</v>
      </c>
      <c r="EH122" s="675">
        <v>5741</v>
      </c>
      <c r="EI122" s="675">
        <v>0</v>
      </c>
      <c r="EJ122" s="675">
        <v>0</v>
      </c>
      <c r="EK122" s="675">
        <v>8.7000000000000008E-2</v>
      </c>
      <c r="EL122" s="675">
        <v>0</v>
      </c>
      <c r="EM122" s="675">
        <v>0</v>
      </c>
      <c r="EN122" s="675">
        <v>0.12300000000000001</v>
      </c>
      <c r="EO122" s="675">
        <v>0</v>
      </c>
      <c r="EP122" s="675">
        <v>0</v>
      </c>
      <c r="EQ122" s="675">
        <v>0.21</v>
      </c>
      <c r="ER122" s="675">
        <v>0</v>
      </c>
      <c r="ES122" s="675">
        <v>0.876</v>
      </c>
      <c r="ET122" s="675">
        <v>0</v>
      </c>
      <c r="EU122" s="675">
        <v>0</v>
      </c>
      <c r="EV122" s="675">
        <v>0</v>
      </c>
      <c r="EW122" s="675">
        <v>0</v>
      </c>
      <c r="EX122" s="675">
        <v>0</v>
      </c>
      <c r="EY122" s="675">
        <v>0</v>
      </c>
      <c r="EZ122" s="675">
        <v>331996</v>
      </c>
      <c r="FA122" s="675">
        <v>0</v>
      </c>
      <c r="FB122" s="675">
        <v>331996</v>
      </c>
      <c r="FC122" s="675">
        <v>0.97327799999999998</v>
      </c>
      <c r="FD122" s="675">
        <v>0</v>
      </c>
      <c r="FE122" s="675">
        <v>49193</v>
      </c>
      <c r="FF122" s="675">
        <v>11086</v>
      </c>
      <c r="FG122" s="675">
        <v>6.1239999999999996E-2</v>
      </c>
      <c r="FH122" s="675">
        <v>5.4803999999999999E-2</v>
      </c>
      <c r="FI122" s="675">
        <v>0</v>
      </c>
      <c r="FJ122" s="675">
        <v>0</v>
      </c>
      <c r="FK122" s="675">
        <v>63.31</v>
      </c>
      <c r="FL122" s="675">
        <v>392275</v>
      </c>
      <c r="FM122" s="675">
        <v>0</v>
      </c>
      <c r="FN122" s="675">
        <v>0</v>
      </c>
      <c r="FO122" s="675">
        <v>0</v>
      </c>
      <c r="FP122" s="675">
        <v>0</v>
      </c>
      <c r="FQ122" s="675">
        <v>0</v>
      </c>
      <c r="FR122" s="675">
        <v>0</v>
      </c>
      <c r="FS122" s="675">
        <v>0</v>
      </c>
      <c r="FT122" s="675">
        <v>0</v>
      </c>
      <c r="FU122" s="675">
        <v>0</v>
      </c>
      <c r="FV122" s="675">
        <v>0</v>
      </c>
      <c r="FW122" s="675">
        <v>0</v>
      </c>
      <c r="FX122" s="675">
        <v>0</v>
      </c>
      <c r="FY122" s="675">
        <v>0</v>
      </c>
      <c r="FZ122" s="675">
        <v>0</v>
      </c>
      <c r="GA122" s="675">
        <v>0</v>
      </c>
      <c r="GB122" s="675">
        <v>0</v>
      </c>
      <c r="GC122" s="675">
        <v>0</v>
      </c>
      <c r="GD122" s="675">
        <v>0</v>
      </c>
      <c r="GE122" s="675">
        <v>0</v>
      </c>
      <c r="GF122" s="675">
        <v>0</v>
      </c>
      <c r="GG122" s="675">
        <v>0</v>
      </c>
      <c r="GH122" s="675">
        <v>0</v>
      </c>
      <c r="GI122" s="675">
        <v>0</v>
      </c>
      <c r="GJ122" s="675">
        <v>0</v>
      </c>
      <c r="GK122" s="675">
        <v>0</v>
      </c>
      <c r="GL122" s="675">
        <v>0</v>
      </c>
      <c r="GM122" s="675">
        <v>0</v>
      </c>
      <c r="GN122" s="675">
        <v>0</v>
      </c>
      <c r="GO122" s="675">
        <v>0</v>
      </c>
      <c r="GP122" s="675">
        <v>392275</v>
      </c>
      <c r="GQ122" s="675">
        <v>392275</v>
      </c>
      <c r="GR122" s="675">
        <v>0</v>
      </c>
      <c r="GS122" s="675">
        <v>0</v>
      </c>
      <c r="GT122" s="675">
        <v>0</v>
      </c>
      <c r="GU122" s="675">
        <v>0</v>
      </c>
      <c r="GV122" s="675">
        <v>0</v>
      </c>
      <c r="GW122" s="675">
        <v>0</v>
      </c>
      <c r="GX122" s="675">
        <v>0</v>
      </c>
      <c r="GY122" s="675">
        <v>0</v>
      </c>
      <c r="GZ122" s="675">
        <v>0</v>
      </c>
      <c r="HA122" s="675">
        <v>0</v>
      </c>
      <c r="HB122" s="675">
        <v>0</v>
      </c>
      <c r="HC122" s="675">
        <v>0</v>
      </c>
      <c r="HD122" s="675">
        <v>0</v>
      </c>
      <c r="HE122" s="675">
        <v>0</v>
      </c>
      <c r="HF122" s="675">
        <v>0</v>
      </c>
      <c r="HG122" s="675">
        <v>0</v>
      </c>
      <c r="HH122" s="675">
        <v>0</v>
      </c>
      <c r="HI122" s="675">
        <v>0</v>
      </c>
      <c r="HJ122" s="675">
        <v>0</v>
      </c>
      <c r="HK122" s="675">
        <v>0</v>
      </c>
      <c r="HL122" s="675">
        <v>0</v>
      </c>
      <c r="HM122" s="675">
        <v>0</v>
      </c>
      <c r="HN122" s="675">
        <v>0</v>
      </c>
      <c r="HO122" s="675">
        <v>0</v>
      </c>
      <c r="HP122" s="675">
        <v>0</v>
      </c>
      <c r="HQ122" s="675">
        <v>0</v>
      </c>
      <c r="HR122" s="675">
        <v>0</v>
      </c>
      <c r="HS122" s="675">
        <v>0</v>
      </c>
      <c r="HT122" s="675">
        <v>0</v>
      </c>
      <c r="HU122" s="675">
        <v>0</v>
      </c>
      <c r="HV122" s="675">
        <v>0</v>
      </c>
      <c r="HW122" s="675">
        <v>0</v>
      </c>
      <c r="HX122" s="675">
        <v>0</v>
      </c>
      <c r="HY122" s="675">
        <v>0</v>
      </c>
      <c r="HZ122" s="675">
        <v>0</v>
      </c>
      <c r="IA122" s="675">
        <v>0</v>
      </c>
      <c r="IB122" s="675">
        <v>0</v>
      </c>
      <c r="IC122" s="675">
        <v>0</v>
      </c>
      <c r="ID122" s="675">
        <v>0</v>
      </c>
      <c r="IE122" s="675">
        <v>0</v>
      </c>
      <c r="IF122" s="675">
        <v>0</v>
      </c>
      <c r="IG122" s="675">
        <v>0</v>
      </c>
      <c r="IH122" s="675">
        <v>0</v>
      </c>
      <c r="II122" s="675">
        <v>0</v>
      </c>
      <c r="IJ122" s="675">
        <v>0</v>
      </c>
      <c r="IK122" s="675">
        <v>0</v>
      </c>
      <c r="IL122" s="675">
        <v>0</v>
      </c>
      <c r="IM122" s="675">
        <v>0</v>
      </c>
      <c r="IN122" s="675">
        <v>0</v>
      </c>
      <c r="IO122" s="675">
        <v>0</v>
      </c>
      <c r="IP122" s="675">
        <v>0</v>
      </c>
      <c r="IQ122" s="675">
        <v>0</v>
      </c>
      <c r="IR122" s="675">
        <v>0</v>
      </c>
      <c r="IS122" s="675">
        <v>0</v>
      </c>
      <c r="IT122" s="675">
        <v>0</v>
      </c>
      <c r="IU122" s="675">
        <v>0</v>
      </c>
      <c r="IV122" s="675">
        <v>0</v>
      </c>
      <c r="IW122" s="675">
        <v>0</v>
      </c>
      <c r="IX122" s="675">
        <v>0</v>
      </c>
      <c r="IY122" s="675">
        <v>0</v>
      </c>
      <c r="IZ122" s="675">
        <v>0</v>
      </c>
      <c r="JA122" s="675">
        <v>0</v>
      </c>
      <c r="JB122" s="675">
        <v>0</v>
      </c>
      <c r="JC122" s="675">
        <v>0</v>
      </c>
      <c r="JD122" s="675">
        <v>0</v>
      </c>
      <c r="JE122" s="675">
        <v>0</v>
      </c>
      <c r="JF122" s="675">
        <v>0</v>
      </c>
      <c r="JG122" s="675">
        <v>0</v>
      </c>
      <c r="JH122" s="675">
        <v>0</v>
      </c>
      <c r="JI122" s="675">
        <v>0</v>
      </c>
      <c r="JJ122" s="675">
        <v>0</v>
      </c>
      <c r="JK122" s="675">
        <v>0</v>
      </c>
      <c r="JL122" s="675">
        <v>0</v>
      </c>
      <c r="JM122" s="675">
        <v>0</v>
      </c>
      <c r="JN122" s="675">
        <v>32469</v>
      </c>
      <c r="JO122" s="675">
        <v>0</v>
      </c>
      <c r="JP122" s="675">
        <v>0</v>
      </c>
      <c r="JQ122" s="675">
        <v>0</v>
      </c>
      <c r="JR122" s="675">
        <v>0</v>
      </c>
      <c r="JS122" s="675">
        <v>0</v>
      </c>
      <c r="JT122" s="675">
        <v>0</v>
      </c>
      <c r="JU122" s="675">
        <v>0</v>
      </c>
      <c r="JV122" s="675">
        <v>0</v>
      </c>
      <c r="JW122" s="675">
        <v>0</v>
      </c>
      <c r="JX122" s="675">
        <v>0</v>
      </c>
      <c r="JY122" s="675">
        <v>0</v>
      </c>
      <c r="JZ122" s="675">
        <v>0</v>
      </c>
      <c r="KA122" s="675">
        <v>0</v>
      </c>
      <c r="KB122" s="675">
        <v>0</v>
      </c>
      <c r="KC122" s="675">
        <v>0</v>
      </c>
      <c r="KD122" s="675">
        <v>0</v>
      </c>
      <c r="KE122" s="675">
        <v>0</v>
      </c>
      <c r="KF122" s="675">
        <v>0</v>
      </c>
    </row>
    <row r="123" spans="1:292" x14ac:dyDescent="0.25">
      <c r="A123" s="675">
        <v>101876</v>
      </c>
      <c r="B123" s="675">
        <v>32570</v>
      </c>
      <c r="C123" s="675">
        <v>35</v>
      </c>
      <c r="D123" s="675">
        <v>2022</v>
      </c>
      <c r="E123" s="675">
        <v>5392</v>
      </c>
      <c r="F123" s="675">
        <v>0</v>
      </c>
      <c r="G123" s="675">
        <v>61.671000000000006</v>
      </c>
      <c r="H123" s="675">
        <v>61.1</v>
      </c>
      <c r="I123" s="675">
        <v>61.1</v>
      </c>
      <c r="J123" s="675">
        <v>61.671000000000006</v>
      </c>
      <c r="K123" s="675">
        <v>0</v>
      </c>
      <c r="L123" s="675">
        <v>6554</v>
      </c>
      <c r="M123" s="675">
        <v>0</v>
      </c>
      <c r="N123" s="675">
        <v>0</v>
      </c>
      <c r="O123" s="675">
        <v>0</v>
      </c>
      <c r="P123" s="675">
        <v>0</v>
      </c>
      <c r="Q123" s="675">
        <v>0</v>
      </c>
      <c r="R123" s="675">
        <v>0</v>
      </c>
      <c r="S123" s="675">
        <v>319.71300000000002</v>
      </c>
      <c r="T123" s="675">
        <v>0</v>
      </c>
      <c r="U123" s="675">
        <v>0</v>
      </c>
      <c r="V123" s="675">
        <v>10.042</v>
      </c>
      <c r="W123" s="675">
        <v>6582</v>
      </c>
      <c r="X123" s="675">
        <v>6582</v>
      </c>
      <c r="Y123" s="675">
        <v>0</v>
      </c>
      <c r="Z123" s="675">
        <v>0</v>
      </c>
      <c r="AA123" s="675">
        <v>1</v>
      </c>
      <c r="AB123" s="675">
        <v>1</v>
      </c>
      <c r="AC123" s="675">
        <v>0</v>
      </c>
      <c r="AD123" s="675" t="s">
        <v>316</v>
      </c>
      <c r="AE123" s="675">
        <v>0</v>
      </c>
      <c r="AF123" s="675">
        <v>0</v>
      </c>
      <c r="AG123" s="675">
        <v>0</v>
      </c>
      <c r="AH123" s="675">
        <v>0</v>
      </c>
      <c r="AI123" s="675">
        <v>0</v>
      </c>
      <c r="AJ123" s="675">
        <v>5104</v>
      </c>
      <c r="AK123" s="675" t="s">
        <v>671</v>
      </c>
      <c r="AL123" s="675" t="s">
        <v>466</v>
      </c>
      <c r="AM123" s="675">
        <v>0</v>
      </c>
      <c r="AN123" s="675">
        <v>0</v>
      </c>
      <c r="AO123" s="675">
        <v>0</v>
      </c>
      <c r="AP123" s="675">
        <v>0</v>
      </c>
      <c r="AQ123" s="675">
        <v>0</v>
      </c>
      <c r="AR123" s="675">
        <v>0</v>
      </c>
      <c r="AS123" s="675">
        <v>0</v>
      </c>
      <c r="AT123" s="675">
        <v>0</v>
      </c>
      <c r="AU123" s="675">
        <v>0</v>
      </c>
      <c r="AV123" s="675">
        <v>79378</v>
      </c>
      <c r="AW123" s="675">
        <v>599971</v>
      </c>
      <c r="AX123" s="675">
        <v>599971</v>
      </c>
      <c r="AY123" s="675">
        <v>717412</v>
      </c>
      <c r="AZ123" s="675">
        <v>0</v>
      </c>
      <c r="BA123" s="675">
        <v>0</v>
      </c>
      <c r="BB123" s="675">
        <v>0</v>
      </c>
      <c r="BC123" s="675">
        <v>0</v>
      </c>
      <c r="BD123" s="675">
        <v>0</v>
      </c>
      <c r="BE123" s="675">
        <v>0</v>
      </c>
      <c r="BF123" s="675">
        <v>494208</v>
      </c>
      <c r="BG123" s="675">
        <v>0</v>
      </c>
      <c r="BH123" s="675">
        <v>0</v>
      </c>
      <c r="BI123" s="675">
        <v>0</v>
      </c>
      <c r="BJ123" s="675">
        <v>12</v>
      </c>
      <c r="BK123" s="675">
        <v>0</v>
      </c>
      <c r="BL123" s="675">
        <v>0</v>
      </c>
      <c r="BM123" s="675">
        <v>0</v>
      </c>
      <c r="BN123" s="675">
        <v>0</v>
      </c>
      <c r="BO123" s="675">
        <v>0</v>
      </c>
      <c r="BP123" s="675">
        <v>0</v>
      </c>
      <c r="BQ123" s="675">
        <v>5392</v>
      </c>
      <c r="BR123" s="675">
        <v>1</v>
      </c>
      <c r="BS123" s="675">
        <v>0</v>
      </c>
      <c r="BT123" s="675">
        <v>0</v>
      </c>
      <c r="BU123" s="675">
        <v>0</v>
      </c>
      <c r="BV123" s="675">
        <v>0</v>
      </c>
      <c r="BW123" s="675">
        <v>0</v>
      </c>
      <c r="BX123" s="675">
        <v>0</v>
      </c>
      <c r="BY123" s="675">
        <v>0</v>
      </c>
      <c r="BZ123" s="675">
        <v>0</v>
      </c>
      <c r="CA123" s="675">
        <v>0</v>
      </c>
      <c r="CB123" s="675">
        <v>0</v>
      </c>
      <c r="CC123" s="675">
        <v>0</v>
      </c>
      <c r="CD123" s="675">
        <v>0</v>
      </c>
      <c r="CE123" s="675">
        <v>0</v>
      </c>
      <c r="CF123" s="675">
        <v>0</v>
      </c>
      <c r="CG123" s="675">
        <v>0</v>
      </c>
      <c r="CH123" s="675">
        <v>0</v>
      </c>
      <c r="CI123" s="675">
        <v>0</v>
      </c>
      <c r="CJ123" s="675">
        <v>4</v>
      </c>
      <c r="CK123" s="675">
        <v>0</v>
      </c>
      <c r="CL123" s="675">
        <v>0</v>
      </c>
      <c r="CM123" s="675">
        <v>0</v>
      </c>
      <c r="CN123" s="675">
        <v>0</v>
      </c>
      <c r="CO123" s="675">
        <v>0</v>
      </c>
      <c r="CP123" s="675">
        <v>0</v>
      </c>
      <c r="CQ123" s="675">
        <v>0</v>
      </c>
      <c r="CR123" s="675">
        <v>0</v>
      </c>
      <c r="CS123" s="675">
        <v>0</v>
      </c>
      <c r="CT123" s="675">
        <v>0</v>
      </c>
      <c r="CU123" s="675">
        <v>0</v>
      </c>
      <c r="CV123" s="675">
        <v>0</v>
      </c>
      <c r="CW123" s="675">
        <v>0</v>
      </c>
      <c r="CX123" s="675">
        <v>0</v>
      </c>
      <c r="CY123" s="675">
        <v>0</v>
      </c>
      <c r="CZ123" s="675">
        <v>0</v>
      </c>
      <c r="DA123" s="675">
        <v>1</v>
      </c>
      <c r="DB123" s="675">
        <v>400449</v>
      </c>
      <c r="DC123" s="675">
        <v>0</v>
      </c>
      <c r="DD123" s="675">
        <v>0</v>
      </c>
      <c r="DE123" s="675">
        <v>78648</v>
      </c>
      <c r="DF123" s="675">
        <v>78648</v>
      </c>
      <c r="DG123" s="675">
        <v>60</v>
      </c>
      <c r="DH123" s="675">
        <v>0</v>
      </c>
      <c r="DI123" s="675">
        <v>0</v>
      </c>
      <c r="DJ123" s="675">
        <v>0</v>
      </c>
      <c r="DK123" s="675">
        <v>5392</v>
      </c>
      <c r="DL123" s="675">
        <v>0</v>
      </c>
      <c r="DM123" s="675">
        <v>22098</v>
      </c>
      <c r="DN123" s="675">
        <v>0</v>
      </c>
      <c r="DO123" s="675">
        <v>0</v>
      </c>
      <c r="DP123" s="675">
        <v>0</v>
      </c>
      <c r="DQ123" s="675">
        <v>0</v>
      </c>
      <c r="DR123" s="675">
        <v>0</v>
      </c>
      <c r="DS123" s="675">
        <v>0</v>
      </c>
      <c r="DT123" s="675">
        <v>0</v>
      </c>
      <c r="DU123" s="675">
        <v>0</v>
      </c>
      <c r="DV123" s="675">
        <v>0</v>
      </c>
      <c r="DW123" s="675">
        <v>0</v>
      </c>
      <c r="DX123" s="675">
        <v>0</v>
      </c>
      <c r="DY123" s="675">
        <v>0</v>
      </c>
      <c r="DZ123" s="675">
        <v>0</v>
      </c>
      <c r="EA123" s="675">
        <v>0</v>
      </c>
      <c r="EB123" s="675">
        <v>0</v>
      </c>
      <c r="EC123" s="675">
        <v>1.0370000000000001</v>
      </c>
      <c r="ED123" s="675">
        <v>7476</v>
      </c>
      <c r="EE123" s="675">
        <v>0</v>
      </c>
      <c r="EF123" s="675">
        <v>0</v>
      </c>
      <c r="EG123" s="675">
        <v>0</v>
      </c>
      <c r="EH123" s="675">
        <v>14622</v>
      </c>
      <c r="EI123" s="675">
        <v>0</v>
      </c>
      <c r="EJ123" s="675">
        <v>0</v>
      </c>
      <c r="EK123" s="675">
        <v>0.312</v>
      </c>
      <c r="EL123" s="675">
        <v>0</v>
      </c>
      <c r="EM123" s="675">
        <v>0</v>
      </c>
      <c r="EN123" s="675">
        <v>0.25900000000000001</v>
      </c>
      <c r="EO123" s="675">
        <v>0</v>
      </c>
      <c r="EP123" s="675">
        <v>0</v>
      </c>
      <c r="EQ123" s="675">
        <v>0.57100000000000006</v>
      </c>
      <c r="ER123" s="675">
        <v>0</v>
      </c>
      <c r="ES123" s="675">
        <v>2.2310000000000003</v>
      </c>
      <c r="ET123" s="675">
        <v>0</v>
      </c>
      <c r="EU123" s="675">
        <v>0</v>
      </c>
      <c r="EV123" s="675">
        <v>0</v>
      </c>
      <c r="EW123" s="675">
        <v>0</v>
      </c>
      <c r="EX123" s="675">
        <v>0</v>
      </c>
      <c r="EY123" s="675">
        <v>0</v>
      </c>
      <c r="EZ123" s="675">
        <v>507777</v>
      </c>
      <c r="FA123" s="675">
        <v>0</v>
      </c>
      <c r="FB123" s="675">
        <v>507777</v>
      </c>
      <c r="FC123" s="675">
        <v>0.97327799999999998</v>
      </c>
      <c r="FD123" s="675">
        <v>0</v>
      </c>
      <c r="FE123" s="675">
        <v>75239</v>
      </c>
      <c r="FF123" s="675">
        <v>16955</v>
      </c>
      <c r="FG123" s="675">
        <v>6.1239999999999996E-2</v>
      </c>
      <c r="FH123" s="675">
        <v>5.4803999999999999E-2</v>
      </c>
      <c r="FI123" s="675">
        <v>0</v>
      </c>
      <c r="FJ123" s="675">
        <v>0</v>
      </c>
      <c r="FK123" s="675">
        <v>96.831000000000003</v>
      </c>
      <c r="FL123" s="675">
        <v>599971</v>
      </c>
      <c r="FM123" s="675">
        <v>0</v>
      </c>
      <c r="FN123" s="675">
        <v>0</v>
      </c>
      <c r="FO123" s="675">
        <v>0</v>
      </c>
      <c r="FP123" s="675">
        <v>0</v>
      </c>
      <c r="FQ123" s="675">
        <v>0</v>
      </c>
      <c r="FR123" s="675">
        <v>0</v>
      </c>
      <c r="FS123" s="675">
        <v>0</v>
      </c>
      <c r="FT123" s="675">
        <v>0</v>
      </c>
      <c r="FU123" s="675">
        <v>0</v>
      </c>
      <c r="FV123" s="675">
        <v>0</v>
      </c>
      <c r="FW123" s="675">
        <v>0</v>
      </c>
      <c r="FX123" s="675">
        <v>0</v>
      </c>
      <c r="FY123" s="675">
        <v>0</v>
      </c>
      <c r="FZ123" s="675">
        <v>0</v>
      </c>
      <c r="GA123" s="675">
        <v>0</v>
      </c>
      <c r="GB123" s="675">
        <v>0</v>
      </c>
      <c r="GC123" s="675">
        <v>0</v>
      </c>
      <c r="GD123" s="675">
        <v>0</v>
      </c>
      <c r="GE123" s="675">
        <v>0</v>
      </c>
      <c r="GF123" s="675">
        <v>0</v>
      </c>
      <c r="GG123" s="675">
        <v>0</v>
      </c>
      <c r="GH123" s="675">
        <v>0</v>
      </c>
      <c r="GI123" s="675">
        <v>0</v>
      </c>
      <c r="GJ123" s="675">
        <v>0</v>
      </c>
      <c r="GK123" s="675">
        <v>0</v>
      </c>
      <c r="GL123" s="675">
        <v>0</v>
      </c>
      <c r="GM123" s="675">
        <v>0</v>
      </c>
      <c r="GN123" s="675">
        <v>0</v>
      </c>
      <c r="GO123" s="675">
        <v>0</v>
      </c>
      <c r="GP123" s="675">
        <v>599971</v>
      </c>
      <c r="GQ123" s="675">
        <v>599971</v>
      </c>
      <c r="GR123" s="675">
        <v>0</v>
      </c>
      <c r="GS123" s="675">
        <v>0</v>
      </c>
      <c r="GT123" s="675">
        <v>0</v>
      </c>
      <c r="GU123" s="675">
        <v>0</v>
      </c>
      <c r="GV123" s="675">
        <v>0</v>
      </c>
      <c r="GW123" s="675">
        <v>0</v>
      </c>
      <c r="GX123" s="675">
        <v>0</v>
      </c>
      <c r="GY123" s="675">
        <v>0</v>
      </c>
      <c r="GZ123" s="675">
        <v>0</v>
      </c>
      <c r="HA123" s="675">
        <v>0</v>
      </c>
      <c r="HB123" s="675">
        <v>0</v>
      </c>
      <c r="HC123" s="675">
        <v>0</v>
      </c>
      <c r="HD123" s="675">
        <v>0</v>
      </c>
      <c r="HE123" s="675">
        <v>0</v>
      </c>
      <c r="HF123" s="675">
        <v>0</v>
      </c>
      <c r="HG123" s="675">
        <v>0</v>
      </c>
      <c r="HH123" s="675">
        <v>0</v>
      </c>
      <c r="HI123" s="675">
        <v>0</v>
      </c>
      <c r="HJ123" s="675">
        <v>0</v>
      </c>
      <c r="HK123" s="675">
        <v>0</v>
      </c>
      <c r="HL123" s="675">
        <v>0</v>
      </c>
      <c r="HM123" s="675">
        <v>0</v>
      </c>
      <c r="HN123" s="675">
        <v>0</v>
      </c>
      <c r="HO123" s="675">
        <v>0</v>
      </c>
      <c r="HP123" s="675">
        <v>0</v>
      </c>
      <c r="HQ123" s="675">
        <v>0</v>
      </c>
      <c r="HR123" s="675">
        <v>0</v>
      </c>
      <c r="HS123" s="675">
        <v>0</v>
      </c>
      <c r="HT123" s="675">
        <v>0</v>
      </c>
      <c r="HU123" s="675">
        <v>0</v>
      </c>
      <c r="HV123" s="675">
        <v>0</v>
      </c>
      <c r="HW123" s="675">
        <v>0</v>
      </c>
      <c r="HX123" s="675">
        <v>0</v>
      </c>
      <c r="HY123" s="675">
        <v>0</v>
      </c>
      <c r="HZ123" s="675">
        <v>0</v>
      </c>
      <c r="IA123" s="675">
        <v>0</v>
      </c>
      <c r="IB123" s="675">
        <v>0</v>
      </c>
      <c r="IC123" s="675">
        <v>0</v>
      </c>
      <c r="ID123" s="675">
        <v>0</v>
      </c>
      <c r="IE123" s="675">
        <v>0</v>
      </c>
      <c r="IF123" s="675">
        <v>0</v>
      </c>
      <c r="IG123" s="675">
        <v>0</v>
      </c>
      <c r="IH123" s="675">
        <v>0</v>
      </c>
      <c r="II123" s="675">
        <v>0</v>
      </c>
      <c r="IJ123" s="675">
        <v>0</v>
      </c>
      <c r="IK123" s="675">
        <v>0</v>
      </c>
      <c r="IL123" s="675">
        <v>0</v>
      </c>
      <c r="IM123" s="675">
        <v>0</v>
      </c>
      <c r="IN123" s="675">
        <v>0</v>
      </c>
      <c r="IO123" s="675">
        <v>0</v>
      </c>
      <c r="IP123" s="675">
        <v>0</v>
      </c>
      <c r="IQ123" s="675">
        <v>0</v>
      </c>
      <c r="IR123" s="675">
        <v>0</v>
      </c>
      <c r="IS123" s="675">
        <v>0</v>
      </c>
      <c r="IT123" s="675">
        <v>0</v>
      </c>
      <c r="IU123" s="675">
        <v>0</v>
      </c>
      <c r="IV123" s="675">
        <v>0</v>
      </c>
      <c r="IW123" s="675">
        <v>0</v>
      </c>
      <c r="IX123" s="675">
        <v>0</v>
      </c>
      <c r="IY123" s="675">
        <v>0</v>
      </c>
      <c r="IZ123" s="675">
        <v>0</v>
      </c>
      <c r="JA123" s="675">
        <v>0</v>
      </c>
      <c r="JB123" s="675">
        <v>0</v>
      </c>
      <c r="JC123" s="675">
        <v>0</v>
      </c>
      <c r="JD123" s="675">
        <v>0</v>
      </c>
      <c r="JE123" s="675">
        <v>0</v>
      </c>
      <c r="JF123" s="675">
        <v>0</v>
      </c>
      <c r="JG123" s="675">
        <v>0</v>
      </c>
      <c r="JH123" s="675">
        <v>0</v>
      </c>
      <c r="JI123" s="675">
        <v>0</v>
      </c>
      <c r="JJ123" s="675">
        <v>0</v>
      </c>
      <c r="JK123" s="675">
        <v>0</v>
      </c>
      <c r="JL123" s="675">
        <v>0</v>
      </c>
      <c r="JM123" s="675">
        <v>0</v>
      </c>
      <c r="JN123" s="675">
        <v>32469</v>
      </c>
      <c r="JO123" s="675">
        <v>0</v>
      </c>
      <c r="JP123" s="675">
        <v>0</v>
      </c>
      <c r="JQ123" s="675">
        <v>0</v>
      </c>
      <c r="JR123" s="675">
        <v>0</v>
      </c>
      <c r="JS123" s="675">
        <v>0</v>
      </c>
      <c r="JT123" s="675">
        <v>0</v>
      </c>
      <c r="JU123" s="675">
        <v>0</v>
      </c>
      <c r="JV123" s="675">
        <v>0</v>
      </c>
      <c r="JW123" s="675">
        <v>0</v>
      </c>
      <c r="JX123" s="675">
        <v>0</v>
      </c>
      <c r="JY123" s="675">
        <v>0</v>
      </c>
      <c r="JZ123" s="675">
        <v>0</v>
      </c>
      <c r="KA123" s="675">
        <v>0</v>
      </c>
      <c r="KB123" s="675">
        <v>0</v>
      </c>
      <c r="KC123" s="675">
        <v>0</v>
      </c>
      <c r="KD123" s="675">
        <v>0</v>
      </c>
      <c r="KE123" s="675">
        <v>0</v>
      </c>
      <c r="KF123" s="675">
        <v>0</v>
      </c>
    </row>
    <row r="124" spans="1:292" ht="14.5" x14ac:dyDescent="0.35">
      <c r="A124" s="675">
        <v>101877</v>
      </c>
      <c r="B124" s="675">
        <v>32570</v>
      </c>
      <c r="C124" s="816">
        <v>0</v>
      </c>
      <c r="D124" s="816">
        <v>0</v>
      </c>
      <c r="E124" s="675">
        <v>5392</v>
      </c>
      <c r="F124" s="816">
        <v>0</v>
      </c>
      <c r="G124" s="816">
        <v>0</v>
      </c>
      <c r="H124" s="816">
        <v>0</v>
      </c>
      <c r="I124" s="816">
        <v>0</v>
      </c>
      <c r="J124" s="816">
        <v>0</v>
      </c>
      <c r="K124" s="816">
        <v>0</v>
      </c>
      <c r="L124" s="675">
        <v>6554</v>
      </c>
      <c r="M124" s="816">
        <v>0</v>
      </c>
      <c r="N124" s="816">
        <v>0</v>
      </c>
      <c r="O124" s="816">
        <v>0</v>
      </c>
      <c r="P124" s="816">
        <v>0</v>
      </c>
      <c r="Q124" s="816">
        <v>0</v>
      </c>
      <c r="R124" s="816">
        <v>0</v>
      </c>
      <c r="S124" s="675">
        <v>319.71300000000002</v>
      </c>
      <c r="T124" s="816">
        <v>0</v>
      </c>
      <c r="U124" s="816">
        <v>0</v>
      </c>
      <c r="V124" s="816">
        <v>0</v>
      </c>
      <c r="W124" s="816">
        <v>0</v>
      </c>
      <c r="X124" s="816">
        <v>0</v>
      </c>
      <c r="Y124" s="816">
        <v>0</v>
      </c>
      <c r="Z124" s="816">
        <v>0</v>
      </c>
      <c r="AA124" s="816">
        <v>0</v>
      </c>
      <c r="AB124" s="816">
        <v>0</v>
      </c>
      <c r="AC124" s="816">
        <v>0</v>
      </c>
      <c r="AD124" s="816">
        <v>0</v>
      </c>
      <c r="AE124" s="816">
        <v>0</v>
      </c>
      <c r="AF124" s="816">
        <v>0</v>
      </c>
      <c r="AG124" s="816">
        <v>0</v>
      </c>
      <c r="AH124" s="816">
        <v>0</v>
      </c>
      <c r="AI124" s="816">
        <v>0</v>
      </c>
      <c r="AJ124" s="816">
        <v>0</v>
      </c>
      <c r="AK124" s="816">
        <v>0</v>
      </c>
      <c r="AL124" s="817" t="s">
        <v>547</v>
      </c>
      <c r="AM124" s="816">
        <v>0</v>
      </c>
      <c r="AN124" s="816">
        <v>0</v>
      </c>
      <c r="AO124" s="816">
        <v>0</v>
      </c>
      <c r="AP124" s="816">
        <v>0</v>
      </c>
      <c r="AQ124" s="816">
        <v>0</v>
      </c>
      <c r="AR124" s="816">
        <v>0</v>
      </c>
      <c r="AS124" s="816">
        <v>0</v>
      </c>
      <c r="AT124" s="816">
        <v>0</v>
      </c>
      <c r="AU124" s="816">
        <v>0</v>
      </c>
      <c r="AV124" s="816">
        <v>0</v>
      </c>
      <c r="AW124" s="816">
        <v>0</v>
      </c>
      <c r="AX124" s="816">
        <v>0</v>
      </c>
      <c r="AY124" s="816">
        <v>0</v>
      </c>
      <c r="AZ124" s="816">
        <v>0</v>
      </c>
      <c r="BA124" s="816">
        <v>0</v>
      </c>
      <c r="BB124" s="816">
        <v>0</v>
      </c>
      <c r="BC124" s="816">
        <v>0</v>
      </c>
      <c r="BD124" s="816">
        <v>0</v>
      </c>
      <c r="BE124" s="816">
        <v>0</v>
      </c>
      <c r="BF124" s="816">
        <v>0</v>
      </c>
      <c r="BG124" s="816">
        <v>0</v>
      </c>
      <c r="BH124" s="816">
        <v>0</v>
      </c>
      <c r="BI124" s="816">
        <v>0</v>
      </c>
      <c r="BJ124" s="816">
        <v>0</v>
      </c>
      <c r="BK124" s="816">
        <v>0</v>
      </c>
      <c r="BL124" s="816">
        <v>0</v>
      </c>
      <c r="BM124" s="816">
        <v>0</v>
      </c>
      <c r="BN124" s="816">
        <v>0</v>
      </c>
      <c r="BO124" s="816">
        <v>0</v>
      </c>
      <c r="BP124" s="816">
        <v>0</v>
      </c>
      <c r="BQ124" s="675">
        <v>5392</v>
      </c>
      <c r="BR124" s="816">
        <v>0</v>
      </c>
      <c r="BS124" s="816">
        <v>0</v>
      </c>
      <c r="BT124" s="816">
        <v>0</v>
      </c>
      <c r="BU124" s="816">
        <v>0</v>
      </c>
      <c r="BV124" s="816">
        <v>0</v>
      </c>
      <c r="BW124" s="816">
        <v>0</v>
      </c>
      <c r="BX124" s="816">
        <v>0</v>
      </c>
      <c r="BY124" s="816">
        <v>0</v>
      </c>
      <c r="BZ124" s="816">
        <v>0</v>
      </c>
      <c r="CA124" s="816">
        <v>0</v>
      </c>
      <c r="CB124" s="816">
        <v>0</v>
      </c>
      <c r="CC124" s="816">
        <v>0</v>
      </c>
      <c r="CD124" s="816">
        <v>0</v>
      </c>
      <c r="CE124" s="816">
        <v>0</v>
      </c>
      <c r="CF124" s="816">
        <v>0</v>
      </c>
      <c r="CG124" s="816">
        <v>0</v>
      </c>
      <c r="CH124" s="816">
        <v>0</v>
      </c>
      <c r="CI124" s="816">
        <v>0</v>
      </c>
      <c r="CJ124" s="816">
        <v>0</v>
      </c>
      <c r="CK124" s="816">
        <v>0</v>
      </c>
      <c r="CL124" s="816">
        <v>0</v>
      </c>
      <c r="CM124" s="816">
        <v>0</v>
      </c>
      <c r="CN124" s="816">
        <v>0</v>
      </c>
      <c r="CO124" s="816">
        <v>0</v>
      </c>
      <c r="CP124" s="816">
        <v>0</v>
      </c>
      <c r="CQ124" s="816">
        <v>0</v>
      </c>
      <c r="CR124" s="816">
        <v>0</v>
      </c>
      <c r="CS124" s="816">
        <v>0</v>
      </c>
      <c r="CT124" s="816">
        <v>0</v>
      </c>
      <c r="CU124" s="816">
        <v>0</v>
      </c>
      <c r="CV124" s="816">
        <v>0</v>
      </c>
      <c r="CW124" s="816">
        <v>0</v>
      </c>
      <c r="CX124" s="816">
        <v>0</v>
      </c>
      <c r="CY124" s="816">
        <v>0</v>
      </c>
      <c r="CZ124" s="816">
        <v>0</v>
      </c>
      <c r="DA124" s="816">
        <v>0</v>
      </c>
      <c r="DB124" s="816">
        <v>0</v>
      </c>
      <c r="DC124" s="816">
        <v>0</v>
      </c>
      <c r="DD124" s="816">
        <v>0</v>
      </c>
      <c r="DE124" s="816">
        <v>0</v>
      </c>
      <c r="DF124" s="816">
        <v>0</v>
      </c>
      <c r="DG124" s="816">
        <v>0</v>
      </c>
      <c r="DH124" s="816">
        <v>0</v>
      </c>
      <c r="DI124" s="816">
        <v>0</v>
      </c>
      <c r="DJ124" s="816">
        <v>0</v>
      </c>
      <c r="DK124" s="675">
        <v>5392</v>
      </c>
      <c r="DL124" s="816">
        <v>0</v>
      </c>
      <c r="DM124" s="816">
        <v>0</v>
      </c>
      <c r="DN124" s="816">
        <v>0</v>
      </c>
      <c r="DO124" s="816">
        <v>0</v>
      </c>
      <c r="DP124" s="816">
        <v>0</v>
      </c>
      <c r="DQ124" s="816">
        <v>0</v>
      </c>
      <c r="DR124" s="816">
        <v>0</v>
      </c>
      <c r="DS124" s="816">
        <v>0</v>
      </c>
      <c r="DT124" s="816">
        <v>0</v>
      </c>
      <c r="DU124" s="816">
        <v>0</v>
      </c>
      <c r="DV124" s="816">
        <v>0</v>
      </c>
      <c r="DW124" s="816">
        <v>0</v>
      </c>
      <c r="DX124" s="816">
        <v>0</v>
      </c>
      <c r="DY124" s="816">
        <v>0</v>
      </c>
      <c r="DZ124" s="816">
        <v>0</v>
      </c>
      <c r="EA124" s="816">
        <v>0</v>
      </c>
      <c r="EB124" s="816">
        <v>0</v>
      </c>
      <c r="EC124" s="816">
        <v>0</v>
      </c>
      <c r="ED124" s="816">
        <v>0</v>
      </c>
      <c r="EE124" s="816">
        <v>0</v>
      </c>
      <c r="EF124" s="816">
        <v>0</v>
      </c>
      <c r="EG124" s="816">
        <v>0</v>
      </c>
      <c r="EH124" s="816">
        <v>0</v>
      </c>
      <c r="EI124" s="816">
        <v>0</v>
      </c>
      <c r="EJ124" s="816">
        <v>0</v>
      </c>
      <c r="EK124" s="816">
        <v>0</v>
      </c>
      <c r="EL124" s="816">
        <v>0</v>
      </c>
      <c r="EM124" s="816">
        <v>0</v>
      </c>
      <c r="EN124" s="816">
        <v>0</v>
      </c>
      <c r="EO124" s="816">
        <v>0</v>
      </c>
      <c r="EP124" s="816">
        <v>0</v>
      </c>
      <c r="EQ124" s="816">
        <v>0</v>
      </c>
      <c r="ER124" s="816">
        <v>0</v>
      </c>
      <c r="ES124" s="816">
        <v>0</v>
      </c>
      <c r="ET124" s="816">
        <v>0</v>
      </c>
      <c r="EU124" s="816">
        <v>0</v>
      </c>
      <c r="EV124" s="816">
        <v>0</v>
      </c>
      <c r="EW124" s="816">
        <v>0</v>
      </c>
      <c r="EX124" s="816">
        <v>0</v>
      </c>
      <c r="EY124" s="816">
        <v>0</v>
      </c>
      <c r="EZ124" s="816">
        <v>0</v>
      </c>
      <c r="FA124" s="816">
        <v>0</v>
      </c>
      <c r="FB124" s="816">
        <v>0</v>
      </c>
      <c r="FC124" s="675">
        <v>0.97327799999999998</v>
      </c>
      <c r="FD124" s="816">
        <v>0</v>
      </c>
      <c r="FE124" s="816">
        <v>0</v>
      </c>
      <c r="FF124" s="816">
        <v>0</v>
      </c>
      <c r="FG124" s="675">
        <v>6.1239999999999996E-2</v>
      </c>
      <c r="FH124" s="675">
        <v>5.4803999999999999E-2</v>
      </c>
      <c r="FI124" s="816">
        <v>0</v>
      </c>
      <c r="FJ124" s="816">
        <v>0</v>
      </c>
      <c r="FK124" s="816">
        <v>0</v>
      </c>
      <c r="FL124" s="816">
        <v>0</v>
      </c>
      <c r="FM124" s="816">
        <v>0</v>
      </c>
      <c r="FN124" s="816">
        <v>0</v>
      </c>
      <c r="FO124" s="816">
        <v>0</v>
      </c>
      <c r="FP124" s="816">
        <v>0</v>
      </c>
      <c r="FQ124" s="816">
        <v>0</v>
      </c>
      <c r="FR124" s="816">
        <v>0</v>
      </c>
      <c r="FS124" s="816">
        <v>0</v>
      </c>
      <c r="FT124" s="816">
        <v>0</v>
      </c>
      <c r="FU124" s="816">
        <v>0</v>
      </c>
      <c r="FV124" s="816">
        <v>0</v>
      </c>
      <c r="FW124" s="816">
        <v>0</v>
      </c>
      <c r="FX124" s="816">
        <v>0</v>
      </c>
      <c r="FY124" s="816">
        <v>0</v>
      </c>
      <c r="FZ124" s="816">
        <v>0</v>
      </c>
      <c r="GA124" s="816">
        <v>0</v>
      </c>
      <c r="GB124" s="816">
        <v>0</v>
      </c>
      <c r="GC124" s="816">
        <v>0</v>
      </c>
      <c r="GD124" s="816">
        <v>0</v>
      </c>
      <c r="GE124" s="816">
        <v>0</v>
      </c>
      <c r="GF124" s="816">
        <v>0</v>
      </c>
      <c r="GG124" s="816">
        <v>0</v>
      </c>
      <c r="GH124" s="816">
        <v>0</v>
      </c>
      <c r="GI124" s="816">
        <v>0</v>
      </c>
      <c r="GJ124" s="816">
        <v>0</v>
      </c>
      <c r="GK124" s="816">
        <v>0</v>
      </c>
      <c r="GL124" s="816">
        <v>0</v>
      </c>
      <c r="GM124" s="816">
        <v>0</v>
      </c>
      <c r="GN124" s="816">
        <v>0</v>
      </c>
      <c r="GO124" s="816">
        <v>0</v>
      </c>
      <c r="GP124" s="816">
        <v>0</v>
      </c>
      <c r="GQ124" s="816">
        <v>0</v>
      </c>
      <c r="GR124" s="816">
        <v>0</v>
      </c>
      <c r="GS124" s="816">
        <v>0</v>
      </c>
      <c r="GT124" s="816">
        <v>0</v>
      </c>
      <c r="GU124" s="816">
        <v>0</v>
      </c>
      <c r="GV124" s="816">
        <v>0</v>
      </c>
      <c r="GW124" s="816">
        <v>0</v>
      </c>
      <c r="GX124" s="816">
        <v>0</v>
      </c>
      <c r="GY124" s="816">
        <v>0</v>
      </c>
      <c r="GZ124" s="816">
        <v>0</v>
      </c>
      <c r="HA124" s="816">
        <v>0</v>
      </c>
      <c r="HB124" s="816">
        <v>0</v>
      </c>
      <c r="HC124" s="675">
        <v>5.0923999999999997E-2</v>
      </c>
      <c r="HD124" s="816">
        <v>0</v>
      </c>
      <c r="HE124" s="816">
        <v>0</v>
      </c>
      <c r="HF124" s="816">
        <v>0</v>
      </c>
      <c r="HG124" s="816">
        <v>0</v>
      </c>
      <c r="HH124" s="816">
        <v>0</v>
      </c>
      <c r="HI124" s="816">
        <v>0</v>
      </c>
      <c r="HJ124" s="816">
        <v>0</v>
      </c>
      <c r="HK124" s="816">
        <v>0</v>
      </c>
      <c r="HL124" s="816">
        <v>0</v>
      </c>
      <c r="HM124" s="816">
        <v>0</v>
      </c>
      <c r="HN124" s="816">
        <v>0</v>
      </c>
      <c r="HO124" s="816">
        <v>0</v>
      </c>
      <c r="HP124" s="816">
        <v>0</v>
      </c>
      <c r="HQ124" s="816">
        <v>0</v>
      </c>
      <c r="HR124" s="816">
        <v>0</v>
      </c>
      <c r="HS124" s="816">
        <v>0</v>
      </c>
      <c r="HT124" s="816">
        <v>0</v>
      </c>
      <c r="HU124" s="816">
        <v>0</v>
      </c>
      <c r="HV124" s="816">
        <v>0</v>
      </c>
      <c r="HW124" s="816">
        <v>0</v>
      </c>
      <c r="HX124" s="816">
        <v>0</v>
      </c>
      <c r="HY124" s="816">
        <v>0</v>
      </c>
      <c r="HZ124" s="816">
        <v>0</v>
      </c>
      <c r="IA124" s="816">
        <v>0</v>
      </c>
      <c r="IB124" s="816">
        <v>0</v>
      </c>
      <c r="IC124" s="816">
        <v>0</v>
      </c>
      <c r="ID124" s="816">
        <v>0</v>
      </c>
      <c r="IE124" s="816">
        <v>0</v>
      </c>
      <c r="IF124" s="816">
        <v>0</v>
      </c>
      <c r="IG124" s="816">
        <v>0</v>
      </c>
      <c r="IH124" s="816">
        <v>0</v>
      </c>
      <c r="II124" s="816">
        <v>0</v>
      </c>
      <c r="IJ124" s="816">
        <v>0</v>
      </c>
      <c r="IK124" s="816">
        <v>0</v>
      </c>
      <c r="IL124" s="816">
        <v>0</v>
      </c>
      <c r="IM124" s="816">
        <v>0</v>
      </c>
      <c r="IN124" s="816">
        <v>0</v>
      </c>
      <c r="IO124" s="816">
        <v>0</v>
      </c>
      <c r="IP124" s="816">
        <v>0</v>
      </c>
      <c r="IQ124" s="816">
        <v>0</v>
      </c>
      <c r="IR124" s="816">
        <v>0</v>
      </c>
      <c r="IS124" s="816">
        <v>0</v>
      </c>
      <c r="IT124" s="816">
        <v>0</v>
      </c>
      <c r="IU124" s="816">
        <v>0</v>
      </c>
      <c r="IV124" s="816">
        <v>0</v>
      </c>
      <c r="IW124" s="816">
        <v>0</v>
      </c>
      <c r="IX124" s="816">
        <v>0</v>
      </c>
      <c r="IY124" s="816">
        <v>0</v>
      </c>
      <c r="IZ124" s="816">
        <v>0</v>
      </c>
      <c r="JA124" s="816">
        <v>0</v>
      </c>
      <c r="JB124" s="816">
        <v>0</v>
      </c>
      <c r="JC124" s="816">
        <v>0</v>
      </c>
      <c r="JD124" s="816">
        <v>0</v>
      </c>
      <c r="JE124" s="816">
        <v>0</v>
      </c>
      <c r="JF124" s="816">
        <v>0</v>
      </c>
      <c r="JG124" s="816">
        <v>0</v>
      </c>
      <c r="JH124" s="816">
        <v>0</v>
      </c>
      <c r="JI124" s="816">
        <v>0</v>
      </c>
      <c r="JJ124" s="816">
        <v>0</v>
      </c>
      <c r="JK124" s="816">
        <v>0</v>
      </c>
      <c r="JL124" s="816">
        <v>0</v>
      </c>
      <c r="JM124" s="816">
        <v>0</v>
      </c>
      <c r="JN124" s="816">
        <v>0</v>
      </c>
    </row>
    <row r="125" spans="1:292" ht="13" x14ac:dyDescent="0.3">
      <c r="A125" s="675">
        <v>101878</v>
      </c>
      <c r="B125" s="675">
        <v>32570</v>
      </c>
      <c r="C125" s="675">
        <v>35</v>
      </c>
      <c r="D125" s="675">
        <v>2022</v>
      </c>
      <c r="E125" s="675">
        <v>5392</v>
      </c>
      <c r="F125" s="675">
        <v>0</v>
      </c>
      <c r="G125" s="675">
        <v>0</v>
      </c>
      <c r="H125" s="675">
        <v>0</v>
      </c>
      <c r="I125" s="675">
        <v>0</v>
      </c>
      <c r="J125" s="675">
        <v>0</v>
      </c>
      <c r="K125" s="675">
        <v>0</v>
      </c>
      <c r="L125" s="675">
        <v>6554</v>
      </c>
      <c r="M125" s="675">
        <v>0</v>
      </c>
      <c r="N125" s="675">
        <v>0</v>
      </c>
      <c r="O125" s="675">
        <v>0</v>
      </c>
      <c r="P125" s="675">
        <v>0</v>
      </c>
      <c r="Q125" s="675">
        <v>0</v>
      </c>
      <c r="R125" s="676">
        <v>0</v>
      </c>
      <c r="S125" s="675">
        <v>319.71300000000002</v>
      </c>
      <c r="T125" s="675">
        <v>0</v>
      </c>
      <c r="U125" s="676">
        <v>0</v>
      </c>
      <c r="V125" s="676">
        <v>0</v>
      </c>
      <c r="W125" s="676">
        <v>0</v>
      </c>
      <c r="X125" s="676">
        <v>0</v>
      </c>
      <c r="Y125" s="675">
        <v>0</v>
      </c>
      <c r="Z125" s="675">
        <v>0</v>
      </c>
      <c r="AA125" s="675">
        <v>1</v>
      </c>
      <c r="AB125" s="675">
        <v>1</v>
      </c>
      <c r="AC125" s="675">
        <v>0</v>
      </c>
      <c r="AD125" s="675" t="s">
        <v>316</v>
      </c>
      <c r="AE125" s="675">
        <v>0</v>
      </c>
      <c r="AF125" s="675">
        <v>0</v>
      </c>
      <c r="AG125" s="675">
        <v>0</v>
      </c>
      <c r="AH125" s="675">
        <v>0</v>
      </c>
      <c r="AI125" s="675">
        <v>0</v>
      </c>
      <c r="AJ125" s="675">
        <v>5104</v>
      </c>
      <c r="AK125" s="675" t="s">
        <v>811</v>
      </c>
      <c r="AM125" s="675">
        <v>0</v>
      </c>
      <c r="AN125" s="675">
        <v>0</v>
      </c>
      <c r="AO125" s="675">
        <v>0</v>
      </c>
      <c r="AP125" s="675">
        <v>0</v>
      </c>
      <c r="AQ125" s="675">
        <v>0</v>
      </c>
      <c r="AR125" s="675">
        <v>0</v>
      </c>
      <c r="AS125" s="675">
        <v>0</v>
      </c>
      <c r="AT125" s="675">
        <v>0</v>
      </c>
      <c r="AU125" s="675">
        <v>0</v>
      </c>
      <c r="AV125" s="675">
        <v>0</v>
      </c>
      <c r="AW125" s="675">
        <v>0</v>
      </c>
      <c r="AX125" s="675">
        <v>0</v>
      </c>
      <c r="AY125" s="675">
        <v>0</v>
      </c>
      <c r="AZ125" s="675">
        <v>0</v>
      </c>
      <c r="BA125" s="676">
        <v>0</v>
      </c>
      <c r="BB125" s="675">
        <v>0</v>
      </c>
      <c r="BC125" s="675">
        <v>0</v>
      </c>
      <c r="BD125" s="675">
        <v>0</v>
      </c>
      <c r="BE125" s="675">
        <v>0</v>
      </c>
      <c r="BF125" s="675">
        <v>0</v>
      </c>
      <c r="BG125" s="675">
        <v>0</v>
      </c>
      <c r="BH125" s="676">
        <v>0</v>
      </c>
      <c r="BI125" s="676">
        <v>0</v>
      </c>
      <c r="BJ125" s="675">
        <v>12</v>
      </c>
      <c r="BK125" s="675">
        <v>0</v>
      </c>
      <c r="BL125" s="675">
        <v>0</v>
      </c>
      <c r="BM125" s="675">
        <v>0</v>
      </c>
      <c r="BN125" s="675">
        <v>0</v>
      </c>
      <c r="BO125" s="675">
        <v>0</v>
      </c>
      <c r="BP125" s="675">
        <v>0</v>
      </c>
      <c r="BQ125" s="675">
        <v>5392</v>
      </c>
      <c r="BR125" s="675">
        <v>1</v>
      </c>
      <c r="BS125" s="675">
        <v>0</v>
      </c>
      <c r="BT125" s="675">
        <v>0</v>
      </c>
      <c r="BU125" s="675">
        <v>0</v>
      </c>
      <c r="BV125" s="675">
        <v>0</v>
      </c>
      <c r="BW125" s="675">
        <v>0</v>
      </c>
      <c r="BX125" s="675">
        <v>0</v>
      </c>
      <c r="BY125" s="675">
        <v>0</v>
      </c>
      <c r="BZ125" s="675">
        <v>0</v>
      </c>
      <c r="CA125" s="675">
        <v>0</v>
      </c>
      <c r="CB125" s="675">
        <v>0</v>
      </c>
      <c r="CC125" s="675">
        <v>0</v>
      </c>
      <c r="CD125" s="675">
        <v>0</v>
      </c>
      <c r="CE125" s="675">
        <v>0</v>
      </c>
      <c r="CF125" s="675">
        <v>0</v>
      </c>
      <c r="CG125" s="675">
        <v>0</v>
      </c>
      <c r="CH125" s="676">
        <v>0</v>
      </c>
      <c r="CI125" s="675">
        <v>0</v>
      </c>
      <c r="CJ125" s="675">
        <v>4</v>
      </c>
      <c r="CK125" s="675">
        <v>0</v>
      </c>
      <c r="CL125" s="675">
        <v>0</v>
      </c>
      <c r="CM125" s="675">
        <v>0</v>
      </c>
      <c r="CN125" s="675">
        <v>0</v>
      </c>
      <c r="CO125" s="675">
        <v>1</v>
      </c>
      <c r="CP125" s="675">
        <v>0</v>
      </c>
      <c r="CQ125" s="675">
        <v>0</v>
      </c>
      <c r="CR125" s="675">
        <v>0</v>
      </c>
      <c r="CS125" s="675">
        <v>0</v>
      </c>
      <c r="CT125" s="675">
        <v>0</v>
      </c>
      <c r="CU125" s="675">
        <v>0</v>
      </c>
      <c r="CV125" s="675">
        <v>0</v>
      </c>
      <c r="CW125" s="675">
        <v>0</v>
      </c>
      <c r="CX125" s="675">
        <v>0</v>
      </c>
      <c r="CY125" s="675">
        <v>0</v>
      </c>
      <c r="CZ125" s="675">
        <v>0</v>
      </c>
      <c r="DA125" s="675">
        <v>1</v>
      </c>
      <c r="DB125" s="675">
        <v>0</v>
      </c>
      <c r="DC125" s="675">
        <v>0</v>
      </c>
      <c r="DD125" s="675">
        <v>0</v>
      </c>
      <c r="DE125" s="675">
        <v>0</v>
      </c>
      <c r="DF125" s="675">
        <v>0</v>
      </c>
      <c r="DG125" s="675">
        <v>0</v>
      </c>
      <c r="DH125" s="675">
        <v>0</v>
      </c>
      <c r="DI125" s="675">
        <v>0</v>
      </c>
      <c r="DJ125" s="675">
        <v>0</v>
      </c>
      <c r="DK125" s="675">
        <v>5392</v>
      </c>
      <c r="DL125" s="675">
        <v>0</v>
      </c>
      <c r="DM125" s="675">
        <v>0</v>
      </c>
      <c r="DN125" s="675">
        <v>0</v>
      </c>
      <c r="DO125" s="675">
        <v>0</v>
      </c>
      <c r="DP125" s="675">
        <v>0</v>
      </c>
      <c r="DQ125" s="675">
        <v>0</v>
      </c>
      <c r="DR125" s="675">
        <v>0</v>
      </c>
      <c r="DS125" s="675">
        <v>0</v>
      </c>
      <c r="DT125" s="675">
        <v>0</v>
      </c>
      <c r="DU125" s="675">
        <v>0</v>
      </c>
      <c r="DV125" s="675">
        <v>0</v>
      </c>
      <c r="DW125" s="675">
        <v>0</v>
      </c>
      <c r="DX125" s="675">
        <v>0</v>
      </c>
      <c r="DY125" s="675">
        <v>0</v>
      </c>
      <c r="DZ125" s="675">
        <v>0</v>
      </c>
      <c r="EA125" s="675">
        <v>0</v>
      </c>
      <c r="EB125" s="675">
        <v>0</v>
      </c>
      <c r="EC125" s="675">
        <v>0</v>
      </c>
      <c r="ED125" s="675">
        <v>0</v>
      </c>
      <c r="EE125" s="675">
        <v>0</v>
      </c>
      <c r="EF125" s="675">
        <v>0</v>
      </c>
      <c r="EG125" s="675">
        <v>0</v>
      </c>
      <c r="EH125" s="675">
        <v>0</v>
      </c>
      <c r="EI125" s="675">
        <v>0</v>
      </c>
      <c r="EJ125" s="675">
        <v>0</v>
      </c>
      <c r="EK125" s="675">
        <v>0</v>
      </c>
      <c r="EL125" s="675">
        <v>0</v>
      </c>
      <c r="EM125" s="675">
        <v>0</v>
      </c>
      <c r="EN125" s="675">
        <v>0</v>
      </c>
      <c r="EO125" s="675">
        <v>0</v>
      </c>
      <c r="EP125" s="675">
        <v>0</v>
      </c>
      <c r="EQ125" s="675">
        <v>0</v>
      </c>
      <c r="ER125" s="675">
        <v>0</v>
      </c>
      <c r="ES125" s="675">
        <v>0</v>
      </c>
      <c r="ET125" s="676">
        <v>0</v>
      </c>
      <c r="EU125" s="675">
        <v>0</v>
      </c>
      <c r="EV125" s="675">
        <v>0</v>
      </c>
      <c r="EW125" s="675">
        <v>0</v>
      </c>
      <c r="EX125" s="675">
        <v>0</v>
      </c>
      <c r="EY125" s="675">
        <v>0</v>
      </c>
      <c r="EZ125" s="675">
        <v>0</v>
      </c>
      <c r="FA125" s="675">
        <v>0</v>
      </c>
      <c r="FB125" s="676">
        <v>0</v>
      </c>
      <c r="FC125" s="675">
        <v>0.97327799999999998</v>
      </c>
      <c r="FD125" s="675">
        <v>0</v>
      </c>
      <c r="FE125" s="675">
        <v>0</v>
      </c>
      <c r="FF125" s="675">
        <v>0</v>
      </c>
      <c r="FG125" s="675">
        <v>6.0988999999999995E-2</v>
      </c>
      <c r="FH125" s="675">
        <v>5.4558999999999996E-2</v>
      </c>
      <c r="FI125" s="675">
        <v>0</v>
      </c>
      <c r="FJ125" s="675">
        <v>0</v>
      </c>
      <c r="FK125" s="675">
        <v>0</v>
      </c>
      <c r="FL125" s="675">
        <v>0</v>
      </c>
      <c r="FM125" s="675">
        <v>0</v>
      </c>
      <c r="FN125" s="675">
        <v>0</v>
      </c>
      <c r="FO125" s="675">
        <v>0</v>
      </c>
      <c r="FP125" s="675">
        <v>0</v>
      </c>
      <c r="FQ125" s="675">
        <v>0</v>
      </c>
      <c r="FR125" s="675">
        <v>0</v>
      </c>
      <c r="FS125" s="675">
        <v>0</v>
      </c>
      <c r="FT125" s="675">
        <v>0</v>
      </c>
      <c r="FU125" s="675">
        <v>0</v>
      </c>
      <c r="FV125" s="675">
        <v>0</v>
      </c>
      <c r="FW125" s="675">
        <v>0</v>
      </c>
      <c r="FX125" s="675">
        <v>0</v>
      </c>
      <c r="FY125" s="675">
        <v>0</v>
      </c>
      <c r="FZ125" s="675">
        <v>0</v>
      </c>
      <c r="GA125" s="675">
        <v>0</v>
      </c>
      <c r="GB125" s="676">
        <v>0</v>
      </c>
      <c r="GC125" s="676">
        <v>0</v>
      </c>
      <c r="GD125" s="676">
        <v>0</v>
      </c>
      <c r="GE125" s="675">
        <v>0</v>
      </c>
      <c r="GF125" s="675">
        <v>0</v>
      </c>
      <c r="GG125" s="675">
        <v>0</v>
      </c>
      <c r="GH125" s="675">
        <v>0</v>
      </c>
      <c r="GI125" s="675">
        <v>0</v>
      </c>
      <c r="GJ125" s="675">
        <v>0</v>
      </c>
      <c r="GK125" s="675">
        <v>0</v>
      </c>
      <c r="GL125" s="675">
        <v>0</v>
      </c>
      <c r="GM125" s="675">
        <v>0</v>
      </c>
      <c r="GN125" s="675">
        <v>0</v>
      </c>
      <c r="GO125" s="675">
        <v>0</v>
      </c>
      <c r="GP125" s="675">
        <v>0</v>
      </c>
      <c r="GQ125" s="675">
        <v>0</v>
      </c>
      <c r="GR125" s="675">
        <v>0</v>
      </c>
      <c r="GS125" s="675">
        <v>0</v>
      </c>
      <c r="GT125" s="675">
        <v>0</v>
      </c>
      <c r="GU125" s="675">
        <v>0</v>
      </c>
      <c r="GV125" s="675">
        <v>0</v>
      </c>
      <c r="GW125" s="675">
        <v>0</v>
      </c>
      <c r="GX125" s="675">
        <v>0</v>
      </c>
      <c r="GY125" s="675">
        <v>0</v>
      </c>
      <c r="GZ125" s="675">
        <v>0</v>
      </c>
      <c r="HA125" s="675">
        <v>0</v>
      </c>
      <c r="HB125" s="675">
        <v>0</v>
      </c>
      <c r="HC125" s="675">
        <v>0</v>
      </c>
      <c r="HD125" s="676">
        <v>0</v>
      </c>
      <c r="HE125" s="675">
        <v>0</v>
      </c>
      <c r="HF125" s="675">
        <v>0</v>
      </c>
      <c r="HG125" s="675">
        <v>0</v>
      </c>
      <c r="HH125" s="675">
        <v>0</v>
      </c>
      <c r="HI125" s="675">
        <v>0</v>
      </c>
      <c r="HJ125" s="675">
        <v>0</v>
      </c>
      <c r="HK125" s="675">
        <v>0</v>
      </c>
      <c r="HL125" s="675">
        <v>0</v>
      </c>
      <c r="HM125" s="675">
        <v>0</v>
      </c>
      <c r="HN125" s="675">
        <v>0</v>
      </c>
      <c r="HO125" s="675">
        <v>0</v>
      </c>
      <c r="HP125" s="675">
        <v>0</v>
      </c>
      <c r="HQ125" s="675">
        <v>0</v>
      </c>
      <c r="HR125" s="675">
        <v>0</v>
      </c>
      <c r="HS125" s="675">
        <v>0</v>
      </c>
      <c r="HT125" s="675">
        <v>0</v>
      </c>
      <c r="HU125" s="675">
        <v>0</v>
      </c>
      <c r="HV125" s="675">
        <v>0</v>
      </c>
      <c r="HW125" s="675">
        <v>0</v>
      </c>
      <c r="HX125" s="675">
        <v>0</v>
      </c>
      <c r="HY125" s="675">
        <v>0</v>
      </c>
      <c r="HZ125" s="675">
        <v>0</v>
      </c>
      <c r="IA125" s="675">
        <v>0</v>
      </c>
      <c r="IB125" s="675">
        <v>0</v>
      </c>
      <c r="IC125" s="675">
        <v>0</v>
      </c>
      <c r="ID125" s="675">
        <v>0</v>
      </c>
      <c r="IE125" s="675">
        <v>0</v>
      </c>
      <c r="IF125" s="675">
        <v>0</v>
      </c>
      <c r="IG125" s="675">
        <v>0</v>
      </c>
      <c r="IH125" s="675">
        <v>0</v>
      </c>
      <c r="II125" s="675">
        <v>0</v>
      </c>
      <c r="IJ125" s="675">
        <v>0</v>
      </c>
      <c r="IK125" s="675">
        <v>0</v>
      </c>
      <c r="IL125" s="675">
        <v>0</v>
      </c>
      <c r="IM125" s="675">
        <v>0</v>
      </c>
      <c r="IN125" s="675">
        <v>0</v>
      </c>
      <c r="IO125" s="675">
        <v>0</v>
      </c>
      <c r="IP125" s="675">
        <v>0</v>
      </c>
      <c r="IQ125" s="675">
        <v>0</v>
      </c>
      <c r="IR125" s="675">
        <v>0</v>
      </c>
      <c r="IS125" s="675">
        <v>0</v>
      </c>
      <c r="IT125" s="675">
        <v>0</v>
      </c>
      <c r="IU125" s="675">
        <v>0</v>
      </c>
      <c r="IV125" s="675">
        <v>0</v>
      </c>
      <c r="IW125" s="675">
        <v>0</v>
      </c>
      <c r="IX125" s="675">
        <v>0</v>
      </c>
      <c r="IY125" s="675">
        <v>0</v>
      </c>
      <c r="IZ125" s="675">
        <v>0</v>
      </c>
      <c r="JA125" s="675">
        <v>0</v>
      </c>
      <c r="JB125" s="675">
        <v>0</v>
      </c>
      <c r="JC125" s="675">
        <v>0</v>
      </c>
      <c r="JD125" s="675">
        <v>0</v>
      </c>
      <c r="JE125" s="675">
        <v>0</v>
      </c>
      <c r="JF125" s="675">
        <v>0</v>
      </c>
      <c r="JG125" s="675">
        <v>0</v>
      </c>
      <c r="JH125" s="675">
        <v>0</v>
      </c>
      <c r="JI125" s="675">
        <v>0</v>
      </c>
      <c r="JJ125" s="675">
        <v>0</v>
      </c>
      <c r="JK125" s="675">
        <v>0</v>
      </c>
      <c r="JL125" s="675">
        <v>0</v>
      </c>
      <c r="JM125" s="675">
        <v>0</v>
      </c>
    </row>
    <row r="126" spans="1:292" ht="13" x14ac:dyDescent="0.3">
      <c r="A126" s="675">
        <v>105801</v>
      </c>
      <c r="B126" s="675">
        <v>32570</v>
      </c>
      <c r="C126" s="675">
        <v>35</v>
      </c>
      <c r="D126" s="675">
        <v>2022</v>
      </c>
      <c r="E126" s="675">
        <v>5392</v>
      </c>
      <c r="F126" s="675">
        <v>0</v>
      </c>
      <c r="G126" s="675">
        <v>131.249</v>
      </c>
      <c r="H126" s="675">
        <v>123.15100000000001</v>
      </c>
      <c r="I126" s="675">
        <v>123.15100000000001</v>
      </c>
      <c r="J126" s="675">
        <v>131.249</v>
      </c>
      <c r="K126" s="675">
        <v>0</v>
      </c>
      <c r="L126" s="675">
        <v>6554</v>
      </c>
      <c r="M126" s="675">
        <v>0</v>
      </c>
      <c r="N126" s="675">
        <v>0</v>
      </c>
      <c r="O126" s="675">
        <v>0</v>
      </c>
      <c r="P126" s="675">
        <v>144.21899999999999</v>
      </c>
      <c r="Q126" s="675">
        <v>0</v>
      </c>
      <c r="R126" s="676">
        <v>46109</v>
      </c>
      <c r="S126" s="675">
        <v>319.71300000000002</v>
      </c>
      <c r="T126" s="675">
        <v>0</v>
      </c>
      <c r="U126" s="676">
        <v>46109</v>
      </c>
      <c r="V126" s="676">
        <v>0</v>
      </c>
      <c r="W126" s="676">
        <v>0</v>
      </c>
      <c r="X126" s="676">
        <v>0</v>
      </c>
      <c r="Y126" s="675">
        <v>0</v>
      </c>
      <c r="Z126" s="675">
        <v>0</v>
      </c>
      <c r="AA126" s="675">
        <v>1</v>
      </c>
      <c r="AB126" s="675">
        <v>1</v>
      </c>
      <c r="AC126" s="675">
        <v>0</v>
      </c>
      <c r="AD126" s="675" t="s">
        <v>316</v>
      </c>
      <c r="AE126" s="675">
        <v>0</v>
      </c>
      <c r="AF126" s="675">
        <v>0</v>
      </c>
      <c r="AG126" s="675">
        <v>0</v>
      </c>
      <c r="AH126" s="675">
        <v>0</v>
      </c>
      <c r="AI126" s="675">
        <v>0</v>
      </c>
      <c r="AJ126" s="675">
        <v>5104</v>
      </c>
      <c r="AK126" s="675" t="s">
        <v>671</v>
      </c>
      <c r="AL126" s="675" t="s">
        <v>34</v>
      </c>
      <c r="AM126" s="675">
        <v>0</v>
      </c>
      <c r="AN126" s="675">
        <v>0</v>
      </c>
      <c r="AO126" s="675">
        <v>0</v>
      </c>
      <c r="AP126" s="675">
        <v>0</v>
      </c>
      <c r="AQ126" s="675">
        <v>0</v>
      </c>
      <c r="AR126" s="675">
        <v>0</v>
      </c>
      <c r="AS126" s="675">
        <v>0</v>
      </c>
      <c r="AT126" s="675">
        <v>0</v>
      </c>
      <c r="AU126" s="675">
        <v>0</v>
      </c>
      <c r="AV126" s="675">
        <v>95064</v>
      </c>
      <c r="AW126" s="675">
        <v>1404998</v>
      </c>
      <c r="AX126" s="675">
        <v>1341916</v>
      </c>
      <c r="AY126" s="675">
        <v>1525550</v>
      </c>
      <c r="AZ126" s="675">
        <v>77991</v>
      </c>
      <c r="BA126" s="676">
        <v>8.1669999999999998</v>
      </c>
      <c r="BB126" s="675">
        <v>0</v>
      </c>
      <c r="BC126" s="675">
        <v>0</v>
      </c>
      <c r="BD126" s="675">
        <v>0</v>
      </c>
      <c r="BE126" s="675">
        <v>0</v>
      </c>
      <c r="BF126" s="675">
        <v>1088885</v>
      </c>
      <c r="BG126" s="675">
        <v>0</v>
      </c>
      <c r="BH126" s="676">
        <v>115.93300000000001</v>
      </c>
      <c r="BI126" s="676">
        <v>31882</v>
      </c>
      <c r="BJ126" s="675">
        <v>12</v>
      </c>
      <c r="BK126" s="675">
        <v>0</v>
      </c>
      <c r="BL126" s="675">
        <v>0</v>
      </c>
      <c r="BM126" s="675">
        <v>0</v>
      </c>
      <c r="BN126" s="675">
        <v>0</v>
      </c>
      <c r="BO126" s="675">
        <v>0</v>
      </c>
      <c r="BP126" s="675">
        <v>0</v>
      </c>
      <c r="BQ126" s="675">
        <v>5392</v>
      </c>
      <c r="BR126" s="675">
        <v>1</v>
      </c>
      <c r="BS126" s="675">
        <v>0</v>
      </c>
      <c r="BT126" s="675">
        <v>0</v>
      </c>
      <c r="BU126" s="675">
        <v>0</v>
      </c>
      <c r="BV126" s="675">
        <v>0</v>
      </c>
      <c r="BW126" s="675">
        <v>0</v>
      </c>
      <c r="BX126" s="675">
        <v>0</v>
      </c>
      <c r="BY126" s="675">
        <v>0</v>
      </c>
      <c r="BZ126" s="675">
        <v>0</v>
      </c>
      <c r="CA126" s="675">
        <v>0</v>
      </c>
      <c r="CB126" s="675">
        <v>0</v>
      </c>
      <c r="CC126" s="675">
        <v>0</v>
      </c>
      <c r="CD126" s="675">
        <v>0</v>
      </c>
      <c r="CE126" s="675">
        <v>0</v>
      </c>
      <c r="CF126" s="675">
        <v>0</v>
      </c>
      <c r="CG126" s="675">
        <v>0</v>
      </c>
      <c r="CH126" s="676">
        <v>31200</v>
      </c>
      <c r="CI126" s="675">
        <v>0</v>
      </c>
      <c r="CJ126" s="675">
        <v>4</v>
      </c>
      <c r="CK126" s="675">
        <v>0</v>
      </c>
      <c r="CL126" s="675">
        <v>0</v>
      </c>
      <c r="CM126" s="675">
        <v>0</v>
      </c>
      <c r="CN126" s="675">
        <v>0</v>
      </c>
      <c r="CO126" s="675">
        <v>0</v>
      </c>
      <c r="CP126" s="675">
        <v>0</v>
      </c>
      <c r="CQ126" s="675">
        <v>5</v>
      </c>
      <c r="CR126" s="675">
        <v>144.21899999999999</v>
      </c>
      <c r="CS126" s="675">
        <v>0</v>
      </c>
      <c r="CT126" s="675">
        <v>0</v>
      </c>
      <c r="CU126" s="675">
        <v>0</v>
      </c>
      <c r="CV126" s="675">
        <v>0</v>
      </c>
      <c r="CW126" s="675">
        <v>0</v>
      </c>
      <c r="CX126" s="675">
        <v>0</v>
      </c>
      <c r="CY126" s="675">
        <v>0</v>
      </c>
      <c r="CZ126" s="675">
        <v>0</v>
      </c>
      <c r="DA126" s="675">
        <v>1</v>
      </c>
      <c r="DB126" s="675">
        <v>807132</v>
      </c>
      <c r="DC126" s="675">
        <v>0</v>
      </c>
      <c r="DD126" s="675">
        <v>0</v>
      </c>
      <c r="DE126" s="675">
        <v>113384</v>
      </c>
      <c r="DF126" s="675">
        <v>113384</v>
      </c>
      <c r="DG126" s="675">
        <v>86.5</v>
      </c>
      <c r="DH126" s="675">
        <v>0</v>
      </c>
      <c r="DI126" s="675">
        <v>0</v>
      </c>
      <c r="DJ126" s="675">
        <v>0</v>
      </c>
      <c r="DK126" s="675">
        <v>5392</v>
      </c>
      <c r="DL126" s="675">
        <v>0</v>
      </c>
      <c r="DM126" s="675">
        <v>140604</v>
      </c>
      <c r="DN126" s="675">
        <v>0</v>
      </c>
      <c r="DO126" s="675">
        <v>0</v>
      </c>
      <c r="DP126" s="675">
        <v>0</v>
      </c>
      <c r="DQ126" s="675">
        <v>0</v>
      </c>
      <c r="DR126" s="675">
        <v>0</v>
      </c>
      <c r="DS126" s="675">
        <v>0</v>
      </c>
      <c r="DT126" s="675">
        <v>0</v>
      </c>
      <c r="DU126" s="675">
        <v>0</v>
      </c>
      <c r="DV126" s="675">
        <v>0</v>
      </c>
      <c r="DW126" s="675">
        <v>0</v>
      </c>
      <c r="DX126" s="675">
        <v>0</v>
      </c>
      <c r="DY126" s="675">
        <v>0</v>
      </c>
      <c r="DZ126" s="675">
        <v>0</v>
      </c>
      <c r="EA126" s="675">
        <v>0</v>
      </c>
      <c r="EB126" s="675">
        <v>0</v>
      </c>
      <c r="EC126" s="675">
        <v>15.191000000000001</v>
      </c>
      <c r="ED126" s="675">
        <v>109518</v>
      </c>
      <c r="EE126" s="675">
        <v>0</v>
      </c>
      <c r="EF126" s="675">
        <v>0</v>
      </c>
      <c r="EG126" s="675">
        <v>0</v>
      </c>
      <c r="EH126" s="675">
        <v>31086</v>
      </c>
      <c r="EI126" s="675">
        <v>0</v>
      </c>
      <c r="EJ126" s="675">
        <v>0</v>
      </c>
      <c r="EK126" s="675">
        <v>1.5810000000000002</v>
      </c>
      <c r="EL126" s="675">
        <v>0</v>
      </c>
      <c r="EM126" s="675">
        <v>0</v>
      </c>
      <c r="EN126" s="675">
        <v>0</v>
      </c>
      <c r="EO126" s="675">
        <v>0</v>
      </c>
      <c r="EP126" s="675">
        <v>0</v>
      </c>
      <c r="EQ126" s="675">
        <v>1.5810000000000002</v>
      </c>
      <c r="ER126" s="675">
        <v>0</v>
      </c>
      <c r="ES126" s="675">
        <v>4.7430000000000003</v>
      </c>
      <c r="ET126" s="676">
        <v>5334</v>
      </c>
      <c r="EU126" s="675">
        <v>77991</v>
      </c>
      <c r="EV126" s="675">
        <v>0</v>
      </c>
      <c r="EW126" s="675">
        <v>0</v>
      </c>
      <c r="EX126" s="675">
        <v>0</v>
      </c>
      <c r="EY126" s="675">
        <v>0</v>
      </c>
      <c r="EZ126" s="675">
        <v>1138785</v>
      </c>
      <c r="FA126" s="675">
        <v>0</v>
      </c>
      <c r="FB126" s="676">
        <v>1216776</v>
      </c>
      <c r="FC126" s="675">
        <v>0.97327799999999998</v>
      </c>
      <c r="FD126" s="675">
        <v>0</v>
      </c>
      <c r="FE126" s="675">
        <v>165774</v>
      </c>
      <c r="FF126" s="675">
        <v>37357</v>
      </c>
      <c r="FG126" s="675">
        <v>6.1239999999999996E-2</v>
      </c>
      <c r="FH126" s="675">
        <v>5.4803999999999999E-2</v>
      </c>
      <c r="FI126" s="675">
        <v>0</v>
      </c>
      <c r="FJ126" s="675">
        <v>0</v>
      </c>
      <c r="FK126" s="675">
        <v>213.34700000000001</v>
      </c>
      <c r="FL126" s="675">
        <v>1451107</v>
      </c>
      <c r="FM126" s="675">
        <v>0</v>
      </c>
      <c r="FN126" s="675">
        <v>0</v>
      </c>
      <c r="FO126" s="675">
        <v>66112</v>
      </c>
      <c r="FP126" s="675">
        <v>0</v>
      </c>
      <c r="FQ126" s="675">
        <v>66112</v>
      </c>
      <c r="FR126" s="675">
        <v>66112</v>
      </c>
      <c r="FS126" s="675">
        <v>0</v>
      </c>
      <c r="FT126" s="675">
        <v>0</v>
      </c>
      <c r="FU126" s="675">
        <v>0</v>
      </c>
      <c r="FV126" s="675">
        <v>0</v>
      </c>
      <c r="FW126" s="675">
        <v>0</v>
      </c>
      <c r="FX126" s="675">
        <v>0</v>
      </c>
      <c r="FY126" s="675">
        <v>0</v>
      </c>
      <c r="FZ126" s="675">
        <v>0</v>
      </c>
      <c r="GA126" s="675">
        <v>0</v>
      </c>
      <c r="GB126" s="676">
        <v>57662</v>
      </c>
      <c r="GC126" s="676">
        <v>57662</v>
      </c>
      <c r="GD126" s="676">
        <v>6.5170000000000003</v>
      </c>
      <c r="GE126" s="675">
        <v>0</v>
      </c>
      <c r="GF126" s="675">
        <v>0</v>
      </c>
      <c r="GG126" s="675">
        <v>0</v>
      </c>
      <c r="GH126" s="675">
        <v>0</v>
      </c>
      <c r="GI126" s="675">
        <v>0</v>
      </c>
      <c r="GJ126" s="675">
        <v>0</v>
      </c>
      <c r="GK126" s="675">
        <v>5779</v>
      </c>
      <c r="GL126" s="675">
        <v>3597</v>
      </c>
      <c r="GM126" s="675">
        <v>0</v>
      </c>
      <c r="GN126" s="675">
        <v>44710</v>
      </c>
      <c r="GO126" s="675">
        <v>0</v>
      </c>
      <c r="GP126" s="675">
        <v>1419907</v>
      </c>
      <c r="GQ126" s="675">
        <v>1419907</v>
      </c>
      <c r="GR126" s="675">
        <v>0</v>
      </c>
      <c r="GS126" s="675">
        <v>0</v>
      </c>
      <c r="GT126" s="675">
        <v>0</v>
      </c>
      <c r="GU126" s="675">
        <v>0</v>
      </c>
      <c r="GV126" s="675">
        <v>0</v>
      </c>
      <c r="GW126" s="675">
        <v>0</v>
      </c>
      <c r="GX126" s="675">
        <v>0</v>
      </c>
      <c r="GY126" s="675">
        <v>0</v>
      </c>
      <c r="GZ126" s="675">
        <v>0</v>
      </c>
      <c r="HA126" s="675">
        <v>0</v>
      </c>
      <c r="HB126" s="675">
        <v>260786259</v>
      </c>
      <c r="HC126" s="675">
        <v>5.0923999999999997E-2</v>
      </c>
      <c r="HD126" s="676">
        <v>25866</v>
      </c>
      <c r="HE126" s="675">
        <v>0</v>
      </c>
      <c r="HF126" s="675">
        <v>0</v>
      </c>
      <c r="HG126" s="675">
        <v>0</v>
      </c>
      <c r="HH126" s="675">
        <v>0</v>
      </c>
      <c r="HI126" s="675">
        <v>0</v>
      </c>
      <c r="HJ126" s="675">
        <v>0</v>
      </c>
      <c r="HK126" s="675">
        <v>0</v>
      </c>
      <c r="HL126" s="675">
        <v>0</v>
      </c>
      <c r="HM126" s="675">
        <v>0</v>
      </c>
      <c r="HN126" s="675">
        <v>0</v>
      </c>
      <c r="HO126" s="675">
        <v>0</v>
      </c>
      <c r="HP126" s="675">
        <v>0</v>
      </c>
      <c r="HQ126" s="675">
        <v>0</v>
      </c>
      <c r="HR126" s="675">
        <v>0</v>
      </c>
      <c r="HS126" s="675">
        <v>0</v>
      </c>
      <c r="HT126" s="675">
        <v>0</v>
      </c>
      <c r="HU126" s="675">
        <v>0</v>
      </c>
      <c r="HV126" s="675">
        <v>0</v>
      </c>
      <c r="HW126" s="675">
        <v>0</v>
      </c>
      <c r="HX126" s="675">
        <v>0</v>
      </c>
      <c r="HY126" s="675">
        <v>0</v>
      </c>
      <c r="HZ126" s="675">
        <v>0</v>
      </c>
      <c r="IA126" s="675">
        <v>0</v>
      </c>
      <c r="IB126" s="675">
        <v>0</v>
      </c>
      <c r="IC126" s="675">
        <v>0</v>
      </c>
      <c r="ID126" s="675">
        <v>0</v>
      </c>
      <c r="IE126" s="675">
        <v>0</v>
      </c>
      <c r="IF126" s="675">
        <v>0</v>
      </c>
      <c r="IG126" s="675">
        <v>0</v>
      </c>
      <c r="IH126" s="675">
        <v>0</v>
      </c>
      <c r="II126" s="675">
        <v>0</v>
      </c>
      <c r="IJ126" s="675">
        <v>0</v>
      </c>
      <c r="IK126" s="675">
        <v>0</v>
      </c>
      <c r="IL126" s="675">
        <v>0</v>
      </c>
      <c r="IM126" s="675">
        <v>0</v>
      </c>
      <c r="IN126" s="675">
        <v>0</v>
      </c>
      <c r="IO126" s="675">
        <v>0</v>
      </c>
      <c r="IP126" s="675">
        <v>0</v>
      </c>
      <c r="IQ126" s="675">
        <v>0</v>
      </c>
      <c r="IR126" s="675">
        <v>0</v>
      </c>
      <c r="IS126" s="675">
        <v>0</v>
      </c>
      <c r="IT126" s="675">
        <v>0</v>
      </c>
      <c r="IU126" s="675">
        <v>0</v>
      </c>
      <c r="IV126" s="675">
        <v>0</v>
      </c>
      <c r="IW126" s="675">
        <v>0</v>
      </c>
      <c r="IX126" s="675">
        <v>0</v>
      </c>
      <c r="IY126" s="675">
        <v>0</v>
      </c>
      <c r="IZ126" s="675">
        <v>0</v>
      </c>
      <c r="JA126" s="675">
        <v>0</v>
      </c>
      <c r="JB126" s="675">
        <v>0</v>
      </c>
      <c r="JC126" s="675">
        <v>0</v>
      </c>
      <c r="JD126" s="675">
        <v>0</v>
      </c>
      <c r="JE126" s="675">
        <v>0</v>
      </c>
      <c r="JF126" s="675">
        <v>0</v>
      </c>
      <c r="JG126" s="675">
        <v>0</v>
      </c>
      <c r="JH126" s="675">
        <v>0</v>
      </c>
      <c r="JI126" s="675">
        <v>0</v>
      </c>
      <c r="JJ126" s="675">
        <v>0</v>
      </c>
      <c r="JK126" s="675">
        <v>0</v>
      </c>
      <c r="JL126" s="675">
        <v>0</v>
      </c>
      <c r="JM126" s="675">
        <v>0</v>
      </c>
      <c r="JN126" s="675">
        <v>32469</v>
      </c>
      <c r="JO126" s="675">
        <v>0</v>
      </c>
      <c r="JP126" s="675">
        <v>0</v>
      </c>
      <c r="JQ126" s="675">
        <v>0</v>
      </c>
      <c r="JR126" s="675">
        <v>0</v>
      </c>
      <c r="JS126" s="675">
        <v>0</v>
      </c>
      <c r="JT126" s="675">
        <v>0</v>
      </c>
      <c r="JU126" s="675">
        <v>0</v>
      </c>
      <c r="JV126" s="675">
        <v>0</v>
      </c>
      <c r="JW126" s="675">
        <v>0</v>
      </c>
      <c r="JX126" s="675">
        <v>0</v>
      </c>
      <c r="JY126" s="675">
        <v>0</v>
      </c>
      <c r="JZ126" s="675">
        <v>0</v>
      </c>
      <c r="KA126" s="675">
        <v>0</v>
      </c>
      <c r="KB126" s="675">
        <v>0</v>
      </c>
      <c r="KC126" s="675">
        <v>0</v>
      </c>
      <c r="KD126" s="675">
        <v>0</v>
      </c>
      <c r="KE126" s="675">
        <v>0</v>
      </c>
      <c r="KF126" s="675">
        <v>0</v>
      </c>
    </row>
    <row r="127" spans="1:292" x14ac:dyDescent="0.25">
      <c r="A127" s="675">
        <v>105802</v>
      </c>
      <c r="B127" s="675">
        <v>32570</v>
      </c>
      <c r="C127" s="675">
        <v>35</v>
      </c>
      <c r="D127" s="675">
        <v>2022</v>
      </c>
      <c r="E127" s="675">
        <v>5392</v>
      </c>
      <c r="F127" s="675">
        <v>0</v>
      </c>
      <c r="G127" s="675">
        <v>179.64400000000001</v>
      </c>
      <c r="H127" s="675">
        <v>179.27100000000002</v>
      </c>
      <c r="I127" s="675">
        <v>179.27100000000002</v>
      </c>
      <c r="J127" s="675">
        <v>179.64400000000001</v>
      </c>
      <c r="K127" s="675">
        <v>0</v>
      </c>
      <c r="L127" s="675">
        <v>6554</v>
      </c>
      <c r="M127" s="675">
        <v>0</v>
      </c>
      <c r="N127" s="675">
        <v>0</v>
      </c>
      <c r="O127" s="675">
        <v>0</v>
      </c>
      <c r="P127" s="675">
        <v>217.32300000000001</v>
      </c>
      <c r="Q127" s="675">
        <v>0</v>
      </c>
      <c r="R127" s="675">
        <v>69481</v>
      </c>
      <c r="S127" s="675">
        <v>319.71300000000002</v>
      </c>
      <c r="T127" s="675">
        <v>0</v>
      </c>
      <c r="U127" s="675">
        <v>69481</v>
      </c>
      <c r="V127" s="675">
        <v>0</v>
      </c>
      <c r="W127" s="675">
        <v>0</v>
      </c>
      <c r="X127" s="675">
        <v>0</v>
      </c>
      <c r="Y127" s="675">
        <v>0</v>
      </c>
      <c r="Z127" s="675">
        <v>0</v>
      </c>
      <c r="AA127" s="675">
        <v>1</v>
      </c>
      <c r="AB127" s="675">
        <v>1</v>
      </c>
      <c r="AC127" s="675">
        <v>0</v>
      </c>
      <c r="AD127" s="675" t="s">
        <v>316</v>
      </c>
      <c r="AE127" s="675">
        <v>0</v>
      </c>
      <c r="AF127" s="675">
        <v>0</v>
      </c>
      <c r="AG127" s="675">
        <v>0</v>
      </c>
      <c r="AH127" s="675">
        <v>0</v>
      </c>
      <c r="AI127" s="675">
        <v>0</v>
      </c>
      <c r="AJ127" s="675">
        <v>5104</v>
      </c>
      <c r="AK127" s="675" t="s">
        <v>671</v>
      </c>
      <c r="AL127" s="675" t="s">
        <v>3</v>
      </c>
      <c r="AM127" s="675">
        <v>0</v>
      </c>
      <c r="AN127" s="675">
        <v>0</v>
      </c>
      <c r="AO127" s="675">
        <v>0</v>
      </c>
      <c r="AP127" s="675">
        <v>0</v>
      </c>
      <c r="AQ127" s="675">
        <v>0</v>
      </c>
      <c r="AR127" s="675">
        <v>0</v>
      </c>
      <c r="AS127" s="675">
        <v>0</v>
      </c>
      <c r="AT127" s="675">
        <v>0</v>
      </c>
      <c r="AU127" s="675">
        <v>0</v>
      </c>
      <c r="AV127" s="675">
        <v>83880</v>
      </c>
      <c r="AW127" s="675">
        <v>1834045</v>
      </c>
      <c r="AX127" s="675">
        <v>1825191</v>
      </c>
      <c r="AY127" s="675">
        <v>1912179</v>
      </c>
      <c r="AZ127" s="675">
        <v>69481</v>
      </c>
      <c r="BA127" s="675">
        <v>15</v>
      </c>
      <c r="BB127" s="675">
        <v>0</v>
      </c>
      <c r="BC127" s="675">
        <v>0</v>
      </c>
      <c r="BD127" s="675">
        <v>0</v>
      </c>
      <c r="BE127" s="675">
        <v>0</v>
      </c>
      <c r="BF127" s="675">
        <v>1547283</v>
      </c>
      <c r="BG127" s="675">
        <v>0</v>
      </c>
      <c r="BH127" s="675">
        <v>0</v>
      </c>
      <c r="BI127" s="675">
        <v>0</v>
      </c>
      <c r="BJ127" s="675">
        <v>12</v>
      </c>
      <c r="BK127" s="675">
        <v>0</v>
      </c>
      <c r="BL127" s="675">
        <v>0</v>
      </c>
      <c r="BM127" s="675">
        <v>0</v>
      </c>
      <c r="BN127" s="675">
        <v>0</v>
      </c>
      <c r="BO127" s="675">
        <v>0</v>
      </c>
      <c r="BP127" s="675">
        <v>0</v>
      </c>
      <c r="BQ127" s="675">
        <v>5392</v>
      </c>
      <c r="BR127" s="675">
        <v>1</v>
      </c>
      <c r="BS127" s="675">
        <v>0</v>
      </c>
      <c r="BT127" s="675">
        <v>0</v>
      </c>
      <c r="BU127" s="675">
        <v>0</v>
      </c>
      <c r="BV127" s="675">
        <v>0</v>
      </c>
      <c r="BW127" s="675">
        <v>0</v>
      </c>
      <c r="BX127" s="675">
        <v>0</v>
      </c>
      <c r="BY127" s="675">
        <v>0</v>
      </c>
      <c r="BZ127" s="675">
        <v>0</v>
      </c>
      <c r="CA127" s="675">
        <v>0</v>
      </c>
      <c r="CB127" s="675">
        <v>0</v>
      </c>
      <c r="CC127" s="675">
        <v>0</v>
      </c>
      <c r="CD127" s="675">
        <v>0</v>
      </c>
      <c r="CE127" s="675">
        <v>0</v>
      </c>
      <c r="CF127" s="675">
        <v>0</v>
      </c>
      <c r="CG127" s="675">
        <v>0</v>
      </c>
      <c r="CH127" s="675">
        <v>8854</v>
      </c>
      <c r="CI127" s="675">
        <v>0</v>
      </c>
      <c r="CJ127" s="675">
        <v>4</v>
      </c>
      <c r="CK127" s="675">
        <v>0</v>
      </c>
      <c r="CL127" s="675">
        <v>0</v>
      </c>
      <c r="CM127" s="675">
        <v>0</v>
      </c>
      <c r="CN127" s="675">
        <v>0</v>
      </c>
      <c r="CO127" s="675">
        <v>0</v>
      </c>
      <c r="CP127" s="675">
        <v>0</v>
      </c>
      <c r="CQ127" s="675">
        <v>5.4170000000000007</v>
      </c>
      <c r="CR127" s="675">
        <v>217.32300000000001</v>
      </c>
      <c r="CS127" s="675">
        <v>0</v>
      </c>
      <c r="CT127" s="675">
        <v>0</v>
      </c>
      <c r="CU127" s="675">
        <v>0</v>
      </c>
      <c r="CV127" s="675">
        <v>0</v>
      </c>
      <c r="CW127" s="675">
        <v>0</v>
      </c>
      <c r="CX127" s="675">
        <v>0</v>
      </c>
      <c r="CY127" s="675">
        <v>0</v>
      </c>
      <c r="CZ127" s="675">
        <v>0</v>
      </c>
      <c r="DA127" s="675">
        <v>1</v>
      </c>
      <c r="DB127" s="675">
        <v>1174942</v>
      </c>
      <c r="DC127" s="675">
        <v>0</v>
      </c>
      <c r="DD127" s="675">
        <v>0</v>
      </c>
      <c r="DE127" s="675">
        <v>310882</v>
      </c>
      <c r="DF127" s="675">
        <v>310882</v>
      </c>
      <c r="DG127" s="675">
        <v>237.17000000000002</v>
      </c>
      <c r="DH127" s="675">
        <v>0</v>
      </c>
      <c r="DI127" s="675">
        <v>0</v>
      </c>
      <c r="DJ127" s="675">
        <v>0</v>
      </c>
      <c r="DK127" s="675">
        <v>5392</v>
      </c>
      <c r="DL127" s="675">
        <v>0</v>
      </c>
      <c r="DM127" s="675">
        <v>103941</v>
      </c>
      <c r="DN127" s="675">
        <v>0</v>
      </c>
      <c r="DO127" s="675">
        <v>0</v>
      </c>
      <c r="DP127" s="675">
        <v>0</v>
      </c>
      <c r="DQ127" s="675">
        <v>0</v>
      </c>
      <c r="DR127" s="675">
        <v>0</v>
      </c>
      <c r="DS127" s="675">
        <v>0</v>
      </c>
      <c r="DT127" s="675">
        <v>0</v>
      </c>
      <c r="DU127" s="675">
        <v>0</v>
      </c>
      <c r="DV127" s="675">
        <v>0</v>
      </c>
      <c r="DW127" s="675">
        <v>0</v>
      </c>
      <c r="DX127" s="675">
        <v>0</v>
      </c>
      <c r="DY127" s="675">
        <v>0</v>
      </c>
      <c r="DZ127" s="675">
        <v>0</v>
      </c>
      <c r="EA127" s="675">
        <v>0</v>
      </c>
      <c r="EB127" s="675">
        <v>0</v>
      </c>
      <c r="EC127" s="675">
        <v>12.722000000000001</v>
      </c>
      <c r="ED127" s="675">
        <v>91718</v>
      </c>
      <c r="EE127" s="675">
        <v>0</v>
      </c>
      <c r="EF127" s="675">
        <v>0</v>
      </c>
      <c r="EG127" s="675">
        <v>0</v>
      </c>
      <c r="EH127" s="675">
        <v>12223</v>
      </c>
      <c r="EI127" s="675">
        <v>0</v>
      </c>
      <c r="EJ127" s="675">
        <v>0</v>
      </c>
      <c r="EK127" s="675">
        <v>0</v>
      </c>
      <c r="EL127" s="675">
        <v>0</v>
      </c>
      <c r="EM127" s="675">
        <v>0</v>
      </c>
      <c r="EN127" s="675">
        <v>0.373</v>
      </c>
      <c r="EO127" s="675">
        <v>0</v>
      </c>
      <c r="EP127" s="675">
        <v>0</v>
      </c>
      <c r="EQ127" s="675">
        <v>0.373</v>
      </c>
      <c r="ER127" s="675">
        <v>0</v>
      </c>
      <c r="ES127" s="675">
        <v>1.865</v>
      </c>
      <c r="ET127" s="675">
        <v>8854</v>
      </c>
      <c r="EU127" s="675">
        <v>69481</v>
      </c>
      <c r="EV127" s="675">
        <v>0</v>
      </c>
      <c r="EW127" s="675">
        <v>0</v>
      </c>
      <c r="EX127" s="675">
        <v>0</v>
      </c>
      <c r="EY127" s="675">
        <v>0</v>
      </c>
      <c r="EZ127" s="675">
        <v>1536547</v>
      </c>
      <c r="FA127" s="675">
        <v>0</v>
      </c>
      <c r="FB127" s="675">
        <v>1606028</v>
      </c>
      <c r="FC127" s="675">
        <v>0.97327799999999998</v>
      </c>
      <c r="FD127" s="675">
        <v>0</v>
      </c>
      <c r="FE127" s="675">
        <v>235561</v>
      </c>
      <c r="FF127" s="675">
        <v>53083</v>
      </c>
      <c r="FG127" s="675">
        <v>6.1239999999999996E-2</v>
      </c>
      <c r="FH127" s="675">
        <v>5.4803999999999999E-2</v>
      </c>
      <c r="FI127" s="675">
        <v>0</v>
      </c>
      <c r="FJ127" s="675">
        <v>0</v>
      </c>
      <c r="FK127" s="675">
        <v>303.161</v>
      </c>
      <c r="FL127" s="675">
        <v>1903526</v>
      </c>
      <c r="FM127" s="675">
        <v>0</v>
      </c>
      <c r="FN127" s="675">
        <v>0</v>
      </c>
      <c r="FO127" s="675">
        <v>16263</v>
      </c>
      <c r="FP127" s="675">
        <v>0</v>
      </c>
      <c r="FQ127" s="675">
        <v>16263</v>
      </c>
      <c r="FR127" s="675">
        <v>16263</v>
      </c>
      <c r="FS127" s="675">
        <v>0</v>
      </c>
      <c r="FT127" s="675">
        <v>0</v>
      </c>
      <c r="FU127" s="675">
        <v>0</v>
      </c>
      <c r="FV127" s="675">
        <v>0</v>
      </c>
      <c r="FW127" s="675">
        <v>0</v>
      </c>
      <c r="FX127" s="675">
        <v>0</v>
      </c>
      <c r="FY127" s="675">
        <v>0</v>
      </c>
      <c r="FZ127" s="675">
        <v>0</v>
      </c>
      <c r="GA127" s="675">
        <v>0</v>
      </c>
      <c r="GB127" s="675">
        <v>0</v>
      </c>
      <c r="GC127" s="675">
        <v>0</v>
      </c>
      <c r="GD127" s="675">
        <v>0</v>
      </c>
      <c r="GE127" s="675">
        <v>0</v>
      </c>
      <c r="GF127" s="675">
        <v>0</v>
      </c>
      <c r="GG127" s="675">
        <v>0</v>
      </c>
      <c r="GH127" s="675">
        <v>0</v>
      </c>
      <c r="GI127" s="675">
        <v>0</v>
      </c>
      <c r="GJ127" s="675">
        <v>0</v>
      </c>
      <c r="GK127" s="675">
        <v>5083</v>
      </c>
      <c r="GL127" s="675">
        <v>2925</v>
      </c>
      <c r="GM127" s="675">
        <v>0</v>
      </c>
      <c r="GN127" s="675">
        <v>0</v>
      </c>
      <c r="GO127" s="675">
        <v>0</v>
      </c>
      <c r="GP127" s="675">
        <v>1894672</v>
      </c>
      <c r="GQ127" s="675">
        <v>1894672</v>
      </c>
      <c r="GR127" s="675">
        <v>0</v>
      </c>
      <c r="GS127" s="675">
        <v>0</v>
      </c>
      <c r="GT127" s="675">
        <v>0</v>
      </c>
      <c r="GU127" s="675">
        <v>0</v>
      </c>
      <c r="GV127" s="675">
        <v>0</v>
      </c>
      <c r="GW127" s="675">
        <v>0</v>
      </c>
      <c r="GX127" s="675">
        <v>0</v>
      </c>
      <c r="GY127" s="675">
        <v>0</v>
      </c>
      <c r="GZ127" s="675">
        <v>0</v>
      </c>
      <c r="HA127" s="675">
        <v>0</v>
      </c>
      <c r="HB127" s="675">
        <v>0</v>
      </c>
      <c r="HC127" s="675">
        <v>0</v>
      </c>
      <c r="HD127" s="675">
        <v>0</v>
      </c>
      <c r="HE127" s="675">
        <v>0</v>
      </c>
      <c r="HF127" s="675">
        <v>0</v>
      </c>
      <c r="HG127" s="675">
        <v>0</v>
      </c>
      <c r="HH127" s="675">
        <v>0</v>
      </c>
      <c r="HI127" s="675">
        <v>0</v>
      </c>
      <c r="HJ127" s="675">
        <v>0</v>
      </c>
      <c r="HK127" s="675">
        <v>0</v>
      </c>
      <c r="HL127" s="675">
        <v>0</v>
      </c>
      <c r="HM127" s="675">
        <v>0</v>
      </c>
      <c r="HN127" s="675">
        <v>0</v>
      </c>
      <c r="HO127" s="675">
        <v>0</v>
      </c>
      <c r="HP127" s="675">
        <v>0</v>
      </c>
      <c r="HQ127" s="675">
        <v>0</v>
      </c>
      <c r="HR127" s="675">
        <v>0</v>
      </c>
      <c r="HS127" s="675">
        <v>0</v>
      </c>
      <c r="HT127" s="675">
        <v>0</v>
      </c>
      <c r="HU127" s="675">
        <v>0</v>
      </c>
      <c r="HV127" s="675">
        <v>0</v>
      </c>
      <c r="HW127" s="675">
        <v>0</v>
      </c>
      <c r="HX127" s="675">
        <v>0</v>
      </c>
      <c r="HY127" s="675">
        <v>0</v>
      </c>
      <c r="HZ127" s="675">
        <v>0</v>
      </c>
      <c r="IA127" s="675">
        <v>0</v>
      </c>
      <c r="IB127" s="675">
        <v>0</v>
      </c>
      <c r="IC127" s="675">
        <v>0</v>
      </c>
      <c r="ID127" s="675">
        <v>0</v>
      </c>
      <c r="IE127" s="675">
        <v>0</v>
      </c>
      <c r="IF127" s="675">
        <v>0</v>
      </c>
      <c r="IG127" s="675">
        <v>0</v>
      </c>
      <c r="IH127" s="675">
        <v>0</v>
      </c>
      <c r="II127" s="675">
        <v>0</v>
      </c>
      <c r="IJ127" s="675">
        <v>0</v>
      </c>
      <c r="IK127" s="675">
        <v>0</v>
      </c>
      <c r="IL127" s="675">
        <v>0</v>
      </c>
      <c r="IM127" s="675">
        <v>0</v>
      </c>
      <c r="IN127" s="675">
        <v>0</v>
      </c>
      <c r="IO127" s="675">
        <v>0</v>
      </c>
      <c r="IP127" s="675">
        <v>0</v>
      </c>
      <c r="IQ127" s="675">
        <v>0</v>
      </c>
      <c r="IR127" s="675">
        <v>0</v>
      </c>
      <c r="IS127" s="675">
        <v>0</v>
      </c>
      <c r="IT127" s="675">
        <v>0</v>
      </c>
      <c r="IU127" s="675">
        <v>0</v>
      </c>
      <c r="IV127" s="675">
        <v>0</v>
      </c>
      <c r="IW127" s="675">
        <v>0</v>
      </c>
      <c r="IX127" s="675">
        <v>0</v>
      </c>
      <c r="IY127" s="675">
        <v>0</v>
      </c>
      <c r="IZ127" s="675">
        <v>0</v>
      </c>
      <c r="JA127" s="675">
        <v>0</v>
      </c>
      <c r="JB127" s="675">
        <v>0</v>
      </c>
      <c r="JC127" s="675">
        <v>0</v>
      </c>
      <c r="JD127" s="675">
        <v>0</v>
      </c>
      <c r="JE127" s="675">
        <v>0</v>
      </c>
      <c r="JF127" s="675">
        <v>0</v>
      </c>
      <c r="JG127" s="675">
        <v>0</v>
      </c>
      <c r="JH127" s="675">
        <v>0</v>
      </c>
      <c r="JI127" s="675">
        <v>0</v>
      </c>
      <c r="JJ127" s="675">
        <v>0</v>
      </c>
      <c r="JK127" s="675">
        <v>0</v>
      </c>
      <c r="JL127" s="675">
        <v>0</v>
      </c>
      <c r="JM127" s="675">
        <v>0</v>
      </c>
      <c r="JN127" s="675">
        <v>32469</v>
      </c>
      <c r="JO127" s="675">
        <v>0</v>
      </c>
      <c r="JP127" s="675">
        <v>0</v>
      </c>
      <c r="JQ127" s="675">
        <v>0</v>
      </c>
      <c r="JR127" s="675">
        <v>0</v>
      </c>
      <c r="JS127" s="675">
        <v>0</v>
      </c>
      <c r="JT127" s="675">
        <v>0</v>
      </c>
      <c r="JU127" s="675">
        <v>0</v>
      </c>
      <c r="JV127" s="675">
        <v>0</v>
      </c>
      <c r="JW127" s="675">
        <v>0</v>
      </c>
      <c r="JX127" s="675">
        <v>0</v>
      </c>
      <c r="JY127" s="675">
        <v>0</v>
      </c>
      <c r="JZ127" s="675">
        <v>0</v>
      </c>
      <c r="KA127" s="675">
        <v>0</v>
      </c>
      <c r="KB127" s="675">
        <v>0</v>
      </c>
      <c r="KC127" s="675">
        <v>0</v>
      </c>
      <c r="KD127" s="675">
        <v>0</v>
      </c>
      <c r="KE127" s="675">
        <v>0</v>
      </c>
      <c r="KF127" s="675">
        <v>0</v>
      </c>
    </row>
    <row r="128" spans="1:292" x14ac:dyDescent="0.25">
      <c r="A128" s="675">
        <v>105803</v>
      </c>
      <c r="B128" s="675">
        <v>32570</v>
      </c>
      <c r="C128" s="675">
        <v>35</v>
      </c>
      <c r="D128" s="675">
        <v>2022</v>
      </c>
      <c r="E128" s="675">
        <v>5392</v>
      </c>
      <c r="F128" s="675">
        <v>0</v>
      </c>
      <c r="G128" s="675">
        <v>181.41900000000001</v>
      </c>
      <c r="H128" s="675">
        <v>78.332000000000008</v>
      </c>
      <c r="I128" s="675">
        <v>78.332000000000008</v>
      </c>
      <c r="J128" s="675">
        <v>181.41900000000001</v>
      </c>
      <c r="K128" s="675">
        <v>0</v>
      </c>
      <c r="L128" s="675">
        <v>6554</v>
      </c>
      <c r="M128" s="675">
        <v>0</v>
      </c>
      <c r="N128" s="675">
        <v>0</v>
      </c>
      <c r="O128" s="675">
        <v>0</v>
      </c>
      <c r="P128" s="675">
        <v>178.101</v>
      </c>
      <c r="Q128" s="675">
        <v>0</v>
      </c>
      <c r="R128" s="675">
        <v>56941</v>
      </c>
      <c r="S128" s="675">
        <v>319.71300000000002</v>
      </c>
      <c r="T128" s="675">
        <v>0</v>
      </c>
      <c r="U128" s="675">
        <v>56941</v>
      </c>
      <c r="V128" s="675">
        <v>2.84</v>
      </c>
      <c r="W128" s="675">
        <v>1861</v>
      </c>
      <c r="X128" s="675">
        <v>1861</v>
      </c>
      <c r="Y128" s="675">
        <v>0</v>
      </c>
      <c r="Z128" s="675">
        <v>0</v>
      </c>
      <c r="AA128" s="675">
        <v>1</v>
      </c>
      <c r="AB128" s="675">
        <v>1</v>
      </c>
      <c r="AC128" s="675">
        <v>0</v>
      </c>
      <c r="AD128" s="675" t="s">
        <v>316</v>
      </c>
      <c r="AE128" s="675">
        <v>0</v>
      </c>
      <c r="AF128" s="675">
        <v>0</v>
      </c>
      <c r="AG128" s="675">
        <v>0</v>
      </c>
      <c r="AH128" s="675">
        <v>0</v>
      </c>
      <c r="AI128" s="675">
        <v>0</v>
      </c>
      <c r="AJ128" s="675">
        <v>5104</v>
      </c>
      <c r="AK128" s="675" t="s">
        <v>671</v>
      </c>
      <c r="AL128" s="675" t="s">
        <v>372</v>
      </c>
      <c r="AM128" s="675">
        <v>0</v>
      </c>
      <c r="AN128" s="675">
        <v>0</v>
      </c>
      <c r="AO128" s="675">
        <v>0</v>
      </c>
      <c r="AP128" s="675">
        <v>0</v>
      </c>
      <c r="AQ128" s="675">
        <v>0</v>
      </c>
      <c r="AR128" s="675">
        <v>0</v>
      </c>
      <c r="AS128" s="675">
        <v>0</v>
      </c>
      <c r="AT128" s="675">
        <v>0</v>
      </c>
      <c r="AU128" s="675">
        <v>0</v>
      </c>
      <c r="AV128" s="675">
        <v>85</v>
      </c>
      <c r="AW128" s="675">
        <v>4040077</v>
      </c>
      <c r="AX128" s="675">
        <v>3984278</v>
      </c>
      <c r="AY128" s="675">
        <v>3983251</v>
      </c>
      <c r="AZ128" s="675">
        <v>76986</v>
      </c>
      <c r="BA128" s="675">
        <v>0</v>
      </c>
      <c r="BB128" s="675">
        <v>0</v>
      </c>
      <c r="BC128" s="675">
        <v>0</v>
      </c>
      <c r="BD128" s="675">
        <v>0</v>
      </c>
      <c r="BE128" s="675">
        <v>0</v>
      </c>
      <c r="BF128" s="675">
        <v>3328830</v>
      </c>
      <c r="BG128" s="675">
        <v>0</v>
      </c>
      <c r="BH128" s="675">
        <v>72.891000000000005</v>
      </c>
      <c r="BI128" s="675">
        <v>20045</v>
      </c>
      <c r="BJ128" s="675">
        <v>12</v>
      </c>
      <c r="BK128" s="675">
        <v>0</v>
      </c>
      <c r="BL128" s="675">
        <v>0</v>
      </c>
      <c r="BM128" s="675">
        <v>0</v>
      </c>
      <c r="BN128" s="675">
        <v>0</v>
      </c>
      <c r="BO128" s="675">
        <v>0</v>
      </c>
      <c r="BP128" s="675">
        <v>0</v>
      </c>
      <c r="BQ128" s="675">
        <v>5392</v>
      </c>
      <c r="BR128" s="675">
        <v>1</v>
      </c>
      <c r="BS128" s="675">
        <v>0</v>
      </c>
      <c r="BT128" s="675">
        <v>0</v>
      </c>
      <c r="BU128" s="675">
        <v>0</v>
      </c>
      <c r="BV128" s="675">
        <v>0</v>
      </c>
      <c r="BW128" s="675">
        <v>0</v>
      </c>
      <c r="BX128" s="675">
        <v>0</v>
      </c>
      <c r="BY128" s="675">
        <v>0</v>
      </c>
      <c r="BZ128" s="675">
        <v>0</v>
      </c>
      <c r="CA128" s="675">
        <v>0</v>
      </c>
      <c r="CB128" s="675">
        <v>0</v>
      </c>
      <c r="CC128" s="675">
        <v>0</v>
      </c>
      <c r="CD128" s="675">
        <v>0</v>
      </c>
      <c r="CE128" s="675">
        <v>0</v>
      </c>
      <c r="CF128" s="675">
        <v>0</v>
      </c>
      <c r="CG128" s="675">
        <v>0</v>
      </c>
      <c r="CH128" s="675">
        <v>35754</v>
      </c>
      <c r="CI128" s="675">
        <v>0</v>
      </c>
      <c r="CJ128" s="675">
        <v>4</v>
      </c>
      <c r="CK128" s="675">
        <v>0</v>
      </c>
      <c r="CL128" s="675">
        <v>0</v>
      </c>
      <c r="CM128" s="675">
        <v>0</v>
      </c>
      <c r="CN128" s="675">
        <v>0</v>
      </c>
      <c r="CO128" s="675">
        <v>0</v>
      </c>
      <c r="CP128" s="675">
        <v>0</v>
      </c>
      <c r="CQ128" s="675">
        <v>0</v>
      </c>
      <c r="CR128" s="675">
        <v>178.101</v>
      </c>
      <c r="CS128" s="675">
        <v>0</v>
      </c>
      <c r="CT128" s="675">
        <v>0</v>
      </c>
      <c r="CU128" s="675">
        <v>0</v>
      </c>
      <c r="CV128" s="675">
        <v>0</v>
      </c>
      <c r="CW128" s="675">
        <v>0</v>
      </c>
      <c r="CX128" s="675">
        <v>0</v>
      </c>
      <c r="CY128" s="675">
        <v>0</v>
      </c>
      <c r="CZ128" s="675">
        <v>0</v>
      </c>
      <c r="DA128" s="675">
        <v>1</v>
      </c>
      <c r="DB128" s="675">
        <v>513388</v>
      </c>
      <c r="DC128" s="675">
        <v>0</v>
      </c>
      <c r="DD128" s="675">
        <v>0</v>
      </c>
      <c r="DE128" s="675">
        <v>237478</v>
      </c>
      <c r="DF128" s="675">
        <v>237478</v>
      </c>
      <c r="DG128" s="675">
        <v>181.17000000000002</v>
      </c>
      <c r="DH128" s="675">
        <v>0</v>
      </c>
      <c r="DI128" s="675">
        <v>0</v>
      </c>
      <c r="DJ128" s="675">
        <v>0</v>
      </c>
      <c r="DK128" s="675">
        <v>5392</v>
      </c>
      <c r="DL128" s="675">
        <v>0</v>
      </c>
      <c r="DM128" s="675">
        <v>2647415</v>
      </c>
      <c r="DN128" s="675">
        <v>0</v>
      </c>
      <c r="DO128" s="675">
        <v>0</v>
      </c>
      <c r="DP128" s="675">
        <v>0</v>
      </c>
      <c r="DQ128" s="675">
        <v>0</v>
      </c>
      <c r="DR128" s="675">
        <v>0</v>
      </c>
      <c r="DS128" s="675">
        <v>0</v>
      </c>
      <c r="DT128" s="675">
        <v>0</v>
      </c>
      <c r="DU128" s="675">
        <v>0</v>
      </c>
      <c r="DV128" s="675">
        <v>0</v>
      </c>
      <c r="DW128" s="675">
        <v>0</v>
      </c>
      <c r="DX128" s="675">
        <v>0</v>
      </c>
      <c r="DY128" s="675">
        <v>0</v>
      </c>
      <c r="DZ128" s="675">
        <v>0</v>
      </c>
      <c r="EA128" s="675">
        <v>0</v>
      </c>
      <c r="EB128" s="675">
        <v>0</v>
      </c>
      <c r="EC128" s="675">
        <v>0.498</v>
      </c>
      <c r="ED128" s="675">
        <v>3590</v>
      </c>
      <c r="EE128" s="675">
        <v>0</v>
      </c>
      <c r="EF128" s="675">
        <v>0</v>
      </c>
      <c r="EG128" s="675">
        <v>0</v>
      </c>
      <c r="EH128" s="675">
        <v>55624</v>
      </c>
      <c r="EI128" s="675">
        <v>2588201</v>
      </c>
      <c r="EJ128" s="675">
        <v>98.725999999999999</v>
      </c>
      <c r="EK128" s="675">
        <v>0.9840000000000001</v>
      </c>
      <c r="EL128" s="675">
        <v>0</v>
      </c>
      <c r="EM128" s="675">
        <v>0</v>
      </c>
      <c r="EN128" s="675">
        <v>1.107</v>
      </c>
      <c r="EO128" s="675">
        <v>0</v>
      </c>
      <c r="EP128" s="675">
        <v>0</v>
      </c>
      <c r="EQ128" s="675">
        <v>100.81700000000001</v>
      </c>
      <c r="ER128" s="675">
        <v>0</v>
      </c>
      <c r="ES128" s="675">
        <v>8.4870000000000001</v>
      </c>
      <c r="ET128" s="675">
        <v>0</v>
      </c>
      <c r="EU128" s="675">
        <v>76986</v>
      </c>
      <c r="EV128" s="675">
        <v>0</v>
      </c>
      <c r="EW128" s="675">
        <v>0</v>
      </c>
      <c r="EX128" s="675">
        <v>0</v>
      </c>
      <c r="EY128" s="675">
        <v>0</v>
      </c>
      <c r="EZ128" s="675">
        <v>3363286</v>
      </c>
      <c r="FA128" s="675">
        <v>0</v>
      </c>
      <c r="FB128" s="675">
        <v>3440272</v>
      </c>
      <c r="FC128" s="675">
        <v>0.97327799999999998</v>
      </c>
      <c r="FD128" s="675">
        <v>0</v>
      </c>
      <c r="FE128" s="675">
        <v>506788</v>
      </c>
      <c r="FF128" s="675">
        <v>114204</v>
      </c>
      <c r="FG128" s="675">
        <v>6.1239999999999996E-2</v>
      </c>
      <c r="FH128" s="675">
        <v>5.4803999999999999E-2</v>
      </c>
      <c r="FI128" s="675">
        <v>0</v>
      </c>
      <c r="FJ128" s="675">
        <v>0</v>
      </c>
      <c r="FK128" s="675">
        <v>652.22300000000007</v>
      </c>
      <c r="FL128" s="675">
        <v>4097018</v>
      </c>
      <c r="FM128" s="675">
        <v>0</v>
      </c>
      <c r="FN128" s="675">
        <v>0</v>
      </c>
      <c r="FO128" s="675">
        <v>0</v>
      </c>
      <c r="FP128" s="675">
        <v>0</v>
      </c>
      <c r="FQ128" s="675">
        <v>0</v>
      </c>
      <c r="FR128" s="675">
        <v>0</v>
      </c>
      <c r="FS128" s="675">
        <v>0</v>
      </c>
      <c r="FT128" s="675">
        <v>0</v>
      </c>
      <c r="FU128" s="675">
        <v>0</v>
      </c>
      <c r="FV128" s="675">
        <v>0</v>
      </c>
      <c r="FW128" s="675">
        <v>0</v>
      </c>
      <c r="FX128" s="675">
        <v>0</v>
      </c>
      <c r="FY128" s="675">
        <v>0</v>
      </c>
      <c r="FZ128" s="675">
        <v>0</v>
      </c>
      <c r="GA128" s="675">
        <v>0</v>
      </c>
      <c r="GB128" s="675">
        <v>20085</v>
      </c>
      <c r="GC128" s="675">
        <v>20085</v>
      </c>
      <c r="GD128" s="675">
        <v>2.27</v>
      </c>
      <c r="GE128" s="675">
        <v>0</v>
      </c>
      <c r="GF128" s="675">
        <v>0</v>
      </c>
      <c r="GG128" s="675">
        <v>0</v>
      </c>
      <c r="GH128" s="675">
        <v>0</v>
      </c>
      <c r="GI128" s="675">
        <v>0</v>
      </c>
      <c r="GJ128" s="675">
        <v>0</v>
      </c>
      <c r="GK128" s="675">
        <v>0</v>
      </c>
      <c r="GL128" s="675">
        <v>0</v>
      </c>
      <c r="GM128" s="675">
        <v>0</v>
      </c>
      <c r="GN128" s="675">
        <v>0</v>
      </c>
      <c r="GO128" s="675">
        <v>0</v>
      </c>
      <c r="GP128" s="675">
        <v>4061264</v>
      </c>
      <c r="GQ128" s="675">
        <v>4061264</v>
      </c>
      <c r="GR128" s="675">
        <v>0</v>
      </c>
      <c r="GS128" s="675">
        <v>0</v>
      </c>
      <c r="GT128" s="675">
        <v>0</v>
      </c>
      <c r="GU128" s="675">
        <v>0</v>
      </c>
      <c r="GV128" s="675">
        <v>0</v>
      </c>
      <c r="GW128" s="675">
        <v>0</v>
      </c>
      <c r="GX128" s="675">
        <v>0</v>
      </c>
      <c r="GY128" s="675">
        <v>0</v>
      </c>
      <c r="GZ128" s="675">
        <v>0</v>
      </c>
      <c r="HA128" s="675">
        <v>0</v>
      </c>
      <c r="HB128" s="675">
        <v>260786259</v>
      </c>
      <c r="HC128" s="675">
        <v>5.0923999999999997E-2</v>
      </c>
      <c r="HD128" s="675">
        <v>35754</v>
      </c>
      <c r="HE128" s="675">
        <v>0</v>
      </c>
      <c r="HF128" s="675">
        <v>0</v>
      </c>
      <c r="HG128" s="675">
        <v>0</v>
      </c>
      <c r="HH128" s="675">
        <v>0</v>
      </c>
      <c r="HI128" s="675">
        <v>0</v>
      </c>
      <c r="HJ128" s="675">
        <v>0</v>
      </c>
      <c r="HK128" s="675">
        <v>0</v>
      </c>
      <c r="HL128" s="675">
        <v>0</v>
      </c>
      <c r="HM128" s="675">
        <v>0</v>
      </c>
      <c r="HN128" s="675">
        <v>0</v>
      </c>
      <c r="HO128" s="675">
        <v>0</v>
      </c>
      <c r="HP128" s="675">
        <v>0</v>
      </c>
      <c r="HQ128" s="675">
        <v>0</v>
      </c>
      <c r="HR128" s="675">
        <v>0</v>
      </c>
      <c r="HS128" s="675">
        <v>0</v>
      </c>
      <c r="HT128" s="675">
        <v>0</v>
      </c>
      <c r="HU128" s="675">
        <v>0</v>
      </c>
      <c r="HV128" s="675">
        <v>0</v>
      </c>
      <c r="HW128" s="675">
        <v>0</v>
      </c>
      <c r="HX128" s="675">
        <v>0</v>
      </c>
      <c r="HY128" s="675">
        <v>0</v>
      </c>
      <c r="HZ128" s="675">
        <v>0</v>
      </c>
      <c r="IA128" s="675">
        <v>0</v>
      </c>
      <c r="IB128" s="675">
        <v>0</v>
      </c>
      <c r="IC128" s="675">
        <v>0</v>
      </c>
      <c r="ID128" s="675">
        <v>0</v>
      </c>
      <c r="IE128" s="675">
        <v>0</v>
      </c>
      <c r="IF128" s="675">
        <v>0</v>
      </c>
      <c r="IG128" s="675">
        <v>0</v>
      </c>
      <c r="IH128" s="675">
        <v>0</v>
      </c>
      <c r="II128" s="675">
        <v>0</v>
      </c>
      <c r="IJ128" s="675">
        <v>0</v>
      </c>
      <c r="IK128" s="675">
        <v>0</v>
      </c>
      <c r="IL128" s="675">
        <v>0</v>
      </c>
      <c r="IM128" s="675">
        <v>0</v>
      </c>
      <c r="IN128" s="675">
        <v>0</v>
      </c>
      <c r="IO128" s="675">
        <v>0</v>
      </c>
      <c r="IP128" s="675">
        <v>0</v>
      </c>
      <c r="IQ128" s="675">
        <v>0</v>
      </c>
      <c r="IR128" s="675">
        <v>0</v>
      </c>
      <c r="IS128" s="675">
        <v>0</v>
      </c>
      <c r="IT128" s="675">
        <v>0</v>
      </c>
      <c r="IU128" s="675">
        <v>0</v>
      </c>
      <c r="IV128" s="675">
        <v>0</v>
      </c>
      <c r="IW128" s="675">
        <v>0</v>
      </c>
      <c r="IX128" s="675">
        <v>0</v>
      </c>
      <c r="IY128" s="675">
        <v>0</v>
      </c>
      <c r="IZ128" s="675">
        <v>0</v>
      </c>
      <c r="JA128" s="675">
        <v>0</v>
      </c>
      <c r="JB128" s="675">
        <v>0</v>
      </c>
      <c r="JC128" s="675">
        <v>0</v>
      </c>
      <c r="JD128" s="675">
        <v>0</v>
      </c>
      <c r="JE128" s="675">
        <v>0</v>
      </c>
      <c r="JF128" s="675">
        <v>0</v>
      </c>
      <c r="JG128" s="675">
        <v>0</v>
      </c>
      <c r="JH128" s="675">
        <v>0</v>
      </c>
      <c r="JI128" s="675">
        <v>0</v>
      </c>
      <c r="JJ128" s="675">
        <v>0</v>
      </c>
      <c r="JK128" s="675">
        <v>0</v>
      </c>
      <c r="JL128" s="675">
        <v>0</v>
      </c>
      <c r="JM128" s="675">
        <v>0</v>
      </c>
      <c r="JN128" s="675">
        <v>32469</v>
      </c>
      <c r="JO128" s="675">
        <v>0</v>
      </c>
      <c r="JP128" s="675">
        <v>0</v>
      </c>
      <c r="JQ128" s="675">
        <v>0</v>
      </c>
      <c r="JR128" s="675">
        <v>0</v>
      </c>
      <c r="JS128" s="675">
        <v>0</v>
      </c>
      <c r="JT128" s="675">
        <v>0</v>
      </c>
      <c r="JU128" s="675">
        <v>0</v>
      </c>
      <c r="JV128" s="675">
        <v>0</v>
      </c>
      <c r="JW128" s="675">
        <v>0</v>
      </c>
      <c r="JX128" s="675">
        <v>0</v>
      </c>
      <c r="JY128" s="675">
        <v>0</v>
      </c>
      <c r="JZ128" s="675">
        <v>0</v>
      </c>
      <c r="KA128" s="675">
        <v>0</v>
      </c>
      <c r="KB128" s="675">
        <v>0</v>
      </c>
      <c r="KC128" s="675">
        <v>0</v>
      </c>
      <c r="KD128" s="675">
        <v>0</v>
      </c>
      <c r="KE128" s="675">
        <v>0</v>
      </c>
      <c r="KF128" s="675">
        <v>0</v>
      </c>
    </row>
    <row r="129" spans="1:292" x14ac:dyDescent="0.25">
      <c r="A129" s="675">
        <v>108802</v>
      </c>
      <c r="B129" s="675">
        <v>32570</v>
      </c>
      <c r="C129" s="675">
        <v>35</v>
      </c>
      <c r="D129" s="675">
        <v>2022</v>
      </c>
      <c r="E129" s="675">
        <v>5392</v>
      </c>
      <c r="F129" s="675">
        <v>0</v>
      </c>
      <c r="G129" s="675">
        <v>951.55400000000009</v>
      </c>
      <c r="H129" s="675">
        <v>939.73500000000001</v>
      </c>
      <c r="I129" s="675">
        <v>939.73500000000001</v>
      </c>
      <c r="J129" s="675">
        <v>951.55400000000009</v>
      </c>
      <c r="K129" s="675">
        <v>0</v>
      </c>
      <c r="L129" s="675">
        <v>6554</v>
      </c>
      <c r="M129" s="675">
        <v>0</v>
      </c>
      <c r="N129" s="675">
        <v>0</v>
      </c>
      <c r="O129" s="675">
        <v>0</v>
      </c>
      <c r="P129" s="675">
        <v>1053.9870000000001</v>
      </c>
      <c r="Q129" s="675">
        <v>0</v>
      </c>
      <c r="R129" s="675">
        <v>336973</v>
      </c>
      <c r="S129" s="675">
        <v>319.71300000000002</v>
      </c>
      <c r="T129" s="675">
        <v>0</v>
      </c>
      <c r="U129" s="675">
        <v>336973</v>
      </c>
      <c r="V129" s="675">
        <v>267.8</v>
      </c>
      <c r="W129" s="675">
        <v>175516</v>
      </c>
      <c r="X129" s="675">
        <v>175516</v>
      </c>
      <c r="Y129" s="675">
        <v>0</v>
      </c>
      <c r="Z129" s="675">
        <v>0</v>
      </c>
      <c r="AA129" s="675">
        <v>1</v>
      </c>
      <c r="AB129" s="675">
        <v>1</v>
      </c>
      <c r="AC129" s="675">
        <v>0</v>
      </c>
      <c r="AD129" s="675" t="s">
        <v>316</v>
      </c>
      <c r="AE129" s="675">
        <v>0</v>
      </c>
      <c r="AF129" s="675">
        <v>0</v>
      </c>
      <c r="AG129" s="675">
        <v>0</v>
      </c>
      <c r="AH129" s="675">
        <v>0</v>
      </c>
      <c r="AI129" s="675">
        <v>0</v>
      </c>
      <c r="AJ129" s="675">
        <v>5104</v>
      </c>
      <c r="AK129" s="675" t="s">
        <v>671</v>
      </c>
      <c r="AL129" s="675" t="s">
        <v>354</v>
      </c>
      <c r="AM129" s="675">
        <v>0</v>
      </c>
      <c r="AN129" s="675">
        <v>0</v>
      </c>
      <c r="AO129" s="675">
        <v>0</v>
      </c>
      <c r="AP129" s="675">
        <v>0</v>
      </c>
      <c r="AQ129" s="675">
        <v>0</v>
      </c>
      <c r="AR129" s="675">
        <v>0</v>
      </c>
      <c r="AS129" s="675">
        <v>0</v>
      </c>
      <c r="AT129" s="675">
        <v>0</v>
      </c>
      <c r="AU129" s="675">
        <v>0</v>
      </c>
      <c r="AV129" s="675">
        <v>360386</v>
      </c>
      <c r="AW129" s="675">
        <v>9738492</v>
      </c>
      <c r="AX129" s="675">
        <v>9480247</v>
      </c>
      <c r="AY129" s="675">
        <v>10024615</v>
      </c>
      <c r="AZ129" s="675">
        <v>352563</v>
      </c>
      <c r="BA129" s="675">
        <v>107.417</v>
      </c>
      <c r="BB129" s="675">
        <v>31819</v>
      </c>
      <c r="BC129" s="675">
        <v>31819</v>
      </c>
      <c r="BD129" s="675">
        <v>40.457999999999998</v>
      </c>
      <c r="BE129" s="675">
        <v>0</v>
      </c>
      <c r="BF129" s="675">
        <v>8086635</v>
      </c>
      <c r="BG129" s="675">
        <v>0</v>
      </c>
      <c r="BH129" s="675">
        <v>0</v>
      </c>
      <c r="BI129" s="675">
        <v>0</v>
      </c>
      <c r="BJ129" s="675">
        <v>12</v>
      </c>
      <c r="BK129" s="675">
        <v>0</v>
      </c>
      <c r="BL129" s="675">
        <v>0</v>
      </c>
      <c r="BM129" s="675">
        <v>0</v>
      </c>
      <c r="BN129" s="675">
        <v>0</v>
      </c>
      <c r="BO129" s="675">
        <v>0</v>
      </c>
      <c r="BP129" s="675">
        <v>0</v>
      </c>
      <c r="BQ129" s="675">
        <v>5392</v>
      </c>
      <c r="BR129" s="675">
        <v>1</v>
      </c>
      <c r="BS129" s="675">
        <v>0</v>
      </c>
      <c r="BT129" s="675">
        <v>0</v>
      </c>
      <c r="BU129" s="675">
        <v>0</v>
      </c>
      <c r="BV129" s="675">
        <v>0</v>
      </c>
      <c r="BW129" s="675">
        <v>0</v>
      </c>
      <c r="BX129" s="675">
        <v>0</v>
      </c>
      <c r="BY129" s="675">
        <v>0</v>
      </c>
      <c r="BZ129" s="675">
        <v>0</v>
      </c>
      <c r="CA129" s="675">
        <v>40.783999999999999</v>
      </c>
      <c r="CB129" s="675">
        <v>15590</v>
      </c>
      <c r="CC129" s="675">
        <v>0</v>
      </c>
      <c r="CD129" s="675">
        <v>0</v>
      </c>
      <c r="CE129" s="675">
        <v>0</v>
      </c>
      <c r="CF129" s="675">
        <v>0</v>
      </c>
      <c r="CG129" s="675">
        <v>0</v>
      </c>
      <c r="CH129" s="675">
        <v>242655</v>
      </c>
      <c r="CI129" s="675">
        <v>0</v>
      </c>
      <c r="CJ129" s="675">
        <v>4</v>
      </c>
      <c r="CK129" s="675">
        <v>0</v>
      </c>
      <c r="CL129" s="675">
        <v>0</v>
      </c>
      <c r="CM129" s="675">
        <v>0</v>
      </c>
      <c r="CN129" s="675">
        <v>0</v>
      </c>
      <c r="CO129" s="675">
        <v>0</v>
      </c>
      <c r="CP129" s="675">
        <v>0</v>
      </c>
      <c r="CQ129" s="675">
        <v>5.6670000000000007</v>
      </c>
      <c r="CR129" s="675">
        <v>1053.9870000000001</v>
      </c>
      <c r="CS129" s="675">
        <v>0</v>
      </c>
      <c r="CT129" s="675">
        <v>0</v>
      </c>
      <c r="CU129" s="675">
        <v>0</v>
      </c>
      <c r="CV129" s="675">
        <v>0</v>
      </c>
      <c r="CW129" s="675">
        <v>0</v>
      </c>
      <c r="CX129" s="675">
        <v>0</v>
      </c>
      <c r="CY129" s="675">
        <v>0</v>
      </c>
      <c r="CZ129" s="675">
        <v>0</v>
      </c>
      <c r="DA129" s="675">
        <v>1</v>
      </c>
      <c r="DB129" s="675">
        <v>6159023</v>
      </c>
      <c r="DC129" s="675">
        <v>0</v>
      </c>
      <c r="DD129" s="675">
        <v>0</v>
      </c>
      <c r="DE129" s="675">
        <v>1590000</v>
      </c>
      <c r="DF129" s="675">
        <v>1590000</v>
      </c>
      <c r="DG129" s="675">
        <v>1213</v>
      </c>
      <c r="DH129" s="675">
        <v>0</v>
      </c>
      <c r="DI129" s="675">
        <v>0</v>
      </c>
      <c r="DJ129" s="675">
        <v>0</v>
      </c>
      <c r="DK129" s="675">
        <v>5392</v>
      </c>
      <c r="DL129" s="675">
        <v>0</v>
      </c>
      <c r="DM129" s="675">
        <v>352305</v>
      </c>
      <c r="DN129" s="675">
        <v>0</v>
      </c>
      <c r="DO129" s="675">
        <v>0</v>
      </c>
      <c r="DP129" s="675">
        <v>0</v>
      </c>
      <c r="DQ129" s="675">
        <v>0</v>
      </c>
      <c r="DR129" s="675">
        <v>0</v>
      </c>
      <c r="DS129" s="675">
        <v>0</v>
      </c>
      <c r="DT129" s="675">
        <v>0</v>
      </c>
      <c r="DU129" s="675">
        <v>0</v>
      </c>
      <c r="DV129" s="675">
        <v>0</v>
      </c>
      <c r="DW129" s="675">
        <v>0</v>
      </c>
      <c r="DX129" s="675">
        <v>0</v>
      </c>
      <c r="DY129" s="675">
        <v>0</v>
      </c>
      <c r="DZ129" s="675">
        <v>0</v>
      </c>
      <c r="EA129" s="675">
        <v>0</v>
      </c>
      <c r="EB129" s="675">
        <v>0</v>
      </c>
      <c r="EC129" s="675">
        <v>14.741000000000001</v>
      </c>
      <c r="ED129" s="675">
        <v>106274</v>
      </c>
      <c r="EE129" s="675">
        <v>0</v>
      </c>
      <c r="EF129" s="675">
        <v>0</v>
      </c>
      <c r="EG129" s="675">
        <v>0</v>
      </c>
      <c r="EH129" s="675">
        <v>246031</v>
      </c>
      <c r="EI129" s="675">
        <v>0</v>
      </c>
      <c r="EJ129" s="675">
        <v>0</v>
      </c>
      <c r="EK129" s="675">
        <v>10.326000000000001</v>
      </c>
      <c r="EL129" s="675">
        <v>0</v>
      </c>
      <c r="EM129" s="675">
        <v>0.45200000000000001</v>
      </c>
      <c r="EN129" s="675">
        <v>1.0410000000000001</v>
      </c>
      <c r="EO129" s="675">
        <v>0</v>
      </c>
      <c r="EP129" s="675">
        <v>0</v>
      </c>
      <c r="EQ129" s="675">
        <v>11.819000000000001</v>
      </c>
      <c r="ER129" s="675">
        <v>0</v>
      </c>
      <c r="ES129" s="675">
        <v>37.539000000000001</v>
      </c>
      <c r="ET129" s="675">
        <v>55125</v>
      </c>
      <c r="EU129" s="675">
        <v>352563</v>
      </c>
      <c r="EV129" s="675">
        <v>0</v>
      </c>
      <c r="EW129" s="675">
        <v>0</v>
      </c>
      <c r="EX129" s="675">
        <v>0</v>
      </c>
      <c r="EY129" s="675">
        <v>0</v>
      </c>
      <c r="EZ129" s="675">
        <v>7971690</v>
      </c>
      <c r="FA129" s="675">
        <v>0</v>
      </c>
      <c r="FB129" s="675">
        <v>8324253</v>
      </c>
      <c r="FC129" s="675">
        <v>0.97327799999999998</v>
      </c>
      <c r="FD129" s="675">
        <v>0</v>
      </c>
      <c r="FE129" s="675">
        <v>1231125</v>
      </c>
      <c r="FF129" s="675">
        <v>277432</v>
      </c>
      <c r="FG129" s="675">
        <v>6.1239999999999996E-2</v>
      </c>
      <c r="FH129" s="675">
        <v>5.4803999999999999E-2</v>
      </c>
      <c r="FI129" s="675">
        <v>0</v>
      </c>
      <c r="FJ129" s="675">
        <v>0</v>
      </c>
      <c r="FK129" s="675">
        <v>1584.4260000000002</v>
      </c>
      <c r="FL129" s="675">
        <v>10075465</v>
      </c>
      <c r="FM129" s="675">
        <v>0</v>
      </c>
      <c r="FN129" s="675">
        <v>0</v>
      </c>
      <c r="FO129" s="675">
        <v>0</v>
      </c>
      <c r="FP129" s="675">
        <v>0</v>
      </c>
      <c r="FQ129" s="675">
        <v>0</v>
      </c>
      <c r="FR129" s="675">
        <v>0</v>
      </c>
      <c r="FS129" s="675">
        <v>0</v>
      </c>
      <c r="FT129" s="675">
        <v>0</v>
      </c>
      <c r="FU129" s="675">
        <v>0</v>
      </c>
      <c r="FV129" s="675">
        <v>0</v>
      </c>
      <c r="FW129" s="675">
        <v>0</v>
      </c>
      <c r="FX129" s="675">
        <v>0</v>
      </c>
      <c r="FY129" s="675">
        <v>0</v>
      </c>
      <c r="FZ129" s="675">
        <v>0</v>
      </c>
      <c r="GA129" s="675">
        <v>0</v>
      </c>
      <c r="GB129" s="675">
        <v>0</v>
      </c>
      <c r="GC129" s="675">
        <v>0</v>
      </c>
      <c r="GD129" s="675">
        <v>0</v>
      </c>
      <c r="GE129" s="675">
        <v>0</v>
      </c>
      <c r="GF129" s="675">
        <v>0</v>
      </c>
      <c r="GG129" s="675">
        <v>0</v>
      </c>
      <c r="GH129" s="675">
        <v>0</v>
      </c>
      <c r="GI129" s="675">
        <v>0</v>
      </c>
      <c r="GJ129" s="675">
        <v>0</v>
      </c>
      <c r="GK129" s="675">
        <v>4978</v>
      </c>
      <c r="GL129" s="675">
        <v>16256</v>
      </c>
      <c r="GM129" s="675">
        <v>0</v>
      </c>
      <c r="GN129" s="675">
        <v>0</v>
      </c>
      <c r="GO129" s="675">
        <v>0</v>
      </c>
      <c r="GP129" s="675">
        <v>9832810</v>
      </c>
      <c r="GQ129" s="675">
        <v>9832810</v>
      </c>
      <c r="GR129" s="675">
        <v>0</v>
      </c>
      <c r="GS129" s="675">
        <v>0</v>
      </c>
      <c r="GT129" s="675">
        <v>0</v>
      </c>
      <c r="GU129" s="675">
        <v>0</v>
      </c>
      <c r="GV129" s="675">
        <v>0</v>
      </c>
      <c r="GW129" s="675">
        <v>0</v>
      </c>
      <c r="GX129" s="675">
        <v>0</v>
      </c>
      <c r="GY129" s="675">
        <v>0</v>
      </c>
      <c r="GZ129" s="675">
        <v>0</v>
      </c>
      <c r="HA129" s="675">
        <v>0</v>
      </c>
      <c r="HB129" s="675">
        <v>260786259</v>
      </c>
      <c r="HC129" s="675">
        <v>5.0923999999999997E-2</v>
      </c>
      <c r="HD129" s="675">
        <v>187530</v>
      </c>
      <c r="HE129" s="675">
        <v>0</v>
      </c>
      <c r="HF129" s="675">
        <v>0</v>
      </c>
      <c r="HG129" s="675">
        <v>0</v>
      </c>
      <c r="HH129" s="675">
        <v>0</v>
      </c>
      <c r="HI129" s="675">
        <v>0</v>
      </c>
      <c r="HJ129" s="675">
        <v>0</v>
      </c>
      <c r="HK129" s="675">
        <v>0</v>
      </c>
      <c r="HL129" s="675">
        <v>0</v>
      </c>
      <c r="HM129" s="675">
        <v>0</v>
      </c>
      <c r="HN129" s="675">
        <v>0</v>
      </c>
      <c r="HO129" s="675">
        <v>0</v>
      </c>
      <c r="HP129" s="675">
        <v>0</v>
      </c>
      <c r="HQ129" s="675">
        <v>0</v>
      </c>
      <c r="HR129" s="675">
        <v>0</v>
      </c>
      <c r="HS129" s="675">
        <v>0</v>
      </c>
      <c r="HT129" s="675">
        <v>0</v>
      </c>
      <c r="HU129" s="675">
        <v>0</v>
      </c>
      <c r="HV129" s="675">
        <v>0</v>
      </c>
      <c r="HW129" s="675">
        <v>0</v>
      </c>
      <c r="HX129" s="675">
        <v>0</v>
      </c>
      <c r="HY129" s="675">
        <v>0</v>
      </c>
      <c r="HZ129" s="675">
        <v>0</v>
      </c>
      <c r="IA129" s="675">
        <v>0</v>
      </c>
      <c r="IB129" s="675">
        <v>0</v>
      </c>
      <c r="IC129" s="675">
        <v>0</v>
      </c>
      <c r="ID129" s="675">
        <v>0</v>
      </c>
      <c r="IE129" s="675">
        <v>0</v>
      </c>
      <c r="IF129" s="675">
        <v>0</v>
      </c>
      <c r="IG129" s="675">
        <v>0</v>
      </c>
      <c r="IH129" s="675">
        <v>0</v>
      </c>
      <c r="II129" s="675">
        <v>0</v>
      </c>
      <c r="IJ129" s="675">
        <v>0</v>
      </c>
      <c r="IK129" s="675">
        <v>0</v>
      </c>
      <c r="IL129" s="675">
        <v>0</v>
      </c>
      <c r="IM129" s="675">
        <v>0</v>
      </c>
      <c r="IN129" s="675">
        <v>0</v>
      </c>
      <c r="IO129" s="675">
        <v>0</v>
      </c>
      <c r="IP129" s="675">
        <v>0</v>
      </c>
      <c r="IQ129" s="675">
        <v>0</v>
      </c>
      <c r="IR129" s="675">
        <v>0</v>
      </c>
      <c r="IS129" s="675">
        <v>0</v>
      </c>
      <c r="IT129" s="675">
        <v>0</v>
      </c>
      <c r="IU129" s="675">
        <v>0</v>
      </c>
      <c r="IV129" s="675">
        <v>0</v>
      </c>
      <c r="IW129" s="675">
        <v>0</v>
      </c>
      <c r="IX129" s="675">
        <v>0</v>
      </c>
      <c r="IY129" s="675">
        <v>0</v>
      </c>
      <c r="IZ129" s="675">
        <v>0</v>
      </c>
      <c r="JA129" s="675">
        <v>0</v>
      </c>
      <c r="JB129" s="675">
        <v>0</v>
      </c>
      <c r="JC129" s="675">
        <v>0</v>
      </c>
      <c r="JD129" s="675">
        <v>0</v>
      </c>
      <c r="JE129" s="675">
        <v>0</v>
      </c>
      <c r="JF129" s="675">
        <v>0</v>
      </c>
      <c r="JG129" s="675">
        <v>0</v>
      </c>
      <c r="JH129" s="675">
        <v>0</v>
      </c>
      <c r="JI129" s="675">
        <v>0</v>
      </c>
      <c r="JJ129" s="675">
        <v>0</v>
      </c>
      <c r="JK129" s="675">
        <v>0</v>
      </c>
      <c r="JL129" s="675">
        <v>0</v>
      </c>
      <c r="JM129" s="675">
        <v>0</v>
      </c>
      <c r="JN129" s="675">
        <v>32469</v>
      </c>
      <c r="JO129" s="675">
        <v>0</v>
      </c>
      <c r="JP129" s="675">
        <v>0</v>
      </c>
      <c r="JQ129" s="675">
        <v>0</v>
      </c>
      <c r="JR129" s="675">
        <v>0</v>
      </c>
      <c r="JS129" s="675">
        <v>0</v>
      </c>
      <c r="JT129" s="675">
        <v>0</v>
      </c>
      <c r="JU129" s="675">
        <v>0</v>
      </c>
      <c r="JV129" s="675">
        <v>0</v>
      </c>
      <c r="JW129" s="675">
        <v>0</v>
      </c>
      <c r="JX129" s="675">
        <v>0</v>
      </c>
      <c r="JY129" s="675">
        <v>0</v>
      </c>
      <c r="JZ129" s="675">
        <v>0</v>
      </c>
      <c r="KA129" s="675">
        <v>0</v>
      </c>
      <c r="KB129" s="675">
        <v>0</v>
      </c>
      <c r="KC129" s="675">
        <v>0</v>
      </c>
      <c r="KD129" s="675">
        <v>0</v>
      </c>
      <c r="KE129" s="675">
        <v>0</v>
      </c>
      <c r="KF129" s="675">
        <v>0</v>
      </c>
    </row>
    <row r="130" spans="1:292" x14ac:dyDescent="0.25">
      <c r="A130" s="675">
        <v>108804</v>
      </c>
      <c r="B130" s="675">
        <v>32570</v>
      </c>
      <c r="C130" s="675">
        <v>35</v>
      </c>
      <c r="D130" s="675">
        <v>2022</v>
      </c>
      <c r="E130" s="675">
        <v>5392</v>
      </c>
      <c r="F130" s="675">
        <v>0</v>
      </c>
      <c r="G130" s="675">
        <v>408.74600000000004</v>
      </c>
      <c r="H130" s="675">
        <v>375.964</v>
      </c>
      <c r="I130" s="675">
        <v>375.964</v>
      </c>
      <c r="J130" s="675">
        <v>408.74600000000004</v>
      </c>
      <c r="K130" s="675">
        <v>0</v>
      </c>
      <c r="L130" s="675">
        <v>6554</v>
      </c>
      <c r="M130" s="675">
        <v>0</v>
      </c>
      <c r="N130" s="675">
        <v>0</v>
      </c>
      <c r="O130" s="675">
        <v>0</v>
      </c>
      <c r="P130" s="675">
        <v>342.42500000000001</v>
      </c>
      <c r="Q130" s="675">
        <v>0</v>
      </c>
      <c r="R130" s="675">
        <v>109478</v>
      </c>
      <c r="S130" s="675">
        <v>319.71300000000002</v>
      </c>
      <c r="T130" s="675">
        <v>0</v>
      </c>
      <c r="U130" s="675">
        <v>109478</v>
      </c>
      <c r="V130" s="675">
        <v>95.385000000000005</v>
      </c>
      <c r="W130" s="675">
        <v>62515</v>
      </c>
      <c r="X130" s="675">
        <v>62515</v>
      </c>
      <c r="Y130" s="675">
        <v>0</v>
      </c>
      <c r="Z130" s="675">
        <v>0</v>
      </c>
      <c r="AA130" s="675">
        <v>1</v>
      </c>
      <c r="AB130" s="675">
        <v>1</v>
      </c>
      <c r="AC130" s="675">
        <v>0</v>
      </c>
      <c r="AD130" s="675" t="s">
        <v>316</v>
      </c>
      <c r="AE130" s="675">
        <v>0</v>
      </c>
      <c r="AF130" s="675">
        <v>0</v>
      </c>
      <c r="AG130" s="675">
        <v>0</v>
      </c>
      <c r="AH130" s="675">
        <v>0</v>
      </c>
      <c r="AI130" s="675">
        <v>0</v>
      </c>
      <c r="AJ130" s="675">
        <v>5104</v>
      </c>
      <c r="AK130" s="675" t="s">
        <v>671</v>
      </c>
      <c r="AL130" s="675" t="s">
        <v>467</v>
      </c>
      <c r="AM130" s="675">
        <v>0</v>
      </c>
      <c r="AN130" s="675">
        <v>0</v>
      </c>
      <c r="AO130" s="675">
        <v>0</v>
      </c>
      <c r="AP130" s="675">
        <v>0</v>
      </c>
      <c r="AQ130" s="675">
        <v>0</v>
      </c>
      <c r="AR130" s="675">
        <v>0</v>
      </c>
      <c r="AS130" s="675">
        <v>0</v>
      </c>
      <c r="AT130" s="675">
        <v>0</v>
      </c>
      <c r="AU130" s="675">
        <v>0</v>
      </c>
      <c r="AV130" s="675">
        <v>108558</v>
      </c>
      <c r="AW130" s="675">
        <v>4415564</v>
      </c>
      <c r="AX130" s="675">
        <v>4195300</v>
      </c>
      <c r="AY130" s="675">
        <v>4656435</v>
      </c>
      <c r="AZ130" s="675">
        <v>236020</v>
      </c>
      <c r="BA130" s="675">
        <v>20.5</v>
      </c>
      <c r="BB130" s="675">
        <v>2408</v>
      </c>
      <c r="BC130" s="675">
        <v>2408</v>
      </c>
      <c r="BD130" s="675">
        <v>3.0620000000000003</v>
      </c>
      <c r="BE130" s="675">
        <v>0</v>
      </c>
      <c r="BF130" s="675">
        <v>3545929</v>
      </c>
      <c r="BG130" s="675">
        <v>0</v>
      </c>
      <c r="BH130" s="675">
        <v>408.726</v>
      </c>
      <c r="BI130" s="675">
        <v>112400</v>
      </c>
      <c r="BJ130" s="675">
        <v>12</v>
      </c>
      <c r="BK130" s="675">
        <v>0</v>
      </c>
      <c r="BL130" s="675">
        <v>0</v>
      </c>
      <c r="BM130" s="675">
        <v>0</v>
      </c>
      <c r="BN130" s="675">
        <v>0</v>
      </c>
      <c r="BO130" s="675">
        <v>0</v>
      </c>
      <c r="BP130" s="675">
        <v>0</v>
      </c>
      <c r="BQ130" s="675">
        <v>5392</v>
      </c>
      <c r="BR130" s="675">
        <v>1</v>
      </c>
      <c r="BS130" s="675">
        <v>0</v>
      </c>
      <c r="BT130" s="675">
        <v>0</v>
      </c>
      <c r="BU130" s="675">
        <v>0</v>
      </c>
      <c r="BV130" s="675">
        <v>0</v>
      </c>
      <c r="BW130" s="675">
        <v>0</v>
      </c>
      <c r="BX130" s="675">
        <v>0</v>
      </c>
      <c r="BY130" s="675">
        <v>0</v>
      </c>
      <c r="BZ130" s="675">
        <v>0</v>
      </c>
      <c r="CA130" s="675">
        <v>36.997</v>
      </c>
      <c r="CB130" s="675">
        <v>14142</v>
      </c>
      <c r="CC130" s="675">
        <v>0</v>
      </c>
      <c r="CD130" s="675">
        <v>0</v>
      </c>
      <c r="CE130" s="675">
        <v>0</v>
      </c>
      <c r="CF130" s="675">
        <v>0</v>
      </c>
      <c r="CG130" s="675">
        <v>0</v>
      </c>
      <c r="CH130" s="675">
        <v>93722</v>
      </c>
      <c r="CI130" s="675">
        <v>0</v>
      </c>
      <c r="CJ130" s="675">
        <v>4</v>
      </c>
      <c r="CK130" s="675">
        <v>0</v>
      </c>
      <c r="CL130" s="675">
        <v>0</v>
      </c>
      <c r="CM130" s="675">
        <v>0</v>
      </c>
      <c r="CN130" s="675">
        <v>0</v>
      </c>
      <c r="CO130" s="675">
        <v>0</v>
      </c>
      <c r="CP130" s="675">
        <v>2.7680000000000002</v>
      </c>
      <c r="CQ130" s="675">
        <v>11.667</v>
      </c>
      <c r="CR130" s="675">
        <v>342.42500000000001</v>
      </c>
      <c r="CS130" s="675">
        <v>0</v>
      </c>
      <c r="CT130" s="675">
        <v>0</v>
      </c>
      <c r="CU130" s="675">
        <v>0</v>
      </c>
      <c r="CV130" s="675">
        <v>0</v>
      </c>
      <c r="CW130" s="675">
        <v>0</v>
      </c>
      <c r="CX130" s="675">
        <v>0</v>
      </c>
      <c r="CY130" s="675">
        <v>0</v>
      </c>
      <c r="CZ130" s="675">
        <v>0</v>
      </c>
      <c r="DA130" s="675">
        <v>1</v>
      </c>
      <c r="DB130" s="675">
        <v>2464068</v>
      </c>
      <c r="DC130" s="675">
        <v>0</v>
      </c>
      <c r="DD130" s="675">
        <v>0</v>
      </c>
      <c r="DE130" s="675">
        <v>460523</v>
      </c>
      <c r="DF130" s="675">
        <v>504244</v>
      </c>
      <c r="DG130" s="675">
        <v>351.33</v>
      </c>
      <c r="DH130" s="675">
        <v>0</v>
      </c>
      <c r="DI130" s="675">
        <v>43721</v>
      </c>
      <c r="DJ130" s="675">
        <v>0</v>
      </c>
      <c r="DK130" s="675">
        <v>5392</v>
      </c>
      <c r="DL130" s="675">
        <v>0</v>
      </c>
      <c r="DM130" s="675">
        <v>321871</v>
      </c>
      <c r="DN130" s="675">
        <v>0</v>
      </c>
      <c r="DO130" s="675">
        <v>0</v>
      </c>
      <c r="DP130" s="675">
        <v>0</v>
      </c>
      <c r="DQ130" s="675">
        <v>0</v>
      </c>
      <c r="DR130" s="675">
        <v>0</v>
      </c>
      <c r="DS130" s="675">
        <v>0</v>
      </c>
      <c r="DT130" s="675">
        <v>0</v>
      </c>
      <c r="DU130" s="675">
        <v>0</v>
      </c>
      <c r="DV130" s="675">
        <v>0</v>
      </c>
      <c r="DW130" s="675">
        <v>0</v>
      </c>
      <c r="DX130" s="675">
        <v>0</v>
      </c>
      <c r="DY130" s="675">
        <v>0</v>
      </c>
      <c r="DZ130" s="675">
        <v>0</v>
      </c>
      <c r="EA130" s="675">
        <v>1.8000000000000002E-2</v>
      </c>
      <c r="EB130" s="675">
        <v>0</v>
      </c>
      <c r="EC130" s="675">
        <v>43.817</v>
      </c>
      <c r="ED130" s="675">
        <v>315894</v>
      </c>
      <c r="EE130" s="675">
        <v>0</v>
      </c>
      <c r="EF130" s="675">
        <v>0</v>
      </c>
      <c r="EG130" s="675">
        <v>0</v>
      </c>
      <c r="EH130" s="675">
        <v>5977</v>
      </c>
      <c r="EI130" s="675">
        <v>0</v>
      </c>
      <c r="EJ130" s="675">
        <v>0</v>
      </c>
      <c r="EK130" s="675">
        <v>8.4000000000000005E-2</v>
      </c>
      <c r="EL130" s="675">
        <v>0</v>
      </c>
      <c r="EM130" s="675">
        <v>0</v>
      </c>
      <c r="EN130" s="675">
        <v>0.114</v>
      </c>
      <c r="EO130" s="675">
        <v>0</v>
      </c>
      <c r="EP130" s="675">
        <v>0</v>
      </c>
      <c r="EQ130" s="675">
        <v>0.216</v>
      </c>
      <c r="ER130" s="675">
        <v>0</v>
      </c>
      <c r="ES130" s="675">
        <v>0.91200000000000003</v>
      </c>
      <c r="ET130" s="675">
        <v>13167</v>
      </c>
      <c r="EU130" s="675">
        <v>236020</v>
      </c>
      <c r="EV130" s="675">
        <v>0</v>
      </c>
      <c r="EW130" s="675">
        <v>0</v>
      </c>
      <c r="EX130" s="675">
        <v>0</v>
      </c>
      <c r="EY130" s="675">
        <v>0</v>
      </c>
      <c r="EZ130" s="675">
        <v>3533809</v>
      </c>
      <c r="FA130" s="675">
        <v>0</v>
      </c>
      <c r="FB130" s="675">
        <v>3769829</v>
      </c>
      <c r="FC130" s="675">
        <v>0.97327799999999998</v>
      </c>
      <c r="FD130" s="675">
        <v>0</v>
      </c>
      <c r="FE130" s="675">
        <v>539839</v>
      </c>
      <c r="FF130" s="675">
        <v>121652</v>
      </c>
      <c r="FG130" s="675">
        <v>6.1239999999999996E-2</v>
      </c>
      <c r="FH130" s="675">
        <v>5.4803999999999999E-2</v>
      </c>
      <c r="FI130" s="675">
        <v>0</v>
      </c>
      <c r="FJ130" s="675">
        <v>0</v>
      </c>
      <c r="FK130" s="675">
        <v>694.75900000000001</v>
      </c>
      <c r="FL130" s="675">
        <v>4525042</v>
      </c>
      <c r="FM130" s="675">
        <v>0</v>
      </c>
      <c r="FN130" s="675">
        <v>0</v>
      </c>
      <c r="FO130" s="675">
        <v>0</v>
      </c>
      <c r="FP130" s="675">
        <v>0</v>
      </c>
      <c r="FQ130" s="675">
        <v>0</v>
      </c>
      <c r="FR130" s="675">
        <v>0</v>
      </c>
      <c r="FS130" s="675">
        <v>0</v>
      </c>
      <c r="FT130" s="675">
        <v>0</v>
      </c>
      <c r="FU130" s="675">
        <v>0</v>
      </c>
      <c r="FV130" s="675">
        <v>0</v>
      </c>
      <c r="FW130" s="675">
        <v>0</v>
      </c>
      <c r="FX130" s="675">
        <v>0</v>
      </c>
      <c r="FY130" s="675">
        <v>0</v>
      </c>
      <c r="FZ130" s="675">
        <v>40</v>
      </c>
      <c r="GA130" s="675">
        <v>0.79600000000000004</v>
      </c>
      <c r="GB130" s="675">
        <v>288181</v>
      </c>
      <c r="GC130" s="675">
        <v>288181</v>
      </c>
      <c r="GD130" s="675">
        <v>32.566000000000003</v>
      </c>
      <c r="GE130" s="675">
        <v>0</v>
      </c>
      <c r="GF130" s="675">
        <v>0</v>
      </c>
      <c r="GG130" s="675">
        <v>0</v>
      </c>
      <c r="GH130" s="675">
        <v>0</v>
      </c>
      <c r="GI130" s="675">
        <v>0</v>
      </c>
      <c r="GJ130" s="675">
        <v>0</v>
      </c>
      <c r="GK130" s="675">
        <v>5153</v>
      </c>
      <c r="GL130" s="675">
        <v>9199</v>
      </c>
      <c r="GM130" s="675">
        <v>0</v>
      </c>
      <c r="GN130" s="675">
        <v>0</v>
      </c>
      <c r="GO130" s="675">
        <v>0</v>
      </c>
      <c r="GP130" s="675">
        <v>4431320</v>
      </c>
      <c r="GQ130" s="675">
        <v>4431320</v>
      </c>
      <c r="GR130" s="675">
        <v>0</v>
      </c>
      <c r="GS130" s="675">
        <v>0</v>
      </c>
      <c r="GT130" s="675">
        <v>0</v>
      </c>
      <c r="GU130" s="675">
        <v>0</v>
      </c>
      <c r="GV130" s="675">
        <v>0</v>
      </c>
      <c r="GW130" s="675">
        <v>0</v>
      </c>
      <c r="GX130" s="675">
        <v>0</v>
      </c>
      <c r="GY130" s="675">
        <v>0</v>
      </c>
      <c r="GZ130" s="675">
        <v>0</v>
      </c>
      <c r="HA130" s="675">
        <v>0</v>
      </c>
      <c r="HB130" s="675">
        <v>260786259</v>
      </c>
      <c r="HC130" s="675">
        <v>5.0923999999999997E-2</v>
      </c>
      <c r="HD130" s="675">
        <v>80555</v>
      </c>
      <c r="HE130" s="675">
        <v>0</v>
      </c>
      <c r="HF130" s="675">
        <v>0</v>
      </c>
      <c r="HG130" s="675">
        <v>0</v>
      </c>
      <c r="HH130" s="675">
        <v>0</v>
      </c>
      <c r="HI130" s="675">
        <v>0</v>
      </c>
      <c r="HJ130" s="675">
        <v>0</v>
      </c>
      <c r="HK130" s="675">
        <v>0</v>
      </c>
      <c r="HL130" s="675">
        <v>0</v>
      </c>
      <c r="HM130" s="675">
        <v>0</v>
      </c>
      <c r="HN130" s="675">
        <v>0</v>
      </c>
      <c r="HO130" s="675">
        <v>0</v>
      </c>
      <c r="HP130" s="675">
        <v>0</v>
      </c>
      <c r="HQ130" s="675">
        <v>0</v>
      </c>
      <c r="HR130" s="675">
        <v>0</v>
      </c>
      <c r="HS130" s="675">
        <v>0</v>
      </c>
      <c r="HT130" s="675">
        <v>0</v>
      </c>
      <c r="HU130" s="675">
        <v>0</v>
      </c>
      <c r="HV130" s="675">
        <v>0</v>
      </c>
      <c r="HW130" s="675">
        <v>0</v>
      </c>
      <c r="HX130" s="675">
        <v>0</v>
      </c>
      <c r="HY130" s="675">
        <v>0</v>
      </c>
      <c r="HZ130" s="675">
        <v>0</v>
      </c>
      <c r="IA130" s="675">
        <v>0</v>
      </c>
      <c r="IB130" s="675">
        <v>0</v>
      </c>
      <c r="IC130" s="675">
        <v>0</v>
      </c>
      <c r="ID130" s="675">
        <v>0</v>
      </c>
      <c r="IE130" s="675">
        <v>0</v>
      </c>
      <c r="IF130" s="675">
        <v>0</v>
      </c>
      <c r="IG130" s="675">
        <v>0</v>
      </c>
      <c r="IH130" s="675">
        <v>0</v>
      </c>
      <c r="II130" s="675">
        <v>0</v>
      </c>
      <c r="IJ130" s="675">
        <v>0</v>
      </c>
      <c r="IK130" s="675">
        <v>0</v>
      </c>
      <c r="IL130" s="675">
        <v>0</v>
      </c>
      <c r="IM130" s="675">
        <v>0</v>
      </c>
      <c r="IN130" s="675">
        <v>0</v>
      </c>
      <c r="IO130" s="675">
        <v>0</v>
      </c>
      <c r="IP130" s="675">
        <v>0</v>
      </c>
      <c r="IQ130" s="675">
        <v>0</v>
      </c>
      <c r="IR130" s="675">
        <v>0</v>
      </c>
      <c r="IS130" s="675">
        <v>0</v>
      </c>
      <c r="IT130" s="675">
        <v>0</v>
      </c>
      <c r="IU130" s="675">
        <v>0</v>
      </c>
      <c r="IV130" s="675">
        <v>0</v>
      </c>
      <c r="IW130" s="675">
        <v>0</v>
      </c>
      <c r="IX130" s="675">
        <v>0</v>
      </c>
      <c r="IY130" s="675">
        <v>0</v>
      </c>
      <c r="IZ130" s="675">
        <v>0</v>
      </c>
      <c r="JA130" s="675">
        <v>0</v>
      </c>
      <c r="JB130" s="675">
        <v>0</v>
      </c>
      <c r="JC130" s="675">
        <v>0</v>
      </c>
      <c r="JD130" s="675">
        <v>0</v>
      </c>
      <c r="JE130" s="675">
        <v>0</v>
      </c>
      <c r="JF130" s="675">
        <v>0</v>
      </c>
      <c r="JG130" s="675">
        <v>0</v>
      </c>
      <c r="JH130" s="675">
        <v>0</v>
      </c>
      <c r="JI130" s="675">
        <v>0</v>
      </c>
      <c r="JJ130" s="675">
        <v>0</v>
      </c>
      <c r="JK130" s="675">
        <v>0</v>
      </c>
      <c r="JL130" s="675">
        <v>0</v>
      </c>
      <c r="JM130" s="675">
        <v>0</v>
      </c>
      <c r="JN130" s="675">
        <v>32469</v>
      </c>
      <c r="JO130" s="675">
        <v>0</v>
      </c>
      <c r="JP130" s="675">
        <v>0</v>
      </c>
      <c r="JQ130" s="675">
        <v>0</v>
      </c>
      <c r="JR130" s="675">
        <v>0</v>
      </c>
      <c r="JS130" s="675">
        <v>0</v>
      </c>
      <c r="JT130" s="675">
        <v>0</v>
      </c>
      <c r="JU130" s="675">
        <v>0</v>
      </c>
      <c r="JV130" s="675">
        <v>0</v>
      </c>
      <c r="JW130" s="675">
        <v>0</v>
      </c>
      <c r="JX130" s="675">
        <v>0</v>
      </c>
      <c r="JY130" s="675">
        <v>0</v>
      </c>
      <c r="JZ130" s="675">
        <v>0</v>
      </c>
      <c r="KA130" s="675">
        <v>0</v>
      </c>
      <c r="KB130" s="675">
        <v>0</v>
      </c>
      <c r="KC130" s="675">
        <v>0</v>
      </c>
      <c r="KD130" s="675">
        <v>0</v>
      </c>
      <c r="KE130" s="675">
        <v>0</v>
      </c>
      <c r="KF130" s="675">
        <v>0</v>
      </c>
    </row>
    <row r="131" spans="1:292" x14ac:dyDescent="0.25">
      <c r="A131" s="675">
        <v>108807</v>
      </c>
      <c r="B131" s="675">
        <v>32570</v>
      </c>
      <c r="C131" s="675">
        <v>35</v>
      </c>
      <c r="D131" s="675">
        <v>2022</v>
      </c>
      <c r="E131" s="675">
        <v>5392</v>
      </c>
      <c r="F131" s="675">
        <v>0</v>
      </c>
      <c r="G131" s="675">
        <v>45921.092000000004</v>
      </c>
      <c r="H131" s="675">
        <v>45282.395000000004</v>
      </c>
      <c r="I131" s="675">
        <v>45282.395000000004</v>
      </c>
      <c r="J131" s="675">
        <v>45921.092000000004</v>
      </c>
      <c r="K131" s="675">
        <v>0</v>
      </c>
      <c r="L131" s="675">
        <v>6554</v>
      </c>
      <c r="M131" s="675">
        <v>0</v>
      </c>
      <c r="N131" s="675">
        <v>0</v>
      </c>
      <c r="O131" s="675">
        <v>0</v>
      </c>
      <c r="P131" s="675">
        <v>39558.521000000001</v>
      </c>
      <c r="Q131" s="675">
        <v>0</v>
      </c>
      <c r="R131" s="675">
        <v>12647373</v>
      </c>
      <c r="S131" s="675">
        <v>319.71300000000002</v>
      </c>
      <c r="T131" s="675">
        <v>0</v>
      </c>
      <c r="U131" s="675">
        <v>12647373</v>
      </c>
      <c r="V131" s="675">
        <v>16803.174999999999</v>
      </c>
      <c r="W131" s="675">
        <v>11012801</v>
      </c>
      <c r="X131" s="675">
        <v>11012801</v>
      </c>
      <c r="Y131" s="675">
        <v>0</v>
      </c>
      <c r="Z131" s="675">
        <v>0</v>
      </c>
      <c r="AA131" s="675">
        <v>1</v>
      </c>
      <c r="AB131" s="675">
        <v>1</v>
      </c>
      <c r="AC131" s="675">
        <v>0</v>
      </c>
      <c r="AD131" s="675" t="s">
        <v>316</v>
      </c>
      <c r="AE131" s="675">
        <v>0</v>
      </c>
      <c r="AF131" s="675">
        <v>0</v>
      </c>
      <c r="AG131" s="675">
        <v>0</v>
      </c>
      <c r="AH131" s="675">
        <v>0</v>
      </c>
      <c r="AI131" s="675">
        <v>0</v>
      </c>
      <c r="AJ131" s="675">
        <v>5104</v>
      </c>
      <c r="AK131" s="675" t="s">
        <v>671</v>
      </c>
      <c r="AL131" s="675" t="s">
        <v>96</v>
      </c>
      <c r="AM131" s="675">
        <v>0</v>
      </c>
      <c r="AN131" s="675">
        <v>0</v>
      </c>
      <c r="AO131" s="675">
        <v>0</v>
      </c>
      <c r="AP131" s="675">
        <v>0</v>
      </c>
      <c r="AQ131" s="675">
        <v>0</v>
      </c>
      <c r="AR131" s="675">
        <v>0</v>
      </c>
      <c r="AS131" s="675">
        <v>0</v>
      </c>
      <c r="AT131" s="675">
        <v>0</v>
      </c>
      <c r="AU131" s="675">
        <v>0</v>
      </c>
      <c r="AV131" s="675">
        <v>5932451</v>
      </c>
      <c r="AW131" s="675">
        <v>456262707</v>
      </c>
      <c r="AX131" s="675">
        <v>443316016</v>
      </c>
      <c r="AY131" s="675">
        <v>487000347</v>
      </c>
      <c r="AZ131" s="675">
        <v>15305102</v>
      </c>
      <c r="BA131" s="675">
        <v>2384.25</v>
      </c>
      <c r="BB131" s="675">
        <v>0</v>
      </c>
      <c r="BC131" s="675">
        <v>0</v>
      </c>
      <c r="BD131" s="675">
        <v>0</v>
      </c>
      <c r="BE131" s="675">
        <v>0</v>
      </c>
      <c r="BF131" s="675">
        <v>374014564</v>
      </c>
      <c r="BG131" s="675">
        <v>0</v>
      </c>
      <c r="BH131" s="675">
        <v>7334.2460000000001</v>
      </c>
      <c r="BI131" s="675">
        <v>2016918</v>
      </c>
      <c r="BJ131" s="675">
        <v>12</v>
      </c>
      <c r="BK131" s="675">
        <v>0</v>
      </c>
      <c r="BL131" s="675">
        <v>0</v>
      </c>
      <c r="BM131" s="675">
        <v>0</v>
      </c>
      <c r="BN131" s="675">
        <v>0</v>
      </c>
      <c r="BO131" s="675">
        <v>0</v>
      </c>
      <c r="BP131" s="675">
        <v>0</v>
      </c>
      <c r="BQ131" s="675">
        <v>5392</v>
      </c>
      <c r="BR131" s="675">
        <v>1</v>
      </c>
      <c r="BS131" s="675">
        <v>0</v>
      </c>
      <c r="BT131" s="675">
        <v>0</v>
      </c>
      <c r="BU131" s="675">
        <v>0</v>
      </c>
      <c r="BV131" s="675">
        <v>0</v>
      </c>
      <c r="BW131" s="675">
        <v>0</v>
      </c>
      <c r="BX131" s="675">
        <v>0</v>
      </c>
      <c r="BY131" s="675">
        <v>0</v>
      </c>
      <c r="BZ131" s="675">
        <v>0</v>
      </c>
      <c r="CA131" s="675">
        <v>1676.376</v>
      </c>
      <c r="CB131" s="675">
        <v>640811</v>
      </c>
      <c r="CC131" s="675">
        <v>0</v>
      </c>
      <c r="CD131" s="675">
        <v>0</v>
      </c>
      <c r="CE131" s="675">
        <v>0</v>
      </c>
      <c r="CF131" s="675">
        <v>0</v>
      </c>
      <c r="CG131" s="675">
        <v>0</v>
      </c>
      <c r="CH131" s="675">
        <v>10288962</v>
      </c>
      <c r="CI131" s="675">
        <v>0</v>
      </c>
      <c r="CJ131" s="675">
        <v>5</v>
      </c>
      <c r="CK131" s="675">
        <v>0</v>
      </c>
      <c r="CL131" s="675">
        <v>0</v>
      </c>
      <c r="CM131" s="675">
        <v>0</v>
      </c>
      <c r="CN131" s="675">
        <v>0</v>
      </c>
      <c r="CO131" s="675">
        <v>0</v>
      </c>
      <c r="CP131" s="675">
        <v>0.79</v>
      </c>
      <c r="CQ131" s="675">
        <v>187.25</v>
      </c>
      <c r="CR131" s="675">
        <v>39558.521000000001</v>
      </c>
      <c r="CS131" s="675">
        <v>0</v>
      </c>
      <c r="CT131" s="675">
        <v>0</v>
      </c>
      <c r="CU131" s="675">
        <v>0</v>
      </c>
      <c r="CV131" s="675">
        <v>0</v>
      </c>
      <c r="CW131" s="675">
        <v>0</v>
      </c>
      <c r="CX131" s="675">
        <v>0</v>
      </c>
      <c r="CY131" s="675">
        <v>0</v>
      </c>
      <c r="CZ131" s="675">
        <v>0</v>
      </c>
      <c r="DA131" s="675">
        <v>1</v>
      </c>
      <c r="DB131" s="675">
        <v>296780817</v>
      </c>
      <c r="DC131" s="675">
        <v>0</v>
      </c>
      <c r="DD131" s="675">
        <v>0</v>
      </c>
      <c r="DE131" s="675">
        <v>55489218</v>
      </c>
      <c r="DF131" s="675">
        <v>55501696</v>
      </c>
      <c r="DG131" s="675">
        <v>42332.33</v>
      </c>
      <c r="DH131" s="675">
        <v>0</v>
      </c>
      <c r="DI131" s="675">
        <v>12478</v>
      </c>
      <c r="DJ131" s="675">
        <v>0</v>
      </c>
      <c r="DK131" s="675">
        <v>5392</v>
      </c>
      <c r="DL131" s="675">
        <v>0</v>
      </c>
      <c r="DM131" s="675">
        <v>20522927</v>
      </c>
      <c r="DN131" s="675">
        <v>0</v>
      </c>
      <c r="DO131" s="675">
        <v>0</v>
      </c>
      <c r="DP131" s="675">
        <v>0</v>
      </c>
      <c r="DQ131" s="675">
        <v>0</v>
      </c>
      <c r="DR131" s="675">
        <v>0</v>
      </c>
      <c r="DS131" s="675">
        <v>0</v>
      </c>
      <c r="DT131" s="675">
        <v>0</v>
      </c>
      <c r="DU131" s="675">
        <v>0</v>
      </c>
      <c r="DV131" s="675">
        <v>0</v>
      </c>
      <c r="DW131" s="675">
        <v>0</v>
      </c>
      <c r="DX131" s="675">
        <v>0</v>
      </c>
      <c r="DY131" s="675">
        <v>0</v>
      </c>
      <c r="DZ131" s="675">
        <v>0</v>
      </c>
      <c r="EA131" s="675">
        <v>0.57700000000000007</v>
      </c>
      <c r="EB131" s="675">
        <v>0</v>
      </c>
      <c r="EC131" s="675">
        <v>1129.6300000000001</v>
      </c>
      <c r="ED131" s="675">
        <v>8143955</v>
      </c>
      <c r="EE131" s="675">
        <v>0</v>
      </c>
      <c r="EF131" s="675">
        <v>0</v>
      </c>
      <c r="EG131" s="675">
        <v>0</v>
      </c>
      <c r="EH131" s="675">
        <v>12378972</v>
      </c>
      <c r="EI131" s="675">
        <v>0</v>
      </c>
      <c r="EJ131" s="675">
        <v>0</v>
      </c>
      <c r="EK131" s="675">
        <v>262.98200000000003</v>
      </c>
      <c r="EL131" s="675">
        <v>6.2970000000000006</v>
      </c>
      <c r="EM131" s="675">
        <v>257.95</v>
      </c>
      <c r="EN131" s="675">
        <v>64.617000000000004</v>
      </c>
      <c r="EO131" s="675">
        <v>0</v>
      </c>
      <c r="EP131" s="675">
        <v>0</v>
      </c>
      <c r="EQ131" s="675">
        <v>586.12599999999998</v>
      </c>
      <c r="ER131" s="675">
        <v>0</v>
      </c>
      <c r="ES131" s="675">
        <v>1888.7660000000001</v>
      </c>
      <c r="ET131" s="675">
        <v>1238938</v>
      </c>
      <c r="EU131" s="675">
        <v>15305102</v>
      </c>
      <c r="EV131" s="675">
        <v>0</v>
      </c>
      <c r="EW131" s="675">
        <v>0</v>
      </c>
      <c r="EX131" s="675">
        <v>0</v>
      </c>
      <c r="EY131" s="675">
        <v>0</v>
      </c>
      <c r="EZ131" s="675">
        <v>373543790</v>
      </c>
      <c r="FA131" s="675">
        <v>0</v>
      </c>
      <c r="FB131" s="675">
        <v>388848892</v>
      </c>
      <c r="FC131" s="675">
        <v>0.97327799999999998</v>
      </c>
      <c r="FD131" s="675">
        <v>0</v>
      </c>
      <c r="FE131" s="675">
        <v>56940717</v>
      </c>
      <c r="FF131" s="675">
        <v>12831509</v>
      </c>
      <c r="FG131" s="675">
        <v>6.1239999999999996E-2</v>
      </c>
      <c r="FH131" s="675">
        <v>5.4803999999999999E-2</v>
      </c>
      <c r="FI131" s="675">
        <v>0</v>
      </c>
      <c r="FJ131" s="675">
        <v>0</v>
      </c>
      <c r="FK131" s="675">
        <v>73281.232000000004</v>
      </c>
      <c r="FL131" s="675">
        <v>468910080</v>
      </c>
      <c r="FM131" s="675">
        <v>0</v>
      </c>
      <c r="FN131" s="675">
        <v>0</v>
      </c>
      <c r="FO131" s="675">
        <v>1482944</v>
      </c>
      <c r="FP131" s="675">
        <v>424643</v>
      </c>
      <c r="FQ131" s="675">
        <v>1907587</v>
      </c>
      <c r="FR131" s="675">
        <v>1482944</v>
      </c>
      <c r="FS131" s="675">
        <v>0</v>
      </c>
      <c r="FT131" s="675">
        <v>0</v>
      </c>
      <c r="FU131" s="675">
        <v>0</v>
      </c>
      <c r="FV131" s="675">
        <v>0</v>
      </c>
      <c r="FW131" s="675">
        <v>0</v>
      </c>
      <c r="FX131" s="675">
        <v>0</v>
      </c>
      <c r="FY131" s="675">
        <v>0</v>
      </c>
      <c r="FZ131" s="675">
        <v>192</v>
      </c>
      <c r="GA131" s="675">
        <v>3.8420000000000001</v>
      </c>
      <c r="GB131" s="675">
        <v>465335</v>
      </c>
      <c r="GC131" s="675">
        <v>465335</v>
      </c>
      <c r="GD131" s="675">
        <v>52.571000000000005</v>
      </c>
      <c r="GE131" s="675">
        <v>0</v>
      </c>
      <c r="GF131" s="675">
        <v>0</v>
      </c>
      <c r="GG131" s="675">
        <v>0</v>
      </c>
      <c r="GH131" s="675">
        <v>0</v>
      </c>
      <c r="GI131" s="675">
        <v>0</v>
      </c>
      <c r="GJ131" s="675">
        <v>0</v>
      </c>
      <c r="GK131" s="675">
        <v>5071</v>
      </c>
      <c r="GL131" s="675">
        <v>120568</v>
      </c>
      <c r="GM131" s="675">
        <v>0</v>
      </c>
      <c r="GN131" s="675">
        <v>563496</v>
      </c>
      <c r="GO131" s="675">
        <v>0</v>
      </c>
      <c r="GP131" s="675">
        <v>458621118</v>
      </c>
      <c r="GQ131" s="675">
        <v>458621118</v>
      </c>
      <c r="GR131" s="675">
        <v>0</v>
      </c>
      <c r="GS131" s="675">
        <v>0</v>
      </c>
      <c r="GT131" s="675">
        <v>0</v>
      </c>
      <c r="GU131" s="675">
        <v>0</v>
      </c>
      <c r="GV131" s="675">
        <v>0</v>
      </c>
      <c r="GW131" s="675">
        <v>0</v>
      </c>
      <c r="GX131" s="675">
        <v>0</v>
      </c>
      <c r="GY131" s="675">
        <v>0</v>
      </c>
      <c r="GZ131" s="675">
        <v>0</v>
      </c>
      <c r="HA131" s="675">
        <v>0</v>
      </c>
      <c r="HB131" s="675">
        <v>260786259</v>
      </c>
      <c r="HC131" s="675">
        <v>5.0923999999999997E-2</v>
      </c>
      <c r="HD131" s="675">
        <v>9050024</v>
      </c>
      <c r="HE131" s="675">
        <v>0</v>
      </c>
      <c r="HF131" s="675">
        <v>0</v>
      </c>
      <c r="HG131" s="675">
        <v>0</v>
      </c>
      <c r="HH131" s="675">
        <v>0</v>
      </c>
      <c r="HI131" s="675">
        <v>0</v>
      </c>
      <c r="HJ131" s="675">
        <v>0</v>
      </c>
      <c r="HK131" s="675">
        <v>0</v>
      </c>
      <c r="HL131" s="675">
        <v>0</v>
      </c>
      <c r="HM131" s="675">
        <v>0</v>
      </c>
      <c r="HN131" s="675">
        <v>0</v>
      </c>
      <c r="HO131" s="675">
        <v>0</v>
      </c>
      <c r="HP131" s="675">
        <v>0</v>
      </c>
      <c r="HQ131" s="675">
        <v>0</v>
      </c>
      <c r="HR131" s="675">
        <v>0</v>
      </c>
      <c r="HS131" s="675">
        <v>0</v>
      </c>
      <c r="HT131" s="675">
        <v>0</v>
      </c>
      <c r="HU131" s="675">
        <v>0</v>
      </c>
      <c r="HV131" s="675">
        <v>0</v>
      </c>
      <c r="HW131" s="675">
        <v>0</v>
      </c>
      <c r="HX131" s="675">
        <v>0</v>
      </c>
      <c r="HY131" s="675">
        <v>0</v>
      </c>
      <c r="HZ131" s="675">
        <v>0</v>
      </c>
      <c r="IA131" s="675">
        <v>0</v>
      </c>
      <c r="IB131" s="675">
        <v>0</v>
      </c>
      <c r="IC131" s="675">
        <v>0</v>
      </c>
      <c r="ID131" s="675">
        <v>0</v>
      </c>
      <c r="IE131" s="675">
        <v>0</v>
      </c>
      <c r="IF131" s="675">
        <v>0</v>
      </c>
      <c r="IG131" s="675">
        <v>0</v>
      </c>
      <c r="IH131" s="675">
        <v>0</v>
      </c>
      <c r="II131" s="675">
        <v>0</v>
      </c>
      <c r="IJ131" s="675">
        <v>0</v>
      </c>
      <c r="IK131" s="675">
        <v>0</v>
      </c>
      <c r="IL131" s="675">
        <v>0</v>
      </c>
      <c r="IM131" s="675">
        <v>0</v>
      </c>
      <c r="IN131" s="675">
        <v>0</v>
      </c>
      <c r="IO131" s="675">
        <v>0</v>
      </c>
      <c r="IP131" s="675">
        <v>0</v>
      </c>
      <c r="IQ131" s="675">
        <v>0</v>
      </c>
      <c r="IR131" s="675">
        <v>0</v>
      </c>
      <c r="IS131" s="675">
        <v>0</v>
      </c>
      <c r="IT131" s="675">
        <v>0</v>
      </c>
      <c r="IU131" s="675">
        <v>0</v>
      </c>
      <c r="IV131" s="675">
        <v>0</v>
      </c>
      <c r="IW131" s="675">
        <v>0</v>
      </c>
      <c r="IX131" s="675">
        <v>0</v>
      </c>
      <c r="IY131" s="675">
        <v>0</v>
      </c>
      <c r="IZ131" s="675">
        <v>0</v>
      </c>
      <c r="JA131" s="675">
        <v>0</v>
      </c>
      <c r="JB131" s="675">
        <v>0</v>
      </c>
      <c r="JC131" s="675">
        <v>0</v>
      </c>
      <c r="JD131" s="675">
        <v>0</v>
      </c>
      <c r="JE131" s="675">
        <v>0</v>
      </c>
      <c r="JF131" s="675">
        <v>0</v>
      </c>
      <c r="JG131" s="675">
        <v>0</v>
      </c>
      <c r="JH131" s="675">
        <v>0</v>
      </c>
      <c r="JI131" s="675">
        <v>0</v>
      </c>
      <c r="JJ131" s="675">
        <v>0</v>
      </c>
      <c r="JK131" s="675">
        <v>0</v>
      </c>
      <c r="JL131" s="675">
        <v>0</v>
      </c>
      <c r="JM131" s="675">
        <v>0</v>
      </c>
      <c r="JN131" s="675">
        <v>32469</v>
      </c>
      <c r="JO131" s="675">
        <v>0</v>
      </c>
      <c r="JP131" s="675">
        <v>0</v>
      </c>
      <c r="JQ131" s="675">
        <v>0</v>
      </c>
      <c r="JR131" s="675">
        <v>0</v>
      </c>
      <c r="JS131" s="675">
        <v>0</v>
      </c>
      <c r="JT131" s="675">
        <v>0</v>
      </c>
      <c r="JU131" s="675">
        <v>0</v>
      </c>
      <c r="JV131" s="675">
        <v>0</v>
      </c>
      <c r="JW131" s="675">
        <v>0</v>
      </c>
      <c r="JX131" s="675">
        <v>0</v>
      </c>
      <c r="JY131" s="675">
        <v>0</v>
      </c>
      <c r="JZ131" s="675">
        <v>0</v>
      </c>
      <c r="KA131" s="675">
        <v>0</v>
      </c>
      <c r="KB131" s="675">
        <v>0</v>
      </c>
      <c r="KC131" s="675">
        <v>0</v>
      </c>
      <c r="KD131" s="675">
        <v>0</v>
      </c>
      <c r="KE131" s="675">
        <v>0</v>
      </c>
      <c r="KF131" s="675">
        <v>0</v>
      </c>
    </row>
    <row r="132" spans="1:292" x14ac:dyDescent="0.25">
      <c r="A132" s="675">
        <v>108808</v>
      </c>
      <c r="B132" s="675">
        <v>32570</v>
      </c>
      <c r="C132" s="675">
        <v>35</v>
      </c>
      <c r="D132" s="675">
        <v>2022</v>
      </c>
      <c r="E132" s="675">
        <v>5392</v>
      </c>
      <c r="F132" s="675">
        <v>0</v>
      </c>
      <c r="G132" s="675">
        <v>4032.7270000000003</v>
      </c>
      <c r="H132" s="675">
        <v>3747.0590000000002</v>
      </c>
      <c r="I132" s="675">
        <v>3747.0590000000002</v>
      </c>
      <c r="J132" s="675">
        <v>4032.7270000000003</v>
      </c>
      <c r="K132" s="675">
        <v>0</v>
      </c>
      <c r="L132" s="675">
        <v>6554</v>
      </c>
      <c r="M132" s="675">
        <v>0</v>
      </c>
      <c r="N132" s="675">
        <v>0</v>
      </c>
      <c r="O132" s="675">
        <v>0</v>
      </c>
      <c r="P132" s="675">
        <v>3764.5930000000003</v>
      </c>
      <c r="Q132" s="675">
        <v>0</v>
      </c>
      <c r="R132" s="675">
        <v>1203589</v>
      </c>
      <c r="S132" s="675">
        <v>319.71300000000002</v>
      </c>
      <c r="T132" s="675">
        <v>0</v>
      </c>
      <c r="U132" s="675">
        <v>1203589</v>
      </c>
      <c r="V132" s="675">
        <v>1648.596</v>
      </c>
      <c r="W132" s="675">
        <v>1080490</v>
      </c>
      <c r="X132" s="675">
        <v>1080490</v>
      </c>
      <c r="Y132" s="675">
        <v>0</v>
      </c>
      <c r="Z132" s="675">
        <v>0</v>
      </c>
      <c r="AA132" s="675">
        <v>1</v>
      </c>
      <c r="AB132" s="675">
        <v>1</v>
      </c>
      <c r="AC132" s="675">
        <v>0</v>
      </c>
      <c r="AD132" s="675" t="s">
        <v>316</v>
      </c>
      <c r="AE132" s="675">
        <v>0</v>
      </c>
      <c r="AF132" s="675">
        <v>0</v>
      </c>
      <c r="AG132" s="675">
        <v>0</v>
      </c>
      <c r="AH132" s="675">
        <v>0</v>
      </c>
      <c r="AI132" s="675">
        <v>0</v>
      </c>
      <c r="AJ132" s="675">
        <v>5104</v>
      </c>
      <c r="AK132" s="675" t="s">
        <v>671</v>
      </c>
      <c r="AL132" s="675" t="s">
        <v>89</v>
      </c>
      <c r="AM132" s="675">
        <v>0</v>
      </c>
      <c r="AN132" s="675">
        <v>0</v>
      </c>
      <c r="AO132" s="675">
        <v>0</v>
      </c>
      <c r="AP132" s="675">
        <v>0</v>
      </c>
      <c r="AQ132" s="675">
        <v>0</v>
      </c>
      <c r="AR132" s="675">
        <v>0</v>
      </c>
      <c r="AS132" s="675">
        <v>0</v>
      </c>
      <c r="AT132" s="675">
        <v>0</v>
      </c>
      <c r="AU132" s="675">
        <v>0</v>
      </c>
      <c r="AV132" s="675">
        <v>993393</v>
      </c>
      <c r="AW132" s="675">
        <v>40284215</v>
      </c>
      <c r="AX132" s="675">
        <v>39314379</v>
      </c>
      <c r="AY132" s="675">
        <v>42165808</v>
      </c>
      <c r="AZ132" s="675">
        <v>1378664</v>
      </c>
      <c r="BA132" s="675">
        <v>0</v>
      </c>
      <c r="BB132" s="675">
        <v>158583</v>
      </c>
      <c r="BC132" s="675">
        <v>158583</v>
      </c>
      <c r="BD132" s="675">
        <v>201.636</v>
      </c>
      <c r="BE132" s="675">
        <v>0</v>
      </c>
      <c r="BF132" s="675">
        <v>33375436</v>
      </c>
      <c r="BG132" s="675">
        <v>0</v>
      </c>
      <c r="BH132" s="675">
        <v>636.63800000000003</v>
      </c>
      <c r="BI132" s="675">
        <v>175075</v>
      </c>
      <c r="BJ132" s="675">
        <v>12</v>
      </c>
      <c r="BK132" s="675">
        <v>0</v>
      </c>
      <c r="BL132" s="675">
        <v>0</v>
      </c>
      <c r="BM132" s="675">
        <v>0</v>
      </c>
      <c r="BN132" s="675">
        <v>0</v>
      </c>
      <c r="BO132" s="675">
        <v>0</v>
      </c>
      <c r="BP132" s="675">
        <v>0</v>
      </c>
      <c r="BQ132" s="675">
        <v>5392</v>
      </c>
      <c r="BR132" s="675">
        <v>1</v>
      </c>
      <c r="BS132" s="675">
        <v>0</v>
      </c>
      <c r="BT132" s="675">
        <v>0</v>
      </c>
      <c r="BU132" s="675">
        <v>0</v>
      </c>
      <c r="BV132" s="675">
        <v>0</v>
      </c>
      <c r="BW132" s="675">
        <v>0</v>
      </c>
      <c r="BX132" s="675">
        <v>0</v>
      </c>
      <c r="BY132" s="675">
        <v>0</v>
      </c>
      <c r="BZ132" s="675">
        <v>0</v>
      </c>
      <c r="CA132" s="675">
        <v>0</v>
      </c>
      <c r="CB132" s="675">
        <v>0</v>
      </c>
      <c r="CC132" s="675">
        <v>0</v>
      </c>
      <c r="CD132" s="675">
        <v>0</v>
      </c>
      <c r="CE132" s="675">
        <v>0</v>
      </c>
      <c r="CF132" s="675">
        <v>0</v>
      </c>
      <c r="CG132" s="675">
        <v>0</v>
      </c>
      <c r="CH132" s="675">
        <v>794761</v>
      </c>
      <c r="CI132" s="675">
        <v>0</v>
      </c>
      <c r="CJ132" s="675">
        <v>4</v>
      </c>
      <c r="CK132" s="675">
        <v>0</v>
      </c>
      <c r="CL132" s="675">
        <v>0</v>
      </c>
      <c r="CM132" s="675">
        <v>0</v>
      </c>
      <c r="CN132" s="675">
        <v>0</v>
      </c>
      <c r="CO132" s="675">
        <v>0</v>
      </c>
      <c r="CP132" s="675">
        <v>0</v>
      </c>
      <c r="CQ132" s="675">
        <v>0</v>
      </c>
      <c r="CR132" s="675">
        <v>3764.5930000000003</v>
      </c>
      <c r="CS132" s="675">
        <v>0</v>
      </c>
      <c r="CT132" s="675">
        <v>0</v>
      </c>
      <c r="CU132" s="675">
        <v>0</v>
      </c>
      <c r="CV132" s="675">
        <v>0</v>
      </c>
      <c r="CW132" s="675">
        <v>0</v>
      </c>
      <c r="CX132" s="675">
        <v>0</v>
      </c>
      <c r="CY132" s="675">
        <v>0</v>
      </c>
      <c r="CZ132" s="675">
        <v>0</v>
      </c>
      <c r="DA132" s="675">
        <v>1</v>
      </c>
      <c r="DB132" s="675">
        <v>24558225</v>
      </c>
      <c r="DC132" s="675">
        <v>0</v>
      </c>
      <c r="DD132" s="675">
        <v>0</v>
      </c>
      <c r="DE132" s="675">
        <v>4936696</v>
      </c>
      <c r="DF132" s="675">
        <v>4936696</v>
      </c>
      <c r="DG132" s="675">
        <v>3766.17</v>
      </c>
      <c r="DH132" s="675">
        <v>0</v>
      </c>
      <c r="DI132" s="675">
        <v>0</v>
      </c>
      <c r="DJ132" s="675">
        <v>0</v>
      </c>
      <c r="DK132" s="675">
        <v>5392</v>
      </c>
      <c r="DL132" s="675">
        <v>0</v>
      </c>
      <c r="DM132" s="675">
        <v>1722794</v>
      </c>
      <c r="DN132" s="675">
        <v>0</v>
      </c>
      <c r="DO132" s="675">
        <v>1711</v>
      </c>
      <c r="DP132" s="675">
        <v>0</v>
      </c>
      <c r="DQ132" s="675">
        <v>0</v>
      </c>
      <c r="DR132" s="675">
        <v>0</v>
      </c>
      <c r="DS132" s="675">
        <v>0</v>
      </c>
      <c r="DT132" s="675">
        <v>0</v>
      </c>
      <c r="DU132" s="675">
        <v>0</v>
      </c>
      <c r="DV132" s="675">
        <v>0.11600000000000001</v>
      </c>
      <c r="DW132" s="675">
        <v>0</v>
      </c>
      <c r="DX132" s="675">
        <v>0</v>
      </c>
      <c r="DY132" s="675">
        <v>0</v>
      </c>
      <c r="DZ132" s="675">
        <v>0.34800000000000003</v>
      </c>
      <c r="EA132" s="675">
        <v>1E-3</v>
      </c>
      <c r="EB132" s="675">
        <v>0</v>
      </c>
      <c r="EC132" s="675">
        <v>14.693000000000001</v>
      </c>
      <c r="ED132" s="675">
        <v>105928</v>
      </c>
      <c r="EE132" s="675">
        <v>0</v>
      </c>
      <c r="EF132" s="675">
        <v>0</v>
      </c>
      <c r="EG132" s="675">
        <v>0</v>
      </c>
      <c r="EH132" s="675">
        <v>1615155</v>
      </c>
      <c r="EI132" s="675">
        <v>0</v>
      </c>
      <c r="EJ132" s="675">
        <v>0</v>
      </c>
      <c r="EK132" s="675">
        <v>66.661000000000001</v>
      </c>
      <c r="EL132" s="675">
        <v>0</v>
      </c>
      <c r="EM132" s="675">
        <v>6.4850000000000003</v>
      </c>
      <c r="EN132" s="675">
        <v>5.399</v>
      </c>
      <c r="EO132" s="675">
        <v>0</v>
      </c>
      <c r="EP132" s="675">
        <v>0</v>
      </c>
      <c r="EQ132" s="675">
        <v>78.546000000000006</v>
      </c>
      <c r="ER132" s="675">
        <v>0</v>
      </c>
      <c r="ES132" s="675">
        <v>246.43800000000002</v>
      </c>
      <c r="ET132" s="675">
        <v>0</v>
      </c>
      <c r="EU132" s="675">
        <v>1378664</v>
      </c>
      <c r="EV132" s="675">
        <v>0</v>
      </c>
      <c r="EW132" s="675">
        <v>0</v>
      </c>
      <c r="EX132" s="675">
        <v>0</v>
      </c>
      <c r="EY132" s="675">
        <v>0</v>
      </c>
      <c r="EZ132" s="675">
        <v>33088209</v>
      </c>
      <c r="FA132" s="675">
        <v>0</v>
      </c>
      <c r="FB132" s="675">
        <v>34466873</v>
      </c>
      <c r="FC132" s="675">
        <v>0.97327799999999998</v>
      </c>
      <c r="FD132" s="675">
        <v>0</v>
      </c>
      <c r="FE132" s="675">
        <v>5081142</v>
      </c>
      <c r="FF132" s="675">
        <v>1145028</v>
      </c>
      <c r="FG132" s="675">
        <v>6.1239999999999996E-2</v>
      </c>
      <c r="FH132" s="675">
        <v>5.4803999999999999E-2</v>
      </c>
      <c r="FI132" s="675">
        <v>0</v>
      </c>
      <c r="FJ132" s="675">
        <v>0</v>
      </c>
      <c r="FK132" s="675">
        <v>6539.299</v>
      </c>
      <c r="FL132" s="675">
        <v>41487804</v>
      </c>
      <c r="FM132" s="675">
        <v>0</v>
      </c>
      <c r="FN132" s="675">
        <v>0</v>
      </c>
      <c r="FO132" s="675">
        <v>0</v>
      </c>
      <c r="FP132" s="675">
        <v>0</v>
      </c>
      <c r="FQ132" s="675">
        <v>0</v>
      </c>
      <c r="FR132" s="675">
        <v>0</v>
      </c>
      <c r="FS132" s="675">
        <v>0</v>
      </c>
      <c r="FT132" s="675">
        <v>0</v>
      </c>
      <c r="FU132" s="675">
        <v>0</v>
      </c>
      <c r="FV132" s="675">
        <v>0</v>
      </c>
      <c r="FW132" s="675">
        <v>0</v>
      </c>
      <c r="FX132" s="675">
        <v>0</v>
      </c>
      <c r="FY132" s="675">
        <v>0</v>
      </c>
      <c r="FZ132" s="675">
        <v>2415</v>
      </c>
      <c r="GA132" s="675">
        <v>48.308</v>
      </c>
      <c r="GB132" s="675">
        <v>1835010</v>
      </c>
      <c r="GC132" s="675">
        <v>1835010</v>
      </c>
      <c r="GD132" s="675">
        <v>207.12200000000001</v>
      </c>
      <c r="GE132" s="675">
        <v>0</v>
      </c>
      <c r="GF132" s="675">
        <v>0</v>
      </c>
      <c r="GG132" s="675">
        <v>0</v>
      </c>
      <c r="GH132" s="675">
        <v>0</v>
      </c>
      <c r="GI132" s="675">
        <v>0</v>
      </c>
      <c r="GJ132" s="675">
        <v>0</v>
      </c>
      <c r="GK132" s="675">
        <v>4955</v>
      </c>
      <c r="GL132" s="675">
        <v>19656</v>
      </c>
      <c r="GM132" s="675">
        <v>0</v>
      </c>
      <c r="GN132" s="675">
        <v>0</v>
      </c>
      <c r="GO132" s="675">
        <v>0</v>
      </c>
      <c r="GP132" s="675">
        <v>40693043</v>
      </c>
      <c r="GQ132" s="675">
        <v>40693043</v>
      </c>
      <c r="GR132" s="675">
        <v>0</v>
      </c>
      <c r="GS132" s="675">
        <v>0</v>
      </c>
      <c r="GT132" s="675">
        <v>0</v>
      </c>
      <c r="GU132" s="675">
        <v>0</v>
      </c>
      <c r="GV132" s="675">
        <v>0</v>
      </c>
      <c r="GW132" s="675">
        <v>0</v>
      </c>
      <c r="GX132" s="675">
        <v>0</v>
      </c>
      <c r="GY132" s="675">
        <v>0</v>
      </c>
      <c r="GZ132" s="675">
        <v>0</v>
      </c>
      <c r="HA132" s="675">
        <v>0</v>
      </c>
      <c r="HB132" s="675">
        <v>260786259</v>
      </c>
      <c r="HC132" s="675">
        <v>5.0923999999999997E-2</v>
      </c>
      <c r="HD132" s="675">
        <v>794761</v>
      </c>
      <c r="HE132" s="675">
        <v>0</v>
      </c>
      <c r="HF132" s="675">
        <v>0</v>
      </c>
      <c r="HG132" s="675">
        <v>0</v>
      </c>
      <c r="HH132" s="675">
        <v>0</v>
      </c>
      <c r="HI132" s="675">
        <v>0</v>
      </c>
      <c r="HJ132" s="675">
        <v>0</v>
      </c>
      <c r="HK132" s="675">
        <v>0</v>
      </c>
      <c r="HL132" s="675">
        <v>0</v>
      </c>
      <c r="HM132" s="675">
        <v>0</v>
      </c>
      <c r="HN132" s="675">
        <v>0</v>
      </c>
      <c r="HO132" s="675">
        <v>0</v>
      </c>
      <c r="HP132" s="675">
        <v>0</v>
      </c>
      <c r="HQ132" s="675">
        <v>0</v>
      </c>
      <c r="HR132" s="675">
        <v>0</v>
      </c>
      <c r="HS132" s="675">
        <v>0</v>
      </c>
      <c r="HT132" s="675">
        <v>0</v>
      </c>
      <c r="HU132" s="675">
        <v>0</v>
      </c>
      <c r="HV132" s="675">
        <v>0</v>
      </c>
      <c r="HW132" s="675">
        <v>0</v>
      </c>
      <c r="HX132" s="675">
        <v>0</v>
      </c>
      <c r="HY132" s="675">
        <v>0</v>
      </c>
      <c r="HZ132" s="675">
        <v>0</v>
      </c>
      <c r="IA132" s="675">
        <v>0</v>
      </c>
      <c r="IB132" s="675">
        <v>0</v>
      </c>
      <c r="IC132" s="675">
        <v>0</v>
      </c>
      <c r="ID132" s="675">
        <v>0</v>
      </c>
      <c r="IE132" s="675">
        <v>402.32800000000003</v>
      </c>
      <c r="IF132" s="675">
        <v>0</v>
      </c>
      <c r="IG132" s="675">
        <v>0</v>
      </c>
      <c r="IH132" s="675">
        <v>0</v>
      </c>
      <c r="II132" s="675">
        <v>0</v>
      </c>
      <c r="IJ132" s="675">
        <v>0</v>
      </c>
      <c r="IK132" s="675">
        <v>0</v>
      </c>
      <c r="IL132" s="675">
        <v>0</v>
      </c>
      <c r="IM132" s="675">
        <v>0</v>
      </c>
      <c r="IN132" s="675">
        <v>0</v>
      </c>
      <c r="IO132" s="675">
        <v>0</v>
      </c>
      <c r="IP132" s="675">
        <v>0</v>
      </c>
      <c r="IQ132" s="675">
        <v>0</v>
      </c>
      <c r="IR132" s="675">
        <v>0</v>
      </c>
      <c r="IS132" s="675">
        <v>0</v>
      </c>
      <c r="IT132" s="675">
        <v>0</v>
      </c>
      <c r="IU132" s="675">
        <v>0</v>
      </c>
      <c r="IV132" s="675">
        <v>0</v>
      </c>
      <c r="IW132" s="675">
        <v>0</v>
      </c>
      <c r="IX132" s="675">
        <v>0</v>
      </c>
      <c r="IY132" s="675">
        <v>0</v>
      </c>
      <c r="IZ132" s="675">
        <v>0</v>
      </c>
      <c r="JA132" s="675">
        <v>0</v>
      </c>
      <c r="JB132" s="675">
        <v>0</v>
      </c>
      <c r="JC132" s="675">
        <v>0</v>
      </c>
      <c r="JD132" s="675">
        <v>0</v>
      </c>
      <c r="JE132" s="675">
        <v>0</v>
      </c>
      <c r="JF132" s="675">
        <v>0</v>
      </c>
      <c r="JG132" s="675">
        <v>0</v>
      </c>
      <c r="JH132" s="675">
        <v>0</v>
      </c>
      <c r="JI132" s="675">
        <v>0</v>
      </c>
      <c r="JJ132" s="675">
        <v>0</v>
      </c>
      <c r="JK132" s="675">
        <v>0</v>
      </c>
      <c r="JL132" s="675">
        <v>0</v>
      </c>
      <c r="JM132" s="675">
        <v>0</v>
      </c>
      <c r="JN132" s="675">
        <v>32469</v>
      </c>
      <c r="JO132" s="675">
        <v>0</v>
      </c>
      <c r="JP132" s="675">
        <v>0</v>
      </c>
      <c r="JQ132" s="675">
        <v>0</v>
      </c>
      <c r="JR132" s="675">
        <v>0</v>
      </c>
      <c r="JS132" s="675">
        <v>0</v>
      </c>
      <c r="JT132" s="675">
        <v>0</v>
      </c>
      <c r="JU132" s="675">
        <v>0</v>
      </c>
      <c r="JV132" s="675">
        <v>0</v>
      </c>
      <c r="JW132" s="675">
        <v>0</v>
      </c>
      <c r="JX132" s="675">
        <v>0</v>
      </c>
      <c r="JY132" s="675">
        <v>0</v>
      </c>
      <c r="JZ132" s="675">
        <v>0</v>
      </c>
      <c r="KA132" s="675">
        <v>0</v>
      </c>
      <c r="KB132" s="675">
        <v>0</v>
      </c>
      <c r="KC132" s="675">
        <v>0</v>
      </c>
      <c r="KD132" s="675">
        <v>0</v>
      </c>
      <c r="KE132" s="675">
        <v>0</v>
      </c>
      <c r="KF132" s="675">
        <v>0</v>
      </c>
    </row>
    <row r="133" spans="1:292" x14ac:dyDescent="0.25">
      <c r="A133" s="675">
        <v>108809</v>
      </c>
      <c r="B133" s="675">
        <v>32570</v>
      </c>
      <c r="C133" s="675">
        <v>35</v>
      </c>
      <c r="D133" s="675">
        <v>2022</v>
      </c>
      <c r="E133" s="675">
        <v>5392</v>
      </c>
      <c r="F133" s="675">
        <v>0</v>
      </c>
      <c r="G133" s="675">
        <v>270.94600000000003</v>
      </c>
      <c r="H133" s="675">
        <v>259.608</v>
      </c>
      <c r="I133" s="675">
        <v>259.608</v>
      </c>
      <c r="J133" s="675">
        <v>270.94600000000003</v>
      </c>
      <c r="K133" s="675">
        <v>0</v>
      </c>
      <c r="L133" s="675">
        <v>6554</v>
      </c>
      <c r="M133" s="675">
        <v>0</v>
      </c>
      <c r="N133" s="675">
        <v>0</v>
      </c>
      <c r="O133" s="675">
        <v>0</v>
      </c>
      <c r="P133" s="675">
        <v>219.833</v>
      </c>
      <c r="Q133" s="675">
        <v>0</v>
      </c>
      <c r="R133" s="675">
        <v>70283</v>
      </c>
      <c r="S133" s="675">
        <v>319.71300000000002</v>
      </c>
      <c r="T133" s="675">
        <v>0</v>
      </c>
      <c r="U133" s="675">
        <v>70283</v>
      </c>
      <c r="V133" s="675">
        <v>166.87</v>
      </c>
      <c r="W133" s="675">
        <v>109367</v>
      </c>
      <c r="X133" s="675">
        <v>109367</v>
      </c>
      <c r="Y133" s="675">
        <v>0</v>
      </c>
      <c r="Z133" s="675">
        <v>0</v>
      </c>
      <c r="AA133" s="675">
        <v>1</v>
      </c>
      <c r="AB133" s="675">
        <v>1</v>
      </c>
      <c r="AC133" s="675">
        <v>0</v>
      </c>
      <c r="AD133" s="675" t="s">
        <v>316</v>
      </c>
      <c r="AE133" s="675">
        <v>0</v>
      </c>
      <c r="AF133" s="675">
        <v>0</v>
      </c>
      <c r="AG133" s="675">
        <v>0</v>
      </c>
      <c r="AH133" s="675">
        <v>0</v>
      </c>
      <c r="AI133" s="675">
        <v>0</v>
      </c>
      <c r="AJ133" s="675">
        <v>5104</v>
      </c>
      <c r="AK133" s="675" t="s">
        <v>671</v>
      </c>
      <c r="AL133" s="675" t="s">
        <v>118</v>
      </c>
      <c r="AM133" s="675">
        <v>0</v>
      </c>
      <c r="AN133" s="675">
        <v>0</v>
      </c>
      <c r="AO133" s="675">
        <v>0</v>
      </c>
      <c r="AP133" s="675">
        <v>0</v>
      </c>
      <c r="AQ133" s="675">
        <v>0</v>
      </c>
      <c r="AR133" s="675">
        <v>0</v>
      </c>
      <c r="AS133" s="675">
        <v>0</v>
      </c>
      <c r="AT133" s="675">
        <v>0</v>
      </c>
      <c r="AU133" s="675">
        <v>0</v>
      </c>
      <c r="AV133" s="675">
        <v>120398</v>
      </c>
      <c r="AW133" s="675">
        <v>2808027</v>
      </c>
      <c r="AX133" s="675">
        <v>2754630</v>
      </c>
      <c r="AY133" s="675">
        <v>3114801</v>
      </c>
      <c r="AZ133" s="675">
        <v>70283</v>
      </c>
      <c r="BA133" s="675">
        <v>0</v>
      </c>
      <c r="BB133" s="675">
        <v>5515</v>
      </c>
      <c r="BC133" s="675">
        <v>5515</v>
      </c>
      <c r="BD133" s="675">
        <v>7.0120000000000005</v>
      </c>
      <c r="BE133" s="675">
        <v>0</v>
      </c>
      <c r="BF133" s="675">
        <v>2326936</v>
      </c>
      <c r="BG133" s="675">
        <v>0</v>
      </c>
      <c r="BH133" s="675">
        <v>0</v>
      </c>
      <c r="BI133" s="675">
        <v>0</v>
      </c>
      <c r="BJ133" s="675">
        <v>12</v>
      </c>
      <c r="BK133" s="675">
        <v>0</v>
      </c>
      <c r="BL133" s="675">
        <v>0</v>
      </c>
      <c r="BM133" s="675">
        <v>0</v>
      </c>
      <c r="BN133" s="675">
        <v>0</v>
      </c>
      <c r="BO133" s="675">
        <v>0</v>
      </c>
      <c r="BP133" s="675">
        <v>0</v>
      </c>
      <c r="BQ133" s="675">
        <v>5392</v>
      </c>
      <c r="BR133" s="675">
        <v>1</v>
      </c>
      <c r="BS133" s="675">
        <v>0</v>
      </c>
      <c r="BT133" s="675">
        <v>0</v>
      </c>
      <c r="BU133" s="675">
        <v>0</v>
      </c>
      <c r="BV133" s="675">
        <v>0</v>
      </c>
      <c r="BW133" s="675">
        <v>0</v>
      </c>
      <c r="BX133" s="675">
        <v>0</v>
      </c>
      <c r="BY133" s="675">
        <v>0</v>
      </c>
      <c r="BZ133" s="675">
        <v>0</v>
      </c>
      <c r="CA133" s="675">
        <v>0</v>
      </c>
      <c r="CB133" s="675">
        <v>0</v>
      </c>
      <c r="CC133" s="675">
        <v>0</v>
      </c>
      <c r="CD133" s="675">
        <v>0</v>
      </c>
      <c r="CE133" s="675">
        <v>0</v>
      </c>
      <c r="CF133" s="675">
        <v>0</v>
      </c>
      <c r="CG133" s="675">
        <v>0</v>
      </c>
      <c r="CH133" s="675">
        <v>53397</v>
      </c>
      <c r="CI133" s="675">
        <v>0</v>
      </c>
      <c r="CJ133" s="675">
        <v>4</v>
      </c>
      <c r="CK133" s="675">
        <v>0</v>
      </c>
      <c r="CL133" s="675">
        <v>0</v>
      </c>
      <c r="CM133" s="675">
        <v>0</v>
      </c>
      <c r="CN133" s="675">
        <v>0</v>
      </c>
      <c r="CO133" s="675">
        <v>0</v>
      </c>
      <c r="CP133" s="675">
        <v>0</v>
      </c>
      <c r="CQ133" s="675">
        <v>0</v>
      </c>
      <c r="CR133" s="675">
        <v>219.833</v>
      </c>
      <c r="CS133" s="675">
        <v>0</v>
      </c>
      <c r="CT133" s="675">
        <v>0</v>
      </c>
      <c r="CU133" s="675">
        <v>0</v>
      </c>
      <c r="CV133" s="675">
        <v>0</v>
      </c>
      <c r="CW133" s="675">
        <v>0</v>
      </c>
      <c r="CX133" s="675">
        <v>0</v>
      </c>
      <c r="CY133" s="675">
        <v>0</v>
      </c>
      <c r="CZ133" s="675">
        <v>0</v>
      </c>
      <c r="DA133" s="675">
        <v>1</v>
      </c>
      <c r="DB133" s="675">
        <v>1701471</v>
      </c>
      <c r="DC133" s="675">
        <v>0</v>
      </c>
      <c r="DD133" s="675">
        <v>0</v>
      </c>
      <c r="DE133" s="675">
        <v>342342</v>
      </c>
      <c r="DF133" s="675">
        <v>342342</v>
      </c>
      <c r="DG133" s="675">
        <v>261.17</v>
      </c>
      <c r="DH133" s="675">
        <v>0</v>
      </c>
      <c r="DI133" s="675">
        <v>0</v>
      </c>
      <c r="DJ133" s="675">
        <v>0</v>
      </c>
      <c r="DK133" s="675">
        <v>5392</v>
      </c>
      <c r="DL133" s="675">
        <v>0</v>
      </c>
      <c r="DM133" s="675">
        <v>232130</v>
      </c>
      <c r="DN133" s="675">
        <v>0</v>
      </c>
      <c r="DO133" s="675">
        <v>0</v>
      </c>
      <c r="DP133" s="675">
        <v>0</v>
      </c>
      <c r="DQ133" s="675">
        <v>0</v>
      </c>
      <c r="DR133" s="675">
        <v>0</v>
      </c>
      <c r="DS133" s="675">
        <v>0</v>
      </c>
      <c r="DT133" s="675">
        <v>0</v>
      </c>
      <c r="DU133" s="675">
        <v>0</v>
      </c>
      <c r="DV133" s="675">
        <v>0</v>
      </c>
      <c r="DW133" s="675">
        <v>0</v>
      </c>
      <c r="DX133" s="675">
        <v>0</v>
      </c>
      <c r="DY133" s="675">
        <v>0</v>
      </c>
      <c r="DZ133" s="675">
        <v>0</v>
      </c>
      <c r="EA133" s="675">
        <v>0</v>
      </c>
      <c r="EB133" s="675">
        <v>0</v>
      </c>
      <c r="EC133" s="675">
        <v>0</v>
      </c>
      <c r="ED133" s="675">
        <v>0</v>
      </c>
      <c r="EE133" s="675">
        <v>0</v>
      </c>
      <c r="EF133" s="675">
        <v>0</v>
      </c>
      <c r="EG133" s="675">
        <v>0</v>
      </c>
      <c r="EH133" s="675">
        <v>232130</v>
      </c>
      <c r="EI133" s="675">
        <v>0</v>
      </c>
      <c r="EJ133" s="675">
        <v>0</v>
      </c>
      <c r="EK133" s="675">
        <v>10.636000000000001</v>
      </c>
      <c r="EL133" s="675">
        <v>0</v>
      </c>
      <c r="EM133" s="675">
        <v>0</v>
      </c>
      <c r="EN133" s="675">
        <v>0.70200000000000007</v>
      </c>
      <c r="EO133" s="675">
        <v>0</v>
      </c>
      <c r="EP133" s="675">
        <v>0</v>
      </c>
      <c r="EQ133" s="675">
        <v>11.338000000000001</v>
      </c>
      <c r="ER133" s="675">
        <v>0</v>
      </c>
      <c r="ES133" s="675">
        <v>35.417999999999999</v>
      </c>
      <c r="ET133" s="675">
        <v>0</v>
      </c>
      <c r="EU133" s="675">
        <v>70283</v>
      </c>
      <c r="EV133" s="675">
        <v>0</v>
      </c>
      <c r="EW133" s="675">
        <v>0</v>
      </c>
      <c r="EX133" s="675">
        <v>0</v>
      </c>
      <c r="EY133" s="675">
        <v>0</v>
      </c>
      <c r="EZ133" s="675">
        <v>2320542</v>
      </c>
      <c r="FA133" s="675">
        <v>0</v>
      </c>
      <c r="FB133" s="675">
        <v>2390825</v>
      </c>
      <c r="FC133" s="675">
        <v>0.97327799999999998</v>
      </c>
      <c r="FD133" s="675">
        <v>0</v>
      </c>
      <c r="FE133" s="675">
        <v>354257</v>
      </c>
      <c r="FF133" s="675">
        <v>79831</v>
      </c>
      <c r="FG133" s="675">
        <v>6.1239999999999996E-2</v>
      </c>
      <c r="FH133" s="675">
        <v>5.4803999999999999E-2</v>
      </c>
      <c r="FI133" s="675">
        <v>0</v>
      </c>
      <c r="FJ133" s="675">
        <v>0</v>
      </c>
      <c r="FK133" s="675">
        <v>455.92</v>
      </c>
      <c r="FL133" s="675">
        <v>2878310</v>
      </c>
      <c r="FM133" s="675">
        <v>0</v>
      </c>
      <c r="FN133" s="675">
        <v>0</v>
      </c>
      <c r="FO133" s="675">
        <v>0</v>
      </c>
      <c r="FP133" s="675">
        <v>0</v>
      </c>
      <c r="FQ133" s="675">
        <v>0</v>
      </c>
      <c r="FR133" s="675">
        <v>0</v>
      </c>
      <c r="FS133" s="675">
        <v>0</v>
      </c>
      <c r="FT133" s="675">
        <v>0</v>
      </c>
      <c r="FU133" s="675">
        <v>0</v>
      </c>
      <c r="FV133" s="675">
        <v>0</v>
      </c>
      <c r="FW133" s="675">
        <v>0</v>
      </c>
      <c r="FX133" s="675">
        <v>0</v>
      </c>
      <c r="FY133" s="675">
        <v>0</v>
      </c>
      <c r="FZ133" s="675">
        <v>0</v>
      </c>
      <c r="GA133" s="675">
        <v>0</v>
      </c>
      <c r="GB133" s="675">
        <v>0</v>
      </c>
      <c r="GC133" s="675">
        <v>0</v>
      </c>
      <c r="GD133" s="675">
        <v>0</v>
      </c>
      <c r="GE133" s="675">
        <v>0</v>
      </c>
      <c r="GF133" s="675">
        <v>0</v>
      </c>
      <c r="GG133" s="675">
        <v>0</v>
      </c>
      <c r="GH133" s="675">
        <v>0</v>
      </c>
      <c r="GI133" s="675">
        <v>0</v>
      </c>
      <c r="GJ133" s="675">
        <v>0</v>
      </c>
      <c r="GK133" s="675">
        <v>4971</v>
      </c>
      <c r="GL133" s="675">
        <v>0</v>
      </c>
      <c r="GM133" s="675">
        <v>0</v>
      </c>
      <c r="GN133" s="675">
        <v>0</v>
      </c>
      <c r="GO133" s="675">
        <v>0</v>
      </c>
      <c r="GP133" s="675">
        <v>2824913</v>
      </c>
      <c r="GQ133" s="675">
        <v>2824913</v>
      </c>
      <c r="GR133" s="675">
        <v>0</v>
      </c>
      <c r="GS133" s="675">
        <v>0</v>
      </c>
      <c r="GT133" s="675">
        <v>0</v>
      </c>
      <c r="GU133" s="675">
        <v>0</v>
      </c>
      <c r="GV133" s="675">
        <v>0</v>
      </c>
      <c r="GW133" s="675">
        <v>0</v>
      </c>
      <c r="GX133" s="675">
        <v>0</v>
      </c>
      <c r="GY133" s="675">
        <v>0</v>
      </c>
      <c r="GZ133" s="675">
        <v>0</v>
      </c>
      <c r="HA133" s="675">
        <v>0</v>
      </c>
      <c r="HB133" s="675">
        <v>260786259</v>
      </c>
      <c r="HC133" s="675">
        <v>5.0923999999999997E-2</v>
      </c>
      <c r="HD133" s="675">
        <v>53397</v>
      </c>
      <c r="HE133" s="675">
        <v>0</v>
      </c>
      <c r="HF133" s="675">
        <v>0</v>
      </c>
      <c r="HG133" s="675">
        <v>0</v>
      </c>
      <c r="HH133" s="675">
        <v>0</v>
      </c>
      <c r="HI133" s="675">
        <v>0</v>
      </c>
      <c r="HJ133" s="675">
        <v>0</v>
      </c>
      <c r="HK133" s="675">
        <v>0</v>
      </c>
      <c r="HL133" s="675">
        <v>0</v>
      </c>
      <c r="HM133" s="675">
        <v>0</v>
      </c>
      <c r="HN133" s="675">
        <v>0</v>
      </c>
      <c r="HO133" s="675">
        <v>0</v>
      </c>
      <c r="HP133" s="675">
        <v>0</v>
      </c>
      <c r="HQ133" s="675">
        <v>0</v>
      </c>
      <c r="HR133" s="675">
        <v>0</v>
      </c>
      <c r="HS133" s="675">
        <v>0</v>
      </c>
      <c r="HT133" s="675">
        <v>0</v>
      </c>
      <c r="HU133" s="675">
        <v>0</v>
      </c>
      <c r="HV133" s="675">
        <v>0</v>
      </c>
      <c r="HW133" s="675">
        <v>0</v>
      </c>
      <c r="HX133" s="675">
        <v>0</v>
      </c>
      <c r="HY133" s="675">
        <v>0</v>
      </c>
      <c r="HZ133" s="675">
        <v>0</v>
      </c>
      <c r="IA133" s="675">
        <v>0</v>
      </c>
      <c r="IB133" s="675">
        <v>0</v>
      </c>
      <c r="IC133" s="675">
        <v>0</v>
      </c>
      <c r="ID133" s="675">
        <v>0</v>
      </c>
      <c r="IE133" s="675">
        <v>76.132000000000005</v>
      </c>
      <c r="IF133" s="675">
        <v>0</v>
      </c>
      <c r="IG133" s="675">
        <v>0</v>
      </c>
      <c r="IH133" s="675">
        <v>0</v>
      </c>
      <c r="II133" s="675">
        <v>0</v>
      </c>
      <c r="IJ133" s="675">
        <v>0</v>
      </c>
      <c r="IK133" s="675">
        <v>0</v>
      </c>
      <c r="IL133" s="675">
        <v>0</v>
      </c>
      <c r="IM133" s="675">
        <v>0</v>
      </c>
      <c r="IN133" s="675">
        <v>0</v>
      </c>
      <c r="IO133" s="675">
        <v>0</v>
      </c>
      <c r="IP133" s="675">
        <v>0</v>
      </c>
      <c r="IQ133" s="675">
        <v>0</v>
      </c>
      <c r="IR133" s="675">
        <v>0</v>
      </c>
      <c r="IS133" s="675">
        <v>0</v>
      </c>
      <c r="IT133" s="675">
        <v>0</v>
      </c>
      <c r="IU133" s="675">
        <v>0</v>
      </c>
      <c r="IV133" s="675">
        <v>0</v>
      </c>
      <c r="IW133" s="675">
        <v>0</v>
      </c>
      <c r="IX133" s="675">
        <v>0</v>
      </c>
      <c r="IY133" s="675">
        <v>0</v>
      </c>
      <c r="IZ133" s="675">
        <v>0</v>
      </c>
      <c r="JA133" s="675">
        <v>0</v>
      </c>
      <c r="JB133" s="675">
        <v>0</v>
      </c>
      <c r="JC133" s="675">
        <v>0</v>
      </c>
      <c r="JD133" s="675">
        <v>0</v>
      </c>
      <c r="JE133" s="675">
        <v>0</v>
      </c>
      <c r="JF133" s="675">
        <v>0</v>
      </c>
      <c r="JG133" s="675">
        <v>0</v>
      </c>
      <c r="JH133" s="675">
        <v>0</v>
      </c>
      <c r="JI133" s="675">
        <v>0</v>
      </c>
      <c r="JJ133" s="675">
        <v>0</v>
      </c>
      <c r="JK133" s="675">
        <v>0</v>
      </c>
      <c r="JL133" s="675">
        <v>0</v>
      </c>
      <c r="JM133" s="675">
        <v>0</v>
      </c>
      <c r="JN133" s="675">
        <v>32469</v>
      </c>
      <c r="JO133" s="675">
        <v>0</v>
      </c>
      <c r="JP133" s="675">
        <v>0</v>
      </c>
      <c r="JQ133" s="675">
        <v>0</v>
      </c>
      <c r="JR133" s="675">
        <v>0</v>
      </c>
      <c r="JS133" s="675">
        <v>0</v>
      </c>
      <c r="JT133" s="675">
        <v>0</v>
      </c>
      <c r="JU133" s="675">
        <v>0</v>
      </c>
      <c r="JV133" s="675">
        <v>0</v>
      </c>
      <c r="JW133" s="675">
        <v>0</v>
      </c>
      <c r="JX133" s="675">
        <v>0</v>
      </c>
      <c r="JY133" s="675">
        <v>0</v>
      </c>
      <c r="JZ133" s="675">
        <v>0</v>
      </c>
      <c r="KA133" s="675">
        <v>0</v>
      </c>
      <c r="KB133" s="675">
        <v>0</v>
      </c>
      <c r="KC133" s="675">
        <v>0</v>
      </c>
      <c r="KD133" s="675">
        <v>0</v>
      </c>
      <c r="KE133" s="675">
        <v>0</v>
      </c>
      <c r="KF133" s="675">
        <v>0</v>
      </c>
    </row>
    <row r="134" spans="1:292" ht="14.5" x14ac:dyDescent="0.35">
      <c r="A134" s="675">
        <v>108810</v>
      </c>
      <c r="B134" s="675">
        <v>32570</v>
      </c>
      <c r="C134" s="675">
        <v>0</v>
      </c>
      <c r="D134" s="675">
        <v>0</v>
      </c>
      <c r="E134" s="675">
        <v>5392</v>
      </c>
      <c r="F134" s="675">
        <v>0</v>
      </c>
      <c r="G134" s="675">
        <v>0</v>
      </c>
      <c r="H134" s="675">
        <v>0</v>
      </c>
      <c r="I134" s="675">
        <v>0</v>
      </c>
      <c r="J134" s="675">
        <v>0</v>
      </c>
      <c r="K134" s="675">
        <v>0</v>
      </c>
      <c r="L134" s="675">
        <v>6554</v>
      </c>
      <c r="M134" s="675">
        <v>0</v>
      </c>
      <c r="N134" s="675">
        <v>0</v>
      </c>
      <c r="O134" s="675">
        <v>0</v>
      </c>
      <c r="P134" s="675">
        <v>0</v>
      </c>
      <c r="Q134" s="675">
        <v>0</v>
      </c>
      <c r="R134" s="675">
        <v>0</v>
      </c>
      <c r="S134" s="675">
        <v>319.71300000000002</v>
      </c>
      <c r="T134" s="675">
        <v>0</v>
      </c>
      <c r="U134" s="675">
        <v>0</v>
      </c>
      <c r="V134" s="675">
        <v>0</v>
      </c>
      <c r="W134" s="675">
        <v>0</v>
      </c>
      <c r="X134" s="675">
        <v>0</v>
      </c>
      <c r="Y134" s="675">
        <v>0</v>
      </c>
      <c r="Z134" s="675">
        <v>0</v>
      </c>
      <c r="AA134" s="675">
        <v>0</v>
      </c>
      <c r="AB134" s="675">
        <v>0</v>
      </c>
      <c r="AC134" s="675">
        <v>0</v>
      </c>
      <c r="AD134" s="675">
        <v>0</v>
      </c>
      <c r="AE134" s="675">
        <v>0</v>
      </c>
      <c r="AF134" s="675">
        <v>0</v>
      </c>
      <c r="AG134" s="675">
        <v>0</v>
      </c>
      <c r="AH134" s="675">
        <v>0</v>
      </c>
      <c r="AI134" s="675">
        <v>0</v>
      </c>
      <c r="AJ134" s="675">
        <v>0</v>
      </c>
      <c r="AK134" s="675">
        <v>0</v>
      </c>
      <c r="AL134" s="817" t="s">
        <v>803</v>
      </c>
      <c r="AM134" s="675">
        <v>0</v>
      </c>
      <c r="AN134" s="675">
        <v>0</v>
      </c>
      <c r="AO134" s="675">
        <v>0</v>
      </c>
      <c r="AP134" s="675">
        <v>0</v>
      </c>
      <c r="AQ134" s="675">
        <v>0</v>
      </c>
      <c r="AR134" s="675">
        <v>0</v>
      </c>
      <c r="AS134" s="675">
        <v>0</v>
      </c>
      <c r="AT134" s="675">
        <v>0</v>
      </c>
      <c r="AU134" s="675">
        <v>0</v>
      </c>
      <c r="AV134" s="675">
        <v>0</v>
      </c>
      <c r="AW134" s="675">
        <v>0</v>
      </c>
      <c r="AX134" s="675">
        <v>0</v>
      </c>
      <c r="AY134" s="675">
        <v>0</v>
      </c>
      <c r="AZ134" s="675">
        <v>0</v>
      </c>
      <c r="BA134" s="675">
        <v>0</v>
      </c>
      <c r="BB134" s="675">
        <v>0</v>
      </c>
      <c r="BC134" s="675">
        <v>0</v>
      </c>
      <c r="BD134" s="675">
        <v>0</v>
      </c>
      <c r="BE134" s="675">
        <v>0</v>
      </c>
      <c r="BF134" s="675">
        <v>0</v>
      </c>
      <c r="BG134" s="675">
        <v>0</v>
      </c>
      <c r="BH134" s="675">
        <v>0</v>
      </c>
      <c r="BI134" s="675">
        <v>0</v>
      </c>
      <c r="BJ134" s="675">
        <v>0</v>
      </c>
      <c r="BK134" s="675">
        <v>0</v>
      </c>
      <c r="BL134" s="675">
        <v>0</v>
      </c>
      <c r="BM134" s="675">
        <v>0</v>
      </c>
      <c r="BN134" s="675">
        <v>0</v>
      </c>
      <c r="BO134" s="675">
        <v>0</v>
      </c>
      <c r="BP134" s="675">
        <v>0</v>
      </c>
      <c r="BQ134" s="675">
        <v>5392</v>
      </c>
      <c r="BR134" s="675">
        <v>0</v>
      </c>
      <c r="BS134" s="675">
        <v>0</v>
      </c>
      <c r="BT134" s="675">
        <v>0</v>
      </c>
      <c r="BU134" s="675">
        <v>0</v>
      </c>
      <c r="BV134" s="675">
        <v>0</v>
      </c>
      <c r="BW134" s="675">
        <v>0</v>
      </c>
      <c r="BX134" s="675">
        <v>0</v>
      </c>
      <c r="BY134" s="675">
        <v>0</v>
      </c>
      <c r="BZ134" s="675">
        <v>0</v>
      </c>
      <c r="CA134" s="675">
        <v>0</v>
      </c>
      <c r="CB134" s="675">
        <v>0</v>
      </c>
      <c r="CC134" s="675">
        <v>0</v>
      </c>
      <c r="CD134" s="675">
        <v>0</v>
      </c>
      <c r="CE134" s="675">
        <v>0</v>
      </c>
      <c r="CF134" s="675">
        <v>0</v>
      </c>
      <c r="CG134" s="675">
        <v>0</v>
      </c>
      <c r="CH134" s="675">
        <v>0</v>
      </c>
      <c r="CI134" s="675">
        <v>0</v>
      </c>
      <c r="CJ134" s="675">
        <v>0</v>
      </c>
      <c r="CK134" s="675">
        <v>0</v>
      </c>
      <c r="CL134" s="675">
        <v>0</v>
      </c>
      <c r="CM134" s="675">
        <v>0</v>
      </c>
      <c r="CN134" s="675">
        <v>0</v>
      </c>
      <c r="CO134" s="675">
        <v>0</v>
      </c>
      <c r="CP134" s="675">
        <v>0</v>
      </c>
      <c r="CQ134" s="675">
        <v>0</v>
      </c>
      <c r="CR134" s="675">
        <v>0</v>
      </c>
      <c r="CS134" s="675">
        <v>0</v>
      </c>
      <c r="CT134" s="675">
        <v>0</v>
      </c>
      <c r="CU134" s="675">
        <v>0</v>
      </c>
      <c r="CV134" s="675">
        <v>0</v>
      </c>
      <c r="CW134" s="675">
        <v>0</v>
      </c>
      <c r="CX134" s="675">
        <v>0</v>
      </c>
      <c r="CY134" s="675">
        <v>0</v>
      </c>
      <c r="CZ134" s="675">
        <v>0</v>
      </c>
      <c r="DA134" s="675">
        <v>0</v>
      </c>
      <c r="DB134" s="675">
        <v>0</v>
      </c>
      <c r="DC134" s="675">
        <v>0</v>
      </c>
      <c r="DD134" s="675">
        <v>0</v>
      </c>
      <c r="DE134" s="675">
        <v>0</v>
      </c>
      <c r="DF134" s="675">
        <v>0</v>
      </c>
      <c r="DG134" s="675">
        <v>0</v>
      </c>
      <c r="DH134" s="675">
        <v>0</v>
      </c>
      <c r="DI134" s="675">
        <v>0</v>
      </c>
      <c r="DJ134" s="675">
        <v>0</v>
      </c>
      <c r="DK134" s="675">
        <v>5392</v>
      </c>
      <c r="DL134" s="675">
        <v>0</v>
      </c>
      <c r="DM134" s="675">
        <v>0</v>
      </c>
      <c r="DN134" s="675">
        <v>0</v>
      </c>
      <c r="DO134" s="675">
        <v>0</v>
      </c>
      <c r="DP134" s="675">
        <v>0</v>
      </c>
      <c r="DQ134" s="675">
        <v>0</v>
      </c>
      <c r="DR134" s="675">
        <v>0</v>
      </c>
      <c r="DS134" s="675">
        <v>0</v>
      </c>
      <c r="DT134" s="675">
        <v>0</v>
      </c>
      <c r="DU134" s="675">
        <v>0</v>
      </c>
      <c r="DV134" s="675">
        <v>0</v>
      </c>
      <c r="DW134" s="675">
        <v>0</v>
      </c>
      <c r="DX134" s="675">
        <v>0</v>
      </c>
      <c r="DY134" s="675">
        <v>0</v>
      </c>
      <c r="DZ134" s="675">
        <v>0</v>
      </c>
      <c r="EA134" s="675">
        <v>0</v>
      </c>
      <c r="EB134" s="675">
        <v>0</v>
      </c>
      <c r="EC134" s="675">
        <v>0</v>
      </c>
      <c r="ED134" s="675">
        <v>0</v>
      </c>
      <c r="EE134" s="675">
        <v>0</v>
      </c>
      <c r="EF134" s="675">
        <v>0</v>
      </c>
      <c r="EG134" s="675">
        <v>0</v>
      </c>
      <c r="EH134" s="675">
        <v>0</v>
      </c>
      <c r="EI134" s="675">
        <v>0</v>
      </c>
      <c r="EJ134" s="675">
        <v>0</v>
      </c>
      <c r="EK134" s="675">
        <v>0</v>
      </c>
      <c r="EL134" s="675">
        <v>0</v>
      </c>
      <c r="EM134" s="675">
        <v>0</v>
      </c>
      <c r="EN134" s="675">
        <v>0</v>
      </c>
      <c r="EO134" s="675">
        <v>0</v>
      </c>
      <c r="EP134" s="675">
        <v>0</v>
      </c>
      <c r="EQ134" s="675">
        <v>0</v>
      </c>
      <c r="ER134" s="675">
        <v>0</v>
      </c>
      <c r="ES134" s="675">
        <v>0</v>
      </c>
      <c r="ET134" s="675">
        <v>0</v>
      </c>
      <c r="EU134" s="675">
        <v>0</v>
      </c>
      <c r="EV134" s="675">
        <v>0</v>
      </c>
      <c r="EW134" s="675">
        <v>0</v>
      </c>
      <c r="EX134" s="675">
        <v>0</v>
      </c>
      <c r="EY134" s="675">
        <v>0</v>
      </c>
      <c r="EZ134" s="675">
        <v>0</v>
      </c>
      <c r="FA134" s="675">
        <v>0</v>
      </c>
      <c r="FB134" s="675">
        <v>0</v>
      </c>
      <c r="FC134" s="675">
        <v>0.97327799999999998</v>
      </c>
      <c r="FD134" s="675">
        <v>0</v>
      </c>
      <c r="FE134" s="675">
        <v>0</v>
      </c>
      <c r="FF134" s="675">
        <v>0</v>
      </c>
      <c r="FG134" s="675">
        <v>6.1239999999999996E-2</v>
      </c>
      <c r="FH134" s="675">
        <v>5.4803999999999999E-2</v>
      </c>
      <c r="FI134" s="675">
        <v>0</v>
      </c>
      <c r="FJ134" s="675">
        <v>0</v>
      </c>
      <c r="FK134" s="675">
        <v>0</v>
      </c>
      <c r="FL134" s="675">
        <v>0</v>
      </c>
      <c r="FM134" s="675">
        <v>0</v>
      </c>
      <c r="FN134" s="675">
        <v>0</v>
      </c>
      <c r="FO134" s="675">
        <v>0</v>
      </c>
      <c r="FP134" s="675">
        <v>0</v>
      </c>
      <c r="FQ134" s="675">
        <v>0</v>
      </c>
      <c r="FR134" s="675">
        <v>0</v>
      </c>
      <c r="FS134" s="675">
        <v>0</v>
      </c>
      <c r="FT134" s="675">
        <v>0</v>
      </c>
      <c r="FU134" s="675">
        <v>0</v>
      </c>
      <c r="FV134" s="675">
        <v>0</v>
      </c>
      <c r="FW134" s="675">
        <v>0</v>
      </c>
      <c r="FX134" s="675">
        <v>0</v>
      </c>
      <c r="FY134" s="675">
        <v>0</v>
      </c>
      <c r="FZ134" s="675">
        <v>0</v>
      </c>
      <c r="GA134" s="675">
        <v>0</v>
      </c>
      <c r="GB134" s="675">
        <v>0</v>
      </c>
      <c r="GC134" s="675">
        <v>0</v>
      </c>
      <c r="GD134" s="675">
        <v>0</v>
      </c>
      <c r="GE134" s="675">
        <v>0</v>
      </c>
      <c r="GF134" s="675">
        <v>0</v>
      </c>
      <c r="GG134" s="675">
        <v>0</v>
      </c>
      <c r="GH134" s="675">
        <v>0</v>
      </c>
      <c r="GI134" s="675">
        <v>0</v>
      </c>
      <c r="GJ134" s="675">
        <v>0</v>
      </c>
      <c r="GK134" s="675">
        <v>0</v>
      </c>
      <c r="GL134" s="675">
        <v>0</v>
      </c>
      <c r="GM134" s="675">
        <v>0</v>
      </c>
      <c r="GN134" s="675">
        <v>0</v>
      </c>
      <c r="GO134" s="675">
        <v>0</v>
      </c>
      <c r="GP134" s="675">
        <v>0</v>
      </c>
      <c r="GQ134" s="675">
        <v>0</v>
      </c>
      <c r="GR134" s="675">
        <v>0</v>
      </c>
      <c r="GS134" s="675">
        <v>0</v>
      </c>
      <c r="GT134" s="675">
        <v>0</v>
      </c>
      <c r="GU134" s="675">
        <v>0</v>
      </c>
      <c r="GV134" s="675">
        <v>0</v>
      </c>
      <c r="GW134" s="675">
        <v>0</v>
      </c>
      <c r="GX134" s="675">
        <v>0</v>
      </c>
      <c r="GY134" s="675">
        <v>0</v>
      </c>
      <c r="GZ134" s="675">
        <v>0</v>
      </c>
      <c r="HA134" s="675">
        <v>0</v>
      </c>
      <c r="HB134" s="675">
        <v>0</v>
      </c>
      <c r="HC134" s="675">
        <v>5.0923999999999997E-2</v>
      </c>
      <c r="HD134" s="675">
        <v>0</v>
      </c>
      <c r="HE134" s="675">
        <v>0</v>
      </c>
      <c r="HF134" s="675">
        <v>0</v>
      </c>
      <c r="HG134" s="675">
        <v>0</v>
      </c>
      <c r="HH134" s="675">
        <v>0</v>
      </c>
      <c r="HI134" s="675">
        <v>0</v>
      </c>
      <c r="HJ134" s="675">
        <v>0</v>
      </c>
      <c r="HK134" s="675">
        <v>0</v>
      </c>
      <c r="HL134" s="675">
        <v>0</v>
      </c>
      <c r="HM134" s="675">
        <v>0</v>
      </c>
      <c r="HN134" s="675">
        <v>0</v>
      </c>
      <c r="HO134" s="675">
        <v>0</v>
      </c>
      <c r="HP134" s="675">
        <v>0</v>
      </c>
      <c r="HQ134" s="675">
        <v>0</v>
      </c>
      <c r="HR134" s="675">
        <v>0</v>
      </c>
      <c r="HS134" s="675">
        <v>0</v>
      </c>
      <c r="HT134" s="675">
        <v>0</v>
      </c>
      <c r="HU134" s="675">
        <v>0</v>
      </c>
      <c r="HV134" s="675">
        <v>0</v>
      </c>
      <c r="HW134" s="675">
        <v>0</v>
      </c>
      <c r="HX134" s="675">
        <v>0</v>
      </c>
      <c r="HY134" s="675">
        <v>0</v>
      </c>
      <c r="HZ134" s="675">
        <v>0</v>
      </c>
      <c r="IA134" s="675">
        <v>0</v>
      </c>
      <c r="IB134" s="675">
        <v>0</v>
      </c>
      <c r="IC134" s="675">
        <v>0</v>
      </c>
      <c r="ID134" s="675">
        <v>0</v>
      </c>
      <c r="IE134" s="675">
        <v>0</v>
      </c>
      <c r="IF134" s="675">
        <v>0</v>
      </c>
      <c r="IG134" s="675">
        <v>0</v>
      </c>
      <c r="IH134" s="675">
        <v>0</v>
      </c>
      <c r="II134" s="675">
        <v>0</v>
      </c>
      <c r="IJ134" s="675">
        <v>0</v>
      </c>
      <c r="IK134" s="675">
        <v>0</v>
      </c>
      <c r="IL134" s="675">
        <v>0</v>
      </c>
      <c r="IM134" s="675">
        <v>0</v>
      </c>
      <c r="IN134" s="675">
        <v>0</v>
      </c>
      <c r="IO134" s="675">
        <v>0</v>
      </c>
      <c r="IP134" s="675">
        <v>0</v>
      </c>
      <c r="IQ134" s="675">
        <v>0</v>
      </c>
      <c r="IR134" s="675">
        <v>0</v>
      </c>
      <c r="IS134" s="675">
        <v>0</v>
      </c>
      <c r="IT134" s="675">
        <v>0</v>
      </c>
      <c r="IU134" s="675">
        <v>0</v>
      </c>
      <c r="IV134" s="675">
        <v>0</v>
      </c>
      <c r="IW134" s="675">
        <v>0</v>
      </c>
      <c r="IX134" s="675">
        <v>0</v>
      </c>
      <c r="IY134" s="675">
        <v>0</v>
      </c>
      <c r="IZ134" s="675">
        <v>0</v>
      </c>
      <c r="JA134" s="675">
        <v>0</v>
      </c>
      <c r="JB134" s="675">
        <v>0</v>
      </c>
      <c r="JC134" s="675">
        <v>0</v>
      </c>
      <c r="JD134" s="675">
        <v>0</v>
      </c>
      <c r="JE134" s="675">
        <v>0</v>
      </c>
      <c r="JF134" s="675">
        <v>0</v>
      </c>
      <c r="JG134" s="675">
        <v>0</v>
      </c>
      <c r="JH134" s="675">
        <v>0</v>
      </c>
      <c r="JI134" s="675">
        <v>0</v>
      </c>
      <c r="JJ134" s="675">
        <v>0</v>
      </c>
      <c r="JK134" s="675">
        <v>0</v>
      </c>
      <c r="JL134" s="675">
        <v>0</v>
      </c>
      <c r="JM134" s="675">
        <v>0</v>
      </c>
      <c r="JN134" s="675">
        <v>0</v>
      </c>
    </row>
    <row r="135" spans="1:292" ht="13" x14ac:dyDescent="0.3">
      <c r="A135" s="675">
        <v>111801</v>
      </c>
      <c r="B135" s="675">
        <v>32570</v>
      </c>
      <c r="C135" s="675">
        <v>35</v>
      </c>
      <c r="D135" s="675">
        <v>2022</v>
      </c>
      <c r="E135" s="675">
        <v>5392</v>
      </c>
      <c r="F135" s="675">
        <v>0</v>
      </c>
      <c r="G135" s="675">
        <v>81.09</v>
      </c>
      <c r="H135" s="675">
        <v>68.963000000000008</v>
      </c>
      <c r="I135" s="675">
        <v>68.963000000000008</v>
      </c>
      <c r="J135" s="675">
        <v>81.09</v>
      </c>
      <c r="K135" s="675">
        <v>0</v>
      </c>
      <c r="L135" s="675">
        <v>6554</v>
      </c>
      <c r="M135" s="675">
        <v>0</v>
      </c>
      <c r="N135" s="675">
        <v>0</v>
      </c>
      <c r="O135" s="675">
        <v>0</v>
      </c>
      <c r="P135" s="675">
        <v>82.26400000000001</v>
      </c>
      <c r="Q135" s="675">
        <v>0</v>
      </c>
      <c r="R135" s="676">
        <v>26301</v>
      </c>
      <c r="S135" s="675">
        <v>319.71300000000002</v>
      </c>
      <c r="T135" s="675">
        <v>0</v>
      </c>
      <c r="U135" s="676">
        <v>26301</v>
      </c>
      <c r="V135" s="676">
        <v>0</v>
      </c>
      <c r="W135" s="676">
        <v>0</v>
      </c>
      <c r="X135" s="676">
        <v>0</v>
      </c>
      <c r="Y135" s="675">
        <v>0</v>
      </c>
      <c r="Z135" s="675">
        <v>0</v>
      </c>
      <c r="AA135" s="675">
        <v>1</v>
      </c>
      <c r="AB135" s="675">
        <v>1</v>
      </c>
      <c r="AC135" s="675">
        <v>0</v>
      </c>
      <c r="AD135" s="675" t="s">
        <v>316</v>
      </c>
      <c r="AE135" s="675">
        <v>0</v>
      </c>
      <c r="AF135" s="675">
        <v>0</v>
      </c>
      <c r="AG135" s="675">
        <v>0</v>
      </c>
      <c r="AH135" s="675">
        <v>0</v>
      </c>
      <c r="AI135" s="675">
        <v>0</v>
      </c>
      <c r="AJ135" s="675">
        <v>5104</v>
      </c>
      <c r="AK135" s="675" t="s">
        <v>671</v>
      </c>
      <c r="AL135" s="675" t="s">
        <v>468</v>
      </c>
      <c r="AM135" s="675">
        <v>0</v>
      </c>
      <c r="AN135" s="675">
        <v>0</v>
      </c>
      <c r="AO135" s="675">
        <v>0</v>
      </c>
      <c r="AP135" s="675">
        <v>0</v>
      </c>
      <c r="AQ135" s="675">
        <v>0</v>
      </c>
      <c r="AR135" s="675">
        <v>0</v>
      </c>
      <c r="AS135" s="675">
        <v>0</v>
      </c>
      <c r="AT135" s="675">
        <v>0</v>
      </c>
      <c r="AU135" s="675">
        <v>0</v>
      </c>
      <c r="AV135" s="675">
        <v>409</v>
      </c>
      <c r="AW135" s="675">
        <v>893697</v>
      </c>
      <c r="AX135" s="675">
        <v>856776</v>
      </c>
      <c r="AY135" s="675">
        <v>1010925</v>
      </c>
      <c r="AZ135" s="675">
        <v>47241</v>
      </c>
      <c r="BA135" s="676">
        <v>0</v>
      </c>
      <c r="BB135" s="675">
        <v>0</v>
      </c>
      <c r="BC135" s="675">
        <v>0</v>
      </c>
      <c r="BD135" s="675">
        <v>0</v>
      </c>
      <c r="BE135" s="675">
        <v>0</v>
      </c>
      <c r="BF135" s="675">
        <v>727407</v>
      </c>
      <c r="BG135" s="675">
        <v>0</v>
      </c>
      <c r="BH135" s="676">
        <v>76.147000000000006</v>
      </c>
      <c r="BI135" s="676">
        <v>20940</v>
      </c>
      <c r="BJ135" s="675">
        <v>12</v>
      </c>
      <c r="BK135" s="675">
        <v>0</v>
      </c>
      <c r="BL135" s="675">
        <v>0</v>
      </c>
      <c r="BM135" s="675">
        <v>0</v>
      </c>
      <c r="BN135" s="675">
        <v>0</v>
      </c>
      <c r="BO135" s="675">
        <v>0</v>
      </c>
      <c r="BP135" s="675">
        <v>0</v>
      </c>
      <c r="BQ135" s="675">
        <v>5392</v>
      </c>
      <c r="BR135" s="675">
        <v>1</v>
      </c>
      <c r="BS135" s="675">
        <v>0</v>
      </c>
      <c r="BT135" s="675">
        <v>0</v>
      </c>
      <c r="BU135" s="675">
        <v>0</v>
      </c>
      <c r="BV135" s="675">
        <v>0</v>
      </c>
      <c r="BW135" s="675">
        <v>0</v>
      </c>
      <c r="BX135" s="675">
        <v>0</v>
      </c>
      <c r="BY135" s="675">
        <v>0</v>
      </c>
      <c r="BZ135" s="675">
        <v>0</v>
      </c>
      <c r="CA135" s="675">
        <v>0</v>
      </c>
      <c r="CB135" s="675">
        <v>0</v>
      </c>
      <c r="CC135" s="675">
        <v>0</v>
      </c>
      <c r="CD135" s="675">
        <v>0</v>
      </c>
      <c r="CE135" s="675">
        <v>0</v>
      </c>
      <c r="CF135" s="675">
        <v>0</v>
      </c>
      <c r="CG135" s="675">
        <v>0</v>
      </c>
      <c r="CH135" s="676">
        <v>15981</v>
      </c>
      <c r="CI135" s="675">
        <v>0</v>
      </c>
      <c r="CJ135" s="675">
        <v>4</v>
      </c>
      <c r="CK135" s="675">
        <v>0</v>
      </c>
      <c r="CL135" s="675">
        <v>0</v>
      </c>
      <c r="CM135" s="675">
        <v>0</v>
      </c>
      <c r="CN135" s="675">
        <v>0</v>
      </c>
      <c r="CO135" s="675">
        <v>0</v>
      </c>
      <c r="CP135" s="675">
        <v>0</v>
      </c>
      <c r="CQ135" s="675">
        <v>0</v>
      </c>
      <c r="CR135" s="675">
        <v>82.26400000000001</v>
      </c>
      <c r="CS135" s="675">
        <v>0</v>
      </c>
      <c r="CT135" s="675">
        <v>0</v>
      </c>
      <c r="CU135" s="675">
        <v>0</v>
      </c>
      <c r="CV135" s="675">
        <v>0</v>
      </c>
      <c r="CW135" s="675">
        <v>0</v>
      </c>
      <c r="CX135" s="675">
        <v>0</v>
      </c>
      <c r="CY135" s="675">
        <v>0</v>
      </c>
      <c r="CZ135" s="675">
        <v>0</v>
      </c>
      <c r="DA135" s="675">
        <v>1</v>
      </c>
      <c r="DB135" s="675">
        <v>451984</v>
      </c>
      <c r="DC135" s="675">
        <v>0</v>
      </c>
      <c r="DD135" s="675">
        <v>0</v>
      </c>
      <c r="DE135" s="675">
        <v>0</v>
      </c>
      <c r="DF135" s="675">
        <v>0</v>
      </c>
      <c r="DG135" s="675">
        <v>0</v>
      </c>
      <c r="DH135" s="675">
        <v>0</v>
      </c>
      <c r="DI135" s="675">
        <v>0</v>
      </c>
      <c r="DJ135" s="675">
        <v>0</v>
      </c>
      <c r="DK135" s="675">
        <v>5392</v>
      </c>
      <c r="DL135" s="675">
        <v>0</v>
      </c>
      <c r="DM135" s="675">
        <v>283919</v>
      </c>
      <c r="DN135" s="675">
        <v>0</v>
      </c>
      <c r="DO135" s="675">
        <v>0</v>
      </c>
      <c r="DP135" s="675">
        <v>0</v>
      </c>
      <c r="DQ135" s="675">
        <v>0</v>
      </c>
      <c r="DR135" s="675">
        <v>0</v>
      </c>
      <c r="DS135" s="675">
        <v>0</v>
      </c>
      <c r="DT135" s="675">
        <v>0</v>
      </c>
      <c r="DU135" s="675">
        <v>0</v>
      </c>
      <c r="DV135" s="675">
        <v>0</v>
      </c>
      <c r="DW135" s="675">
        <v>0</v>
      </c>
      <c r="DX135" s="675">
        <v>0</v>
      </c>
      <c r="DY135" s="675">
        <v>0</v>
      </c>
      <c r="DZ135" s="675">
        <v>0</v>
      </c>
      <c r="EA135" s="675">
        <v>0</v>
      </c>
      <c r="EB135" s="675">
        <v>0</v>
      </c>
      <c r="EC135" s="675">
        <v>0</v>
      </c>
      <c r="ED135" s="675">
        <v>0</v>
      </c>
      <c r="EE135" s="675">
        <v>0</v>
      </c>
      <c r="EF135" s="675">
        <v>0</v>
      </c>
      <c r="EG135" s="675">
        <v>0</v>
      </c>
      <c r="EH135" s="675">
        <v>0</v>
      </c>
      <c r="EI135" s="675">
        <v>283919</v>
      </c>
      <c r="EJ135" s="675">
        <v>10.83</v>
      </c>
      <c r="EK135" s="675">
        <v>0</v>
      </c>
      <c r="EL135" s="675">
        <v>0</v>
      </c>
      <c r="EM135" s="675">
        <v>0</v>
      </c>
      <c r="EN135" s="675">
        <v>0</v>
      </c>
      <c r="EO135" s="675">
        <v>0</v>
      </c>
      <c r="EP135" s="675">
        <v>0</v>
      </c>
      <c r="EQ135" s="675">
        <v>10.83</v>
      </c>
      <c r="ER135" s="675">
        <v>0</v>
      </c>
      <c r="ES135" s="675">
        <v>0</v>
      </c>
      <c r="ET135" s="676">
        <v>0</v>
      </c>
      <c r="EU135" s="675">
        <v>47241</v>
      </c>
      <c r="EV135" s="675">
        <v>0</v>
      </c>
      <c r="EW135" s="675">
        <v>0</v>
      </c>
      <c r="EX135" s="675">
        <v>0</v>
      </c>
      <c r="EY135" s="675">
        <v>0</v>
      </c>
      <c r="EZ135" s="675">
        <v>721078</v>
      </c>
      <c r="FA135" s="675">
        <v>0</v>
      </c>
      <c r="FB135" s="676">
        <v>768319</v>
      </c>
      <c r="FC135" s="675">
        <v>0.97327799999999998</v>
      </c>
      <c r="FD135" s="675">
        <v>0</v>
      </c>
      <c r="FE135" s="675">
        <v>110742</v>
      </c>
      <c r="FF135" s="675">
        <v>24956</v>
      </c>
      <c r="FG135" s="675">
        <v>6.1239999999999996E-2</v>
      </c>
      <c r="FH135" s="675">
        <v>5.4803999999999999E-2</v>
      </c>
      <c r="FI135" s="675">
        <v>0</v>
      </c>
      <c r="FJ135" s="675">
        <v>0</v>
      </c>
      <c r="FK135" s="675">
        <v>142.52200000000002</v>
      </c>
      <c r="FL135" s="675">
        <v>919998</v>
      </c>
      <c r="FM135" s="675">
        <v>0</v>
      </c>
      <c r="FN135" s="675">
        <v>0</v>
      </c>
      <c r="FO135" s="675">
        <v>0</v>
      </c>
      <c r="FP135" s="675">
        <v>0</v>
      </c>
      <c r="FQ135" s="675">
        <v>0</v>
      </c>
      <c r="FR135" s="675">
        <v>0</v>
      </c>
      <c r="FS135" s="675">
        <v>0</v>
      </c>
      <c r="FT135" s="675">
        <v>0</v>
      </c>
      <c r="FU135" s="675">
        <v>0</v>
      </c>
      <c r="FV135" s="675">
        <v>0</v>
      </c>
      <c r="FW135" s="675">
        <v>0</v>
      </c>
      <c r="FX135" s="675">
        <v>0</v>
      </c>
      <c r="FY135" s="675">
        <v>0</v>
      </c>
      <c r="FZ135" s="675">
        <v>0</v>
      </c>
      <c r="GA135" s="675">
        <v>0</v>
      </c>
      <c r="GB135" s="676">
        <v>11476</v>
      </c>
      <c r="GC135" s="676">
        <v>11476</v>
      </c>
      <c r="GD135" s="676">
        <v>1.2970000000000002</v>
      </c>
      <c r="GE135" s="675">
        <v>0</v>
      </c>
      <c r="GF135" s="675">
        <v>0</v>
      </c>
      <c r="GG135" s="675">
        <v>0</v>
      </c>
      <c r="GH135" s="675">
        <v>0</v>
      </c>
      <c r="GI135" s="675">
        <v>0</v>
      </c>
      <c r="GJ135" s="675">
        <v>0</v>
      </c>
      <c r="GK135" s="675">
        <v>0</v>
      </c>
      <c r="GL135" s="675">
        <v>0</v>
      </c>
      <c r="GM135" s="675">
        <v>0</v>
      </c>
      <c r="GN135" s="675">
        <v>0</v>
      </c>
      <c r="GO135" s="675">
        <v>0</v>
      </c>
      <c r="GP135" s="675">
        <v>904017</v>
      </c>
      <c r="GQ135" s="675">
        <v>904017</v>
      </c>
      <c r="GR135" s="675">
        <v>0</v>
      </c>
      <c r="GS135" s="675">
        <v>0</v>
      </c>
      <c r="GT135" s="675">
        <v>0</v>
      </c>
      <c r="GU135" s="675">
        <v>0</v>
      </c>
      <c r="GV135" s="675">
        <v>0</v>
      </c>
      <c r="GW135" s="675">
        <v>0</v>
      </c>
      <c r="GX135" s="675">
        <v>0</v>
      </c>
      <c r="GY135" s="675">
        <v>0</v>
      </c>
      <c r="GZ135" s="675">
        <v>0</v>
      </c>
      <c r="HA135" s="675">
        <v>0</v>
      </c>
      <c r="HB135" s="675">
        <v>260786259</v>
      </c>
      <c r="HC135" s="675">
        <v>5.0923999999999997E-2</v>
      </c>
      <c r="HD135" s="676">
        <v>15981</v>
      </c>
      <c r="HE135" s="675">
        <v>0</v>
      </c>
      <c r="HF135" s="675">
        <v>0</v>
      </c>
      <c r="HG135" s="675">
        <v>0</v>
      </c>
      <c r="HH135" s="675">
        <v>0</v>
      </c>
      <c r="HI135" s="675">
        <v>0</v>
      </c>
      <c r="HJ135" s="675">
        <v>0</v>
      </c>
      <c r="HK135" s="675">
        <v>0</v>
      </c>
      <c r="HL135" s="675">
        <v>0</v>
      </c>
      <c r="HM135" s="675">
        <v>0</v>
      </c>
      <c r="HN135" s="675">
        <v>0</v>
      </c>
      <c r="HO135" s="675">
        <v>0</v>
      </c>
      <c r="HP135" s="675">
        <v>0</v>
      </c>
      <c r="HQ135" s="675">
        <v>0</v>
      </c>
      <c r="HR135" s="675">
        <v>0</v>
      </c>
      <c r="HS135" s="675">
        <v>0</v>
      </c>
      <c r="HT135" s="675">
        <v>0</v>
      </c>
      <c r="HU135" s="675">
        <v>0</v>
      </c>
      <c r="HV135" s="675">
        <v>0</v>
      </c>
      <c r="HW135" s="675">
        <v>0</v>
      </c>
      <c r="HX135" s="675">
        <v>0</v>
      </c>
      <c r="HY135" s="675">
        <v>0</v>
      </c>
      <c r="HZ135" s="675">
        <v>0</v>
      </c>
      <c r="IA135" s="675">
        <v>0</v>
      </c>
      <c r="IB135" s="675">
        <v>0</v>
      </c>
      <c r="IC135" s="675">
        <v>0</v>
      </c>
      <c r="ID135" s="675">
        <v>0</v>
      </c>
      <c r="IE135" s="675">
        <v>0</v>
      </c>
      <c r="IF135" s="675">
        <v>0</v>
      </c>
      <c r="IG135" s="675">
        <v>0</v>
      </c>
      <c r="IH135" s="675">
        <v>0</v>
      </c>
      <c r="II135" s="675">
        <v>0</v>
      </c>
      <c r="IJ135" s="675">
        <v>0</v>
      </c>
      <c r="IK135" s="675">
        <v>0</v>
      </c>
      <c r="IL135" s="675">
        <v>0</v>
      </c>
      <c r="IM135" s="675">
        <v>0</v>
      </c>
      <c r="IN135" s="675">
        <v>0</v>
      </c>
      <c r="IO135" s="675">
        <v>0</v>
      </c>
      <c r="IP135" s="675">
        <v>0</v>
      </c>
      <c r="IQ135" s="675">
        <v>0</v>
      </c>
      <c r="IR135" s="675">
        <v>0</v>
      </c>
      <c r="IS135" s="675">
        <v>0</v>
      </c>
      <c r="IT135" s="675">
        <v>0</v>
      </c>
      <c r="IU135" s="675">
        <v>0</v>
      </c>
      <c r="IV135" s="675">
        <v>0</v>
      </c>
      <c r="IW135" s="675">
        <v>0</v>
      </c>
      <c r="IX135" s="675">
        <v>0</v>
      </c>
      <c r="IY135" s="675">
        <v>0</v>
      </c>
      <c r="IZ135" s="675">
        <v>0</v>
      </c>
      <c r="JA135" s="675">
        <v>0</v>
      </c>
      <c r="JB135" s="675">
        <v>0</v>
      </c>
      <c r="JC135" s="675">
        <v>0</v>
      </c>
      <c r="JD135" s="675">
        <v>0</v>
      </c>
      <c r="JE135" s="675">
        <v>0</v>
      </c>
      <c r="JF135" s="675">
        <v>0</v>
      </c>
      <c r="JG135" s="675">
        <v>0</v>
      </c>
      <c r="JH135" s="675">
        <v>0</v>
      </c>
      <c r="JI135" s="675">
        <v>0</v>
      </c>
      <c r="JJ135" s="675">
        <v>0</v>
      </c>
      <c r="JK135" s="675">
        <v>0</v>
      </c>
      <c r="JL135" s="675">
        <v>0</v>
      </c>
      <c r="JM135" s="675">
        <v>0</v>
      </c>
      <c r="JN135" s="675">
        <v>32469</v>
      </c>
      <c r="JO135" s="675">
        <v>0</v>
      </c>
      <c r="JP135" s="675">
        <v>0</v>
      </c>
      <c r="JQ135" s="675">
        <v>0</v>
      </c>
      <c r="JR135" s="675">
        <v>0</v>
      </c>
      <c r="JS135" s="675">
        <v>0</v>
      </c>
      <c r="JT135" s="675">
        <v>0</v>
      </c>
      <c r="JU135" s="675">
        <v>0</v>
      </c>
      <c r="JV135" s="675">
        <v>0</v>
      </c>
      <c r="JW135" s="675">
        <v>0</v>
      </c>
      <c r="JX135" s="675">
        <v>0</v>
      </c>
      <c r="JY135" s="675">
        <v>0</v>
      </c>
      <c r="JZ135" s="675">
        <v>0</v>
      </c>
      <c r="KA135" s="675">
        <v>0</v>
      </c>
      <c r="KB135" s="675">
        <v>0</v>
      </c>
      <c r="KC135" s="675">
        <v>0</v>
      </c>
      <c r="KD135" s="675">
        <v>0</v>
      </c>
      <c r="KE135" s="675">
        <v>0</v>
      </c>
      <c r="KF135" s="675">
        <v>0</v>
      </c>
    </row>
    <row r="136" spans="1:292" x14ac:dyDescent="0.25">
      <c r="A136" s="675">
        <v>123803</v>
      </c>
      <c r="B136" s="675">
        <v>32570</v>
      </c>
      <c r="C136" s="675">
        <v>35</v>
      </c>
      <c r="D136" s="675">
        <v>2022</v>
      </c>
      <c r="E136" s="675">
        <v>5392</v>
      </c>
      <c r="F136" s="675">
        <v>0</v>
      </c>
      <c r="G136" s="675">
        <v>361.31600000000003</v>
      </c>
      <c r="H136" s="675">
        <v>354.928</v>
      </c>
      <c r="I136" s="675">
        <v>354.928</v>
      </c>
      <c r="J136" s="675">
        <v>361.31600000000003</v>
      </c>
      <c r="K136" s="675">
        <v>0</v>
      </c>
      <c r="L136" s="675">
        <v>6554</v>
      </c>
      <c r="M136" s="675">
        <v>0</v>
      </c>
      <c r="N136" s="675">
        <v>0</v>
      </c>
      <c r="O136" s="675">
        <v>0</v>
      </c>
      <c r="P136" s="675">
        <v>354.89300000000003</v>
      </c>
      <c r="Q136" s="675">
        <v>0</v>
      </c>
      <c r="R136" s="675">
        <v>113464</v>
      </c>
      <c r="S136" s="675">
        <v>319.71300000000002</v>
      </c>
      <c r="T136" s="675">
        <v>0</v>
      </c>
      <c r="U136" s="675">
        <v>113464</v>
      </c>
      <c r="V136" s="675">
        <v>0</v>
      </c>
      <c r="W136" s="675">
        <v>0</v>
      </c>
      <c r="X136" s="675">
        <v>0</v>
      </c>
      <c r="Y136" s="675">
        <v>0</v>
      </c>
      <c r="Z136" s="675">
        <v>0</v>
      </c>
      <c r="AA136" s="675">
        <v>1</v>
      </c>
      <c r="AB136" s="675">
        <v>1</v>
      </c>
      <c r="AC136" s="675">
        <v>0</v>
      </c>
      <c r="AD136" s="675" t="s">
        <v>316</v>
      </c>
      <c r="AE136" s="675">
        <v>0</v>
      </c>
      <c r="AF136" s="675">
        <v>0</v>
      </c>
      <c r="AG136" s="675">
        <v>0</v>
      </c>
      <c r="AH136" s="675">
        <v>0</v>
      </c>
      <c r="AI136" s="675">
        <v>0</v>
      </c>
      <c r="AJ136" s="675">
        <v>5104</v>
      </c>
      <c r="AK136" s="675" t="s">
        <v>671</v>
      </c>
      <c r="AL136" s="675" t="s">
        <v>356</v>
      </c>
      <c r="AM136" s="675">
        <v>0</v>
      </c>
      <c r="AN136" s="675">
        <v>0</v>
      </c>
      <c r="AO136" s="675">
        <v>0</v>
      </c>
      <c r="AP136" s="675">
        <v>0</v>
      </c>
      <c r="AQ136" s="675">
        <v>0</v>
      </c>
      <c r="AR136" s="675">
        <v>0</v>
      </c>
      <c r="AS136" s="675">
        <v>0</v>
      </c>
      <c r="AT136" s="675">
        <v>0</v>
      </c>
      <c r="AU136" s="675">
        <v>0</v>
      </c>
      <c r="AV136" s="675">
        <v>182111</v>
      </c>
      <c r="AW136" s="675">
        <v>3635108</v>
      </c>
      <c r="AX136" s="675">
        <v>3524804</v>
      </c>
      <c r="AY136" s="675">
        <v>3888977</v>
      </c>
      <c r="AZ136" s="675">
        <v>135165</v>
      </c>
      <c r="BA136" s="675">
        <v>34</v>
      </c>
      <c r="BB136" s="675">
        <v>0</v>
      </c>
      <c r="BC136" s="675">
        <v>0</v>
      </c>
      <c r="BD136" s="675">
        <v>0</v>
      </c>
      <c r="BE136" s="675">
        <v>0</v>
      </c>
      <c r="BF136" s="675">
        <v>2969546</v>
      </c>
      <c r="BG136" s="675">
        <v>0</v>
      </c>
      <c r="BH136" s="675">
        <v>78.912999999999997</v>
      </c>
      <c r="BI136" s="675">
        <v>21701</v>
      </c>
      <c r="BJ136" s="675">
        <v>12</v>
      </c>
      <c r="BK136" s="675">
        <v>0</v>
      </c>
      <c r="BL136" s="675">
        <v>0</v>
      </c>
      <c r="BM136" s="675">
        <v>0</v>
      </c>
      <c r="BN136" s="675">
        <v>0</v>
      </c>
      <c r="BO136" s="675">
        <v>0</v>
      </c>
      <c r="BP136" s="675">
        <v>0</v>
      </c>
      <c r="BQ136" s="675">
        <v>5392</v>
      </c>
      <c r="BR136" s="675">
        <v>1</v>
      </c>
      <c r="BS136" s="675">
        <v>0</v>
      </c>
      <c r="BT136" s="675">
        <v>0</v>
      </c>
      <c r="BU136" s="675">
        <v>0</v>
      </c>
      <c r="BV136" s="675">
        <v>0</v>
      </c>
      <c r="BW136" s="675">
        <v>0</v>
      </c>
      <c r="BX136" s="675">
        <v>0</v>
      </c>
      <c r="BY136" s="675">
        <v>0</v>
      </c>
      <c r="BZ136" s="675">
        <v>0</v>
      </c>
      <c r="CA136" s="675">
        <v>0</v>
      </c>
      <c r="CB136" s="675">
        <v>0</v>
      </c>
      <c r="CC136" s="675">
        <v>0</v>
      </c>
      <c r="CD136" s="675">
        <v>0</v>
      </c>
      <c r="CE136" s="675">
        <v>0</v>
      </c>
      <c r="CF136" s="675">
        <v>0</v>
      </c>
      <c r="CG136" s="675">
        <v>0</v>
      </c>
      <c r="CH136" s="675">
        <v>88603</v>
      </c>
      <c r="CI136" s="675">
        <v>0</v>
      </c>
      <c r="CJ136" s="675">
        <v>4</v>
      </c>
      <c r="CK136" s="675">
        <v>0</v>
      </c>
      <c r="CL136" s="675">
        <v>0</v>
      </c>
      <c r="CM136" s="675">
        <v>0</v>
      </c>
      <c r="CN136" s="675">
        <v>0</v>
      </c>
      <c r="CO136" s="675">
        <v>0</v>
      </c>
      <c r="CP136" s="675">
        <v>0</v>
      </c>
      <c r="CQ136" s="675">
        <v>1.5830000000000002</v>
      </c>
      <c r="CR136" s="675">
        <v>354.89300000000003</v>
      </c>
      <c r="CS136" s="675">
        <v>0</v>
      </c>
      <c r="CT136" s="675">
        <v>0</v>
      </c>
      <c r="CU136" s="675">
        <v>0</v>
      </c>
      <c r="CV136" s="675">
        <v>0</v>
      </c>
      <c r="CW136" s="675">
        <v>0</v>
      </c>
      <c r="CX136" s="675">
        <v>0</v>
      </c>
      <c r="CY136" s="675">
        <v>0</v>
      </c>
      <c r="CZ136" s="675">
        <v>0</v>
      </c>
      <c r="DA136" s="675">
        <v>1</v>
      </c>
      <c r="DB136" s="675">
        <v>2326198</v>
      </c>
      <c r="DC136" s="675">
        <v>0</v>
      </c>
      <c r="DD136" s="675">
        <v>0</v>
      </c>
      <c r="DE136" s="675">
        <v>600124</v>
      </c>
      <c r="DF136" s="675">
        <v>600124</v>
      </c>
      <c r="DG136" s="675">
        <v>457.83</v>
      </c>
      <c r="DH136" s="675">
        <v>0</v>
      </c>
      <c r="DI136" s="675">
        <v>0</v>
      </c>
      <c r="DJ136" s="675">
        <v>0</v>
      </c>
      <c r="DK136" s="675">
        <v>5392</v>
      </c>
      <c r="DL136" s="675">
        <v>0</v>
      </c>
      <c r="DM136" s="675">
        <v>69470</v>
      </c>
      <c r="DN136" s="675">
        <v>0</v>
      </c>
      <c r="DO136" s="675">
        <v>0</v>
      </c>
      <c r="DP136" s="675">
        <v>0</v>
      </c>
      <c r="DQ136" s="675">
        <v>0</v>
      </c>
      <c r="DR136" s="675">
        <v>0</v>
      </c>
      <c r="DS136" s="675">
        <v>0</v>
      </c>
      <c r="DT136" s="675">
        <v>0</v>
      </c>
      <c r="DU136" s="675">
        <v>0</v>
      </c>
      <c r="DV136" s="675">
        <v>0</v>
      </c>
      <c r="DW136" s="675">
        <v>0</v>
      </c>
      <c r="DX136" s="675">
        <v>0</v>
      </c>
      <c r="DY136" s="675">
        <v>0</v>
      </c>
      <c r="DZ136" s="675">
        <v>0</v>
      </c>
      <c r="EA136" s="675">
        <v>0</v>
      </c>
      <c r="EB136" s="675">
        <v>0</v>
      </c>
      <c r="EC136" s="675">
        <v>8.9860000000000007</v>
      </c>
      <c r="ED136" s="675">
        <v>64784</v>
      </c>
      <c r="EE136" s="675">
        <v>0</v>
      </c>
      <c r="EF136" s="675">
        <v>0</v>
      </c>
      <c r="EG136" s="675">
        <v>0</v>
      </c>
      <c r="EH136" s="675">
        <v>4686</v>
      </c>
      <c r="EI136" s="675">
        <v>0</v>
      </c>
      <c r="EJ136" s="675">
        <v>0</v>
      </c>
      <c r="EK136" s="675">
        <v>0</v>
      </c>
      <c r="EL136" s="675">
        <v>0</v>
      </c>
      <c r="EM136" s="675">
        <v>0</v>
      </c>
      <c r="EN136" s="675">
        <v>0.14300000000000002</v>
      </c>
      <c r="EO136" s="675">
        <v>0</v>
      </c>
      <c r="EP136" s="675">
        <v>0</v>
      </c>
      <c r="EQ136" s="675">
        <v>0.14300000000000002</v>
      </c>
      <c r="ER136" s="675">
        <v>0</v>
      </c>
      <c r="ES136" s="675">
        <v>0.71500000000000008</v>
      </c>
      <c r="ET136" s="675">
        <v>17396</v>
      </c>
      <c r="EU136" s="675">
        <v>135165</v>
      </c>
      <c r="EV136" s="675">
        <v>0</v>
      </c>
      <c r="EW136" s="675">
        <v>0</v>
      </c>
      <c r="EX136" s="675">
        <v>0</v>
      </c>
      <c r="EY136" s="675">
        <v>0</v>
      </c>
      <c r="EZ136" s="675">
        <v>2970836</v>
      </c>
      <c r="FA136" s="675">
        <v>0</v>
      </c>
      <c r="FB136" s="675">
        <v>3106001</v>
      </c>
      <c r="FC136" s="675">
        <v>0.97327799999999998</v>
      </c>
      <c r="FD136" s="675">
        <v>0</v>
      </c>
      <c r="FE136" s="675">
        <v>452090</v>
      </c>
      <c r="FF136" s="675">
        <v>101878</v>
      </c>
      <c r="FG136" s="675">
        <v>6.1239999999999996E-2</v>
      </c>
      <c r="FH136" s="675">
        <v>5.4803999999999999E-2</v>
      </c>
      <c r="FI136" s="675">
        <v>0</v>
      </c>
      <c r="FJ136" s="675">
        <v>0</v>
      </c>
      <c r="FK136" s="675">
        <v>581.82799999999997</v>
      </c>
      <c r="FL136" s="675">
        <v>3748572</v>
      </c>
      <c r="FM136" s="675">
        <v>0</v>
      </c>
      <c r="FN136" s="675">
        <v>0</v>
      </c>
      <c r="FO136" s="675">
        <v>33222</v>
      </c>
      <c r="FP136" s="675">
        <v>0</v>
      </c>
      <c r="FQ136" s="675">
        <v>33222</v>
      </c>
      <c r="FR136" s="675">
        <v>33222</v>
      </c>
      <c r="FS136" s="675">
        <v>0</v>
      </c>
      <c r="FT136" s="675">
        <v>0</v>
      </c>
      <c r="FU136" s="675">
        <v>0</v>
      </c>
      <c r="FV136" s="675">
        <v>0</v>
      </c>
      <c r="FW136" s="675">
        <v>0</v>
      </c>
      <c r="FX136" s="675">
        <v>0</v>
      </c>
      <c r="FY136" s="675">
        <v>0</v>
      </c>
      <c r="FZ136" s="675">
        <v>31</v>
      </c>
      <c r="GA136" s="675">
        <v>0.61799999999999999</v>
      </c>
      <c r="GB136" s="675">
        <v>55286</v>
      </c>
      <c r="GC136" s="675">
        <v>55286</v>
      </c>
      <c r="GD136" s="675">
        <v>6.2450000000000001</v>
      </c>
      <c r="GE136" s="675">
        <v>0</v>
      </c>
      <c r="GF136" s="675">
        <v>0</v>
      </c>
      <c r="GG136" s="675">
        <v>0</v>
      </c>
      <c r="GH136" s="675">
        <v>0</v>
      </c>
      <c r="GI136" s="675">
        <v>0</v>
      </c>
      <c r="GJ136" s="675">
        <v>0</v>
      </c>
      <c r="GK136" s="675">
        <v>5375</v>
      </c>
      <c r="GL136" s="675">
        <v>12000</v>
      </c>
      <c r="GM136" s="675">
        <v>0</v>
      </c>
      <c r="GN136" s="675">
        <v>44080</v>
      </c>
      <c r="GO136" s="675">
        <v>0</v>
      </c>
      <c r="GP136" s="675">
        <v>3659969</v>
      </c>
      <c r="GQ136" s="675">
        <v>3659969</v>
      </c>
      <c r="GR136" s="675">
        <v>0</v>
      </c>
      <c r="GS136" s="675">
        <v>0</v>
      </c>
      <c r="GT136" s="675">
        <v>0</v>
      </c>
      <c r="GU136" s="675">
        <v>0</v>
      </c>
      <c r="GV136" s="675">
        <v>0</v>
      </c>
      <c r="GW136" s="675">
        <v>0</v>
      </c>
      <c r="GX136" s="675">
        <v>0</v>
      </c>
      <c r="GY136" s="675">
        <v>0</v>
      </c>
      <c r="GZ136" s="675">
        <v>0</v>
      </c>
      <c r="HA136" s="675">
        <v>0</v>
      </c>
      <c r="HB136" s="675">
        <v>260786259</v>
      </c>
      <c r="HC136" s="675">
        <v>5.0923999999999997E-2</v>
      </c>
      <c r="HD136" s="675">
        <v>71207</v>
      </c>
      <c r="HE136" s="675">
        <v>0</v>
      </c>
      <c r="HF136" s="675">
        <v>0</v>
      </c>
      <c r="HG136" s="675">
        <v>0</v>
      </c>
      <c r="HH136" s="675">
        <v>0</v>
      </c>
      <c r="HI136" s="675">
        <v>0</v>
      </c>
      <c r="HJ136" s="675">
        <v>0</v>
      </c>
      <c r="HK136" s="675">
        <v>0</v>
      </c>
      <c r="HL136" s="675">
        <v>0</v>
      </c>
      <c r="HM136" s="675">
        <v>0</v>
      </c>
      <c r="HN136" s="675">
        <v>0</v>
      </c>
      <c r="HO136" s="675">
        <v>0</v>
      </c>
      <c r="HP136" s="675">
        <v>0</v>
      </c>
      <c r="HQ136" s="675">
        <v>0</v>
      </c>
      <c r="HR136" s="675">
        <v>0</v>
      </c>
      <c r="HS136" s="675">
        <v>0</v>
      </c>
      <c r="HT136" s="675">
        <v>0</v>
      </c>
      <c r="HU136" s="675">
        <v>0</v>
      </c>
      <c r="HV136" s="675">
        <v>0</v>
      </c>
      <c r="HW136" s="675">
        <v>0</v>
      </c>
      <c r="HX136" s="675">
        <v>0</v>
      </c>
      <c r="HY136" s="675">
        <v>0</v>
      </c>
      <c r="HZ136" s="675">
        <v>0</v>
      </c>
      <c r="IA136" s="675">
        <v>0</v>
      </c>
      <c r="IB136" s="675">
        <v>0</v>
      </c>
      <c r="IC136" s="675">
        <v>0</v>
      </c>
      <c r="ID136" s="675">
        <v>0</v>
      </c>
      <c r="IE136" s="675">
        <v>0</v>
      </c>
      <c r="IF136" s="675">
        <v>0</v>
      </c>
      <c r="IG136" s="675">
        <v>0</v>
      </c>
      <c r="IH136" s="675">
        <v>0</v>
      </c>
      <c r="II136" s="675">
        <v>0</v>
      </c>
      <c r="IJ136" s="675">
        <v>0</v>
      </c>
      <c r="IK136" s="675">
        <v>0</v>
      </c>
      <c r="IL136" s="675">
        <v>0</v>
      </c>
      <c r="IM136" s="675">
        <v>0</v>
      </c>
      <c r="IN136" s="675">
        <v>0</v>
      </c>
      <c r="IO136" s="675">
        <v>0</v>
      </c>
      <c r="IP136" s="675">
        <v>0</v>
      </c>
      <c r="IQ136" s="675">
        <v>0</v>
      </c>
      <c r="IR136" s="675">
        <v>0</v>
      </c>
      <c r="IS136" s="675">
        <v>0</v>
      </c>
      <c r="IT136" s="675">
        <v>0</v>
      </c>
      <c r="IU136" s="675">
        <v>0</v>
      </c>
      <c r="IV136" s="675">
        <v>0</v>
      </c>
      <c r="IW136" s="675">
        <v>0</v>
      </c>
      <c r="IX136" s="675">
        <v>0</v>
      </c>
      <c r="IY136" s="675">
        <v>0</v>
      </c>
      <c r="IZ136" s="675">
        <v>0</v>
      </c>
      <c r="JA136" s="675">
        <v>0</v>
      </c>
      <c r="JB136" s="675">
        <v>0</v>
      </c>
      <c r="JC136" s="675">
        <v>0</v>
      </c>
      <c r="JD136" s="675">
        <v>0</v>
      </c>
      <c r="JE136" s="675">
        <v>0</v>
      </c>
      <c r="JF136" s="675">
        <v>0</v>
      </c>
      <c r="JG136" s="675">
        <v>0</v>
      </c>
      <c r="JH136" s="675">
        <v>0</v>
      </c>
      <c r="JI136" s="675">
        <v>0</v>
      </c>
      <c r="JJ136" s="675">
        <v>0</v>
      </c>
      <c r="JK136" s="675">
        <v>0</v>
      </c>
      <c r="JL136" s="675">
        <v>0</v>
      </c>
      <c r="JM136" s="675">
        <v>0</v>
      </c>
      <c r="JN136" s="675">
        <v>32469</v>
      </c>
      <c r="JO136" s="675">
        <v>0</v>
      </c>
      <c r="JP136" s="675">
        <v>0</v>
      </c>
      <c r="JQ136" s="675">
        <v>0</v>
      </c>
      <c r="JR136" s="675">
        <v>0</v>
      </c>
      <c r="JS136" s="675">
        <v>0</v>
      </c>
      <c r="JT136" s="675">
        <v>0</v>
      </c>
      <c r="JU136" s="675">
        <v>0</v>
      </c>
      <c r="JV136" s="675">
        <v>0</v>
      </c>
      <c r="JW136" s="675">
        <v>0</v>
      </c>
      <c r="JX136" s="675">
        <v>0</v>
      </c>
      <c r="JY136" s="675">
        <v>0</v>
      </c>
      <c r="JZ136" s="675">
        <v>0</v>
      </c>
      <c r="KA136" s="675">
        <v>0</v>
      </c>
      <c r="KB136" s="675">
        <v>0</v>
      </c>
      <c r="KC136" s="675">
        <v>0</v>
      </c>
      <c r="KD136" s="675">
        <v>0</v>
      </c>
      <c r="KE136" s="675">
        <v>0</v>
      </c>
      <c r="KF136" s="675">
        <v>0</v>
      </c>
    </row>
    <row r="137" spans="1:292" x14ac:dyDescent="0.25">
      <c r="A137" s="675">
        <v>123805</v>
      </c>
      <c r="B137" s="675">
        <v>32570</v>
      </c>
      <c r="C137" s="675">
        <v>35</v>
      </c>
      <c r="D137" s="675">
        <v>2022</v>
      </c>
      <c r="E137" s="675">
        <v>5392</v>
      </c>
      <c r="F137" s="675">
        <v>0</v>
      </c>
      <c r="G137" s="675">
        <v>429.21899999999999</v>
      </c>
      <c r="H137" s="675">
        <v>424.71300000000002</v>
      </c>
      <c r="I137" s="675">
        <v>424.71300000000002</v>
      </c>
      <c r="J137" s="675">
        <v>429.21899999999999</v>
      </c>
      <c r="K137" s="675">
        <v>0</v>
      </c>
      <c r="L137" s="675">
        <v>6554</v>
      </c>
      <c r="M137" s="675">
        <v>0</v>
      </c>
      <c r="N137" s="675">
        <v>0</v>
      </c>
      <c r="O137" s="675">
        <v>0</v>
      </c>
      <c r="P137" s="675">
        <v>408.14400000000001</v>
      </c>
      <c r="Q137" s="675">
        <v>0</v>
      </c>
      <c r="R137" s="675">
        <v>130489</v>
      </c>
      <c r="S137" s="675">
        <v>319.71300000000002</v>
      </c>
      <c r="T137" s="675">
        <v>0</v>
      </c>
      <c r="U137" s="675">
        <v>130489</v>
      </c>
      <c r="V137" s="675">
        <v>242.49</v>
      </c>
      <c r="W137" s="675">
        <v>158928</v>
      </c>
      <c r="X137" s="675">
        <v>158928</v>
      </c>
      <c r="Y137" s="675">
        <v>0</v>
      </c>
      <c r="Z137" s="675">
        <v>0</v>
      </c>
      <c r="AA137" s="675">
        <v>1</v>
      </c>
      <c r="AB137" s="675">
        <v>1</v>
      </c>
      <c r="AC137" s="675">
        <v>0</v>
      </c>
      <c r="AD137" s="675" t="s">
        <v>316</v>
      </c>
      <c r="AE137" s="675">
        <v>0</v>
      </c>
      <c r="AF137" s="675">
        <v>0</v>
      </c>
      <c r="AG137" s="675">
        <v>0</v>
      </c>
      <c r="AH137" s="675">
        <v>0</v>
      </c>
      <c r="AI137" s="675">
        <v>0</v>
      </c>
      <c r="AJ137" s="675">
        <v>5104</v>
      </c>
      <c r="AK137" s="675" t="s">
        <v>671</v>
      </c>
      <c r="AL137" s="675" t="s">
        <v>4</v>
      </c>
      <c r="AM137" s="675">
        <v>0</v>
      </c>
      <c r="AN137" s="675">
        <v>0</v>
      </c>
      <c r="AO137" s="675">
        <v>0</v>
      </c>
      <c r="AP137" s="675">
        <v>0</v>
      </c>
      <c r="AQ137" s="675">
        <v>0</v>
      </c>
      <c r="AR137" s="675">
        <v>0</v>
      </c>
      <c r="AS137" s="675">
        <v>0</v>
      </c>
      <c r="AT137" s="675">
        <v>0</v>
      </c>
      <c r="AU137" s="675">
        <v>0</v>
      </c>
      <c r="AV137" s="675">
        <v>91040</v>
      </c>
      <c r="AW137" s="675">
        <v>4411537</v>
      </c>
      <c r="AX137" s="675">
        <v>4326447</v>
      </c>
      <c r="AY137" s="675">
        <v>4771498</v>
      </c>
      <c r="AZ137" s="675">
        <v>130489</v>
      </c>
      <c r="BA137" s="675">
        <v>1</v>
      </c>
      <c r="BB137" s="675">
        <v>12524</v>
      </c>
      <c r="BC137" s="675">
        <v>12524</v>
      </c>
      <c r="BD137" s="675">
        <v>15.924000000000001</v>
      </c>
      <c r="BE137" s="675">
        <v>0</v>
      </c>
      <c r="BF137" s="675">
        <v>3671265</v>
      </c>
      <c r="BG137" s="675">
        <v>0</v>
      </c>
      <c r="BH137" s="675">
        <v>0</v>
      </c>
      <c r="BI137" s="675">
        <v>0</v>
      </c>
      <c r="BJ137" s="675">
        <v>12</v>
      </c>
      <c r="BK137" s="675">
        <v>0</v>
      </c>
      <c r="BL137" s="675">
        <v>0</v>
      </c>
      <c r="BM137" s="675">
        <v>0</v>
      </c>
      <c r="BN137" s="675">
        <v>0</v>
      </c>
      <c r="BO137" s="675">
        <v>0</v>
      </c>
      <c r="BP137" s="675">
        <v>0</v>
      </c>
      <c r="BQ137" s="675">
        <v>5392</v>
      </c>
      <c r="BR137" s="675">
        <v>1</v>
      </c>
      <c r="BS137" s="675">
        <v>0</v>
      </c>
      <c r="BT137" s="675">
        <v>0</v>
      </c>
      <c r="BU137" s="675">
        <v>0</v>
      </c>
      <c r="BV137" s="675">
        <v>0</v>
      </c>
      <c r="BW137" s="675">
        <v>0</v>
      </c>
      <c r="BX137" s="675">
        <v>0</v>
      </c>
      <c r="BY137" s="675">
        <v>0</v>
      </c>
      <c r="BZ137" s="675">
        <v>0</v>
      </c>
      <c r="CA137" s="675">
        <v>0</v>
      </c>
      <c r="CB137" s="675">
        <v>0</v>
      </c>
      <c r="CC137" s="675">
        <v>0</v>
      </c>
      <c r="CD137" s="675">
        <v>0</v>
      </c>
      <c r="CE137" s="675">
        <v>0</v>
      </c>
      <c r="CF137" s="675">
        <v>0</v>
      </c>
      <c r="CG137" s="675">
        <v>0</v>
      </c>
      <c r="CH137" s="675">
        <v>85090</v>
      </c>
      <c r="CI137" s="675">
        <v>0</v>
      </c>
      <c r="CJ137" s="675">
        <v>4</v>
      </c>
      <c r="CK137" s="675">
        <v>0</v>
      </c>
      <c r="CL137" s="675">
        <v>0</v>
      </c>
      <c r="CM137" s="675">
        <v>0</v>
      </c>
      <c r="CN137" s="675">
        <v>0</v>
      </c>
      <c r="CO137" s="675">
        <v>0</v>
      </c>
      <c r="CP137" s="675">
        <v>0</v>
      </c>
      <c r="CQ137" s="675">
        <v>0</v>
      </c>
      <c r="CR137" s="675">
        <v>408.14400000000001</v>
      </c>
      <c r="CS137" s="675">
        <v>0</v>
      </c>
      <c r="CT137" s="675">
        <v>0</v>
      </c>
      <c r="CU137" s="675">
        <v>0</v>
      </c>
      <c r="CV137" s="675">
        <v>0</v>
      </c>
      <c r="CW137" s="675">
        <v>0</v>
      </c>
      <c r="CX137" s="675">
        <v>0</v>
      </c>
      <c r="CY137" s="675">
        <v>0</v>
      </c>
      <c r="CZ137" s="675">
        <v>0</v>
      </c>
      <c r="DA137" s="675">
        <v>1</v>
      </c>
      <c r="DB137" s="675">
        <v>2783569</v>
      </c>
      <c r="DC137" s="675">
        <v>0</v>
      </c>
      <c r="DD137" s="675">
        <v>0</v>
      </c>
      <c r="DE137" s="675">
        <v>536773</v>
      </c>
      <c r="DF137" s="675">
        <v>536773</v>
      </c>
      <c r="DG137" s="675">
        <v>409.5</v>
      </c>
      <c r="DH137" s="675">
        <v>0</v>
      </c>
      <c r="DI137" s="675">
        <v>0</v>
      </c>
      <c r="DJ137" s="675">
        <v>0</v>
      </c>
      <c r="DK137" s="675">
        <v>5392</v>
      </c>
      <c r="DL137" s="675">
        <v>0</v>
      </c>
      <c r="DM137" s="675">
        <v>280270</v>
      </c>
      <c r="DN137" s="675">
        <v>0</v>
      </c>
      <c r="DO137" s="675">
        <v>0</v>
      </c>
      <c r="DP137" s="675">
        <v>0</v>
      </c>
      <c r="DQ137" s="675">
        <v>0</v>
      </c>
      <c r="DR137" s="675">
        <v>0</v>
      </c>
      <c r="DS137" s="675">
        <v>0</v>
      </c>
      <c r="DT137" s="675">
        <v>0</v>
      </c>
      <c r="DU137" s="675">
        <v>0</v>
      </c>
      <c r="DV137" s="675">
        <v>0</v>
      </c>
      <c r="DW137" s="675">
        <v>0</v>
      </c>
      <c r="DX137" s="675">
        <v>0</v>
      </c>
      <c r="DY137" s="675">
        <v>0</v>
      </c>
      <c r="DZ137" s="675">
        <v>0</v>
      </c>
      <c r="EA137" s="675">
        <v>0</v>
      </c>
      <c r="EB137" s="675">
        <v>0</v>
      </c>
      <c r="EC137" s="675">
        <v>22.822000000000003</v>
      </c>
      <c r="ED137" s="675">
        <v>164533</v>
      </c>
      <c r="EE137" s="675">
        <v>0</v>
      </c>
      <c r="EF137" s="675">
        <v>0</v>
      </c>
      <c r="EG137" s="675">
        <v>0</v>
      </c>
      <c r="EH137" s="675">
        <v>36224</v>
      </c>
      <c r="EI137" s="675">
        <v>79513</v>
      </c>
      <c r="EJ137" s="675">
        <v>3.0330000000000004</v>
      </c>
      <c r="EK137" s="675">
        <v>0.91900000000000004</v>
      </c>
      <c r="EL137" s="675">
        <v>0</v>
      </c>
      <c r="EM137" s="675">
        <v>0</v>
      </c>
      <c r="EN137" s="675">
        <v>0.55400000000000005</v>
      </c>
      <c r="EO137" s="675">
        <v>0</v>
      </c>
      <c r="EP137" s="675">
        <v>0</v>
      </c>
      <c r="EQ137" s="675">
        <v>4.5060000000000002</v>
      </c>
      <c r="ER137" s="675">
        <v>0</v>
      </c>
      <c r="ES137" s="675">
        <v>5.5270000000000001</v>
      </c>
      <c r="ET137" s="675">
        <v>500</v>
      </c>
      <c r="EU137" s="675">
        <v>130489</v>
      </c>
      <c r="EV137" s="675">
        <v>0</v>
      </c>
      <c r="EW137" s="675">
        <v>0</v>
      </c>
      <c r="EX137" s="675">
        <v>0</v>
      </c>
      <c r="EY137" s="675">
        <v>0</v>
      </c>
      <c r="EZ137" s="675">
        <v>3641575</v>
      </c>
      <c r="FA137" s="675">
        <v>0</v>
      </c>
      <c r="FB137" s="675">
        <v>3772064</v>
      </c>
      <c r="FC137" s="675">
        <v>0.97327799999999998</v>
      </c>
      <c r="FD137" s="675">
        <v>0</v>
      </c>
      <c r="FE137" s="675">
        <v>558920</v>
      </c>
      <c r="FF137" s="675">
        <v>125952</v>
      </c>
      <c r="FG137" s="675">
        <v>6.1239999999999996E-2</v>
      </c>
      <c r="FH137" s="675">
        <v>5.4803999999999999E-2</v>
      </c>
      <c r="FI137" s="675">
        <v>0</v>
      </c>
      <c r="FJ137" s="675">
        <v>0</v>
      </c>
      <c r="FK137" s="675">
        <v>719.31600000000003</v>
      </c>
      <c r="FL137" s="675">
        <v>4542026</v>
      </c>
      <c r="FM137" s="675">
        <v>0</v>
      </c>
      <c r="FN137" s="675">
        <v>0</v>
      </c>
      <c r="FO137" s="675">
        <v>0</v>
      </c>
      <c r="FP137" s="675">
        <v>0</v>
      </c>
      <c r="FQ137" s="675">
        <v>0</v>
      </c>
      <c r="FR137" s="675">
        <v>0</v>
      </c>
      <c r="FS137" s="675">
        <v>0</v>
      </c>
      <c r="FT137" s="675">
        <v>0</v>
      </c>
      <c r="FU137" s="675">
        <v>0</v>
      </c>
      <c r="FV137" s="675">
        <v>0</v>
      </c>
      <c r="FW137" s="675">
        <v>0</v>
      </c>
      <c r="FX137" s="675">
        <v>0</v>
      </c>
      <c r="FY137" s="675">
        <v>0</v>
      </c>
      <c r="FZ137" s="675">
        <v>0</v>
      </c>
      <c r="GA137" s="675">
        <v>0</v>
      </c>
      <c r="GB137" s="675">
        <v>0</v>
      </c>
      <c r="GC137" s="675">
        <v>0</v>
      </c>
      <c r="GD137" s="675">
        <v>0</v>
      </c>
      <c r="GE137" s="675">
        <v>0</v>
      </c>
      <c r="GF137" s="675">
        <v>0</v>
      </c>
      <c r="GG137" s="675">
        <v>0</v>
      </c>
      <c r="GH137" s="675">
        <v>0</v>
      </c>
      <c r="GI137" s="675">
        <v>0</v>
      </c>
      <c r="GJ137" s="675">
        <v>0</v>
      </c>
      <c r="GK137" s="675">
        <v>5176</v>
      </c>
      <c r="GL137" s="675">
        <v>6273</v>
      </c>
      <c r="GM137" s="675">
        <v>0</v>
      </c>
      <c r="GN137" s="675">
        <v>0</v>
      </c>
      <c r="GO137" s="675">
        <v>0</v>
      </c>
      <c r="GP137" s="675">
        <v>4456936</v>
      </c>
      <c r="GQ137" s="675">
        <v>4456936</v>
      </c>
      <c r="GR137" s="675">
        <v>0</v>
      </c>
      <c r="GS137" s="675">
        <v>0</v>
      </c>
      <c r="GT137" s="675">
        <v>0</v>
      </c>
      <c r="GU137" s="675">
        <v>0</v>
      </c>
      <c r="GV137" s="675">
        <v>0</v>
      </c>
      <c r="GW137" s="675">
        <v>0</v>
      </c>
      <c r="GX137" s="675">
        <v>0</v>
      </c>
      <c r="GY137" s="675">
        <v>0</v>
      </c>
      <c r="GZ137" s="675">
        <v>0</v>
      </c>
      <c r="HA137" s="675">
        <v>0</v>
      </c>
      <c r="HB137" s="675">
        <v>260786259</v>
      </c>
      <c r="HC137" s="675">
        <v>5.0923999999999997E-2</v>
      </c>
      <c r="HD137" s="675">
        <v>84590</v>
      </c>
      <c r="HE137" s="675">
        <v>0</v>
      </c>
      <c r="HF137" s="675">
        <v>0</v>
      </c>
      <c r="HG137" s="675">
        <v>0</v>
      </c>
      <c r="HH137" s="675">
        <v>0</v>
      </c>
      <c r="HI137" s="675">
        <v>0</v>
      </c>
      <c r="HJ137" s="675">
        <v>0</v>
      </c>
      <c r="HK137" s="675">
        <v>0</v>
      </c>
      <c r="HL137" s="675">
        <v>0</v>
      </c>
      <c r="HM137" s="675">
        <v>0</v>
      </c>
      <c r="HN137" s="675">
        <v>0</v>
      </c>
      <c r="HO137" s="675">
        <v>0</v>
      </c>
      <c r="HP137" s="675">
        <v>0</v>
      </c>
      <c r="HQ137" s="675">
        <v>0</v>
      </c>
      <c r="HR137" s="675">
        <v>0</v>
      </c>
      <c r="HS137" s="675">
        <v>0</v>
      </c>
      <c r="HT137" s="675">
        <v>0</v>
      </c>
      <c r="HU137" s="675">
        <v>0</v>
      </c>
      <c r="HV137" s="675">
        <v>0</v>
      </c>
      <c r="HW137" s="675">
        <v>0</v>
      </c>
      <c r="HX137" s="675">
        <v>0</v>
      </c>
      <c r="HY137" s="675">
        <v>0</v>
      </c>
      <c r="HZ137" s="675">
        <v>0</v>
      </c>
      <c r="IA137" s="675">
        <v>0</v>
      </c>
      <c r="IB137" s="675">
        <v>0</v>
      </c>
      <c r="IC137" s="675">
        <v>0</v>
      </c>
      <c r="ID137" s="675">
        <v>0</v>
      </c>
      <c r="IE137" s="675">
        <v>0</v>
      </c>
      <c r="IF137" s="675">
        <v>0</v>
      </c>
      <c r="IG137" s="675">
        <v>0</v>
      </c>
      <c r="IH137" s="675">
        <v>0</v>
      </c>
      <c r="II137" s="675">
        <v>0</v>
      </c>
      <c r="IJ137" s="675">
        <v>0</v>
      </c>
      <c r="IK137" s="675">
        <v>0</v>
      </c>
      <c r="IL137" s="675">
        <v>0</v>
      </c>
      <c r="IM137" s="675">
        <v>0</v>
      </c>
      <c r="IN137" s="675">
        <v>0</v>
      </c>
      <c r="IO137" s="675">
        <v>0</v>
      </c>
      <c r="IP137" s="675">
        <v>0</v>
      </c>
      <c r="IQ137" s="675">
        <v>0</v>
      </c>
      <c r="IR137" s="675">
        <v>0</v>
      </c>
      <c r="IS137" s="675">
        <v>0</v>
      </c>
      <c r="IT137" s="675">
        <v>0</v>
      </c>
      <c r="IU137" s="675">
        <v>0</v>
      </c>
      <c r="IV137" s="675">
        <v>0</v>
      </c>
      <c r="IW137" s="675">
        <v>0</v>
      </c>
      <c r="IX137" s="675">
        <v>0</v>
      </c>
      <c r="IY137" s="675">
        <v>0</v>
      </c>
      <c r="IZ137" s="675">
        <v>0</v>
      </c>
      <c r="JA137" s="675">
        <v>0</v>
      </c>
      <c r="JB137" s="675">
        <v>0</v>
      </c>
      <c r="JC137" s="675">
        <v>0</v>
      </c>
      <c r="JD137" s="675">
        <v>0</v>
      </c>
      <c r="JE137" s="675">
        <v>0</v>
      </c>
      <c r="JF137" s="675">
        <v>0</v>
      </c>
      <c r="JG137" s="675">
        <v>0</v>
      </c>
      <c r="JH137" s="675">
        <v>0</v>
      </c>
      <c r="JI137" s="675">
        <v>0</v>
      </c>
      <c r="JJ137" s="675">
        <v>0</v>
      </c>
      <c r="JK137" s="675">
        <v>0</v>
      </c>
      <c r="JL137" s="675">
        <v>0</v>
      </c>
      <c r="JM137" s="675">
        <v>0</v>
      </c>
      <c r="JN137" s="675">
        <v>32469</v>
      </c>
      <c r="JO137" s="675">
        <v>0</v>
      </c>
      <c r="JP137" s="675">
        <v>0</v>
      </c>
      <c r="JQ137" s="675">
        <v>0</v>
      </c>
      <c r="JR137" s="675">
        <v>0</v>
      </c>
      <c r="JS137" s="675">
        <v>0</v>
      </c>
      <c r="JT137" s="675">
        <v>0</v>
      </c>
      <c r="JU137" s="675">
        <v>0</v>
      </c>
      <c r="JV137" s="675">
        <v>0</v>
      </c>
      <c r="JW137" s="675">
        <v>0</v>
      </c>
      <c r="JX137" s="675">
        <v>0</v>
      </c>
      <c r="JY137" s="675">
        <v>0</v>
      </c>
      <c r="JZ137" s="675">
        <v>0</v>
      </c>
      <c r="KA137" s="675">
        <v>0</v>
      </c>
      <c r="KB137" s="675">
        <v>0</v>
      </c>
      <c r="KC137" s="675">
        <v>0</v>
      </c>
      <c r="KD137" s="675">
        <v>0</v>
      </c>
      <c r="KE137" s="675">
        <v>0</v>
      </c>
      <c r="KF137" s="675">
        <v>0</v>
      </c>
    </row>
    <row r="138" spans="1:292" x14ac:dyDescent="0.25">
      <c r="A138" s="675">
        <v>123807</v>
      </c>
      <c r="B138" s="675">
        <v>32570</v>
      </c>
      <c r="C138" s="675">
        <v>35</v>
      </c>
      <c r="D138" s="675">
        <v>2022</v>
      </c>
      <c r="E138" s="675">
        <v>5392</v>
      </c>
      <c r="F138" s="675">
        <v>0</v>
      </c>
      <c r="G138" s="675">
        <v>1632.4350000000002</v>
      </c>
      <c r="H138" s="675">
        <v>1441.9870000000001</v>
      </c>
      <c r="I138" s="675">
        <v>1441.9870000000001</v>
      </c>
      <c r="J138" s="675">
        <v>1632.4350000000002</v>
      </c>
      <c r="K138" s="675">
        <v>0</v>
      </c>
      <c r="L138" s="675">
        <v>6554</v>
      </c>
      <c r="M138" s="675">
        <v>0</v>
      </c>
      <c r="N138" s="675">
        <v>0</v>
      </c>
      <c r="O138" s="675">
        <v>0</v>
      </c>
      <c r="P138" s="675">
        <v>1279.3630000000001</v>
      </c>
      <c r="Q138" s="675">
        <v>0</v>
      </c>
      <c r="R138" s="675">
        <v>409029</v>
      </c>
      <c r="S138" s="675">
        <v>319.71300000000002</v>
      </c>
      <c r="T138" s="675">
        <v>0</v>
      </c>
      <c r="U138" s="675">
        <v>409029</v>
      </c>
      <c r="V138" s="675">
        <v>678.21900000000005</v>
      </c>
      <c r="W138" s="675">
        <v>444505</v>
      </c>
      <c r="X138" s="675">
        <v>444505</v>
      </c>
      <c r="Y138" s="675">
        <v>0</v>
      </c>
      <c r="Z138" s="675">
        <v>0</v>
      </c>
      <c r="AA138" s="675">
        <v>1</v>
      </c>
      <c r="AB138" s="675">
        <v>1</v>
      </c>
      <c r="AC138" s="675">
        <v>0</v>
      </c>
      <c r="AD138" s="675" t="s">
        <v>316</v>
      </c>
      <c r="AE138" s="675">
        <v>0</v>
      </c>
      <c r="AF138" s="675">
        <v>0</v>
      </c>
      <c r="AG138" s="675">
        <v>0</v>
      </c>
      <c r="AH138" s="675">
        <v>0</v>
      </c>
      <c r="AI138" s="675">
        <v>0</v>
      </c>
      <c r="AJ138" s="675">
        <v>5104</v>
      </c>
      <c r="AK138" s="675" t="s">
        <v>671</v>
      </c>
      <c r="AL138" s="675" t="s">
        <v>357</v>
      </c>
      <c r="AM138" s="675">
        <v>0</v>
      </c>
      <c r="AN138" s="675">
        <v>0</v>
      </c>
      <c r="AO138" s="675">
        <v>0</v>
      </c>
      <c r="AP138" s="675">
        <v>0</v>
      </c>
      <c r="AQ138" s="675">
        <v>0</v>
      </c>
      <c r="AR138" s="675">
        <v>0</v>
      </c>
      <c r="AS138" s="675">
        <v>0</v>
      </c>
      <c r="AT138" s="675">
        <v>0</v>
      </c>
      <c r="AU138" s="675">
        <v>0</v>
      </c>
      <c r="AV138" s="675">
        <v>456</v>
      </c>
      <c r="AW138" s="675">
        <v>16617984</v>
      </c>
      <c r="AX138" s="675">
        <v>16184189</v>
      </c>
      <c r="AY138" s="675">
        <v>17594564</v>
      </c>
      <c r="AZ138" s="675">
        <v>521107</v>
      </c>
      <c r="BA138" s="675">
        <v>0</v>
      </c>
      <c r="BB138" s="675">
        <v>0</v>
      </c>
      <c r="BC138" s="675">
        <v>0</v>
      </c>
      <c r="BD138" s="675">
        <v>0</v>
      </c>
      <c r="BE138" s="675">
        <v>0</v>
      </c>
      <c r="BF138" s="675">
        <v>13651642</v>
      </c>
      <c r="BG138" s="675">
        <v>0</v>
      </c>
      <c r="BH138" s="675">
        <v>407.55600000000004</v>
      </c>
      <c r="BI138" s="675">
        <v>112078</v>
      </c>
      <c r="BJ138" s="675">
        <v>12</v>
      </c>
      <c r="BK138" s="675">
        <v>0</v>
      </c>
      <c r="BL138" s="675">
        <v>0</v>
      </c>
      <c r="BM138" s="675">
        <v>0</v>
      </c>
      <c r="BN138" s="675">
        <v>0</v>
      </c>
      <c r="BO138" s="675">
        <v>0</v>
      </c>
      <c r="BP138" s="675">
        <v>0</v>
      </c>
      <c r="BQ138" s="675">
        <v>5392</v>
      </c>
      <c r="BR138" s="675">
        <v>1</v>
      </c>
      <c r="BS138" s="675">
        <v>0</v>
      </c>
      <c r="BT138" s="675">
        <v>0</v>
      </c>
      <c r="BU138" s="675">
        <v>0</v>
      </c>
      <c r="BV138" s="675">
        <v>0</v>
      </c>
      <c r="BW138" s="675">
        <v>0</v>
      </c>
      <c r="BX138" s="675">
        <v>0</v>
      </c>
      <c r="BY138" s="675">
        <v>0</v>
      </c>
      <c r="BZ138" s="675">
        <v>0</v>
      </c>
      <c r="CA138" s="675">
        <v>0</v>
      </c>
      <c r="CB138" s="675">
        <v>0</v>
      </c>
      <c r="CC138" s="675">
        <v>0</v>
      </c>
      <c r="CD138" s="675">
        <v>0</v>
      </c>
      <c r="CE138" s="675">
        <v>0</v>
      </c>
      <c r="CF138" s="675">
        <v>0</v>
      </c>
      <c r="CG138" s="675">
        <v>0</v>
      </c>
      <c r="CH138" s="675">
        <v>321717</v>
      </c>
      <c r="CI138" s="675">
        <v>0</v>
      </c>
      <c r="CJ138" s="675">
        <v>4</v>
      </c>
      <c r="CK138" s="675">
        <v>0</v>
      </c>
      <c r="CL138" s="675">
        <v>0</v>
      </c>
      <c r="CM138" s="675">
        <v>0</v>
      </c>
      <c r="CN138" s="675">
        <v>0</v>
      </c>
      <c r="CO138" s="675">
        <v>0</v>
      </c>
      <c r="CP138" s="675">
        <v>0</v>
      </c>
      <c r="CQ138" s="675">
        <v>0</v>
      </c>
      <c r="CR138" s="675">
        <v>1279.3630000000001</v>
      </c>
      <c r="CS138" s="675">
        <v>0</v>
      </c>
      <c r="CT138" s="675">
        <v>0</v>
      </c>
      <c r="CU138" s="675">
        <v>0</v>
      </c>
      <c r="CV138" s="675">
        <v>0</v>
      </c>
      <c r="CW138" s="675">
        <v>0</v>
      </c>
      <c r="CX138" s="675">
        <v>0</v>
      </c>
      <c r="CY138" s="675">
        <v>0</v>
      </c>
      <c r="CZ138" s="675">
        <v>0</v>
      </c>
      <c r="DA138" s="675">
        <v>1</v>
      </c>
      <c r="DB138" s="675">
        <v>9450783</v>
      </c>
      <c r="DC138" s="675">
        <v>0</v>
      </c>
      <c r="DD138" s="675">
        <v>0</v>
      </c>
      <c r="DE138" s="675">
        <v>2090503</v>
      </c>
      <c r="DF138" s="675">
        <v>2090503</v>
      </c>
      <c r="DG138" s="675">
        <v>1594.83</v>
      </c>
      <c r="DH138" s="675">
        <v>0</v>
      </c>
      <c r="DI138" s="675">
        <v>0</v>
      </c>
      <c r="DJ138" s="675">
        <v>0</v>
      </c>
      <c r="DK138" s="675">
        <v>5392</v>
      </c>
      <c r="DL138" s="675">
        <v>0</v>
      </c>
      <c r="DM138" s="675">
        <v>582101</v>
      </c>
      <c r="DN138" s="675">
        <v>0</v>
      </c>
      <c r="DO138" s="675">
        <v>0</v>
      </c>
      <c r="DP138" s="675">
        <v>0</v>
      </c>
      <c r="DQ138" s="675">
        <v>0</v>
      </c>
      <c r="DR138" s="675">
        <v>0</v>
      </c>
      <c r="DS138" s="675">
        <v>0</v>
      </c>
      <c r="DT138" s="675">
        <v>0</v>
      </c>
      <c r="DU138" s="675">
        <v>0</v>
      </c>
      <c r="DV138" s="675">
        <v>0</v>
      </c>
      <c r="DW138" s="675">
        <v>0</v>
      </c>
      <c r="DX138" s="675">
        <v>0</v>
      </c>
      <c r="DY138" s="675">
        <v>0</v>
      </c>
      <c r="DZ138" s="675">
        <v>0</v>
      </c>
      <c r="EA138" s="675">
        <v>0</v>
      </c>
      <c r="EB138" s="675">
        <v>0</v>
      </c>
      <c r="EC138" s="675">
        <v>8.1710000000000012</v>
      </c>
      <c r="ED138" s="675">
        <v>58908</v>
      </c>
      <c r="EE138" s="675">
        <v>0</v>
      </c>
      <c r="EF138" s="675">
        <v>0</v>
      </c>
      <c r="EG138" s="675">
        <v>0</v>
      </c>
      <c r="EH138" s="675">
        <v>523193</v>
      </c>
      <c r="EI138" s="675">
        <v>0</v>
      </c>
      <c r="EJ138" s="675">
        <v>0</v>
      </c>
      <c r="EK138" s="675">
        <v>17.376000000000001</v>
      </c>
      <c r="EL138" s="675">
        <v>0</v>
      </c>
      <c r="EM138" s="675">
        <v>6.9850000000000003</v>
      </c>
      <c r="EN138" s="675">
        <v>1.349</v>
      </c>
      <c r="EO138" s="675">
        <v>0</v>
      </c>
      <c r="EP138" s="675">
        <v>0</v>
      </c>
      <c r="EQ138" s="675">
        <v>25.71</v>
      </c>
      <c r="ER138" s="675">
        <v>0</v>
      </c>
      <c r="ES138" s="675">
        <v>79.828000000000003</v>
      </c>
      <c r="ET138" s="675">
        <v>0</v>
      </c>
      <c r="EU138" s="675">
        <v>521107</v>
      </c>
      <c r="EV138" s="675">
        <v>0</v>
      </c>
      <c r="EW138" s="675">
        <v>0</v>
      </c>
      <c r="EX138" s="675">
        <v>0</v>
      </c>
      <c r="EY138" s="675">
        <v>0</v>
      </c>
      <c r="EZ138" s="675">
        <v>13637482</v>
      </c>
      <c r="FA138" s="675">
        <v>0</v>
      </c>
      <c r="FB138" s="675">
        <v>14158589</v>
      </c>
      <c r="FC138" s="675">
        <v>0.97327799999999998</v>
      </c>
      <c r="FD138" s="675">
        <v>0</v>
      </c>
      <c r="FE138" s="675">
        <v>2078353</v>
      </c>
      <c r="FF138" s="675">
        <v>468354</v>
      </c>
      <c r="FG138" s="675">
        <v>6.1239999999999996E-2</v>
      </c>
      <c r="FH138" s="675">
        <v>5.4803999999999999E-2</v>
      </c>
      <c r="FI138" s="675">
        <v>0</v>
      </c>
      <c r="FJ138" s="675">
        <v>0</v>
      </c>
      <c r="FK138" s="675">
        <v>2674.7870000000003</v>
      </c>
      <c r="FL138" s="675">
        <v>17027013</v>
      </c>
      <c r="FM138" s="675">
        <v>0</v>
      </c>
      <c r="FN138" s="675">
        <v>0</v>
      </c>
      <c r="FO138" s="675">
        <v>11339</v>
      </c>
      <c r="FP138" s="675">
        <v>6199</v>
      </c>
      <c r="FQ138" s="675">
        <v>20047</v>
      </c>
      <c r="FR138" s="675">
        <v>11339</v>
      </c>
      <c r="FS138" s="675">
        <v>2509</v>
      </c>
      <c r="FT138" s="675">
        <v>0</v>
      </c>
      <c r="FU138" s="675">
        <v>0</v>
      </c>
      <c r="FV138" s="675">
        <v>0</v>
      </c>
      <c r="FW138" s="675">
        <v>0</v>
      </c>
      <c r="FX138" s="675">
        <v>0</v>
      </c>
      <c r="FY138" s="675">
        <v>0</v>
      </c>
      <c r="FZ138" s="675">
        <v>986</v>
      </c>
      <c r="GA138" s="675">
        <v>19.728999999999999</v>
      </c>
      <c r="GB138" s="675">
        <v>1458572</v>
      </c>
      <c r="GC138" s="675">
        <v>1458572</v>
      </c>
      <c r="GD138" s="675">
        <v>164.738</v>
      </c>
      <c r="GE138" s="675">
        <v>0</v>
      </c>
      <c r="GF138" s="675">
        <v>0</v>
      </c>
      <c r="GG138" s="675">
        <v>0</v>
      </c>
      <c r="GH138" s="675">
        <v>0</v>
      </c>
      <c r="GI138" s="675">
        <v>0</v>
      </c>
      <c r="GJ138" s="675">
        <v>0</v>
      </c>
      <c r="GK138" s="675">
        <v>4971</v>
      </c>
      <c r="GL138" s="675">
        <v>0</v>
      </c>
      <c r="GM138" s="675">
        <v>0</v>
      </c>
      <c r="GN138" s="675">
        <v>0</v>
      </c>
      <c r="GO138" s="675">
        <v>0</v>
      </c>
      <c r="GP138" s="675">
        <v>16705296</v>
      </c>
      <c r="GQ138" s="675">
        <v>16705296</v>
      </c>
      <c r="GR138" s="675">
        <v>0</v>
      </c>
      <c r="GS138" s="675">
        <v>0</v>
      </c>
      <c r="GT138" s="675">
        <v>0</v>
      </c>
      <c r="GU138" s="675">
        <v>0</v>
      </c>
      <c r="GV138" s="675">
        <v>0</v>
      </c>
      <c r="GW138" s="675">
        <v>0</v>
      </c>
      <c r="GX138" s="675">
        <v>0</v>
      </c>
      <c r="GY138" s="675">
        <v>0</v>
      </c>
      <c r="GZ138" s="675">
        <v>0</v>
      </c>
      <c r="HA138" s="675">
        <v>0</v>
      </c>
      <c r="HB138" s="675">
        <v>260786259</v>
      </c>
      <c r="HC138" s="675">
        <v>5.0923999999999997E-2</v>
      </c>
      <c r="HD138" s="675">
        <v>321717</v>
      </c>
      <c r="HE138" s="675">
        <v>0</v>
      </c>
      <c r="HF138" s="675">
        <v>0</v>
      </c>
      <c r="HG138" s="675">
        <v>0</v>
      </c>
      <c r="HH138" s="675">
        <v>0</v>
      </c>
      <c r="HI138" s="675">
        <v>0</v>
      </c>
      <c r="HJ138" s="675">
        <v>0</v>
      </c>
      <c r="HK138" s="675">
        <v>0</v>
      </c>
      <c r="HL138" s="675">
        <v>0</v>
      </c>
      <c r="HM138" s="675">
        <v>0</v>
      </c>
      <c r="HN138" s="675">
        <v>0</v>
      </c>
      <c r="HO138" s="675">
        <v>0</v>
      </c>
      <c r="HP138" s="675">
        <v>0</v>
      </c>
      <c r="HQ138" s="675">
        <v>0</v>
      </c>
      <c r="HR138" s="675">
        <v>0</v>
      </c>
      <c r="HS138" s="675">
        <v>0</v>
      </c>
      <c r="HT138" s="675">
        <v>0</v>
      </c>
      <c r="HU138" s="675">
        <v>0</v>
      </c>
      <c r="HV138" s="675">
        <v>0</v>
      </c>
      <c r="HW138" s="675">
        <v>0</v>
      </c>
      <c r="HX138" s="675">
        <v>0</v>
      </c>
      <c r="HY138" s="675">
        <v>0</v>
      </c>
      <c r="HZ138" s="675">
        <v>0</v>
      </c>
      <c r="IA138" s="675">
        <v>0</v>
      </c>
      <c r="IB138" s="675">
        <v>0</v>
      </c>
      <c r="IC138" s="675">
        <v>0</v>
      </c>
      <c r="ID138" s="675">
        <v>0</v>
      </c>
      <c r="IE138" s="675">
        <v>0</v>
      </c>
      <c r="IF138" s="675">
        <v>0</v>
      </c>
      <c r="IG138" s="675">
        <v>0</v>
      </c>
      <c r="IH138" s="675">
        <v>0</v>
      </c>
      <c r="II138" s="675">
        <v>0</v>
      </c>
      <c r="IJ138" s="675">
        <v>0</v>
      </c>
      <c r="IK138" s="675">
        <v>0</v>
      </c>
      <c r="IL138" s="675">
        <v>0</v>
      </c>
      <c r="IM138" s="675">
        <v>0</v>
      </c>
      <c r="IN138" s="675">
        <v>0</v>
      </c>
      <c r="IO138" s="675">
        <v>0</v>
      </c>
      <c r="IP138" s="675">
        <v>0</v>
      </c>
      <c r="IQ138" s="675">
        <v>0</v>
      </c>
      <c r="IR138" s="675">
        <v>0</v>
      </c>
      <c r="IS138" s="675">
        <v>0</v>
      </c>
      <c r="IT138" s="675">
        <v>0</v>
      </c>
      <c r="IU138" s="675">
        <v>0</v>
      </c>
      <c r="IV138" s="675">
        <v>0</v>
      </c>
      <c r="IW138" s="675">
        <v>0</v>
      </c>
      <c r="IX138" s="675">
        <v>0</v>
      </c>
      <c r="IY138" s="675">
        <v>0</v>
      </c>
      <c r="IZ138" s="675">
        <v>0</v>
      </c>
      <c r="JA138" s="675">
        <v>0</v>
      </c>
      <c r="JB138" s="675">
        <v>0</v>
      </c>
      <c r="JC138" s="675">
        <v>0</v>
      </c>
      <c r="JD138" s="675">
        <v>0</v>
      </c>
      <c r="JE138" s="675">
        <v>0</v>
      </c>
      <c r="JF138" s="675">
        <v>0</v>
      </c>
      <c r="JG138" s="675">
        <v>0</v>
      </c>
      <c r="JH138" s="675">
        <v>0</v>
      </c>
      <c r="JI138" s="675">
        <v>0</v>
      </c>
      <c r="JJ138" s="675">
        <v>0</v>
      </c>
      <c r="JK138" s="675">
        <v>0</v>
      </c>
      <c r="JL138" s="675">
        <v>0</v>
      </c>
      <c r="JM138" s="675">
        <v>0</v>
      </c>
      <c r="JN138" s="675">
        <v>32469</v>
      </c>
      <c r="JO138" s="675">
        <v>0</v>
      </c>
      <c r="JP138" s="675">
        <v>0</v>
      </c>
      <c r="JQ138" s="675">
        <v>0</v>
      </c>
      <c r="JR138" s="675">
        <v>0</v>
      </c>
      <c r="JS138" s="675">
        <v>0</v>
      </c>
      <c r="JT138" s="675">
        <v>0</v>
      </c>
      <c r="JU138" s="675">
        <v>0</v>
      </c>
      <c r="JV138" s="675">
        <v>0</v>
      </c>
      <c r="JW138" s="675">
        <v>0</v>
      </c>
      <c r="JX138" s="675">
        <v>0</v>
      </c>
      <c r="JY138" s="675">
        <v>0</v>
      </c>
      <c r="JZ138" s="675">
        <v>0</v>
      </c>
      <c r="KA138" s="675">
        <v>0</v>
      </c>
      <c r="KB138" s="675">
        <v>0</v>
      </c>
      <c r="KC138" s="675">
        <v>0</v>
      </c>
      <c r="KD138" s="675">
        <v>0</v>
      </c>
      <c r="KE138" s="675">
        <v>0</v>
      </c>
      <c r="KF138" s="675">
        <v>0</v>
      </c>
    </row>
    <row r="139" spans="1:292" ht="13" x14ac:dyDescent="0.3">
      <c r="A139" s="675">
        <v>130801</v>
      </c>
      <c r="B139" s="675">
        <v>32570</v>
      </c>
      <c r="C139" s="675">
        <v>35</v>
      </c>
      <c r="D139" s="675">
        <v>2022</v>
      </c>
      <c r="E139" s="675">
        <v>5392</v>
      </c>
      <c r="F139" s="675">
        <v>0</v>
      </c>
      <c r="G139" s="675">
        <v>86.275000000000006</v>
      </c>
      <c r="H139" s="675">
        <v>55.627000000000002</v>
      </c>
      <c r="I139" s="675">
        <v>55.627000000000002</v>
      </c>
      <c r="J139" s="675">
        <v>86.275000000000006</v>
      </c>
      <c r="K139" s="675">
        <v>0</v>
      </c>
      <c r="L139" s="675">
        <v>6554</v>
      </c>
      <c r="M139" s="675">
        <v>0</v>
      </c>
      <c r="N139" s="675">
        <v>0</v>
      </c>
      <c r="O139" s="675">
        <v>0</v>
      </c>
      <c r="P139" s="675">
        <v>107.465</v>
      </c>
      <c r="Q139" s="675">
        <v>0</v>
      </c>
      <c r="R139" s="676">
        <v>34358</v>
      </c>
      <c r="S139" s="675">
        <v>319.71300000000002</v>
      </c>
      <c r="T139" s="675">
        <v>0</v>
      </c>
      <c r="U139" s="676">
        <v>34358</v>
      </c>
      <c r="V139" s="676">
        <v>0</v>
      </c>
      <c r="W139" s="676">
        <v>0</v>
      </c>
      <c r="X139" s="676">
        <v>0</v>
      </c>
      <c r="Y139" s="675">
        <v>0</v>
      </c>
      <c r="Z139" s="675">
        <v>0</v>
      </c>
      <c r="AA139" s="675">
        <v>1</v>
      </c>
      <c r="AB139" s="675">
        <v>1</v>
      </c>
      <c r="AC139" s="675">
        <v>0</v>
      </c>
      <c r="AD139" s="675" t="s">
        <v>316</v>
      </c>
      <c r="AE139" s="675">
        <v>0</v>
      </c>
      <c r="AF139" s="675">
        <v>0</v>
      </c>
      <c r="AG139" s="675">
        <v>0</v>
      </c>
      <c r="AH139" s="675">
        <v>0</v>
      </c>
      <c r="AI139" s="675">
        <v>0</v>
      </c>
      <c r="AJ139" s="675">
        <v>5104</v>
      </c>
      <c r="AK139" s="675" t="s">
        <v>671</v>
      </c>
      <c r="AL139" s="675" t="s">
        <v>447</v>
      </c>
      <c r="AM139" s="675">
        <v>0</v>
      </c>
      <c r="AN139" s="675">
        <v>0</v>
      </c>
      <c r="AO139" s="675">
        <v>0</v>
      </c>
      <c r="AP139" s="675">
        <v>0</v>
      </c>
      <c r="AQ139" s="675">
        <v>0</v>
      </c>
      <c r="AR139" s="675">
        <v>0</v>
      </c>
      <c r="AS139" s="675">
        <v>0</v>
      </c>
      <c r="AT139" s="675">
        <v>0</v>
      </c>
      <c r="AU139" s="675">
        <v>0</v>
      </c>
      <c r="AV139" s="675">
        <v>121986</v>
      </c>
      <c r="AW139" s="675">
        <v>1509476</v>
      </c>
      <c r="AX139" s="675">
        <v>1482025</v>
      </c>
      <c r="AY139" s="675">
        <v>1476299</v>
      </c>
      <c r="AZ139" s="675">
        <v>44806</v>
      </c>
      <c r="BA139" s="676">
        <v>0</v>
      </c>
      <c r="BB139" s="675">
        <v>0</v>
      </c>
      <c r="BC139" s="675">
        <v>0</v>
      </c>
      <c r="BD139" s="675">
        <v>0</v>
      </c>
      <c r="BE139" s="675">
        <v>0</v>
      </c>
      <c r="BF139" s="675">
        <v>1249073</v>
      </c>
      <c r="BG139" s="675">
        <v>0</v>
      </c>
      <c r="BH139" s="676">
        <v>37.993000000000002</v>
      </c>
      <c r="BI139" s="676">
        <v>10448</v>
      </c>
      <c r="BJ139" s="675">
        <v>12</v>
      </c>
      <c r="BK139" s="675">
        <v>0</v>
      </c>
      <c r="BL139" s="675">
        <v>0</v>
      </c>
      <c r="BM139" s="675">
        <v>0</v>
      </c>
      <c r="BN139" s="675">
        <v>0</v>
      </c>
      <c r="BO139" s="675">
        <v>0</v>
      </c>
      <c r="BP139" s="675">
        <v>0</v>
      </c>
      <c r="BQ139" s="675">
        <v>5392</v>
      </c>
      <c r="BR139" s="675">
        <v>1</v>
      </c>
      <c r="BS139" s="675">
        <v>0</v>
      </c>
      <c r="BT139" s="675">
        <v>0</v>
      </c>
      <c r="BU139" s="675">
        <v>0</v>
      </c>
      <c r="BV139" s="675">
        <v>0</v>
      </c>
      <c r="BW139" s="675">
        <v>0</v>
      </c>
      <c r="BX139" s="675">
        <v>0</v>
      </c>
      <c r="BY139" s="675">
        <v>0</v>
      </c>
      <c r="BZ139" s="675">
        <v>0</v>
      </c>
      <c r="CA139" s="675">
        <v>0</v>
      </c>
      <c r="CB139" s="675">
        <v>0</v>
      </c>
      <c r="CC139" s="675">
        <v>0</v>
      </c>
      <c r="CD139" s="675">
        <v>0</v>
      </c>
      <c r="CE139" s="675">
        <v>0</v>
      </c>
      <c r="CF139" s="675">
        <v>0</v>
      </c>
      <c r="CG139" s="675">
        <v>0</v>
      </c>
      <c r="CH139" s="676">
        <v>17003</v>
      </c>
      <c r="CI139" s="675">
        <v>0</v>
      </c>
      <c r="CJ139" s="675">
        <v>4</v>
      </c>
      <c r="CK139" s="675">
        <v>0</v>
      </c>
      <c r="CL139" s="675">
        <v>0</v>
      </c>
      <c r="CM139" s="675">
        <v>0</v>
      </c>
      <c r="CN139" s="675">
        <v>0</v>
      </c>
      <c r="CO139" s="675">
        <v>0</v>
      </c>
      <c r="CP139" s="675">
        <v>0</v>
      </c>
      <c r="CQ139" s="675">
        <v>0</v>
      </c>
      <c r="CR139" s="675">
        <v>107.465</v>
      </c>
      <c r="CS139" s="675">
        <v>0</v>
      </c>
      <c r="CT139" s="675">
        <v>0</v>
      </c>
      <c r="CU139" s="675">
        <v>0</v>
      </c>
      <c r="CV139" s="675">
        <v>0</v>
      </c>
      <c r="CW139" s="675">
        <v>0</v>
      </c>
      <c r="CX139" s="675">
        <v>0</v>
      </c>
      <c r="CY139" s="675">
        <v>0</v>
      </c>
      <c r="CZ139" s="675">
        <v>0</v>
      </c>
      <c r="DA139" s="675">
        <v>1</v>
      </c>
      <c r="DB139" s="675">
        <v>364579</v>
      </c>
      <c r="DC139" s="675">
        <v>0</v>
      </c>
      <c r="DD139" s="675">
        <v>0</v>
      </c>
      <c r="DE139" s="675">
        <v>146377</v>
      </c>
      <c r="DF139" s="675">
        <v>146377</v>
      </c>
      <c r="DG139" s="675">
        <v>111.67</v>
      </c>
      <c r="DH139" s="675">
        <v>0</v>
      </c>
      <c r="DI139" s="675">
        <v>0</v>
      </c>
      <c r="DJ139" s="675">
        <v>0</v>
      </c>
      <c r="DK139" s="675">
        <v>5392</v>
      </c>
      <c r="DL139" s="675">
        <v>0</v>
      </c>
      <c r="DM139" s="675">
        <v>748443</v>
      </c>
      <c r="DN139" s="675">
        <v>0</v>
      </c>
      <c r="DO139" s="675">
        <v>0</v>
      </c>
      <c r="DP139" s="675">
        <v>0</v>
      </c>
      <c r="DQ139" s="675">
        <v>0</v>
      </c>
      <c r="DR139" s="675">
        <v>0</v>
      </c>
      <c r="DS139" s="675">
        <v>0</v>
      </c>
      <c r="DT139" s="675">
        <v>0</v>
      </c>
      <c r="DU139" s="675">
        <v>0</v>
      </c>
      <c r="DV139" s="675">
        <v>0</v>
      </c>
      <c r="DW139" s="675">
        <v>0</v>
      </c>
      <c r="DX139" s="675">
        <v>0</v>
      </c>
      <c r="DY139" s="675">
        <v>0</v>
      </c>
      <c r="DZ139" s="675">
        <v>0</v>
      </c>
      <c r="EA139" s="675">
        <v>0</v>
      </c>
      <c r="EB139" s="675">
        <v>0</v>
      </c>
      <c r="EC139" s="675">
        <v>2.2749999999999999</v>
      </c>
      <c r="ED139" s="675">
        <v>16401</v>
      </c>
      <c r="EE139" s="675">
        <v>0</v>
      </c>
      <c r="EF139" s="675">
        <v>0</v>
      </c>
      <c r="EG139" s="675">
        <v>0</v>
      </c>
      <c r="EH139" s="675">
        <v>9398</v>
      </c>
      <c r="EI139" s="675">
        <v>722644</v>
      </c>
      <c r="EJ139" s="675">
        <v>27.565000000000001</v>
      </c>
      <c r="EK139" s="675">
        <v>9.4E-2</v>
      </c>
      <c r="EL139" s="675">
        <v>0</v>
      </c>
      <c r="EM139" s="675">
        <v>0.124</v>
      </c>
      <c r="EN139" s="675">
        <v>0.156</v>
      </c>
      <c r="EO139" s="675">
        <v>0</v>
      </c>
      <c r="EP139" s="675">
        <v>0</v>
      </c>
      <c r="EQ139" s="675">
        <v>27.939</v>
      </c>
      <c r="ER139" s="675">
        <v>0</v>
      </c>
      <c r="ES139" s="675">
        <v>1.4340000000000002</v>
      </c>
      <c r="ET139" s="676">
        <v>0</v>
      </c>
      <c r="EU139" s="675">
        <v>44806</v>
      </c>
      <c r="EV139" s="675">
        <v>0</v>
      </c>
      <c r="EW139" s="675">
        <v>0</v>
      </c>
      <c r="EX139" s="675">
        <v>0</v>
      </c>
      <c r="EY139" s="675">
        <v>0</v>
      </c>
      <c r="EZ139" s="675">
        <v>1249010</v>
      </c>
      <c r="FA139" s="675">
        <v>0</v>
      </c>
      <c r="FB139" s="676">
        <v>1293816</v>
      </c>
      <c r="FC139" s="675">
        <v>0.97327799999999998</v>
      </c>
      <c r="FD139" s="675">
        <v>0</v>
      </c>
      <c r="FE139" s="675">
        <v>190162</v>
      </c>
      <c r="FF139" s="675">
        <v>42853</v>
      </c>
      <c r="FG139" s="675">
        <v>6.1239999999999996E-2</v>
      </c>
      <c r="FH139" s="675">
        <v>5.4803999999999999E-2</v>
      </c>
      <c r="FI139" s="675">
        <v>0</v>
      </c>
      <c r="FJ139" s="675">
        <v>0</v>
      </c>
      <c r="FK139" s="675">
        <v>244.733</v>
      </c>
      <c r="FL139" s="675">
        <v>1543834</v>
      </c>
      <c r="FM139" s="675">
        <v>0</v>
      </c>
      <c r="FN139" s="675">
        <v>0</v>
      </c>
      <c r="FO139" s="675">
        <v>0</v>
      </c>
      <c r="FP139" s="675">
        <v>0</v>
      </c>
      <c r="FQ139" s="675">
        <v>0</v>
      </c>
      <c r="FR139" s="675">
        <v>0</v>
      </c>
      <c r="FS139" s="675">
        <v>0</v>
      </c>
      <c r="FT139" s="675">
        <v>0</v>
      </c>
      <c r="FU139" s="675">
        <v>0</v>
      </c>
      <c r="FV139" s="675">
        <v>0</v>
      </c>
      <c r="FW139" s="675">
        <v>0</v>
      </c>
      <c r="FX139" s="675">
        <v>0</v>
      </c>
      <c r="FY139" s="675">
        <v>0</v>
      </c>
      <c r="FZ139" s="675">
        <v>0</v>
      </c>
      <c r="GA139" s="675">
        <v>0</v>
      </c>
      <c r="GB139" s="676">
        <v>23969</v>
      </c>
      <c r="GC139" s="676">
        <v>23969</v>
      </c>
      <c r="GD139" s="676">
        <v>2.7090000000000001</v>
      </c>
      <c r="GE139" s="675">
        <v>0</v>
      </c>
      <c r="GF139" s="675">
        <v>0</v>
      </c>
      <c r="GG139" s="675">
        <v>0</v>
      </c>
      <c r="GH139" s="675">
        <v>0</v>
      </c>
      <c r="GI139" s="675">
        <v>0</v>
      </c>
      <c r="GJ139" s="675">
        <v>0</v>
      </c>
      <c r="GK139" s="675">
        <v>5022</v>
      </c>
      <c r="GL139" s="675">
        <v>2399</v>
      </c>
      <c r="GM139" s="675">
        <v>0</v>
      </c>
      <c r="GN139" s="675">
        <v>0</v>
      </c>
      <c r="GO139" s="675">
        <v>0</v>
      </c>
      <c r="GP139" s="675">
        <v>1526831</v>
      </c>
      <c r="GQ139" s="675">
        <v>1526831</v>
      </c>
      <c r="GR139" s="675">
        <v>0</v>
      </c>
      <c r="GS139" s="675">
        <v>0</v>
      </c>
      <c r="GT139" s="675">
        <v>0</v>
      </c>
      <c r="GU139" s="675">
        <v>0</v>
      </c>
      <c r="GV139" s="675">
        <v>0</v>
      </c>
      <c r="GW139" s="675">
        <v>0</v>
      </c>
      <c r="GX139" s="675">
        <v>0</v>
      </c>
      <c r="GY139" s="675">
        <v>0</v>
      </c>
      <c r="GZ139" s="675">
        <v>0</v>
      </c>
      <c r="HA139" s="675">
        <v>0</v>
      </c>
      <c r="HB139" s="675">
        <v>260786259</v>
      </c>
      <c r="HC139" s="675">
        <v>5.0923999999999997E-2</v>
      </c>
      <c r="HD139" s="676">
        <v>17003</v>
      </c>
      <c r="HE139" s="675">
        <v>0</v>
      </c>
      <c r="HF139" s="675">
        <v>0</v>
      </c>
      <c r="HG139" s="675">
        <v>0</v>
      </c>
      <c r="HH139" s="675">
        <v>0</v>
      </c>
      <c r="HI139" s="675">
        <v>0</v>
      </c>
      <c r="HJ139" s="675">
        <v>0</v>
      </c>
      <c r="HK139" s="675">
        <v>0</v>
      </c>
      <c r="HL139" s="675">
        <v>0</v>
      </c>
      <c r="HM139" s="675">
        <v>0</v>
      </c>
      <c r="HN139" s="675">
        <v>0</v>
      </c>
      <c r="HO139" s="675">
        <v>0</v>
      </c>
      <c r="HP139" s="675">
        <v>0</v>
      </c>
      <c r="HQ139" s="675">
        <v>0</v>
      </c>
      <c r="HR139" s="675">
        <v>0</v>
      </c>
      <c r="HS139" s="675">
        <v>0</v>
      </c>
      <c r="HT139" s="675">
        <v>0</v>
      </c>
      <c r="HU139" s="675">
        <v>0</v>
      </c>
      <c r="HV139" s="675">
        <v>0</v>
      </c>
      <c r="HW139" s="675">
        <v>0</v>
      </c>
      <c r="HX139" s="675">
        <v>0</v>
      </c>
      <c r="HY139" s="675">
        <v>0</v>
      </c>
      <c r="HZ139" s="675">
        <v>0</v>
      </c>
      <c r="IA139" s="675">
        <v>0</v>
      </c>
      <c r="IB139" s="675">
        <v>0</v>
      </c>
      <c r="IC139" s="675">
        <v>0</v>
      </c>
      <c r="ID139" s="675">
        <v>0</v>
      </c>
      <c r="IE139" s="675">
        <v>0</v>
      </c>
      <c r="IF139" s="675">
        <v>0</v>
      </c>
      <c r="IG139" s="675">
        <v>0</v>
      </c>
      <c r="IH139" s="675">
        <v>0</v>
      </c>
      <c r="II139" s="675">
        <v>0</v>
      </c>
      <c r="IJ139" s="675">
        <v>0</v>
      </c>
      <c r="IK139" s="675">
        <v>0</v>
      </c>
      <c r="IL139" s="675">
        <v>0</v>
      </c>
      <c r="IM139" s="675">
        <v>0</v>
      </c>
      <c r="IN139" s="675">
        <v>0</v>
      </c>
      <c r="IO139" s="675">
        <v>0</v>
      </c>
      <c r="IP139" s="675">
        <v>0</v>
      </c>
      <c r="IQ139" s="675">
        <v>0</v>
      </c>
      <c r="IR139" s="675">
        <v>0</v>
      </c>
      <c r="IS139" s="675">
        <v>0</v>
      </c>
      <c r="IT139" s="675">
        <v>0</v>
      </c>
      <c r="IU139" s="675">
        <v>0</v>
      </c>
      <c r="IV139" s="675">
        <v>0</v>
      </c>
      <c r="IW139" s="675">
        <v>0</v>
      </c>
      <c r="IX139" s="675">
        <v>0</v>
      </c>
      <c r="IY139" s="675">
        <v>0</v>
      </c>
      <c r="IZ139" s="675">
        <v>0</v>
      </c>
      <c r="JA139" s="675">
        <v>0</v>
      </c>
      <c r="JB139" s="675">
        <v>0</v>
      </c>
      <c r="JC139" s="675">
        <v>0</v>
      </c>
      <c r="JD139" s="675">
        <v>0</v>
      </c>
      <c r="JE139" s="675">
        <v>0</v>
      </c>
      <c r="JF139" s="675">
        <v>0</v>
      </c>
      <c r="JG139" s="675">
        <v>0</v>
      </c>
      <c r="JH139" s="675">
        <v>0</v>
      </c>
      <c r="JI139" s="675">
        <v>0</v>
      </c>
      <c r="JJ139" s="675">
        <v>0</v>
      </c>
      <c r="JK139" s="675">
        <v>0</v>
      </c>
      <c r="JL139" s="675">
        <v>0</v>
      </c>
      <c r="JM139" s="675">
        <v>0</v>
      </c>
      <c r="JN139" s="675">
        <v>32469</v>
      </c>
      <c r="JO139" s="675">
        <v>0</v>
      </c>
      <c r="JP139" s="675">
        <v>0</v>
      </c>
      <c r="JQ139" s="675">
        <v>0</v>
      </c>
      <c r="JR139" s="675">
        <v>0</v>
      </c>
      <c r="JS139" s="675">
        <v>0</v>
      </c>
      <c r="JT139" s="675">
        <v>0</v>
      </c>
      <c r="JU139" s="675">
        <v>0</v>
      </c>
      <c r="JV139" s="675">
        <v>0</v>
      </c>
      <c r="JW139" s="675">
        <v>0</v>
      </c>
      <c r="JX139" s="675">
        <v>0</v>
      </c>
      <c r="JY139" s="675">
        <v>0</v>
      </c>
      <c r="JZ139" s="675">
        <v>0</v>
      </c>
      <c r="KA139" s="675">
        <v>0</v>
      </c>
      <c r="KB139" s="675">
        <v>0</v>
      </c>
      <c r="KC139" s="675">
        <v>0</v>
      </c>
      <c r="KD139" s="675">
        <v>0</v>
      </c>
      <c r="KE139" s="675">
        <v>0</v>
      </c>
      <c r="KF139" s="675">
        <v>0</v>
      </c>
    </row>
    <row r="140" spans="1:292" x14ac:dyDescent="0.25">
      <c r="A140" s="675">
        <v>152802</v>
      </c>
      <c r="B140" s="675">
        <v>32570</v>
      </c>
      <c r="C140" s="675">
        <v>35</v>
      </c>
      <c r="D140" s="675">
        <v>2022</v>
      </c>
      <c r="E140" s="675">
        <v>5392</v>
      </c>
      <c r="F140" s="675">
        <v>0</v>
      </c>
      <c r="G140" s="675">
        <v>244.02700000000002</v>
      </c>
      <c r="H140" s="675">
        <v>239.87300000000002</v>
      </c>
      <c r="I140" s="675">
        <v>239.87300000000002</v>
      </c>
      <c r="J140" s="675">
        <v>244.02700000000002</v>
      </c>
      <c r="K140" s="675">
        <v>0</v>
      </c>
      <c r="L140" s="675">
        <v>6554</v>
      </c>
      <c r="M140" s="675">
        <v>0</v>
      </c>
      <c r="N140" s="675">
        <v>0</v>
      </c>
      <c r="O140" s="675">
        <v>0</v>
      </c>
      <c r="P140" s="675">
        <v>243.13</v>
      </c>
      <c r="Q140" s="675">
        <v>0</v>
      </c>
      <c r="R140" s="675">
        <v>77732</v>
      </c>
      <c r="S140" s="675">
        <v>319.71300000000002</v>
      </c>
      <c r="T140" s="675">
        <v>0</v>
      </c>
      <c r="U140" s="675">
        <v>77732</v>
      </c>
      <c r="V140" s="675">
        <v>0</v>
      </c>
      <c r="W140" s="675">
        <v>0</v>
      </c>
      <c r="X140" s="675">
        <v>0</v>
      </c>
      <c r="Y140" s="675">
        <v>0</v>
      </c>
      <c r="Z140" s="675">
        <v>0</v>
      </c>
      <c r="AA140" s="675">
        <v>1</v>
      </c>
      <c r="AB140" s="675">
        <v>1</v>
      </c>
      <c r="AC140" s="675">
        <v>0</v>
      </c>
      <c r="AD140" s="675" t="s">
        <v>316</v>
      </c>
      <c r="AE140" s="675">
        <v>0</v>
      </c>
      <c r="AF140" s="675">
        <v>0</v>
      </c>
      <c r="AG140" s="675">
        <v>0</v>
      </c>
      <c r="AH140" s="675">
        <v>0</v>
      </c>
      <c r="AI140" s="675">
        <v>0</v>
      </c>
      <c r="AJ140" s="675">
        <v>5104</v>
      </c>
      <c r="AK140" s="675" t="s">
        <v>671</v>
      </c>
      <c r="AL140" s="675" t="s">
        <v>90</v>
      </c>
      <c r="AM140" s="675">
        <v>0</v>
      </c>
      <c r="AN140" s="675">
        <v>0</v>
      </c>
      <c r="AO140" s="675">
        <v>0</v>
      </c>
      <c r="AP140" s="675">
        <v>0</v>
      </c>
      <c r="AQ140" s="675">
        <v>0</v>
      </c>
      <c r="AR140" s="675">
        <v>0</v>
      </c>
      <c r="AS140" s="675">
        <v>0</v>
      </c>
      <c r="AT140" s="675">
        <v>0</v>
      </c>
      <c r="AU140" s="675">
        <v>0</v>
      </c>
      <c r="AV140" s="675">
        <v>108185</v>
      </c>
      <c r="AW140" s="675">
        <v>2348578</v>
      </c>
      <c r="AX140" s="675">
        <v>2294736</v>
      </c>
      <c r="AY140" s="675">
        <v>2600061</v>
      </c>
      <c r="AZ140" s="675">
        <v>77732</v>
      </c>
      <c r="BA140" s="675">
        <v>11.25</v>
      </c>
      <c r="BB140" s="675">
        <v>0</v>
      </c>
      <c r="BC140" s="675">
        <v>0</v>
      </c>
      <c r="BD140" s="675">
        <v>0</v>
      </c>
      <c r="BE140" s="675">
        <v>0</v>
      </c>
      <c r="BF140" s="675">
        <v>1954248</v>
      </c>
      <c r="BG140" s="675">
        <v>0</v>
      </c>
      <c r="BH140" s="675">
        <v>0</v>
      </c>
      <c r="BI140" s="675">
        <v>0</v>
      </c>
      <c r="BJ140" s="675">
        <v>12</v>
      </c>
      <c r="BK140" s="675">
        <v>0</v>
      </c>
      <c r="BL140" s="675">
        <v>0</v>
      </c>
      <c r="BM140" s="675">
        <v>0</v>
      </c>
      <c r="BN140" s="675">
        <v>0</v>
      </c>
      <c r="BO140" s="675">
        <v>0</v>
      </c>
      <c r="BP140" s="675">
        <v>0</v>
      </c>
      <c r="BQ140" s="675">
        <v>5392</v>
      </c>
      <c r="BR140" s="675">
        <v>1</v>
      </c>
      <c r="BS140" s="675">
        <v>0</v>
      </c>
      <c r="BT140" s="675">
        <v>0</v>
      </c>
      <c r="BU140" s="675">
        <v>0</v>
      </c>
      <c r="BV140" s="675">
        <v>0</v>
      </c>
      <c r="BW140" s="675">
        <v>0</v>
      </c>
      <c r="BX140" s="675">
        <v>0</v>
      </c>
      <c r="BY140" s="675">
        <v>0</v>
      </c>
      <c r="BZ140" s="675">
        <v>0</v>
      </c>
      <c r="CA140" s="675">
        <v>0</v>
      </c>
      <c r="CB140" s="675">
        <v>0</v>
      </c>
      <c r="CC140" s="675">
        <v>0</v>
      </c>
      <c r="CD140" s="675">
        <v>0</v>
      </c>
      <c r="CE140" s="675">
        <v>0</v>
      </c>
      <c r="CF140" s="675">
        <v>0</v>
      </c>
      <c r="CG140" s="675">
        <v>0</v>
      </c>
      <c r="CH140" s="675">
        <v>53842</v>
      </c>
      <c r="CI140" s="675">
        <v>0</v>
      </c>
      <c r="CJ140" s="675">
        <v>4</v>
      </c>
      <c r="CK140" s="675">
        <v>0</v>
      </c>
      <c r="CL140" s="675">
        <v>0</v>
      </c>
      <c r="CM140" s="675">
        <v>0</v>
      </c>
      <c r="CN140" s="675">
        <v>0</v>
      </c>
      <c r="CO140" s="675">
        <v>0</v>
      </c>
      <c r="CP140" s="675">
        <v>0</v>
      </c>
      <c r="CQ140" s="675">
        <v>0.5</v>
      </c>
      <c r="CR140" s="675">
        <v>243.13</v>
      </c>
      <c r="CS140" s="675">
        <v>0</v>
      </c>
      <c r="CT140" s="675">
        <v>0</v>
      </c>
      <c r="CU140" s="675">
        <v>0</v>
      </c>
      <c r="CV140" s="675">
        <v>0</v>
      </c>
      <c r="CW140" s="675">
        <v>0</v>
      </c>
      <c r="CX140" s="675">
        <v>0</v>
      </c>
      <c r="CY140" s="675">
        <v>0</v>
      </c>
      <c r="CZ140" s="675">
        <v>0</v>
      </c>
      <c r="DA140" s="675">
        <v>1</v>
      </c>
      <c r="DB140" s="675">
        <v>1572128</v>
      </c>
      <c r="DC140" s="675">
        <v>0</v>
      </c>
      <c r="DD140" s="675">
        <v>0</v>
      </c>
      <c r="DE140" s="675">
        <v>336653</v>
      </c>
      <c r="DF140" s="675">
        <v>336653</v>
      </c>
      <c r="DG140" s="675">
        <v>256.83</v>
      </c>
      <c r="DH140" s="675">
        <v>0</v>
      </c>
      <c r="DI140" s="675">
        <v>0</v>
      </c>
      <c r="DJ140" s="675">
        <v>0</v>
      </c>
      <c r="DK140" s="675">
        <v>5392</v>
      </c>
      <c r="DL140" s="675">
        <v>0</v>
      </c>
      <c r="DM140" s="675">
        <v>99123</v>
      </c>
      <c r="DN140" s="675">
        <v>0</v>
      </c>
      <c r="DO140" s="675">
        <v>0</v>
      </c>
      <c r="DP140" s="675">
        <v>0</v>
      </c>
      <c r="DQ140" s="675">
        <v>0</v>
      </c>
      <c r="DR140" s="675">
        <v>0</v>
      </c>
      <c r="DS140" s="675">
        <v>0</v>
      </c>
      <c r="DT140" s="675">
        <v>0</v>
      </c>
      <c r="DU140" s="675">
        <v>0</v>
      </c>
      <c r="DV140" s="675">
        <v>0</v>
      </c>
      <c r="DW140" s="675">
        <v>0</v>
      </c>
      <c r="DX140" s="675">
        <v>0</v>
      </c>
      <c r="DY140" s="675">
        <v>0</v>
      </c>
      <c r="DZ140" s="675">
        <v>0</v>
      </c>
      <c r="EA140" s="675">
        <v>0</v>
      </c>
      <c r="EB140" s="675">
        <v>0</v>
      </c>
      <c r="EC140" s="675">
        <v>0</v>
      </c>
      <c r="ED140" s="675">
        <v>0</v>
      </c>
      <c r="EE140" s="675">
        <v>0</v>
      </c>
      <c r="EF140" s="675">
        <v>0</v>
      </c>
      <c r="EG140" s="675">
        <v>0</v>
      </c>
      <c r="EH140" s="675">
        <v>99123</v>
      </c>
      <c r="EI140" s="675">
        <v>0</v>
      </c>
      <c r="EJ140" s="675">
        <v>0</v>
      </c>
      <c r="EK140" s="675">
        <v>2.823</v>
      </c>
      <c r="EL140" s="675">
        <v>0</v>
      </c>
      <c r="EM140" s="675">
        <v>0</v>
      </c>
      <c r="EN140" s="675">
        <v>1.331</v>
      </c>
      <c r="EO140" s="675">
        <v>0</v>
      </c>
      <c r="EP140" s="675">
        <v>0</v>
      </c>
      <c r="EQ140" s="675">
        <v>4.1539999999999999</v>
      </c>
      <c r="ER140" s="675">
        <v>0</v>
      </c>
      <c r="ES140" s="675">
        <v>15.124000000000001</v>
      </c>
      <c r="ET140" s="675">
        <v>5750</v>
      </c>
      <c r="EU140" s="675">
        <v>77732</v>
      </c>
      <c r="EV140" s="675">
        <v>0</v>
      </c>
      <c r="EW140" s="675">
        <v>0</v>
      </c>
      <c r="EX140" s="675">
        <v>0</v>
      </c>
      <c r="EY140" s="675">
        <v>0</v>
      </c>
      <c r="EZ140" s="675">
        <v>1930172</v>
      </c>
      <c r="FA140" s="675">
        <v>0</v>
      </c>
      <c r="FB140" s="675">
        <v>2007904</v>
      </c>
      <c r="FC140" s="675">
        <v>0.97327799999999998</v>
      </c>
      <c r="FD140" s="675">
        <v>0</v>
      </c>
      <c r="FE140" s="675">
        <v>297519</v>
      </c>
      <c r="FF140" s="675">
        <v>67045</v>
      </c>
      <c r="FG140" s="675">
        <v>6.1239999999999996E-2</v>
      </c>
      <c r="FH140" s="675">
        <v>5.4803999999999999E-2</v>
      </c>
      <c r="FI140" s="675">
        <v>0</v>
      </c>
      <c r="FJ140" s="675">
        <v>0</v>
      </c>
      <c r="FK140" s="675">
        <v>382.899</v>
      </c>
      <c r="FL140" s="675">
        <v>2426310</v>
      </c>
      <c r="FM140" s="675">
        <v>0</v>
      </c>
      <c r="FN140" s="675">
        <v>0</v>
      </c>
      <c r="FO140" s="675">
        <v>0</v>
      </c>
      <c r="FP140" s="675">
        <v>0</v>
      </c>
      <c r="FQ140" s="675">
        <v>0</v>
      </c>
      <c r="FR140" s="675">
        <v>0</v>
      </c>
      <c r="FS140" s="675">
        <v>0</v>
      </c>
      <c r="FT140" s="675">
        <v>0</v>
      </c>
      <c r="FU140" s="675">
        <v>0</v>
      </c>
      <c r="FV140" s="675">
        <v>0</v>
      </c>
      <c r="FW140" s="675">
        <v>0</v>
      </c>
      <c r="FX140" s="675">
        <v>0</v>
      </c>
      <c r="FY140" s="675">
        <v>0</v>
      </c>
      <c r="FZ140" s="675">
        <v>0</v>
      </c>
      <c r="GA140" s="675">
        <v>0</v>
      </c>
      <c r="GB140" s="675">
        <v>0</v>
      </c>
      <c r="GC140" s="675">
        <v>0</v>
      </c>
      <c r="GD140" s="675">
        <v>0</v>
      </c>
      <c r="GE140" s="675">
        <v>0</v>
      </c>
      <c r="GF140" s="675">
        <v>0</v>
      </c>
      <c r="GG140" s="675">
        <v>0</v>
      </c>
      <c r="GH140" s="675">
        <v>0</v>
      </c>
      <c r="GI140" s="675">
        <v>0</v>
      </c>
      <c r="GJ140" s="675">
        <v>0</v>
      </c>
      <c r="GK140" s="675">
        <v>4972</v>
      </c>
      <c r="GL140" s="675">
        <v>6719</v>
      </c>
      <c r="GM140" s="675">
        <v>0</v>
      </c>
      <c r="GN140" s="675">
        <v>0</v>
      </c>
      <c r="GO140" s="675">
        <v>0</v>
      </c>
      <c r="GP140" s="675">
        <v>2372468</v>
      </c>
      <c r="GQ140" s="675">
        <v>2372468</v>
      </c>
      <c r="GR140" s="675">
        <v>0</v>
      </c>
      <c r="GS140" s="675">
        <v>0</v>
      </c>
      <c r="GT140" s="675">
        <v>0</v>
      </c>
      <c r="GU140" s="675">
        <v>0</v>
      </c>
      <c r="GV140" s="675">
        <v>0</v>
      </c>
      <c r="GW140" s="675">
        <v>0</v>
      </c>
      <c r="GX140" s="675">
        <v>0</v>
      </c>
      <c r="GY140" s="675">
        <v>0</v>
      </c>
      <c r="GZ140" s="675">
        <v>0</v>
      </c>
      <c r="HA140" s="675">
        <v>0</v>
      </c>
      <c r="HB140" s="675">
        <v>260786259</v>
      </c>
      <c r="HC140" s="675">
        <v>5.0923999999999997E-2</v>
      </c>
      <c r="HD140" s="675">
        <v>48092</v>
      </c>
      <c r="HE140" s="675">
        <v>0</v>
      </c>
      <c r="HF140" s="675">
        <v>0</v>
      </c>
      <c r="HG140" s="675">
        <v>0</v>
      </c>
      <c r="HH140" s="675">
        <v>0</v>
      </c>
      <c r="HI140" s="675">
        <v>0</v>
      </c>
      <c r="HJ140" s="675">
        <v>0</v>
      </c>
      <c r="HK140" s="675">
        <v>0</v>
      </c>
      <c r="HL140" s="675">
        <v>0</v>
      </c>
      <c r="HM140" s="675">
        <v>0</v>
      </c>
      <c r="HN140" s="675">
        <v>0</v>
      </c>
      <c r="HO140" s="675">
        <v>0</v>
      </c>
      <c r="HP140" s="675">
        <v>0</v>
      </c>
      <c r="HQ140" s="675">
        <v>0</v>
      </c>
      <c r="HR140" s="675">
        <v>0</v>
      </c>
      <c r="HS140" s="675">
        <v>0</v>
      </c>
      <c r="HT140" s="675">
        <v>0</v>
      </c>
      <c r="HU140" s="675">
        <v>0</v>
      </c>
      <c r="HV140" s="675">
        <v>0</v>
      </c>
      <c r="HW140" s="675">
        <v>0</v>
      </c>
      <c r="HX140" s="675">
        <v>0</v>
      </c>
      <c r="HY140" s="675">
        <v>0</v>
      </c>
      <c r="HZ140" s="675">
        <v>0</v>
      </c>
      <c r="IA140" s="675">
        <v>0</v>
      </c>
      <c r="IB140" s="675">
        <v>0</v>
      </c>
      <c r="IC140" s="675">
        <v>0</v>
      </c>
      <c r="ID140" s="675">
        <v>0</v>
      </c>
      <c r="IE140" s="675">
        <v>0</v>
      </c>
      <c r="IF140" s="675">
        <v>0</v>
      </c>
      <c r="IG140" s="675">
        <v>0</v>
      </c>
      <c r="IH140" s="675">
        <v>0</v>
      </c>
      <c r="II140" s="675">
        <v>0</v>
      </c>
      <c r="IJ140" s="675">
        <v>0</v>
      </c>
      <c r="IK140" s="675">
        <v>0</v>
      </c>
      <c r="IL140" s="675">
        <v>0</v>
      </c>
      <c r="IM140" s="675">
        <v>0</v>
      </c>
      <c r="IN140" s="675">
        <v>0</v>
      </c>
      <c r="IO140" s="675">
        <v>0</v>
      </c>
      <c r="IP140" s="675">
        <v>0</v>
      </c>
      <c r="IQ140" s="675">
        <v>0</v>
      </c>
      <c r="IR140" s="675">
        <v>0</v>
      </c>
      <c r="IS140" s="675">
        <v>0</v>
      </c>
      <c r="IT140" s="675">
        <v>0</v>
      </c>
      <c r="IU140" s="675">
        <v>0</v>
      </c>
      <c r="IV140" s="675">
        <v>0</v>
      </c>
      <c r="IW140" s="675">
        <v>0</v>
      </c>
      <c r="IX140" s="675">
        <v>0</v>
      </c>
      <c r="IY140" s="675">
        <v>0</v>
      </c>
      <c r="IZ140" s="675">
        <v>0</v>
      </c>
      <c r="JA140" s="675">
        <v>0</v>
      </c>
      <c r="JB140" s="675">
        <v>0</v>
      </c>
      <c r="JC140" s="675">
        <v>0</v>
      </c>
      <c r="JD140" s="675">
        <v>0</v>
      </c>
      <c r="JE140" s="675">
        <v>0</v>
      </c>
      <c r="JF140" s="675">
        <v>0</v>
      </c>
      <c r="JG140" s="675">
        <v>0</v>
      </c>
      <c r="JH140" s="675">
        <v>0</v>
      </c>
      <c r="JI140" s="675">
        <v>0</v>
      </c>
      <c r="JJ140" s="675">
        <v>0</v>
      </c>
      <c r="JK140" s="675">
        <v>0</v>
      </c>
      <c r="JL140" s="675">
        <v>0</v>
      </c>
      <c r="JM140" s="675">
        <v>0</v>
      </c>
      <c r="JN140" s="675">
        <v>32469</v>
      </c>
      <c r="JO140" s="675">
        <v>0</v>
      </c>
      <c r="JP140" s="675">
        <v>0</v>
      </c>
      <c r="JQ140" s="675">
        <v>0</v>
      </c>
      <c r="JR140" s="675">
        <v>0</v>
      </c>
      <c r="JS140" s="675">
        <v>0</v>
      </c>
      <c r="JT140" s="675">
        <v>0</v>
      </c>
      <c r="JU140" s="675">
        <v>0</v>
      </c>
      <c r="JV140" s="675">
        <v>0</v>
      </c>
      <c r="JW140" s="675">
        <v>0</v>
      </c>
      <c r="JX140" s="675">
        <v>0</v>
      </c>
      <c r="JY140" s="675">
        <v>0</v>
      </c>
      <c r="JZ140" s="675">
        <v>0</v>
      </c>
      <c r="KA140" s="675">
        <v>0</v>
      </c>
      <c r="KB140" s="675">
        <v>0</v>
      </c>
      <c r="KC140" s="675">
        <v>0</v>
      </c>
      <c r="KD140" s="675">
        <v>0</v>
      </c>
      <c r="KE140" s="675">
        <v>0</v>
      </c>
      <c r="KF140" s="675">
        <v>0</v>
      </c>
    </row>
    <row r="141" spans="1:292" x14ac:dyDescent="0.25">
      <c r="A141" s="675">
        <v>152803</v>
      </c>
      <c r="B141" s="675">
        <v>32570</v>
      </c>
      <c r="C141" s="675">
        <v>35</v>
      </c>
      <c r="D141" s="675">
        <v>2022</v>
      </c>
      <c r="E141" s="675">
        <v>5392</v>
      </c>
      <c r="F141" s="675">
        <v>0</v>
      </c>
      <c r="G141" s="675">
        <v>165.52700000000002</v>
      </c>
      <c r="H141" s="675">
        <v>130.56200000000001</v>
      </c>
      <c r="I141" s="675">
        <v>130.56200000000001</v>
      </c>
      <c r="J141" s="675">
        <v>165.52700000000002</v>
      </c>
      <c r="K141" s="675">
        <v>0</v>
      </c>
      <c r="L141" s="675">
        <v>6554</v>
      </c>
      <c r="M141" s="675">
        <v>0</v>
      </c>
      <c r="N141" s="675">
        <v>0</v>
      </c>
      <c r="O141" s="675">
        <v>0</v>
      </c>
      <c r="P141" s="675">
        <v>181.35400000000001</v>
      </c>
      <c r="Q141" s="675">
        <v>0</v>
      </c>
      <c r="R141" s="675">
        <v>57981</v>
      </c>
      <c r="S141" s="675">
        <v>319.71300000000002</v>
      </c>
      <c r="T141" s="675">
        <v>0</v>
      </c>
      <c r="U141" s="675">
        <v>57981</v>
      </c>
      <c r="V141" s="675">
        <v>5.82</v>
      </c>
      <c r="W141" s="675">
        <v>3814</v>
      </c>
      <c r="X141" s="675">
        <v>3814</v>
      </c>
      <c r="Y141" s="675">
        <v>0</v>
      </c>
      <c r="Z141" s="675">
        <v>0</v>
      </c>
      <c r="AA141" s="675">
        <v>1</v>
      </c>
      <c r="AB141" s="675">
        <v>1</v>
      </c>
      <c r="AC141" s="675">
        <v>0</v>
      </c>
      <c r="AD141" s="675" t="s">
        <v>316</v>
      </c>
      <c r="AE141" s="675">
        <v>0</v>
      </c>
      <c r="AF141" s="675">
        <v>0</v>
      </c>
      <c r="AG141" s="675">
        <v>0</v>
      </c>
      <c r="AH141" s="675">
        <v>0</v>
      </c>
      <c r="AI141" s="675">
        <v>0</v>
      </c>
      <c r="AJ141" s="675">
        <v>5104</v>
      </c>
      <c r="AK141" s="675" t="s">
        <v>671</v>
      </c>
      <c r="AL141" s="675" t="s">
        <v>473</v>
      </c>
      <c r="AM141" s="675">
        <v>0</v>
      </c>
      <c r="AN141" s="675">
        <v>0</v>
      </c>
      <c r="AO141" s="675">
        <v>0</v>
      </c>
      <c r="AP141" s="675">
        <v>0</v>
      </c>
      <c r="AQ141" s="675">
        <v>0</v>
      </c>
      <c r="AR141" s="675">
        <v>0</v>
      </c>
      <c r="AS141" s="675">
        <v>0</v>
      </c>
      <c r="AT141" s="675">
        <v>0</v>
      </c>
      <c r="AU141" s="675">
        <v>0</v>
      </c>
      <c r="AV141" s="675">
        <v>149831</v>
      </c>
      <c r="AW141" s="675">
        <v>1913778</v>
      </c>
      <c r="AX141" s="675">
        <v>1830637</v>
      </c>
      <c r="AY141" s="675">
        <v>1980164</v>
      </c>
      <c r="AZ141" s="675">
        <v>103500</v>
      </c>
      <c r="BA141" s="675">
        <v>4</v>
      </c>
      <c r="BB141" s="675">
        <v>0</v>
      </c>
      <c r="BC141" s="675">
        <v>0</v>
      </c>
      <c r="BD141" s="675">
        <v>0</v>
      </c>
      <c r="BE141" s="675">
        <v>0</v>
      </c>
      <c r="BF141" s="675">
        <v>1555691</v>
      </c>
      <c r="BG141" s="675">
        <v>0</v>
      </c>
      <c r="BH141" s="675">
        <v>165.523</v>
      </c>
      <c r="BI141" s="675">
        <v>45519</v>
      </c>
      <c r="BJ141" s="675">
        <v>12</v>
      </c>
      <c r="BK141" s="675">
        <v>0</v>
      </c>
      <c r="BL141" s="675">
        <v>0</v>
      </c>
      <c r="BM141" s="675">
        <v>0</v>
      </c>
      <c r="BN141" s="675">
        <v>0</v>
      </c>
      <c r="BO141" s="675">
        <v>0</v>
      </c>
      <c r="BP141" s="675">
        <v>0</v>
      </c>
      <c r="BQ141" s="675">
        <v>5392</v>
      </c>
      <c r="BR141" s="675">
        <v>1</v>
      </c>
      <c r="BS141" s="675">
        <v>0</v>
      </c>
      <c r="BT141" s="675">
        <v>0</v>
      </c>
      <c r="BU141" s="675">
        <v>0</v>
      </c>
      <c r="BV141" s="675">
        <v>0</v>
      </c>
      <c r="BW141" s="675">
        <v>0</v>
      </c>
      <c r="BX141" s="675">
        <v>0</v>
      </c>
      <c r="BY141" s="675">
        <v>0</v>
      </c>
      <c r="BZ141" s="675">
        <v>0</v>
      </c>
      <c r="CA141" s="675">
        <v>0</v>
      </c>
      <c r="CB141" s="675">
        <v>0</v>
      </c>
      <c r="CC141" s="675">
        <v>0</v>
      </c>
      <c r="CD141" s="675">
        <v>0</v>
      </c>
      <c r="CE141" s="675">
        <v>0</v>
      </c>
      <c r="CF141" s="675">
        <v>0</v>
      </c>
      <c r="CG141" s="675">
        <v>0</v>
      </c>
      <c r="CH141" s="675">
        <v>37622</v>
      </c>
      <c r="CI141" s="675">
        <v>0</v>
      </c>
      <c r="CJ141" s="675">
        <v>4</v>
      </c>
      <c r="CK141" s="675">
        <v>0</v>
      </c>
      <c r="CL141" s="675">
        <v>0</v>
      </c>
      <c r="CM141" s="675">
        <v>0</v>
      </c>
      <c r="CN141" s="675">
        <v>0</v>
      </c>
      <c r="CO141" s="675">
        <v>0</v>
      </c>
      <c r="CP141" s="675">
        <v>2.2789999999999999</v>
      </c>
      <c r="CQ141" s="675">
        <v>12</v>
      </c>
      <c r="CR141" s="675">
        <v>181.35400000000001</v>
      </c>
      <c r="CS141" s="675">
        <v>0</v>
      </c>
      <c r="CT141" s="675">
        <v>0</v>
      </c>
      <c r="CU141" s="675">
        <v>0</v>
      </c>
      <c r="CV141" s="675">
        <v>0</v>
      </c>
      <c r="CW141" s="675">
        <v>0</v>
      </c>
      <c r="CX141" s="675">
        <v>0</v>
      </c>
      <c r="CY141" s="675">
        <v>0</v>
      </c>
      <c r="CZ141" s="675">
        <v>0</v>
      </c>
      <c r="DA141" s="675">
        <v>1</v>
      </c>
      <c r="DB141" s="675">
        <v>855703</v>
      </c>
      <c r="DC141" s="675">
        <v>0</v>
      </c>
      <c r="DD141" s="675">
        <v>0</v>
      </c>
      <c r="DE141" s="675">
        <v>219126</v>
      </c>
      <c r="DF141" s="675">
        <v>255123</v>
      </c>
      <c r="DG141" s="675">
        <v>167.17000000000002</v>
      </c>
      <c r="DH141" s="675">
        <v>0</v>
      </c>
      <c r="DI141" s="675">
        <v>35997</v>
      </c>
      <c r="DJ141" s="675">
        <v>0</v>
      </c>
      <c r="DK141" s="675">
        <v>5392</v>
      </c>
      <c r="DL141" s="675">
        <v>0</v>
      </c>
      <c r="DM141" s="675">
        <v>175448</v>
      </c>
      <c r="DN141" s="675">
        <v>0</v>
      </c>
      <c r="DO141" s="675">
        <v>0</v>
      </c>
      <c r="DP141" s="675">
        <v>0</v>
      </c>
      <c r="DQ141" s="675">
        <v>0</v>
      </c>
      <c r="DR141" s="675">
        <v>0</v>
      </c>
      <c r="DS141" s="675">
        <v>0</v>
      </c>
      <c r="DT141" s="675">
        <v>0</v>
      </c>
      <c r="DU141" s="675">
        <v>0</v>
      </c>
      <c r="DV141" s="675">
        <v>0</v>
      </c>
      <c r="DW141" s="675">
        <v>0</v>
      </c>
      <c r="DX141" s="675">
        <v>0</v>
      </c>
      <c r="DY141" s="675">
        <v>0</v>
      </c>
      <c r="DZ141" s="675">
        <v>0</v>
      </c>
      <c r="EA141" s="675">
        <v>0</v>
      </c>
      <c r="EB141" s="675">
        <v>0</v>
      </c>
      <c r="EC141" s="675">
        <v>23.885000000000002</v>
      </c>
      <c r="ED141" s="675">
        <v>172197</v>
      </c>
      <c r="EE141" s="675">
        <v>0</v>
      </c>
      <c r="EF141" s="675">
        <v>0</v>
      </c>
      <c r="EG141" s="675">
        <v>0</v>
      </c>
      <c r="EH141" s="675">
        <v>3251</v>
      </c>
      <c r="EI141" s="675">
        <v>0</v>
      </c>
      <c r="EJ141" s="675">
        <v>0</v>
      </c>
      <c r="EK141" s="675">
        <v>0.10200000000000001</v>
      </c>
      <c r="EL141" s="675">
        <v>0</v>
      </c>
      <c r="EM141" s="675">
        <v>0</v>
      </c>
      <c r="EN141" s="675">
        <v>3.7999999999999999E-2</v>
      </c>
      <c r="EO141" s="675">
        <v>0</v>
      </c>
      <c r="EP141" s="675">
        <v>0</v>
      </c>
      <c r="EQ141" s="675">
        <v>0.14000000000000001</v>
      </c>
      <c r="ER141" s="675">
        <v>0</v>
      </c>
      <c r="ES141" s="675">
        <v>0.496</v>
      </c>
      <c r="ET141" s="675">
        <v>5000</v>
      </c>
      <c r="EU141" s="675">
        <v>103500</v>
      </c>
      <c r="EV141" s="675">
        <v>0</v>
      </c>
      <c r="EW141" s="675">
        <v>0</v>
      </c>
      <c r="EX141" s="675">
        <v>0</v>
      </c>
      <c r="EY141" s="675">
        <v>0</v>
      </c>
      <c r="EZ141" s="675">
        <v>1540423</v>
      </c>
      <c r="FA141" s="675">
        <v>0</v>
      </c>
      <c r="FB141" s="675">
        <v>1643923</v>
      </c>
      <c r="FC141" s="675">
        <v>0.97327799999999998</v>
      </c>
      <c r="FD141" s="675">
        <v>0</v>
      </c>
      <c r="FE141" s="675">
        <v>236842</v>
      </c>
      <c r="FF141" s="675">
        <v>53372</v>
      </c>
      <c r="FG141" s="675">
        <v>6.1239999999999996E-2</v>
      </c>
      <c r="FH141" s="675">
        <v>5.4803999999999999E-2</v>
      </c>
      <c r="FI141" s="675">
        <v>0</v>
      </c>
      <c r="FJ141" s="675">
        <v>0</v>
      </c>
      <c r="FK141" s="675">
        <v>304.80900000000003</v>
      </c>
      <c r="FL141" s="675">
        <v>1971759</v>
      </c>
      <c r="FM141" s="675">
        <v>0</v>
      </c>
      <c r="FN141" s="675">
        <v>0</v>
      </c>
      <c r="FO141" s="675">
        <v>0</v>
      </c>
      <c r="FP141" s="675">
        <v>0</v>
      </c>
      <c r="FQ141" s="675">
        <v>0</v>
      </c>
      <c r="FR141" s="675">
        <v>0</v>
      </c>
      <c r="FS141" s="675">
        <v>0</v>
      </c>
      <c r="FT141" s="675">
        <v>0</v>
      </c>
      <c r="FU141" s="675">
        <v>0</v>
      </c>
      <c r="FV141" s="675">
        <v>0</v>
      </c>
      <c r="FW141" s="675">
        <v>0</v>
      </c>
      <c r="FX141" s="675">
        <v>0</v>
      </c>
      <c r="FY141" s="675">
        <v>0</v>
      </c>
      <c r="FZ141" s="675">
        <v>188</v>
      </c>
      <c r="GA141" s="675">
        <v>3.7520000000000002</v>
      </c>
      <c r="GB141" s="675">
        <v>308316</v>
      </c>
      <c r="GC141" s="675">
        <v>308316</v>
      </c>
      <c r="GD141" s="675">
        <v>34.825000000000003</v>
      </c>
      <c r="GE141" s="675">
        <v>0</v>
      </c>
      <c r="GF141" s="675">
        <v>0</v>
      </c>
      <c r="GG141" s="675">
        <v>0</v>
      </c>
      <c r="GH141" s="675">
        <v>0</v>
      </c>
      <c r="GI141" s="675">
        <v>0</v>
      </c>
      <c r="GJ141" s="675">
        <v>0</v>
      </c>
      <c r="GK141" s="675">
        <v>5105</v>
      </c>
      <c r="GL141" s="675">
        <v>4357</v>
      </c>
      <c r="GM141" s="675">
        <v>0</v>
      </c>
      <c r="GN141" s="675">
        <v>0</v>
      </c>
      <c r="GO141" s="675">
        <v>0</v>
      </c>
      <c r="GP141" s="675">
        <v>1934137</v>
      </c>
      <c r="GQ141" s="675">
        <v>1934137</v>
      </c>
      <c r="GR141" s="675">
        <v>0</v>
      </c>
      <c r="GS141" s="675">
        <v>0</v>
      </c>
      <c r="GT141" s="675">
        <v>0</v>
      </c>
      <c r="GU141" s="675">
        <v>0</v>
      </c>
      <c r="GV141" s="675">
        <v>0</v>
      </c>
      <c r="GW141" s="675">
        <v>0</v>
      </c>
      <c r="GX141" s="675">
        <v>0</v>
      </c>
      <c r="GY141" s="675">
        <v>0</v>
      </c>
      <c r="GZ141" s="675">
        <v>0</v>
      </c>
      <c r="HA141" s="675">
        <v>0</v>
      </c>
      <c r="HB141" s="675">
        <v>260786259</v>
      </c>
      <c r="HC141" s="675">
        <v>5.0923999999999997E-2</v>
      </c>
      <c r="HD141" s="675">
        <v>32622</v>
      </c>
      <c r="HE141" s="675">
        <v>0</v>
      </c>
      <c r="HF141" s="675">
        <v>0</v>
      </c>
      <c r="HG141" s="675">
        <v>0</v>
      </c>
      <c r="HH141" s="675">
        <v>0</v>
      </c>
      <c r="HI141" s="675">
        <v>0</v>
      </c>
      <c r="HJ141" s="675">
        <v>0</v>
      </c>
      <c r="HK141" s="675">
        <v>0</v>
      </c>
      <c r="HL141" s="675">
        <v>0</v>
      </c>
      <c r="HM141" s="675">
        <v>0</v>
      </c>
      <c r="HN141" s="675">
        <v>0</v>
      </c>
      <c r="HO141" s="675">
        <v>0</v>
      </c>
      <c r="HP141" s="675">
        <v>0</v>
      </c>
      <c r="HQ141" s="675">
        <v>0</v>
      </c>
      <c r="HR141" s="675">
        <v>0</v>
      </c>
      <c r="HS141" s="675">
        <v>0</v>
      </c>
      <c r="HT141" s="675">
        <v>0</v>
      </c>
      <c r="HU141" s="675">
        <v>0</v>
      </c>
      <c r="HV141" s="675">
        <v>0</v>
      </c>
      <c r="HW141" s="675">
        <v>0</v>
      </c>
      <c r="HX141" s="675">
        <v>0</v>
      </c>
      <c r="HY141" s="675">
        <v>0</v>
      </c>
      <c r="HZ141" s="675">
        <v>0</v>
      </c>
      <c r="IA141" s="675">
        <v>0</v>
      </c>
      <c r="IB141" s="675">
        <v>0</v>
      </c>
      <c r="IC141" s="675">
        <v>0</v>
      </c>
      <c r="ID141" s="675">
        <v>0</v>
      </c>
      <c r="IE141" s="675">
        <v>0</v>
      </c>
      <c r="IF141" s="675">
        <v>0</v>
      </c>
      <c r="IG141" s="675">
        <v>0</v>
      </c>
      <c r="IH141" s="675">
        <v>0</v>
      </c>
      <c r="II141" s="675">
        <v>0</v>
      </c>
      <c r="IJ141" s="675">
        <v>0</v>
      </c>
      <c r="IK141" s="675">
        <v>0</v>
      </c>
      <c r="IL141" s="675">
        <v>0</v>
      </c>
      <c r="IM141" s="675">
        <v>0</v>
      </c>
      <c r="IN141" s="675">
        <v>0</v>
      </c>
      <c r="IO141" s="675">
        <v>0</v>
      </c>
      <c r="IP141" s="675">
        <v>0</v>
      </c>
      <c r="IQ141" s="675">
        <v>0</v>
      </c>
      <c r="IR141" s="675">
        <v>0</v>
      </c>
      <c r="IS141" s="675">
        <v>0</v>
      </c>
      <c r="IT141" s="675">
        <v>0</v>
      </c>
      <c r="IU141" s="675">
        <v>0</v>
      </c>
      <c r="IV141" s="675">
        <v>0</v>
      </c>
      <c r="IW141" s="675">
        <v>0</v>
      </c>
      <c r="IX141" s="675">
        <v>0</v>
      </c>
      <c r="IY141" s="675">
        <v>0</v>
      </c>
      <c r="IZ141" s="675">
        <v>0</v>
      </c>
      <c r="JA141" s="675">
        <v>0</v>
      </c>
      <c r="JB141" s="675">
        <v>0</v>
      </c>
      <c r="JC141" s="675">
        <v>0</v>
      </c>
      <c r="JD141" s="675">
        <v>0</v>
      </c>
      <c r="JE141" s="675">
        <v>0</v>
      </c>
      <c r="JF141" s="675">
        <v>0</v>
      </c>
      <c r="JG141" s="675">
        <v>0</v>
      </c>
      <c r="JH141" s="675">
        <v>0</v>
      </c>
      <c r="JI141" s="675">
        <v>0</v>
      </c>
      <c r="JJ141" s="675">
        <v>0</v>
      </c>
      <c r="JK141" s="675">
        <v>0</v>
      </c>
      <c r="JL141" s="675">
        <v>0</v>
      </c>
      <c r="JM141" s="675">
        <v>0</v>
      </c>
      <c r="JN141" s="675">
        <v>32469</v>
      </c>
      <c r="JO141" s="675">
        <v>0</v>
      </c>
      <c r="JP141" s="675">
        <v>0</v>
      </c>
      <c r="JQ141" s="675">
        <v>0</v>
      </c>
      <c r="JR141" s="675">
        <v>0</v>
      </c>
      <c r="JS141" s="675">
        <v>0</v>
      </c>
      <c r="JT141" s="675">
        <v>0</v>
      </c>
      <c r="JU141" s="675">
        <v>0</v>
      </c>
      <c r="JV141" s="675">
        <v>0</v>
      </c>
      <c r="JW141" s="675">
        <v>0</v>
      </c>
      <c r="JX141" s="675">
        <v>0</v>
      </c>
      <c r="JY141" s="675">
        <v>0</v>
      </c>
      <c r="JZ141" s="675">
        <v>0</v>
      </c>
      <c r="KA141" s="675">
        <v>0</v>
      </c>
      <c r="KB141" s="675">
        <v>0</v>
      </c>
      <c r="KC141" s="675">
        <v>0</v>
      </c>
      <c r="KD141" s="675">
        <v>0</v>
      </c>
      <c r="KE141" s="675">
        <v>0</v>
      </c>
      <c r="KF141" s="675">
        <v>0</v>
      </c>
    </row>
    <row r="142" spans="1:292" x14ac:dyDescent="0.25">
      <c r="A142" s="675">
        <v>152806</v>
      </c>
      <c r="B142" s="675">
        <v>32570</v>
      </c>
      <c r="C142" s="675">
        <v>35</v>
      </c>
      <c r="D142" s="675">
        <v>2022</v>
      </c>
      <c r="E142" s="675">
        <v>5392</v>
      </c>
      <c r="F142" s="675">
        <v>0</v>
      </c>
      <c r="G142" s="675">
        <v>73.790000000000006</v>
      </c>
      <c r="H142" s="675">
        <v>68.33</v>
      </c>
      <c r="I142" s="675">
        <v>68.33</v>
      </c>
      <c r="J142" s="675">
        <v>73.790000000000006</v>
      </c>
      <c r="K142" s="675">
        <v>0</v>
      </c>
      <c r="L142" s="675">
        <v>6554</v>
      </c>
      <c r="M142" s="675">
        <v>0</v>
      </c>
      <c r="N142" s="675">
        <v>0</v>
      </c>
      <c r="O142" s="675">
        <v>0</v>
      </c>
      <c r="P142" s="675">
        <v>0</v>
      </c>
      <c r="Q142" s="675">
        <v>0</v>
      </c>
      <c r="R142" s="675">
        <v>0</v>
      </c>
      <c r="S142" s="675">
        <v>319.71300000000002</v>
      </c>
      <c r="T142" s="675">
        <v>0</v>
      </c>
      <c r="U142" s="675">
        <v>0</v>
      </c>
      <c r="V142" s="675">
        <v>0</v>
      </c>
      <c r="W142" s="675">
        <v>0</v>
      </c>
      <c r="X142" s="675">
        <v>0</v>
      </c>
      <c r="Y142" s="675">
        <v>0</v>
      </c>
      <c r="Z142" s="675">
        <v>0</v>
      </c>
      <c r="AA142" s="675">
        <v>1</v>
      </c>
      <c r="AB142" s="675">
        <v>1</v>
      </c>
      <c r="AC142" s="675">
        <v>0</v>
      </c>
      <c r="AD142" s="675" t="s">
        <v>316</v>
      </c>
      <c r="AE142" s="675">
        <v>0</v>
      </c>
      <c r="AF142" s="675">
        <v>0</v>
      </c>
      <c r="AG142" s="675">
        <v>0</v>
      </c>
      <c r="AH142" s="675">
        <v>0</v>
      </c>
      <c r="AI142" s="675">
        <v>0</v>
      </c>
      <c r="AJ142" s="675">
        <v>5104</v>
      </c>
      <c r="AK142" s="675" t="s">
        <v>671</v>
      </c>
      <c r="AL142" s="675" t="s">
        <v>543</v>
      </c>
      <c r="AM142" s="675">
        <v>0</v>
      </c>
      <c r="AN142" s="675">
        <v>0</v>
      </c>
      <c r="AO142" s="675">
        <v>0</v>
      </c>
      <c r="AP142" s="675">
        <v>0</v>
      </c>
      <c r="AQ142" s="675">
        <v>0</v>
      </c>
      <c r="AR142" s="675">
        <v>0</v>
      </c>
      <c r="AS142" s="675">
        <v>0</v>
      </c>
      <c r="AT142" s="675">
        <v>0</v>
      </c>
      <c r="AU142" s="675">
        <v>0</v>
      </c>
      <c r="AV142" s="675">
        <v>19588</v>
      </c>
      <c r="AW142" s="675">
        <v>827065</v>
      </c>
      <c r="AX142" s="675">
        <v>827065</v>
      </c>
      <c r="AY142" s="675">
        <v>852273</v>
      </c>
      <c r="AZ142" s="675">
        <v>0</v>
      </c>
      <c r="BA142" s="675">
        <v>0</v>
      </c>
      <c r="BB142" s="675">
        <v>0</v>
      </c>
      <c r="BC142" s="675">
        <v>0</v>
      </c>
      <c r="BD142" s="675">
        <v>0</v>
      </c>
      <c r="BE142" s="675">
        <v>0</v>
      </c>
      <c r="BF142" s="675">
        <v>681269</v>
      </c>
      <c r="BG142" s="675">
        <v>0</v>
      </c>
      <c r="BH142" s="675">
        <v>0</v>
      </c>
      <c r="BI142" s="675">
        <v>0</v>
      </c>
      <c r="BJ142" s="675">
        <v>12</v>
      </c>
      <c r="BK142" s="675">
        <v>0</v>
      </c>
      <c r="BL142" s="675">
        <v>0</v>
      </c>
      <c r="BM142" s="675">
        <v>0</v>
      </c>
      <c r="BN142" s="675">
        <v>0</v>
      </c>
      <c r="BO142" s="675">
        <v>0</v>
      </c>
      <c r="BP142" s="675">
        <v>0</v>
      </c>
      <c r="BQ142" s="675">
        <v>5392</v>
      </c>
      <c r="BR142" s="675">
        <v>1</v>
      </c>
      <c r="BS142" s="675">
        <v>0</v>
      </c>
      <c r="BT142" s="675">
        <v>0</v>
      </c>
      <c r="BU142" s="675">
        <v>0</v>
      </c>
      <c r="BV142" s="675">
        <v>0</v>
      </c>
      <c r="BW142" s="675">
        <v>0</v>
      </c>
      <c r="BX142" s="675">
        <v>0</v>
      </c>
      <c r="BY142" s="675">
        <v>0</v>
      </c>
      <c r="BZ142" s="675">
        <v>0</v>
      </c>
      <c r="CA142" s="675">
        <v>0</v>
      </c>
      <c r="CB142" s="675">
        <v>0</v>
      </c>
      <c r="CC142" s="675">
        <v>0</v>
      </c>
      <c r="CD142" s="675">
        <v>0</v>
      </c>
      <c r="CE142" s="675">
        <v>0</v>
      </c>
      <c r="CF142" s="675">
        <v>0</v>
      </c>
      <c r="CG142" s="675">
        <v>0</v>
      </c>
      <c r="CH142" s="675">
        <v>0</v>
      </c>
      <c r="CI142" s="675">
        <v>0</v>
      </c>
      <c r="CJ142" s="675">
        <v>4</v>
      </c>
      <c r="CK142" s="675">
        <v>0</v>
      </c>
      <c r="CL142" s="675">
        <v>0</v>
      </c>
      <c r="CM142" s="675">
        <v>0</v>
      </c>
      <c r="CN142" s="675">
        <v>0</v>
      </c>
      <c r="CO142" s="675">
        <v>0</v>
      </c>
      <c r="CP142" s="675">
        <v>0</v>
      </c>
      <c r="CQ142" s="675">
        <v>0</v>
      </c>
      <c r="CR142" s="675">
        <v>0</v>
      </c>
      <c r="CS142" s="675">
        <v>0</v>
      </c>
      <c r="CT142" s="675">
        <v>0</v>
      </c>
      <c r="CU142" s="675">
        <v>0</v>
      </c>
      <c r="CV142" s="675">
        <v>0</v>
      </c>
      <c r="CW142" s="675">
        <v>0</v>
      </c>
      <c r="CX142" s="675">
        <v>0</v>
      </c>
      <c r="CY142" s="675">
        <v>0</v>
      </c>
      <c r="CZ142" s="675">
        <v>0</v>
      </c>
      <c r="DA142" s="675">
        <v>1</v>
      </c>
      <c r="DB142" s="675">
        <v>447835</v>
      </c>
      <c r="DC142" s="675">
        <v>0</v>
      </c>
      <c r="DD142" s="675">
        <v>0</v>
      </c>
      <c r="DE142" s="675">
        <v>98310</v>
      </c>
      <c r="DF142" s="675">
        <v>98310</v>
      </c>
      <c r="DG142" s="675">
        <v>75</v>
      </c>
      <c r="DH142" s="675">
        <v>0</v>
      </c>
      <c r="DI142" s="675">
        <v>0</v>
      </c>
      <c r="DJ142" s="675">
        <v>0</v>
      </c>
      <c r="DK142" s="675">
        <v>5392</v>
      </c>
      <c r="DL142" s="675">
        <v>0</v>
      </c>
      <c r="DM142" s="675">
        <v>153829</v>
      </c>
      <c r="DN142" s="675">
        <v>0</v>
      </c>
      <c r="DO142" s="675">
        <v>0</v>
      </c>
      <c r="DP142" s="675">
        <v>0</v>
      </c>
      <c r="DQ142" s="675">
        <v>0</v>
      </c>
      <c r="DR142" s="675">
        <v>0</v>
      </c>
      <c r="DS142" s="675">
        <v>0</v>
      </c>
      <c r="DT142" s="675">
        <v>0</v>
      </c>
      <c r="DU142" s="675">
        <v>0</v>
      </c>
      <c r="DV142" s="675">
        <v>0</v>
      </c>
      <c r="DW142" s="675">
        <v>0</v>
      </c>
      <c r="DX142" s="675">
        <v>0</v>
      </c>
      <c r="DY142" s="675">
        <v>0</v>
      </c>
      <c r="DZ142" s="675">
        <v>0</v>
      </c>
      <c r="EA142" s="675">
        <v>0</v>
      </c>
      <c r="EB142" s="675">
        <v>0</v>
      </c>
      <c r="EC142" s="675">
        <v>5.8100000000000005</v>
      </c>
      <c r="ED142" s="675">
        <v>41887</v>
      </c>
      <c r="EE142" s="675">
        <v>0</v>
      </c>
      <c r="EF142" s="675">
        <v>0</v>
      </c>
      <c r="EG142" s="675">
        <v>0</v>
      </c>
      <c r="EH142" s="675">
        <v>111942</v>
      </c>
      <c r="EI142" s="675">
        <v>0</v>
      </c>
      <c r="EJ142" s="675">
        <v>0</v>
      </c>
      <c r="EK142" s="675">
        <v>5.1100000000000003</v>
      </c>
      <c r="EL142" s="675">
        <v>0</v>
      </c>
      <c r="EM142" s="675">
        <v>0</v>
      </c>
      <c r="EN142" s="675">
        <v>0.35000000000000003</v>
      </c>
      <c r="EO142" s="675">
        <v>0</v>
      </c>
      <c r="EP142" s="675">
        <v>0</v>
      </c>
      <c r="EQ142" s="675">
        <v>5.46</v>
      </c>
      <c r="ER142" s="675">
        <v>0</v>
      </c>
      <c r="ES142" s="675">
        <v>17.080000000000002</v>
      </c>
      <c r="ET142" s="675">
        <v>0</v>
      </c>
      <c r="EU142" s="675">
        <v>0</v>
      </c>
      <c r="EV142" s="675">
        <v>0</v>
      </c>
      <c r="EW142" s="675">
        <v>0</v>
      </c>
      <c r="EX142" s="675">
        <v>0</v>
      </c>
      <c r="EY142" s="675">
        <v>0</v>
      </c>
      <c r="EZ142" s="675">
        <v>699974</v>
      </c>
      <c r="FA142" s="675">
        <v>0</v>
      </c>
      <c r="FB142" s="675">
        <v>699974</v>
      </c>
      <c r="FC142" s="675">
        <v>0.97327799999999998</v>
      </c>
      <c r="FD142" s="675">
        <v>0</v>
      </c>
      <c r="FE142" s="675">
        <v>103718</v>
      </c>
      <c r="FF142" s="675">
        <v>23373</v>
      </c>
      <c r="FG142" s="675">
        <v>6.1239999999999996E-2</v>
      </c>
      <c r="FH142" s="675">
        <v>5.4803999999999999E-2</v>
      </c>
      <c r="FI142" s="675">
        <v>0</v>
      </c>
      <c r="FJ142" s="675">
        <v>0</v>
      </c>
      <c r="FK142" s="675">
        <v>133.482</v>
      </c>
      <c r="FL142" s="675">
        <v>827065</v>
      </c>
      <c r="FM142" s="675">
        <v>0</v>
      </c>
      <c r="FN142" s="675">
        <v>0</v>
      </c>
      <c r="FO142" s="675">
        <v>0</v>
      </c>
      <c r="FP142" s="675">
        <v>0</v>
      </c>
      <c r="FQ142" s="675">
        <v>0</v>
      </c>
      <c r="FR142" s="675">
        <v>0</v>
      </c>
      <c r="FS142" s="675">
        <v>0</v>
      </c>
      <c r="FT142" s="675">
        <v>0</v>
      </c>
      <c r="FU142" s="675">
        <v>0</v>
      </c>
      <c r="FV142" s="675">
        <v>0</v>
      </c>
      <c r="FW142" s="675">
        <v>0</v>
      </c>
      <c r="FX142" s="675">
        <v>0</v>
      </c>
      <c r="FY142" s="675">
        <v>0</v>
      </c>
      <c r="FZ142" s="675">
        <v>0</v>
      </c>
      <c r="GA142" s="675">
        <v>0</v>
      </c>
      <c r="GB142" s="675">
        <v>0</v>
      </c>
      <c r="GC142" s="675">
        <v>0</v>
      </c>
      <c r="GD142" s="675">
        <v>0</v>
      </c>
      <c r="GE142" s="675">
        <v>0</v>
      </c>
      <c r="GF142" s="675">
        <v>0</v>
      </c>
      <c r="GG142" s="675">
        <v>0</v>
      </c>
      <c r="GH142" s="675">
        <v>0</v>
      </c>
      <c r="GI142" s="675">
        <v>0</v>
      </c>
      <c r="GJ142" s="675">
        <v>0</v>
      </c>
      <c r="GK142" s="675">
        <v>0</v>
      </c>
      <c r="GL142" s="675">
        <v>0</v>
      </c>
      <c r="GM142" s="675">
        <v>0</v>
      </c>
      <c r="GN142" s="675">
        <v>0</v>
      </c>
      <c r="GO142" s="675">
        <v>0</v>
      </c>
      <c r="GP142" s="675">
        <v>827065</v>
      </c>
      <c r="GQ142" s="675">
        <v>827065</v>
      </c>
      <c r="GR142" s="675">
        <v>0</v>
      </c>
      <c r="GS142" s="675">
        <v>0</v>
      </c>
      <c r="GT142" s="675">
        <v>0</v>
      </c>
      <c r="GU142" s="675">
        <v>0</v>
      </c>
      <c r="GV142" s="675">
        <v>0</v>
      </c>
      <c r="GW142" s="675">
        <v>0</v>
      </c>
      <c r="GX142" s="675">
        <v>0</v>
      </c>
      <c r="GY142" s="675">
        <v>0</v>
      </c>
      <c r="GZ142" s="675">
        <v>0</v>
      </c>
      <c r="HA142" s="675">
        <v>0</v>
      </c>
      <c r="HB142" s="675">
        <v>0</v>
      </c>
      <c r="HC142" s="675">
        <v>0</v>
      </c>
      <c r="HD142" s="675">
        <v>0</v>
      </c>
      <c r="HE142" s="675">
        <v>0</v>
      </c>
      <c r="HF142" s="675">
        <v>0</v>
      </c>
      <c r="HG142" s="675">
        <v>0</v>
      </c>
      <c r="HH142" s="675">
        <v>0</v>
      </c>
      <c r="HI142" s="675">
        <v>0</v>
      </c>
      <c r="HJ142" s="675">
        <v>0</v>
      </c>
      <c r="HK142" s="675">
        <v>0</v>
      </c>
      <c r="HL142" s="675">
        <v>0</v>
      </c>
      <c r="HM142" s="675">
        <v>0</v>
      </c>
      <c r="HN142" s="675">
        <v>0</v>
      </c>
      <c r="HO142" s="675">
        <v>0</v>
      </c>
      <c r="HP142" s="675">
        <v>0</v>
      </c>
      <c r="HQ142" s="675">
        <v>0</v>
      </c>
      <c r="HR142" s="675">
        <v>0</v>
      </c>
      <c r="HS142" s="675">
        <v>0</v>
      </c>
      <c r="HT142" s="675">
        <v>0</v>
      </c>
      <c r="HU142" s="675">
        <v>0</v>
      </c>
      <c r="HV142" s="675">
        <v>0</v>
      </c>
      <c r="HW142" s="675">
        <v>0</v>
      </c>
      <c r="HX142" s="675">
        <v>0</v>
      </c>
      <c r="HY142" s="675">
        <v>0</v>
      </c>
      <c r="HZ142" s="675">
        <v>0</v>
      </c>
      <c r="IA142" s="675">
        <v>0</v>
      </c>
      <c r="IB142" s="675">
        <v>0</v>
      </c>
      <c r="IC142" s="675">
        <v>0</v>
      </c>
      <c r="ID142" s="675">
        <v>0</v>
      </c>
      <c r="IE142" s="675">
        <v>0</v>
      </c>
      <c r="IF142" s="675">
        <v>0</v>
      </c>
      <c r="IG142" s="675">
        <v>0</v>
      </c>
      <c r="IH142" s="675">
        <v>0</v>
      </c>
      <c r="II142" s="675">
        <v>0</v>
      </c>
      <c r="IJ142" s="675">
        <v>0</v>
      </c>
      <c r="IK142" s="675">
        <v>0</v>
      </c>
      <c r="IL142" s="675">
        <v>0</v>
      </c>
      <c r="IM142" s="675">
        <v>0</v>
      </c>
      <c r="IN142" s="675">
        <v>0</v>
      </c>
      <c r="IO142" s="675">
        <v>0</v>
      </c>
      <c r="IP142" s="675">
        <v>0</v>
      </c>
      <c r="IQ142" s="675">
        <v>0</v>
      </c>
      <c r="IR142" s="675">
        <v>0</v>
      </c>
      <c r="IS142" s="675">
        <v>0</v>
      </c>
      <c r="IT142" s="675">
        <v>0</v>
      </c>
      <c r="IU142" s="675">
        <v>0</v>
      </c>
      <c r="IV142" s="675">
        <v>0</v>
      </c>
      <c r="IW142" s="675">
        <v>0</v>
      </c>
      <c r="IX142" s="675">
        <v>0</v>
      </c>
      <c r="IY142" s="675">
        <v>0</v>
      </c>
      <c r="IZ142" s="675">
        <v>0</v>
      </c>
      <c r="JA142" s="675">
        <v>0</v>
      </c>
      <c r="JB142" s="675">
        <v>0</v>
      </c>
      <c r="JC142" s="675">
        <v>0</v>
      </c>
      <c r="JD142" s="675">
        <v>0</v>
      </c>
      <c r="JE142" s="675">
        <v>0</v>
      </c>
      <c r="JF142" s="675">
        <v>0</v>
      </c>
      <c r="JG142" s="675">
        <v>0</v>
      </c>
      <c r="JH142" s="675">
        <v>0</v>
      </c>
      <c r="JI142" s="675">
        <v>0</v>
      </c>
      <c r="JJ142" s="675">
        <v>0</v>
      </c>
      <c r="JK142" s="675">
        <v>0</v>
      </c>
      <c r="JL142" s="675">
        <v>0</v>
      </c>
      <c r="JM142" s="675">
        <v>0</v>
      </c>
      <c r="JN142" s="675">
        <v>32469</v>
      </c>
      <c r="JO142" s="675">
        <v>0</v>
      </c>
      <c r="JP142" s="675">
        <v>0</v>
      </c>
      <c r="JQ142" s="675">
        <v>0</v>
      </c>
      <c r="JR142" s="675">
        <v>0</v>
      </c>
      <c r="JS142" s="675">
        <v>0</v>
      </c>
      <c r="JT142" s="675">
        <v>0</v>
      </c>
      <c r="JU142" s="675">
        <v>0</v>
      </c>
      <c r="JV142" s="675">
        <v>0</v>
      </c>
      <c r="JW142" s="675">
        <v>0</v>
      </c>
      <c r="JX142" s="675">
        <v>0</v>
      </c>
      <c r="JY142" s="675">
        <v>0</v>
      </c>
      <c r="JZ142" s="675">
        <v>0</v>
      </c>
      <c r="KA142" s="675">
        <v>0</v>
      </c>
      <c r="KB142" s="675">
        <v>0</v>
      </c>
      <c r="KC142" s="675">
        <v>0</v>
      </c>
      <c r="KD142" s="675">
        <v>0</v>
      </c>
      <c r="KE142" s="675">
        <v>0</v>
      </c>
      <c r="KF142" s="675">
        <v>0</v>
      </c>
    </row>
    <row r="143" spans="1:292" ht="13" x14ac:dyDescent="0.3">
      <c r="A143" s="675">
        <v>161801</v>
      </c>
      <c r="B143" s="675">
        <v>32570</v>
      </c>
      <c r="C143" s="675">
        <v>35</v>
      </c>
      <c r="D143" s="675">
        <v>2022</v>
      </c>
      <c r="E143" s="675">
        <v>5392</v>
      </c>
      <c r="F143" s="675">
        <v>0</v>
      </c>
      <c r="G143" s="675">
        <v>211.17000000000002</v>
      </c>
      <c r="H143" s="675">
        <v>206.20700000000002</v>
      </c>
      <c r="I143" s="675">
        <v>206.20700000000002</v>
      </c>
      <c r="J143" s="675">
        <v>211.17000000000002</v>
      </c>
      <c r="K143" s="675">
        <v>0</v>
      </c>
      <c r="L143" s="675">
        <v>6554</v>
      </c>
      <c r="M143" s="675">
        <v>0</v>
      </c>
      <c r="N143" s="675">
        <v>0</v>
      </c>
      <c r="O143" s="675">
        <v>0</v>
      </c>
      <c r="P143" s="675">
        <v>192.73700000000002</v>
      </c>
      <c r="Q143" s="675">
        <v>0</v>
      </c>
      <c r="R143" s="676">
        <v>61621</v>
      </c>
      <c r="S143" s="675">
        <v>319.71300000000002</v>
      </c>
      <c r="T143" s="675">
        <v>0</v>
      </c>
      <c r="U143" s="676">
        <v>61621</v>
      </c>
      <c r="V143" s="676">
        <v>55.752000000000002</v>
      </c>
      <c r="W143" s="676">
        <v>36540</v>
      </c>
      <c r="X143" s="676">
        <v>36540</v>
      </c>
      <c r="Y143" s="675">
        <v>0</v>
      </c>
      <c r="Z143" s="675">
        <v>0</v>
      </c>
      <c r="AA143" s="675">
        <v>1</v>
      </c>
      <c r="AB143" s="675">
        <v>1</v>
      </c>
      <c r="AC143" s="675">
        <v>0</v>
      </c>
      <c r="AD143" s="675" t="s">
        <v>316</v>
      </c>
      <c r="AE143" s="675">
        <v>0</v>
      </c>
      <c r="AF143" s="675">
        <v>0</v>
      </c>
      <c r="AG143" s="675">
        <v>0</v>
      </c>
      <c r="AH143" s="675">
        <v>0</v>
      </c>
      <c r="AI143" s="675">
        <v>0</v>
      </c>
      <c r="AJ143" s="675">
        <v>5104</v>
      </c>
      <c r="AK143" s="675" t="s">
        <v>671</v>
      </c>
      <c r="AL143" s="675" t="s">
        <v>5</v>
      </c>
      <c r="AM143" s="675">
        <v>0</v>
      </c>
      <c r="AN143" s="675">
        <v>0</v>
      </c>
      <c r="AO143" s="675">
        <v>0</v>
      </c>
      <c r="AP143" s="675">
        <v>0</v>
      </c>
      <c r="AQ143" s="675">
        <v>0</v>
      </c>
      <c r="AR143" s="675">
        <v>0</v>
      </c>
      <c r="AS143" s="675">
        <v>0</v>
      </c>
      <c r="AT143" s="675">
        <v>0</v>
      </c>
      <c r="AU143" s="675">
        <v>0</v>
      </c>
      <c r="AV143" s="675">
        <v>62968</v>
      </c>
      <c r="AW143" s="675">
        <v>2093359</v>
      </c>
      <c r="AX143" s="675">
        <v>2051742</v>
      </c>
      <c r="AY143" s="675">
        <v>2349897</v>
      </c>
      <c r="AZ143" s="675">
        <v>61621</v>
      </c>
      <c r="BA143" s="676">
        <v>0</v>
      </c>
      <c r="BB143" s="675">
        <v>2343</v>
      </c>
      <c r="BC143" s="675">
        <v>2343</v>
      </c>
      <c r="BD143" s="675">
        <v>2.9790000000000001</v>
      </c>
      <c r="BE143" s="675">
        <v>0</v>
      </c>
      <c r="BF143" s="675">
        <v>1740818</v>
      </c>
      <c r="BG143" s="675">
        <v>0</v>
      </c>
      <c r="BH143" s="676">
        <v>0</v>
      </c>
      <c r="BI143" s="676">
        <v>0</v>
      </c>
      <c r="BJ143" s="675">
        <v>12</v>
      </c>
      <c r="BK143" s="675">
        <v>0</v>
      </c>
      <c r="BL143" s="675">
        <v>0</v>
      </c>
      <c r="BM143" s="675">
        <v>0</v>
      </c>
      <c r="BN143" s="675">
        <v>0</v>
      </c>
      <c r="BO143" s="675">
        <v>0</v>
      </c>
      <c r="BP143" s="675">
        <v>0</v>
      </c>
      <c r="BQ143" s="675">
        <v>5392</v>
      </c>
      <c r="BR143" s="675">
        <v>1</v>
      </c>
      <c r="BS143" s="675">
        <v>0</v>
      </c>
      <c r="BT143" s="675">
        <v>0</v>
      </c>
      <c r="BU143" s="675">
        <v>0</v>
      </c>
      <c r="BV143" s="675">
        <v>0</v>
      </c>
      <c r="BW143" s="675">
        <v>0</v>
      </c>
      <c r="BX143" s="675">
        <v>0</v>
      </c>
      <c r="BY143" s="675">
        <v>0</v>
      </c>
      <c r="BZ143" s="675">
        <v>0</v>
      </c>
      <c r="CA143" s="675">
        <v>0</v>
      </c>
      <c r="CB143" s="675">
        <v>0</v>
      </c>
      <c r="CC143" s="675">
        <v>0</v>
      </c>
      <c r="CD143" s="675">
        <v>0</v>
      </c>
      <c r="CE143" s="675">
        <v>0</v>
      </c>
      <c r="CF143" s="675">
        <v>0</v>
      </c>
      <c r="CG143" s="675">
        <v>0</v>
      </c>
      <c r="CH143" s="676">
        <v>41617</v>
      </c>
      <c r="CI143" s="675">
        <v>0</v>
      </c>
      <c r="CJ143" s="675">
        <v>4</v>
      </c>
      <c r="CK143" s="675">
        <v>0</v>
      </c>
      <c r="CL143" s="675">
        <v>0</v>
      </c>
      <c r="CM143" s="675">
        <v>0</v>
      </c>
      <c r="CN143" s="675">
        <v>0</v>
      </c>
      <c r="CO143" s="675">
        <v>0</v>
      </c>
      <c r="CP143" s="675">
        <v>0</v>
      </c>
      <c r="CQ143" s="675">
        <v>0</v>
      </c>
      <c r="CR143" s="675">
        <v>192.73700000000002</v>
      </c>
      <c r="CS143" s="675">
        <v>0</v>
      </c>
      <c r="CT143" s="675">
        <v>0</v>
      </c>
      <c r="CU143" s="675">
        <v>0</v>
      </c>
      <c r="CV143" s="675">
        <v>0</v>
      </c>
      <c r="CW143" s="675">
        <v>0</v>
      </c>
      <c r="CX143" s="675">
        <v>0</v>
      </c>
      <c r="CY143" s="675">
        <v>0</v>
      </c>
      <c r="CZ143" s="675">
        <v>0</v>
      </c>
      <c r="DA143" s="675">
        <v>1</v>
      </c>
      <c r="DB143" s="675">
        <v>1351481</v>
      </c>
      <c r="DC143" s="675">
        <v>0</v>
      </c>
      <c r="DD143" s="675">
        <v>0</v>
      </c>
      <c r="DE143" s="675">
        <v>292531</v>
      </c>
      <c r="DF143" s="675">
        <v>292531</v>
      </c>
      <c r="DG143" s="675">
        <v>223.17000000000002</v>
      </c>
      <c r="DH143" s="675">
        <v>0</v>
      </c>
      <c r="DI143" s="675">
        <v>0</v>
      </c>
      <c r="DJ143" s="675">
        <v>0</v>
      </c>
      <c r="DK143" s="675">
        <v>5392</v>
      </c>
      <c r="DL143" s="675">
        <v>0</v>
      </c>
      <c r="DM143" s="675">
        <v>105719</v>
      </c>
      <c r="DN143" s="675">
        <v>0</v>
      </c>
      <c r="DO143" s="675">
        <v>0</v>
      </c>
      <c r="DP143" s="675">
        <v>0</v>
      </c>
      <c r="DQ143" s="675">
        <v>0</v>
      </c>
      <c r="DR143" s="675">
        <v>0</v>
      </c>
      <c r="DS143" s="675">
        <v>0</v>
      </c>
      <c r="DT143" s="675">
        <v>0</v>
      </c>
      <c r="DU143" s="675">
        <v>0</v>
      </c>
      <c r="DV143" s="675">
        <v>0</v>
      </c>
      <c r="DW143" s="675">
        <v>0</v>
      </c>
      <c r="DX143" s="675">
        <v>0</v>
      </c>
      <c r="DY143" s="675">
        <v>0</v>
      </c>
      <c r="DZ143" s="675">
        <v>0</v>
      </c>
      <c r="EA143" s="675">
        <v>0</v>
      </c>
      <c r="EB143" s="675">
        <v>0</v>
      </c>
      <c r="EC143" s="675">
        <v>0.36499999999999999</v>
      </c>
      <c r="ED143" s="675">
        <v>2631</v>
      </c>
      <c r="EE143" s="675">
        <v>0</v>
      </c>
      <c r="EF143" s="675">
        <v>0</v>
      </c>
      <c r="EG143" s="675">
        <v>0</v>
      </c>
      <c r="EH143" s="675">
        <v>103088</v>
      </c>
      <c r="EI143" s="675">
        <v>0</v>
      </c>
      <c r="EJ143" s="675">
        <v>0</v>
      </c>
      <c r="EK143" s="675">
        <v>4.5430000000000001</v>
      </c>
      <c r="EL143" s="675">
        <v>0</v>
      </c>
      <c r="EM143" s="675">
        <v>0</v>
      </c>
      <c r="EN143" s="675">
        <v>0.42</v>
      </c>
      <c r="EO143" s="675">
        <v>0</v>
      </c>
      <c r="EP143" s="675">
        <v>0</v>
      </c>
      <c r="EQ143" s="675">
        <v>4.9630000000000001</v>
      </c>
      <c r="ER143" s="675">
        <v>0</v>
      </c>
      <c r="ES143" s="675">
        <v>15.729000000000001</v>
      </c>
      <c r="ET143" s="676">
        <v>0</v>
      </c>
      <c r="EU143" s="675">
        <v>61621</v>
      </c>
      <c r="EV143" s="675">
        <v>0</v>
      </c>
      <c r="EW143" s="675">
        <v>0</v>
      </c>
      <c r="EX143" s="675">
        <v>0</v>
      </c>
      <c r="EY143" s="675">
        <v>0</v>
      </c>
      <c r="EZ143" s="675">
        <v>1726993</v>
      </c>
      <c r="FA143" s="675">
        <v>0</v>
      </c>
      <c r="FB143" s="676">
        <v>1788614</v>
      </c>
      <c r="FC143" s="675">
        <v>0.97327799999999998</v>
      </c>
      <c r="FD143" s="675">
        <v>0</v>
      </c>
      <c r="FE143" s="675">
        <v>265026</v>
      </c>
      <c r="FF143" s="675">
        <v>59723</v>
      </c>
      <c r="FG143" s="675">
        <v>6.1239999999999996E-2</v>
      </c>
      <c r="FH143" s="675">
        <v>5.4803999999999999E-2</v>
      </c>
      <c r="FI143" s="675">
        <v>0</v>
      </c>
      <c r="FJ143" s="675">
        <v>0</v>
      </c>
      <c r="FK143" s="675">
        <v>341.08100000000002</v>
      </c>
      <c r="FL143" s="675">
        <v>2154980</v>
      </c>
      <c r="FM143" s="675">
        <v>0</v>
      </c>
      <c r="FN143" s="675">
        <v>0</v>
      </c>
      <c r="FO143" s="675">
        <v>0</v>
      </c>
      <c r="FP143" s="675">
        <v>0</v>
      </c>
      <c r="FQ143" s="675">
        <v>0</v>
      </c>
      <c r="FR143" s="675">
        <v>0</v>
      </c>
      <c r="FS143" s="675">
        <v>0</v>
      </c>
      <c r="FT143" s="675">
        <v>0</v>
      </c>
      <c r="FU143" s="675">
        <v>0</v>
      </c>
      <c r="FV143" s="675">
        <v>0</v>
      </c>
      <c r="FW143" s="675">
        <v>0</v>
      </c>
      <c r="FX143" s="675">
        <v>0</v>
      </c>
      <c r="FY143" s="675">
        <v>0</v>
      </c>
      <c r="FZ143" s="675">
        <v>0</v>
      </c>
      <c r="GA143" s="675">
        <v>0</v>
      </c>
      <c r="GB143" s="676">
        <v>0</v>
      </c>
      <c r="GC143" s="676">
        <v>0</v>
      </c>
      <c r="GD143" s="676">
        <v>0</v>
      </c>
      <c r="GE143" s="675">
        <v>0</v>
      </c>
      <c r="GF143" s="675">
        <v>0</v>
      </c>
      <c r="GG143" s="675">
        <v>0</v>
      </c>
      <c r="GH143" s="675">
        <v>0</v>
      </c>
      <c r="GI143" s="675">
        <v>0</v>
      </c>
      <c r="GJ143" s="675">
        <v>0</v>
      </c>
      <c r="GK143" s="675">
        <v>4957</v>
      </c>
      <c r="GL143" s="675">
        <v>5949</v>
      </c>
      <c r="GM143" s="675">
        <v>0</v>
      </c>
      <c r="GN143" s="675">
        <v>0</v>
      </c>
      <c r="GO143" s="675">
        <v>0</v>
      </c>
      <c r="GP143" s="675">
        <v>2113363</v>
      </c>
      <c r="GQ143" s="675">
        <v>2113363</v>
      </c>
      <c r="GR143" s="675">
        <v>0</v>
      </c>
      <c r="GS143" s="675">
        <v>0</v>
      </c>
      <c r="GT143" s="675">
        <v>0</v>
      </c>
      <c r="GU143" s="675">
        <v>0</v>
      </c>
      <c r="GV143" s="675">
        <v>0</v>
      </c>
      <c r="GW143" s="675">
        <v>0</v>
      </c>
      <c r="GX143" s="675">
        <v>0</v>
      </c>
      <c r="GY143" s="675">
        <v>0</v>
      </c>
      <c r="GZ143" s="675">
        <v>0</v>
      </c>
      <c r="HA143" s="675">
        <v>0</v>
      </c>
      <c r="HB143" s="675">
        <v>260786259</v>
      </c>
      <c r="HC143" s="675">
        <v>5.0923999999999997E-2</v>
      </c>
      <c r="HD143" s="676">
        <v>41617</v>
      </c>
      <c r="HE143" s="675">
        <v>0</v>
      </c>
      <c r="HF143" s="675">
        <v>0</v>
      </c>
      <c r="HG143" s="675">
        <v>0</v>
      </c>
      <c r="HH143" s="675">
        <v>0</v>
      </c>
      <c r="HI143" s="675">
        <v>0</v>
      </c>
      <c r="HJ143" s="675">
        <v>0</v>
      </c>
      <c r="HK143" s="675">
        <v>0</v>
      </c>
      <c r="HL143" s="675">
        <v>0</v>
      </c>
      <c r="HM143" s="675">
        <v>0</v>
      </c>
      <c r="HN143" s="675">
        <v>0</v>
      </c>
      <c r="HO143" s="675">
        <v>0</v>
      </c>
      <c r="HP143" s="675">
        <v>0</v>
      </c>
      <c r="HQ143" s="675">
        <v>0</v>
      </c>
      <c r="HR143" s="675">
        <v>0</v>
      </c>
      <c r="HS143" s="675">
        <v>0</v>
      </c>
      <c r="HT143" s="675">
        <v>0</v>
      </c>
      <c r="HU143" s="675">
        <v>0</v>
      </c>
      <c r="HV143" s="675">
        <v>0</v>
      </c>
      <c r="HW143" s="675">
        <v>0</v>
      </c>
      <c r="HX143" s="675">
        <v>0</v>
      </c>
      <c r="HY143" s="675">
        <v>0</v>
      </c>
      <c r="HZ143" s="675">
        <v>0</v>
      </c>
      <c r="IA143" s="675">
        <v>0</v>
      </c>
      <c r="IB143" s="675">
        <v>0</v>
      </c>
      <c r="IC143" s="675">
        <v>0</v>
      </c>
      <c r="ID143" s="675">
        <v>0</v>
      </c>
      <c r="IE143" s="675">
        <v>0</v>
      </c>
      <c r="IF143" s="675">
        <v>0</v>
      </c>
      <c r="IG143" s="675">
        <v>0</v>
      </c>
      <c r="IH143" s="675">
        <v>0</v>
      </c>
      <c r="II143" s="675">
        <v>0</v>
      </c>
      <c r="IJ143" s="675">
        <v>0</v>
      </c>
      <c r="IK143" s="675">
        <v>0</v>
      </c>
      <c r="IL143" s="675">
        <v>0</v>
      </c>
      <c r="IM143" s="675">
        <v>0</v>
      </c>
      <c r="IN143" s="675">
        <v>0</v>
      </c>
      <c r="IO143" s="675">
        <v>0</v>
      </c>
      <c r="IP143" s="675">
        <v>0</v>
      </c>
      <c r="IQ143" s="675">
        <v>0</v>
      </c>
      <c r="IR143" s="675">
        <v>0</v>
      </c>
      <c r="IS143" s="675">
        <v>0</v>
      </c>
      <c r="IT143" s="675">
        <v>0</v>
      </c>
      <c r="IU143" s="675">
        <v>0</v>
      </c>
      <c r="IV143" s="675">
        <v>0</v>
      </c>
      <c r="IW143" s="675">
        <v>0</v>
      </c>
      <c r="IX143" s="675">
        <v>0</v>
      </c>
      <c r="IY143" s="675">
        <v>0</v>
      </c>
      <c r="IZ143" s="675">
        <v>0</v>
      </c>
      <c r="JA143" s="675">
        <v>0</v>
      </c>
      <c r="JB143" s="675">
        <v>0</v>
      </c>
      <c r="JC143" s="675">
        <v>0</v>
      </c>
      <c r="JD143" s="675">
        <v>0</v>
      </c>
      <c r="JE143" s="675">
        <v>0</v>
      </c>
      <c r="JF143" s="675">
        <v>0</v>
      </c>
      <c r="JG143" s="675">
        <v>0</v>
      </c>
      <c r="JH143" s="675">
        <v>0</v>
      </c>
      <c r="JI143" s="675">
        <v>0</v>
      </c>
      <c r="JJ143" s="675">
        <v>0</v>
      </c>
      <c r="JK143" s="675">
        <v>0</v>
      </c>
      <c r="JL143" s="675">
        <v>0</v>
      </c>
      <c r="JM143" s="675">
        <v>0</v>
      </c>
      <c r="JN143" s="675">
        <v>32469</v>
      </c>
      <c r="JO143" s="675">
        <v>0</v>
      </c>
      <c r="JP143" s="675">
        <v>0</v>
      </c>
      <c r="JQ143" s="675">
        <v>0</v>
      </c>
      <c r="JR143" s="675">
        <v>0</v>
      </c>
      <c r="JS143" s="675">
        <v>0</v>
      </c>
      <c r="JT143" s="675">
        <v>0</v>
      </c>
      <c r="JU143" s="675">
        <v>0</v>
      </c>
      <c r="JV143" s="675">
        <v>0</v>
      </c>
      <c r="JW143" s="675">
        <v>0</v>
      </c>
      <c r="JX143" s="675">
        <v>0</v>
      </c>
      <c r="JY143" s="675">
        <v>0</v>
      </c>
      <c r="JZ143" s="675">
        <v>0</v>
      </c>
      <c r="KA143" s="675">
        <v>0</v>
      </c>
      <c r="KB143" s="675">
        <v>0</v>
      </c>
      <c r="KC143" s="675">
        <v>0</v>
      </c>
      <c r="KD143" s="675">
        <v>0</v>
      </c>
      <c r="KE143" s="675">
        <v>0</v>
      </c>
      <c r="KF143" s="675">
        <v>0</v>
      </c>
    </row>
    <row r="144" spans="1:292" x14ac:dyDescent="0.25">
      <c r="A144" s="675">
        <v>161802</v>
      </c>
      <c r="B144" s="675">
        <v>32570</v>
      </c>
      <c r="C144" s="675">
        <v>35</v>
      </c>
      <c r="D144" s="675">
        <v>2022</v>
      </c>
      <c r="E144" s="675">
        <v>5392</v>
      </c>
      <c r="F144" s="675">
        <v>0</v>
      </c>
      <c r="G144" s="675">
        <v>755.81100000000004</v>
      </c>
      <c r="H144" s="675">
        <v>702.68299999999999</v>
      </c>
      <c r="I144" s="675">
        <v>702.68299999999999</v>
      </c>
      <c r="J144" s="675">
        <v>755.81100000000004</v>
      </c>
      <c r="K144" s="675">
        <v>0</v>
      </c>
      <c r="L144" s="675">
        <v>6554</v>
      </c>
      <c r="M144" s="675">
        <v>0</v>
      </c>
      <c r="N144" s="675">
        <v>0</v>
      </c>
      <c r="O144" s="675">
        <v>0</v>
      </c>
      <c r="P144" s="675">
        <v>748.68500000000006</v>
      </c>
      <c r="Q144" s="675">
        <v>0</v>
      </c>
      <c r="R144" s="675">
        <v>239364</v>
      </c>
      <c r="S144" s="675">
        <v>319.71300000000002</v>
      </c>
      <c r="T144" s="675">
        <v>0</v>
      </c>
      <c r="U144" s="675">
        <v>239364</v>
      </c>
      <c r="V144" s="675">
        <v>71.088999999999999</v>
      </c>
      <c r="W144" s="675">
        <v>46592</v>
      </c>
      <c r="X144" s="675">
        <v>46592</v>
      </c>
      <c r="Y144" s="675">
        <v>0</v>
      </c>
      <c r="Z144" s="675">
        <v>0</v>
      </c>
      <c r="AA144" s="675">
        <v>1</v>
      </c>
      <c r="AB144" s="675">
        <v>1</v>
      </c>
      <c r="AC144" s="675">
        <v>0</v>
      </c>
      <c r="AD144" s="675" t="s">
        <v>316</v>
      </c>
      <c r="AE144" s="675">
        <v>0</v>
      </c>
      <c r="AF144" s="675">
        <v>0</v>
      </c>
      <c r="AG144" s="675">
        <v>0</v>
      </c>
      <c r="AH144" s="675">
        <v>0</v>
      </c>
      <c r="AI144" s="675">
        <v>0</v>
      </c>
      <c r="AJ144" s="675">
        <v>5104</v>
      </c>
      <c r="AK144" s="675" t="s">
        <v>671</v>
      </c>
      <c r="AL144" s="675" t="s">
        <v>359</v>
      </c>
      <c r="AM144" s="675">
        <v>0</v>
      </c>
      <c r="AN144" s="675">
        <v>0</v>
      </c>
      <c r="AO144" s="675">
        <v>0</v>
      </c>
      <c r="AP144" s="675">
        <v>0</v>
      </c>
      <c r="AQ144" s="675">
        <v>0</v>
      </c>
      <c r="AR144" s="675">
        <v>0</v>
      </c>
      <c r="AS144" s="675">
        <v>0</v>
      </c>
      <c r="AT144" s="675">
        <v>0</v>
      </c>
      <c r="AU144" s="675">
        <v>0</v>
      </c>
      <c r="AV144" s="675">
        <v>169893</v>
      </c>
      <c r="AW144" s="675">
        <v>7669735</v>
      </c>
      <c r="AX144" s="675">
        <v>7474977</v>
      </c>
      <c r="AY144" s="675">
        <v>8152110</v>
      </c>
      <c r="AZ144" s="675">
        <v>285168</v>
      </c>
      <c r="BA144" s="675">
        <v>0</v>
      </c>
      <c r="BB144" s="675">
        <v>0</v>
      </c>
      <c r="BC144" s="675">
        <v>0</v>
      </c>
      <c r="BD144" s="675">
        <v>0</v>
      </c>
      <c r="BE144" s="675">
        <v>0</v>
      </c>
      <c r="BF144" s="675">
        <v>6354453</v>
      </c>
      <c r="BG144" s="675">
        <v>0</v>
      </c>
      <c r="BH144" s="675">
        <v>166.56100000000001</v>
      </c>
      <c r="BI144" s="675">
        <v>45804</v>
      </c>
      <c r="BJ144" s="675">
        <v>12</v>
      </c>
      <c r="BK144" s="675">
        <v>0</v>
      </c>
      <c r="BL144" s="675">
        <v>0</v>
      </c>
      <c r="BM144" s="675">
        <v>0</v>
      </c>
      <c r="BN144" s="675">
        <v>0</v>
      </c>
      <c r="BO144" s="675">
        <v>0</v>
      </c>
      <c r="BP144" s="675">
        <v>0</v>
      </c>
      <c r="BQ144" s="675">
        <v>5392</v>
      </c>
      <c r="BR144" s="675">
        <v>1</v>
      </c>
      <c r="BS144" s="675">
        <v>0</v>
      </c>
      <c r="BT144" s="675">
        <v>0</v>
      </c>
      <c r="BU144" s="675">
        <v>0</v>
      </c>
      <c r="BV144" s="675">
        <v>0</v>
      </c>
      <c r="BW144" s="675">
        <v>0</v>
      </c>
      <c r="BX144" s="675">
        <v>0</v>
      </c>
      <c r="BY144" s="675">
        <v>0</v>
      </c>
      <c r="BZ144" s="675">
        <v>0</v>
      </c>
      <c r="CA144" s="675">
        <v>0</v>
      </c>
      <c r="CB144" s="675">
        <v>0</v>
      </c>
      <c r="CC144" s="675">
        <v>0</v>
      </c>
      <c r="CD144" s="675">
        <v>0</v>
      </c>
      <c r="CE144" s="675">
        <v>0</v>
      </c>
      <c r="CF144" s="675">
        <v>0</v>
      </c>
      <c r="CG144" s="675">
        <v>0</v>
      </c>
      <c r="CH144" s="675">
        <v>148954</v>
      </c>
      <c r="CI144" s="675">
        <v>0</v>
      </c>
      <c r="CJ144" s="675">
        <v>4</v>
      </c>
      <c r="CK144" s="675">
        <v>0</v>
      </c>
      <c r="CL144" s="675">
        <v>0</v>
      </c>
      <c r="CM144" s="675">
        <v>0</v>
      </c>
      <c r="CN144" s="675">
        <v>0</v>
      </c>
      <c r="CO144" s="675">
        <v>0</v>
      </c>
      <c r="CP144" s="675">
        <v>0</v>
      </c>
      <c r="CQ144" s="675">
        <v>0</v>
      </c>
      <c r="CR144" s="675">
        <v>748.68500000000006</v>
      </c>
      <c r="CS144" s="675">
        <v>0</v>
      </c>
      <c r="CT144" s="675">
        <v>0</v>
      </c>
      <c r="CU144" s="675">
        <v>0</v>
      </c>
      <c r="CV144" s="675">
        <v>0</v>
      </c>
      <c r="CW144" s="675">
        <v>0</v>
      </c>
      <c r="CX144" s="675">
        <v>0</v>
      </c>
      <c r="CY144" s="675">
        <v>0</v>
      </c>
      <c r="CZ144" s="675">
        <v>0</v>
      </c>
      <c r="DA144" s="675">
        <v>1</v>
      </c>
      <c r="DB144" s="675">
        <v>4605384</v>
      </c>
      <c r="DC144" s="675">
        <v>0</v>
      </c>
      <c r="DD144" s="675">
        <v>0</v>
      </c>
      <c r="DE144" s="675">
        <v>824270</v>
      </c>
      <c r="DF144" s="675">
        <v>824270</v>
      </c>
      <c r="DG144" s="675">
        <v>628.83000000000004</v>
      </c>
      <c r="DH144" s="675">
        <v>0</v>
      </c>
      <c r="DI144" s="675">
        <v>0</v>
      </c>
      <c r="DJ144" s="675">
        <v>0</v>
      </c>
      <c r="DK144" s="675">
        <v>5392</v>
      </c>
      <c r="DL144" s="675">
        <v>0</v>
      </c>
      <c r="DM144" s="675">
        <v>695850</v>
      </c>
      <c r="DN144" s="675">
        <v>0</v>
      </c>
      <c r="DO144" s="675">
        <v>0</v>
      </c>
      <c r="DP144" s="675">
        <v>0</v>
      </c>
      <c r="DQ144" s="675">
        <v>0</v>
      </c>
      <c r="DR144" s="675">
        <v>0</v>
      </c>
      <c r="DS144" s="675">
        <v>0</v>
      </c>
      <c r="DT144" s="675">
        <v>0</v>
      </c>
      <c r="DU144" s="675">
        <v>0</v>
      </c>
      <c r="DV144" s="675">
        <v>0</v>
      </c>
      <c r="DW144" s="675">
        <v>0</v>
      </c>
      <c r="DX144" s="675">
        <v>0</v>
      </c>
      <c r="DY144" s="675">
        <v>0</v>
      </c>
      <c r="DZ144" s="675">
        <v>0</v>
      </c>
      <c r="EA144" s="675">
        <v>0</v>
      </c>
      <c r="EB144" s="675">
        <v>0</v>
      </c>
      <c r="EC144" s="675">
        <v>58.229000000000006</v>
      </c>
      <c r="ED144" s="675">
        <v>419796</v>
      </c>
      <c r="EE144" s="675">
        <v>0</v>
      </c>
      <c r="EF144" s="675">
        <v>0</v>
      </c>
      <c r="EG144" s="675">
        <v>0</v>
      </c>
      <c r="EH144" s="675">
        <v>276054</v>
      </c>
      <c r="EI144" s="675">
        <v>0</v>
      </c>
      <c r="EJ144" s="675">
        <v>0</v>
      </c>
      <c r="EK144" s="675">
        <v>10.114000000000001</v>
      </c>
      <c r="EL144" s="675">
        <v>0</v>
      </c>
      <c r="EM144" s="675">
        <v>0.90600000000000003</v>
      </c>
      <c r="EN144" s="675">
        <v>1.8120000000000001</v>
      </c>
      <c r="EO144" s="675">
        <v>0</v>
      </c>
      <c r="EP144" s="675">
        <v>0</v>
      </c>
      <c r="EQ144" s="675">
        <v>12.832000000000001</v>
      </c>
      <c r="ER144" s="675">
        <v>0</v>
      </c>
      <c r="ES144" s="675">
        <v>42.12</v>
      </c>
      <c r="ET144" s="675">
        <v>0</v>
      </c>
      <c r="EU144" s="675">
        <v>285168</v>
      </c>
      <c r="EV144" s="675">
        <v>0</v>
      </c>
      <c r="EW144" s="675">
        <v>0</v>
      </c>
      <c r="EX144" s="675">
        <v>0</v>
      </c>
      <c r="EY144" s="675">
        <v>0</v>
      </c>
      <c r="EZ144" s="675">
        <v>6289558</v>
      </c>
      <c r="FA144" s="675">
        <v>0</v>
      </c>
      <c r="FB144" s="675">
        <v>6574726</v>
      </c>
      <c r="FC144" s="675">
        <v>0.97327799999999998</v>
      </c>
      <c r="FD144" s="675">
        <v>0</v>
      </c>
      <c r="FE144" s="675">
        <v>967414</v>
      </c>
      <c r="FF144" s="675">
        <v>218005</v>
      </c>
      <c r="FG144" s="675">
        <v>6.1239999999999996E-2</v>
      </c>
      <c r="FH144" s="675">
        <v>5.4803999999999999E-2</v>
      </c>
      <c r="FI144" s="675">
        <v>0</v>
      </c>
      <c r="FJ144" s="675">
        <v>0</v>
      </c>
      <c r="FK144" s="675">
        <v>1245.037</v>
      </c>
      <c r="FL144" s="675">
        <v>7909099</v>
      </c>
      <c r="FM144" s="675">
        <v>0</v>
      </c>
      <c r="FN144" s="675">
        <v>0</v>
      </c>
      <c r="FO144" s="675">
        <v>0</v>
      </c>
      <c r="FP144" s="675">
        <v>0</v>
      </c>
      <c r="FQ144" s="675">
        <v>0</v>
      </c>
      <c r="FR144" s="675">
        <v>0</v>
      </c>
      <c r="FS144" s="675">
        <v>0</v>
      </c>
      <c r="FT144" s="675">
        <v>0</v>
      </c>
      <c r="FU144" s="675">
        <v>0</v>
      </c>
      <c r="FV144" s="675">
        <v>0</v>
      </c>
      <c r="FW144" s="675">
        <v>0</v>
      </c>
      <c r="FX144" s="675">
        <v>0</v>
      </c>
      <c r="FY144" s="675">
        <v>0</v>
      </c>
      <c r="FZ144" s="675">
        <v>291</v>
      </c>
      <c r="GA144" s="675">
        <v>5.8170000000000002</v>
      </c>
      <c r="GB144" s="675">
        <v>356826</v>
      </c>
      <c r="GC144" s="675">
        <v>356826</v>
      </c>
      <c r="GD144" s="675">
        <v>40.295999999999999</v>
      </c>
      <c r="GE144" s="675">
        <v>0</v>
      </c>
      <c r="GF144" s="675">
        <v>0</v>
      </c>
      <c r="GG144" s="675">
        <v>0</v>
      </c>
      <c r="GH144" s="675">
        <v>0</v>
      </c>
      <c r="GI144" s="675">
        <v>0</v>
      </c>
      <c r="GJ144" s="675">
        <v>0</v>
      </c>
      <c r="GK144" s="675">
        <v>5181</v>
      </c>
      <c r="GL144" s="675">
        <v>11424</v>
      </c>
      <c r="GM144" s="675">
        <v>0</v>
      </c>
      <c r="GN144" s="675">
        <v>0</v>
      </c>
      <c r="GO144" s="675">
        <v>0</v>
      </c>
      <c r="GP144" s="675">
        <v>7760145</v>
      </c>
      <c r="GQ144" s="675">
        <v>7760145</v>
      </c>
      <c r="GR144" s="675">
        <v>0</v>
      </c>
      <c r="GS144" s="675">
        <v>0</v>
      </c>
      <c r="GT144" s="675">
        <v>0</v>
      </c>
      <c r="GU144" s="675">
        <v>0</v>
      </c>
      <c r="GV144" s="675">
        <v>0</v>
      </c>
      <c r="GW144" s="675">
        <v>0</v>
      </c>
      <c r="GX144" s="675">
        <v>0</v>
      </c>
      <c r="GY144" s="675">
        <v>0</v>
      </c>
      <c r="GZ144" s="675">
        <v>0</v>
      </c>
      <c r="HA144" s="675">
        <v>0</v>
      </c>
      <c r="HB144" s="675">
        <v>260786259</v>
      </c>
      <c r="HC144" s="675">
        <v>5.0923999999999997E-2</v>
      </c>
      <c r="HD144" s="675">
        <v>148954</v>
      </c>
      <c r="HE144" s="675">
        <v>0</v>
      </c>
      <c r="HF144" s="675">
        <v>0</v>
      </c>
      <c r="HG144" s="675">
        <v>0</v>
      </c>
      <c r="HH144" s="675">
        <v>0</v>
      </c>
      <c r="HI144" s="675">
        <v>0</v>
      </c>
      <c r="HJ144" s="675">
        <v>0</v>
      </c>
      <c r="HK144" s="675">
        <v>0</v>
      </c>
      <c r="HL144" s="675">
        <v>0</v>
      </c>
      <c r="HM144" s="675">
        <v>0</v>
      </c>
      <c r="HN144" s="675">
        <v>0</v>
      </c>
      <c r="HO144" s="675">
        <v>0</v>
      </c>
      <c r="HP144" s="675">
        <v>0</v>
      </c>
      <c r="HQ144" s="675">
        <v>0</v>
      </c>
      <c r="HR144" s="675">
        <v>0</v>
      </c>
      <c r="HS144" s="675">
        <v>0</v>
      </c>
      <c r="HT144" s="675">
        <v>0</v>
      </c>
      <c r="HU144" s="675">
        <v>0</v>
      </c>
      <c r="HV144" s="675">
        <v>0</v>
      </c>
      <c r="HW144" s="675">
        <v>0</v>
      </c>
      <c r="HX144" s="675">
        <v>0</v>
      </c>
      <c r="HY144" s="675">
        <v>0</v>
      </c>
      <c r="HZ144" s="675">
        <v>0</v>
      </c>
      <c r="IA144" s="675">
        <v>0</v>
      </c>
      <c r="IB144" s="675">
        <v>0</v>
      </c>
      <c r="IC144" s="675">
        <v>0</v>
      </c>
      <c r="ID144" s="675">
        <v>0</v>
      </c>
      <c r="IE144" s="675">
        <v>0</v>
      </c>
      <c r="IF144" s="675">
        <v>0</v>
      </c>
      <c r="IG144" s="675">
        <v>0</v>
      </c>
      <c r="IH144" s="675">
        <v>0</v>
      </c>
      <c r="II144" s="675">
        <v>0</v>
      </c>
      <c r="IJ144" s="675">
        <v>0</v>
      </c>
      <c r="IK144" s="675">
        <v>0</v>
      </c>
      <c r="IL144" s="675">
        <v>0</v>
      </c>
      <c r="IM144" s="675">
        <v>0</v>
      </c>
      <c r="IN144" s="675">
        <v>0</v>
      </c>
      <c r="IO144" s="675">
        <v>0</v>
      </c>
      <c r="IP144" s="675">
        <v>0</v>
      </c>
      <c r="IQ144" s="675">
        <v>0</v>
      </c>
      <c r="IR144" s="675">
        <v>0</v>
      </c>
      <c r="IS144" s="675">
        <v>0</v>
      </c>
      <c r="IT144" s="675">
        <v>0</v>
      </c>
      <c r="IU144" s="675">
        <v>0</v>
      </c>
      <c r="IV144" s="675">
        <v>0</v>
      </c>
      <c r="IW144" s="675">
        <v>0</v>
      </c>
      <c r="IX144" s="675">
        <v>0</v>
      </c>
      <c r="IY144" s="675">
        <v>0</v>
      </c>
      <c r="IZ144" s="675">
        <v>0</v>
      </c>
      <c r="JA144" s="675">
        <v>0</v>
      </c>
      <c r="JB144" s="675">
        <v>0</v>
      </c>
      <c r="JC144" s="675">
        <v>0</v>
      </c>
      <c r="JD144" s="675">
        <v>0</v>
      </c>
      <c r="JE144" s="675">
        <v>0</v>
      </c>
      <c r="JF144" s="675">
        <v>0</v>
      </c>
      <c r="JG144" s="675">
        <v>0</v>
      </c>
      <c r="JH144" s="675">
        <v>0</v>
      </c>
      <c r="JI144" s="675">
        <v>0</v>
      </c>
      <c r="JJ144" s="675">
        <v>0</v>
      </c>
      <c r="JK144" s="675">
        <v>0</v>
      </c>
      <c r="JL144" s="675">
        <v>0</v>
      </c>
      <c r="JM144" s="675">
        <v>0</v>
      </c>
      <c r="JN144" s="675">
        <v>32469</v>
      </c>
      <c r="JO144" s="675">
        <v>0</v>
      </c>
      <c r="JP144" s="675">
        <v>0</v>
      </c>
      <c r="JQ144" s="675">
        <v>0</v>
      </c>
      <c r="JR144" s="675">
        <v>0</v>
      </c>
      <c r="JS144" s="675">
        <v>0</v>
      </c>
      <c r="JT144" s="675">
        <v>0</v>
      </c>
      <c r="JU144" s="675">
        <v>0</v>
      </c>
      <c r="JV144" s="675">
        <v>0</v>
      </c>
      <c r="JW144" s="675">
        <v>0</v>
      </c>
      <c r="JX144" s="675">
        <v>0</v>
      </c>
      <c r="JY144" s="675">
        <v>0</v>
      </c>
      <c r="JZ144" s="675">
        <v>0</v>
      </c>
      <c r="KA144" s="675">
        <v>0</v>
      </c>
      <c r="KB144" s="675">
        <v>0</v>
      </c>
      <c r="KC144" s="675">
        <v>0</v>
      </c>
      <c r="KD144" s="675">
        <v>0</v>
      </c>
      <c r="KE144" s="675">
        <v>0</v>
      </c>
      <c r="KF144" s="675">
        <v>0</v>
      </c>
    </row>
    <row r="145" spans="1:292" x14ac:dyDescent="0.25">
      <c r="A145" s="675">
        <v>161807</v>
      </c>
      <c r="B145" s="675">
        <v>32570</v>
      </c>
      <c r="C145" s="675">
        <v>35</v>
      </c>
      <c r="D145" s="675">
        <v>2022</v>
      </c>
      <c r="E145" s="675">
        <v>5392</v>
      </c>
      <c r="F145" s="675">
        <v>0</v>
      </c>
      <c r="G145" s="675">
        <v>9112.2650000000012</v>
      </c>
      <c r="H145" s="675">
        <v>8289.8990000000013</v>
      </c>
      <c r="I145" s="675">
        <v>8289.8990000000013</v>
      </c>
      <c r="J145" s="675">
        <v>9112.2650000000012</v>
      </c>
      <c r="K145" s="675">
        <v>0</v>
      </c>
      <c r="L145" s="675">
        <v>6554</v>
      </c>
      <c r="M145" s="675">
        <v>0</v>
      </c>
      <c r="N145" s="675">
        <v>0</v>
      </c>
      <c r="O145" s="675">
        <v>0</v>
      </c>
      <c r="P145" s="675">
        <v>9200.4390000000003</v>
      </c>
      <c r="Q145" s="675">
        <v>0</v>
      </c>
      <c r="R145" s="675">
        <v>2941500</v>
      </c>
      <c r="S145" s="675">
        <v>319.71300000000002</v>
      </c>
      <c r="T145" s="675">
        <v>0</v>
      </c>
      <c r="U145" s="675">
        <v>2941500</v>
      </c>
      <c r="V145" s="675">
        <v>2526.0520000000001</v>
      </c>
      <c r="W145" s="675">
        <v>1655574</v>
      </c>
      <c r="X145" s="675">
        <v>1655574</v>
      </c>
      <c r="Y145" s="675">
        <v>0</v>
      </c>
      <c r="Z145" s="675">
        <v>0</v>
      </c>
      <c r="AA145" s="675">
        <v>1</v>
      </c>
      <c r="AB145" s="675">
        <v>1</v>
      </c>
      <c r="AC145" s="675">
        <v>0</v>
      </c>
      <c r="AD145" s="675" t="s">
        <v>316</v>
      </c>
      <c r="AE145" s="675">
        <v>0</v>
      </c>
      <c r="AF145" s="675">
        <v>0</v>
      </c>
      <c r="AG145" s="675">
        <v>0</v>
      </c>
      <c r="AH145" s="675">
        <v>0</v>
      </c>
      <c r="AI145" s="675">
        <v>0</v>
      </c>
      <c r="AJ145" s="675">
        <v>5104</v>
      </c>
      <c r="AK145" s="675" t="s">
        <v>671</v>
      </c>
      <c r="AL145" s="675" t="s">
        <v>360</v>
      </c>
      <c r="AM145" s="675">
        <v>0</v>
      </c>
      <c r="AN145" s="675">
        <v>0</v>
      </c>
      <c r="AO145" s="675">
        <v>0</v>
      </c>
      <c r="AP145" s="675">
        <v>0</v>
      </c>
      <c r="AQ145" s="675">
        <v>0</v>
      </c>
      <c r="AR145" s="675">
        <v>0</v>
      </c>
      <c r="AS145" s="675">
        <v>0</v>
      </c>
      <c r="AT145" s="675">
        <v>0</v>
      </c>
      <c r="AU145" s="675">
        <v>0</v>
      </c>
      <c r="AV145" s="675">
        <v>977012</v>
      </c>
      <c r="AW145" s="675">
        <v>89777220</v>
      </c>
      <c r="AX145" s="675">
        <v>87257054</v>
      </c>
      <c r="AY145" s="675">
        <v>93412039</v>
      </c>
      <c r="AZ145" s="675">
        <v>3586008</v>
      </c>
      <c r="BA145" s="675">
        <v>159.667</v>
      </c>
      <c r="BB145" s="675">
        <v>358331</v>
      </c>
      <c r="BC145" s="675">
        <v>358331</v>
      </c>
      <c r="BD145" s="675">
        <v>455.613</v>
      </c>
      <c r="BE145" s="675">
        <v>0</v>
      </c>
      <c r="BF145" s="675">
        <v>74298297</v>
      </c>
      <c r="BG145" s="675">
        <v>0</v>
      </c>
      <c r="BH145" s="675">
        <v>2343.665</v>
      </c>
      <c r="BI145" s="675">
        <v>644508</v>
      </c>
      <c r="BJ145" s="675">
        <v>12</v>
      </c>
      <c r="BK145" s="675">
        <v>0</v>
      </c>
      <c r="BL145" s="675">
        <v>0</v>
      </c>
      <c r="BM145" s="675">
        <v>0</v>
      </c>
      <c r="BN145" s="675">
        <v>0</v>
      </c>
      <c r="BO145" s="675">
        <v>0</v>
      </c>
      <c r="BP145" s="675">
        <v>0</v>
      </c>
      <c r="BQ145" s="675">
        <v>5392</v>
      </c>
      <c r="BR145" s="675">
        <v>1</v>
      </c>
      <c r="BS145" s="675">
        <v>0</v>
      </c>
      <c r="BT145" s="675">
        <v>0</v>
      </c>
      <c r="BU145" s="675">
        <v>0</v>
      </c>
      <c r="BV145" s="675">
        <v>0</v>
      </c>
      <c r="BW145" s="675">
        <v>0</v>
      </c>
      <c r="BX145" s="675">
        <v>0</v>
      </c>
      <c r="BY145" s="675">
        <v>0</v>
      </c>
      <c r="BZ145" s="675">
        <v>0</v>
      </c>
      <c r="CA145" s="675">
        <v>0</v>
      </c>
      <c r="CB145" s="675">
        <v>0</v>
      </c>
      <c r="CC145" s="675">
        <v>0</v>
      </c>
      <c r="CD145" s="675">
        <v>0</v>
      </c>
      <c r="CE145" s="675">
        <v>0</v>
      </c>
      <c r="CF145" s="675">
        <v>0</v>
      </c>
      <c r="CG145" s="675">
        <v>0</v>
      </c>
      <c r="CH145" s="675">
        <v>1875658</v>
      </c>
      <c r="CI145" s="675">
        <v>0</v>
      </c>
      <c r="CJ145" s="675">
        <v>4</v>
      </c>
      <c r="CK145" s="675">
        <v>0</v>
      </c>
      <c r="CL145" s="675">
        <v>0</v>
      </c>
      <c r="CM145" s="675">
        <v>0</v>
      </c>
      <c r="CN145" s="675">
        <v>0</v>
      </c>
      <c r="CO145" s="675">
        <v>0</v>
      </c>
      <c r="CP145" s="675">
        <v>0</v>
      </c>
      <c r="CQ145" s="675">
        <v>0</v>
      </c>
      <c r="CR145" s="675">
        <v>9200.4390000000003</v>
      </c>
      <c r="CS145" s="675">
        <v>0</v>
      </c>
      <c r="CT145" s="675">
        <v>0</v>
      </c>
      <c r="CU145" s="675">
        <v>0</v>
      </c>
      <c r="CV145" s="675">
        <v>0</v>
      </c>
      <c r="CW145" s="675">
        <v>0</v>
      </c>
      <c r="CX145" s="675">
        <v>0</v>
      </c>
      <c r="CY145" s="675">
        <v>0</v>
      </c>
      <c r="CZ145" s="675">
        <v>0</v>
      </c>
      <c r="DA145" s="675">
        <v>1</v>
      </c>
      <c r="DB145" s="675">
        <v>54331998</v>
      </c>
      <c r="DC145" s="675">
        <v>0</v>
      </c>
      <c r="DD145" s="675">
        <v>0</v>
      </c>
      <c r="DE145" s="675">
        <v>8343019</v>
      </c>
      <c r="DF145" s="675">
        <v>8343019</v>
      </c>
      <c r="DG145" s="675">
        <v>6364.83</v>
      </c>
      <c r="DH145" s="675">
        <v>0</v>
      </c>
      <c r="DI145" s="675">
        <v>0</v>
      </c>
      <c r="DJ145" s="675">
        <v>0</v>
      </c>
      <c r="DK145" s="675">
        <v>5392</v>
      </c>
      <c r="DL145" s="675">
        <v>0</v>
      </c>
      <c r="DM145" s="675">
        <v>7131700</v>
      </c>
      <c r="DN145" s="675">
        <v>0</v>
      </c>
      <c r="DO145" s="675">
        <v>0</v>
      </c>
      <c r="DP145" s="675">
        <v>0</v>
      </c>
      <c r="DQ145" s="675">
        <v>0</v>
      </c>
      <c r="DR145" s="675">
        <v>0</v>
      </c>
      <c r="DS145" s="675">
        <v>0</v>
      </c>
      <c r="DT145" s="675">
        <v>0</v>
      </c>
      <c r="DU145" s="675">
        <v>0</v>
      </c>
      <c r="DV145" s="675">
        <v>0</v>
      </c>
      <c r="DW145" s="675">
        <v>0</v>
      </c>
      <c r="DX145" s="675">
        <v>0</v>
      </c>
      <c r="DY145" s="675">
        <v>0</v>
      </c>
      <c r="DZ145" s="675">
        <v>0</v>
      </c>
      <c r="EA145" s="675">
        <v>3.6000000000000004E-2</v>
      </c>
      <c r="EB145" s="675">
        <v>0</v>
      </c>
      <c r="EC145" s="675">
        <v>111.586</v>
      </c>
      <c r="ED145" s="675">
        <v>804468</v>
      </c>
      <c r="EE145" s="675">
        <v>0</v>
      </c>
      <c r="EF145" s="675">
        <v>0</v>
      </c>
      <c r="EG145" s="675">
        <v>0</v>
      </c>
      <c r="EH145" s="675">
        <v>6327232</v>
      </c>
      <c r="EI145" s="675">
        <v>0</v>
      </c>
      <c r="EJ145" s="675">
        <v>0</v>
      </c>
      <c r="EK145" s="675">
        <v>265.18600000000004</v>
      </c>
      <c r="EL145" s="675">
        <v>0</v>
      </c>
      <c r="EM145" s="675">
        <v>32.414000000000001</v>
      </c>
      <c r="EN145" s="675">
        <v>14.484</v>
      </c>
      <c r="EO145" s="675">
        <v>0</v>
      </c>
      <c r="EP145" s="675">
        <v>0</v>
      </c>
      <c r="EQ145" s="675">
        <v>312.12</v>
      </c>
      <c r="ER145" s="675">
        <v>0</v>
      </c>
      <c r="ES145" s="675">
        <v>965.4</v>
      </c>
      <c r="ET145" s="675">
        <v>79834</v>
      </c>
      <c r="EU145" s="675">
        <v>3586008</v>
      </c>
      <c r="EV145" s="675">
        <v>0</v>
      </c>
      <c r="EW145" s="675">
        <v>0</v>
      </c>
      <c r="EX145" s="675">
        <v>0</v>
      </c>
      <c r="EY145" s="675">
        <v>0</v>
      </c>
      <c r="EZ145" s="675">
        <v>73396745</v>
      </c>
      <c r="FA145" s="675">
        <v>0</v>
      </c>
      <c r="FB145" s="675">
        <v>76982753</v>
      </c>
      <c r="FC145" s="675">
        <v>0.97327799999999998</v>
      </c>
      <c r="FD145" s="675">
        <v>0</v>
      </c>
      <c r="FE145" s="675">
        <v>11311319</v>
      </c>
      <c r="FF145" s="675">
        <v>2548990</v>
      </c>
      <c r="FG145" s="675">
        <v>6.1239999999999996E-2</v>
      </c>
      <c r="FH145" s="675">
        <v>5.4803999999999999E-2</v>
      </c>
      <c r="FI145" s="675">
        <v>0</v>
      </c>
      <c r="FJ145" s="675">
        <v>0</v>
      </c>
      <c r="FK145" s="675">
        <v>14557.376</v>
      </c>
      <c r="FL145" s="675">
        <v>92718720</v>
      </c>
      <c r="FM145" s="675">
        <v>0</v>
      </c>
      <c r="FN145" s="675">
        <v>0</v>
      </c>
      <c r="FO145" s="675">
        <v>0</v>
      </c>
      <c r="FP145" s="675">
        <v>0</v>
      </c>
      <c r="FQ145" s="675">
        <v>0</v>
      </c>
      <c r="FR145" s="675">
        <v>0</v>
      </c>
      <c r="FS145" s="675">
        <v>0</v>
      </c>
      <c r="FT145" s="675">
        <v>0</v>
      </c>
      <c r="FU145" s="675">
        <v>0</v>
      </c>
      <c r="FV145" s="675">
        <v>0</v>
      </c>
      <c r="FW145" s="675">
        <v>0</v>
      </c>
      <c r="FX145" s="675">
        <v>0</v>
      </c>
      <c r="FY145" s="675">
        <v>0</v>
      </c>
      <c r="FZ145" s="675">
        <v>3017</v>
      </c>
      <c r="GA145" s="675">
        <v>60.343000000000004</v>
      </c>
      <c r="GB145" s="675">
        <v>4517623</v>
      </c>
      <c r="GC145" s="675">
        <v>4517623</v>
      </c>
      <c r="GD145" s="675">
        <v>510.24600000000004</v>
      </c>
      <c r="GE145" s="675">
        <v>0</v>
      </c>
      <c r="GF145" s="675">
        <v>0</v>
      </c>
      <c r="GG145" s="675">
        <v>0</v>
      </c>
      <c r="GH145" s="675">
        <v>0</v>
      </c>
      <c r="GI145" s="675">
        <v>0</v>
      </c>
      <c r="GJ145" s="675">
        <v>0</v>
      </c>
      <c r="GK145" s="675">
        <v>5114</v>
      </c>
      <c r="GL145" s="675">
        <v>11682</v>
      </c>
      <c r="GM145" s="675">
        <v>0</v>
      </c>
      <c r="GN145" s="675">
        <v>0</v>
      </c>
      <c r="GO145" s="675">
        <v>0</v>
      </c>
      <c r="GP145" s="675">
        <v>90843062</v>
      </c>
      <c r="GQ145" s="675">
        <v>90843062</v>
      </c>
      <c r="GR145" s="675">
        <v>0</v>
      </c>
      <c r="GS145" s="675">
        <v>0</v>
      </c>
      <c r="GT145" s="675">
        <v>0</v>
      </c>
      <c r="GU145" s="675">
        <v>0</v>
      </c>
      <c r="GV145" s="675">
        <v>0</v>
      </c>
      <c r="GW145" s="675">
        <v>0</v>
      </c>
      <c r="GX145" s="675">
        <v>0</v>
      </c>
      <c r="GY145" s="675">
        <v>0</v>
      </c>
      <c r="GZ145" s="675">
        <v>0</v>
      </c>
      <c r="HA145" s="675">
        <v>0</v>
      </c>
      <c r="HB145" s="675">
        <v>260786259</v>
      </c>
      <c r="HC145" s="675">
        <v>5.0923999999999997E-2</v>
      </c>
      <c r="HD145" s="675">
        <v>1795824</v>
      </c>
      <c r="HE145" s="675">
        <v>0</v>
      </c>
      <c r="HF145" s="675">
        <v>0</v>
      </c>
      <c r="HG145" s="675">
        <v>0</v>
      </c>
      <c r="HH145" s="675">
        <v>0</v>
      </c>
      <c r="HI145" s="675">
        <v>0</v>
      </c>
      <c r="HJ145" s="675">
        <v>0</v>
      </c>
      <c r="HK145" s="675">
        <v>0</v>
      </c>
      <c r="HL145" s="675">
        <v>0</v>
      </c>
      <c r="HM145" s="675">
        <v>0</v>
      </c>
      <c r="HN145" s="675">
        <v>0</v>
      </c>
      <c r="HO145" s="675">
        <v>0</v>
      </c>
      <c r="HP145" s="675">
        <v>0</v>
      </c>
      <c r="HQ145" s="675">
        <v>0</v>
      </c>
      <c r="HR145" s="675">
        <v>0</v>
      </c>
      <c r="HS145" s="675">
        <v>0</v>
      </c>
      <c r="HT145" s="675">
        <v>0</v>
      </c>
      <c r="HU145" s="675">
        <v>0</v>
      </c>
      <c r="HV145" s="675">
        <v>0</v>
      </c>
      <c r="HW145" s="675">
        <v>0</v>
      </c>
      <c r="HX145" s="675">
        <v>0</v>
      </c>
      <c r="HY145" s="675">
        <v>0</v>
      </c>
      <c r="HZ145" s="675">
        <v>0</v>
      </c>
      <c r="IA145" s="675">
        <v>0</v>
      </c>
      <c r="IB145" s="675">
        <v>0</v>
      </c>
      <c r="IC145" s="675">
        <v>0</v>
      </c>
      <c r="ID145" s="675">
        <v>0</v>
      </c>
      <c r="IE145" s="675">
        <v>0</v>
      </c>
      <c r="IF145" s="675">
        <v>0</v>
      </c>
      <c r="IG145" s="675">
        <v>0</v>
      </c>
      <c r="IH145" s="675">
        <v>0</v>
      </c>
      <c r="II145" s="675">
        <v>0</v>
      </c>
      <c r="IJ145" s="675">
        <v>0</v>
      </c>
      <c r="IK145" s="675">
        <v>0</v>
      </c>
      <c r="IL145" s="675">
        <v>0</v>
      </c>
      <c r="IM145" s="675">
        <v>0</v>
      </c>
      <c r="IN145" s="675">
        <v>0</v>
      </c>
      <c r="IO145" s="675">
        <v>0</v>
      </c>
      <c r="IP145" s="675">
        <v>0</v>
      </c>
      <c r="IQ145" s="675">
        <v>0</v>
      </c>
      <c r="IR145" s="675">
        <v>0</v>
      </c>
      <c r="IS145" s="675">
        <v>0</v>
      </c>
      <c r="IT145" s="675">
        <v>0</v>
      </c>
      <c r="IU145" s="675">
        <v>0</v>
      </c>
      <c r="IV145" s="675">
        <v>0</v>
      </c>
      <c r="IW145" s="675">
        <v>0</v>
      </c>
      <c r="IX145" s="675">
        <v>0</v>
      </c>
      <c r="IY145" s="675">
        <v>0</v>
      </c>
      <c r="IZ145" s="675">
        <v>0</v>
      </c>
      <c r="JA145" s="675">
        <v>0</v>
      </c>
      <c r="JB145" s="675">
        <v>0</v>
      </c>
      <c r="JC145" s="675">
        <v>0</v>
      </c>
      <c r="JD145" s="675">
        <v>0</v>
      </c>
      <c r="JE145" s="675">
        <v>0</v>
      </c>
      <c r="JF145" s="675">
        <v>0</v>
      </c>
      <c r="JG145" s="675">
        <v>0</v>
      </c>
      <c r="JH145" s="675">
        <v>0</v>
      </c>
      <c r="JI145" s="675">
        <v>0</v>
      </c>
      <c r="JJ145" s="675">
        <v>0</v>
      </c>
      <c r="JK145" s="675">
        <v>0</v>
      </c>
      <c r="JL145" s="675">
        <v>0</v>
      </c>
      <c r="JM145" s="675">
        <v>0</v>
      </c>
      <c r="JN145" s="675">
        <v>32469</v>
      </c>
      <c r="JO145" s="675">
        <v>0</v>
      </c>
      <c r="JP145" s="675">
        <v>0</v>
      </c>
      <c r="JQ145" s="675">
        <v>0</v>
      </c>
      <c r="JR145" s="675">
        <v>0</v>
      </c>
      <c r="JS145" s="675">
        <v>0</v>
      </c>
      <c r="JT145" s="675">
        <v>0</v>
      </c>
      <c r="JU145" s="675">
        <v>0</v>
      </c>
      <c r="JV145" s="675">
        <v>0</v>
      </c>
      <c r="JW145" s="675">
        <v>0</v>
      </c>
      <c r="JX145" s="675">
        <v>0</v>
      </c>
      <c r="JY145" s="675">
        <v>0</v>
      </c>
      <c r="JZ145" s="675">
        <v>0</v>
      </c>
      <c r="KA145" s="675">
        <v>0</v>
      </c>
      <c r="KB145" s="675">
        <v>0</v>
      </c>
      <c r="KC145" s="675">
        <v>0</v>
      </c>
      <c r="KD145" s="675">
        <v>0</v>
      </c>
      <c r="KE145" s="675">
        <v>0</v>
      </c>
      <c r="KF145" s="675">
        <v>0</v>
      </c>
    </row>
    <row r="146" spans="1:292" x14ac:dyDescent="0.25">
      <c r="A146" s="675">
        <v>165802</v>
      </c>
      <c r="B146" s="675">
        <v>32570</v>
      </c>
      <c r="C146" s="675">
        <v>35</v>
      </c>
      <c r="D146" s="675">
        <v>2022</v>
      </c>
      <c r="E146" s="675">
        <v>5392</v>
      </c>
      <c r="F146" s="675">
        <v>0</v>
      </c>
      <c r="G146" s="675">
        <v>361.23200000000003</v>
      </c>
      <c r="H146" s="675">
        <v>356.79599999999999</v>
      </c>
      <c r="I146" s="675">
        <v>356.79599999999999</v>
      </c>
      <c r="J146" s="675">
        <v>361.23200000000003</v>
      </c>
      <c r="K146" s="675">
        <v>0</v>
      </c>
      <c r="L146" s="675">
        <v>6554</v>
      </c>
      <c r="M146" s="675">
        <v>0</v>
      </c>
      <c r="N146" s="675">
        <v>0</v>
      </c>
      <c r="O146" s="675">
        <v>0</v>
      </c>
      <c r="P146" s="675">
        <v>390.66200000000003</v>
      </c>
      <c r="Q146" s="675">
        <v>0</v>
      </c>
      <c r="R146" s="675">
        <v>124900</v>
      </c>
      <c r="S146" s="675">
        <v>319.71300000000002</v>
      </c>
      <c r="T146" s="675">
        <v>0</v>
      </c>
      <c r="U146" s="675">
        <v>124900</v>
      </c>
      <c r="V146" s="675">
        <v>16.86</v>
      </c>
      <c r="W146" s="675">
        <v>11050</v>
      </c>
      <c r="X146" s="675">
        <v>11050</v>
      </c>
      <c r="Y146" s="675">
        <v>0</v>
      </c>
      <c r="Z146" s="675">
        <v>0</v>
      </c>
      <c r="AA146" s="675">
        <v>1</v>
      </c>
      <c r="AB146" s="675">
        <v>1</v>
      </c>
      <c r="AC146" s="675">
        <v>0</v>
      </c>
      <c r="AD146" s="675" t="s">
        <v>316</v>
      </c>
      <c r="AE146" s="675">
        <v>0</v>
      </c>
      <c r="AF146" s="675">
        <v>0</v>
      </c>
      <c r="AG146" s="675">
        <v>0</v>
      </c>
      <c r="AH146" s="675">
        <v>0</v>
      </c>
      <c r="AI146" s="675">
        <v>0</v>
      </c>
      <c r="AJ146" s="675">
        <v>5104</v>
      </c>
      <c r="AK146" s="675" t="s">
        <v>671</v>
      </c>
      <c r="AL146" s="675" t="s">
        <v>91</v>
      </c>
      <c r="AM146" s="675">
        <v>0</v>
      </c>
      <c r="AN146" s="675">
        <v>0</v>
      </c>
      <c r="AO146" s="675">
        <v>0</v>
      </c>
      <c r="AP146" s="675">
        <v>0</v>
      </c>
      <c r="AQ146" s="675">
        <v>0</v>
      </c>
      <c r="AR146" s="675">
        <v>0</v>
      </c>
      <c r="AS146" s="675">
        <v>0</v>
      </c>
      <c r="AT146" s="675">
        <v>0</v>
      </c>
      <c r="AU146" s="675">
        <v>0</v>
      </c>
      <c r="AV146" s="675">
        <v>43770</v>
      </c>
      <c r="AW146" s="675">
        <v>3198769</v>
      </c>
      <c r="AX146" s="675">
        <v>3120869</v>
      </c>
      <c r="AY146" s="675">
        <v>3272746</v>
      </c>
      <c r="AZ146" s="675">
        <v>124900</v>
      </c>
      <c r="BA146" s="675">
        <v>13.417</v>
      </c>
      <c r="BB146" s="675">
        <v>14205</v>
      </c>
      <c r="BC146" s="675">
        <v>14205</v>
      </c>
      <c r="BD146" s="675">
        <v>18.062000000000001</v>
      </c>
      <c r="BE146" s="675">
        <v>0</v>
      </c>
      <c r="BF146" s="675">
        <v>2673602</v>
      </c>
      <c r="BG146" s="675">
        <v>0</v>
      </c>
      <c r="BH146" s="675">
        <v>0</v>
      </c>
      <c r="BI146" s="675">
        <v>0</v>
      </c>
      <c r="BJ146" s="675">
        <v>12</v>
      </c>
      <c r="BK146" s="675">
        <v>0</v>
      </c>
      <c r="BL146" s="675">
        <v>0</v>
      </c>
      <c r="BM146" s="675">
        <v>0</v>
      </c>
      <c r="BN146" s="675">
        <v>0</v>
      </c>
      <c r="BO146" s="675">
        <v>0</v>
      </c>
      <c r="BP146" s="675">
        <v>0</v>
      </c>
      <c r="BQ146" s="675">
        <v>5392</v>
      </c>
      <c r="BR146" s="675">
        <v>1</v>
      </c>
      <c r="BS146" s="675">
        <v>0</v>
      </c>
      <c r="BT146" s="675">
        <v>0</v>
      </c>
      <c r="BU146" s="675">
        <v>0</v>
      </c>
      <c r="BV146" s="675">
        <v>0</v>
      </c>
      <c r="BW146" s="675">
        <v>0</v>
      </c>
      <c r="BX146" s="675">
        <v>0</v>
      </c>
      <c r="BY146" s="675">
        <v>0</v>
      </c>
      <c r="BZ146" s="675">
        <v>0</v>
      </c>
      <c r="CA146" s="675">
        <v>0</v>
      </c>
      <c r="CB146" s="675">
        <v>0</v>
      </c>
      <c r="CC146" s="675">
        <v>0</v>
      </c>
      <c r="CD146" s="675">
        <v>0</v>
      </c>
      <c r="CE146" s="675">
        <v>0</v>
      </c>
      <c r="CF146" s="675">
        <v>0</v>
      </c>
      <c r="CG146" s="675">
        <v>0</v>
      </c>
      <c r="CH146" s="675">
        <v>77900</v>
      </c>
      <c r="CI146" s="675">
        <v>0</v>
      </c>
      <c r="CJ146" s="675">
        <v>4</v>
      </c>
      <c r="CK146" s="675">
        <v>0</v>
      </c>
      <c r="CL146" s="675">
        <v>0</v>
      </c>
      <c r="CM146" s="675">
        <v>0</v>
      </c>
      <c r="CN146" s="675">
        <v>0</v>
      </c>
      <c r="CO146" s="675">
        <v>0</v>
      </c>
      <c r="CP146" s="675">
        <v>0</v>
      </c>
      <c r="CQ146" s="675">
        <v>0</v>
      </c>
      <c r="CR146" s="675">
        <v>390.66200000000003</v>
      </c>
      <c r="CS146" s="675">
        <v>0</v>
      </c>
      <c r="CT146" s="675">
        <v>0</v>
      </c>
      <c r="CU146" s="675">
        <v>0</v>
      </c>
      <c r="CV146" s="675">
        <v>0</v>
      </c>
      <c r="CW146" s="675">
        <v>0</v>
      </c>
      <c r="CX146" s="675">
        <v>0</v>
      </c>
      <c r="CY146" s="675">
        <v>0</v>
      </c>
      <c r="CZ146" s="675">
        <v>0</v>
      </c>
      <c r="DA146" s="675">
        <v>1</v>
      </c>
      <c r="DB146" s="675">
        <v>2338441</v>
      </c>
      <c r="DC146" s="675">
        <v>0</v>
      </c>
      <c r="DD146" s="675">
        <v>0</v>
      </c>
      <c r="DE146" s="675">
        <v>280079</v>
      </c>
      <c r="DF146" s="675">
        <v>280079</v>
      </c>
      <c r="DG146" s="675">
        <v>213.67000000000002</v>
      </c>
      <c r="DH146" s="675">
        <v>0</v>
      </c>
      <c r="DI146" s="675">
        <v>0</v>
      </c>
      <c r="DJ146" s="675">
        <v>0</v>
      </c>
      <c r="DK146" s="675">
        <v>5392</v>
      </c>
      <c r="DL146" s="675">
        <v>0</v>
      </c>
      <c r="DM146" s="675">
        <v>103234</v>
      </c>
      <c r="DN146" s="675">
        <v>0</v>
      </c>
      <c r="DO146" s="675">
        <v>0</v>
      </c>
      <c r="DP146" s="675">
        <v>0</v>
      </c>
      <c r="DQ146" s="675">
        <v>0</v>
      </c>
      <c r="DR146" s="675">
        <v>0</v>
      </c>
      <c r="DS146" s="675">
        <v>0</v>
      </c>
      <c r="DT146" s="675">
        <v>0</v>
      </c>
      <c r="DU146" s="675">
        <v>0</v>
      </c>
      <c r="DV146" s="675">
        <v>0</v>
      </c>
      <c r="DW146" s="675">
        <v>0</v>
      </c>
      <c r="DX146" s="675">
        <v>0</v>
      </c>
      <c r="DY146" s="675">
        <v>0</v>
      </c>
      <c r="DZ146" s="675">
        <v>0</v>
      </c>
      <c r="EA146" s="675">
        <v>0</v>
      </c>
      <c r="EB146" s="675">
        <v>0</v>
      </c>
      <c r="EC146" s="675">
        <v>1.732</v>
      </c>
      <c r="ED146" s="675">
        <v>12487</v>
      </c>
      <c r="EE146" s="675">
        <v>0</v>
      </c>
      <c r="EF146" s="675">
        <v>0</v>
      </c>
      <c r="EG146" s="675">
        <v>0</v>
      </c>
      <c r="EH146" s="675">
        <v>90747</v>
      </c>
      <c r="EI146" s="675">
        <v>0</v>
      </c>
      <c r="EJ146" s="675">
        <v>0</v>
      </c>
      <c r="EK146" s="675">
        <v>4.1669999999999998</v>
      </c>
      <c r="EL146" s="675">
        <v>0</v>
      </c>
      <c r="EM146" s="675">
        <v>0</v>
      </c>
      <c r="EN146" s="675">
        <v>0.26900000000000002</v>
      </c>
      <c r="EO146" s="675">
        <v>0</v>
      </c>
      <c r="EP146" s="675">
        <v>0</v>
      </c>
      <c r="EQ146" s="675">
        <v>4.4359999999999999</v>
      </c>
      <c r="ER146" s="675">
        <v>0</v>
      </c>
      <c r="ES146" s="675">
        <v>13.846</v>
      </c>
      <c r="ET146" s="675">
        <v>6709</v>
      </c>
      <c r="EU146" s="675">
        <v>124900</v>
      </c>
      <c r="EV146" s="675">
        <v>0</v>
      </c>
      <c r="EW146" s="675">
        <v>0</v>
      </c>
      <c r="EX146" s="675">
        <v>0</v>
      </c>
      <c r="EY146" s="675">
        <v>0</v>
      </c>
      <c r="EZ146" s="675">
        <v>2622109</v>
      </c>
      <c r="FA146" s="675">
        <v>0</v>
      </c>
      <c r="FB146" s="675">
        <v>2747009</v>
      </c>
      <c r="FC146" s="675">
        <v>0.97327799999999998</v>
      </c>
      <c r="FD146" s="675">
        <v>0</v>
      </c>
      <c r="FE146" s="675">
        <v>407035</v>
      </c>
      <c r="FF146" s="675">
        <v>91725</v>
      </c>
      <c r="FG146" s="675">
        <v>6.1239999999999996E-2</v>
      </c>
      <c r="FH146" s="675">
        <v>5.4803999999999999E-2</v>
      </c>
      <c r="FI146" s="675">
        <v>0</v>
      </c>
      <c r="FJ146" s="675">
        <v>0</v>
      </c>
      <c r="FK146" s="675">
        <v>523.84300000000007</v>
      </c>
      <c r="FL146" s="675">
        <v>3323669</v>
      </c>
      <c r="FM146" s="675">
        <v>0</v>
      </c>
      <c r="FN146" s="675">
        <v>0</v>
      </c>
      <c r="FO146" s="675">
        <v>0</v>
      </c>
      <c r="FP146" s="675">
        <v>0</v>
      </c>
      <c r="FQ146" s="675">
        <v>0</v>
      </c>
      <c r="FR146" s="675">
        <v>0</v>
      </c>
      <c r="FS146" s="675">
        <v>0</v>
      </c>
      <c r="FT146" s="675">
        <v>0</v>
      </c>
      <c r="FU146" s="675">
        <v>0</v>
      </c>
      <c r="FV146" s="675">
        <v>0</v>
      </c>
      <c r="FW146" s="675">
        <v>0</v>
      </c>
      <c r="FX146" s="675">
        <v>0</v>
      </c>
      <c r="FY146" s="675">
        <v>0</v>
      </c>
      <c r="FZ146" s="675">
        <v>0</v>
      </c>
      <c r="GA146" s="675">
        <v>0</v>
      </c>
      <c r="GB146" s="675">
        <v>0</v>
      </c>
      <c r="GC146" s="675">
        <v>0</v>
      </c>
      <c r="GD146" s="675">
        <v>0</v>
      </c>
      <c r="GE146" s="675">
        <v>0</v>
      </c>
      <c r="GF146" s="675">
        <v>0</v>
      </c>
      <c r="GG146" s="675">
        <v>0</v>
      </c>
      <c r="GH146" s="675">
        <v>0</v>
      </c>
      <c r="GI146" s="675">
        <v>0</v>
      </c>
      <c r="GJ146" s="675">
        <v>0</v>
      </c>
      <c r="GK146" s="675">
        <v>5107</v>
      </c>
      <c r="GL146" s="675">
        <v>15234</v>
      </c>
      <c r="GM146" s="675">
        <v>0</v>
      </c>
      <c r="GN146" s="675">
        <v>0</v>
      </c>
      <c r="GO146" s="675">
        <v>0</v>
      </c>
      <c r="GP146" s="675">
        <v>3245769</v>
      </c>
      <c r="GQ146" s="675">
        <v>3245769</v>
      </c>
      <c r="GR146" s="675">
        <v>0</v>
      </c>
      <c r="GS146" s="675">
        <v>0</v>
      </c>
      <c r="GT146" s="675">
        <v>0</v>
      </c>
      <c r="GU146" s="675">
        <v>0</v>
      </c>
      <c r="GV146" s="675">
        <v>0</v>
      </c>
      <c r="GW146" s="675">
        <v>0</v>
      </c>
      <c r="GX146" s="675">
        <v>0</v>
      </c>
      <c r="GY146" s="675">
        <v>0</v>
      </c>
      <c r="GZ146" s="675">
        <v>0</v>
      </c>
      <c r="HA146" s="675">
        <v>0</v>
      </c>
      <c r="HB146" s="675">
        <v>260786259</v>
      </c>
      <c r="HC146" s="675">
        <v>5.0923999999999997E-2</v>
      </c>
      <c r="HD146" s="675">
        <v>71191</v>
      </c>
      <c r="HE146" s="675">
        <v>0</v>
      </c>
      <c r="HF146" s="675">
        <v>0</v>
      </c>
      <c r="HG146" s="675">
        <v>0</v>
      </c>
      <c r="HH146" s="675">
        <v>0</v>
      </c>
      <c r="HI146" s="675">
        <v>0</v>
      </c>
      <c r="HJ146" s="675">
        <v>0</v>
      </c>
      <c r="HK146" s="675">
        <v>0</v>
      </c>
      <c r="HL146" s="675">
        <v>0</v>
      </c>
      <c r="HM146" s="675">
        <v>0</v>
      </c>
      <c r="HN146" s="675">
        <v>0</v>
      </c>
      <c r="HO146" s="675">
        <v>0</v>
      </c>
      <c r="HP146" s="675">
        <v>0</v>
      </c>
      <c r="HQ146" s="675">
        <v>0</v>
      </c>
      <c r="HR146" s="675">
        <v>0</v>
      </c>
      <c r="HS146" s="675">
        <v>0</v>
      </c>
      <c r="HT146" s="675">
        <v>0</v>
      </c>
      <c r="HU146" s="675">
        <v>0</v>
      </c>
      <c r="HV146" s="675">
        <v>0</v>
      </c>
      <c r="HW146" s="675">
        <v>0</v>
      </c>
      <c r="HX146" s="675">
        <v>0</v>
      </c>
      <c r="HY146" s="675">
        <v>0</v>
      </c>
      <c r="HZ146" s="675">
        <v>0</v>
      </c>
      <c r="IA146" s="675">
        <v>0</v>
      </c>
      <c r="IB146" s="675">
        <v>0</v>
      </c>
      <c r="IC146" s="675">
        <v>0</v>
      </c>
      <c r="ID146" s="675">
        <v>0</v>
      </c>
      <c r="IE146" s="675">
        <v>0</v>
      </c>
      <c r="IF146" s="675">
        <v>0</v>
      </c>
      <c r="IG146" s="675">
        <v>0</v>
      </c>
      <c r="IH146" s="675">
        <v>0</v>
      </c>
      <c r="II146" s="675">
        <v>0</v>
      </c>
      <c r="IJ146" s="675">
        <v>0</v>
      </c>
      <c r="IK146" s="675">
        <v>0</v>
      </c>
      <c r="IL146" s="675">
        <v>0</v>
      </c>
      <c r="IM146" s="675">
        <v>0</v>
      </c>
      <c r="IN146" s="675">
        <v>0</v>
      </c>
      <c r="IO146" s="675">
        <v>0</v>
      </c>
      <c r="IP146" s="675">
        <v>0</v>
      </c>
      <c r="IQ146" s="675">
        <v>0</v>
      </c>
      <c r="IR146" s="675">
        <v>0</v>
      </c>
      <c r="IS146" s="675">
        <v>0</v>
      </c>
      <c r="IT146" s="675">
        <v>0</v>
      </c>
      <c r="IU146" s="675">
        <v>0</v>
      </c>
      <c r="IV146" s="675">
        <v>0</v>
      </c>
      <c r="IW146" s="675">
        <v>0</v>
      </c>
      <c r="IX146" s="675">
        <v>0</v>
      </c>
      <c r="IY146" s="675">
        <v>0</v>
      </c>
      <c r="IZ146" s="675">
        <v>0</v>
      </c>
      <c r="JA146" s="675">
        <v>0</v>
      </c>
      <c r="JB146" s="675">
        <v>0</v>
      </c>
      <c r="JC146" s="675">
        <v>0</v>
      </c>
      <c r="JD146" s="675">
        <v>0</v>
      </c>
      <c r="JE146" s="675">
        <v>0</v>
      </c>
      <c r="JF146" s="675">
        <v>0</v>
      </c>
      <c r="JG146" s="675">
        <v>0</v>
      </c>
      <c r="JH146" s="675">
        <v>0</v>
      </c>
      <c r="JI146" s="675">
        <v>0</v>
      </c>
      <c r="JJ146" s="675">
        <v>0</v>
      </c>
      <c r="JK146" s="675">
        <v>0</v>
      </c>
      <c r="JL146" s="675">
        <v>0</v>
      </c>
      <c r="JM146" s="675">
        <v>0</v>
      </c>
      <c r="JN146" s="675">
        <v>32469</v>
      </c>
      <c r="JO146" s="675">
        <v>0</v>
      </c>
      <c r="JP146" s="675">
        <v>0</v>
      </c>
      <c r="JQ146" s="675">
        <v>0</v>
      </c>
      <c r="JR146" s="675">
        <v>0</v>
      </c>
      <c r="JS146" s="675">
        <v>0</v>
      </c>
      <c r="JT146" s="675">
        <v>0</v>
      </c>
      <c r="JU146" s="675">
        <v>0</v>
      </c>
      <c r="JV146" s="675">
        <v>0</v>
      </c>
      <c r="JW146" s="675">
        <v>0</v>
      </c>
      <c r="JX146" s="675">
        <v>0</v>
      </c>
      <c r="JY146" s="675">
        <v>0</v>
      </c>
      <c r="JZ146" s="675">
        <v>0</v>
      </c>
      <c r="KA146" s="675">
        <v>0</v>
      </c>
      <c r="KB146" s="675">
        <v>0</v>
      </c>
      <c r="KC146" s="675">
        <v>0</v>
      </c>
      <c r="KD146" s="675">
        <v>0</v>
      </c>
      <c r="KE146" s="675">
        <v>0</v>
      </c>
      <c r="KF146" s="675">
        <v>0</v>
      </c>
    </row>
    <row r="147" spans="1:292" ht="13" x14ac:dyDescent="0.3">
      <c r="A147" s="675">
        <v>170801</v>
      </c>
      <c r="B147" s="675">
        <v>32570</v>
      </c>
      <c r="C147" s="675">
        <v>35</v>
      </c>
      <c r="D147" s="675">
        <v>2022</v>
      </c>
      <c r="E147" s="675">
        <v>5392</v>
      </c>
      <c r="F147" s="675">
        <v>0</v>
      </c>
      <c r="G147" s="675">
        <v>441.57500000000005</v>
      </c>
      <c r="H147" s="675">
        <v>432.99900000000002</v>
      </c>
      <c r="I147" s="675">
        <v>432.99900000000002</v>
      </c>
      <c r="J147" s="675">
        <v>441.57500000000005</v>
      </c>
      <c r="K147" s="675">
        <v>0</v>
      </c>
      <c r="L147" s="675">
        <v>6554</v>
      </c>
      <c r="M147" s="675">
        <v>0</v>
      </c>
      <c r="N147" s="675">
        <v>0</v>
      </c>
      <c r="O147" s="675">
        <v>0</v>
      </c>
      <c r="P147" s="675">
        <v>373.00300000000004</v>
      </c>
      <c r="Q147" s="675">
        <v>0</v>
      </c>
      <c r="R147" s="676">
        <v>119254</v>
      </c>
      <c r="S147" s="675">
        <v>319.71300000000002</v>
      </c>
      <c r="T147" s="675">
        <v>0</v>
      </c>
      <c r="U147" s="676">
        <v>119254</v>
      </c>
      <c r="V147" s="676">
        <v>87.054000000000002</v>
      </c>
      <c r="W147" s="676">
        <v>57055</v>
      </c>
      <c r="X147" s="676">
        <v>57055</v>
      </c>
      <c r="Y147" s="675">
        <v>0</v>
      </c>
      <c r="Z147" s="675">
        <v>0</v>
      </c>
      <c r="AA147" s="675">
        <v>1</v>
      </c>
      <c r="AB147" s="675">
        <v>1</v>
      </c>
      <c r="AC147" s="675">
        <v>0</v>
      </c>
      <c r="AD147" s="675" t="s">
        <v>316</v>
      </c>
      <c r="AE147" s="675">
        <v>0</v>
      </c>
      <c r="AF147" s="675">
        <v>0</v>
      </c>
      <c r="AG147" s="675">
        <v>0</v>
      </c>
      <c r="AH147" s="675">
        <v>0</v>
      </c>
      <c r="AI147" s="675">
        <v>0</v>
      </c>
      <c r="AJ147" s="675">
        <v>5104</v>
      </c>
      <c r="AK147" s="675" t="s">
        <v>671</v>
      </c>
      <c r="AL147" s="675" t="s">
        <v>71</v>
      </c>
      <c r="AM147" s="675">
        <v>0</v>
      </c>
      <c r="AN147" s="675">
        <v>0</v>
      </c>
      <c r="AO147" s="675">
        <v>0</v>
      </c>
      <c r="AP147" s="675">
        <v>0</v>
      </c>
      <c r="AQ147" s="675">
        <v>0</v>
      </c>
      <c r="AR147" s="675">
        <v>0</v>
      </c>
      <c r="AS147" s="675">
        <v>0</v>
      </c>
      <c r="AT147" s="675">
        <v>0</v>
      </c>
      <c r="AU147" s="675">
        <v>0</v>
      </c>
      <c r="AV147" s="675">
        <v>312411</v>
      </c>
      <c r="AW147" s="675">
        <v>4563734</v>
      </c>
      <c r="AX147" s="675">
        <v>4463375</v>
      </c>
      <c r="AY147" s="675">
        <v>5058819</v>
      </c>
      <c r="AZ147" s="675">
        <v>119254</v>
      </c>
      <c r="BA147" s="676">
        <v>26.667000000000002</v>
      </c>
      <c r="BB147" s="675">
        <v>0</v>
      </c>
      <c r="BC147" s="675">
        <v>0</v>
      </c>
      <c r="BD147" s="675">
        <v>0</v>
      </c>
      <c r="BE147" s="675">
        <v>0</v>
      </c>
      <c r="BF147" s="675">
        <v>3647867</v>
      </c>
      <c r="BG147" s="675">
        <v>0</v>
      </c>
      <c r="BH147" s="676">
        <v>0</v>
      </c>
      <c r="BI147" s="676">
        <v>0</v>
      </c>
      <c r="BJ147" s="675">
        <v>12</v>
      </c>
      <c r="BK147" s="675">
        <v>0</v>
      </c>
      <c r="BL147" s="675">
        <v>0</v>
      </c>
      <c r="BM147" s="675">
        <v>0</v>
      </c>
      <c r="BN147" s="675">
        <v>0</v>
      </c>
      <c r="BO147" s="675">
        <v>0</v>
      </c>
      <c r="BP147" s="675">
        <v>0</v>
      </c>
      <c r="BQ147" s="675">
        <v>5392</v>
      </c>
      <c r="BR147" s="675">
        <v>1</v>
      </c>
      <c r="BS147" s="675">
        <v>0</v>
      </c>
      <c r="BT147" s="675">
        <v>0</v>
      </c>
      <c r="BU147" s="675">
        <v>0</v>
      </c>
      <c r="BV147" s="675">
        <v>0</v>
      </c>
      <c r="BW147" s="675">
        <v>0</v>
      </c>
      <c r="BX147" s="675">
        <v>0</v>
      </c>
      <c r="BY147" s="675">
        <v>0</v>
      </c>
      <c r="BZ147" s="675">
        <v>0</v>
      </c>
      <c r="CA147" s="675">
        <v>0</v>
      </c>
      <c r="CB147" s="675">
        <v>0</v>
      </c>
      <c r="CC147" s="675">
        <v>0</v>
      </c>
      <c r="CD147" s="675">
        <v>0</v>
      </c>
      <c r="CE147" s="675">
        <v>0</v>
      </c>
      <c r="CF147" s="675">
        <v>0</v>
      </c>
      <c r="CG147" s="675">
        <v>0</v>
      </c>
      <c r="CH147" s="676">
        <v>100359</v>
      </c>
      <c r="CI147" s="675">
        <v>0</v>
      </c>
      <c r="CJ147" s="675">
        <v>4</v>
      </c>
      <c r="CK147" s="675">
        <v>0</v>
      </c>
      <c r="CL147" s="675">
        <v>0</v>
      </c>
      <c r="CM147" s="675">
        <v>0</v>
      </c>
      <c r="CN147" s="675">
        <v>0</v>
      </c>
      <c r="CO147" s="675">
        <v>0</v>
      </c>
      <c r="CP147" s="675">
        <v>0</v>
      </c>
      <c r="CQ147" s="675">
        <v>0</v>
      </c>
      <c r="CR147" s="675">
        <v>373.00300000000004</v>
      </c>
      <c r="CS147" s="675">
        <v>0</v>
      </c>
      <c r="CT147" s="675">
        <v>0</v>
      </c>
      <c r="CU147" s="675">
        <v>0</v>
      </c>
      <c r="CV147" s="675">
        <v>0</v>
      </c>
      <c r="CW147" s="675">
        <v>0</v>
      </c>
      <c r="CX147" s="675">
        <v>0</v>
      </c>
      <c r="CY147" s="675">
        <v>0</v>
      </c>
      <c r="CZ147" s="675">
        <v>0</v>
      </c>
      <c r="DA147" s="675">
        <v>1</v>
      </c>
      <c r="DB147" s="675">
        <v>2837875</v>
      </c>
      <c r="DC147" s="675">
        <v>0</v>
      </c>
      <c r="DD147" s="675">
        <v>0</v>
      </c>
      <c r="DE147" s="675">
        <v>567354</v>
      </c>
      <c r="DF147" s="675">
        <v>567354</v>
      </c>
      <c r="DG147" s="675">
        <v>432.83</v>
      </c>
      <c r="DH147" s="675">
        <v>0</v>
      </c>
      <c r="DI147" s="675">
        <v>0</v>
      </c>
      <c r="DJ147" s="675">
        <v>0</v>
      </c>
      <c r="DK147" s="675">
        <v>5392</v>
      </c>
      <c r="DL147" s="675">
        <v>0</v>
      </c>
      <c r="DM147" s="675">
        <v>285740</v>
      </c>
      <c r="DN147" s="675">
        <v>0</v>
      </c>
      <c r="DO147" s="675">
        <v>0</v>
      </c>
      <c r="DP147" s="675">
        <v>0</v>
      </c>
      <c r="DQ147" s="675">
        <v>0</v>
      </c>
      <c r="DR147" s="675">
        <v>0</v>
      </c>
      <c r="DS147" s="675">
        <v>0</v>
      </c>
      <c r="DT147" s="675">
        <v>0</v>
      </c>
      <c r="DU147" s="675">
        <v>0</v>
      </c>
      <c r="DV147" s="675">
        <v>0</v>
      </c>
      <c r="DW147" s="675">
        <v>0</v>
      </c>
      <c r="DX147" s="675">
        <v>0</v>
      </c>
      <c r="DY147" s="675">
        <v>0</v>
      </c>
      <c r="DZ147" s="675">
        <v>0</v>
      </c>
      <c r="EA147" s="675">
        <v>0</v>
      </c>
      <c r="EB147" s="675">
        <v>0</v>
      </c>
      <c r="EC147" s="675">
        <v>15.347000000000001</v>
      </c>
      <c r="ED147" s="675">
        <v>110643</v>
      </c>
      <c r="EE147" s="675">
        <v>0</v>
      </c>
      <c r="EF147" s="675">
        <v>0</v>
      </c>
      <c r="EG147" s="675">
        <v>0</v>
      </c>
      <c r="EH147" s="675">
        <v>175097</v>
      </c>
      <c r="EI147" s="675">
        <v>0</v>
      </c>
      <c r="EJ147" s="675">
        <v>0</v>
      </c>
      <c r="EK147" s="675">
        <v>8.0820000000000007</v>
      </c>
      <c r="EL147" s="675">
        <v>0</v>
      </c>
      <c r="EM147" s="675">
        <v>0</v>
      </c>
      <c r="EN147" s="675">
        <v>0.49400000000000005</v>
      </c>
      <c r="EO147" s="675">
        <v>0</v>
      </c>
      <c r="EP147" s="675">
        <v>0</v>
      </c>
      <c r="EQ147" s="675">
        <v>8.5760000000000005</v>
      </c>
      <c r="ER147" s="675">
        <v>0</v>
      </c>
      <c r="ES147" s="675">
        <v>26.716000000000001</v>
      </c>
      <c r="ET147" s="676">
        <v>13334</v>
      </c>
      <c r="EU147" s="675">
        <v>119254</v>
      </c>
      <c r="EV147" s="675">
        <v>0</v>
      </c>
      <c r="EW147" s="675">
        <v>0</v>
      </c>
      <c r="EX147" s="675">
        <v>0</v>
      </c>
      <c r="EY147" s="675">
        <v>0</v>
      </c>
      <c r="EZ147" s="675">
        <v>3782868</v>
      </c>
      <c r="FA147" s="675">
        <v>0</v>
      </c>
      <c r="FB147" s="676">
        <v>3902122</v>
      </c>
      <c r="FC147" s="675">
        <v>0.97327799999999998</v>
      </c>
      <c r="FD147" s="675">
        <v>0</v>
      </c>
      <c r="FE147" s="675">
        <v>555358</v>
      </c>
      <c r="FF147" s="675">
        <v>125149</v>
      </c>
      <c r="FG147" s="675">
        <v>6.1239999999999996E-2</v>
      </c>
      <c r="FH147" s="675">
        <v>5.4803999999999999E-2</v>
      </c>
      <c r="FI147" s="675">
        <v>0</v>
      </c>
      <c r="FJ147" s="675">
        <v>0</v>
      </c>
      <c r="FK147" s="675">
        <v>714.73200000000008</v>
      </c>
      <c r="FL147" s="675">
        <v>4682988</v>
      </c>
      <c r="FM147" s="675">
        <v>0</v>
      </c>
      <c r="FN147" s="675">
        <v>0</v>
      </c>
      <c r="FO147" s="675">
        <v>154098</v>
      </c>
      <c r="FP147" s="675">
        <v>0</v>
      </c>
      <c r="FQ147" s="675">
        <v>154098</v>
      </c>
      <c r="FR147" s="675">
        <v>154098</v>
      </c>
      <c r="FS147" s="675">
        <v>0</v>
      </c>
      <c r="FT147" s="675">
        <v>0</v>
      </c>
      <c r="FU147" s="675">
        <v>0</v>
      </c>
      <c r="FV147" s="675">
        <v>0</v>
      </c>
      <c r="FW147" s="675">
        <v>0</v>
      </c>
      <c r="FX147" s="675">
        <v>0</v>
      </c>
      <c r="FY147" s="675">
        <v>0</v>
      </c>
      <c r="FZ147" s="675">
        <v>0</v>
      </c>
      <c r="GA147" s="675">
        <v>0</v>
      </c>
      <c r="GB147" s="676">
        <v>0</v>
      </c>
      <c r="GC147" s="676">
        <v>0</v>
      </c>
      <c r="GD147" s="676">
        <v>0</v>
      </c>
      <c r="GE147" s="675">
        <v>0</v>
      </c>
      <c r="GF147" s="675">
        <v>0</v>
      </c>
      <c r="GG147" s="675">
        <v>0</v>
      </c>
      <c r="GH147" s="675">
        <v>0</v>
      </c>
      <c r="GI147" s="675">
        <v>0</v>
      </c>
      <c r="GJ147" s="675">
        <v>0</v>
      </c>
      <c r="GK147" s="675">
        <v>5116</v>
      </c>
      <c r="GL147" s="675">
        <v>11276</v>
      </c>
      <c r="GM147" s="675">
        <v>0</v>
      </c>
      <c r="GN147" s="675">
        <v>43177</v>
      </c>
      <c r="GO147" s="675">
        <v>0</v>
      </c>
      <c r="GP147" s="675">
        <v>4582629</v>
      </c>
      <c r="GQ147" s="675">
        <v>4582629</v>
      </c>
      <c r="GR147" s="675">
        <v>0</v>
      </c>
      <c r="GS147" s="675">
        <v>0</v>
      </c>
      <c r="GT147" s="675">
        <v>0</v>
      </c>
      <c r="GU147" s="675">
        <v>0</v>
      </c>
      <c r="GV147" s="675">
        <v>0</v>
      </c>
      <c r="GW147" s="675">
        <v>0</v>
      </c>
      <c r="GX147" s="675">
        <v>0</v>
      </c>
      <c r="GY147" s="675">
        <v>0</v>
      </c>
      <c r="GZ147" s="675">
        <v>0</v>
      </c>
      <c r="HA147" s="675">
        <v>0</v>
      </c>
      <c r="HB147" s="675">
        <v>260786259</v>
      </c>
      <c r="HC147" s="675">
        <v>5.0923999999999997E-2</v>
      </c>
      <c r="HD147" s="676">
        <v>87025</v>
      </c>
      <c r="HE147" s="675">
        <v>0</v>
      </c>
      <c r="HF147" s="675">
        <v>0</v>
      </c>
      <c r="HG147" s="675">
        <v>0</v>
      </c>
      <c r="HH147" s="675">
        <v>0</v>
      </c>
      <c r="HI147" s="675">
        <v>0</v>
      </c>
      <c r="HJ147" s="675">
        <v>0</v>
      </c>
      <c r="HK147" s="675">
        <v>0</v>
      </c>
      <c r="HL147" s="675">
        <v>0</v>
      </c>
      <c r="HM147" s="675">
        <v>0</v>
      </c>
      <c r="HN147" s="675">
        <v>0</v>
      </c>
      <c r="HO147" s="675">
        <v>0</v>
      </c>
      <c r="HP147" s="675">
        <v>0</v>
      </c>
      <c r="HQ147" s="675">
        <v>0</v>
      </c>
      <c r="HR147" s="675">
        <v>0</v>
      </c>
      <c r="HS147" s="675">
        <v>0</v>
      </c>
      <c r="HT147" s="675">
        <v>0</v>
      </c>
      <c r="HU147" s="675">
        <v>0</v>
      </c>
      <c r="HV147" s="675">
        <v>0</v>
      </c>
      <c r="HW147" s="675">
        <v>0</v>
      </c>
      <c r="HX147" s="675">
        <v>0</v>
      </c>
      <c r="HY147" s="675">
        <v>0</v>
      </c>
      <c r="HZ147" s="675">
        <v>0</v>
      </c>
      <c r="IA147" s="675">
        <v>0</v>
      </c>
      <c r="IB147" s="675">
        <v>0</v>
      </c>
      <c r="IC147" s="675">
        <v>0</v>
      </c>
      <c r="ID147" s="675">
        <v>0</v>
      </c>
      <c r="IE147" s="675">
        <v>0</v>
      </c>
      <c r="IF147" s="675">
        <v>0</v>
      </c>
      <c r="IG147" s="675">
        <v>0</v>
      </c>
      <c r="IH147" s="675">
        <v>0</v>
      </c>
      <c r="II147" s="675">
        <v>0</v>
      </c>
      <c r="IJ147" s="675">
        <v>0</v>
      </c>
      <c r="IK147" s="675">
        <v>0</v>
      </c>
      <c r="IL147" s="675">
        <v>0</v>
      </c>
      <c r="IM147" s="675">
        <v>0</v>
      </c>
      <c r="IN147" s="675">
        <v>0</v>
      </c>
      <c r="IO147" s="675">
        <v>0</v>
      </c>
      <c r="IP147" s="675">
        <v>0</v>
      </c>
      <c r="IQ147" s="675">
        <v>0</v>
      </c>
      <c r="IR147" s="675">
        <v>0</v>
      </c>
      <c r="IS147" s="675">
        <v>0</v>
      </c>
      <c r="IT147" s="675">
        <v>0</v>
      </c>
      <c r="IU147" s="675">
        <v>0</v>
      </c>
      <c r="IV147" s="675">
        <v>0</v>
      </c>
      <c r="IW147" s="675">
        <v>0</v>
      </c>
      <c r="IX147" s="675">
        <v>0</v>
      </c>
      <c r="IY147" s="675">
        <v>0</v>
      </c>
      <c r="IZ147" s="675">
        <v>0</v>
      </c>
      <c r="JA147" s="675">
        <v>0</v>
      </c>
      <c r="JB147" s="675">
        <v>0</v>
      </c>
      <c r="JC147" s="675">
        <v>0</v>
      </c>
      <c r="JD147" s="675">
        <v>0</v>
      </c>
      <c r="JE147" s="675">
        <v>0</v>
      </c>
      <c r="JF147" s="675">
        <v>0</v>
      </c>
      <c r="JG147" s="675">
        <v>0</v>
      </c>
      <c r="JH147" s="675">
        <v>0</v>
      </c>
      <c r="JI147" s="675">
        <v>0</v>
      </c>
      <c r="JJ147" s="675">
        <v>0</v>
      </c>
      <c r="JK147" s="675">
        <v>0</v>
      </c>
      <c r="JL147" s="675">
        <v>0</v>
      </c>
      <c r="JM147" s="675">
        <v>0</v>
      </c>
      <c r="JN147" s="675">
        <v>32469</v>
      </c>
      <c r="JO147" s="675">
        <v>0</v>
      </c>
      <c r="JP147" s="675">
        <v>0</v>
      </c>
      <c r="JQ147" s="675">
        <v>0</v>
      </c>
      <c r="JR147" s="675">
        <v>0</v>
      </c>
      <c r="JS147" s="675">
        <v>0</v>
      </c>
      <c r="JT147" s="675">
        <v>0</v>
      </c>
      <c r="JU147" s="675">
        <v>0</v>
      </c>
      <c r="JV147" s="675">
        <v>0</v>
      </c>
      <c r="JW147" s="675">
        <v>0</v>
      </c>
      <c r="JX147" s="675">
        <v>0</v>
      </c>
      <c r="JY147" s="675">
        <v>0</v>
      </c>
      <c r="JZ147" s="675">
        <v>0</v>
      </c>
      <c r="KA147" s="675">
        <v>0</v>
      </c>
      <c r="KB147" s="675">
        <v>0</v>
      </c>
      <c r="KC147" s="675">
        <v>0</v>
      </c>
      <c r="KD147" s="675">
        <v>0</v>
      </c>
      <c r="KE147" s="675">
        <v>0</v>
      </c>
      <c r="KF147" s="675">
        <v>0</v>
      </c>
    </row>
    <row r="148" spans="1:292" ht="13" x14ac:dyDescent="0.3">
      <c r="A148" s="675">
        <v>174801</v>
      </c>
      <c r="B148" s="675">
        <v>32570</v>
      </c>
      <c r="C148" s="675">
        <v>35</v>
      </c>
      <c r="D148" s="675">
        <v>2022</v>
      </c>
      <c r="E148" s="675">
        <v>5392</v>
      </c>
      <c r="F148" s="675">
        <v>0</v>
      </c>
      <c r="G148" s="675">
        <v>248.584</v>
      </c>
      <c r="H148" s="675">
        <v>245.935</v>
      </c>
      <c r="I148" s="675">
        <v>245.935</v>
      </c>
      <c r="J148" s="675">
        <v>248.584</v>
      </c>
      <c r="K148" s="675">
        <v>0</v>
      </c>
      <c r="L148" s="675">
        <v>6554</v>
      </c>
      <c r="M148" s="675">
        <v>0</v>
      </c>
      <c r="N148" s="675">
        <v>0</v>
      </c>
      <c r="O148" s="675">
        <v>0</v>
      </c>
      <c r="P148" s="675">
        <v>249.501</v>
      </c>
      <c r="Q148" s="675">
        <v>0</v>
      </c>
      <c r="R148" s="676">
        <v>79769</v>
      </c>
      <c r="S148" s="675">
        <v>319.71300000000002</v>
      </c>
      <c r="T148" s="675">
        <v>0</v>
      </c>
      <c r="U148" s="676">
        <v>79769</v>
      </c>
      <c r="V148" s="676">
        <v>7.3660000000000005</v>
      </c>
      <c r="W148" s="676">
        <v>4828</v>
      </c>
      <c r="X148" s="676">
        <v>4828</v>
      </c>
      <c r="Y148" s="675">
        <v>0</v>
      </c>
      <c r="Z148" s="675">
        <v>0</v>
      </c>
      <c r="AA148" s="675">
        <v>1</v>
      </c>
      <c r="AB148" s="675">
        <v>1</v>
      </c>
      <c r="AC148" s="675">
        <v>0</v>
      </c>
      <c r="AD148" s="675" t="s">
        <v>316</v>
      </c>
      <c r="AE148" s="675">
        <v>0</v>
      </c>
      <c r="AF148" s="675">
        <v>0</v>
      </c>
      <c r="AG148" s="675">
        <v>0</v>
      </c>
      <c r="AH148" s="675">
        <v>0</v>
      </c>
      <c r="AI148" s="675">
        <v>0</v>
      </c>
      <c r="AJ148" s="675">
        <v>5104</v>
      </c>
      <c r="AK148" s="675" t="s">
        <v>671</v>
      </c>
      <c r="AL148" s="675" t="s">
        <v>361</v>
      </c>
      <c r="AM148" s="675">
        <v>0</v>
      </c>
      <c r="AN148" s="675">
        <v>0</v>
      </c>
      <c r="AO148" s="675">
        <v>0</v>
      </c>
      <c r="AP148" s="675">
        <v>0</v>
      </c>
      <c r="AQ148" s="675">
        <v>0</v>
      </c>
      <c r="AR148" s="675">
        <v>0</v>
      </c>
      <c r="AS148" s="675">
        <v>0</v>
      </c>
      <c r="AT148" s="675">
        <v>0</v>
      </c>
      <c r="AU148" s="675">
        <v>0</v>
      </c>
      <c r="AV148" s="675">
        <v>43</v>
      </c>
      <c r="AW148" s="675">
        <v>2001477</v>
      </c>
      <c r="AX148" s="675">
        <v>1952487</v>
      </c>
      <c r="AY148" s="675">
        <v>2107245</v>
      </c>
      <c r="AZ148" s="675">
        <v>79769</v>
      </c>
      <c r="BA148" s="676">
        <v>0</v>
      </c>
      <c r="BB148" s="675">
        <v>0</v>
      </c>
      <c r="BC148" s="675">
        <v>0</v>
      </c>
      <c r="BD148" s="675">
        <v>0</v>
      </c>
      <c r="BE148" s="675">
        <v>0</v>
      </c>
      <c r="BF148" s="675">
        <v>1674009</v>
      </c>
      <c r="BG148" s="675">
        <v>0</v>
      </c>
      <c r="BH148" s="676">
        <v>0</v>
      </c>
      <c r="BI148" s="676">
        <v>0</v>
      </c>
      <c r="BJ148" s="675">
        <v>12</v>
      </c>
      <c r="BK148" s="675">
        <v>0</v>
      </c>
      <c r="BL148" s="675">
        <v>0</v>
      </c>
      <c r="BM148" s="675">
        <v>0</v>
      </c>
      <c r="BN148" s="675">
        <v>0</v>
      </c>
      <c r="BO148" s="675">
        <v>0</v>
      </c>
      <c r="BP148" s="675">
        <v>0</v>
      </c>
      <c r="BQ148" s="675">
        <v>5392</v>
      </c>
      <c r="BR148" s="675">
        <v>1</v>
      </c>
      <c r="BS148" s="675">
        <v>0</v>
      </c>
      <c r="BT148" s="675">
        <v>0</v>
      </c>
      <c r="BU148" s="675">
        <v>0</v>
      </c>
      <c r="BV148" s="675">
        <v>0</v>
      </c>
      <c r="BW148" s="675">
        <v>0</v>
      </c>
      <c r="BX148" s="675">
        <v>0</v>
      </c>
      <c r="BY148" s="675">
        <v>0</v>
      </c>
      <c r="BZ148" s="675">
        <v>0</v>
      </c>
      <c r="CA148" s="675">
        <v>0</v>
      </c>
      <c r="CB148" s="675">
        <v>0</v>
      </c>
      <c r="CC148" s="675">
        <v>0</v>
      </c>
      <c r="CD148" s="675">
        <v>0</v>
      </c>
      <c r="CE148" s="675">
        <v>0</v>
      </c>
      <c r="CF148" s="675">
        <v>0</v>
      </c>
      <c r="CG148" s="675">
        <v>0</v>
      </c>
      <c r="CH148" s="676">
        <v>48990</v>
      </c>
      <c r="CI148" s="675">
        <v>0</v>
      </c>
      <c r="CJ148" s="675">
        <v>4</v>
      </c>
      <c r="CK148" s="675">
        <v>0</v>
      </c>
      <c r="CL148" s="675">
        <v>0</v>
      </c>
      <c r="CM148" s="675">
        <v>0</v>
      </c>
      <c r="CN148" s="675">
        <v>0</v>
      </c>
      <c r="CO148" s="675">
        <v>0</v>
      </c>
      <c r="CP148" s="675">
        <v>0</v>
      </c>
      <c r="CQ148" s="675">
        <v>0</v>
      </c>
      <c r="CR148" s="675">
        <v>249.501</v>
      </c>
      <c r="CS148" s="675">
        <v>0</v>
      </c>
      <c r="CT148" s="675">
        <v>0</v>
      </c>
      <c r="CU148" s="675">
        <v>0</v>
      </c>
      <c r="CV148" s="675">
        <v>0</v>
      </c>
      <c r="CW148" s="675">
        <v>0</v>
      </c>
      <c r="CX148" s="675">
        <v>0</v>
      </c>
      <c r="CY148" s="675">
        <v>0</v>
      </c>
      <c r="CZ148" s="675">
        <v>0</v>
      </c>
      <c r="DA148" s="675">
        <v>1</v>
      </c>
      <c r="DB148" s="675">
        <v>1611858</v>
      </c>
      <c r="DC148" s="675">
        <v>0</v>
      </c>
      <c r="DD148" s="675">
        <v>0</v>
      </c>
      <c r="DE148" s="675">
        <v>22284</v>
      </c>
      <c r="DF148" s="675">
        <v>22284</v>
      </c>
      <c r="DG148" s="675">
        <v>17</v>
      </c>
      <c r="DH148" s="675">
        <v>0</v>
      </c>
      <c r="DI148" s="675">
        <v>0</v>
      </c>
      <c r="DJ148" s="675">
        <v>0</v>
      </c>
      <c r="DK148" s="675">
        <v>5392</v>
      </c>
      <c r="DL148" s="675">
        <v>0</v>
      </c>
      <c r="DM148" s="675">
        <v>81001</v>
      </c>
      <c r="DN148" s="675">
        <v>0</v>
      </c>
      <c r="DO148" s="675">
        <v>0</v>
      </c>
      <c r="DP148" s="675">
        <v>0</v>
      </c>
      <c r="DQ148" s="675">
        <v>0</v>
      </c>
      <c r="DR148" s="675">
        <v>0</v>
      </c>
      <c r="DS148" s="675">
        <v>0</v>
      </c>
      <c r="DT148" s="675">
        <v>0</v>
      </c>
      <c r="DU148" s="675">
        <v>0</v>
      </c>
      <c r="DV148" s="675">
        <v>0</v>
      </c>
      <c r="DW148" s="675">
        <v>0</v>
      </c>
      <c r="DX148" s="675">
        <v>0</v>
      </c>
      <c r="DY148" s="675">
        <v>0</v>
      </c>
      <c r="DZ148" s="675">
        <v>0</v>
      </c>
      <c r="EA148" s="675">
        <v>0</v>
      </c>
      <c r="EB148" s="675">
        <v>0</v>
      </c>
      <c r="EC148" s="675">
        <v>2.9710000000000001</v>
      </c>
      <c r="ED148" s="675">
        <v>21419</v>
      </c>
      <c r="EE148" s="675">
        <v>0</v>
      </c>
      <c r="EF148" s="675">
        <v>0</v>
      </c>
      <c r="EG148" s="675">
        <v>0</v>
      </c>
      <c r="EH148" s="675">
        <v>59582</v>
      </c>
      <c r="EI148" s="675">
        <v>0</v>
      </c>
      <c r="EJ148" s="675">
        <v>0</v>
      </c>
      <c r="EK148" s="675">
        <v>2.077</v>
      </c>
      <c r="EL148" s="675">
        <v>0</v>
      </c>
      <c r="EM148" s="675">
        <v>0</v>
      </c>
      <c r="EN148" s="675">
        <v>0.57200000000000006</v>
      </c>
      <c r="EO148" s="675">
        <v>0</v>
      </c>
      <c r="EP148" s="675">
        <v>0</v>
      </c>
      <c r="EQ148" s="675">
        <v>2.649</v>
      </c>
      <c r="ER148" s="675">
        <v>0</v>
      </c>
      <c r="ES148" s="675">
        <v>9.0910000000000011</v>
      </c>
      <c r="ET148" s="676">
        <v>0</v>
      </c>
      <c r="EU148" s="675">
        <v>79769</v>
      </c>
      <c r="EV148" s="675">
        <v>0</v>
      </c>
      <c r="EW148" s="675">
        <v>0</v>
      </c>
      <c r="EX148" s="675">
        <v>0</v>
      </c>
      <c r="EY148" s="675">
        <v>0</v>
      </c>
      <c r="EZ148" s="675">
        <v>1640202</v>
      </c>
      <c r="FA148" s="675">
        <v>0</v>
      </c>
      <c r="FB148" s="676">
        <v>1719971</v>
      </c>
      <c r="FC148" s="675">
        <v>0.97327799999999998</v>
      </c>
      <c r="FD148" s="675">
        <v>0</v>
      </c>
      <c r="FE148" s="675">
        <v>254854</v>
      </c>
      <c r="FF148" s="675">
        <v>57431</v>
      </c>
      <c r="FG148" s="675">
        <v>6.1239999999999996E-2</v>
      </c>
      <c r="FH148" s="675">
        <v>5.4803999999999999E-2</v>
      </c>
      <c r="FI148" s="675">
        <v>0</v>
      </c>
      <c r="FJ148" s="675">
        <v>0</v>
      </c>
      <c r="FK148" s="675">
        <v>327.99100000000004</v>
      </c>
      <c r="FL148" s="675">
        <v>2081246</v>
      </c>
      <c r="FM148" s="675">
        <v>0</v>
      </c>
      <c r="FN148" s="675">
        <v>0</v>
      </c>
      <c r="FO148" s="675">
        <v>0</v>
      </c>
      <c r="FP148" s="675">
        <v>0</v>
      </c>
      <c r="FQ148" s="675">
        <v>0</v>
      </c>
      <c r="FR148" s="675">
        <v>0</v>
      </c>
      <c r="FS148" s="675">
        <v>0</v>
      </c>
      <c r="FT148" s="675">
        <v>0</v>
      </c>
      <c r="FU148" s="675">
        <v>0</v>
      </c>
      <c r="FV148" s="675">
        <v>0</v>
      </c>
      <c r="FW148" s="675">
        <v>0</v>
      </c>
      <c r="FX148" s="675">
        <v>0</v>
      </c>
      <c r="FY148" s="675">
        <v>0</v>
      </c>
      <c r="FZ148" s="675">
        <v>0</v>
      </c>
      <c r="GA148" s="675">
        <v>0</v>
      </c>
      <c r="GB148" s="676">
        <v>0</v>
      </c>
      <c r="GC148" s="676">
        <v>0</v>
      </c>
      <c r="GD148" s="676">
        <v>0</v>
      </c>
      <c r="GE148" s="675">
        <v>0</v>
      </c>
      <c r="GF148" s="675">
        <v>0</v>
      </c>
      <c r="GG148" s="675">
        <v>0</v>
      </c>
      <c r="GH148" s="675">
        <v>0</v>
      </c>
      <c r="GI148" s="675">
        <v>0</v>
      </c>
      <c r="GJ148" s="675">
        <v>0</v>
      </c>
      <c r="GK148" s="675">
        <v>4971</v>
      </c>
      <c r="GL148" s="675">
        <v>4602</v>
      </c>
      <c r="GM148" s="675">
        <v>0</v>
      </c>
      <c r="GN148" s="675">
        <v>0</v>
      </c>
      <c r="GO148" s="675">
        <v>0</v>
      </c>
      <c r="GP148" s="675">
        <v>2032256</v>
      </c>
      <c r="GQ148" s="675">
        <v>2032256</v>
      </c>
      <c r="GR148" s="675">
        <v>0</v>
      </c>
      <c r="GS148" s="675">
        <v>0</v>
      </c>
      <c r="GT148" s="675">
        <v>0</v>
      </c>
      <c r="GU148" s="675">
        <v>0</v>
      </c>
      <c r="GV148" s="675">
        <v>0</v>
      </c>
      <c r="GW148" s="675">
        <v>0</v>
      </c>
      <c r="GX148" s="675">
        <v>0</v>
      </c>
      <c r="GY148" s="675">
        <v>0</v>
      </c>
      <c r="GZ148" s="675">
        <v>0</v>
      </c>
      <c r="HA148" s="675">
        <v>0</v>
      </c>
      <c r="HB148" s="675">
        <v>260786259</v>
      </c>
      <c r="HC148" s="675">
        <v>5.0923999999999997E-2</v>
      </c>
      <c r="HD148" s="676">
        <v>48990</v>
      </c>
      <c r="HE148" s="675">
        <v>0</v>
      </c>
      <c r="HF148" s="675">
        <v>0</v>
      </c>
      <c r="HG148" s="675">
        <v>0</v>
      </c>
      <c r="HH148" s="675">
        <v>0</v>
      </c>
      <c r="HI148" s="675">
        <v>0</v>
      </c>
      <c r="HJ148" s="675">
        <v>0</v>
      </c>
      <c r="HK148" s="675">
        <v>0</v>
      </c>
      <c r="HL148" s="675">
        <v>0</v>
      </c>
      <c r="HM148" s="675">
        <v>0</v>
      </c>
      <c r="HN148" s="675">
        <v>0</v>
      </c>
      <c r="HO148" s="675">
        <v>0</v>
      </c>
      <c r="HP148" s="675">
        <v>0</v>
      </c>
      <c r="HQ148" s="675">
        <v>0</v>
      </c>
      <c r="HR148" s="675">
        <v>0</v>
      </c>
      <c r="HS148" s="675">
        <v>0</v>
      </c>
      <c r="HT148" s="675">
        <v>0</v>
      </c>
      <c r="HU148" s="675">
        <v>0</v>
      </c>
      <c r="HV148" s="675">
        <v>0</v>
      </c>
      <c r="HW148" s="675">
        <v>0</v>
      </c>
      <c r="HX148" s="675">
        <v>0</v>
      </c>
      <c r="HY148" s="675">
        <v>0</v>
      </c>
      <c r="HZ148" s="675">
        <v>0</v>
      </c>
      <c r="IA148" s="675">
        <v>0</v>
      </c>
      <c r="IB148" s="675">
        <v>0</v>
      </c>
      <c r="IC148" s="675">
        <v>0</v>
      </c>
      <c r="ID148" s="675">
        <v>0</v>
      </c>
      <c r="IE148" s="675">
        <v>0</v>
      </c>
      <c r="IF148" s="675">
        <v>0</v>
      </c>
      <c r="IG148" s="675">
        <v>0</v>
      </c>
      <c r="IH148" s="675">
        <v>0</v>
      </c>
      <c r="II148" s="675">
        <v>0</v>
      </c>
      <c r="IJ148" s="675">
        <v>0</v>
      </c>
      <c r="IK148" s="675">
        <v>0</v>
      </c>
      <c r="IL148" s="675">
        <v>0</v>
      </c>
      <c r="IM148" s="675">
        <v>0</v>
      </c>
      <c r="IN148" s="675">
        <v>0</v>
      </c>
      <c r="IO148" s="675">
        <v>0</v>
      </c>
      <c r="IP148" s="675">
        <v>0</v>
      </c>
      <c r="IQ148" s="675">
        <v>0</v>
      </c>
      <c r="IR148" s="675">
        <v>0</v>
      </c>
      <c r="IS148" s="675">
        <v>0</v>
      </c>
      <c r="IT148" s="675">
        <v>0</v>
      </c>
      <c r="IU148" s="675">
        <v>0</v>
      </c>
      <c r="IV148" s="675">
        <v>0</v>
      </c>
      <c r="IW148" s="675">
        <v>0</v>
      </c>
      <c r="IX148" s="675">
        <v>0</v>
      </c>
      <c r="IY148" s="675">
        <v>0</v>
      </c>
      <c r="IZ148" s="675">
        <v>0</v>
      </c>
      <c r="JA148" s="675">
        <v>0</v>
      </c>
      <c r="JB148" s="675">
        <v>0</v>
      </c>
      <c r="JC148" s="675">
        <v>0</v>
      </c>
      <c r="JD148" s="675">
        <v>0</v>
      </c>
      <c r="JE148" s="675">
        <v>0</v>
      </c>
      <c r="JF148" s="675">
        <v>0</v>
      </c>
      <c r="JG148" s="675">
        <v>0</v>
      </c>
      <c r="JH148" s="675">
        <v>0</v>
      </c>
      <c r="JI148" s="675">
        <v>0</v>
      </c>
      <c r="JJ148" s="675">
        <v>0</v>
      </c>
      <c r="JK148" s="675">
        <v>0</v>
      </c>
      <c r="JL148" s="675">
        <v>0</v>
      </c>
      <c r="JM148" s="675">
        <v>0</v>
      </c>
      <c r="JN148" s="675">
        <v>32469</v>
      </c>
      <c r="JO148" s="675">
        <v>0</v>
      </c>
      <c r="JP148" s="675">
        <v>0</v>
      </c>
      <c r="JQ148" s="675">
        <v>0</v>
      </c>
      <c r="JR148" s="675">
        <v>0</v>
      </c>
      <c r="JS148" s="675">
        <v>0</v>
      </c>
      <c r="JT148" s="675">
        <v>0</v>
      </c>
      <c r="JU148" s="675">
        <v>0</v>
      </c>
      <c r="JV148" s="675">
        <v>0</v>
      </c>
      <c r="JW148" s="675">
        <v>0</v>
      </c>
      <c r="JX148" s="675">
        <v>0</v>
      </c>
      <c r="JY148" s="675">
        <v>0</v>
      </c>
      <c r="JZ148" s="675">
        <v>0</v>
      </c>
      <c r="KA148" s="675">
        <v>0</v>
      </c>
      <c r="KB148" s="675">
        <v>0</v>
      </c>
      <c r="KC148" s="675">
        <v>0</v>
      </c>
      <c r="KD148" s="675">
        <v>0</v>
      </c>
      <c r="KE148" s="675">
        <v>0</v>
      </c>
      <c r="KF148" s="675">
        <v>0</v>
      </c>
    </row>
    <row r="149" spans="1:292" ht="13" x14ac:dyDescent="0.3">
      <c r="A149" s="675">
        <v>178801</v>
      </c>
      <c r="B149" s="675">
        <v>32570</v>
      </c>
      <c r="C149" s="675">
        <v>35</v>
      </c>
      <c r="D149" s="675">
        <v>2022</v>
      </c>
      <c r="E149" s="675">
        <v>5392</v>
      </c>
      <c r="F149" s="675">
        <v>0</v>
      </c>
      <c r="G149" s="675">
        <v>202.04</v>
      </c>
      <c r="H149" s="675">
        <v>201.75500000000002</v>
      </c>
      <c r="I149" s="675">
        <v>201.75500000000002</v>
      </c>
      <c r="J149" s="675">
        <v>202.04</v>
      </c>
      <c r="K149" s="675">
        <v>0</v>
      </c>
      <c r="L149" s="675">
        <v>6554</v>
      </c>
      <c r="M149" s="675">
        <v>0</v>
      </c>
      <c r="N149" s="675">
        <v>0</v>
      </c>
      <c r="O149" s="675">
        <v>0</v>
      </c>
      <c r="P149" s="675">
        <v>178.43700000000001</v>
      </c>
      <c r="Q149" s="675">
        <v>0</v>
      </c>
      <c r="R149" s="676">
        <v>57049</v>
      </c>
      <c r="S149" s="675">
        <v>319.71300000000002</v>
      </c>
      <c r="T149" s="675">
        <v>0</v>
      </c>
      <c r="U149" s="676">
        <v>57049</v>
      </c>
      <c r="V149" s="676">
        <v>36.795999999999999</v>
      </c>
      <c r="W149" s="676">
        <v>24116</v>
      </c>
      <c r="X149" s="676">
        <v>24116</v>
      </c>
      <c r="Y149" s="675">
        <v>0</v>
      </c>
      <c r="Z149" s="675">
        <v>0</v>
      </c>
      <c r="AA149" s="675">
        <v>1</v>
      </c>
      <c r="AB149" s="675">
        <v>1</v>
      </c>
      <c r="AC149" s="675">
        <v>0</v>
      </c>
      <c r="AD149" s="675" t="s">
        <v>316</v>
      </c>
      <c r="AE149" s="675">
        <v>0</v>
      </c>
      <c r="AF149" s="675">
        <v>0</v>
      </c>
      <c r="AG149" s="675">
        <v>0</v>
      </c>
      <c r="AH149" s="675">
        <v>0</v>
      </c>
      <c r="AI149" s="675">
        <v>0</v>
      </c>
      <c r="AJ149" s="675">
        <v>5104</v>
      </c>
      <c r="AK149" s="675" t="s">
        <v>671</v>
      </c>
      <c r="AL149" s="675" t="s">
        <v>94</v>
      </c>
      <c r="AM149" s="675">
        <v>0</v>
      </c>
      <c r="AN149" s="675">
        <v>0</v>
      </c>
      <c r="AO149" s="675">
        <v>0</v>
      </c>
      <c r="AP149" s="675">
        <v>0</v>
      </c>
      <c r="AQ149" s="675">
        <v>0</v>
      </c>
      <c r="AR149" s="675">
        <v>0</v>
      </c>
      <c r="AS149" s="675">
        <v>0</v>
      </c>
      <c r="AT149" s="675">
        <v>0</v>
      </c>
      <c r="AU149" s="675">
        <v>0</v>
      </c>
      <c r="AV149" s="675">
        <v>59561</v>
      </c>
      <c r="AW149" s="675">
        <v>2008488</v>
      </c>
      <c r="AX149" s="675">
        <v>1961962</v>
      </c>
      <c r="AY149" s="675">
        <v>2189237</v>
      </c>
      <c r="AZ149" s="675">
        <v>57049</v>
      </c>
      <c r="BA149" s="676">
        <v>12.75</v>
      </c>
      <c r="BB149" s="675">
        <v>0</v>
      </c>
      <c r="BC149" s="675">
        <v>0</v>
      </c>
      <c r="BD149" s="675">
        <v>0</v>
      </c>
      <c r="BE149" s="675">
        <v>0</v>
      </c>
      <c r="BF149" s="675">
        <v>1663099</v>
      </c>
      <c r="BG149" s="675">
        <v>0</v>
      </c>
      <c r="BH149" s="676">
        <v>0</v>
      </c>
      <c r="BI149" s="676">
        <v>0</v>
      </c>
      <c r="BJ149" s="675">
        <v>12</v>
      </c>
      <c r="BK149" s="675">
        <v>0</v>
      </c>
      <c r="BL149" s="675">
        <v>0</v>
      </c>
      <c r="BM149" s="675">
        <v>0</v>
      </c>
      <c r="BN149" s="675">
        <v>0</v>
      </c>
      <c r="BO149" s="675">
        <v>0</v>
      </c>
      <c r="BP149" s="675">
        <v>0</v>
      </c>
      <c r="BQ149" s="675">
        <v>5392</v>
      </c>
      <c r="BR149" s="675">
        <v>1</v>
      </c>
      <c r="BS149" s="675">
        <v>0</v>
      </c>
      <c r="BT149" s="675">
        <v>0</v>
      </c>
      <c r="BU149" s="675">
        <v>0</v>
      </c>
      <c r="BV149" s="675">
        <v>0</v>
      </c>
      <c r="BW149" s="675">
        <v>0</v>
      </c>
      <c r="BX149" s="675">
        <v>0</v>
      </c>
      <c r="BY149" s="675">
        <v>0</v>
      </c>
      <c r="BZ149" s="675">
        <v>0</v>
      </c>
      <c r="CA149" s="675">
        <v>0</v>
      </c>
      <c r="CB149" s="675">
        <v>0</v>
      </c>
      <c r="CC149" s="675">
        <v>0</v>
      </c>
      <c r="CD149" s="675">
        <v>0</v>
      </c>
      <c r="CE149" s="675">
        <v>0</v>
      </c>
      <c r="CF149" s="675">
        <v>0</v>
      </c>
      <c r="CG149" s="675">
        <v>0</v>
      </c>
      <c r="CH149" s="676">
        <v>46526</v>
      </c>
      <c r="CI149" s="675">
        <v>0</v>
      </c>
      <c r="CJ149" s="675">
        <v>4</v>
      </c>
      <c r="CK149" s="675">
        <v>0</v>
      </c>
      <c r="CL149" s="675">
        <v>0</v>
      </c>
      <c r="CM149" s="675">
        <v>0</v>
      </c>
      <c r="CN149" s="675">
        <v>0</v>
      </c>
      <c r="CO149" s="675">
        <v>0</v>
      </c>
      <c r="CP149" s="675">
        <v>0</v>
      </c>
      <c r="CQ149" s="675">
        <v>1.333</v>
      </c>
      <c r="CR149" s="675">
        <v>178.43700000000001</v>
      </c>
      <c r="CS149" s="675">
        <v>0</v>
      </c>
      <c r="CT149" s="675">
        <v>0</v>
      </c>
      <c r="CU149" s="675">
        <v>0</v>
      </c>
      <c r="CV149" s="675">
        <v>0</v>
      </c>
      <c r="CW149" s="675">
        <v>0</v>
      </c>
      <c r="CX149" s="675">
        <v>0</v>
      </c>
      <c r="CY149" s="675">
        <v>0</v>
      </c>
      <c r="CZ149" s="675">
        <v>0</v>
      </c>
      <c r="DA149" s="675">
        <v>1</v>
      </c>
      <c r="DB149" s="675">
        <v>1322302</v>
      </c>
      <c r="DC149" s="675">
        <v>0</v>
      </c>
      <c r="DD149" s="675">
        <v>0</v>
      </c>
      <c r="DE149" s="675">
        <v>285099</v>
      </c>
      <c r="DF149" s="675">
        <v>285099</v>
      </c>
      <c r="DG149" s="675">
        <v>217.5</v>
      </c>
      <c r="DH149" s="675">
        <v>0</v>
      </c>
      <c r="DI149" s="675">
        <v>0</v>
      </c>
      <c r="DJ149" s="675">
        <v>0</v>
      </c>
      <c r="DK149" s="675">
        <v>5392</v>
      </c>
      <c r="DL149" s="675">
        <v>0</v>
      </c>
      <c r="DM149" s="675">
        <v>77244</v>
      </c>
      <c r="DN149" s="675">
        <v>0</v>
      </c>
      <c r="DO149" s="675">
        <v>0</v>
      </c>
      <c r="DP149" s="675">
        <v>0</v>
      </c>
      <c r="DQ149" s="675">
        <v>0</v>
      </c>
      <c r="DR149" s="675">
        <v>0</v>
      </c>
      <c r="DS149" s="675">
        <v>0</v>
      </c>
      <c r="DT149" s="675">
        <v>0</v>
      </c>
      <c r="DU149" s="675">
        <v>0</v>
      </c>
      <c r="DV149" s="675">
        <v>0</v>
      </c>
      <c r="DW149" s="675">
        <v>0</v>
      </c>
      <c r="DX149" s="675">
        <v>0</v>
      </c>
      <c r="DY149" s="675">
        <v>0</v>
      </c>
      <c r="DZ149" s="675">
        <v>0</v>
      </c>
      <c r="EA149" s="675">
        <v>0</v>
      </c>
      <c r="EB149" s="675">
        <v>0</v>
      </c>
      <c r="EC149" s="675">
        <v>9.4190000000000005</v>
      </c>
      <c r="ED149" s="675">
        <v>67905</v>
      </c>
      <c r="EE149" s="675">
        <v>0</v>
      </c>
      <c r="EF149" s="675">
        <v>0</v>
      </c>
      <c r="EG149" s="675">
        <v>0</v>
      </c>
      <c r="EH149" s="675">
        <v>9339</v>
      </c>
      <c r="EI149" s="675">
        <v>0</v>
      </c>
      <c r="EJ149" s="675">
        <v>0</v>
      </c>
      <c r="EK149" s="675">
        <v>0</v>
      </c>
      <c r="EL149" s="675">
        <v>0</v>
      </c>
      <c r="EM149" s="675">
        <v>0</v>
      </c>
      <c r="EN149" s="675">
        <v>0.28500000000000003</v>
      </c>
      <c r="EO149" s="675">
        <v>0</v>
      </c>
      <c r="EP149" s="675">
        <v>0</v>
      </c>
      <c r="EQ149" s="675">
        <v>0.28500000000000003</v>
      </c>
      <c r="ER149" s="675">
        <v>0</v>
      </c>
      <c r="ES149" s="675">
        <v>1.425</v>
      </c>
      <c r="ET149" s="676">
        <v>6708</v>
      </c>
      <c r="EU149" s="675">
        <v>57049</v>
      </c>
      <c r="EV149" s="675">
        <v>0</v>
      </c>
      <c r="EW149" s="675">
        <v>0</v>
      </c>
      <c r="EX149" s="675">
        <v>0</v>
      </c>
      <c r="EY149" s="675">
        <v>0</v>
      </c>
      <c r="EZ149" s="675">
        <v>1651712</v>
      </c>
      <c r="FA149" s="675">
        <v>0</v>
      </c>
      <c r="FB149" s="676">
        <v>1708761</v>
      </c>
      <c r="FC149" s="675">
        <v>0.97327799999999998</v>
      </c>
      <c r="FD149" s="675">
        <v>0</v>
      </c>
      <c r="FE149" s="675">
        <v>253193</v>
      </c>
      <c r="FF149" s="675">
        <v>57057</v>
      </c>
      <c r="FG149" s="675">
        <v>6.1239999999999996E-2</v>
      </c>
      <c r="FH149" s="675">
        <v>5.4803999999999999E-2</v>
      </c>
      <c r="FI149" s="675">
        <v>0</v>
      </c>
      <c r="FJ149" s="675">
        <v>0</v>
      </c>
      <c r="FK149" s="675">
        <v>325.85300000000001</v>
      </c>
      <c r="FL149" s="675">
        <v>2065537</v>
      </c>
      <c r="FM149" s="675">
        <v>0</v>
      </c>
      <c r="FN149" s="675">
        <v>0</v>
      </c>
      <c r="FO149" s="675">
        <v>0</v>
      </c>
      <c r="FP149" s="675">
        <v>0</v>
      </c>
      <c r="FQ149" s="675">
        <v>0</v>
      </c>
      <c r="FR149" s="675">
        <v>0</v>
      </c>
      <c r="FS149" s="675">
        <v>0</v>
      </c>
      <c r="FT149" s="675">
        <v>0</v>
      </c>
      <c r="FU149" s="675">
        <v>0</v>
      </c>
      <c r="FV149" s="675">
        <v>0</v>
      </c>
      <c r="FW149" s="675">
        <v>0</v>
      </c>
      <c r="FX149" s="675">
        <v>0</v>
      </c>
      <c r="FY149" s="675">
        <v>0</v>
      </c>
      <c r="FZ149" s="675">
        <v>0</v>
      </c>
      <c r="GA149" s="675">
        <v>0</v>
      </c>
      <c r="GB149" s="676">
        <v>0</v>
      </c>
      <c r="GC149" s="676">
        <v>0</v>
      </c>
      <c r="GD149" s="676">
        <v>0</v>
      </c>
      <c r="GE149" s="675">
        <v>0</v>
      </c>
      <c r="GF149" s="675">
        <v>0</v>
      </c>
      <c r="GG149" s="675">
        <v>0</v>
      </c>
      <c r="GH149" s="675">
        <v>0</v>
      </c>
      <c r="GI149" s="675">
        <v>0</v>
      </c>
      <c r="GJ149" s="675">
        <v>0</v>
      </c>
      <c r="GK149" s="675">
        <v>5062</v>
      </c>
      <c r="GL149" s="675">
        <v>7574</v>
      </c>
      <c r="GM149" s="675">
        <v>0</v>
      </c>
      <c r="GN149" s="675">
        <v>0</v>
      </c>
      <c r="GO149" s="675">
        <v>0</v>
      </c>
      <c r="GP149" s="675">
        <v>2019011</v>
      </c>
      <c r="GQ149" s="675">
        <v>2019011</v>
      </c>
      <c r="GR149" s="675">
        <v>0</v>
      </c>
      <c r="GS149" s="675">
        <v>0</v>
      </c>
      <c r="GT149" s="675">
        <v>0</v>
      </c>
      <c r="GU149" s="675">
        <v>0</v>
      </c>
      <c r="GV149" s="675">
        <v>0</v>
      </c>
      <c r="GW149" s="675">
        <v>0</v>
      </c>
      <c r="GX149" s="675">
        <v>0</v>
      </c>
      <c r="GY149" s="675">
        <v>0</v>
      </c>
      <c r="GZ149" s="675">
        <v>0</v>
      </c>
      <c r="HA149" s="675">
        <v>0</v>
      </c>
      <c r="HB149" s="675">
        <v>260786259</v>
      </c>
      <c r="HC149" s="675">
        <v>5.0923999999999997E-2</v>
      </c>
      <c r="HD149" s="676">
        <v>39818</v>
      </c>
      <c r="HE149" s="675">
        <v>0</v>
      </c>
      <c r="HF149" s="675">
        <v>0</v>
      </c>
      <c r="HG149" s="675">
        <v>0</v>
      </c>
      <c r="HH149" s="675">
        <v>0</v>
      </c>
      <c r="HI149" s="675">
        <v>0</v>
      </c>
      <c r="HJ149" s="675">
        <v>0</v>
      </c>
      <c r="HK149" s="675">
        <v>0</v>
      </c>
      <c r="HL149" s="675">
        <v>0</v>
      </c>
      <c r="HM149" s="675">
        <v>0</v>
      </c>
      <c r="HN149" s="675">
        <v>0</v>
      </c>
      <c r="HO149" s="675">
        <v>0</v>
      </c>
      <c r="HP149" s="675">
        <v>0</v>
      </c>
      <c r="HQ149" s="675">
        <v>0</v>
      </c>
      <c r="HR149" s="675">
        <v>0</v>
      </c>
      <c r="HS149" s="675">
        <v>0</v>
      </c>
      <c r="HT149" s="675">
        <v>0</v>
      </c>
      <c r="HU149" s="675">
        <v>0</v>
      </c>
      <c r="HV149" s="675">
        <v>0</v>
      </c>
      <c r="HW149" s="675">
        <v>0</v>
      </c>
      <c r="HX149" s="675">
        <v>0</v>
      </c>
      <c r="HY149" s="675">
        <v>0</v>
      </c>
      <c r="HZ149" s="675">
        <v>0</v>
      </c>
      <c r="IA149" s="675">
        <v>0</v>
      </c>
      <c r="IB149" s="675">
        <v>0</v>
      </c>
      <c r="IC149" s="675">
        <v>0</v>
      </c>
      <c r="ID149" s="675">
        <v>0</v>
      </c>
      <c r="IE149" s="675">
        <v>0</v>
      </c>
      <c r="IF149" s="675">
        <v>0</v>
      </c>
      <c r="IG149" s="675">
        <v>0</v>
      </c>
      <c r="IH149" s="675">
        <v>0</v>
      </c>
      <c r="II149" s="675">
        <v>0</v>
      </c>
      <c r="IJ149" s="675">
        <v>0</v>
      </c>
      <c r="IK149" s="675">
        <v>0</v>
      </c>
      <c r="IL149" s="675">
        <v>0</v>
      </c>
      <c r="IM149" s="675">
        <v>0</v>
      </c>
      <c r="IN149" s="675">
        <v>0</v>
      </c>
      <c r="IO149" s="675">
        <v>0</v>
      </c>
      <c r="IP149" s="675">
        <v>0</v>
      </c>
      <c r="IQ149" s="675">
        <v>0</v>
      </c>
      <c r="IR149" s="675">
        <v>0</v>
      </c>
      <c r="IS149" s="675">
        <v>0</v>
      </c>
      <c r="IT149" s="675">
        <v>0</v>
      </c>
      <c r="IU149" s="675">
        <v>0</v>
      </c>
      <c r="IV149" s="675">
        <v>0</v>
      </c>
      <c r="IW149" s="675">
        <v>0</v>
      </c>
      <c r="IX149" s="675">
        <v>0</v>
      </c>
      <c r="IY149" s="675">
        <v>0</v>
      </c>
      <c r="IZ149" s="675">
        <v>0</v>
      </c>
      <c r="JA149" s="675">
        <v>0</v>
      </c>
      <c r="JB149" s="675">
        <v>0</v>
      </c>
      <c r="JC149" s="675">
        <v>0</v>
      </c>
      <c r="JD149" s="675">
        <v>0</v>
      </c>
      <c r="JE149" s="675">
        <v>0</v>
      </c>
      <c r="JF149" s="675">
        <v>0</v>
      </c>
      <c r="JG149" s="675">
        <v>0</v>
      </c>
      <c r="JH149" s="675">
        <v>0</v>
      </c>
      <c r="JI149" s="675">
        <v>0</v>
      </c>
      <c r="JJ149" s="675">
        <v>0</v>
      </c>
      <c r="JK149" s="675">
        <v>0</v>
      </c>
      <c r="JL149" s="675">
        <v>0</v>
      </c>
      <c r="JM149" s="675">
        <v>0</v>
      </c>
      <c r="JN149" s="675">
        <v>32469</v>
      </c>
      <c r="JO149" s="675">
        <v>0</v>
      </c>
      <c r="JP149" s="675">
        <v>0</v>
      </c>
      <c r="JQ149" s="675">
        <v>0</v>
      </c>
      <c r="JR149" s="675">
        <v>0</v>
      </c>
      <c r="JS149" s="675">
        <v>0</v>
      </c>
      <c r="JT149" s="675">
        <v>0</v>
      </c>
      <c r="JU149" s="675">
        <v>0</v>
      </c>
      <c r="JV149" s="675">
        <v>0</v>
      </c>
      <c r="JW149" s="675">
        <v>0</v>
      </c>
      <c r="JX149" s="675">
        <v>0</v>
      </c>
      <c r="JY149" s="675">
        <v>0</v>
      </c>
      <c r="JZ149" s="675">
        <v>0</v>
      </c>
      <c r="KA149" s="675">
        <v>0</v>
      </c>
      <c r="KB149" s="675">
        <v>0</v>
      </c>
      <c r="KC149" s="675">
        <v>0</v>
      </c>
      <c r="KD149" s="675">
        <v>0</v>
      </c>
      <c r="KE149" s="675">
        <v>0</v>
      </c>
      <c r="KF149" s="675">
        <v>0</v>
      </c>
    </row>
    <row r="150" spans="1:292" x14ac:dyDescent="0.25">
      <c r="A150" s="675">
        <v>178807</v>
      </c>
      <c r="B150" s="675">
        <v>32570</v>
      </c>
      <c r="C150" s="675">
        <v>35</v>
      </c>
      <c r="D150" s="675">
        <v>2022</v>
      </c>
      <c r="E150" s="675">
        <v>5392</v>
      </c>
      <c r="F150" s="675">
        <v>0</v>
      </c>
      <c r="G150" s="675">
        <v>131.58600000000001</v>
      </c>
      <c r="H150" s="675">
        <v>127.50800000000001</v>
      </c>
      <c r="I150" s="675">
        <v>127.50800000000001</v>
      </c>
      <c r="J150" s="675">
        <v>131.58600000000001</v>
      </c>
      <c r="K150" s="675">
        <v>0</v>
      </c>
      <c r="L150" s="675">
        <v>6554</v>
      </c>
      <c r="M150" s="675">
        <v>0</v>
      </c>
      <c r="N150" s="675">
        <v>0</v>
      </c>
      <c r="O150" s="675">
        <v>0</v>
      </c>
      <c r="P150" s="675">
        <v>126.69</v>
      </c>
      <c r="Q150" s="675">
        <v>0</v>
      </c>
      <c r="R150" s="675">
        <v>40504</v>
      </c>
      <c r="S150" s="675">
        <v>319.71300000000002</v>
      </c>
      <c r="T150" s="675">
        <v>0</v>
      </c>
      <c r="U150" s="675">
        <v>40504</v>
      </c>
      <c r="V150" s="675">
        <v>6.0730000000000004</v>
      </c>
      <c r="W150" s="675">
        <v>3980</v>
      </c>
      <c r="X150" s="675">
        <v>3980</v>
      </c>
      <c r="Y150" s="675">
        <v>0</v>
      </c>
      <c r="Z150" s="675">
        <v>0</v>
      </c>
      <c r="AA150" s="675">
        <v>1</v>
      </c>
      <c r="AB150" s="675">
        <v>1</v>
      </c>
      <c r="AC150" s="675">
        <v>0</v>
      </c>
      <c r="AD150" s="675" t="s">
        <v>316</v>
      </c>
      <c r="AE150" s="675">
        <v>0</v>
      </c>
      <c r="AF150" s="675">
        <v>0</v>
      </c>
      <c r="AG150" s="675">
        <v>0</v>
      </c>
      <c r="AH150" s="675">
        <v>0</v>
      </c>
      <c r="AI150" s="675">
        <v>0</v>
      </c>
      <c r="AJ150" s="675">
        <v>5104</v>
      </c>
      <c r="AK150" s="675" t="s">
        <v>671</v>
      </c>
      <c r="AL150" s="675" t="s">
        <v>69</v>
      </c>
      <c r="AM150" s="675">
        <v>0</v>
      </c>
      <c r="AN150" s="675">
        <v>0</v>
      </c>
      <c r="AO150" s="675">
        <v>0</v>
      </c>
      <c r="AP150" s="675">
        <v>0</v>
      </c>
      <c r="AQ150" s="675">
        <v>0</v>
      </c>
      <c r="AR150" s="675">
        <v>0</v>
      </c>
      <c r="AS150" s="675">
        <v>0</v>
      </c>
      <c r="AT150" s="675">
        <v>0</v>
      </c>
      <c r="AU150" s="675">
        <v>0</v>
      </c>
      <c r="AV150" s="675">
        <v>24</v>
      </c>
      <c r="AW150" s="675">
        <v>1117576</v>
      </c>
      <c r="AX150" s="675">
        <v>1091643</v>
      </c>
      <c r="AY150" s="675">
        <v>1165627</v>
      </c>
      <c r="AZ150" s="675">
        <v>40504</v>
      </c>
      <c r="BA150" s="675">
        <v>0</v>
      </c>
      <c r="BB150" s="675">
        <v>0</v>
      </c>
      <c r="BC150" s="675">
        <v>0</v>
      </c>
      <c r="BD150" s="675">
        <v>0</v>
      </c>
      <c r="BE150" s="675">
        <v>0</v>
      </c>
      <c r="BF150" s="675">
        <v>932572</v>
      </c>
      <c r="BG150" s="675">
        <v>0</v>
      </c>
      <c r="BH150" s="675">
        <v>0</v>
      </c>
      <c r="BI150" s="675">
        <v>0</v>
      </c>
      <c r="BJ150" s="675">
        <v>12</v>
      </c>
      <c r="BK150" s="675">
        <v>0</v>
      </c>
      <c r="BL150" s="675">
        <v>0</v>
      </c>
      <c r="BM150" s="675">
        <v>0</v>
      </c>
      <c r="BN150" s="675">
        <v>0</v>
      </c>
      <c r="BO150" s="675">
        <v>0</v>
      </c>
      <c r="BP150" s="675">
        <v>0</v>
      </c>
      <c r="BQ150" s="675">
        <v>5392</v>
      </c>
      <c r="BR150" s="675">
        <v>1</v>
      </c>
      <c r="BS150" s="675">
        <v>0</v>
      </c>
      <c r="BT150" s="675">
        <v>0</v>
      </c>
      <c r="BU150" s="675">
        <v>0</v>
      </c>
      <c r="BV150" s="675">
        <v>0</v>
      </c>
      <c r="BW150" s="675">
        <v>0</v>
      </c>
      <c r="BX150" s="675">
        <v>0</v>
      </c>
      <c r="BY150" s="675">
        <v>0</v>
      </c>
      <c r="BZ150" s="675">
        <v>0</v>
      </c>
      <c r="CA150" s="675">
        <v>0</v>
      </c>
      <c r="CB150" s="675">
        <v>0</v>
      </c>
      <c r="CC150" s="675">
        <v>0</v>
      </c>
      <c r="CD150" s="675">
        <v>0</v>
      </c>
      <c r="CE150" s="675">
        <v>0</v>
      </c>
      <c r="CF150" s="675">
        <v>0</v>
      </c>
      <c r="CG150" s="675">
        <v>0</v>
      </c>
      <c r="CH150" s="675">
        <v>25933</v>
      </c>
      <c r="CI150" s="675">
        <v>0</v>
      </c>
      <c r="CJ150" s="675">
        <v>4</v>
      </c>
      <c r="CK150" s="675">
        <v>0</v>
      </c>
      <c r="CL150" s="675">
        <v>0</v>
      </c>
      <c r="CM150" s="675">
        <v>0</v>
      </c>
      <c r="CN150" s="675">
        <v>0</v>
      </c>
      <c r="CO150" s="675">
        <v>0</v>
      </c>
      <c r="CP150" s="675">
        <v>0</v>
      </c>
      <c r="CQ150" s="675">
        <v>0</v>
      </c>
      <c r="CR150" s="675">
        <v>126.69</v>
      </c>
      <c r="CS150" s="675">
        <v>0</v>
      </c>
      <c r="CT150" s="675">
        <v>0</v>
      </c>
      <c r="CU150" s="675">
        <v>0</v>
      </c>
      <c r="CV150" s="675">
        <v>0</v>
      </c>
      <c r="CW150" s="675">
        <v>0</v>
      </c>
      <c r="CX150" s="675">
        <v>0</v>
      </c>
      <c r="CY150" s="675">
        <v>0</v>
      </c>
      <c r="CZ150" s="675">
        <v>0</v>
      </c>
      <c r="DA150" s="675">
        <v>1</v>
      </c>
      <c r="DB150" s="675">
        <v>835687</v>
      </c>
      <c r="DC150" s="675">
        <v>0</v>
      </c>
      <c r="DD150" s="675">
        <v>0</v>
      </c>
      <c r="DE150" s="675">
        <v>25993</v>
      </c>
      <c r="DF150" s="675">
        <v>25993</v>
      </c>
      <c r="DG150" s="675">
        <v>19.830000000000002</v>
      </c>
      <c r="DH150" s="675">
        <v>0</v>
      </c>
      <c r="DI150" s="675">
        <v>0</v>
      </c>
      <c r="DJ150" s="675">
        <v>0</v>
      </c>
      <c r="DK150" s="675">
        <v>5392</v>
      </c>
      <c r="DL150" s="675">
        <v>0</v>
      </c>
      <c r="DM150" s="675">
        <v>92517</v>
      </c>
      <c r="DN150" s="675">
        <v>0</v>
      </c>
      <c r="DO150" s="675">
        <v>0</v>
      </c>
      <c r="DP150" s="675">
        <v>0</v>
      </c>
      <c r="DQ150" s="675">
        <v>0</v>
      </c>
      <c r="DR150" s="675">
        <v>0</v>
      </c>
      <c r="DS150" s="675">
        <v>0</v>
      </c>
      <c r="DT150" s="675">
        <v>0</v>
      </c>
      <c r="DU150" s="675">
        <v>0</v>
      </c>
      <c r="DV150" s="675">
        <v>0</v>
      </c>
      <c r="DW150" s="675">
        <v>0</v>
      </c>
      <c r="DX150" s="675">
        <v>0</v>
      </c>
      <c r="DY150" s="675">
        <v>0</v>
      </c>
      <c r="DZ150" s="675">
        <v>0</v>
      </c>
      <c r="EA150" s="675">
        <v>0</v>
      </c>
      <c r="EB150" s="675">
        <v>0</v>
      </c>
      <c r="EC150" s="675">
        <v>0.97100000000000009</v>
      </c>
      <c r="ED150" s="675">
        <v>7000</v>
      </c>
      <c r="EE150" s="675">
        <v>0</v>
      </c>
      <c r="EF150" s="675">
        <v>0</v>
      </c>
      <c r="EG150" s="675">
        <v>0</v>
      </c>
      <c r="EH150" s="675">
        <v>85517</v>
      </c>
      <c r="EI150" s="675">
        <v>0</v>
      </c>
      <c r="EJ150" s="675">
        <v>0</v>
      </c>
      <c r="EK150" s="675">
        <v>3.6710000000000003</v>
      </c>
      <c r="EL150" s="675">
        <v>0</v>
      </c>
      <c r="EM150" s="675">
        <v>0</v>
      </c>
      <c r="EN150" s="675">
        <v>0.40700000000000003</v>
      </c>
      <c r="EO150" s="675">
        <v>0</v>
      </c>
      <c r="EP150" s="675">
        <v>0</v>
      </c>
      <c r="EQ150" s="675">
        <v>4.0780000000000003</v>
      </c>
      <c r="ER150" s="675">
        <v>0</v>
      </c>
      <c r="ES150" s="675">
        <v>13.048</v>
      </c>
      <c r="ET150" s="675">
        <v>0</v>
      </c>
      <c r="EU150" s="675">
        <v>40504</v>
      </c>
      <c r="EV150" s="675">
        <v>0</v>
      </c>
      <c r="EW150" s="675">
        <v>0</v>
      </c>
      <c r="EX150" s="675">
        <v>0</v>
      </c>
      <c r="EY150" s="675">
        <v>0</v>
      </c>
      <c r="EZ150" s="675">
        <v>917673</v>
      </c>
      <c r="FA150" s="675">
        <v>0</v>
      </c>
      <c r="FB150" s="675">
        <v>958177</v>
      </c>
      <c r="FC150" s="675">
        <v>0.97327799999999998</v>
      </c>
      <c r="FD150" s="675">
        <v>0</v>
      </c>
      <c r="FE150" s="675">
        <v>141976</v>
      </c>
      <c r="FF150" s="675">
        <v>31994</v>
      </c>
      <c r="FG150" s="675">
        <v>6.1239999999999996E-2</v>
      </c>
      <c r="FH150" s="675">
        <v>5.4803999999999999E-2</v>
      </c>
      <c r="FI150" s="675">
        <v>0</v>
      </c>
      <c r="FJ150" s="675">
        <v>0</v>
      </c>
      <c r="FK150" s="675">
        <v>182.72</v>
      </c>
      <c r="FL150" s="675">
        <v>1158080</v>
      </c>
      <c r="FM150" s="675">
        <v>0</v>
      </c>
      <c r="FN150" s="675">
        <v>0</v>
      </c>
      <c r="FO150" s="675">
        <v>0</v>
      </c>
      <c r="FP150" s="675">
        <v>0</v>
      </c>
      <c r="FQ150" s="675">
        <v>0</v>
      </c>
      <c r="FR150" s="675">
        <v>0</v>
      </c>
      <c r="FS150" s="675">
        <v>0</v>
      </c>
      <c r="FT150" s="675">
        <v>0</v>
      </c>
      <c r="FU150" s="675">
        <v>0</v>
      </c>
      <c r="FV150" s="675">
        <v>0</v>
      </c>
      <c r="FW150" s="675">
        <v>0</v>
      </c>
      <c r="FX150" s="675">
        <v>0</v>
      </c>
      <c r="FY150" s="675">
        <v>0</v>
      </c>
      <c r="FZ150" s="675">
        <v>0</v>
      </c>
      <c r="GA150" s="675">
        <v>0</v>
      </c>
      <c r="GB150" s="675">
        <v>0</v>
      </c>
      <c r="GC150" s="675">
        <v>0</v>
      </c>
      <c r="GD150" s="675">
        <v>0</v>
      </c>
      <c r="GE150" s="675">
        <v>0</v>
      </c>
      <c r="GF150" s="675">
        <v>0</v>
      </c>
      <c r="GG150" s="675">
        <v>0</v>
      </c>
      <c r="GH150" s="675">
        <v>0</v>
      </c>
      <c r="GI150" s="675">
        <v>0</v>
      </c>
      <c r="GJ150" s="675">
        <v>0</v>
      </c>
      <c r="GK150" s="675">
        <v>5051</v>
      </c>
      <c r="GL150" s="675">
        <v>4804</v>
      </c>
      <c r="GM150" s="675">
        <v>0</v>
      </c>
      <c r="GN150" s="675">
        <v>0</v>
      </c>
      <c r="GO150" s="675">
        <v>0</v>
      </c>
      <c r="GP150" s="675">
        <v>1132147</v>
      </c>
      <c r="GQ150" s="675">
        <v>1132147</v>
      </c>
      <c r="GR150" s="675">
        <v>0</v>
      </c>
      <c r="GS150" s="675">
        <v>0</v>
      </c>
      <c r="GT150" s="675">
        <v>0</v>
      </c>
      <c r="GU150" s="675">
        <v>0</v>
      </c>
      <c r="GV150" s="675">
        <v>0</v>
      </c>
      <c r="GW150" s="675">
        <v>0</v>
      </c>
      <c r="GX150" s="675">
        <v>0</v>
      </c>
      <c r="GY150" s="675">
        <v>0</v>
      </c>
      <c r="GZ150" s="675">
        <v>0</v>
      </c>
      <c r="HA150" s="675">
        <v>0</v>
      </c>
      <c r="HB150" s="675">
        <v>260786259</v>
      </c>
      <c r="HC150" s="675">
        <v>5.0923999999999997E-2</v>
      </c>
      <c r="HD150" s="675">
        <v>25933</v>
      </c>
      <c r="HE150" s="675">
        <v>0</v>
      </c>
      <c r="HF150" s="675">
        <v>0</v>
      </c>
      <c r="HG150" s="675">
        <v>0</v>
      </c>
      <c r="HH150" s="675">
        <v>0</v>
      </c>
      <c r="HI150" s="675">
        <v>0</v>
      </c>
      <c r="HJ150" s="675">
        <v>0</v>
      </c>
      <c r="HK150" s="675">
        <v>0</v>
      </c>
      <c r="HL150" s="675">
        <v>0</v>
      </c>
      <c r="HM150" s="675">
        <v>0</v>
      </c>
      <c r="HN150" s="675">
        <v>0</v>
      </c>
      <c r="HO150" s="675">
        <v>0</v>
      </c>
      <c r="HP150" s="675">
        <v>0</v>
      </c>
      <c r="HQ150" s="675">
        <v>0</v>
      </c>
      <c r="HR150" s="675">
        <v>0</v>
      </c>
      <c r="HS150" s="675">
        <v>0</v>
      </c>
      <c r="HT150" s="675">
        <v>0</v>
      </c>
      <c r="HU150" s="675">
        <v>0</v>
      </c>
      <c r="HV150" s="675">
        <v>0</v>
      </c>
      <c r="HW150" s="675">
        <v>0</v>
      </c>
      <c r="HX150" s="675">
        <v>0</v>
      </c>
      <c r="HY150" s="675">
        <v>0</v>
      </c>
      <c r="HZ150" s="675">
        <v>0</v>
      </c>
      <c r="IA150" s="675">
        <v>0</v>
      </c>
      <c r="IB150" s="675">
        <v>0</v>
      </c>
      <c r="IC150" s="675">
        <v>0</v>
      </c>
      <c r="ID150" s="675">
        <v>0</v>
      </c>
      <c r="IE150" s="675">
        <v>0</v>
      </c>
      <c r="IF150" s="675">
        <v>0</v>
      </c>
      <c r="IG150" s="675">
        <v>0</v>
      </c>
      <c r="IH150" s="675">
        <v>0</v>
      </c>
      <c r="II150" s="675">
        <v>0</v>
      </c>
      <c r="IJ150" s="675">
        <v>0</v>
      </c>
      <c r="IK150" s="675">
        <v>0</v>
      </c>
      <c r="IL150" s="675">
        <v>0</v>
      </c>
      <c r="IM150" s="675">
        <v>0</v>
      </c>
      <c r="IN150" s="675">
        <v>0</v>
      </c>
      <c r="IO150" s="675">
        <v>0</v>
      </c>
      <c r="IP150" s="675">
        <v>0</v>
      </c>
      <c r="IQ150" s="675">
        <v>0</v>
      </c>
      <c r="IR150" s="675">
        <v>0</v>
      </c>
      <c r="IS150" s="675">
        <v>0</v>
      </c>
      <c r="IT150" s="675">
        <v>0</v>
      </c>
      <c r="IU150" s="675">
        <v>0</v>
      </c>
      <c r="IV150" s="675">
        <v>0</v>
      </c>
      <c r="IW150" s="675">
        <v>0</v>
      </c>
      <c r="IX150" s="675">
        <v>0</v>
      </c>
      <c r="IY150" s="675">
        <v>0</v>
      </c>
      <c r="IZ150" s="675">
        <v>0</v>
      </c>
      <c r="JA150" s="675">
        <v>0</v>
      </c>
      <c r="JB150" s="675">
        <v>0</v>
      </c>
      <c r="JC150" s="675">
        <v>0</v>
      </c>
      <c r="JD150" s="675">
        <v>0</v>
      </c>
      <c r="JE150" s="675">
        <v>0</v>
      </c>
      <c r="JF150" s="675">
        <v>0</v>
      </c>
      <c r="JG150" s="675">
        <v>0</v>
      </c>
      <c r="JH150" s="675">
        <v>0</v>
      </c>
      <c r="JI150" s="675">
        <v>0</v>
      </c>
      <c r="JJ150" s="675">
        <v>0</v>
      </c>
      <c r="JK150" s="675">
        <v>0</v>
      </c>
      <c r="JL150" s="675">
        <v>0</v>
      </c>
      <c r="JM150" s="675">
        <v>0</v>
      </c>
      <c r="JN150" s="675">
        <v>32469</v>
      </c>
      <c r="JO150" s="675">
        <v>0</v>
      </c>
      <c r="JP150" s="675">
        <v>0</v>
      </c>
      <c r="JQ150" s="675">
        <v>0</v>
      </c>
      <c r="JR150" s="675">
        <v>0</v>
      </c>
      <c r="JS150" s="675">
        <v>0</v>
      </c>
      <c r="JT150" s="675">
        <v>0</v>
      </c>
      <c r="JU150" s="675">
        <v>0</v>
      </c>
      <c r="JV150" s="675">
        <v>0</v>
      </c>
      <c r="JW150" s="675">
        <v>0</v>
      </c>
      <c r="JX150" s="675">
        <v>0</v>
      </c>
      <c r="JY150" s="675">
        <v>0</v>
      </c>
      <c r="JZ150" s="675">
        <v>0</v>
      </c>
      <c r="KA150" s="675">
        <v>0</v>
      </c>
      <c r="KB150" s="675">
        <v>0</v>
      </c>
      <c r="KC150" s="675">
        <v>0</v>
      </c>
      <c r="KD150" s="675">
        <v>0</v>
      </c>
      <c r="KE150" s="675">
        <v>0</v>
      </c>
      <c r="KF150" s="675">
        <v>0</v>
      </c>
    </row>
    <row r="151" spans="1:292" x14ac:dyDescent="0.25">
      <c r="A151" s="675">
        <v>178808</v>
      </c>
      <c r="B151" s="675">
        <v>32570</v>
      </c>
      <c r="C151" s="675">
        <v>35</v>
      </c>
      <c r="D151" s="675">
        <v>2022</v>
      </c>
      <c r="E151" s="675">
        <v>5392</v>
      </c>
      <c r="F151" s="675">
        <v>0</v>
      </c>
      <c r="G151" s="675">
        <v>478.49600000000004</v>
      </c>
      <c r="H151" s="675">
        <v>470.62600000000003</v>
      </c>
      <c r="I151" s="675">
        <v>470.62600000000003</v>
      </c>
      <c r="J151" s="675">
        <v>478.49600000000004</v>
      </c>
      <c r="K151" s="675">
        <v>0</v>
      </c>
      <c r="L151" s="675">
        <v>6554</v>
      </c>
      <c r="M151" s="675">
        <v>0</v>
      </c>
      <c r="N151" s="675">
        <v>0</v>
      </c>
      <c r="O151" s="675">
        <v>0</v>
      </c>
      <c r="P151" s="675">
        <v>465.16800000000001</v>
      </c>
      <c r="Q151" s="675">
        <v>0</v>
      </c>
      <c r="R151" s="675">
        <v>148720</v>
      </c>
      <c r="S151" s="675">
        <v>319.71300000000002</v>
      </c>
      <c r="T151" s="675">
        <v>0</v>
      </c>
      <c r="U151" s="675">
        <v>148720</v>
      </c>
      <c r="V151" s="675">
        <v>0</v>
      </c>
      <c r="W151" s="675">
        <v>0</v>
      </c>
      <c r="X151" s="675">
        <v>0</v>
      </c>
      <c r="Y151" s="675">
        <v>0</v>
      </c>
      <c r="Z151" s="675">
        <v>0</v>
      </c>
      <c r="AA151" s="675">
        <v>1</v>
      </c>
      <c r="AB151" s="675">
        <v>1</v>
      </c>
      <c r="AC151" s="675">
        <v>0</v>
      </c>
      <c r="AD151" s="675" t="s">
        <v>316</v>
      </c>
      <c r="AE151" s="675">
        <v>0</v>
      </c>
      <c r="AF151" s="675">
        <v>0</v>
      </c>
      <c r="AG151" s="675">
        <v>0</v>
      </c>
      <c r="AH151" s="675">
        <v>0</v>
      </c>
      <c r="AI151" s="675">
        <v>0</v>
      </c>
      <c r="AJ151" s="675">
        <v>5104</v>
      </c>
      <c r="AK151" s="675" t="s">
        <v>671</v>
      </c>
      <c r="AL151" s="675" t="s">
        <v>100</v>
      </c>
      <c r="AM151" s="675">
        <v>0</v>
      </c>
      <c r="AN151" s="675">
        <v>0</v>
      </c>
      <c r="AO151" s="675">
        <v>0</v>
      </c>
      <c r="AP151" s="675">
        <v>0</v>
      </c>
      <c r="AQ151" s="675">
        <v>0</v>
      </c>
      <c r="AR151" s="675">
        <v>0</v>
      </c>
      <c r="AS151" s="675">
        <v>0</v>
      </c>
      <c r="AT151" s="675">
        <v>0</v>
      </c>
      <c r="AU151" s="675">
        <v>0</v>
      </c>
      <c r="AV151" s="675">
        <v>84</v>
      </c>
      <c r="AW151" s="675">
        <v>3903434</v>
      </c>
      <c r="AX151" s="675">
        <v>3809133</v>
      </c>
      <c r="AY151" s="675">
        <v>4057726</v>
      </c>
      <c r="AZ151" s="675">
        <v>148720</v>
      </c>
      <c r="BA151" s="675">
        <v>0</v>
      </c>
      <c r="BB151" s="675">
        <v>18816</v>
      </c>
      <c r="BC151" s="675">
        <v>18816</v>
      </c>
      <c r="BD151" s="675">
        <v>23.925000000000001</v>
      </c>
      <c r="BE151" s="675">
        <v>0</v>
      </c>
      <c r="BF151" s="675">
        <v>3260160</v>
      </c>
      <c r="BG151" s="675">
        <v>0</v>
      </c>
      <c r="BH151" s="675">
        <v>0</v>
      </c>
      <c r="BI151" s="675">
        <v>0</v>
      </c>
      <c r="BJ151" s="675">
        <v>12</v>
      </c>
      <c r="BK151" s="675">
        <v>0</v>
      </c>
      <c r="BL151" s="675">
        <v>0</v>
      </c>
      <c r="BM151" s="675">
        <v>0</v>
      </c>
      <c r="BN151" s="675">
        <v>0</v>
      </c>
      <c r="BO151" s="675">
        <v>0</v>
      </c>
      <c r="BP151" s="675">
        <v>0</v>
      </c>
      <c r="BQ151" s="675">
        <v>5392</v>
      </c>
      <c r="BR151" s="675">
        <v>1</v>
      </c>
      <c r="BS151" s="675">
        <v>0</v>
      </c>
      <c r="BT151" s="675">
        <v>0</v>
      </c>
      <c r="BU151" s="675">
        <v>0</v>
      </c>
      <c r="BV151" s="675">
        <v>0</v>
      </c>
      <c r="BW151" s="675">
        <v>0</v>
      </c>
      <c r="BX151" s="675">
        <v>0</v>
      </c>
      <c r="BY151" s="675">
        <v>0</v>
      </c>
      <c r="BZ151" s="675">
        <v>0</v>
      </c>
      <c r="CA151" s="675">
        <v>0</v>
      </c>
      <c r="CB151" s="675">
        <v>0</v>
      </c>
      <c r="CC151" s="675">
        <v>0</v>
      </c>
      <c r="CD151" s="675">
        <v>0</v>
      </c>
      <c r="CE151" s="675">
        <v>0</v>
      </c>
      <c r="CF151" s="675">
        <v>0</v>
      </c>
      <c r="CG151" s="675">
        <v>0</v>
      </c>
      <c r="CH151" s="675">
        <v>94301</v>
      </c>
      <c r="CI151" s="675">
        <v>0</v>
      </c>
      <c r="CJ151" s="675">
        <v>4</v>
      </c>
      <c r="CK151" s="675">
        <v>0</v>
      </c>
      <c r="CL151" s="675">
        <v>0</v>
      </c>
      <c r="CM151" s="675">
        <v>0</v>
      </c>
      <c r="CN151" s="675">
        <v>0</v>
      </c>
      <c r="CO151" s="675">
        <v>0</v>
      </c>
      <c r="CP151" s="675">
        <v>0</v>
      </c>
      <c r="CQ151" s="675">
        <v>0</v>
      </c>
      <c r="CR151" s="675">
        <v>465.16800000000001</v>
      </c>
      <c r="CS151" s="675">
        <v>0</v>
      </c>
      <c r="CT151" s="675">
        <v>0</v>
      </c>
      <c r="CU151" s="675">
        <v>0</v>
      </c>
      <c r="CV151" s="675">
        <v>0</v>
      </c>
      <c r="CW151" s="675">
        <v>0</v>
      </c>
      <c r="CX151" s="675">
        <v>0</v>
      </c>
      <c r="CY151" s="675">
        <v>0</v>
      </c>
      <c r="CZ151" s="675">
        <v>0</v>
      </c>
      <c r="DA151" s="675">
        <v>1</v>
      </c>
      <c r="DB151" s="675">
        <v>3084483</v>
      </c>
      <c r="DC151" s="675">
        <v>0</v>
      </c>
      <c r="DD151" s="675">
        <v>0</v>
      </c>
      <c r="DE151" s="675">
        <v>0</v>
      </c>
      <c r="DF151" s="675">
        <v>0</v>
      </c>
      <c r="DG151" s="675">
        <v>0</v>
      </c>
      <c r="DH151" s="675">
        <v>0</v>
      </c>
      <c r="DI151" s="675">
        <v>0</v>
      </c>
      <c r="DJ151" s="675">
        <v>0</v>
      </c>
      <c r="DK151" s="675">
        <v>5392</v>
      </c>
      <c r="DL151" s="675">
        <v>0</v>
      </c>
      <c r="DM151" s="675">
        <v>246373</v>
      </c>
      <c r="DN151" s="675">
        <v>0</v>
      </c>
      <c r="DO151" s="675">
        <v>732</v>
      </c>
      <c r="DP151" s="675">
        <v>0</v>
      </c>
      <c r="DQ151" s="675">
        <v>0</v>
      </c>
      <c r="DR151" s="675">
        <v>0</v>
      </c>
      <c r="DS151" s="675">
        <v>0</v>
      </c>
      <c r="DT151" s="675">
        <v>4.3000000000000003E-2</v>
      </c>
      <c r="DU151" s="675">
        <v>0</v>
      </c>
      <c r="DV151" s="675">
        <v>0</v>
      </c>
      <c r="DW151" s="675">
        <v>4.0000000000000001E-3</v>
      </c>
      <c r="DX151" s="675">
        <v>0</v>
      </c>
      <c r="DY151" s="675">
        <v>0</v>
      </c>
      <c r="DZ151" s="675">
        <v>0.14899999999999999</v>
      </c>
      <c r="EA151" s="675">
        <v>0</v>
      </c>
      <c r="EB151" s="675">
        <v>0</v>
      </c>
      <c r="EC151" s="675">
        <v>10.825000000000001</v>
      </c>
      <c r="ED151" s="675">
        <v>78042</v>
      </c>
      <c r="EE151" s="675">
        <v>0</v>
      </c>
      <c r="EF151" s="675">
        <v>0</v>
      </c>
      <c r="EG151" s="675">
        <v>0</v>
      </c>
      <c r="EH151" s="675">
        <v>167599</v>
      </c>
      <c r="EI151" s="675">
        <v>0</v>
      </c>
      <c r="EJ151" s="675">
        <v>0</v>
      </c>
      <c r="EK151" s="675">
        <v>6.8890000000000002</v>
      </c>
      <c r="EL151" s="675">
        <v>0</v>
      </c>
      <c r="EM151" s="675">
        <v>0</v>
      </c>
      <c r="EN151" s="675">
        <v>0.98100000000000009</v>
      </c>
      <c r="EO151" s="675">
        <v>0</v>
      </c>
      <c r="EP151" s="675">
        <v>0</v>
      </c>
      <c r="EQ151" s="675">
        <v>7.87</v>
      </c>
      <c r="ER151" s="675">
        <v>0</v>
      </c>
      <c r="ES151" s="675">
        <v>25.572000000000003</v>
      </c>
      <c r="ET151" s="675">
        <v>0</v>
      </c>
      <c r="EU151" s="675">
        <v>148720</v>
      </c>
      <c r="EV151" s="675">
        <v>0</v>
      </c>
      <c r="EW151" s="675">
        <v>0</v>
      </c>
      <c r="EX151" s="675">
        <v>0</v>
      </c>
      <c r="EY151" s="675">
        <v>0</v>
      </c>
      <c r="EZ151" s="675">
        <v>3200952</v>
      </c>
      <c r="FA151" s="675">
        <v>0</v>
      </c>
      <c r="FB151" s="675">
        <v>3349672</v>
      </c>
      <c r="FC151" s="675">
        <v>0.97327799999999998</v>
      </c>
      <c r="FD151" s="675">
        <v>0</v>
      </c>
      <c r="FE151" s="675">
        <v>496333</v>
      </c>
      <c r="FF151" s="675">
        <v>111848</v>
      </c>
      <c r="FG151" s="675">
        <v>6.1239999999999996E-2</v>
      </c>
      <c r="FH151" s="675">
        <v>5.4803999999999999E-2</v>
      </c>
      <c r="FI151" s="675">
        <v>0</v>
      </c>
      <c r="FJ151" s="675">
        <v>0</v>
      </c>
      <c r="FK151" s="675">
        <v>638.76800000000003</v>
      </c>
      <c r="FL151" s="675">
        <v>4052154</v>
      </c>
      <c r="FM151" s="675">
        <v>0</v>
      </c>
      <c r="FN151" s="675">
        <v>0</v>
      </c>
      <c r="FO151" s="675">
        <v>0</v>
      </c>
      <c r="FP151" s="675">
        <v>0</v>
      </c>
      <c r="FQ151" s="675">
        <v>0</v>
      </c>
      <c r="FR151" s="675">
        <v>0</v>
      </c>
      <c r="FS151" s="675">
        <v>0</v>
      </c>
      <c r="FT151" s="675">
        <v>0</v>
      </c>
      <c r="FU151" s="675">
        <v>0</v>
      </c>
      <c r="FV151" s="675">
        <v>0</v>
      </c>
      <c r="FW151" s="675">
        <v>0</v>
      </c>
      <c r="FX151" s="675">
        <v>0</v>
      </c>
      <c r="FY151" s="675">
        <v>0</v>
      </c>
      <c r="FZ151" s="675">
        <v>0</v>
      </c>
      <c r="GA151" s="675">
        <v>0</v>
      </c>
      <c r="GB151" s="675">
        <v>0</v>
      </c>
      <c r="GC151" s="675">
        <v>0</v>
      </c>
      <c r="GD151" s="675">
        <v>0</v>
      </c>
      <c r="GE151" s="675">
        <v>0</v>
      </c>
      <c r="GF151" s="675">
        <v>0</v>
      </c>
      <c r="GG151" s="675">
        <v>0</v>
      </c>
      <c r="GH151" s="675">
        <v>0</v>
      </c>
      <c r="GI151" s="675">
        <v>0</v>
      </c>
      <c r="GJ151" s="675">
        <v>0</v>
      </c>
      <c r="GK151" s="675">
        <v>5073.7610000000004</v>
      </c>
      <c r="GL151" s="675">
        <v>3679</v>
      </c>
      <c r="GM151" s="675">
        <v>0</v>
      </c>
      <c r="GN151" s="675">
        <v>0</v>
      </c>
      <c r="GO151" s="675">
        <v>0</v>
      </c>
      <c r="GP151" s="675">
        <v>3957853</v>
      </c>
      <c r="GQ151" s="675">
        <v>3957853</v>
      </c>
      <c r="GR151" s="675">
        <v>0</v>
      </c>
      <c r="GS151" s="675">
        <v>0</v>
      </c>
      <c r="GT151" s="675">
        <v>0</v>
      </c>
      <c r="GU151" s="675">
        <v>0</v>
      </c>
      <c r="GV151" s="675">
        <v>0</v>
      </c>
      <c r="GW151" s="675">
        <v>0</v>
      </c>
      <c r="GX151" s="675">
        <v>0</v>
      </c>
      <c r="GY151" s="675">
        <v>0</v>
      </c>
      <c r="GZ151" s="675">
        <v>0</v>
      </c>
      <c r="HA151" s="675">
        <v>0</v>
      </c>
      <c r="HB151" s="675">
        <v>260786259</v>
      </c>
      <c r="HC151" s="675">
        <v>5.0923999999999997E-2</v>
      </c>
      <c r="HD151" s="675">
        <v>94301</v>
      </c>
      <c r="HE151" s="675">
        <v>0</v>
      </c>
      <c r="HF151" s="675">
        <v>0</v>
      </c>
      <c r="HG151" s="675">
        <v>0</v>
      </c>
      <c r="HH151" s="675">
        <v>0</v>
      </c>
      <c r="HI151" s="675">
        <v>0</v>
      </c>
      <c r="HJ151" s="675">
        <v>0</v>
      </c>
      <c r="HK151" s="675">
        <v>0</v>
      </c>
      <c r="HL151" s="675">
        <v>0</v>
      </c>
      <c r="HM151" s="675">
        <v>0</v>
      </c>
      <c r="HN151" s="675">
        <v>0</v>
      </c>
      <c r="HO151" s="675">
        <v>0</v>
      </c>
      <c r="HP151" s="675">
        <v>0</v>
      </c>
      <c r="HQ151" s="675">
        <v>0</v>
      </c>
      <c r="HR151" s="675">
        <v>0</v>
      </c>
      <c r="HS151" s="675">
        <v>0</v>
      </c>
      <c r="HT151" s="675">
        <v>0</v>
      </c>
      <c r="HU151" s="675">
        <v>0</v>
      </c>
      <c r="HV151" s="675">
        <v>0</v>
      </c>
      <c r="HW151" s="675">
        <v>0</v>
      </c>
      <c r="HX151" s="675">
        <v>0</v>
      </c>
      <c r="HY151" s="675">
        <v>0</v>
      </c>
      <c r="HZ151" s="675">
        <v>0</v>
      </c>
      <c r="IA151" s="675">
        <v>0</v>
      </c>
      <c r="IB151" s="675">
        <v>0</v>
      </c>
      <c r="IC151" s="675">
        <v>0</v>
      </c>
      <c r="ID151" s="675">
        <v>0</v>
      </c>
      <c r="IE151" s="675">
        <v>0</v>
      </c>
      <c r="IF151" s="675">
        <v>0</v>
      </c>
      <c r="IG151" s="675">
        <v>0</v>
      </c>
      <c r="IH151" s="675">
        <v>0</v>
      </c>
      <c r="II151" s="675">
        <v>0</v>
      </c>
      <c r="IJ151" s="675">
        <v>0</v>
      </c>
      <c r="IK151" s="675">
        <v>0</v>
      </c>
      <c r="IL151" s="675">
        <v>0</v>
      </c>
      <c r="IM151" s="675">
        <v>0</v>
      </c>
      <c r="IN151" s="675">
        <v>0</v>
      </c>
      <c r="IO151" s="675">
        <v>0</v>
      </c>
      <c r="IP151" s="675">
        <v>0</v>
      </c>
      <c r="IQ151" s="675">
        <v>0</v>
      </c>
      <c r="IR151" s="675">
        <v>0</v>
      </c>
      <c r="IS151" s="675">
        <v>0</v>
      </c>
      <c r="IT151" s="675">
        <v>0</v>
      </c>
      <c r="IU151" s="675">
        <v>0</v>
      </c>
      <c r="IV151" s="675">
        <v>0</v>
      </c>
      <c r="IW151" s="675">
        <v>0</v>
      </c>
      <c r="IX151" s="675">
        <v>0</v>
      </c>
      <c r="IY151" s="675">
        <v>0</v>
      </c>
      <c r="IZ151" s="675">
        <v>0</v>
      </c>
      <c r="JA151" s="675">
        <v>0</v>
      </c>
      <c r="JB151" s="675">
        <v>0</v>
      </c>
      <c r="JC151" s="675">
        <v>0</v>
      </c>
      <c r="JD151" s="675">
        <v>0</v>
      </c>
      <c r="JE151" s="675">
        <v>0</v>
      </c>
      <c r="JF151" s="675">
        <v>0</v>
      </c>
      <c r="JG151" s="675">
        <v>0</v>
      </c>
      <c r="JH151" s="675">
        <v>0</v>
      </c>
      <c r="JI151" s="675">
        <v>0</v>
      </c>
      <c r="JJ151" s="675">
        <v>0</v>
      </c>
      <c r="JK151" s="675">
        <v>0</v>
      </c>
      <c r="JL151" s="675">
        <v>0</v>
      </c>
      <c r="JM151" s="675">
        <v>0</v>
      </c>
      <c r="JN151" s="675">
        <v>32469</v>
      </c>
      <c r="JO151" s="675">
        <v>0</v>
      </c>
      <c r="JP151" s="675">
        <v>0</v>
      </c>
      <c r="JQ151" s="675">
        <v>0</v>
      </c>
      <c r="JR151" s="675">
        <v>0</v>
      </c>
      <c r="JS151" s="675">
        <v>0</v>
      </c>
      <c r="JT151" s="675">
        <v>0</v>
      </c>
      <c r="JU151" s="675">
        <v>0</v>
      </c>
      <c r="JV151" s="675">
        <v>0</v>
      </c>
      <c r="JW151" s="675">
        <v>0</v>
      </c>
      <c r="JX151" s="675">
        <v>0</v>
      </c>
      <c r="JY151" s="675">
        <v>0</v>
      </c>
      <c r="JZ151" s="675">
        <v>0</v>
      </c>
      <c r="KA151" s="675">
        <v>0</v>
      </c>
      <c r="KB151" s="675">
        <v>0</v>
      </c>
      <c r="KC151" s="675">
        <v>0</v>
      </c>
      <c r="KD151" s="675">
        <v>0</v>
      </c>
      <c r="KE151" s="675">
        <v>0</v>
      </c>
      <c r="KF151" s="675">
        <v>0</v>
      </c>
    </row>
    <row r="152" spans="1:292" ht="13" x14ac:dyDescent="0.3">
      <c r="A152" s="675">
        <v>183801</v>
      </c>
      <c r="B152" s="675">
        <v>32570</v>
      </c>
      <c r="C152" s="675">
        <v>35</v>
      </c>
      <c r="D152" s="675">
        <v>2022</v>
      </c>
      <c r="E152" s="675">
        <v>5392</v>
      </c>
      <c r="F152" s="675">
        <v>0</v>
      </c>
      <c r="G152" s="675">
        <v>152.84200000000001</v>
      </c>
      <c r="H152" s="675">
        <v>128.422</v>
      </c>
      <c r="I152" s="675">
        <v>128.422</v>
      </c>
      <c r="J152" s="675">
        <v>152.84200000000001</v>
      </c>
      <c r="K152" s="675">
        <v>0</v>
      </c>
      <c r="L152" s="675">
        <v>6554</v>
      </c>
      <c r="M152" s="675">
        <v>0</v>
      </c>
      <c r="N152" s="675">
        <v>0</v>
      </c>
      <c r="O152" s="675">
        <v>0</v>
      </c>
      <c r="P152" s="675">
        <v>139.93899999999999</v>
      </c>
      <c r="Q152" s="675">
        <v>0</v>
      </c>
      <c r="R152" s="676">
        <v>44740</v>
      </c>
      <c r="S152" s="675">
        <v>319.71300000000002</v>
      </c>
      <c r="T152" s="675">
        <v>0</v>
      </c>
      <c r="U152" s="676">
        <v>44740</v>
      </c>
      <c r="V152" s="676">
        <v>0</v>
      </c>
      <c r="W152" s="676">
        <v>0</v>
      </c>
      <c r="X152" s="676">
        <v>0</v>
      </c>
      <c r="Y152" s="675">
        <v>0</v>
      </c>
      <c r="Z152" s="675">
        <v>0</v>
      </c>
      <c r="AA152" s="675">
        <v>1</v>
      </c>
      <c r="AB152" s="675">
        <v>1</v>
      </c>
      <c r="AC152" s="675">
        <v>0</v>
      </c>
      <c r="AD152" s="675" t="s">
        <v>316</v>
      </c>
      <c r="AE152" s="675">
        <v>0</v>
      </c>
      <c r="AF152" s="675">
        <v>0</v>
      </c>
      <c r="AG152" s="675">
        <v>0</v>
      </c>
      <c r="AH152" s="675">
        <v>0</v>
      </c>
      <c r="AI152" s="675">
        <v>0</v>
      </c>
      <c r="AJ152" s="675">
        <v>5104</v>
      </c>
      <c r="AK152" s="675" t="s">
        <v>671</v>
      </c>
      <c r="AL152" s="675" t="s">
        <v>72</v>
      </c>
      <c r="AM152" s="675">
        <v>0</v>
      </c>
      <c r="AN152" s="675">
        <v>0</v>
      </c>
      <c r="AO152" s="675">
        <v>0</v>
      </c>
      <c r="AP152" s="675">
        <v>0</v>
      </c>
      <c r="AQ152" s="675">
        <v>0</v>
      </c>
      <c r="AR152" s="675">
        <v>0</v>
      </c>
      <c r="AS152" s="675">
        <v>0</v>
      </c>
      <c r="AT152" s="675">
        <v>0</v>
      </c>
      <c r="AU152" s="675">
        <v>0</v>
      </c>
      <c r="AV152" s="675">
        <v>17702</v>
      </c>
      <c r="AW152" s="675">
        <v>1506566</v>
      </c>
      <c r="AX152" s="675">
        <v>1431914</v>
      </c>
      <c r="AY152" s="675">
        <v>1570747</v>
      </c>
      <c r="AZ152" s="675">
        <v>82103</v>
      </c>
      <c r="BA152" s="676">
        <v>11.583</v>
      </c>
      <c r="BB152" s="675">
        <v>6010</v>
      </c>
      <c r="BC152" s="675">
        <v>6010</v>
      </c>
      <c r="BD152" s="675">
        <v>7.6420000000000003</v>
      </c>
      <c r="BE152" s="675">
        <v>0</v>
      </c>
      <c r="BF152" s="675">
        <v>1216349</v>
      </c>
      <c r="BG152" s="675">
        <v>0</v>
      </c>
      <c r="BH152" s="676">
        <v>135.86700000000002</v>
      </c>
      <c r="BI152" s="676">
        <v>37363</v>
      </c>
      <c r="BJ152" s="675">
        <v>12</v>
      </c>
      <c r="BK152" s="675">
        <v>0</v>
      </c>
      <c r="BL152" s="675">
        <v>0</v>
      </c>
      <c r="BM152" s="675">
        <v>0</v>
      </c>
      <c r="BN152" s="675">
        <v>0</v>
      </c>
      <c r="BO152" s="675">
        <v>0</v>
      </c>
      <c r="BP152" s="675">
        <v>0</v>
      </c>
      <c r="BQ152" s="675">
        <v>5392</v>
      </c>
      <c r="BR152" s="675">
        <v>1</v>
      </c>
      <c r="BS152" s="675">
        <v>0</v>
      </c>
      <c r="BT152" s="675">
        <v>0</v>
      </c>
      <c r="BU152" s="675">
        <v>0</v>
      </c>
      <c r="BV152" s="675">
        <v>0</v>
      </c>
      <c r="BW152" s="675">
        <v>0</v>
      </c>
      <c r="BX152" s="675">
        <v>0</v>
      </c>
      <c r="BY152" s="675">
        <v>0</v>
      </c>
      <c r="BZ152" s="675">
        <v>0</v>
      </c>
      <c r="CA152" s="675">
        <v>0</v>
      </c>
      <c r="CB152" s="675">
        <v>0</v>
      </c>
      <c r="CC152" s="675">
        <v>0</v>
      </c>
      <c r="CD152" s="675">
        <v>0</v>
      </c>
      <c r="CE152" s="675">
        <v>0</v>
      </c>
      <c r="CF152" s="675">
        <v>0</v>
      </c>
      <c r="CG152" s="675">
        <v>0</v>
      </c>
      <c r="CH152" s="676">
        <v>37289</v>
      </c>
      <c r="CI152" s="675">
        <v>0</v>
      </c>
      <c r="CJ152" s="675">
        <v>4</v>
      </c>
      <c r="CK152" s="675">
        <v>0</v>
      </c>
      <c r="CL152" s="675">
        <v>0</v>
      </c>
      <c r="CM152" s="675">
        <v>0</v>
      </c>
      <c r="CN152" s="675">
        <v>0</v>
      </c>
      <c r="CO152" s="675">
        <v>0</v>
      </c>
      <c r="CP152" s="675">
        <v>9.5000000000000001E-2</v>
      </c>
      <c r="CQ152" s="675">
        <v>5.5</v>
      </c>
      <c r="CR152" s="675">
        <v>139.93899999999999</v>
      </c>
      <c r="CS152" s="675">
        <v>0</v>
      </c>
      <c r="CT152" s="675">
        <v>0</v>
      </c>
      <c r="CU152" s="675">
        <v>0</v>
      </c>
      <c r="CV152" s="675">
        <v>0</v>
      </c>
      <c r="CW152" s="675">
        <v>0</v>
      </c>
      <c r="CX152" s="675">
        <v>0</v>
      </c>
      <c r="CY152" s="675">
        <v>0</v>
      </c>
      <c r="CZ152" s="675">
        <v>0</v>
      </c>
      <c r="DA152" s="675">
        <v>1</v>
      </c>
      <c r="DB152" s="675">
        <v>841678</v>
      </c>
      <c r="DC152" s="675">
        <v>0</v>
      </c>
      <c r="DD152" s="675">
        <v>0</v>
      </c>
      <c r="DE152" s="675">
        <v>88702</v>
      </c>
      <c r="DF152" s="675">
        <v>90203</v>
      </c>
      <c r="DG152" s="675">
        <v>67.67</v>
      </c>
      <c r="DH152" s="675">
        <v>0</v>
      </c>
      <c r="DI152" s="675">
        <v>1501</v>
      </c>
      <c r="DJ152" s="675">
        <v>0</v>
      </c>
      <c r="DK152" s="675">
        <v>5392</v>
      </c>
      <c r="DL152" s="675">
        <v>0</v>
      </c>
      <c r="DM152" s="675">
        <v>97279</v>
      </c>
      <c r="DN152" s="675">
        <v>0</v>
      </c>
      <c r="DO152" s="675">
        <v>0</v>
      </c>
      <c r="DP152" s="675">
        <v>0</v>
      </c>
      <c r="DQ152" s="675">
        <v>0</v>
      </c>
      <c r="DR152" s="675">
        <v>0</v>
      </c>
      <c r="DS152" s="675">
        <v>0</v>
      </c>
      <c r="DT152" s="675">
        <v>0</v>
      </c>
      <c r="DU152" s="675">
        <v>0</v>
      </c>
      <c r="DV152" s="675">
        <v>0</v>
      </c>
      <c r="DW152" s="675">
        <v>0</v>
      </c>
      <c r="DX152" s="675">
        <v>0</v>
      </c>
      <c r="DY152" s="675">
        <v>0</v>
      </c>
      <c r="DZ152" s="675">
        <v>0</v>
      </c>
      <c r="EA152" s="675">
        <v>0</v>
      </c>
      <c r="EB152" s="675">
        <v>0</v>
      </c>
      <c r="EC152" s="675">
        <v>13.016</v>
      </c>
      <c r="ED152" s="675">
        <v>93838</v>
      </c>
      <c r="EE152" s="675">
        <v>0</v>
      </c>
      <c r="EF152" s="675">
        <v>0</v>
      </c>
      <c r="EG152" s="675">
        <v>0</v>
      </c>
      <c r="EH152" s="675">
        <v>3441</v>
      </c>
      <c r="EI152" s="675">
        <v>0</v>
      </c>
      <c r="EJ152" s="675">
        <v>0</v>
      </c>
      <c r="EK152" s="675">
        <v>0.14100000000000001</v>
      </c>
      <c r="EL152" s="675">
        <v>0</v>
      </c>
      <c r="EM152" s="675">
        <v>3.4000000000000002E-2</v>
      </c>
      <c r="EN152" s="675">
        <v>0</v>
      </c>
      <c r="EO152" s="675">
        <v>0</v>
      </c>
      <c r="EP152" s="675">
        <v>0</v>
      </c>
      <c r="EQ152" s="675">
        <v>0.17500000000000002</v>
      </c>
      <c r="ER152" s="675">
        <v>0</v>
      </c>
      <c r="ES152" s="675">
        <v>0.52500000000000002</v>
      </c>
      <c r="ET152" s="676">
        <v>7167</v>
      </c>
      <c r="EU152" s="675">
        <v>82103</v>
      </c>
      <c r="EV152" s="675">
        <v>0</v>
      </c>
      <c r="EW152" s="675">
        <v>0</v>
      </c>
      <c r="EX152" s="675">
        <v>0</v>
      </c>
      <c r="EY152" s="675">
        <v>0</v>
      </c>
      <c r="EZ152" s="675">
        <v>1205005</v>
      </c>
      <c r="FA152" s="675">
        <v>0</v>
      </c>
      <c r="FB152" s="676">
        <v>1287108</v>
      </c>
      <c r="FC152" s="675">
        <v>0.97327799999999998</v>
      </c>
      <c r="FD152" s="675">
        <v>0</v>
      </c>
      <c r="FE152" s="675">
        <v>185179</v>
      </c>
      <c r="FF152" s="675">
        <v>41730</v>
      </c>
      <c r="FG152" s="675">
        <v>6.1239999999999996E-2</v>
      </c>
      <c r="FH152" s="675">
        <v>5.4803999999999999E-2</v>
      </c>
      <c r="FI152" s="675">
        <v>0</v>
      </c>
      <c r="FJ152" s="675">
        <v>0</v>
      </c>
      <c r="FK152" s="675">
        <v>238.321</v>
      </c>
      <c r="FL152" s="675">
        <v>1551306</v>
      </c>
      <c r="FM152" s="675">
        <v>0</v>
      </c>
      <c r="FN152" s="675">
        <v>0</v>
      </c>
      <c r="FO152" s="675">
        <v>0</v>
      </c>
      <c r="FP152" s="675">
        <v>0</v>
      </c>
      <c r="FQ152" s="675">
        <v>0</v>
      </c>
      <c r="FR152" s="675">
        <v>0</v>
      </c>
      <c r="FS152" s="675">
        <v>0</v>
      </c>
      <c r="FT152" s="675">
        <v>0</v>
      </c>
      <c r="FU152" s="675">
        <v>0</v>
      </c>
      <c r="FV152" s="675">
        <v>0</v>
      </c>
      <c r="FW152" s="675">
        <v>0</v>
      </c>
      <c r="FX152" s="675">
        <v>0</v>
      </c>
      <c r="FY152" s="675">
        <v>0</v>
      </c>
      <c r="FZ152" s="675">
        <v>58</v>
      </c>
      <c r="GA152" s="675">
        <v>1.153</v>
      </c>
      <c r="GB152" s="676">
        <v>214575</v>
      </c>
      <c r="GC152" s="676">
        <v>214575</v>
      </c>
      <c r="GD152" s="676">
        <v>24.245000000000001</v>
      </c>
      <c r="GE152" s="675">
        <v>0</v>
      </c>
      <c r="GF152" s="675">
        <v>0</v>
      </c>
      <c r="GG152" s="675">
        <v>0</v>
      </c>
      <c r="GH152" s="675">
        <v>0</v>
      </c>
      <c r="GI152" s="675">
        <v>0</v>
      </c>
      <c r="GJ152" s="675">
        <v>0</v>
      </c>
      <c r="GK152" s="675">
        <v>5402</v>
      </c>
      <c r="GL152" s="675">
        <v>4530</v>
      </c>
      <c r="GM152" s="675">
        <v>0</v>
      </c>
      <c r="GN152" s="675">
        <v>0</v>
      </c>
      <c r="GO152" s="675">
        <v>0</v>
      </c>
      <c r="GP152" s="675">
        <v>1514017</v>
      </c>
      <c r="GQ152" s="675">
        <v>1514017</v>
      </c>
      <c r="GR152" s="675">
        <v>0</v>
      </c>
      <c r="GS152" s="675">
        <v>0</v>
      </c>
      <c r="GT152" s="675">
        <v>0</v>
      </c>
      <c r="GU152" s="675">
        <v>0</v>
      </c>
      <c r="GV152" s="675">
        <v>0</v>
      </c>
      <c r="GW152" s="675">
        <v>0</v>
      </c>
      <c r="GX152" s="675">
        <v>0</v>
      </c>
      <c r="GY152" s="675">
        <v>0</v>
      </c>
      <c r="GZ152" s="675">
        <v>0</v>
      </c>
      <c r="HA152" s="675">
        <v>0</v>
      </c>
      <c r="HB152" s="675">
        <v>260786259</v>
      </c>
      <c r="HC152" s="675">
        <v>5.0923999999999997E-2</v>
      </c>
      <c r="HD152" s="676">
        <v>30122</v>
      </c>
      <c r="HE152" s="675">
        <v>0</v>
      </c>
      <c r="HF152" s="675">
        <v>0</v>
      </c>
      <c r="HG152" s="675">
        <v>0</v>
      </c>
      <c r="HH152" s="675">
        <v>0</v>
      </c>
      <c r="HI152" s="675">
        <v>0</v>
      </c>
      <c r="HJ152" s="675">
        <v>0</v>
      </c>
      <c r="HK152" s="675">
        <v>0</v>
      </c>
      <c r="HL152" s="675">
        <v>0</v>
      </c>
      <c r="HM152" s="675">
        <v>0</v>
      </c>
      <c r="HN152" s="675">
        <v>0</v>
      </c>
      <c r="HO152" s="675">
        <v>0</v>
      </c>
      <c r="HP152" s="675">
        <v>0</v>
      </c>
      <c r="HQ152" s="675">
        <v>0</v>
      </c>
      <c r="HR152" s="675">
        <v>0</v>
      </c>
      <c r="HS152" s="675">
        <v>0</v>
      </c>
      <c r="HT152" s="675">
        <v>0</v>
      </c>
      <c r="HU152" s="675">
        <v>0</v>
      </c>
      <c r="HV152" s="675">
        <v>0</v>
      </c>
      <c r="HW152" s="675">
        <v>0</v>
      </c>
      <c r="HX152" s="675">
        <v>0</v>
      </c>
      <c r="HY152" s="675">
        <v>0</v>
      </c>
      <c r="HZ152" s="675">
        <v>0</v>
      </c>
      <c r="IA152" s="675">
        <v>0</v>
      </c>
      <c r="IB152" s="675">
        <v>0</v>
      </c>
      <c r="IC152" s="675">
        <v>0</v>
      </c>
      <c r="ID152" s="675">
        <v>0</v>
      </c>
      <c r="IE152" s="675">
        <v>0</v>
      </c>
      <c r="IF152" s="675">
        <v>0</v>
      </c>
      <c r="IG152" s="675">
        <v>0</v>
      </c>
      <c r="IH152" s="675">
        <v>0</v>
      </c>
      <c r="II152" s="675">
        <v>0</v>
      </c>
      <c r="IJ152" s="675">
        <v>0</v>
      </c>
      <c r="IK152" s="675">
        <v>0</v>
      </c>
      <c r="IL152" s="675">
        <v>0</v>
      </c>
      <c r="IM152" s="675">
        <v>0</v>
      </c>
      <c r="IN152" s="675">
        <v>0</v>
      </c>
      <c r="IO152" s="675">
        <v>0</v>
      </c>
      <c r="IP152" s="675">
        <v>0</v>
      </c>
      <c r="IQ152" s="675">
        <v>0</v>
      </c>
      <c r="IR152" s="675">
        <v>0</v>
      </c>
      <c r="IS152" s="675">
        <v>0</v>
      </c>
      <c r="IT152" s="675">
        <v>0</v>
      </c>
      <c r="IU152" s="675">
        <v>0</v>
      </c>
      <c r="IV152" s="675">
        <v>0</v>
      </c>
      <c r="IW152" s="675">
        <v>0</v>
      </c>
      <c r="IX152" s="675">
        <v>0</v>
      </c>
      <c r="IY152" s="675">
        <v>0</v>
      </c>
      <c r="IZ152" s="675">
        <v>0</v>
      </c>
      <c r="JA152" s="675">
        <v>0</v>
      </c>
      <c r="JB152" s="675">
        <v>0</v>
      </c>
      <c r="JC152" s="675">
        <v>0</v>
      </c>
      <c r="JD152" s="675">
        <v>0</v>
      </c>
      <c r="JE152" s="675">
        <v>0</v>
      </c>
      <c r="JF152" s="675">
        <v>0</v>
      </c>
      <c r="JG152" s="675">
        <v>0</v>
      </c>
      <c r="JH152" s="675">
        <v>0</v>
      </c>
      <c r="JI152" s="675">
        <v>0</v>
      </c>
      <c r="JJ152" s="675">
        <v>0</v>
      </c>
      <c r="JK152" s="675">
        <v>0</v>
      </c>
      <c r="JL152" s="675">
        <v>0</v>
      </c>
      <c r="JM152" s="675">
        <v>0</v>
      </c>
      <c r="JN152" s="675">
        <v>32469</v>
      </c>
      <c r="JO152" s="675">
        <v>0</v>
      </c>
      <c r="JP152" s="675">
        <v>0</v>
      </c>
      <c r="JQ152" s="675">
        <v>0</v>
      </c>
      <c r="JR152" s="675">
        <v>0</v>
      </c>
      <c r="JS152" s="675">
        <v>0</v>
      </c>
      <c r="JT152" s="675">
        <v>0</v>
      </c>
      <c r="JU152" s="675">
        <v>0</v>
      </c>
      <c r="JV152" s="675">
        <v>0</v>
      </c>
      <c r="JW152" s="675">
        <v>0</v>
      </c>
      <c r="JX152" s="675">
        <v>0</v>
      </c>
      <c r="JY152" s="675">
        <v>0</v>
      </c>
      <c r="JZ152" s="675">
        <v>0</v>
      </c>
      <c r="KA152" s="675">
        <v>0</v>
      </c>
      <c r="KB152" s="675">
        <v>0</v>
      </c>
      <c r="KC152" s="675">
        <v>0</v>
      </c>
      <c r="KD152" s="675">
        <v>0</v>
      </c>
      <c r="KE152" s="675">
        <v>0</v>
      </c>
      <c r="KF152" s="675">
        <v>0</v>
      </c>
    </row>
    <row r="153" spans="1:292" ht="13" x14ac:dyDescent="0.3">
      <c r="A153" s="675">
        <v>184801</v>
      </c>
      <c r="B153" s="675">
        <v>32570</v>
      </c>
      <c r="C153" s="675">
        <v>35</v>
      </c>
      <c r="D153" s="675">
        <v>2022</v>
      </c>
      <c r="E153" s="675">
        <v>5392</v>
      </c>
      <c r="F153" s="675">
        <v>0</v>
      </c>
      <c r="G153" s="675">
        <v>129.61600000000001</v>
      </c>
      <c r="H153" s="675">
        <v>77.893000000000001</v>
      </c>
      <c r="I153" s="675">
        <v>77.893000000000001</v>
      </c>
      <c r="J153" s="675">
        <v>129.61600000000001</v>
      </c>
      <c r="K153" s="675">
        <v>0</v>
      </c>
      <c r="L153" s="675">
        <v>6554</v>
      </c>
      <c r="M153" s="675">
        <v>0</v>
      </c>
      <c r="N153" s="675">
        <v>0</v>
      </c>
      <c r="O153" s="675">
        <v>0</v>
      </c>
      <c r="P153" s="675">
        <v>130.191</v>
      </c>
      <c r="Q153" s="675">
        <v>0</v>
      </c>
      <c r="R153" s="676">
        <v>41624</v>
      </c>
      <c r="S153" s="675">
        <v>319.71300000000002</v>
      </c>
      <c r="T153" s="675">
        <v>0</v>
      </c>
      <c r="U153" s="676">
        <v>41624</v>
      </c>
      <c r="V153" s="676">
        <v>0</v>
      </c>
      <c r="W153" s="676">
        <v>0</v>
      </c>
      <c r="X153" s="676">
        <v>0</v>
      </c>
      <c r="Y153" s="675">
        <v>0</v>
      </c>
      <c r="Z153" s="675">
        <v>0</v>
      </c>
      <c r="AA153" s="675">
        <v>1</v>
      </c>
      <c r="AB153" s="675">
        <v>1</v>
      </c>
      <c r="AC153" s="675">
        <v>0</v>
      </c>
      <c r="AD153" s="675" t="s">
        <v>316</v>
      </c>
      <c r="AE153" s="675">
        <v>0</v>
      </c>
      <c r="AF153" s="675">
        <v>0</v>
      </c>
      <c r="AG153" s="675">
        <v>0</v>
      </c>
      <c r="AH153" s="675">
        <v>0</v>
      </c>
      <c r="AI153" s="675">
        <v>0</v>
      </c>
      <c r="AJ153" s="675">
        <v>5104</v>
      </c>
      <c r="AK153" s="675" t="s">
        <v>671</v>
      </c>
      <c r="AL153" s="675" t="s">
        <v>6</v>
      </c>
      <c r="AM153" s="675">
        <v>0</v>
      </c>
      <c r="AN153" s="675">
        <v>0</v>
      </c>
      <c r="AO153" s="675">
        <v>0</v>
      </c>
      <c r="AP153" s="675">
        <v>0</v>
      </c>
      <c r="AQ153" s="675">
        <v>0</v>
      </c>
      <c r="AR153" s="675">
        <v>0</v>
      </c>
      <c r="AS153" s="675">
        <v>0</v>
      </c>
      <c r="AT153" s="675">
        <v>0</v>
      </c>
      <c r="AU153" s="675">
        <v>0</v>
      </c>
      <c r="AV153" s="675">
        <v>19781</v>
      </c>
      <c r="AW153" s="675">
        <v>1352846</v>
      </c>
      <c r="AX153" s="675">
        <v>1289366</v>
      </c>
      <c r="AY153" s="675">
        <v>1401100</v>
      </c>
      <c r="AZ153" s="675">
        <v>77268</v>
      </c>
      <c r="BA153" s="676">
        <v>3</v>
      </c>
      <c r="BB153" s="675">
        <v>0</v>
      </c>
      <c r="BC153" s="675">
        <v>0</v>
      </c>
      <c r="BD153" s="675">
        <v>0</v>
      </c>
      <c r="BE153" s="675">
        <v>0</v>
      </c>
      <c r="BF153" s="675">
        <v>1096363</v>
      </c>
      <c r="BG153" s="675">
        <v>0</v>
      </c>
      <c r="BH153" s="676">
        <v>129.614</v>
      </c>
      <c r="BI153" s="676">
        <v>35644</v>
      </c>
      <c r="BJ153" s="675">
        <v>12</v>
      </c>
      <c r="BK153" s="675">
        <v>0</v>
      </c>
      <c r="BL153" s="675">
        <v>0</v>
      </c>
      <c r="BM153" s="675">
        <v>0</v>
      </c>
      <c r="BN153" s="675">
        <v>0</v>
      </c>
      <c r="BO153" s="675">
        <v>0</v>
      </c>
      <c r="BP153" s="675">
        <v>0</v>
      </c>
      <c r="BQ153" s="675">
        <v>5392</v>
      </c>
      <c r="BR153" s="675">
        <v>1</v>
      </c>
      <c r="BS153" s="675">
        <v>0</v>
      </c>
      <c r="BT153" s="675">
        <v>0</v>
      </c>
      <c r="BU153" s="675">
        <v>0</v>
      </c>
      <c r="BV153" s="675">
        <v>0</v>
      </c>
      <c r="BW153" s="675">
        <v>0</v>
      </c>
      <c r="BX153" s="675">
        <v>0</v>
      </c>
      <c r="BY153" s="675">
        <v>0</v>
      </c>
      <c r="BZ153" s="675">
        <v>0</v>
      </c>
      <c r="CA153" s="675">
        <v>0</v>
      </c>
      <c r="CB153" s="675">
        <v>0</v>
      </c>
      <c r="CC153" s="675">
        <v>0</v>
      </c>
      <c r="CD153" s="675">
        <v>0</v>
      </c>
      <c r="CE153" s="675">
        <v>0</v>
      </c>
      <c r="CF153" s="675">
        <v>0</v>
      </c>
      <c r="CG153" s="675">
        <v>0</v>
      </c>
      <c r="CH153" s="676">
        <v>27836</v>
      </c>
      <c r="CI153" s="675">
        <v>0</v>
      </c>
      <c r="CJ153" s="675">
        <v>4</v>
      </c>
      <c r="CK153" s="675">
        <v>0</v>
      </c>
      <c r="CL153" s="675">
        <v>0</v>
      </c>
      <c r="CM153" s="675">
        <v>0</v>
      </c>
      <c r="CN153" s="675">
        <v>0</v>
      </c>
      <c r="CO153" s="675">
        <v>0</v>
      </c>
      <c r="CP153" s="675">
        <v>0.16600000000000001</v>
      </c>
      <c r="CQ153" s="675">
        <v>3.1670000000000003</v>
      </c>
      <c r="CR153" s="675">
        <v>130.191</v>
      </c>
      <c r="CS153" s="675">
        <v>0</v>
      </c>
      <c r="CT153" s="675">
        <v>0</v>
      </c>
      <c r="CU153" s="675">
        <v>0</v>
      </c>
      <c r="CV153" s="675">
        <v>0</v>
      </c>
      <c r="CW153" s="675">
        <v>0</v>
      </c>
      <c r="CX153" s="675">
        <v>0</v>
      </c>
      <c r="CY153" s="675">
        <v>0</v>
      </c>
      <c r="CZ153" s="675">
        <v>0</v>
      </c>
      <c r="DA153" s="675">
        <v>1</v>
      </c>
      <c r="DB153" s="675">
        <v>510511</v>
      </c>
      <c r="DC153" s="675">
        <v>0</v>
      </c>
      <c r="DD153" s="675">
        <v>0</v>
      </c>
      <c r="DE153" s="675">
        <v>80614</v>
      </c>
      <c r="DF153" s="675">
        <v>83236</v>
      </c>
      <c r="DG153" s="675">
        <v>61.5</v>
      </c>
      <c r="DH153" s="675">
        <v>0</v>
      </c>
      <c r="DI153" s="675">
        <v>2622</v>
      </c>
      <c r="DJ153" s="675">
        <v>0</v>
      </c>
      <c r="DK153" s="675">
        <v>5392</v>
      </c>
      <c r="DL153" s="675">
        <v>0</v>
      </c>
      <c r="DM153" s="675">
        <v>74542</v>
      </c>
      <c r="DN153" s="675">
        <v>0</v>
      </c>
      <c r="DO153" s="675">
        <v>0</v>
      </c>
      <c r="DP153" s="675">
        <v>0</v>
      </c>
      <c r="DQ153" s="675">
        <v>0</v>
      </c>
      <c r="DR153" s="675">
        <v>0</v>
      </c>
      <c r="DS153" s="675">
        <v>0</v>
      </c>
      <c r="DT153" s="675">
        <v>0</v>
      </c>
      <c r="DU153" s="675">
        <v>0</v>
      </c>
      <c r="DV153" s="675">
        <v>0</v>
      </c>
      <c r="DW153" s="675">
        <v>0</v>
      </c>
      <c r="DX153" s="675">
        <v>0</v>
      </c>
      <c r="DY153" s="675">
        <v>0</v>
      </c>
      <c r="DZ153" s="675">
        <v>0</v>
      </c>
      <c r="EA153" s="675">
        <v>0</v>
      </c>
      <c r="EB153" s="675">
        <v>0</v>
      </c>
      <c r="EC153" s="675">
        <v>10.185</v>
      </c>
      <c r="ED153" s="675">
        <v>73428</v>
      </c>
      <c r="EE153" s="675">
        <v>0</v>
      </c>
      <c r="EF153" s="675">
        <v>0</v>
      </c>
      <c r="EG153" s="675">
        <v>0</v>
      </c>
      <c r="EH153" s="675">
        <v>1114</v>
      </c>
      <c r="EI153" s="675">
        <v>0</v>
      </c>
      <c r="EJ153" s="675">
        <v>0</v>
      </c>
      <c r="EK153" s="675">
        <v>0</v>
      </c>
      <c r="EL153" s="675">
        <v>0</v>
      </c>
      <c r="EM153" s="675">
        <v>0</v>
      </c>
      <c r="EN153" s="675">
        <v>3.4000000000000002E-2</v>
      </c>
      <c r="EO153" s="675">
        <v>0</v>
      </c>
      <c r="EP153" s="675">
        <v>0</v>
      </c>
      <c r="EQ153" s="675">
        <v>3.4000000000000002E-2</v>
      </c>
      <c r="ER153" s="675">
        <v>0</v>
      </c>
      <c r="ES153" s="675">
        <v>0.17</v>
      </c>
      <c r="ET153" s="676">
        <v>2292</v>
      </c>
      <c r="EU153" s="675">
        <v>77268</v>
      </c>
      <c r="EV153" s="675">
        <v>0</v>
      </c>
      <c r="EW153" s="675">
        <v>0</v>
      </c>
      <c r="EX153" s="675">
        <v>0</v>
      </c>
      <c r="EY153" s="675">
        <v>0</v>
      </c>
      <c r="EZ153" s="675">
        <v>1084841</v>
      </c>
      <c r="FA153" s="675">
        <v>0</v>
      </c>
      <c r="FB153" s="676">
        <v>1162109</v>
      </c>
      <c r="FC153" s="675">
        <v>0.97327799999999998</v>
      </c>
      <c r="FD153" s="675">
        <v>0</v>
      </c>
      <c r="FE153" s="675">
        <v>166912</v>
      </c>
      <c r="FF153" s="675">
        <v>37613</v>
      </c>
      <c r="FG153" s="675">
        <v>6.1239999999999996E-2</v>
      </c>
      <c r="FH153" s="675">
        <v>5.4803999999999999E-2</v>
      </c>
      <c r="FI153" s="675">
        <v>0</v>
      </c>
      <c r="FJ153" s="675">
        <v>0</v>
      </c>
      <c r="FK153" s="675">
        <v>214.81200000000001</v>
      </c>
      <c r="FL153" s="675">
        <v>1394470</v>
      </c>
      <c r="FM153" s="675">
        <v>0</v>
      </c>
      <c r="FN153" s="675">
        <v>0</v>
      </c>
      <c r="FO153" s="675">
        <v>0</v>
      </c>
      <c r="FP153" s="675">
        <v>0</v>
      </c>
      <c r="FQ153" s="675">
        <v>0</v>
      </c>
      <c r="FR153" s="675">
        <v>0</v>
      </c>
      <c r="FS153" s="675">
        <v>0</v>
      </c>
      <c r="FT153" s="675">
        <v>0</v>
      </c>
      <c r="FU153" s="675">
        <v>0</v>
      </c>
      <c r="FV153" s="675">
        <v>0</v>
      </c>
      <c r="FW153" s="675">
        <v>0</v>
      </c>
      <c r="FX153" s="675">
        <v>0</v>
      </c>
      <c r="FY153" s="675">
        <v>0</v>
      </c>
      <c r="FZ153" s="675">
        <v>836</v>
      </c>
      <c r="GA153" s="675">
        <v>16.728000000000002</v>
      </c>
      <c r="GB153" s="676">
        <v>458176</v>
      </c>
      <c r="GC153" s="676">
        <v>458176</v>
      </c>
      <c r="GD153" s="676">
        <v>51.689</v>
      </c>
      <c r="GE153" s="675">
        <v>0</v>
      </c>
      <c r="GF153" s="675">
        <v>0</v>
      </c>
      <c r="GG153" s="675">
        <v>0</v>
      </c>
      <c r="GH153" s="675">
        <v>0</v>
      </c>
      <c r="GI153" s="675">
        <v>0</v>
      </c>
      <c r="GJ153" s="675">
        <v>0</v>
      </c>
      <c r="GK153" s="675">
        <v>5285</v>
      </c>
      <c r="GL153" s="675">
        <v>4613</v>
      </c>
      <c r="GM153" s="675">
        <v>0</v>
      </c>
      <c r="GN153" s="675">
        <v>0</v>
      </c>
      <c r="GO153" s="675">
        <v>0</v>
      </c>
      <c r="GP153" s="675">
        <v>1366634</v>
      </c>
      <c r="GQ153" s="675">
        <v>1366634</v>
      </c>
      <c r="GR153" s="675">
        <v>0</v>
      </c>
      <c r="GS153" s="675">
        <v>0</v>
      </c>
      <c r="GT153" s="675">
        <v>0</v>
      </c>
      <c r="GU153" s="675">
        <v>0</v>
      </c>
      <c r="GV153" s="675">
        <v>0</v>
      </c>
      <c r="GW153" s="675">
        <v>0</v>
      </c>
      <c r="GX153" s="675">
        <v>0</v>
      </c>
      <c r="GY153" s="675">
        <v>0</v>
      </c>
      <c r="GZ153" s="675">
        <v>0</v>
      </c>
      <c r="HA153" s="675">
        <v>0</v>
      </c>
      <c r="HB153" s="675">
        <v>260786259</v>
      </c>
      <c r="HC153" s="675">
        <v>5.0923999999999997E-2</v>
      </c>
      <c r="HD153" s="676">
        <v>25544</v>
      </c>
      <c r="HE153" s="675">
        <v>0</v>
      </c>
      <c r="HF153" s="675">
        <v>0</v>
      </c>
      <c r="HG153" s="675">
        <v>0</v>
      </c>
      <c r="HH153" s="675">
        <v>0</v>
      </c>
      <c r="HI153" s="675">
        <v>0</v>
      </c>
      <c r="HJ153" s="675">
        <v>0</v>
      </c>
      <c r="HK153" s="675">
        <v>0</v>
      </c>
      <c r="HL153" s="675">
        <v>0</v>
      </c>
      <c r="HM153" s="675">
        <v>0</v>
      </c>
      <c r="HN153" s="675">
        <v>0</v>
      </c>
      <c r="HO153" s="675">
        <v>0</v>
      </c>
      <c r="HP153" s="675">
        <v>0</v>
      </c>
      <c r="HQ153" s="675">
        <v>0</v>
      </c>
      <c r="HR153" s="675">
        <v>0</v>
      </c>
      <c r="HS153" s="675">
        <v>0</v>
      </c>
      <c r="HT153" s="675">
        <v>0</v>
      </c>
      <c r="HU153" s="675">
        <v>0</v>
      </c>
      <c r="HV153" s="675">
        <v>0</v>
      </c>
      <c r="HW153" s="675">
        <v>0</v>
      </c>
      <c r="HX153" s="675">
        <v>0</v>
      </c>
      <c r="HY153" s="675">
        <v>0</v>
      </c>
      <c r="HZ153" s="675">
        <v>0</v>
      </c>
      <c r="IA153" s="675">
        <v>0</v>
      </c>
      <c r="IB153" s="675">
        <v>0</v>
      </c>
      <c r="IC153" s="675">
        <v>0</v>
      </c>
      <c r="ID153" s="675">
        <v>0</v>
      </c>
      <c r="IE153" s="675">
        <v>0</v>
      </c>
      <c r="IF153" s="675">
        <v>0</v>
      </c>
      <c r="IG153" s="675">
        <v>0</v>
      </c>
      <c r="IH153" s="675">
        <v>0</v>
      </c>
      <c r="II153" s="675">
        <v>0</v>
      </c>
      <c r="IJ153" s="675">
        <v>0</v>
      </c>
      <c r="IK153" s="675">
        <v>0</v>
      </c>
      <c r="IL153" s="675">
        <v>0</v>
      </c>
      <c r="IM153" s="675">
        <v>0</v>
      </c>
      <c r="IN153" s="675">
        <v>0</v>
      </c>
      <c r="IO153" s="675">
        <v>0</v>
      </c>
      <c r="IP153" s="675">
        <v>0</v>
      </c>
      <c r="IQ153" s="675">
        <v>0</v>
      </c>
      <c r="IR153" s="675">
        <v>0</v>
      </c>
      <c r="IS153" s="675">
        <v>0</v>
      </c>
      <c r="IT153" s="675">
        <v>0</v>
      </c>
      <c r="IU153" s="675">
        <v>0</v>
      </c>
      <c r="IV153" s="675">
        <v>0</v>
      </c>
      <c r="IW153" s="675">
        <v>0</v>
      </c>
      <c r="IX153" s="675">
        <v>0</v>
      </c>
      <c r="IY153" s="675">
        <v>0</v>
      </c>
      <c r="IZ153" s="675">
        <v>0</v>
      </c>
      <c r="JA153" s="675">
        <v>0</v>
      </c>
      <c r="JB153" s="675">
        <v>0</v>
      </c>
      <c r="JC153" s="675">
        <v>0</v>
      </c>
      <c r="JD153" s="675">
        <v>0</v>
      </c>
      <c r="JE153" s="675">
        <v>0</v>
      </c>
      <c r="JF153" s="675">
        <v>0</v>
      </c>
      <c r="JG153" s="675">
        <v>0</v>
      </c>
      <c r="JH153" s="675">
        <v>0</v>
      </c>
      <c r="JI153" s="675">
        <v>0</v>
      </c>
      <c r="JJ153" s="675">
        <v>0</v>
      </c>
      <c r="JK153" s="675">
        <v>0</v>
      </c>
      <c r="JL153" s="675">
        <v>0</v>
      </c>
      <c r="JM153" s="675">
        <v>0</v>
      </c>
      <c r="JN153" s="675">
        <v>32469</v>
      </c>
      <c r="JO153" s="675">
        <v>0</v>
      </c>
      <c r="JP153" s="675">
        <v>0</v>
      </c>
      <c r="JQ153" s="675">
        <v>0</v>
      </c>
      <c r="JR153" s="675">
        <v>0</v>
      </c>
      <c r="JS153" s="675">
        <v>0</v>
      </c>
      <c r="JT153" s="675">
        <v>0</v>
      </c>
      <c r="JU153" s="675">
        <v>0</v>
      </c>
      <c r="JV153" s="675">
        <v>0</v>
      </c>
      <c r="JW153" s="675">
        <v>0</v>
      </c>
      <c r="JX153" s="675">
        <v>0</v>
      </c>
      <c r="JY153" s="675">
        <v>0</v>
      </c>
      <c r="JZ153" s="675">
        <v>0</v>
      </c>
      <c r="KA153" s="675">
        <v>0</v>
      </c>
      <c r="KB153" s="675">
        <v>0</v>
      </c>
      <c r="KC153" s="675">
        <v>0</v>
      </c>
      <c r="KD153" s="675">
        <v>0</v>
      </c>
      <c r="KE153" s="675">
        <v>0</v>
      </c>
      <c r="KF153" s="675">
        <v>0</v>
      </c>
    </row>
    <row r="154" spans="1:292" ht="13" x14ac:dyDescent="0.3">
      <c r="A154" s="675">
        <v>193801</v>
      </c>
      <c r="B154" s="675">
        <v>32570</v>
      </c>
      <c r="C154" s="675">
        <v>35</v>
      </c>
      <c r="D154" s="675">
        <v>2022</v>
      </c>
      <c r="E154" s="675">
        <v>5392</v>
      </c>
      <c r="F154" s="675">
        <v>0</v>
      </c>
      <c r="G154" s="675">
        <v>197.96900000000002</v>
      </c>
      <c r="H154" s="675">
        <v>129.541</v>
      </c>
      <c r="I154" s="675">
        <v>129.541</v>
      </c>
      <c r="J154" s="675">
        <v>197.96900000000002</v>
      </c>
      <c r="K154" s="675">
        <v>0</v>
      </c>
      <c r="L154" s="675">
        <v>6554</v>
      </c>
      <c r="M154" s="675">
        <v>0</v>
      </c>
      <c r="N154" s="675">
        <v>0</v>
      </c>
      <c r="O154" s="675">
        <v>0</v>
      </c>
      <c r="P154" s="675">
        <v>202.74100000000001</v>
      </c>
      <c r="Q154" s="675">
        <v>0</v>
      </c>
      <c r="R154" s="676">
        <v>64819</v>
      </c>
      <c r="S154" s="675">
        <v>319.71300000000002</v>
      </c>
      <c r="T154" s="675">
        <v>0</v>
      </c>
      <c r="U154" s="676">
        <v>64819</v>
      </c>
      <c r="V154" s="676">
        <v>3.6740000000000004</v>
      </c>
      <c r="W154" s="676">
        <v>2408</v>
      </c>
      <c r="X154" s="676">
        <v>2408</v>
      </c>
      <c r="Y154" s="675">
        <v>0</v>
      </c>
      <c r="Z154" s="675">
        <v>0</v>
      </c>
      <c r="AA154" s="675">
        <v>1</v>
      </c>
      <c r="AB154" s="675">
        <v>1</v>
      </c>
      <c r="AC154" s="675">
        <v>0</v>
      </c>
      <c r="AD154" s="675" t="s">
        <v>316</v>
      </c>
      <c r="AE154" s="675">
        <v>0</v>
      </c>
      <c r="AF154" s="675">
        <v>0</v>
      </c>
      <c r="AG154" s="675">
        <v>0</v>
      </c>
      <c r="AH154" s="675">
        <v>0</v>
      </c>
      <c r="AI154" s="675">
        <v>0</v>
      </c>
      <c r="AJ154" s="675">
        <v>5104</v>
      </c>
      <c r="AK154" s="675" t="s">
        <v>671</v>
      </c>
      <c r="AL154" s="675" t="s">
        <v>73</v>
      </c>
      <c r="AM154" s="675">
        <v>0</v>
      </c>
      <c r="AN154" s="675">
        <v>0</v>
      </c>
      <c r="AO154" s="675">
        <v>0</v>
      </c>
      <c r="AP154" s="675">
        <v>0</v>
      </c>
      <c r="AQ154" s="675">
        <v>0</v>
      </c>
      <c r="AR154" s="675">
        <v>0</v>
      </c>
      <c r="AS154" s="675">
        <v>0</v>
      </c>
      <c r="AT154" s="675">
        <v>0</v>
      </c>
      <c r="AU154" s="675">
        <v>0</v>
      </c>
      <c r="AV154" s="675">
        <v>177184</v>
      </c>
      <c r="AW154" s="675">
        <v>3394050</v>
      </c>
      <c r="AX154" s="675">
        <v>3322583</v>
      </c>
      <c r="AY154" s="675">
        <v>3465977</v>
      </c>
      <c r="AZ154" s="675">
        <v>85354</v>
      </c>
      <c r="BA154" s="676">
        <v>23.833000000000002</v>
      </c>
      <c r="BB154" s="675">
        <v>0</v>
      </c>
      <c r="BC154" s="675">
        <v>0</v>
      </c>
      <c r="BD154" s="675">
        <v>0</v>
      </c>
      <c r="BE154" s="675">
        <v>0</v>
      </c>
      <c r="BF154" s="675">
        <v>2751952</v>
      </c>
      <c r="BG154" s="675">
        <v>0</v>
      </c>
      <c r="BH154" s="676">
        <v>74.674000000000007</v>
      </c>
      <c r="BI154" s="676">
        <v>20535</v>
      </c>
      <c r="BJ154" s="675">
        <v>12</v>
      </c>
      <c r="BK154" s="675">
        <v>0</v>
      </c>
      <c r="BL154" s="675">
        <v>0</v>
      </c>
      <c r="BM154" s="675">
        <v>0</v>
      </c>
      <c r="BN154" s="675">
        <v>0</v>
      </c>
      <c r="BO154" s="675">
        <v>0</v>
      </c>
      <c r="BP154" s="675">
        <v>0</v>
      </c>
      <c r="BQ154" s="675">
        <v>5392</v>
      </c>
      <c r="BR154" s="675">
        <v>1</v>
      </c>
      <c r="BS154" s="675">
        <v>0</v>
      </c>
      <c r="BT154" s="675">
        <v>0</v>
      </c>
      <c r="BU154" s="675">
        <v>0</v>
      </c>
      <c r="BV154" s="675">
        <v>0</v>
      </c>
      <c r="BW154" s="675">
        <v>0</v>
      </c>
      <c r="BX154" s="675">
        <v>0</v>
      </c>
      <c r="BY154" s="675">
        <v>0</v>
      </c>
      <c r="BZ154" s="675">
        <v>0</v>
      </c>
      <c r="CA154" s="675">
        <v>0</v>
      </c>
      <c r="CB154" s="675">
        <v>0</v>
      </c>
      <c r="CC154" s="675">
        <v>0</v>
      </c>
      <c r="CD154" s="675">
        <v>0</v>
      </c>
      <c r="CE154" s="675">
        <v>0</v>
      </c>
      <c r="CF154" s="675">
        <v>0</v>
      </c>
      <c r="CG154" s="675">
        <v>0</v>
      </c>
      <c r="CH154" s="676">
        <v>50932</v>
      </c>
      <c r="CI154" s="675">
        <v>0</v>
      </c>
      <c r="CJ154" s="675">
        <v>4</v>
      </c>
      <c r="CK154" s="675">
        <v>0</v>
      </c>
      <c r="CL154" s="675">
        <v>0</v>
      </c>
      <c r="CM154" s="675">
        <v>0</v>
      </c>
      <c r="CN154" s="675">
        <v>0</v>
      </c>
      <c r="CO154" s="675">
        <v>0</v>
      </c>
      <c r="CP154" s="675">
        <v>0</v>
      </c>
      <c r="CQ154" s="675">
        <v>0</v>
      </c>
      <c r="CR154" s="675">
        <v>202.74100000000001</v>
      </c>
      <c r="CS154" s="675">
        <v>0</v>
      </c>
      <c r="CT154" s="675">
        <v>0</v>
      </c>
      <c r="CU154" s="675">
        <v>0</v>
      </c>
      <c r="CV154" s="675">
        <v>0</v>
      </c>
      <c r="CW154" s="675">
        <v>0</v>
      </c>
      <c r="CX154" s="675">
        <v>0</v>
      </c>
      <c r="CY154" s="675">
        <v>0</v>
      </c>
      <c r="CZ154" s="675">
        <v>0</v>
      </c>
      <c r="DA154" s="675">
        <v>1</v>
      </c>
      <c r="DB154" s="675">
        <v>849012</v>
      </c>
      <c r="DC154" s="675">
        <v>0</v>
      </c>
      <c r="DD154" s="675">
        <v>0</v>
      </c>
      <c r="DE154" s="675">
        <v>265437</v>
      </c>
      <c r="DF154" s="675">
        <v>265437</v>
      </c>
      <c r="DG154" s="675">
        <v>202.5</v>
      </c>
      <c r="DH154" s="675">
        <v>0</v>
      </c>
      <c r="DI154" s="675">
        <v>0</v>
      </c>
      <c r="DJ154" s="675">
        <v>0</v>
      </c>
      <c r="DK154" s="675">
        <v>5392</v>
      </c>
      <c r="DL154" s="675">
        <v>0</v>
      </c>
      <c r="DM154" s="675">
        <v>1709060</v>
      </c>
      <c r="DN154" s="675">
        <v>0</v>
      </c>
      <c r="DO154" s="675">
        <v>0</v>
      </c>
      <c r="DP154" s="675">
        <v>0</v>
      </c>
      <c r="DQ154" s="675">
        <v>0</v>
      </c>
      <c r="DR154" s="675">
        <v>0</v>
      </c>
      <c r="DS154" s="675">
        <v>0</v>
      </c>
      <c r="DT154" s="675">
        <v>0</v>
      </c>
      <c r="DU154" s="675">
        <v>0</v>
      </c>
      <c r="DV154" s="675">
        <v>0</v>
      </c>
      <c r="DW154" s="675">
        <v>0</v>
      </c>
      <c r="DX154" s="675">
        <v>0</v>
      </c>
      <c r="DY154" s="675">
        <v>0</v>
      </c>
      <c r="DZ154" s="675">
        <v>0</v>
      </c>
      <c r="EA154" s="675">
        <v>0</v>
      </c>
      <c r="EB154" s="675">
        <v>0</v>
      </c>
      <c r="EC154" s="675">
        <v>3.9090000000000003</v>
      </c>
      <c r="ED154" s="675">
        <v>28182</v>
      </c>
      <c r="EE154" s="675">
        <v>0</v>
      </c>
      <c r="EF154" s="675">
        <v>0</v>
      </c>
      <c r="EG154" s="675">
        <v>0</v>
      </c>
      <c r="EH154" s="675">
        <v>346641</v>
      </c>
      <c r="EI154" s="675">
        <v>1334237</v>
      </c>
      <c r="EJ154" s="675">
        <v>50.894000000000005</v>
      </c>
      <c r="EK154" s="675">
        <v>16.490000000000002</v>
      </c>
      <c r="EL154" s="675">
        <v>0</v>
      </c>
      <c r="EM154" s="675">
        <v>0.45</v>
      </c>
      <c r="EN154" s="675">
        <v>0.41400000000000003</v>
      </c>
      <c r="EO154" s="675">
        <v>0</v>
      </c>
      <c r="EP154" s="675">
        <v>0</v>
      </c>
      <c r="EQ154" s="675">
        <v>68.248000000000005</v>
      </c>
      <c r="ER154" s="675">
        <v>0</v>
      </c>
      <c r="ES154" s="675">
        <v>52.89</v>
      </c>
      <c r="ET154" s="676">
        <v>11917</v>
      </c>
      <c r="EU154" s="675">
        <v>85354</v>
      </c>
      <c r="EV154" s="675">
        <v>0</v>
      </c>
      <c r="EW154" s="675">
        <v>0</v>
      </c>
      <c r="EX154" s="675">
        <v>0</v>
      </c>
      <c r="EY154" s="675">
        <v>0</v>
      </c>
      <c r="EZ154" s="675">
        <v>2809207</v>
      </c>
      <c r="FA154" s="675">
        <v>0</v>
      </c>
      <c r="FB154" s="676">
        <v>2894561</v>
      </c>
      <c r="FC154" s="675">
        <v>0.97327799999999998</v>
      </c>
      <c r="FD154" s="675">
        <v>0</v>
      </c>
      <c r="FE154" s="675">
        <v>418963</v>
      </c>
      <c r="FF154" s="675">
        <v>94413</v>
      </c>
      <c r="FG154" s="675">
        <v>6.1239999999999996E-2</v>
      </c>
      <c r="FH154" s="675">
        <v>5.4803999999999999E-2</v>
      </c>
      <c r="FI154" s="675">
        <v>0</v>
      </c>
      <c r="FJ154" s="675">
        <v>0</v>
      </c>
      <c r="FK154" s="675">
        <v>539.19400000000007</v>
      </c>
      <c r="FL154" s="675">
        <v>3458869</v>
      </c>
      <c r="FM154" s="675">
        <v>0</v>
      </c>
      <c r="FN154" s="675">
        <v>0</v>
      </c>
      <c r="FO154" s="675">
        <v>46516</v>
      </c>
      <c r="FP154" s="675">
        <v>0</v>
      </c>
      <c r="FQ154" s="675">
        <v>46516</v>
      </c>
      <c r="FR154" s="675">
        <v>46516</v>
      </c>
      <c r="FS154" s="675">
        <v>0</v>
      </c>
      <c r="FT154" s="675">
        <v>0</v>
      </c>
      <c r="FU154" s="675">
        <v>0</v>
      </c>
      <c r="FV154" s="675">
        <v>0</v>
      </c>
      <c r="FW154" s="675">
        <v>0</v>
      </c>
      <c r="FX154" s="675">
        <v>0</v>
      </c>
      <c r="FY154" s="675">
        <v>0</v>
      </c>
      <c r="FZ154" s="675">
        <v>0</v>
      </c>
      <c r="GA154" s="675">
        <v>0</v>
      </c>
      <c r="GB154" s="676">
        <v>1593</v>
      </c>
      <c r="GC154" s="676">
        <v>1593</v>
      </c>
      <c r="GD154" s="676">
        <v>0.18</v>
      </c>
      <c r="GE154" s="675">
        <v>0</v>
      </c>
      <c r="GF154" s="675">
        <v>0</v>
      </c>
      <c r="GG154" s="675">
        <v>0</v>
      </c>
      <c r="GH154" s="675">
        <v>0</v>
      </c>
      <c r="GI154" s="675">
        <v>0</v>
      </c>
      <c r="GJ154" s="675">
        <v>0</v>
      </c>
      <c r="GK154" s="675">
        <v>5089</v>
      </c>
      <c r="GL154" s="675">
        <v>12523</v>
      </c>
      <c r="GM154" s="675">
        <v>0</v>
      </c>
      <c r="GN154" s="675">
        <v>4162</v>
      </c>
      <c r="GO154" s="675">
        <v>0</v>
      </c>
      <c r="GP154" s="675">
        <v>3407937</v>
      </c>
      <c r="GQ154" s="675">
        <v>3407937</v>
      </c>
      <c r="GR154" s="675">
        <v>0</v>
      </c>
      <c r="GS154" s="675">
        <v>0</v>
      </c>
      <c r="GT154" s="675">
        <v>0</v>
      </c>
      <c r="GU154" s="675">
        <v>0</v>
      </c>
      <c r="GV154" s="675">
        <v>0</v>
      </c>
      <c r="GW154" s="675">
        <v>0</v>
      </c>
      <c r="GX154" s="675">
        <v>0</v>
      </c>
      <c r="GY154" s="675">
        <v>0</v>
      </c>
      <c r="GZ154" s="675">
        <v>0</v>
      </c>
      <c r="HA154" s="675">
        <v>0</v>
      </c>
      <c r="HB154" s="675">
        <v>260786259</v>
      </c>
      <c r="HC154" s="675">
        <v>5.0923999999999997E-2</v>
      </c>
      <c r="HD154" s="676">
        <v>39015</v>
      </c>
      <c r="HE154" s="675">
        <v>0</v>
      </c>
      <c r="HF154" s="675">
        <v>0</v>
      </c>
      <c r="HG154" s="675">
        <v>0</v>
      </c>
      <c r="HH154" s="675">
        <v>0</v>
      </c>
      <c r="HI154" s="675">
        <v>0</v>
      </c>
      <c r="HJ154" s="675">
        <v>0</v>
      </c>
      <c r="HK154" s="675">
        <v>0</v>
      </c>
      <c r="HL154" s="675">
        <v>0</v>
      </c>
      <c r="HM154" s="675">
        <v>0</v>
      </c>
      <c r="HN154" s="675">
        <v>0</v>
      </c>
      <c r="HO154" s="675">
        <v>0</v>
      </c>
      <c r="HP154" s="675">
        <v>0</v>
      </c>
      <c r="HQ154" s="675">
        <v>0</v>
      </c>
      <c r="HR154" s="675">
        <v>0</v>
      </c>
      <c r="HS154" s="675">
        <v>0</v>
      </c>
      <c r="HT154" s="675">
        <v>0</v>
      </c>
      <c r="HU154" s="675">
        <v>0</v>
      </c>
      <c r="HV154" s="675">
        <v>0</v>
      </c>
      <c r="HW154" s="675">
        <v>0</v>
      </c>
      <c r="HX154" s="675">
        <v>0</v>
      </c>
      <c r="HY154" s="675">
        <v>0</v>
      </c>
      <c r="HZ154" s="675">
        <v>0</v>
      </c>
      <c r="IA154" s="675">
        <v>0</v>
      </c>
      <c r="IB154" s="675">
        <v>0</v>
      </c>
      <c r="IC154" s="675">
        <v>0</v>
      </c>
      <c r="ID154" s="675">
        <v>0</v>
      </c>
      <c r="IE154" s="675">
        <v>0</v>
      </c>
      <c r="IF154" s="675">
        <v>0</v>
      </c>
      <c r="IG154" s="675">
        <v>0</v>
      </c>
      <c r="IH154" s="675">
        <v>0</v>
      </c>
      <c r="II154" s="675">
        <v>0</v>
      </c>
      <c r="IJ154" s="675">
        <v>0</v>
      </c>
      <c r="IK154" s="675">
        <v>0</v>
      </c>
      <c r="IL154" s="675">
        <v>0</v>
      </c>
      <c r="IM154" s="675">
        <v>0</v>
      </c>
      <c r="IN154" s="675">
        <v>0</v>
      </c>
      <c r="IO154" s="675">
        <v>0</v>
      </c>
      <c r="IP154" s="675">
        <v>0</v>
      </c>
      <c r="IQ154" s="675">
        <v>0</v>
      </c>
      <c r="IR154" s="675">
        <v>0</v>
      </c>
      <c r="IS154" s="675">
        <v>0</v>
      </c>
      <c r="IT154" s="675">
        <v>0</v>
      </c>
      <c r="IU154" s="675">
        <v>0</v>
      </c>
      <c r="IV154" s="675">
        <v>0</v>
      </c>
      <c r="IW154" s="675">
        <v>0</v>
      </c>
      <c r="IX154" s="675">
        <v>0</v>
      </c>
      <c r="IY154" s="675">
        <v>0</v>
      </c>
      <c r="IZ154" s="675">
        <v>0</v>
      </c>
      <c r="JA154" s="675">
        <v>0</v>
      </c>
      <c r="JB154" s="675">
        <v>0</v>
      </c>
      <c r="JC154" s="675">
        <v>0</v>
      </c>
      <c r="JD154" s="675">
        <v>0</v>
      </c>
      <c r="JE154" s="675">
        <v>0</v>
      </c>
      <c r="JF154" s="675">
        <v>0</v>
      </c>
      <c r="JG154" s="675">
        <v>0</v>
      </c>
      <c r="JH154" s="675">
        <v>0</v>
      </c>
      <c r="JI154" s="675">
        <v>0</v>
      </c>
      <c r="JJ154" s="675">
        <v>0</v>
      </c>
      <c r="JK154" s="675">
        <v>0</v>
      </c>
      <c r="JL154" s="675">
        <v>0</v>
      </c>
      <c r="JM154" s="675">
        <v>0</v>
      </c>
      <c r="JN154" s="675">
        <v>32469</v>
      </c>
      <c r="JO154" s="675">
        <v>0</v>
      </c>
      <c r="JP154" s="675">
        <v>0</v>
      </c>
      <c r="JQ154" s="675">
        <v>0</v>
      </c>
      <c r="JR154" s="675">
        <v>0</v>
      </c>
      <c r="JS154" s="675">
        <v>0</v>
      </c>
      <c r="JT154" s="675">
        <v>0</v>
      </c>
      <c r="JU154" s="675">
        <v>0</v>
      </c>
      <c r="JV154" s="675">
        <v>0</v>
      </c>
      <c r="JW154" s="675">
        <v>0</v>
      </c>
      <c r="JX154" s="675">
        <v>0</v>
      </c>
      <c r="JY154" s="675">
        <v>0</v>
      </c>
      <c r="JZ154" s="675">
        <v>0</v>
      </c>
      <c r="KA154" s="675">
        <v>0</v>
      </c>
      <c r="KB154" s="675">
        <v>0</v>
      </c>
      <c r="KC154" s="675">
        <v>0</v>
      </c>
      <c r="KD154" s="675">
        <v>0</v>
      </c>
      <c r="KE154" s="675">
        <v>0</v>
      </c>
      <c r="KF154" s="675">
        <v>0</v>
      </c>
    </row>
    <row r="155" spans="1:292" ht="13" x14ac:dyDescent="0.3">
      <c r="A155" s="675">
        <v>212801</v>
      </c>
      <c r="B155" s="675">
        <v>32570</v>
      </c>
      <c r="C155" s="675">
        <v>35</v>
      </c>
      <c r="D155" s="675">
        <v>2022</v>
      </c>
      <c r="E155" s="675">
        <v>5392</v>
      </c>
      <c r="F155" s="675">
        <v>0</v>
      </c>
      <c r="G155" s="675">
        <v>1876.1570000000002</v>
      </c>
      <c r="H155" s="675">
        <v>1590.116</v>
      </c>
      <c r="I155" s="675">
        <v>1590.116</v>
      </c>
      <c r="J155" s="675">
        <v>1876.1570000000002</v>
      </c>
      <c r="K155" s="675">
        <v>0</v>
      </c>
      <c r="L155" s="675">
        <v>6554</v>
      </c>
      <c r="M155" s="675">
        <v>0</v>
      </c>
      <c r="N155" s="675">
        <v>0</v>
      </c>
      <c r="O155" s="675">
        <v>0</v>
      </c>
      <c r="P155" s="675">
        <v>1823.81</v>
      </c>
      <c r="Q155" s="675">
        <v>0</v>
      </c>
      <c r="R155" s="676">
        <v>583096</v>
      </c>
      <c r="S155" s="675">
        <v>319.71300000000002</v>
      </c>
      <c r="T155" s="675">
        <v>0</v>
      </c>
      <c r="U155" s="676">
        <v>583096</v>
      </c>
      <c r="V155" s="676">
        <v>123.08</v>
      </c>
      <c r="W155" s="676">
        <v>80667</v>
      </c>
      <c r="X155" s="676">
        <v>80667</v>
      </c>
      <c r="Y155" s="675">
        <v>0</v>
      </c>
      <c r="Z155" s="675">
        <v>0</v>
      </c>
      <c r="AA155" s="675">
        <v>1</v>
      </c>
      <c r="AB155" s="675">
        <v>1</v>
      </c>
      <c r="AC155" s="675">
        <v>0</v>
      </c>
      <c r="AD155" s="675" t="s">
        <v>316</v>
      </c>
      <c r="AE155" s="675">
        <v>0</v>
      </c>
      <c r="AF155" s="675">
        <v>0</v>
      </c>
      <c r="AG155" s="675">
        <v>0</v>
      </c>
      <c r="AH155" s="675">
        <v>0</v>
      </c>
      <c r="AI155" s="675">
        <v>0</v>
      </c>
      <c r="AJ155" s="675">
        <v>5104</v>
      </c>
      <c r="AK155" s="675" t="s">
        <v>671</v>
      </c>
      <c r="AL155" s="675" t="s">
        <v>74</v>
      </c>
      <c r="AM155" s="675">
        <v>0</v>
      </c>
      <c r="AN155" s="675">
        <v>0</v>
      </c>
      <c r="AO155" s="675">
        <v>0</v>
      </c>
      <c r="AP155" s="675">
        <v>0</v>
      </c>
      <c r="AQ155" s="675">
        <v>0</v>
      </c>
      <c r="AR155" s="675">
        <v>0</v>
      </c>
      <c r="AS155" s="675">
        <v>0</v>
      </c>
      <c r="AT155" s="675">
        <v>0</v>
      </c>
      <c r="AU155" s="675">
        <v>0</v>
      </c>
      <c r="AV155" s="675">
        <v>279952</v>
      </c>
      <c r="AW155" s="675">
        <v>17973765</v>
      </c>
      <c r="AX155" s="675">
        <v>17387469</v>
      </c>
      <c r="AY155" s="675">
        <v>18606471</v>
      </c>
      <c r="AZ155" s="675">
        <v>778560</v>
      </c>
      <c r="BA155" s="676">
        <v>41.333000000000006</v>
      </c>
      <c r="BB155" s="675">
        <v>0</v>
      </c>
      <c r="BC155" s="675">
        <v>0</v>
      </c>
      <c r="BD155" s="675">
        <v>0</v>
      </c>
      <c r="BE155" s="675">
        <v>0</v>
      </c>
      <c r="BF155" s="675">
        <v>14802702</v>
      </c>
      <c r="BG155" s="675">
        <v>0</v>
      </c>
      <c r="BH155" s="676">
        <v>671.51100000000008</v>
      </c>
      <c r="BI155" s="676">
        <v>184666</v>
      </c>
      <c r="BJ155" s="675">
        <v>12</v>
      </c>
      <c r="BK155" s="675">
        <v>0</v>
      </c>
      <c r="BL155" s="675">
        <v>0</v>
      </c>
      <c r="BM155" s="675">
        <v>0</v>
      </c>
      <c r="BN155" s="675">
        <v>0</v>
      </c>
      <c r="BO155" s="675">
        <v>0</v>
      </c>
      <c r="BP155" s="675">
        <v>0</v>
      </c>
      <c r="BQ155" s="675">
        <v>5392</v>
      </c>
      <c r="BR155" s="675">
        <v>1</v>
      </c>
      <c r="BS155" s="675">
        <v>0</v>
      </c>
      <c r="BT155" s="675">
        <v>0</v>
      </c>
      <c r="BU155" s="675">
        <v>0</v>
      </c>
      <c r="BV155" s="675">
        <v>0</v>
      </c>
      <c r="BW155" s="675">
        <v>0</v>
      </c>
      <c r="BX155" s="675">
        <v>0</v>
      </c>
      <c r="BY155" s="675">
        <v>0</v>
      </c>
      <c r="BZ155" s="675">
        <v>0</v>
      </c>
      <c r="CA155" s="675">
        <v>28.247</v>
      </c>
      <c r="CB155" s="675">
        <v>10798</v>
      </c>
      <c r="CC155" s="675">
        <v>0</v>
      </c>
      <c r="CD155" s="675">
        <v>0</v>
      </c>
      <c r="CE155" s="675">
        <v>0</v>
      </c>
      <c r="CF155" s="675">
        <v>0</v>
      </c>
      <c r="CG155" s="675">
        <v>0</v>
      </c>
      <c r="CH155" s="676">
        <v>390832</v>
      </c>
      <c r="CI155" s="675">
        <v>0</v>
      </c>
      <c r="CJ155" s="675">
        <v>4</v>
      </c>
      <c r="CK155" s="675">
        <v>0</v>
      </c>
      <c r="CL155" s="675">
        <v>0</v>
      </c>
      <c r="CM155" s="675">
        <v>0</v>
      </c>
      <c r="CN155" s="675">
        <v>0</v>
      </c>
      <c r="CO155" s="675">
        <v>0</v>
      </c>
      <c r="CP155" s="675">
        <v>0</v>
      </c>
      <c r="CQ155" s="675">
        <v>1.667</v>
      </c>
      <c r="CR155" s="675">
        <v>1823.81</v>
      </c>
      <c r="CS155" s="675">
        <v>0</v>
      </c>
      <c r="CT155" s="675">
        <v>0</v>
      </c>
      <c r="CU155" s="675">
        <v>0</v>
      </c>
      <c r="CV155" s="675">
        <v>0</v>
      </c>
      <c r="CW155" s="675">
        <v>0</v>
      </c>
      <c r="CX155" s="675">
        <v>0</v>
      </c>
      <c r="CY155" s="675">
        <v>0</v>
      </c>
      <c r="CZ155" s="675">
        <v>0</v>
      </c>
      <c r="DA155" s="675">
        <v>1</v>
      </c>
      <c r="DB155" s="675">
        <v>10421620</v>
      </c>
      <c r="DC155" s="675">
        <v>0</v>
      </c>
      <c r="DD155" s="675">
        <v>0</v>
      </c>
      <c r="DE155" s="675">
        <v>1297469</v>
      </c>
      <c r="DF155" s="675">
        <v>1297469</v>
      </c>
      <c r="DG155" s="675">
        <v>989.83</v>
      </c>
      <c r="DH155" s="675">
        <v>0</v>
      </c>
      <c r="DI155" s="675">
        <v>0</v>
      </c>
      <c r="DJ155" s="675">
        <v>0</v>
      </c>
      <c r="DK155" s="675">
        <v>5392</v>
      </c>
      <c r="DL155" s="675">
        <v>0</v>
      </c>
      <c r="DM155" s="675">
        <v>1364157</v>
      </c>
      <c r="DN155" s="675">
        <v>0</v>
      </c>
      <c r="DO155" s="675">
        <v>0</v>
      </c>
      <c r="DP155" s="675">
        <v>0</v>
      </c>
      <c r="DQ155" s="675">
        <v>0</v>
      </c>
      <c r="DR155" s="675">
        <v>0</v>
      </c>
      <c r="DS155" s="675">
        <v>0</v>
      </c>
      <c r="DT155" s="675">
        <v>0</v>
      </c>
      <c r="DU155" s="675">
        <v>0</v>
      </c>
      <c r="DV155" s="675">
        <v>0</v>
      </c>
      <c r="DW155" s="675">
        <v>0</v>
      </c>
      <c r="DX155" s="675">
        <v>0</v>
      </c>
      <c r="DY155" s="675">
        <v>0</v>
      </c>
      <c r="DZ155" s="675">
        <v>0</v>
      </c>
      <c r="EA155" s="675">
        <v>7.5999999999999998E-2</v>
      </c>
      <c r="EB155" s="675">
        <v>0</v>
      </c>
      <c r="EC155" s="675">
        <v>33.191000000000003</v>
      </c>
      <c r="ED155" s="675">
        <v>239287</v>
      </c>
      <c r="EE155" s="675">
        <v>0</v>
      </c>
      <c r="EF155" s="675">
        <v>0</v>
      </c>
      <c r="EG155" s="675">
        <v>0</v>
      </c>
      <c r="EH155" s="675">
        <v>1124870</v>
      </c>
      <c r="EI155" s="675">
        <v>0</v>
      </c>
      <c r="EJ155" s="675">
        <v>0</v>
      </c>
      <c r="EK155" s="675">
        <v>44.273000000000003</v>
      </c>
      <c r="EL155" s="675">
        <v>0</v>
      </c>
      <c r="EM155" s="675">
        <v>7.6740000000000004</v>
      </c>
      <c r="EN155" s="675">
        <v>3.0820000000000003</v>
      </c>
      <c r="EO155" s="675">
        <v>0</v>
      </c>
      <c r="EP155" s="675">
        <v>0</v>
      </c>
      <c r="EQ155" s="675">
        <v>55.105000000000004</v>
      </c>
      <c r="ER155" s="675">
        <v>0</v>
      </c>
      <c r="ES155" s="675">
        <v>171.631</v>
      </c>
      <c r="ET155" s="676">
        <v>21083</v>
      </c>
      <c r="EU155" s="675">
        <v>778560</v>
      </c>
      <c r="EV155" s="675">
        <v>0</v>
      </c>
      <c r="EW155" s="675">
        <v>0</v>
      </c>
      <c r="EX155" s="675">
        <v>0</v>
      </c>
      <c r="EY155" s="675">
        <v>0</v>
      </c>
      <c r="EZ155" s="675">
        <v>14626032</v>
      </c>
      <c r="FA155" s="675">
        <v>0</v>
      </c>
      <c r="FB155" s="676">
        <v>15404592</v>
      </c>
      <c r="FC155" s="675">
        <v>0.97327799999999998</v>
      </c>
      <c r="FD155" s="675">
        <v>0</v>
      </c>
      <c r="FE155" s="675">
        <v>2253593</v>
      </c>
      <c r="FF155" s="675">
        <v>507844</v>
      </c>
      <c r="FG155" s="675">
        <v>6.1239999999999996E-2</v>
      </c>
      <c r="FH155" s="675">
        <v>5.4803999999999999E-2</v>
      </c>
      <c r="FI155" s="675">
        <v>0</v>
      </c>
      <c r="FJ155" s="675">
        <v>0</v>
      </c>
      <c r="FK155" s="675">
        <v>2900.3160000000003</v>
      </c>
      <c r="FL155" s="675">
        <v>18556861</v>
      </c>
      <c r="FM155" s="675">
        <v>0</v>
      </c>
      <c r="FN155" s="675">
        <v>0</v>
      </c>
      <c r="FO155" s="675">
        <v>0</v>
      </c>
      <c r="FP155" s="675">
        <v>0</v>
      </c>
      <c r="FQ155" s="675">
        <v>0</v>
      </c>
      <c r="FR155" s="675">
        <v>0</v>
      </c>
      <c r="FS155" s="675">
        <v>0</v>
      </c>
      <c r="FT155" s="675">
        <v>0</v>
      </c>
      <c r="FU155" s="675">
        <v>0</v>
      </c>
      <c r="FV155" s="675">
        <v>0</v>
      </c>
      <c r="FW155" s="675">
        <v>0</v>
      </c>
      <c r="FX155" s="675">
        <v>0</v>
      </c>
      <c r="FY155" s="675">
        <v>0</v>
      </c>
      <c r="FZ155" s="675">
        <v>1916</v>
      </c>
      <c r="GA155" s="675">
        <v>38.319000000000003</v>
      </c>
      <c r="GB155" s="676">
        <v>2045215</v>
      </c>
      <c r="GC155" s="676">
        <v>2045215</v>
      </c>
      <c r="GD155" s="676">
        <v>230.93600000000001</v>
      </c>
      <c r="GE155" s="675">
        <v>0</v>
      </c>
      <c r="GF155" s="675">
        <v>0</v>
      </c>
      <c r="GG155" s="675">
        <v>0</v>
      </c>
      <c r="GH155" s="675">
        <v>0</v>
      </c>
      <c r="GI155" s="675">
        <v>0</v>
      </c>
      <c r="GJ155" s="675">
        <v>0</v>
      </c>
      <c r="GK155" s="675">
        <v>5040</v>
      </c>
      <c r="GL155" s="675">
        <v>7142</v>
      </c>
      <c r="GM155" s="675">
        <v>0</v>
      </c>
      <c r="GN155" s="675">
        <v>0</v>
      </c>
      <c r="GO155" s="675">
        <v>0</v>
      </c>
      <c r="GP155" s="675">
        <v>18166029</v>
      </c>
      <c r="GQ155" s="675">
        <v>18166029</v>
      </c>
      <c r="GR155" s="675">
        <v>0</v>
      </c>
      <c r="GS155" s="675">
        <v>0</v>
      </c>
      <c r="GT155" s="675">
        <v>0</v>
      </c>
      <c r="GU155" s="675">
        <v>0</v>
      </c>
      <c r="GV155" s="675">
        <v>0</v>
      </c>
      <c r="GW155" s="675">
        <v>0</v>
      </c>
      <c r="GX155" s="675">
        <v>0</v>
      </c>
      <c r="GY155" s="675">
        <v>0</v>
      </c>
      <c r="GZ155" s="675">
        <v>0</v>
      </c>
      <c r="HA155" s="675">
        <v>0</v>
      </c>
      <c r="HB155" s="675">
        <v>260786259</v>
      </c>
      <c r="HC155" s="675">
        <v>5.0923999999999997E-2</v>
      </c>
      <c r="HD155" s="676">
        <v>369749</v>
      </c>
      <c r="HE155" s="675">
        <v>0</v>
      </c>
      <c r="HF155" s="675">
        <v>0</v>
      </c>
      <c r="HG155" s="675">
        <v>0</v>
      </c>
      <c r="HH155" s="675">
        <v>0</v>
      </c>
      <c r="HI155" s="675">
        <v>0</v>
      </c>
      <c r="HJ155" s="675">
        <v>0</v>
      </c>
      <c r="HK155" s="675">
        <v>0</v>
      </c>
      <c r="HL155" s="675">
        <v>0</v>
      </c>
      <c r="HM155" s="675">
        <v>0</v>
      </c>
      <c r="HN155" s="675">
        <v>0</v>
      </c>
      <c r="HO155" s="675">
        <v>0</v>
      </c>
      <c r="HP155" s="675">
        <v>0</v>
      </c>
      <c r="HQ155" s="675">
        <v>0</v>
      </c>
      <c r="HR155" s="675">
        <v>0</v>
      </c>
      <c r="HS155" s="675">
        <v>0</v>
      </c>
      <c r="HT155" s="675">
        <v>0</v>
      </c>
      <c r="HU155" s="675">
        <v>0</v>
      </c>
      <c r="HV155" s="675">
        <v>0</v>
      </c>
      <c r="HW155" s="675">
        <v>0</v>
      </c>
      <c r="HX155" s="675">
        <v>0</v>
      </c>
      <c r="HY155" s="675">
        <v>0</v>
      </c>
      <c r="HZ155" s="675">
        <v>0</v>
      </c>
      <c r="IA155" s="675">
        <v>0</v>
      </c>
      <c r="IB155" s="675">
        <v>0</v>
      </c>
      <c r="IC155" s="675">
        <v>0</v>
      </c>
      <c r="ID155" s="675">
        <v>0</v>
      </c>
      <c r="IE155" s="675">
        <v>0</v>
      </c>
      <c r="IF155" s="675">
        <v>0</v>
      </c>
      <c r="IG155" s="675">
        <v>0</v>
      </c>
      <c r="IH155" s="675">
        <v>0</v>
      </c>
      <c r="II155" s="675">
        <v>0</v>
      </c>
      <c r="IJ155" s="675">
        <v>0</v>
      </c>
      <c r="IK155" s="675">
        <v>0</v>
      </c>
      <c r="IL155" s="675">
        <v>0</v>
      </c>
      <c r="IM155" s="675">
        <v>0</v>
      </c>
      <c r="IN155" s="675">
        <v>0</v>
      </c>
      <c r="IO155" s="675">
        <v>0</v>
      </c>
      <c r="IP155" s="675">
        <v>0</v>
      </c>
      <c r="IQ155" s="675">
        <v>0</v>
      </c>
      <c r="IR155" s="675">
        <v>0</v>
      </c>
      <c r="IS155" s="675">
        <v>0</v>
      </c>
      <c r="IT155" s="675">
        <v>0</v>
      </c>
      <c r="IU155" s="675">
        <v>0</v>
      </c>
      <c r="IV155" s="675">
        <v>0</v>
      </c>
      <c r="IW155" s="675">
        <v>0</v>
      </c>
      <c r="IX155" s="675">
        <v>0</v>
      </c>
      <c r="IY155" s="675">
        <v>0</v>
      </c>
      <c r="IZ155" s="675">
        <v>0</v>
      </c>
      <c r="JA155" s="675">
        <v>0</v>
      </c>
      <c r="JB155" s="675">
        <v>0</v>
      </c>
      <c r="JC155" s="675">
        <v>0</v>
      </c>
      <c r="JD155" s="675">
        <v>0</v>
      </c>
      <c r="JE155" s="675">
        <v>0</v>
      </c>
      <c r="JF155" s="675">
        <v>0</v>
      </c>
      <c r="JG155" s="675">
        <v>0</v>
      </c>
      <c r="JH155" s="675">
        <v>0</v>
      </c>
      <c r="JI155" s="675">
        <v>0</v>
      </c>
      <c r="JJ155" s="675">
        <v>0</v>
      </c>
      <c r="JK155" s="675">
        <v>0</v>
      </c>
      <c r="JL155" s="675">
        <v>0</v>
      </c>
      <c r="JM155" s="675">
        <v>0</v>
      </c>
      <c r="JN155" s="675">
        <v>32469</v>
      </c>
      <c r="JO155" s="675">
        <v>0</v>
      </c>
      <c r="JP155" s="675">
        <v>0</v>
      </c>
      <c r="JQ155" s="675">
        <v>0</v>
      </c>
      <c r="JR155" s="675">
        <v>0</v>
      </c>
      <c r="JS155" s="675">
        <v>0</v>
      </c>
      <c r="JT155" s="675">
        <v>0</v>
      </c>
      <c r="JU155" s="675">
        <v>0</v>
      </c>
      <c r="JV155" s="675">
        <v>0</v>
      </c>
      <c r="JW155" s="675">
        <v>0</v>
      </c>
      <c r="JX155" s="675">
        <v>0</v>
      </c>
      <c r="JY155" s="675">
        <v>0</v>
      </c>
      <c r="JZ155" s="675">
        <v>0</v>
      </c>
      <c r="KA155" s="675">
        <v>0</v>
      </c>
      <c r="KB155" s="675">
        <v>0</v>
      </c>
      <c r="KC155" s="675">
        <v>0</v>
      </c>
      <c r="KD155" s="675">
        <v>0</v>
      </c>
      <c r="KE155" s="675">
        <v>0</v>
      </c>
      <c r="KF155" s="675">
        <v>0</v>
      </c>
    </row>
    <row r="156" spans="1:292" x14ac:dyDescent="0.25">
      <c r="A156" s="675">
        <v>212804</v>
      </c>
      <c r="B156" s="675">
        <v>32570</v>
      </c>
      <c r="C156" s="675">
        <v>35</v>
      </c>
      <c r="D156" s="675">
        <v>2022</v>
      </c>
      <c r="E156" s="675">
        <v>5392</v>
      </c>
      <c r="F156" s="675">
        <v>0</v>
      </c>
      <c r="G156" s="675">
        <v>798.18799999999999</v>
      </c>
      <c r="H156" s="675">
        <v>724.28</v>
      </c>
      <c r="I156" s="675">
        <v>724.28</v>
      </c>
      <c r="J156" s="675">
        <v>798.18799999999999</v>
      </c>
      <c r="K156" s="675">
        <v>0</v>
      </c>
      <c r="L156" s="675">
        <v>6554</v>
      </c>
      <c r="M156" s="675">
        <v>0</v>
      </c>
      <c r="N156" s="675">
        <v>0</v>
      </c>
      <c r="O156" s="675">
        <v>0</v>
      </c>
      <c r="P156" s="675">
        <v>713.79200000000003</v>
      </c>
      <c r="Q156" s="675">
        <v>0</v>
      </c>
      <c r="R156" s="675">
        <v>228209</v>
      </c>
      <c r="S156" s="675">
        <v>319.71300000000002</v>
      </c>
      <c r="T156" s="675">
        <v>0</v>
      </c>
      <c r="U156" s="675">
        <v>228209</v>
      </c>
      <c r="V156" s="675">
        <v>13.899000000000001</v>
      </c>
      <c r="W156" s="675">
        <v>9109</v>
      </c>
      <c r="X156" s="675">
        <v>9109</v>
      </c>
      <c r="Y156" s="675">
        <v>0</v>
      </c>
      <c r="Z156" s="675">
        <v>0</v>
      </c>
      <c r="AA156" s="675">
        <v>1</v>
      </c>
      <c r="AB156" s="675">
        <v>1</v>
      </c>
      <c r="AC156" s="675">
        <v>0</v>
      </c>
      <c r="AD156" s="675" t="s">
        <v>316</v>
      </c>
      <c r="AE156" s="675">
        <v>0</v>
      </c>
      <c r="AF156" s="675">
        <v>0</v>
      </c>
      <c r="AG156" s="675">
        <v>0</v>
      </c>
      <c r="AH156" s="675">
        <v>0</v>
      </c>
      <c r="AI156" s="675">
        <v>0</v>
      </c>
      <c r="AJ156" s="675">
        <v>5104</v>
      </c>
      <c r="AK156" s="675" t="s">
        <v>671</v>
      </c>
      <c r="AL156" s="675" t="s">
        <v>469</v>
      </c>
      <c r="AM156" s="675">
        <v>0</v>
      </c>
      <c r="AN156" s="675">
        <v>0</v>
      </c>
      <c r="AO156" s="675">
        <v>0</v>
      </c>
      <c r="AP156" s="675">
        <v>0</v>
      </c>
      <c r="AQ156" s="675">
        <v>0</v>
      </c>
      <c r="AR156" s="675">
        <v>0</v>
      </c>
      <c r="AS156" s="675">
        <v>0</v>
      </c>
      <c r="AT156" s="675">
        <v>0</v>
      </c>
      <c r="AU156" s="675">
        <v>0</v>
      </c>
      <c r="AV156" s="675">
        <v>2295</v>
      </c>
      <c r="AW156" s="675">
        <v>7024962</v>
      </c>
      <c r="AX156" s="675">
        <v>6808621</v>
      </c>
      <c r="AY156" s="675">
        <v>7321345</v>
      </c>
      <c r="AZ156" s="675">
        <v>287245</v>
      </c>
      <c r="BA156" s="675">
        <v>0</v>
      </c>
      <c r="BB156" s="675">
        <v>31388</v>
      </c>
      <c r="BC156" s="675">
        <v>31388</v>
      </c>
      <c r="BD156" s="675">
        <v>39.908999999999999</v>
      </c>
      <c r="BE156" s="675">
        <v>0</v>
      </c>
      <c r="BF156" s="675">
        <v>5796374</v>
      </c>
      <c r="BG156" s="675">
        <v>0</v>
      </c>
      <c r="BH156" s="675">
        <v>214.67500000000001</v>
      </c>
      <c r="BI156" s="675">
        <v>59036</v>
      </c>
      <c r="BJ156" s="675">
        <v>12</v>
      </c>
      <c r="BK156" s="675">
        <v>0</v>
      </c>
      <c r="BL156" s="675">
        <v>0</v>
      </c>
      <c r="BM156" s="675">
        <v>0</v>
      </c>
      <c r="BN156" s="675">
        <v>0</v>
      </c>
      <c r="BO156" s="675">
        <v>0</v>
      </c>
      <c r="BP156" s="675">
        <v>0</v>
      </c>
      <c r="BQ156" s="675">
        <v>5392</v>
      </c>
      <c r="BR156" s="675">
        <v>1</v>
      </c>
      <c r="BS156" s="675">
        <v>0</v>
      </c>
      <c r="BT156" s="675">
        <v>0</v>
      </c>
      <c r="BU156" s="675">
        <v>0</v>
      </c>
      <c r="BV156" s="675">
        <v>0</v>
      </c>
      <c r="BW156" s="675">
        <v>0</v>
      </c>
      <c r="BX156" s="675">
        <v>0</v>
      </c>
      <c r="BY156" s="675">
        <v>0</v>
      </c>
      <c r="BZ156" s="675">
        <v>0</v>
      </c>
      <c r="CA156" s="675">
        <v>0</v>
      </c>
      <c r="CB156" s="675">
        <v>0</v>
      </c>
      <c r="CC156" s="675">
        <v>0</v>
      </c>
      <c r="CD156" s="675">
        <v>0</v>
      </c>
      <c r="CE156" s="675">
        <v>0</v>
      </c>
      <c r="CF156" s="675">
        <v>0</v>
      </c>
      <c r="CG156" s="675">
        <v>0</v>
      </c>
      <c r="CH156" s="675">
        <v>157305</v>
      </c>
      <c r="CI156" s="675">
        <v>0</v>
      </c>
      <c r="CJ156" s="675">
        <v>4</v>
      </c>
      <c r="CK156" s="675">
        <v>0</v>
      </c>
      <c r="CL156" s="675">
        <v>0</v>
      </c>
      <c r="CM156" s="675">
        <v>0</v>
      </c>
      <c r="CN156" s="675">
        <v>0</v>
      </c>
      <c r="CO156" s="675">
        <v>0</v>
      </c>
      <c r="CP156" s="675">
        <v>0</v>
      </c>
      <c r="CQ156" s="675">
        <v>0</v>
      </c>
      <c r="CR156" s="675">
        <v>713.79200000000003</v>
      </c>
      <c r="CS156" s="675">
        <v>0</v>
      </c>
      <c r="CT156" s="675">
        <v>0</v>
      </c>
      <c r="CU156" s="675">
        <v>0</v>
      </c>
      <c r="CV156" s="675">
        <v>0</v>
      </c>
      <c r="CW156" s="675">
        <v>0</v>
      </c>
      <c r="CX156" s="675">
        <v>0</v>
      </c>
      <c r="CY156" s="675">
        <v>0</v>
      </c>
      <c r="CZ156" s="675">
        <v>0</v>
      </c>
      <c r="DA156" s="675">
        <v>1</v>
      </c>
      <c r="DB156" s="675">
        <v>4746931</v>
      </c>
      <c r="DC156" s="675">
        <v>0</v>
      </c>
      <c r="DD156" s="675">
        <v>0</v>
      </c>
      <c r="DE156" s="675">
        <v>293619</v>
      </c>
      <c r="DF156" s="675">
        <v>293619</v>
      </c>
      <c r="DG156" s="675">
        <v>224</v>
      </c>
      <c r="DH156" s="675">
        <v>0</v>
      </c>
      <c r="DI156" s="675">
        <v>0</v>
      </c>
      <c r="DJ156" s="675">
        <v>0</v>
      </c>
      <c r="DK156" s="675">
        <v>5392</v>
      </c>
      <c r="DL156" s="675">
        <v>0</v>
      </c>
      <c r="DM156" s="675">
        <v>302491</v>
      </c>
      <c r="DN156" s="675">
        <v>0</v>
      </c>
      <c r="DO156" s="675">
        <v>0</v>
      </c>
      <c r="DP156" s="675">
        <v>0</v>
      </c>
      <c r="DQ156" s="675">
        <v>0</v>
      </c>
      <c r="DR156" s="675">
        <v>0</v>
      </c>
      <c r="DS156" s="675">
        <v>0</v>
      </c>
      <c r="DT156" s="675">
        <v>0</v>
      </c>
      <c r="DU156" s="675">
        <v>0</v>
      </c>
      <c r="DV156" s="675">
        <v>0</v>
      </c>
      <c r="DW156" s="675">
        <v>0</v>
      </c>
      <c r="DX156" s="675">
        <v>0</v>
      </c>
      <c r="DY156" s="675">
        <v>0</v>
      </c>
      <c r="DZ156" s="675">
        <v>0</v>
      </c>
      <c r="EA156" s="675">
        <v>0</v>
      </c>
      <c r="EB156" s="675">
        <v>0</v>
      </c>
      <c r="EC156" s="675">
        <v>13.917</v>
      </c>
      <c r="ED156" s="675">
        <v>100333</v>
      </c>
      <c r="EE156" s="675">
        <v>0</v>
      </c>
      <c r="EF156" s="675">
        <v>0</v>
      </c>
      <c r="EG156" s="675">
        <v>0</v>
      </c>
      <c r="EH156" s="675">
        <v>202158</v>
      </c>
      <c r="EI156" s="675">
        <v>0</v>
      </c>
      <c r="EJ156" s="675">
        <v>0</v>
      </c>
      <c r="EK156" s="675">
        <v>8.0449999999999999</v>
      </c>
      <c r="EL156" s="675">
        <v>0</v>
      </c>
      <c r="EM156" s="675">
        <v>0</v>
      </c>
      <c r="EN156" s="675">
        <v>1.3420000000000001</v>
      </c>
      <c r="EO156" s="675">
        <v>0</v>
      </c>
      <c r="EP156" s="675">
        <v>0</v>
      </c>
      <c r="EQ156" s="675">
        <v>9.3870000000000005</v>
      </c>
      <c r="ER156" s="675">
        <v>0</v>
      </c>
      <c r="ES156" s="675">
        <v>30.845000000000002</v>
      </c>
      <c r="ET156" s="675">
        <v>0</v>
      </c>
      <c r="EU156" s="675">
        <v>287245</v>
      </c>
      <c r="EV156" s="675">
        <v>0</v>
      </c>
      <c r="EW156" s="675">
        <v>0</v>
      </c>
      <c r="EX156" s="675">
        <v>0</v>
      </c>
      <c r="EY156" s="675">
        <v>0</v>
      </c>
      <c r="EZ156" s="675">
        <v>5727311</v>
      </c>
      <c r="FA156" s="675">
        <v>0</v>
      </c>
      <c r="FB156" s="675">
        <v>6014556</v>
      </c>
      <c r="FC156" s="675">
        <v>0.97327799999999998</v>
      </c>
      <c r="FD156" s="675">
        <v>0</v>
      </c>
      <c r="FE156" s="675">
        <v>882451</v>
      </c>
      <c r="FF156" s="675">
        <v>198859</v>
      </c>
      <c r="FG156" s="675">
        <v>6.1239999999999996E-2</v>
      </c>
      <c r="FH156" s="675">
        <v>5.4803999999999999E-2</v>
      </c>
      <c r="FI156" s="675">
        <v>0</v>
      </c>
      <c r="FJ156" s="675">
        <v>0</v>
      </c>
      <c r="FK156" s="675">
        <v>1135.692</v>
      </c>
      <c r="FL156" s="675">
        <v>7253171</v>
      </c>
      <c r="FM156" s="675">
        <v>0</v>
      </c>
      <c r="FN156" s="675">
        <v>0</v>
      </c>
      <c r="FO156" s="675">
        <v>0</v>
      </c>
      <c r="FP156" s="675">
        <v>0</v>
      </c>
      <c r="FQ156" s="675">
        <v>0</v>
      </c>
      <c r="FR156" s="675">
        <v>0</v>
      </c>
      <c r="FS156" s="675">
        <v>0</v>
      </c>
      <c r="FT156" s="675">
        <v>0</v>
      </c>
      <c r="FU156" s="675">
        <v>0</v>
      </c>
      <c r="FV156" s="675">
        <v>0</v>
      </c>
      <c r="FW156" s="675">
        <v>0</v>
      </c>
      <c r="FX156" s="675">
        <v>0</v>
      </c>
      <c r="FY156" s="675">
        <v>0</v>
      </c>
      <c r="FZ156" s="675">
        <v>1107</v>
      </c>
      <c r="GA156" s="675">
        <v>22.134</v>
      </c>
      <c r="GB156" s="675">
        <v>571982</v>
      </c>
      <c r="GC156" s="675">
        <v>571982</v>
      </c>
      <c r="GD156" s="675">
        <v>64.521000000000001</v>
      </c>
      <c r="GE156" s="675">
        <v>0</v>
      </c>
      <c r="GF156" s="675">
        <v>0</v>
      </c>
      <c r="GG156" s="675">
        <v>0</v>
      </c>
      <c r="GH156" s="675">
        <v>0</v>
      </c>
      <c r="GI156" s="675">
        <v>0</v>
      </c>
      <c r="GJ156" s="675">
        <v>0</v>
      </c>
      <c r="GK156" s="675">
        <v>4971</v>
      </c>
      <c r="GL156" s="675">
        <v>0</v>
      </c>
      <c r="GM156" s="675">
        <v>0</v>
      </c>
      <c r="GN156" s="675">
        <v>0</v>
      </c>
      <c r="GO156" s="675">
        <v>0</v>
      </c>
      <c r="GP156" s="675">
        <v>7095866</v>
      </c>
      <c r="GQ156" s="675">
        <v>7095866</v>
      </c>
      <c r="GR156" s="675">
        <v>0</v>
      </c>
      <c r="GS156" s="675">
        <v>0</v>
      </c>
      <c r="GT156" s="675">
        <v>0</v>
      </c>
      <c r="GU156" s="675">
        <v>0</v>
      </c>
      <c r="GV156" s="675">
        <v>0</v>
      </c>
      <c r="GW156" s="675">
        <v>0</v>
      </c>
      <c r="GX156" s="675">
        <v>0</v>
      </c>
      <c r="GY156" s="675">
        <v>0</v>
      </c>
      <c r="GZ156" s="675">
        <v>0</v>
      </c>
      <c r="HA156" s="675">
        <v>0</v>
      </c>
      <c r="HB156" s="675">
        <v>260786259</v>
      </c>
      <c r="HC156" s="675">
        <v>5.0923999999999997E-2</v>
      </c>
      <c r="HD156" s="675">
        <v>157305</v>
      </c>
      <c r="HE156" s="675">
        <v>0</v>
      </c>
      <c r="HF156" s="675">
        <v>0</v>
      </c>
      <c r="HG156" s="675">
        <v>0</v>
      </c>
      <c r="HH156" s="675">
        <v>0</v>
      </c>
      <c r="HI156" s="675">
        <v>0</v>
      </c>
      <c r="HJ156" s="675">
        <v>0</v>
      </c>
      <c r="HK156" s="675">
        <v>0</v>
      </c>
      <c r="HL156" s="675">
        <v>0</v>
      </c>
      <c r="HM156" s="675">
        <v>0</v>
      </c>
      <c r="HN156" s="675">
        <v>0</v>
      </c>
      <c r="HO156" s="675">
        <v>0</v>
      </c>
      <c r="HP156" s="675">
        <v>0</v>
      </c>
      <c r="HQ156" s="675">
        <v>0</v>
      </c>
      <c r="HR156" s="675">
        <v>0</v>
      </c>
      <c r="HS156" s="675">
        <v>0</v>
      </c>
      <c r="HT156" s="675">
        <v>0</v>
      </c>
      <c r="HU156" s="675">
        <v>0</v>
      </c>
      <c r="HV156" s="675">
        <v>0</v>
      </c>
      <c r="HW156" s="675">
        <v>0</v>
      </c>
      <c r="HX156" s="675">
        <v>0</v>
      </c>
      <c r="HY156" s="675">
        <v>0</v>
      </c>
      <c r="HZ156" s="675">
        <v>0</v>
      </c>
      <c r="IA156" s="675">
        <v>0</v>
      </c>
      <c r="IB156" s="675">
        <v>0</v>
      </c>
      <c r="IC156" s="675">
        <v>0</v>
      </c>
      <c r="ID156" s="675">
        <v>0</v>
      </c>
      <c r="IE156" s="675">
        <v>0</v>
      </c>
      <c r="IF156" s="675">
        <v>0</v>
      </c>
      <c r="IG156" s="675">
        <v>0</v>
      </c>
      <c r="IH156" s="675">
        <v>0</v>
      </c>
      <c r="II156" s="675">
        <v>0</v>
      </c>
      <c r="IJ156" s="675">
        <v>0</v>
      </c>
      <c r="IK156" s="675">
        <v>0</v>
      </c>
      <c r="IL156" s="675">
        <v>0</v>
      </c>
      <c r="IM156" s="675">
        <v>0</v>
      </c>
      <c r="IN156" s="675">
        <v>0</v>
      </c>
      <c r="IO156" s="675">
        <v>0</v>
      </c>
      <c r="IP156" s="675">
        <v>0</v>
      </c>
      <c r="IQ156" s="675">
        <v>0</v>
      </c>
      <c r="IR156" s="675">
        <v>0</v>
      </c>
      <c r="IS156" s="675">
        <v>0</v>
      </c>
      <c r="IT156" s="675">
        <v>0</v>
      </c>
      <c r="IU156" s="675">
        <v>0</v>
      </c>
      <c r="IV156" s="675">
        <v>0</v>
      </c>
      <c r="IW156" s="675">
        <v>0</v>
      </c>
      <c r="IX156" s="675">
        <v>0</v>
      </c>
      <c r="IY156" s="675">
        <v>0</v>
      </c>
      <c r="IZ156" s="675">
        <v>0</v>
      </c>
      <c r="JA156" s="675">
        <v>0</v>
      </c>
      <c r="JB156" s="675">
        <v>0</v>
      </c>
      <c r="JC156" s="675">
        <v>0</v>
      </c>
      <c r="JD156" s="675">
        <v>0</v>
      </c>
      <c r="JE156" s="675">
        <v>0</v>
      </c>
      <c r="JF156" s="675">
        <v>0</v>
      </c>
      <c r="JG156" s="675">
        <v>0</v>
      </c>
      <c r="JH156" s="675">
        <v>0</v>
      </c>
      <c r="JI156" s="675">
        <v>0</v>
      </c>
      <c r="JJ156" s="675">
        <v>0</v>
      </c>
      <c r="JK156" s="675">
        <v>0</v>
      </c>
      <c r="JL156" s="675">
        <v>0</v>
      </c>
      <c r="JM156" s="675">
        <v>0</v>
      </c>
      <c r="JN156" s="675">
        <v>32469</v>
      </c>
      <c r="JO156" s="675">
        <v>0</v>
      </c>
      <c r="JP156" s="675">
        <v>0</v>
      </c>
      <c r="JQ156" s="675">
        <v>0</v>
      </c>
      <c r="JR156" s="675">
        <v>0</v>
      </c>
      <c r="JS156" s="675">
        <v>0</v>
      </c>
      <c r="JT156" s="675">
        <v>0</v>
      </c>
      <c r="JU156" s="675">
        <v>0</v>
      </c>
      <c r="JV156" s="675">
        <v>0</v>
      </c>
      <c r="JW156" s="675">
        <v>0</v>
      </c>
      <c r="JX156" s="675">
        <v>0</v>
      </c>
      <c r="JY156" s="675">
        <v>0</v>
      </c>
      <c r="JZ156" s="675">
        <v>0</v>
      </c>
      <c r="KA156" s="675">
        <v>0</v>
      </c>
      <c r="KB156" s="675">
        <v>0</v>
      </c>
      <c r="KC156" s="675">
        <v>0</v>
      </c>
      <c r="KD156" s="675">
        <v>0</v>
      </c>
      <c r="KE156" s="675">
        <v>0</v>
      </c>
      <c r="KF156" s="675">
        <v>0</v>
      </c>
    </row>
    <row r="157" spans="1:292" ht="13" x14ac:dyDescent="0.3">
      <c r="A157" s="675">
        <v>213801</v>
      </c>
      <c r="B157" s="675">
        <v>32570</v>
      </c>
      <c r="C157" s="675">
        <v>35</v>
      </c>
      <c r="D157" s="675">
        <v>2022</v>
      </c>
      <c r="E157" s="675">
        <v>5392</v>
      </c>
      <c r="F157" s="675">
        <v>0</v>
      </c>
      <c r="G157" s="675">
        <v>208.79400000000001</v>
      </c>
      <c r="H157" s="675">
        <v>177.261</v>
      </c>
      <c r="I157" s="675">
        <v>177.261</v>
      </c>
      <c r="J157" s="675">
        <v>208.79400000000001</v>
      </c>
      <c r="K157" s="675">
        <v>0</v>
      </c>
      <c r="L157" s="675">
        <v>6554</v>
      </c>
      <c r="M157" s="675">
        <v>0</v>
      </c>
      <c r="N157" s="675">
        <v>0</v>
      </c>
      <c r="O157" s="675">
        <v>0</v>
      </c>
      <c r="P157" s="675">
        <v>209.82500000000002</v>
      </c>
      <c r="Q157" s="675">
        <v>0</v>
      </c>
      <c r="R157" s="676">
        <v>67084</v>
      </c>
      <c r="S157" s="675">
        <v>319.71300000000002</v>
      </c>
      <c r="T157" s="675">
        <v>0</v>
      </c>
      <c r="U157" s="676">
        <v>67084</v>
      </c>
      <c r="V157" s="676">
        <v>1.56</v>
      </c>
      <c r="W157" s="676">
        <v>1022</v>
      </c>
      <c r="X157" s="676">
        <v>1022</v>
      </c>
      <c r="Y157" s="675">
        <v>0</v>
      </c>
      <c r="Z157" s="675">
        <v>0</v>
      </c>
      <c r="AA157" s="675">
        <v>1</v>
      </c>
      <c r="AB157" s="675">
        <v>1</v>
      </c>
      <c r="AC157" s="675">
        <v>0</v>
      </c>
      <c r="AD157" s="675" t="s">
        <v>316</v>
      </c>
      <c r="AE157" s="675">
        <v>0</v>
      </c>
      <c r="AF157" s="675">
        <v>0</v>
      </c>
      <c r="AG157" s="675">
        <v>0</v>
      </c>
      <c r="AH157" s="675">
        <v>0</v>
      </c>
      <c r="AI157" s="675">
        <v>0</v>
      </c>
      <c r="AJ157" s="675">
        <v>5104</v>
      </c>
      <c r="AK157" s="675" t="s">
        <v>671</v>
      </c>
      <c r="AL157" s="675" t="s">
        <v>75</v>
      </c>
      <c r="AM157" s="675">
        <v>0</v>
      </c>
      <c r="AN157" s="675">
        <v>0</v>
      </c>
      <c r="AO157" s="675">
        <v>0</v>
      </c>
      <c r="AP157" s="675">
        <v>0</v>
      </c>
      <c r="AQ157" s="675">
        <v>0</v>
      </c>
      <c r="AR157" s="675">
        <v>0</v>
      </c>
      <c r="AS157" s="675">
        <v>0</v>
      </c>
      <c r="AT157" s="675">
        <v>0</v>
      </c>
      <c r="AU157" s="675">
        <v>0</v>
      </c>
      <c r="AV157" s="675">
        <v>2046</v>
      </c>
      <c r="AW157" s="675">
        <v>2341517</v>
      </c>
      <c r="AX157" s="675">
        <v>2258636</v>
      </c>
      <c r="AY157" s="675">
        <v>2381954</v>
      </c>
      <c r="AZ157" s="675">
        <v>101774</v>
      </c>
      <c r="BA157" s="676">
        <v>12</v>
      </c>
      <c r="BB157" s="675">
        <v>0</v>
      </c>
      <c r="BC157" s="675">
        <v>0</v>
      </c>
      <c r="BD157" s="675">
        <v>0</v>
      </c>
      <c r="BE157" s="675">
        <v>0</v>
      </c>
      <c r="BF157" s="675">
        <v>1915741</v>
      </c>
      <c r="BG157" s="675">
        <v>0</v>
      </c>
      <c r="BH157" s="676">
        <v>126.14500000000001</v>
      </c>
      <c r="BI157" s="676">
        <v>34690</v>
      </c>
      <c r="BJ157" s="675">
        <v>12</v>
      </c>
      <c r="BK157" s="675">
        <v>0</v>
      </c>
      <c r="BL157" s="675">
        <v>0</v>
      </c>
      <c r="BM157" s="675">
        <v>0</v>
      </c>
      <c r="BN157" s="675">
        <v>0</v>
      </c>
      <c r="BO157" s="675">
        <v>0</v>
      </c>
      <c r="BP157" s="675">
        <v>0</v>
      </c>
      <c r="BQ157" s="675">
        <v>5392</v>
      </c>
      <c r="BR157" s="675">
        <v>1</v>
      </c>
      <c r="BS157" s="675">
        <v>0</v>
      </c>
      <c r="BT157" s="675">
        <v>0</v>
      </c>
      <c r="BU157" s="675">
        <v>0</v>
      </c>
      <c r="BV157" s="675">
        <v>0</v>
      </c>
      <c r="BW157" s="675">
        <v>0</v>
      </c>
      <c r="BX157" s="675">
        <v>0</v>
      </c>
      <c r="BY157" s="675">
        <v>0</v>
      </c>
      <c r="BZ157" s="675">
        <v>0</v>
      </c>
      <c r="CA157" s="675">
        <v>0</v>
      </c>
      <c r="CB157" s="675">
        <v>0</v>
      </c>
      <c r="CC157" s="675">
        <v>0</v>
      </c>
      <c r="CD157" s="675">
        <v>0</v>
      </c>
      <c r="CE157" s="675">
        <v>0</v>
      </c>
      <c r="CF157" s="675">
        <v>0</v>
      </c>
      <c r="CG157" s="675">
        <v>0</v>
      </c>
      <c r="CH157" s="676">
        <v>48191</v>
      </c>
      <c r="CI157" s="675">
        <v>0</v>
      </c>
      <c r="CJ157" s="675">
        <v>4</v>
      </c>
      <c r="CK157" s="675">
        <v>0</v>
      </c>
      <c r="CL157" s="675">
        <v>0</v>
      </c>
      <c r="CM157" s="675">
        <v>0</v>
      </c>
      <c r="CN157" s="675">
        <v>0</v>
      </c>
      <c r="CO157" s="675">
        <v>0</v>
      </c>
      <c r="CP157" s="675">
        <v>0</v>
      </c>
      <c r="CQ157" s="675">
        <v>4.1669999999999998</v>
      </c>
      <c r="CR157" s="675">
        <v>209.82500000000002</v>
      </c>
      <c r="CS157" s="675">
        <v>0</v>
      </c>
      <c r="CT157" s="675">
        <v>0</v>
      </c>
      <c r="CU157" s="675">
        <v>0</v>
      </c>
      <c r="CV157" s="675">
        <v>0</v>
      </c>
      <c r="CW157" s="675">
        <v>0</v>
      </c>
      <c r="CX157" s="675">
        <v>0</v>
      </c>
      <c r="CY157" s="675">
        <v>0</v>
      </c>
      <c r="CZ157" s="675">
        <v>0</v>
      </c>
      <c r="DA157" s="675">
        <v>1</v>
      </c>
      <c r="DB157" s="675">
        <v>1161769</v>
      </c>
      <c r="DC157" s="675">
        <v>0</v>
      </c>
      <c r="DD157" s="675">
        <v>0</v>
      </c>
      <c r="DE157" s="675">
        <v>182201</v>
      </c>
      <c r="DF157" s="675">
        <v>182201</v>
      </c>
      <c r="DG157" s="675">
        <v>139</v>
      </c>
      <c r="DH157" s="675">
        <v>0</v>
      </c>
      <c r="DI157" s="675">
        <v>0</v>
      </c>
      <c r="DJ157" s="675">
        <v>0</v>
      </c>
      <c r="DK157" s="675">
        <v>5392</v>
      </c>
      <c r="DL157" s="675">
        <v>0</v>
      </c>
      <c r="DM157" s="675">
        <v>445445</v>
      </c>
      <c r="DN157" s="675">
        <v>0</v>
      </c>
      <c r="DO157" s="675">
        <v>0</v>
      </c>
      <c r="DP157" s="675">
        <v>0</v>
      </c>
      <c r="DQ157" s="675">
        <v>0</v>
      </c>
      <c r="DR157" s="675">
        <v>0</v>
      </c>
      <c r="DS157" s="675">
        <v>0</v>
      </c>
      <c r="DT157" s="675">
        <v>0</v>
      </c>
      <c r="DU157" s="675">
        <v>0</v>
      </c>
      <c r="DV157" s="675">
        <v>0</v>
      </c>
      <c r="DW157" s="675">
        <v>0</v>
      </c>
      <c r="DX157" s="675">
        <v>0</v>
      </c>
      <c r="DY157" s="675">
        <v>0</v>
      </c>
      <c r="DZ157" s="675">
        <v>0</v>
      </c>
      <c r="EA157" s="675">
        <v>0</v>
      </c>
      <c r="EB157" s="675">
        <v>11.281000000000001</v>
      </c>
      <c r="EC157" s="675">
        <v>30.343</v>
      </c>
      <c r="ED157" s="675">
        <v>218755</v>
      </c>
      <c r="EE157" s="675">
        <v>0</v>
      </c>
      <c r="EF157" s="675">
        <v>0</v>
      </c>
      <c r="EG157" s="675">
        <v>0</v>
      </c>
      <c r="EH157" s="675">
        <v>226690</v>
      </c>
      <c r="EI157" s="675">
        <v>0</v>
      </c>
      <c r="EJ157" s="675">
        <v>0</v>
      </c>
      <c r="EK157" s="675">
        <v>0</v>
      </c>
      <c r="EL157" s="675">
        <v>0</v>
      </c>
      <c r="EM157" s="675">
        <v>0</v>
      </c>
      <c r="EN157" s="675">
        <v>0.14899999999999999</v>
      </c>
      <c r="EO157" s="675">
        <v>0</v>
      </c>
      <c r="EP157" s="675">
        <v>0</v>
      </c>
      <c r="EQ157" s="675">
        <v>11.43</v>
      </c>
      <c r="ER157" s="675">
        <v>0</v>
      </c>
      <c r="ES157" s="675">
        <v>34.588000000000001</v>
      </c>
      <c r="ET157" s="676">
        <v>7042</v>
      </c>
      <c r="EU157" s="675">
        <v>101774</v>
      </c>
      <c r="EV157" s="675">
        <v>0</v>
      </c>
      <c r="EW157" s="675">
        <v>0</v>
      </c>
      <c r="EX157" s="675">
        <v>0</v>
      </c>
      <c r="EY157" s="675">
        <v>0</v>
      </c>
      <c r="EZ157" s="675">
        <v>1901256</v>
      </c>
      <c r="FA157" s="675">
        <v>0</v>
      </c>
      <c r="FB157" s="676">
        <v>2003030</v>
      </c>
      <c r="FC157" s="675">
        <v>0.97327799999999998</v>
      </c>
      <c r="FD157" s="675">
        <v>0</v>
      </c>
      <c r="FE157" s="675">
        <v>291656</v>
      </c>
      <c r="FF157" s="675">
        <v>65724</v>
      </c>
      <c r="FG157" s="675">
        <v>6.1239999999999996E-2</v>
      </c>
      <c r="FH157" s="675">
        <v>5.4803999999999999E-2</v>
      </c>
      <c r="FI157" s="675">
        <v>0</v>
      </c>
      <c r="FJ157" s="675">
        <v>0</v>
      </c>
      <c r="FK157" s="675">
        <v>375.35400000000004</v>
      </c>
      <c r="FL157" s="675">
        <v>2408601</v>
      </c>
      <c r="FM157" s="675">
        <v>0</v>
      </c>
      <c r="FN157" s="675">
        <v>0</v>
      </c>
      <c r="FO157" s="675">
        <v>0</v>
      </c>
      <c r="FP157" s="675">
        <v>0</v>
      </c>
      <c r="FQ157" s="675">
        <v>0</v>
      </c>
      <c r="FR157" s="675">
        <v>0</v>
      </c>
      <c r="FS157" s="675">
        <v>0</v>
      </c>
      <c r="FT157" s="675">
        <v>0</v>
      </c>
      <c r="FU157" s="675">
        <v>0</v>
      </c>
      <c r="FV157" s="675">
        <v>0</v>
      </c>
      <c r="FW157" s="675">
        <v>0</v>
      </c>
      <c r="FX157" s="675">
        <v>0</v>
      </c>
      <c r="FY157" s="675">
        <v>0</v>
      </c>
      <c r="FZ157" s="675">
        <v>34</v>
      </c>
      <c r="GA157" s="675">
        <v>0.67900000000000005</v>
      </c>
      <c r="GB157" s="676">
        <v>177903</v>
      </c>
      <c r="GC157" s="676">
        <v>177903</v>
      </c>
      <c r="GD157" s="676">
        <v>20.103000000000002</v>
      </c>
      <c r="GE157" s="675">
        <v>0</v>
      </c>
      <c r="GF157" s="675">
        <v>0</v>
      </c>
      <c r="GG157" s="675">
        <v>0</v>
      </c>
      <c r="GH157" s="675">
        <v>0</v>
      </c>
      <c r="GI157" s="675">
        <v>0</v>
      </c>
      <c r="GJ157" s="675">
        <v>0</v>
      </c>
      <c r="GK157" s="675">
        <v>5251</v>
      </c>
      <c r="GL157" s="675">
        <v>4711</v>
      </c>
      <c r="GM157" s="675">
        <v>0</v>
      </c>
      <c r="GN157" s="675">
        <v>0</v>
      </c>
      <c r="GO157" s="675">
        <v>0</v>
      </c>
      <c r="GP157" s="675">
        <v>2360410</v>
      </c>
      <c r="GQ157" s="675">
        <v>2360410</v>
      </c>
      <c r="GR157" s="675">
        <v>0</v>
      </c>
      <c r="GS157" s="675">
        <v>0</v>
      </c>
      <c r="GT157" s="675">
        <v>0</v>
      </c>
      <c r="GU157" s="675">
        <v>0</v>
      </c>
      <c r="GV157" s="675">
        <v>0</v>
      </c>
      <c r="GW157" s="675">
        <v>0</v>
      </c>
      <c r="GX157" s="675">
        <v>0</v>
      </c>
      <c r="GY157" s="675">
        <v>0</v>
      </c>
      <c r="GZ157" s="675">
        <v>0</v>
      </c>
      <c r="HA157" s="675">
        <v>0</v>
      </c>
      <c r="HB157" s="675">
        <v>260786259</v>
      </c>
      <c r="HC157" s="675">
        <v>5.0923999999999997E-2</v>
      </c>
      <c r="HD157" s="676">
        <v>41149</v>
      </c>
      <c r="HE157" s="675">
        <v>0</v>
      </c>
      <c r="HF157" s="675">
        <v>0</v>
      </c>
      <c r="HG157" s="675">
        <v>0</v>
      </c>
      <c r="HH157" s="675">
        <v>0</v>
      </c>
      <c r="HI157" s="675">
        <v>0</v>
      </c>
      <c r="HJ157" s="675">
        <v>0</v>
      </c>
      <c r="HK157" s="675">
        <v>0</v>
      </c>
      <c r="HL157" s="675">
        <v>0</v>
      </c>
      <c r="HM157" s="675">
        <v>0</v>
      </c>
      <c r="HN157" s="675">
        <v>0</v>
      </c>
      <c r="HO157" s="675">
        <v>0</v>
      </c>
      <c r="HP157" s="675">
        <v>0</v>
      </c>
      <c r="HQ157" s="675">
        <v>0</v>
      </c>
      <c r="HR157" s="675">
        <v>0</v>
      </c>
      <c r="HS157" s="675">
        <v>0</v>
      </c>
      <c r="HT157" s="675">
        <v>0</v>
      </c>
      <c r="HU157" s="675">
        <v>0</v>
      </c>
      <c r="HV157" s="675">
        <v>0</v>
      </c>
      <c r="HW157" s="675">
        <v>0</v>
      </c>
      <c r="HX157" s="675">
        <v>0</v>
      </c>
      <c r="HY157" s="675">
        <v>0</v>
      </c>
      <c r="HZ157" s="675">
        <v>0</v>
      </c>
      <c r="IA157" s="675">
        <v>0</v>
      </c>
      <c r="IB157" s="675">
        <v>0</v>
      </c>
      <c r="IC157" s="675">
        <v>0</v>
      </c>
      <c r="ID157" s="675">
        <v>0</v>
      </c>
      <c r="IE157" s="675">
        <v>1.56</v>
      </c>
      <c r="IF157" s="675">
        <v>0</v>
      </c>
      <c r="IG157" s="675">
        <v>0</v>
      </c>
      <c r="IH157" s="675">
        <v>0</v>
      </c>
      <c r="II157" s="675">
        <v>0</v>
      </c>
      <c r="IJ157" s="675">
        <v>0</v>
      </c>
      <c r="IK157" s="675">
        <v>0</v>
      </c>
      <c r="IL157" s="675">
        <v>0</v>
      </c>
      <c r="IM157" s="675">
        <v>0</v>
      </c>
      <c r="IN157" s="675">
        <v>0</v>
      </c>
      <c r="IO157" s="675">
        <v>0</v>
      </c>
      <c r="IP157" s="675">
        <v>0</v>
      </c>
      <c r="IQ157" s="675">
        <v>0</v>
      </c>
      <c r="IR157" s="675">
        <v>0</v>
      </c>
      <c r="IS157" s="675">
        <v>0</v>
      </c>
      <c r="IT157" s="675">
        <v>0</v>
      </c>
      <c r="IU157" s="675">
        <v>0</v>
      </c>
      <c r="IV157" s="675">
        <v>0</v>
      </c>
      <c r="IW157" s="675">
        <v>0</v>
      </c>
      <c r="IX157" s="675">
        <v>0</v>
      </c>
      <c r="IY157" s="675">
        <v>0</v>
      </c>
      <c r="IZ157" s="675">
        <v>0</v>
      </c>
      <c r="JA157" s="675">
        <v>0</v>
      </c>
      <c r="JB157" s="675">
        <v>0</v>
      </c>
      <c r="JC157" s="675">
        <v>0</v>
      </c>
      <c r="JD157" s="675">
        <v>0</v>
      </c>
      <c r="JE157" s="675">
        <v>0</v>
      </c>
      <c r="JF157" s="675">
        <v>0</v>
      </c>
      <c r="JG157" s="675">
        <v>0</v>
      </c>
      <c r="JH157" s="675">
        <v>0</v>
      </c>
      <c r="JI157" s="675">
        <v>0</v>
      </c>
      <c r="JJ157" s="675">
        <v>0</v>
      </c>
      <c r="JK157" s="675">
        <v>0</v>
      </c>
      <c r="JL157" s="675">
        <v>0</v>
      </c>
      <c r="JM157" s="675">
        <v>0</v>
      </c>
      <c r="JN157" s="675">
        <v>32469</v>
      </c>
      <c r="JO157" s="675">
        <v>0</v>
      </c>
      <c r="JP157" s="675">
        <v>0</v>
      </c>
      <c r="JQ157" s="675">
        <v>0</v>
      </c>
      <c r="JR157" s="675">
        <v>0</v>
      </c>
      <c r="JS157" s="675">
        <v>0</v>
      </c>
      <c r="JT157" s="675">
        <v>0</v>
      </c>
      <c r="JU157" s="675">
        <v>0</v>
      </c>
      <c r="JV157" s="675">
        <v>0</v>
      </c>
      <c r="JW157" s="675">
        <v>0</v>
      </c>
      <c r="JX157" s="675">
        <v>0</v>
      </c>
      <c r="JY157" s="675">
        <v>0</v>
      </c>
      <c r="JZ157" s="675">
        <v>0</v>
      </c>
      <c r="KA157" s="675">
        <v>0</v>
      </c>
      <c r="KB157" s="675">
        <v>0</v>
      </c>
      <c r="KC157" s="675">
        <v>0</v>
      </c>
      <c r="KD157" s="675">
        <v>0</v>
      </c>
      <c r="KE157" s="675">
        <v>0</v>
      </c>
      <c r="KF157" s="675">
        <v>0</v>
      </c>
    </row>
    <row r="158" spans="1:292" ht="13" x14ac:dyDescent="0.3">
      <c r="A158" s="675">
        <v>220801</v>
      </c>
      <c r="B158" s="675">
        <v>32570</v>
      </c>
      <c r="C158" s="675">
        <v>35</v>
      </c>
      <c r="D158" s="675">
        <v>2022</v>
      </c>
      <c r="E158" s="675">
        <v>5392</v>
      </c>
      <c r="F158" s="675">
        <v>0</v>
      </c>
      <c r="G158" s="675">
        <v>369.505</v>
      </c>
      <c r="H158" s="675">
        <v>353.04200000000003</v>
      </c>
      <c r="I158" s="675">
        <v>353.04200000000003</v>
      </c>
      <c r="J158" s="675">
        <v>369.505</v>
      </c>
      <c r="K158" s="675">
        <v>0</v>
      </c>
      <c r="L158" s="675">
        <v>6554</v>
      </c>
      <c r="M158" s="675">
        <v>0</v>
      </c>
      <c r="N158" s="675">
        <v>0</v>
      </c>
      <c r="O158" s="675">
        <v>0</v>
      </c>
      <c r="P158" s="675">
        <v>367.44100000000003</v>
      </c>
      <c r="Q158" s="675">
        <v>0</v>
      </c>
      <c r="R158" s="676">
        <v>117476</v>
      </c>
      <c r="S158" s="675">
        <v>319.71300000000002</v>
      </c>
      <c r="T158" s="675">
        <v>0</v>
      </c>
      <c r="U158" s="676">
        <v>117476</v>
      </c>
      <c r="V158" s="676">
        <v>5.2650000000000006</v>
      </c>
      <c r="W158" s="676">
        <v>3451</v>
      </c>
      <c r="X158" s="676">
        <v>3451</v>
      </c>
      <c r="Y158" s="675">
        <v>0</v>
      </c>
      <c r="Z158" s="675">
        <v>0</v>
      </c>
      <c r="AA158" s="675">
        <v>1</v>
      </c>
      <c r="AB158" s="675">
        <v>1</v>
      </c>
      <c r="AC158" s="675">
        <v>0</v>
      </c>
      <c r="AD158" s="675" t="s">
        <v>316</v>
      </c>
      <c r="AE158" s="675">
        <v>0</v>
      </c>
      <c r="AF158" s="675">
        <v>0</v>
      </c>
      <c r="AG158" s="675">
        <v>0</v>
      </c>
      <c r="AH158" s="675">
        <v>0</v>
      </c>
      <c r="AI158" s="675">
        <v>0</v>
      </c>
      <c r="AJ158" s="675">
        <v>5104</v>
      </c>
      <c r="AK158" s="675" t="s">
        <v>671</v>
      </c>
      <c r="AL158" s="675" t="s">
        <v>76</v>
      </c>
      <c r="AM158" s="675">
        <v>0</v>
      </c>
      <c r="AN158" s="675">
        <v>0</v>
      </c>
      <c r="AO158" s="675">
        <v>0</v>
      </c>
      <c r="AP158" s="675">
        <v>0</v>
      </c>
      <c r="AQ158" s="675">
        <v>0</v>
      </c>
      <c r="AR158" s="675">
        <v>0</v>
      </c>
      <c r="AS158" s="675">
        <v>0</v>
      </c>
      <c r="AT158" s="675">
        <v>0</v>
      </c>
      <c r="AU158" s="675">
        <v>0</v>
      </c>
      <c r="AV158" s="675">
        <v>94</v>
      </c>
      <c r="AW158" s="675">
        <v>2980502</v>
      </c>
      <c r="AX158" s="675">
        <v>2890480</v>
      </c>
      <c r="AY158" s="675">
        <v>3269247</v>
      </c>
      <c r="AZ158" s="675">
        <v>133260</v>
      </c>
      <c r="BA158" s="676">
        <v>1.8330000000000002</v>
      </c>
      <c r="BB158" s="675">
        <v>0</v>
      </c>
      <c r="BC158" s="675">
        <v>0</v>
      </c>
      <c r="BD158" s="675">
        <v>0</v>
      </c>
      <c r="BE158" s="675">
        <v>0</v>
      </c>
      <c r="BF158" s="675">
        <v>2477712</v>
      </c>
      <c r="BG158" s="675">
        <v>0</v>
      </c>
      <c r="BH158" s="676">
        <v>57.396000000000001</v>
      </c>
      <c r="BI158" s="676">
        <v>15784</v>
      </c>
      <c r="BJ158" s="675">
        <v>12</v>
      </c>
      <c r="BK158" s="675">
        <v>0</v>
      </c>
      <c r="BL158" s="675">
        <v>0</v>
      </c>
      <c r="BM158" s="675">
        <v>0</v>
      </c>
      <c r="BN158" s="675">
        <v>0</v>
      </c>
      <c r="BO158" s="675">
        <v>0</v>
      </c>
      <c r="BP158" s="675">
        <v>0</v>
      </c>
      <c r="BQ158" s="675">
        <v>5392</v>
      </c>
      <c r="BR158" s="675">
        <v>1</v>
      </c>
      <c r="BS158" s="675">
        <v>0</v>
      </c>
      <c r="BT158" s="675">
        <v>0</v>
      </c>
      <c r="BU158" s="675">
        <v>0</v>
      </c>
      <c r="BV158" s="675">
        <v>0</v>
      </c>
      <c r="BW158" s="675">
        <v>0</v>
      </c>
      <c r="BX158" s="675">
        <v>0</v>
      </c>
      <c r="BY158" s="675">
        <v>0</v>
      </c>
      <c r="BZ158" s="675">
        <v>0</v>
      </c>
      <c r="CA158" s="675">
        <v>0</v>
      </c>
      <c r="CB158" s="675">
        <v>0</v>
      </c>
      <c r="CC158" s="675">
        <v>0</v>
      </c>
      <c r="CD158" s="675">
        <v>0</v>
      </c>
      <c r="CE158" s="675">
        <v>0</v>
      </c>
      <c r="CF158" s="675">
        <v>0</v>
      </c>
      <c r="CG158" s="675">
        <v>0</v>
      </c>
      <c r="CH158" s="676">
        <v>74238</v>
      </c>
      <c r="CI158" s="675">
        <v>0</v>
      </c>
      <c r="CJ158" s="675">
        <v>4</v>
      </c>
      <c r="CK158" s="675">
        <v>0</v>
      </c>
      <c r="CL158" s="675">
        <v>0</v>
      </c>
      <c r="CM158" s="675">
        <v>0</v>
      </c>
      <c r="CN158" s="675">
        <v>0</v>
      </c>
      <c r="CO158" s="675">
        <v>0</v>
      </c>
      <c r="CP158" s="675">
        <v>0</v>
      </c>
      <c r="CQ158" s="675">
        <v>2</v>
      </c>
      <c r="CR158" s="675">
        <v>367.44100000000003</v>
      </c>
      <c r="CS158" s="675">
        <v>0</v>
      </c>
      <c r="CT158" s="675">
        <v>0</v>
      </c>
      <c r="CU158" s="675">
        <v>0</v>
      </c>
      <c r="CV158" s="675">
        <v>0</v>
      </c>
      <c r="CW158" s="675">
        <v>0</v>
      </c>
      <c r="CX158" s="675">
        <v>0</v>
      </c>
      <c r="CY158" s="675">
        <v>0</v>
      </c>
      <c r="CZ158" s="675">
        <v>0</v>
      </c>
      <c r="DA158" s="675">
        <v>1</v>
      </c>
      <c r="DB158" s="675">
        <v>2313837</v>
      </c>
      <c r="DC158" s="675">
        <v>0</v>
      </c>
      <c r="DD158" s="675">
        <v>0</v>
      </c>
      <c r="DE158" s="675">
        <v>0</v>
      </c>
      <c r="DF158" s="675">
        <v>0</v>
      </c>
      <c r="DG158" s="675">
        <v>0</v>
      </c>
      <c r="DH158" s="675">
        <v>0</v>
      </c>
      <c r="DI158" s="675">
        <v>0</v>
      </c>
      <c r="DJ158" s="675">
        <v>0</v>
      </c>
      <c r="DK158" s="675">
        <v>5392</v>
      </c>
      <c r="DL158" s="675">
        <v>0</v>
      </c>
      <c r="DM158" s="675">
        <v>96524</v>
      </c>
      <c r="DN158" s="675">
        <v>0</v>
      </c>
      <c r="DO158" s="675">
        <v>0</v>
      </c>
      <c r="DP158" s="675">
        <v>0</v>
      </c>
      <c r="DQ158" s="675">
        <v>0</v>
      </c>
      <c r="DR158" s="675">
        <v>0</v>
      </c>
      <c r="DS158" s="675">
        <v>0</v>
      </c>
      <c r="DT158" s="675">
        <v>0</v>
      </c>
      <c r="DU158" s="675">
        <v>0</v>
      </c>
      <c r="DV158" s="675">
        <v>0</v>
      </c>
      <c r="DW158" s="675">
        <v>0</v>
      </c>
      <c r="DX158" s="675">
        <v>0</v>
      </c>
      <c r="DY158" s="675">
        <v>0</v>
      </c>
      <c r="DZ158" s="675">
        <v>0</v>
      </c>
      <c r="EA158" s="675">
        <v>0</v>
      </c>
      <c r="EB158" s="675">
        <v>0</v>
      </c>
      <c r="EC158" s="675">
        <v>7.7550000000000008</v>
      </c>
      <c r="ED158" s="675">
        <v>55909</v>
      </c>
      <c r="EE158" s="675">
        <v>0</v>
      </c>
      <c r="EF158" s="675">
        <v>0</v>
      </c>
      <c r="EG158" s="675">
        <v>0</v>
      </c>
      <c r="EH158" s="675">
        <v>40615</v>
      </c>
      <c r="EI158" s="675">
        <v>0</v>
      </c>
      <c r="EJ158" s="675">
        <v>0</v>
      </c>
      <c r="EK158" s="675">
        <v>0.85400000000000009</v>
      </c>
      <c r="EL158" s="675">
        <v>0</v>
      </c>
      <c r="EM158" s="675">
        <v>0</v>
      </c>
      <c r="EN158" s="675">
        <v>0.72699999999999998</v>
      </c>
      <c r="EO158" s="675">
        <v>0</v>
      </c>
      <c r="EP158" s="675">
        <v>0</v>
      </c>
      <c r="EQ158" s="675">
        <v>1.5810000000000002</v>
      </c>
      <c r="ER158" s="675">
        <v>0</v>
      </c>
      <c r="ES158" s="675">
        <v>6.1970000000000001</v>
      </c>
      <c r="ET158" s="676">
        <v>1417</v>
      </c>
      <c r="EU158" s="675">
        <v>133260</v>
      </c>
      <c r="EV158" s="675">
        <v>0</v>
      </c>
      <c r="EW158" s="675">
        <v>0</v>
      </c>
      <c r="EX158" s="675">
        <v>0</v>
      </c>
      <c r="EY158" s="675">
        <v>0</v>
      </c>
      <c r="EZ158" s="675">
        <v>2428264</v>
      </c>
      <c r="FA158" s="675">
        <v>0</v>
      </c>
      <c r="FB158" s="676">
        <v>2561524</v>
      </c>
      <c r="FC158" s="675">
        <v>0.97327799999999998</v>
      </c>
      <c r="FD158" s="675">
        <v>0</v>
      </c>
      <c r="FE158" s="675">
        <v>377212</v>
      </c>
      <c r="FF158" s="675">
        <v>85004</v>
      </c>
      <c r="FG158" s="675">
        <v>6.1239999999999996E-2</v>
      </c>
      <c r="FH158" s="675">
        <v>5.4803999999999999E-2</v>
      </c>
      <c r="FI158" s="675">
        <v>0</v>
      </c>
      <c r="FJ158" s="675">
        <v>0</v>
      </c>
      <c r="FK158" s="675">
        <v>485.46200000000005</v>
      </c>
      <c r="FL158" s="675">
        <v>3097978</v>
      </c>
      <c r="FM158" s="675">
        <v>0</v>
      </c>
      <c r="FN158" s="675">
        <v>0</v>
      </c>
      <c r="FO158" s="675">
        <v>0</v>
      </c>
      <c r="FP158" s="675">
        <v>0</v>
      </c>
      <c r="FQ158" s="675">
        <v>0</v>
      </c>
      <c r="FR158" s="675">
        <v>0</v>
      </c>
      <c r="FS158" s="675">
        <v>0</v>
      </c>
      <c r="FT158" s="675">
        <v>0</v>
      </c>
      <c r="FU158" s="675">
        <v>0</v>
      </c>
      <c r="FV158" s="675">
        <v>0</v>
      </c>
      <c r="FW158" s="675">
        <v>0</v>
      </c>
      <c r="FX158" s="675">
        <v>0</v>
      </c>
      <c r="FY158" s="675">
        <v>0</v>
      </c>
      <c r="FZ158" s="675">
        <v>254</v>
      </c>
      <c r="GA158" s="675">
        <v>5.0720000000000001</v>
      </c>
      <c r="GB158" s="676">
        <v>131928</v>
      </c>
      <c r="GC158" s="676">
        <v>131928</v>
      </c>
      <c r="GD158" s="676">
        <v>14.882000000000001</v>
      </c>
      <c r="GE158" s="675">
        <v>0</v>
      </c>
      <c r="GF158" s="675">
        <v>0</v>
      </c>
      <c r="GG158" s="675">
        <v>0</v>
      </c>
      <c r="GH158" s="675">
        <v>0</v>
      </c>
      <c r="GI158" s="675">
        <v>0</v>
      </c>
      <c r="GJ158" s="675">
        <v>0</v>
      </c>
      <c r="GK158" s="675">
        <v>5117</v>
      </c>
      <c r="GL158" s="675">
        <v>9574</v>
      </c>
      <c r="GM158" s="675">
        <v>0</v>
      </c>
      <c r="GN158" s="675">
        <v>0</v>
      </c>
      <c r="GO158" s="675">
        <v>0</v>
      </c>
      <c r="GP158" s="675">
        <v>3023740</v>
      </c>
      <c r="GQ158" s="675">
        <v>3023740</v>
      </c>
      <c r="GR158" s="675">
        <v>0</v>
      </c>
      <c r="GS158" s="675">
        <v>0</v>
      </c>
      <c r="GT158" s="675">
        <v>0</v>
      </c>
      <c r="GU158" s="675">
        <v>0</v>
      </c>
      <c r="GV158" s="675">
        <v>0</v>
      </c>
      <c r="GW158" s="675">
        <v>0</v>
      </c>
      <c r="GX158" s="675">
        <v>0</v>
      </c>
      <c r="GY158" s="675">
        <v>0</v>
      </c>
      <c r="GZ158" s="675">
        <v>0</v>
      </c>
      <c r="HA158" s="675">
        <v>0</v>
      </c>
      <c r="HB158" s="675">
        <v>260786259</v>
      </c>
      <c r="HC158" s="675">
        <v>5.0923999999999997E-2</v>
      </c>
      <c r="HD158" s="676">
        <v>72821</v>
      </c>
      <c r="HE158" s="675">
        <v>0</v>
      </c>
      <c r="HF158" s="675">
        <v>0</v>
      </c>
      <c r="HG158" s="675">
        <v>0</v>
      </c>
      <c r="HH158" s="675">
        <v>0</v>
      </c>
      <c r="HI158" s="675">
        <v>0</v>
      </c>
      <c r="HJ158" s="675">
        <v>0</v>
      </c>
      <c r="HK158" s="675">
        <v>0</v>
      </c>
      <c r="HL158" s="675">
        <v>0</v>
      </c>
      <c r="HM158" s="675">
        <v>0</v>
      </c>
      <c r="HN158" s="675">
        <v>0</v>
      </c>
      <c r="HO158" s="675">
        <v>0</v>
      </c>
      <c r="HP158" s="675">
        <v>0</v>
      </c>
      <c r="HQ158" s="675">
        <v>0</v>
      </c>
      <c r="HR158" s="675">
        <v>0</v>
      </c>
      <c r="HS158" s="675">
        <v>0</v>
      </c>
      <c r="HT158" s="675">
        <v>0</v>
      </c>
      <c r="HU158" s="675">
        <v>0</v>
      </c>
      <c r="HV158" s="675">
        <v>0</v>
      </c>
      <c r="HW158" s="675">
        <v>0</v>
      </c>
      <c r="HX158" s="675">
        <v>0</v>
      </c>
      <c r="HY158" s="675">
        <v>0</v>
      </c>
      <c r="HZ158" s="675">
        <v>0</v>
      </c>
      <c r="IA158" s="675">
        <v>0</v>
      </c>
      <c r="IB158" s="675">
        <v>0</v>
      </c>
      <c r="IC158" s="675">
        <v>0</v>
      </c>
      <c r="ID158" s="675">
        <v>0</v>
      </c>
      <c r="IE158" s="675">
        <v>0</v>
      </c>
      <c r="IF158" s="675">
        <v>0</v>
      </c>
      <c r="IG158" s="675">
        <v>0</v>
      </c>
      <c r="IH158" s="675">
        <v>0</v>
      </c>
      <c r="II158" s="675">
        <v>0</v>
      </c>
      <c r="IJ158" s="675">
        <v>0</v>
      </c>
      <c r="IK158" s="675">
        <v>0</v>
      </c>
      <c r="IL158" s="675">
        <v>0</v>
      </c>
      <c r="IM158" s="675">
        <v>0</v>
      </c>
      <c r="IN158" s="675">
        <v>0</v>
      </c>
      <c r="IO158" s="675">
        <v>0</v>
      </c>
      <c r="IP158" s="675">
        <v>0</v>
      </c>
      <c r="IQ158" s="675">
        <v>0</v>
      </c>
      <c r="IR158" s="675">
        <v>0</v>
      </c>
      <c r="IS158" s="675">
        <v>0</v>
      </c>
      <c r="IT158" s="675">
        <v>0</v>
      </c>
      <c r="IU158" s="675">
        <v>0</v>
      </c>
      <c r="IV158" s="675">
        <v>0</v>
      </c>
      <c r="IW158" s="675">
        <v>0</v>
      </c>
      <c r="IX158" s="675">
        <v>0</v>
      </c>
      <c r="IY158" s="675">
        <v>0</v>
      </c>
      <c r="IZ158" s="675">
        <v>0</v>
      </c>
      <c r="JA158" s="675">
        <v>0</v>
      </c>
      <c r="JB158" s="675">
        <v>0</v>
      </c>
      <c r="JC158" s="675">
        <v>0</v>
      </c>
      <c r="JD158" s="675">
        <v>0</v>
      </c>
      <c r="JE158" s="675">
        <v>0</v>
      </c>
      <c r="JF158" s="675">
        <v>0</v>
      </c>
      <c r="JG158" s="675">
        <v>0</v>
      </c>
      <c r="JH158" s="675">
        <v>0</v>
      </c>
      <c r="JI158" s="675">
        <v>0</v>
      </c>
      <c r="JJ158" s="675">
        <v>0</v>
      </c>
      <c r="JK158" s="675">
        <v>0</v>
      </c>
      <c r="JL158" s="675">
        <v>0</v>
      </c>
      <c r="JM158" s="675">
        <v>0</v>
      </c>
      <c r="JN158" s="675">
        <v>32469</v>
      </c>
      <c r="JO158" s="675">
        <v>0</v>
      </c>
      <c r="JP158" s="675">
        <v>0</v>
      </c>
      <c r="JQ158" s="675">
        <v>0</v>
      </c>
      <c r="JR158" s="675">
        <v>0</v>
      </c>
      <c r="JS158" s="675">
        <v>0</v>
      </c>
      <c r="JT158" s="675">
        <v>0</v>
      </c>
      <c r="JU158" s="675">
        <v>0</v>
      </c>
      <c r="JV158" s="675">
        <v>0</v>
      </c>
      <c r="JW158" s="675">
        <v>0</v>
      </c>
      <c r="JX158" s="675">
        <v>0</v>
      </c>
      <c r="JY158" s="675">
        <v>0</v>
      </c>
      <c r="JZ158" s="675">
        <v>0</v>
      </c>
      <c r="KA158" s="675">
        <v>0</v>
      </c>
      <c r="KB158" s="675">
        <v>0</v>
      </c>
      <c r="KC158" s="675">
        <v>0</v>
      </c>
      <c r="KD158" s="675">
        <v>0</v>
      </c>
      <c r="KE158" s="675">
        <v>0</v>
      </c>
      <c r="KF158" s="675">
        <v>0</v>
      </c>
    </row>
    <row r="159" spans="1:292" x14ac:dyDescent="0.25">
      <c r="A159" s="675">
        <v>220802</v>
      </c>
      <c r="B159" s="675">
        <v>32570</v>
      </c>
      <c r="C159" s="675">
        <v>35</v>
      </c>
      <c r="D159" s="675">
        <v>2022</v>
      </c>
      <c r="E159" s="675">
        <v>5392</v>
      </c>
      <c r="F159" s="675">
        <v>0</v>
      </c>
      <c r="G159" s="675">
        <v>1514.3320000000001</v>
      </c>
      <c r="H159" s="675">
        <v>1501.9750000000001</v>
      </c>
      <c r="I159" s="675">
        <v>1501.9750000000001</v>
      </c>
      <c r="J159" s="675">
        <v>1514.3320000000001</v>
      </c>
      <c r="K159" s="675">
        <v>0</v>
      </c>
      <c r="L159" s="675">
        <v>6554</v>
      </c>
      <c r="M159" s="675">
        <v>0</v>
      </c>
      <c r="N159" s="675">
        <v>0</v>
      </c>
      <c r="O159" s="675">
        <v>0</v>
      </c>
      <c r="P159" s="675">
        <v>1505.816</v>
      </c>
      <c r="Q159" s="675">
        <v>0</v>
      </c>
      <c r="R159" s="675">
        <v>481429</v>
      </c>
      <c r="S159" s="675">
        <v>319.71300000000002</v>
      </c>
      <c r="T159" s="675">
        <v>0</v>
      </c>
      <c r="U159" s="675">
        <v>481429</v>
      </c>
      <c r="V159" s="675">
        <v>89.206000000000003</v>
      </c>
      <c r="W159" s="675">
        <v>58466</v>
      </c>
      <c r="X159" s="675">
        <v>58466</v>
      </c>
      <c r="Y159" s="675">
        <v>0</v>
      </c>
      <c r="Z159" s="675">
        <v>0</v>
      </c>
      <c r="AA159" s="675">
        <v>1</v>
      </c>
      <c r="AB159" s="675">
        <v>1</v>
      </c>
      <c r="AC159" s="675">
        <v>0</v>
      </c>
      <c r="AD159" s="675" t="s">
        <v>316</v>
      </c>
      <c r="AE159" s="675">
        <v>0</v>
      </c>
      <c r="AF159" s="675">
        <v>0</v>
      </c>
      <c r="AG159" s="675">
        <v>0</v>
      </c>
      <c r="AH159" s="675">
        <v>0</v>
      </c>
      <c r="AI159" s="675">
        <v>0</v>
      </c>
      <c r="AJ159" s="675">
        <v>5104</v>
      </c>
      <c r="AK159" s="675" t="s">
        <v>671</v>
      </c>
      <c r="AL159" s="675" t="s">
        <v>77</v>
      </c>
      <c r="AM159" s="675">
        <v>0</v>
      </c>
      <c r="AN159" s="675">
        <v>0</v>
      </c>
      <c r="AO159" s="675">
        <v>0</v>
      </c>
      <c r="AP159" s="675">
        <v>0</v>
      </c>
      <c r="AQ159" s="675">
        <v>0</v>
      </c>
      <c r="AR159" s="675">
        <v>0</v>
      </c>
      <c r="AS159" s="675">
        <v>0</v>
      </c>
      <c r="AT159" s="675">
        <v>0</v>
      </c>
      <c r="AU159" s="675">
        <v>0</v>
      </c>
      <c r="AV159" s="675">
        <v>265</v>
      </c>
      <c r="AW159" s="675">
        <v>12486944</v>
      </c>
      <c r="AX159" s="675">
        <v>12171753</v>
      </c>
      <c r="AY159" s="675">
        <v>13067625</v>
      </c>
      <c r="AZ159" s="675">
        <v>481429</v>
      </c>
      <c r="BA159" s="675">
        <v>33.5</v>
      </c>
      <c r="BB159" s="675">
        <v>0</v>
      </c>
      <c r="BC159" s="675">
        <v>0</v>
      </c>
      <c r="BD159" s="675">
        <v>0</v>
      </c>
      <c r="BE159" s="675">
        <v>0</v>
      </c>
      <c r="BF159" s="675">
        <v>10422671</v>
      </c>
      <c r="BG159" s="675">
        <v>0</v>
      </c>
      <c r="BH159" s="675">
        <v>0</v>
      </c>
      <c r="BI159" s="675">
        <v>0</v>
      </c>
      <c r="BJ159" s="675">
        <v>12</v>
      </c>
      <c r="BK159" s="675">
        <v>0</v>
      </c>
      <c r="BL159" s="675">
        <v>0</v>
      </c>
      <c r="BM159" s="675">
        <v>0</v>
      </c>
      <c r="BN159" s="675">
        <v>0</v>
      </c>
      <c r="BO159" s="675">
        <v>0</v>
      </c>
      <c r="BP159" s="675">
        <v>0</v>
      </c>
      <c r="BQ159" s="675">
        <v>5392</v>
      </c>
      <c r="BR159" s="675">
        <v>1</v>
      </c>
      <c r="BS159" s="675">
        <v>0</v>
      </c>
      <c r="BT159" s="675">
        <v>0</v>
      </c>
      <c r="BU159" s="675">
        <v>0</v>
      </c>
      <c r="BV159" s="675">
        <v>0</v>
      </c>
      <c r="BW159" s="675">
        <v>0</v>
      </c>
      <c r="BX159" s="675">
        <v>0</v>
      </c>
      <c r="BY159" s="675">
        <v>0</v>
      </c>
      <c r="BZ159" s="675">
        <v>0</v>
      </c>
      <c r="CA159" s="675">
        <v>0</v>
      </c>
      <c r="CB159" s="675">
        <v>0</v>
      </c>
      <c r="CC159" s="675">
        <v>0</v>
      </c>
      <c r="CD159" s="675">
        <v>0</v>
      </c>
      <c r="CE159" s="675">
        <v>0</v>
      </c>
      <c r="CF159" s="675">
        <v>0</v>
      </c>
      <c r="CG159" s="675">
        <v>0</v>
      </c>
      <c r="CH159" s="675">
        <v>315191</v>
      </c>
      <c r="CI159" s="675">
        <v>0</v>
      </c>
      <c r="CJ159" s="675">
        <v>4</v>
      </c>
      <c r="CK159" s="675">
        <v>0</v>
      </c>
      <c r="CL159" s="675">
        <v>0</v>
      </c>
      <c r="CM159" s="675">
        <v>0</v>
      </c>
      <c r="CN159" s="675">
        <v>0</v>
      </c>
      <c r="CO159" s="675">
        <v>0</v>
      </c>
      <c r="CP159" s="675">
        <v>0</v>
      </c>
      <c r="CQ159" s="675">
        <v>0</v>
      </c>
      <c r="CR159" s="675">
        <v>1505.816</v>
      </c>
      <c r="CS159" s="675">
        <v>0</v>
      </c>
      <c r="CT159" s="675">
        <v>0</v>
      </c>
      <c r="CU159" s="675">
        <v>0</v>
      </c>
      <c r="CV159" s="675">
        <v>0</v>
      </c>
      <c r="CW159" s="675">
        <v>0</v>
      </c>
      <c r="CX159" s="675">
        <v>0</v>
      </c>
      <c r="CY159" s="675">
        <v>0</v>
      </c>
      <c r="CZ159" s="675">
        <v>0</v>
      </c>
      <c r="DA159" s="675">
        <v>1</v>
      </c>
      <c r="DB159" s="675">
        <v>9843944</v>
      </c>
      <c r="DC159" s="675">
        <v>0</v>
      </c>
      <c r="DD159" s="675">
        <v>0</v>
      </c>
      <c r="DE159" s="675">
        <v>434307</v>
      </c>
      <c r="DF159" s="675">
        <v>434307</v>
      </c>
      <c r="DG159" s="675">
        <v>331.33</v>
      </c>
      <c r="DH159" s="675">
        <v>0</v>
      </c>
      <c r="DI159" s="675">
        <v>0</v>
      </c>
      <c r="DJ159" s="675">
        <v>0</v>
      </c>
      <c r="DK159" s="675">
        <v>5392</v>
      </c>
      <c r="DL159" s="675">
        <v>0</v>
      </c>
      <c r="DM159" s="675">
        <v>372121</v>
      </c>
      <c r="DN159" s="675">
        <v>0</v>
      </c>
      <c r="DO159" s="675">
        <v>0</v>
      </c>
      <c r="DP159" s="675">
        <v>0</v>
      </c>
      <c r="DQ159" s="675">
        <v>0</v>
      </c>
      <c r="DR159" s="675">
        <v>0</v>
      </c>
      <c r="DS159" s="675">
        <v>0</v>
      </c>
      <c r="DT159" s="675">
        <v>0</v>
      </c>
      <c r="DU159" s="675">
        <v>0</v>
      </c>
      <c r="DV159" s="675">
        <v>0</v>
      </c>
      <c r="DW159" s="675">
        <v>0</v>
      </c>
      <c r="DX159" s="675">
        <v>0</v>
      </c>
      <c r="DY159" s="675">
        <v>0</v>
      </c>
      <c r="DZ159" s="675">
        <v>0</v>
      </c>
      <c r="EA159" s="675">
        <v>0</v>
      </c>
      <c r="EB159" s="675">
        <v>0</v>
      </c>
      <c r="EC159" s="675">
        <v>15.886000000000001</v>
      </c>
      <c r="ED159" s="675">
        <v>114529</v>
      </c>
      <c r="EE159" s="675">
        <v>0</v>
      </c>
      <c r="EF159" s="675">
        <v>0</v>
      </c>
      <c r="EG159" s="675">
        <v>0</v>
      </c>
      <c r="EH159" s="675">
        <v>257592</v>
      </c>
      <c r="EI159" s="675">
        <v>0</v>
      </c>
      <c r="EJ159" s="675">
        <v>0</v>
      </c>
      <c r="EK159" s="675">
        <v>11.062000000000001</v>
      </c>
      <c r="EL159" s="675">
        <v>0</v>
      </c>
      <c r="EM159" s="675">
        <v>0.17900000000000002</v>
      </c>
      <c r="EN159" s="675">
        <v>1.1160000000000001</v>
      </c>
      <c r="EO159" s="675">
        <v>0</v>
      </c>
      <c r="EP159" s="675">
        <v>0</v>
      </c>
      <c r="EQ159" s="675">
        <v>12.357000000000001</v>
      </c>
      <c r="ER159" s="675">
        <v>0</v>
      </c>
      <c r="ES159" s="675">
        <v>39.303000000000004</v>
      </c>
      <c r="ET159" s="675">
        <v>16750</v>
      </c>
      <c r="EU159" s="675">
        <v>481429</v>
      </c>
      <c r="EV159" s="675">
        <v>0</v>
      </c>
      <c r="EW159" s="675">
        <v>0</v>
      </c>
      <c r="EX159" s="675">
        <v>0</v>
      </c>
      <c r="EY159" s="675">
        <v>0</v>
      </c>
      <c r="EZ159" s="675">
        <v>10227409</v>
      </c>
      <c r="FA159" s="675">
        <v>0</v>
      </c>
      <c r="FB159" s="675">
        <v>10708838</v>
      </c>
      <c r="FC159" s="675">
        <v>0.97327799999999998</v>
      </c>
      <c r="FD159" s="675">
        <v>0</v>
      </c>
      <c r="FE159" s="675">
        <v>1586768</v>
      </c>
      <c r="FF159" s="675">
        <v>357576</v>
      </c>
      <c r="FG159" s="675">
        <v>6.1239999999999996E-2</v>
      </c>
      <c r="FH159" s="675">
        <v>5.4803999999999999E-2</v>
      </c>
      <c r="FI159" s="675">
        <v>0</v>
      </c>
      <c r="FJ159" s="675">
        <v>0</v>
      </c>
      <c r="FK159" s="675">
        <v>2042.13</v>
      </c>
      <c r="FL159" s="675">
        <v>12968373</v>
      </c>
      <c r="FM159" s="675">
        <v>0</v>
      </c>
      <c r="FN159" s="675">
        <v>0</v>
      </c>
      <c r="FO159" s="675">
        <v>0</v>
      </c>
      <c r="FP159" s="675">
        <v>0</v>
      </c>
      <c r="FQ159" s="675">
        <v>0</v>
      </c>
      <c r="FR159" s="675">
        <v>0</v>
      </c>
      <c r="FS159" s="675">
        <v>0</v>
      </c>
      <c r="FT159" s="675">
        <v>0</v>
      </c>
      <c r="FU159" s="675">
        <v>0</v>
      </c>
      <c r="FV159" s="675">
        <v>0</v>
      </c>
      <c r="FW159" s="675">
        <v>0</v>
      </c>
      <c r="FX159" s="675">
        <v>0</v>
      </c>
      <c r="FY159" s="675">
        <v>0</v>
      </c>
      <c r="FZ159" s="675">
        <v>0</v>
      </c>
      <c r="GA159" s="675">
        <v>0</v>
      </c>
      <c r="GB159" s="675">
        <v>0</v>
      </c>
      <c r="GC159" s="675">
        <v>0</v>
      </c>
      <c r="GD159" s="675">
        <v>0</v>
      </c>
      <c r="GE159" s="675">
        <v>0</v>
      </c>
      <c r="GF159" s="675">
        <v>0</v>
      </c>
      <c r="GG159" s="675">
        <v>0</v>
      </c>
      <c r="GH159" s="675">
        <v>0</v>
      </c>
      <c r="GI159" s="675">
        <v>0</v>
      </c>
      <c r="GJ159" s="675">
        <v>0</v>
      </c>
      <c r="GK159" s="675">
        <v>5007</v>
      </c>
      <c r="GL159" s="675">
        <v>12730</v>
      </c>
      <c r="GM159" s="675">
        <v>0</v>
      </c>
      <c r="GN159" s="675">
        <v>0</v>
      </c>
      <c r="GO159" s="675">
        <v>0</v>
      </c>
      <c r="GP159" s="675">
        <v>12653182</v>
      </c>
      <c r="GQ159" s="675">
        <v>12653182</v>
      </c>
      <c r="GR159" s="675">
        <v>0</v>
      </c>
      <c r="GS159" s="675">
        <v>0</v>
      </c>
      <c r="GT159" s="675">
        <v>0</v>
      </c>
      <c r="GU159" s="675">
        <v>0</v>
      </c>
      <c r="GV159" s="675">
        <v>0</v>
      </c>
      <c r="GW159" s="675">
        <v>0</v>
      </c>
      <c r="GX159" s="675">
        <v>0</v>
      </c>
      <c r="GY159" s="675">
        <v>0</v>
      </c>
      <c r="GZ159" s="675">
        <v>0</v>
      </c>
      <c r="HA159" s="675">
        <v>0</v>
      </c>
      <c r="HB159" s="675">
        <v>260786259</v>
      </c>
      <c r="HC159" s="675">
        <v>5.0923999999999997E-2</v>
      </c>
      <c r="HD159" s="675">
        <v>298441</v>
      </c>
      <c r="HE159" s="675">
        <v>0</v>
      </c>
      <c r="HF159" s="675">
        <v>0</v>
      </c>
      <c r="HG159" s="675">
        <v>0</v>
      </c>
      <c r="HH159" s="675">
        <v>0</v>
      </c>
      <c r="HI159" s="675">
        <v>0</v>
      </c>
      <c r="HJ159" s="675">
        <v>0</v>
      </c>
      <c r="HK159" s="675">
        <v>0</v>
      </c>
      <c r="HL159" s="675">
        <v>0</v>
      </c>
      <c r="HM159" s="675">
        <v>0</v>
      </c>
      <c r="HN159" s="675">
        <v>0</v>
      </c>
      <c r="HO159" s="675">
        <v>0</v>
      </c>
      <c r="HP159" s="675">
        <v>0</v>
      </c>
      <c r="HQ159" s="675">
        <v>0</v>
      </c>
      <c r="HR159" s="675">
        <v>0</v>
      </c>
      <c r="HS159" s="675">
        <v>0</v>
      </c>
      <c r="HT159" s="675">
        <v>0</v>
      </c>
      <c r="HU159" s="675">
        <v>0</v>
      </c>
      <c r="HV159" s="675">
        <v>0</v>
      </c>
      <c r="HW159" s="675">
        <v>0</v>
      </c>
      <c r="HX159" s="675">
        <v>0</v>
      </c>
      <c r="HY159" s="675">
        <v>0</v>
      </c>
      <c r="HZ159" s="675">
        <v>0</v>
      </c>
      <c r="IA159" s="675">
        <v>0</v>
      </c>
      <c r="IB159" s="675">
        <v>0</v>
      </c>
      <c r="IC159" s="675">
        <v>0</v>
      </c>
      <c r="ID159" s="675">
        <v>0</v>
      </c>
      <c r="IE159" s="675">
        <v>0</v>
      </c>
      <c r="IF159" s="675">
        <v>0</v>
      </c>
      <c r="IG159" s="675">
        <v>0</v>
      </c>
      <c r="IH159" s="675">
        <v>0</v>
      </c>
      <c r="II159" s="675">
        <v>0</v>
      </c>
      <c r="IJ159" s="675">
        <v>0</v>
      </c>
      <c r="IK159" s="675">
        <v>0</v>
      </c>
      <c r="IL159" s="675">
        <v>0</v>
      </c>
      <c r="IM159" s="675">
        <v>0</v>
      </c>
      <c r="IN159" s="675">
        <v>0</v>
      </c>
      <c r="IO159" s="675">
        <v>0</v>
      </c>
      <c r="IP159" s="675">
        <v>0</v>
      </c>
      <c r="IQ159" s="675">
        <v>0</v>
      </c>
      <c r="IR159" s="675">
        <v>0</v>
      </c>
      <c r="IS159" s="675">
        <v>0</v>
      </c>
      <c r="IT159" s="675">
        <v>0</v>
      </c>
      <c r="IU159" s="675">
        <v>0</v>
      </c>
      <c r="IV159" s="675">
        <v>0</v>
      </c>
      <c r="IW159" s="675">
        <v>0</v>
      </c>
      <c r="IX159" s="675">
        <v>0</v>
      </c>
      <c r="IY159" s="675">
        <v>0</v>
      </c>
      <c r="IZ159" s="675">
        <v>0</v>
      </c>
      <c r="JA159" s="675">
        <v>0</v>
      </c>
      <c r="JB159" s="675">
        <v>0</v>
      </c>
      <c r="JC159" s="675">
        <v>0</v>
      </c>
      <c r="JD159" s="675">
        <v>0</v>
      </c>
      <c r="JE159" s="675">
        <v>0</v>
      </c>
      <c r="JF159" s="675">
        <v>0</v>
      </c>
      <c r="JG159" s="675">
        <v>0</v>
      </c>
      <c r="JH159" s="675">
        <v>0</v>
      </c>
      <c r="JI159" s="675">
        <v>0</v>
      </c>
      <c r="JJ159" s="675">
        <v>0</v>
      </c>
      <c r="JK159" s="675">
        <v>0</v>
      </c>
      <c r="JL159" s="675">
        <v>0</v>
      </c>
      <c r="JM159" s="675">
        <v>0</v>
      </c>
      <c r="JN159" s="675">
        <v>32469</v>
      </c>
      <c r="JO159" s="675">
        <v>0</v>
      </c>
      <c r="JP159" s="675">
        <v>0</v>
      </c>
      <c r="JQ159" s="675">
        <v>0</v>
      </c>
      <c r="JR159" s="675">
        <v>0</v>
      </c>
      <c r="JS159" s="675">
        <v>0</v>
      </c>
      <c r="JT159" s="675">
        <v>0</v>
      </c>
      <c r="JU159" s="675">
        <v>0</v>
      </c>
      <c r="JV159" s="675">
        <v>0</v>
      </c>
      <c r="JW159" s="675">
        <v>0</v>
      </c>
      <c r="JX159" s="675">
        <v>0</v>
      </c>
      <c r="JY159" s="675">
        <v>0</v>
      </c>
      <c r="JZ159" s="675">
        <v>0</v>
      </c>
      <c r="KA159" s="675">
        <v>0</v>
      </c>
      <c r="KB159" s="675">
        <v>0</v>
      </c>
      <c r="KC159" s="675">
        <v>0</v>
      </c>
      <c r="KD159" s="675">
        <v>0</v>
      </c>
      <c r="KE159" s="675">
        <v>0</v>
      </c>
      <c r="KF159" s="675">
        <v>0</v>
      </c>
    </row>
    <row r="160" spans="1:292" x14ac:dyDescent="0.25">
      <c r="A160" s="675">
        <v>220809</v>
      </c>
      <c r="B160" s="675">
        <v>32570</v>
      </c>
      <c r="C160" s="675">
        <v>35</v>
      </c>
      <c r="D160" s="675">
        <v>2022</v>
      </c>
      <c r="E160" s="675">
        <v>5392</v>
      </c>
      <c r="F160" s="675">
        <v>0</v>
      </c>
      <c r="G160" s="675">
        <v>500.78700000000003</v>
      </c>
      <c r="H160" s="675">
        <v>466.13500000000005</v>
      </c>
      <c r="I160" s="675">
        <v>466.13500000000005</v>
      </c>
      <c r="J160" s="675">
        <v>500.78700000000003</v>
      </c>
      <c r="K160" s="675">
        <v>0</v>
      </c>
      <c r="L160" s="675">
        <v>6554</v>
      </c>
      <c r="M160" s="675">
        <v>0</v>
      </c>
      <c r="N160" s="675">
        <v>0</v>
      </c>
      <c r="O160" s="675">
        <v>0</v>
      </c>
      <c r="P160" s="675">
        <v>551.28200000000004</v>
      </c>
      <c r="Q160" s="675">
        <v>0</v>
      </c>
      <c r="R160" s="675">
        <v>176252</v>
      </c>
      <c r="S160" s="675">
        <v>319.71300000000002</v>
      </c>
      <c r="T160" s="675">
        <v>0</v>
      </c>
      <c r="U160" s="675">
        <v>176252</v>
      </c>
      <c r="V160" s="675">
        <v>3.7770000000000001</v>
      </c>
      <c r="W160" s="675">
        <v>2475</v>
      </c>
      <c r="X160" s="675">
        <v>2475</v>
      </c>
      <c r="Y160" s="675">
        <v>0</v>
      </c>
      <c r="Z160" s="675">
        <v>0</v>
      </c>
      <c r="AA160" s="675">
        <v>1</v>
      </c>
      <c r="AB160" s="675">
        <v>1</v>
      </c>
      <c r="AC160" s="675">
        <v>0</v>
      </c>
      <c r="AD160" s="675" t="s">
        <v>316</v>
      </c>
      <c r="AE160" s="675">
        <v>0</v>
      </c>
      <c r="AF160" s="675">
        <v>0</v>
      </c>
      <c r="AG160" s="675">
        <v>0</v>
      </c>
      <c r="AH160" s="675">
        <v>0</v>
      </c>
      <c r="AI160" s="675">
        <v>0</v>
      </c>
      <c r="AJ160" s="675">
        <v>5104</v>
      </c>
      <c r="AK160" s="675" t="s">
        <v>671</v>
      </c>
      <c r="AL160" s="675" t="s">
        <v>78</v>
      </c>
      <c r="AM160" s="675">
        <v>0</v>
      </c>
      <c r="AN160" s="675">
        <v>0</v>
      </c>
      <c r="AO160" s="675">
        <v>0</v>
      </c>
      <c r="AP160" s="675">
        <v>0</v>
      </c>
      <c r="AQ160" s="675">
        <v>0</v>
      </c>
      <c r="AR160" s="675">
        <v>0</v>
      </c>
      <c r="AS160" s="675">
        <v>0</v>
      </c>
      <c r="AT160" s="675">
        <v>0</v>
      </c>
      <c r="AU160" s="675">
        <v>0</v>
      </c>
      <c r="AV160" s="675">
        <v>6368</v>
      </c>
      <c r="AW160" s="675">
        <v>4139056</v>
      </c>
      <c r="AX160" s="675">
        <v>3986289</v>
      </c>
      <c r="AY160" s="675">
        <v>4390995</v>
      </c>
      <c r="AZ160" s="675">
        <v>226262</v>
      </c>
      <c r="BA160" s="675">
        <v>7.25</v>
      </c>
      <c r="BB160" s="675">
        <v>19693</v>
      </c>
      <c r="BC160" s="675">
        <v>19693</v>
      </c>
      <c r="BD160" s="675">
        <v>25.039000000000001</v>
      </c>
      <c r="BE160" s="675">
        <v>0</v>
      </c>
      <c r="BF160" s="675">
        <v>3428766</v>
      </c>
      <c r="BG160" s="675">
        <v>0</v>
      </c>
      <c r="BH160" s="675">
        <v>181.85300000000001</v>
      </c>
      <c r="BI160" s="675">
        <v>50010</v>
      </c>
      <c r="BJ160" s="675">
        <v>12</v>
      </c>
      <c r="BK160" s="675">
        <v>0</v>
      </c>
      <c r="BL160" s="675">
        <v>0</v>
      </c>
      <c r="BM160" s="675">
        <v>0</v>
      </c>
      <c r="BN160" s="675">
        <v>0</v>
      </c>
      <c r="BO160" s="675">
        <v>0</v>
      </c>
      <c r="BP160" s="675">
        <v>0</v>
      </c>
      <c r="BQ160" s="675">
        <v>5392</v>
      </c>
      <c r="BR160" s="675">
        <v>1</v>
      </c>
      <c r="BS160" s="675">
        <v>0</v>
      </c>
      <c r="BT160" s="675">
        <v>0</v>
      </c>
      <c r="BU160" s="675">
        <v>0</v>
      </c>
      <c r="BV160" s="675">
        <v>0</v>
      </c>
      <c r="BW160" s="675">
        <v>0</v>
      </c>
      <c r="BX160" s="675">
        <v>0</v>
      </c>
      <c r="BY160" s="675">
        <v>0</v>
      </c>
      <c r="BZ160" s="675">
        <v>0</v>
      </c>
      <c r="CA160" s="675">
        <v>0</v>
      </c>
      <c r="CB160" s="675">
        <v>0</v>
      </c>
      <c r="CC160" s="675">
        <v>0</v>
      </c>
      <c r="CD160" s="675">
        <v>0</v>
      </c>
      <c r="CE160" s="675">
        <v>0</v>
      </c>
      <c r="CF160" s="675">
        <v>0</v>
      </c>
      <c r="CG160" s="675">
        <v>0</v>
      </c>
      <c r="CH160" s="675">
        <v>102757</v>
      </c>
      <c r="CI160" s="675">
        <v>0</v>
      </c>
      <c r="CJ160" s="675">
        <v>4</v>
      </c>
      <c r="CK160" s="675">
        <v>0</v>
      </c>
      <c r="CL160" s="675">
        <v>0</v>
      </c>
      <c r="CM160" s="675">
        <v>0</v>
      </c>
      <c r="CN160" s="675">
        <v>0</v>
      </c>
      <c r="CO160" s="675">
        <v>0</v>
      </c>
      <c r="CP160" s="675">
        <v>0</v>
      </c>
      <c r="CQ160" s="675">
        <v>1.75</v>
      </c>
      <c r="CR160" s="675">
        <v>551.28200000000004</v>
      </c>
      <c r="CS160" s="675">
        <v>0</v>
      </c>
      <c r="CT160" s="675">
        <v>0</v>
      </c>
      <c r="CU160" s="675">
        <v>0</v>
      </c>
      <c r="CV160" s="675">
        <v>0</v>
      </c>
      <c r="CW160" s="675">
        <v>0</v>
      </c>
      <c r="CX160" s="675">
        <v>0</v>
      </c>
      <c r="CY160" s="675">
        <v>0</v>
      </c>
      <c r="CZ160" s="675">
        <v>0</v>
      </c>
      <c r="DA160" s="675">
        <v>1</v>
      </c>
      <c r="DB160" s="675">
        <v>3055049</v>
      </c>
      <c r="DC160" s="675">
        <v>0</v>
      </c>
      <c r="DD160" s="675">
        <v>0</v>
      </c>
      <c r="DE160" s="675">
        <v>0</v>
      </c>
      <c r="DF160" s="675">
        <v>0</v>
      </c>
      <c r="DG160" s="675">
        <v>0</v>
      </c>
      <c r="DH160" s="675">
        <v>0</v>
      </c>
      <c r="DI160" s="675">
        <v>0</v>
      </c>
      <c r="DJ160" s="675">
        <v>0</v>
      </c>
      <c r="DK160" s="675">
        <v>5392</v>
      </c>
      <c r="DL160" s="675">
        <v>0</v>
      </c>
      <c r="DM160" s="675">
        <v>200502</v>
      </c>
      <c r="DN160" s="675">
        <v>0</v>
      </c>
      <c r="DO160" s="675">
        <v>0</v>
      </c>
      <c r="DP160" s="675">
        <v>0</v>
      </c>
      <c r="DQ160" s="675">
        <v>0</v>
      </c>
      <c r="DR160" s="675">
        <v>0</v>
      </c>
      <c r="DS160" s="675">
        <v>0</v>
      </c>
      <c r="DT160" s="675">
        <v>0</v>
      </c>
      <c r="DU160" s="675">
        <v>0</v>
      </c>
      <c r="DV160" s="675">
        <v>0</v>
      </c>
      <c r="DW160" s="675">
        <v>0</v>
      </c>
      <c r="DX160" s="675">
        <v>0</v>
      </c>
      <c r="DY160" s="675">
        <v>0</v>
      </c>
      <c r="DZ160" s="675">
        <v>0</v>
      </c>
      <c r="EA160" s="675">
        <v>0.10200000000000001</v>
      </c>
      <c r="EB160" s="675">
        <v>0</v>
      </c>
      <c r="EC160" s="675">
        <v>8.1120000000000001</v>
      </c>
      <c r="ED160" s="675">
        <v>58483</v>
      </c>
      <c r="EE160" s="675">
        <v>0</v>
      </c>
      <c r="EF160" s="675">
        <v>0</v>
      </c>
      <c r="EG160" s="675">
        <v>0</v>
      </c>
      <c r="EH160" s="675">
        <v>142019</v>
      </c>
      <c r="EI160" s="675">
        <v>0</v>
      </c>
      <c r="EJ160" s="675">
        <v>0</v>
      </c>
      <c r="EK160" s="675">
        <v>6.6030000000000006</v>
      </c>
      <c r="EL160" s="675">
        <v>0</v>
      </c>
      <c r="EM160" s="675">
        <v>0</v>
      </c>
      <c r="EN160" s="675">
        <v>0.27</v>
      </c>
      <c r="EO160" s="675">
        <v>0</v>
      </c>
      <c r="EP160" s="675">
        <v>0</v>
      </c>
      <c r="EQ160" s="675">
        <v>6.9750000000000005</v>
      </c>
      <c r="ER160" s="675">
        <v>0</v>
      </c>
      <c r="ES160" s="675">
        <v>21.669</v>
      </c>
      <c r="ET160" s="675">
        <v>4063</v>
      </c>
      <c r="EU160" s="675">
        <v>226262</v>
      </c>
      <c r="EV160" s="675">
        <v>0</v>
      </c>
      <c r="EW160" s="675">
        <v>0</v>
      </c>
      <c r="EX160" s="675">
        <v>0</v>
      </c>
      <c r="EY160" s="675">
        <v>0</v>
      </c>
      <c r="EZ160" s="675">
        <v>3346655</v>
      </c>
      <c r="FA160" s="675">
        <v>0</v>
      </c>
      <c r="FB160" s="675">
        <v>3572917</v>
      </c>
      <c r="FC160" s="675">
        <v>0.97327799999999998</v>
      </c>
      <c r="FD160" s="675">
        <v>0</v>
      </c>
      <c r="FE160" s="675">
        <v>522002</v>
      </c>
      <c r="FF160" s="675">
        <v>117632</v>
      </c>
      <c r="FG160" s="675">
        <v>6.1239999999999996E-2</v>
      </c>
      <c r="FH160" s="675">
        <v>5.4803999999999999E-2</v>
      </c>
      <c r="FI160" s="675">
        <v>0</v>
      </c>
      <c r="FJ160" s="675">
        <v>0</v>
      </c>
      <c r="FK160" s="675">
        <v>671.803</v>
      </c>
      <c r="FL160" s="675">
        <v>4315308</v>
      </c>
      <c r="FM160" s="675">
        <v>0</v>
      </c>
      <c r="FN160" s="675">
        <v>0</v>
      </c>
      <c r="FO160" s="675">
        <v>0</v>
      </c>
      <c r="FP160" s="675">
        <v>0</v>
      </c>
      <c r="FQ160" s="675">
        <v>0</v>
      </c>
      <c r="FR160" s="675">
        <v>0</v>
      </c>
      <c r="FS160" s="675">
        <v>0</v>
      </c>
      <c r="FT160" s="675">
        <v>0</v>
      </c>
      <c r="FU160" s="675">
        <v>0</v>
      </c>
      <c r="FV160" s="675">
        <v>0</v>
      </c>
      <c r="FW160" s="675">
        <v>0</v>
      </c>
      <c r="FX160" s="675">
        <v>0</v>
      </c>
      <c r="FY160" s="675">
        <v>0</v>
      </c>
      <c r="FZ160" s="675">
        <v>305</v>
      </c>
      <c r="GA160" s="675">
        <v>6.0990000000000002</v>
      </c>
      <c r="GB160" s="675">
        <v>245188</v>
      </c>
      <c r="GC160" s="675">
        <v>245188</v>
      </c>
      <c r="GD160" s="675">
        <v>27.677</v>
      </c>
      <c r="GE160" s="675">
        <v>0</v>
      </c>
      <c r="GF160" s="675">
        <v>0</v>
      </c>
      <c r="GG160" s="675">
        <v>0</v>
      </c>
      <c r="GH160" s="675">
        <v>0</v>
      </c>
      <c r="GI160" s="675">
        <v>0</v>
      </c>
      <c r="GJ160" s="675">
        <v>0</v>
      </c>
      <c r="GK160" s="675">
        <v>5169</v>
      </c>
      <c r="GL160" s="675">
        <v>10852</v>
      </c>
      <c r="GM160" s="675">
        <v>0</v>
      </c>
      <c r="GN160" s="675">
        <v>0</v>
      </c>
      <c r="GO160" s="675">
        <v>0</v>
      </c>
      <c r="GP160" s="675">
        <v>4212551</v>
      </c>
      <c r="GQ160" s="675">
        <v>4212551</v>
      </c>
      <c r="GR160" s="675">
        <v>0</v>
      </c>
      <c r="GS160" s="675">
        <v>0</v>
      </c>
      <c r="GT160" s="675">
        <v>0</v>
      </c>
      <c r="GU160" s="675">
        <v>0</v>
      </c>
      <c r="GV160" s="675">
        <v>0</v>
      </c>
      <c r="GW160" s="675">
        <v>0</v>
      </c>
      <c r="GX160" s="675">
        <v>0</v>
      </c>
      <c r="GY160" s="675">
        <v>0</v>
      </c>
      <c r="GZ160" s="675">
        <v>0</v>
      </c>
      <c r="HA160" s="675">
        <v>0</v>
      </c>
      <c r="HB160" s="675">
        <v>260786259</v>
      </c>
      <c r="HC160" s="675">
        <v>5.0923999999999997E-2</v>
      </c>
      <c r="HD160" s="675">
        <v>98694</v>
      </c>
      <c r="HE160" s="675">
        <v>0</v>
      </c>
      <c r="HF160" s="675">
        <v>0</v>
      </c>
      <c r="HG160" s="675">
        <v>0</v>
      </c>
      <c r="HH160" s="675">
        <v>0</v>
      </c>
      <c r="HI160" s="675">
        <v>0</v>
      </c>
      <c r="HJ160" s="675">
        <v>0</v>
      </c>
      <c r="HK160" s="675">
        <v>0</v>
      </c>
      <c r="HL160" s="675">
        <v>0</v>
      </c>
      <c r="HM160" s="675">
        <v>0</v>
      </c>
      <c r="HN160" s="675">
        <v>0</v>
      </c>
      <c r="HO160" s="675">
        <v>0</v>
      </c>
      <c r="HP160" s="675">
        <v>0</v>
      </c>
      <c r="HQ160" s="675">
        <v>0</v>
      </c>
      <c r="HR160" s="675">
        <v>0</v>
      </c>
      <c r="HS160" s="675">
        <v>0</v>
      </c>
      <c r="HT160" s="675">
        <v>0</v>
      </c>
      <c r="HU160" s="675">
        <v>0</v>
      </c>
      <c r="HV160" s="675">
        <v>0</v>
      </c>
      <c r="HW160" s="675">
        <v>0</v>
      </c>
      <c r="HX160" s="675">
        <v>0</v>
      </c>
      <c r="HY160" s="675">
        <v>0</v>
      </c>
      <c r="HZ160" s="675">
        <v>0</v>
      </c>
      <c r="IA160" s="675">
        <v>0</v>
      </c>
      <c r="IB160" s="675">
        <v>0</v>
      </c>
      <c r="IC160" s="675">
        <v>0</v>
      </c>
      <c r="ID160" s="675">
        <v>0</v>
      </c>
      <c r="IE160" s="675">
        <v>0</v>
      </c>
      <c r="IF160" s="675">
        <v>0</v>
      </c>
      <c r="IG160" s="675">
        <v>0</v>
      </c>
      <c r="IH160" s="675">
        <v>0</v>
      </c>
      <c r="II160" s="675">
        <v>0</v>
      </c>
      <c r="IJ160" s="675">
        <v>0</v>
      </c>
      <c r="IK160" s="675">
        <v>0</v>
      </c>
      <c r="IL160" s="675">
        <v>0</v>
      </c>
      <c r="IM160" s="675">
        <v>0</v>
      </c>
      <c r="IN160" s="675">
        <v>0</v>
      </c>
      <c r="IO160" s="675">
        <v>0</v>
      </c>
      <c r="IP160" s="675">
        <v>0</v>
      </c>
      <c r="IQ160" s="675">
        <v>0</v>
      </c>
      <c r="IR160" s="675">
        <v>0</v>
      </c>
      <c r="IS160" s="675">
        <v>0</v>
      </c>
      <c r="IT160" s="675">
        <v>0</v>
      </c>
      <c r="IU160" s="675">
        <v>0</v>
      </c>
      <c r="IV160" s="675">
        <v>0</v>
      </c>
      <c r="IW160" s="675">
        <v>0</v>
      </c>
      <c r="IX160" s="675">
        <v>0</v>
      </c>
      <c r="IY160" s="675">
        <v>0</v>
      </c>
      <c r="IZ160" s="675">
        <v>0</v>
      </c>
      <c r="JA160" s="675">
        <v>0</v>
      </c>
      <c r="JB160" s="675">
        <v>0</v>
      </c>
      <c r="JC160" s="675">
        <v>0</v>
      </c>
      <c r="JD160" s="675">
        <v>0</v>
      </c>
      <c r="JE160" s="675">
        <v>0</v>
      </c>
      <c r="JF160" s="675">
        <v>0</v>
      </c>
      <c r="JG160" s="675">
        <v>0</v>
      </c>
      <c r="JH160" s="675">
        <v>0</v>
      </c>
      <c r="JI160" s="675">
        <v>0</v>
      </c>
      <c r="JJ160" s="675">
        <v>0</v>
      </c>
      <c r="JK160" s="675">
        <v>0</v>
      </c>
      <c r="JL160" s="675">
        <v>0</v>
      </c>
      <c r="JM160" s="675">
        <v>0</v>
      </c>
      <c r="JN160" s="675">
        <v>32469</v>
      </c>
      <c r="JO160" s="675">
        <v>0</v>
      </c>
      <c r="JP160" s="675">
        <v>0</v>
      </c>
      <c r="JQ160" s="675">
        <v>0</v>
      </c>
      <c r="JR160" s="675">
        <v>0</v>
      </c>
      <c r="JS160" s="675">
        <v>0</v>
      </c>
      <c r="JT160" s="675">
        <v>0</v>
      </c>
      <c r="JU160" s="675">
        <v>0</v>
      </c>
      <c r="JV160" s="675">
        <v>0</v>
      </c>
      <c r="JW160" s="675">
        <v>0</v>
      </c>
      <c r="JX160" s="675">
        <v>0</v>
      </c>
      <c r="JY160" s="675">
        <v>0</v>
      </c>
      <c r="JZ160" s="675">
        <v>0</v>
      </c>
      <c r="KA160" s="675">
        <v>0</v>
      </c>
      <c r="KB160" s="675">
        <v>0</v>
      </c>
      <c r="KC160" s="675">
        <v>0</v>
      </c>
      <c r="KD160" s="675">
        <v>0</v>
      </c>
      <c r="KE160" s="675">
        <v>0</v>
      </c>
      <c r="KF160" s="675">
        <v>0</v>
      </c>
    </row>
    <row r="161" spans="1:292" x14ac:dyDescent="0.25">
      <c r="A161" s="675">
        <v>220810</v>
      </c>
      <c r="B161" s="675">
        <v>32570</v>
      </c>
      <c r="C161" s="675">
        <v>35</v>
      </c>
      <c r="D161" s="675">
        <v>2022</v>
      </c>
      <c r="E161" s="675">
        <v>5392</v>
      </c>
      <c r="F161" s="675">
        <v>0</v>
      </c>
      <c r="G161" s="675">
        <v>870.09</v>
      </c>
      <c r="H161" s="675">
        <v>802.32800000000009</v>
      </c>
      <c r="I161" s="675">
        <v>802.32800000000009</v>
      </c>
      <c r="J161" s="675">
        <v>870.09</v>
      </c>
      <c r="K161" s="675">
        <v>0</v>
      </c>
      <c r="L161" s="675">
        <v>6554</v>
      </c>
      <c r="M161" s="675">
        <v>0</v>
      </c>
      <c r="N161" s="675">
        <v>0</v>
      </c>
      <c r="O161" s="675">
        <v>0</v>
      </c>
      <c r="P161" s="675">
        <v>847.79600000000005</v>
      </c>
      <c r="Q161" s="675">
        <v>0</v>
      </c>
      <c r="R161" s="675">
        <v>271051</v>
      </c>
      <c r="S161" s="675">
        <v>319.71300000000002</v>
      </c>
      <c r="T161" s="675">
        <v>0</v>
      </c>
      <c r="U161" s="675">
        <v>271051</v>
      </c>
      <c r="V161" s="675">
        <v>8.91</v>
      </c>
      <c r="W161" s="675">
        <v>5840</v>
      </c>
      <c r="X161" s="675">
        <v>5840</v>
      </c>
      <c r="Y161" s="675">
        <v>0</v>
      </c>
      <c r="Z161" s="675">
        <v>0</v>
      </c>
      <c r="AA161" s="675">
        <v>1</v>
      </c>
      <c r="AB161" s="675">
        <v>1</v>
      </c>
      <c r="AC161" s="675">
        <v>0</v>
      </c>
      <c r="AD161" s="675" t="s">
        <v>316</v>
      </c>
      <c r="AE161" s="675">
        <v>0</v>
      </c>
      <c r="AF161" s="675">
        <v>0</v>
      </c>
      <c r="AG161" s="675">
        <v>0</v>
      </c>
      <c r="AH161" s="675">
        <v>0</v>
      </c>
      <c r="AI161" s="675">
        <v>0</v>
      </c>
      <c r="AJ161" s="675">
        <v>5104</v>
      </c>
      <c r="AK161" s="675" t="s">
        <v>671</v>
      </c>
      <c r="AL161" s="675" t="s">
        <v>0</v>
      </c>
      <c r="AM161" s="675">
        <v>0</v>
      </c>
      <c r="AN161" s="675">
        <v>0</v>
      </c>
      <c r="AO161" s="675">
        <v>0</v>
      </c>
      <c r="AP161" s="675">
        <v>0</v>
      </c>
      <c r="AQ161" s="675">
        <v>0</v>
      </c>
      <c r="AR161" s="675">
        <v>0</v>
      </c>
      <c r="AS161" s="675">
        <v>0</v>
      </c>
      <c r="AT161" s="675">
        <v>0</v>
      </c>
      <c r="AU161" s="675">
        <v>0</v>
      </c>
      <c r="AV161" s="675">
        <v>25908</v>
      </c>
      <c r="AW161" s="675">
        <v>7111548</v>
      </c>
      <c r="AX161" s="675">
        <v>6853757</v>
      </c>
      <c r="AY161" s="675">
        <v>7434855</v>
      </c>
      <c r="AZ161" s="675">
        <v>357367</v>
      </c>
      <c r="BA161" s="675">
        <v>0</v>
      </c>
      <c r="BB161" s="675">
        <v>0</v>
      </c>
      <c r="BC161" s="675">
        <v>0</v>
      </c>
      <c r="BD161" s="675">
        <v>0</v>
      </c>
      <c r="BE161" s="675">
        <v>0</v>
      </c>
      <c r="BF161" s="675">
        <v>5868843</v>
      </c>
      <c r="BG161" s="675">
        <v>0</v>
      </c>
      <c r="BH161" s="675">
        <v>313.87600000000003</v>
      </c>
      <c r="BI161" s="675">
        <v>86316</v>
      </c>
      <c r="BJ161" s="675">
        <v>12</v>
      </c>
      <c r="BK161" s="675">
        <v>0</v>
      </c>
      <c r="BL161" s="675">
        <v>0</v>
      </c>
      <c r="BM161" s="675">
        <v>0</v>
      </c>
      <c r="BN161" s="675">
        <v>0</v>
      </c>
      <c r="BO161" s="675">
        <v>0</v>
      </c>
      <c r="BP161" s="675">
        <v>0</v>
      </c>
      <c r="BQ161" s="675">
        <v>5392</v>
      </c>
      <c r="BR161" s="675">
        <v>1</v>
      </c>
      <c r="BS161" s="675">
        <v>0</v>
      </c>
      <c r="BT161" s="675">
        <v>0</v>
      </c>
      <c r="BU161" s="675">
        <v>0</v>
      </c>
      <c r="BV161" s="675">
        <v>0</v>
      </c>
      <c r="BW161" s="675">
        <v>0</v>
      </c>
      <c r="BX161" s="675">
        <v>0</v>
      </c>
      <c r="BY161" s="675">
        <v>0</v>
      </c>
      <c r="BZ161" s="675">
        <v>0</v>
      </c>
      <c r="CA161" s="675">
        <v>0</v>
      </c>
      <c r="CB161" s="675">
        <v>0</v>
      </c>
      <c r="CC161" s="675">
        <v>0</v>
      </c>
      <c r="CD161" s="675">
        <v>0</v>
      </c>
      <c r="CE161" s="675">
        <v>0</v>
      </c>
      <c r="CF161" s="675">
        <v>0</v>
      </c>
      <c r="CG161" s="675">
        <v>0</v>
      </c>
      <c r="CH161" s="675">
        <v>171475</v>
      </c>
      <c r="CI161" s="675">
        <v>0</v>
      </c>
      <c r="CJ161" s="675">
        <v>4</v>
      </c>
      <c r="CK161" s="675">
        <v>0</v>
      </c>
      <c r="CL161" s="675">
        <v>0</v>
      </c>
      <c r="CM161" s="675">
        <v>0</v>
      </c>
      <c r="CN161" s="675">
        <v>0</v>
      </c>
      <c r="CO161" s="675">
        <v>0</v>
      </c>
      <c r="CP161" s="675">
        <v>0</v>
      </c>
      <c r="CQ161" s="675">
        <v>0</v>
      </c>
      <c r="CR161" s="675">
        <v>847.79600000000005</v>
      </c>
      <c r="CS161" s="675">
        <v>0</v>
      </c>
      <c r="CT161" s="675">
        <v>0</v>
      </c>
      <c r="CU161" s="675">
        <v>0</v>
      </c>
      <c r="CV161" s="675">
        <v>0</v>
      </c>
      <c r="CW161" s="675">
        <v>0</v>
      </c>
      <c r="CX161" s="675">
        <v>0</v>
      </c>
      <c r="CY161" s="675">
        <v>0</v>
      </c>
      <c r="CZ161" s="675">
        <v>0</v>
      </c>
      <c r="DA161" s="675">
        <v>1</v>
      </c>
      <c r="DB161" s="675">
        <v>5258458</v>
      </c>
      <c r="DC161" s="675">
        <v>0</v>
      </c>
      <c r="DD161" s="675">
        <v>0</v>
      </c>
      <c r="DE161" s="675">
        <v>0</v>
      </c>
      <c r="DF161" s="675">
        <v>0</v>
      </c>
      <c r="DG161" s="675">
        <v>0</v>
      </c>
      <c r="DH161" s="675">
        <v>0</v>
      </c>
      <c r="DI161" s="675">
        <v>0</v>
      </c>
      <c r="DJ161" s="675">
        <v>0</v>
      </c>
      <c r="DK161" s="675">
        <v>5392</v>
      </c>
      <c r="DL161" s="675">
        <v>0</v>
      </c>
      <c r="DM161" s="675">
        <v>280649</v>
      </c>
      <c r="DN161" s="675">
        <v>0</v>
      </c>
      <c r="DO161" s="675">
        <v>0</v>
      </c>
      <c r="DP161" s="675">
        <v>0</v>
      </c>
      <c r="DQ161" s="675">
        <v>0</v>
      </c>
      <c r="DR161" s="675">
        <v>0</v>
      </c>
      <c r="DS161" s="675">
        <v>0</v>
      </c>
      <c r="DT161" s="675">
        <v>0</v>
      </c>
      <c r="DU161" s="675">
        <v>0</v>
      </c>
      <c r="DV161" s="675">
        <v>0</v>
      </c>
      <c r="DW161" s="675">
        <v>0</v>
      </c>
      <c r="DX161" s="675">
        <v>0</v>
      </c>
      <c r="DY161" s="675">
        <v>0</v>
      </c>
      <c r="DZ161" s="675">
        <v>0</v>
      </c>
      <c r="EA161" s="675">
        <v>0</v>
      </c>
      <c r="EB161" s="675">
        <v>0</v>
      </c>
      <c r="EC161" s="675">
        <v>1.2490000000000001</v>
      </c>
      <c r="ED161" s="675">
        <v>9005</v>
      </c>
      <c r="EE161" s="675">
        <v>0</v>
      </c>
      <c r="EF161" s="675">
        <v>0</v>
      </c>
      <c r="EG161" s="675">
        <v>0</v>
      </c>
      <c r="EH161" s="675">
        <v>271644</v>
      </c>
      <c r="EI161" s="675">
        <v>0</v>
      </c>
      <c r="EJ161" s="675">
        <v>0</v>
      </c>
      <c r="EK161" s="675">
        <v>10.166</v>
      </c>
      <c r="EL161" s="675">
        <v>0</v>
      </c>
      <c r="EM161" s="675">
        <v>1.498</v>
      </c>
      <c r="EN161" s="675">
        <v>1.2910000000000001</v>
      </c>
      <c r="EO161" s="675">
        <v>0</v>
      </c>
      <c r="EP161" s="675">
        <v>0</v>
      </c>
      <c r="EQ161" s="675">
        <v>12.955</v>
      </c>
      <c r="ER161" s="675">
        <v>0</v>
      </c>
      <c r="ES161" s="675">
        <v>41.447000000000003</v>
      </c>
      <c r="ET161" s="675">
        <v>0</v>
      </c>
      <c r="EU161" s="675">
        <v>357367</v>
      </c>
      <c r="EV161" s="675">
        <v>0</v>
      </c>
      <c r="EW161" s="675">
        <v>0</v>
      </c>
      <c r="EX161" s="675">
        <v>0</v>
      </c>
      <c r="EY161" s="675">
        <v>0</v>
      </c>
      <c r="EZ161" s="675">
        <v>5758928</v>
      </c>
      <c r="FA161" s="675">
        <v>0</v>
      </c>
      <c r="FB161" s="675">
        <v>6116295</v>
      </c>
      <c r="FC161" s="675">
        <v>0.97327799999999998</v>
      </c>
      <c r="FD161" s="675">
        <v>0</v>
      </c>
      <c r="FE161" s="675">
        <v>893484</v>
      </c>
      <c r="FF161" s="675">
        <v>201345</v>
      </c>
      <c r="FG161" s="675">
        <v>6.1239999999999996E-2</v>
      </c>
      <c r="FH161" s="675">
        <v>5.4803999999999999E-2</v>
      </c>
      <c r="FI161" s="675">
        <v>0</v>
      </c>
      <c r="FJ161" s="675">
        <v>0</v>
      </c>
      <c r="FK161" s="675">
        <v>1149.8910000000001</v>
      </c>
      <c r="FL161" s="675">
        <v>7382599</v>
      </c>
      <c r="FM161" s="675">
        <v>0</v>
      </c>
      <c r="FN161" s="675">
        <v>0</v>
      </c>
      <c r="FO161" s="675">
        <v>0</v>
      </c>
      <c r="FP161" s="675">
        <v>0</v>
      </c>
      <c r="FQ161" s="675">
        <v>0</v>
      </c>
      <c r="FR161" s="675">
        <v>0</v>
      </c>
      <c r="FS161" s="675">
        <v>0</v>
      </c>
      <c r="FT161" s="675">
        <v>0</v>
      </c>
      <c r="FU161" s="675">
        <v>0</v>
      </c>
      <c r="FV161" s="675">
        <v>0</v>
      </c>
      <c r="FW161" s="675">
        <v>0</v>
      </c>
      <c r="FX161" s="675">
        <v>0</v>
      </c>
      <c r="FY161" s="675">
        <v>0</v>
      </c>
      <c r="FZ161" s="675">
        <v>105</v>
      </c>
      <c r="GA161" s="675">
        <v>2.093</v>
      </c>
      <c r="GB161" s="675">
        <v>485032</v>
      </c>
      <c r="GC161" s="675">
        <v>485032</v>
      </c>
      <c r="GD161" s="675">
        <v>54.807000000000002</v>
      </c>
      <c r="GE161" s="675">
        <v>0</v>
      </c>
      <c r="GF161" s="675">
        <v>0</v>
      </c>
      <c r="GG161" s="675">
        <v>0</v>
      </c>
      <c r="GH161" s="675">
        <v>0</v>
      </c>
      <c r="GI161" s="675">
        <v>0</v>
      </c>
      <c r="GJ161" s="675">
        <v>0</v>
      </c>
      <c r="GK161" s="675">
        <v>5162</v>
      </c>
      <c r="GL161" s="675">
        <v>12422</v>
      </c>
      <c r="GM161" s="675">
        <v>0</v>
      </c>
      <c r="GN161" s="675">
        <v>0</v>
      </c>
      <c r="GO161" s="675">
        <v>0</v>
      </c>
      <c r="GP161" s="675">
        <v>7211124</v>
      </c>
      <c r="GQ161" s="675">
        <v>7211124</v>
      </c>
      <c r="GR161" s="675">
        <v>0</v>
      </c>
      <c r="GS161" s="675">
        <v>0</v>
      </c>
      <c r="GT161" s="675">
        <v>0</v>
      </c>
      <c r="GU161" s="675">
        <v>0</v>
      </c>
      <c r="GV161" s="675">
        <v>0</v>
      </c>
      <c r="GW161" s="675">
        <v>0</v>
      </c>
      <c r="GX161" s="675">
        <v>0</v>
      </c>
      <c r="GY161" s="675">
        <v>0</v>
      </c>
      <c r="GZ161" s="675">
        <v>0</v>
      </c>
      <c r="HA161" s="675">
        <v>0</v>
      </c>
      <c r="HB161" s="675">
        <v>260786259</v>
      </c>
      <c r="HC161" s="675">
        <v>5.0923999999999997E-2</v>
      </c>
      <c r="HD161" s="675">
        <v>171475</v>
      </c>
      <c r="HE161" s="675">
        <v>0</v>
      </c>
      <c r="HF161" s="675">
        <v>0</v>
      </c>
      <c r="HG161" s="675">
        <v>0</v>
      </c>
      <c r="HH161" s="675">
        <v>0</v>
      </c>
      <c r="HI161" s="675">
        <v>0</v>
      </c>
      <c r="HJ161" s="675">
        <v>0</v>
      </c>
      <c r="HK161" s="675">
        <v>0</v>
      </c>
      <c r="HL161" s="675">
        <v>0</v>
      </c>
      <c r="HM161" s="675">
        <v>0</v>
      </c>
      <c r="HN161" s="675">
        <v>0</v>
      </c>
      <c r="HO161" s="675">
        <v>0</v>
      </c>
      <c r="HP161" s="675">
        <v>0</v>
      </c>
      <c r="HQ161" s="675">
        <v>0</v>
      </c>
      <c r="HR161" s="675">
        <v>0</v>
      </c>
      <c r="HS161" s="675">
        <v>0</v>
      </c>
      <c r="HT161" s="675">
        <v>0</v>
      </c>
      <c r="HU161" s="675">
        <v>0</v>
      </c>
      <c r="HV161" s="675">
        <v>0</v>
      </c>
      <c r="HW161" s="675">
        <v>0</v>
      </c>
      <c r="HX161" s="675">
        <v>0</v>
      </c>
      <c r="HY161" s="675">
        <v>0</v>
      </c>
      <c r="HZ161" s="675">
        <v>0</v>
      </c>
      <c r="IA161" s="675">
        <v>0</v>
      </c>
      <c r="IB161" s="675">
        <v>0</v>
      </c>
      <c r="IC161" s="675">
        <v>0</v>
      </c>
      <c r="ID161" s="675">
        <v>0</v>
      </c>
      <c r="IE161" s="675">
        <v>0</v>
      </c>
      <c r="IF161" s="675">
        <v>0</v>
      </c>
      <c r="IG161" s="675">
        <v>0</v>
      </c>
      <c r="IH161" s="675">
        <v>0</v>
      </c>
      <c r="II161" s="675">
        <v>0</v>
      </c>
      <c r="IJ161" s="675">
        <v>0</v>
      </c>
      <c r="IK161" s="675">
        <v>0</v>
      </c>
      <c r="IL161" s="675">
        <v>0</v>
      </c>
      <c r="IM161" s="675">
        <v>0</v>
      </c>
      <c r="IN161" s="675">
        <v>0</v>
      </c>
      <c r="IO161" s="675">
        <v>0</v>
      </c>
      <c r="IP161" s="675">
        <v>0</v>
      </c>
      <c r="IQ161" s="675">
        <v>0</v>
      </c>
      <c r="IR161" s="675">
        <v>0</v>
      </c>
      <c r="IS161" s="675">
        <v>0</v>
      </c>
      <c r="IT161" s="675">
        <v>0</v>
      </c>
      <c r="IU161" s="675">
        <v>0</v>
      </c>
      <c r="IV161" s="675">
        <v>0</v>
      </c>
      <c r="IW161" s="675">
        <v>0</v>
      </c>
      <c r="IX161" s="675">
        <v>0</v>
      </c>
      <c r="IY161" s="675">
        <v>0</v>
      </c>
      <c r="IZ161" s="675">
        <v>0</v>
      </c>
      <c r="JA161" s="675">
        <v>0</v>
      </c>
      <c r="JB161" s="675">
        <v>0</v>
      </c>
      <c r="JC161" s="675">
        <v>0</v>
      </c>
      <c r="JD161" s="675">
        <v>0</v>
      </c>
      <c r="JE161" s="675">
        <v>0</v>
      </c>
      <c r="JF161" s="675">
        <v>0</v>
      </c>
      <c r="JG161" s="675">
        <v>0</v>
      </c>
      <c r="JH161" s="675">
        <v>0</v>
      </c>
      <c r="JI161" s="675">
        <v>0</v>
      </c>
      <c r="JJ161" s="675">
        <v>0</v>
      </c>
      <c r="JK161" s="675">
        <v>0</v>
      </c>
      <c r="JL161" s="675">
        <v>0</v>
      </c>
      <c r="JM161" s="675">
        <v>0</v>
      </c>
      <c r="JN161" s="675">
        <v>32469</v>
      </c>
      <c r="JO161" s="675">
        <v>0</v>
      </c>
      <c r="JP161" s="675">
        <v>0</v>
      </c>
      <c r="JQ161" s="675">
        <v>0</v>
      </c>
      <c r="JR161" s="675">
        <v>0</v>
      </c>
      <c r="JS161" s="675">
        <v>0</v>
      </c>
      <c r="JT161" s="675">
        <v>0</v>
      </c>
      <c r="JU161" s="675">
        <v>0</v>
      </c>
      <c r="JV161" s="675">
        <v>0</v>
      </c>
      <c r="JW161" s="675">
        <v>0</v>
      </c>
      <c r="JX161" s="675">
        <v>0</v>
      </c>
      <c r="JY161" s="675">
        <v>0</v>
      </c>
      <c r="JZ161" s="675">
        <v>0</v>
      </c>
      <c r="KA161" s="675">
        <v>0</v>
      </c>
      <c r="KB161" s="675">
        <v>0</v>
      </c>
      <c r="KC161" s="675">
        <v>0</v>
      </c>
      <c r="KD161" s="675">
        <v>0</v>
      </c>
      <c r="KE161" s="675">
        <v>0</v>
      </c>
      <c r="KF161" s="675">
        <v>0</v>
      </c>
    </row>
    <row r="162" spans="1:292" x14ac:dyDescent="0.25">
      <c r="A162" s="675">
        <v>220811</v>
      </c>
      <c r="B162" s="675">
        <v>32570</v>
      </c>
      <c r="C162" s="675">
        <v>35</v>
      </c>
      <c r="D162" s="675">
        <v>2022</v>
      </c>
      <c r="E162" s="675">
        <v>5392</v>
      </c>
      <c r="F162" s="675">
        <v>0</v>
      </c>
      <c r="G162" s="675">
        <v>204.38200000000001</v>
      </c>
      <c r="H162" s="675">
        <v>201.11200000000002</v>
      </c>
      <c r="I162" s="675">
        <v>201.11200000000002</v>
      </c>
      <c r="J162" s="675">
        <v>204.38200000000001</v>
      </c>
      <c r="K162" s="675">
        <v>0</v>
      </c>
      <c r="L162" s="675">
        <v>6554</v>
      </c>
      <c r="M162" s="675">
        <v>0</v>
      </c>
      <c r="N162" s="675">
        <v>0</v>
      </c>
      <c r="O162" s="675">
        <v>0</v>
      </c>
      <c r="P162" s="675">
        <v>250.06800000000001</v>
      </c>
      <c r="Q162" s="675">
        <v>0</v>
      </c>
      <c r="R162" s="675">
        <v>79950</v>
      </c>
      <c r="S162" s="675">
        <v>319.71300000000002</v>
      </c>
      <c r="T162" s="675">
        <v>0</v>
      </c>
      <c r="U162" s="675">
        <v>79950</v>
      </c>
      <c r="V162" s="675">
        <v>60.268000000000001</v>
      </c>
      <c r="W162" s="675">
        <v>39500</v>
      </c>
      <c r="X162" s="675">
        <v>39500</v>
      </c>
      <c r="Y162" s="675">
        <v>0</v>
      </c>
      <c r="Z162" s="675">
        <v>0</v>
      </c>
      <c r="AA162" s="675">
        <v>1</v>
      </c>
      <c r="AB162" s="675">
        <v>1</v>
      </c>
      <c r="AC162" s="675">
        <v>0</v>
      </c>
      <c r="AD162" s="675" t="s">
        <v>316</v>
      </c>
      <c r="AE162" s="675">
        <v>0</v>
      </c>
      <c r="AF162" s="675">
        <v>0</v>
      </c>
      <c r="AG162" s="675">
        <v>0</v>
      </c>
      <c r="AH162" s="675">
        <v>0</v>
      </c>
      <c r="AI162" s="675">
        <v>0</v>
      </c>
      <c r="AJ162" s="675">
        <v>5104</v>
      </c>
      <c r="AK162" s="675" t="s">
        <v>671</v>
      </c>
      <c r="AL162" s="675" t="s">
        <v>63</v>
      </c>
      <c r="AM162" s="675">
        <v>0</v>
      </c>
      <c r="AN162" s="675">
        <v>0</v>
      </c>
      <c r="AO162" s="675">
        <v>0</v>
      </c>
      <c r="AP162" s="675">
        <v>0</v>
      </c>
      <c r="AQ162" s="675">
        <v>0</v>
      </c>
      <c r="AR162" s="675">
        <v>0</v>
      </c>
      <c r="AS162" s="675">
        <v>0</v>
      </c>
      <c r="AT162" s="675">
        <v>0</v>
      </c>
      <c r="AU162" s="675">
        <v>0</v>
      </c>
      <c r="AV162" s="675">
        <v>138409</v>
      </c>
      <c r="AW162" s="675">
        <v>2067503</v>
      </c>
      <c r="AX162" s="675">
        <v>2021015</v>
      </c>
      <c r="AY162" s="675">
        <v>2193941</v>
      </c>
      <c r="AZ162" s="675">
        <v>79950</v>
      </c>
      <c r="BA162" s="675">
        <v>12.417</v>
      </c>
      <c r="BB162" s="675">
        <v>3845</v>
      </c>
      <c r="BC162" s="675">
        <v>3845</v>
      </c>
      <c r="BD162" s="675">
        <v>4.8890000000000002</v>
      </c>
      <c r="BE162" s="675">
        <v>0</v>
      </c>
      <c r="BF162" s="675">
        <v>1730605</v>
      </c>
      <c r="BG162" s="675">
        <v>0</v>
      </c>
      <c r="BH162" s="675">
        <v>0</v>
      </c>
      <c r="BI162" s="675">
        <v>0</v>
      </c>
      <c r="BJ162" s="675">
        <v>12</v>
      </c>
      <c r="BK162" s="675">
        <v>0</v>
      </c>
      <c r="BL162" s="675">
        <v>0</v>
      </c>
      <c r="BM162" s="675">
        <v>0</v>
      </c>
      <c r="BN162" s="675">
        <v>0</v>
      </c>
      <c r="BO162" s="675">
        <v>0</v>
      </c>
      <c r="BP162" s="675">
        <v>0</v>
      </c>
      <c r="BQ162" s="675">
        <v>5392</v>
      </c>
      <c r="BR162" s="675">
        <v>1</v>
      </c>
      <c r="BS162" s="675">
        <v>0</v>
      </c>
      <c r="BT162" s="675">
        <v>0</v>
      </c>
      <c r="BU162" s="675">
        <v>0</v>
      </c>
      <c r="BV162" s="675">
        <v>0</v>
      </c>
      <c r="BW162" s="675">
        <v>0</v>
      </c>
      <c r="BX162" s="675">
        <v>0</v>
      </c>
      <c r="BY162" s="675">
        <v>0</v>
      </c>
      <c r="BZ162" s="675">
        <v>0</v>
      </c>
      <c r="CA162" s="675">
        <v>0</v>
      </c>
      <c r="CB162" s="675">
        <v>0</v>
      </c>
      <c r="CC162" s="675">
        <v>0</v>
      </c>
      <c r="CD162" s="675">
        <v>0</v>
      </c>
      <c r="CE162" s="675">
        <v>0</v>
      </c>
      <c r="CF162" s="675">
        <v>0</v>
      </c>
      <c r="CG162" s="675">
        <v>0</v>
      </c>
      <c r="CH162" s="675">
        <v>46488</v>
      </c>
      <c r="CI162" s="675">
        <v>0</v>
      </c>
      <c r="CJ162" s="675">
        <v>4</v>
      </c>
      <c r="CK162" s="675">
        <v>0</v>
      </c>
      <c r="CL162" s="675">
        <v>0</v>
      </c>
      <c r="CM162" s="675">
        <v>0</v>
      </c>
      <c r="CN162" s="675">
        <v>0</v>
      </c>
      <c r="CO162" s="675">
        <v>0</v>
      </c>
      <c r="CP162" s="675">
        <v>0</v>
      </c>
      <c r="CQ162" s="675">
        <v>0</v>
      </c>
      <c r="CR162" s="675">
        <v>250.06800000000001</v>
      </c>
      <c r="CS162" s="675">
        <v>0</v>
      </c>
      <c r="CT162" s="675">
        <v>0</v>
      </c>
      <c r="CU162" s="675">
        <v>0</v>
      </c>
      <c r="CV162" s="675">
        <v>0</v>
      </c>
      <c r="CW162" s="675">
        <v>0</v>
      </c>
      <c r="CX162" s="675">
        <v>0</v>
      </c>
      <c r="CY162" s="675">
        <v>0</v>
      </c>
      <c r="CZ162" s="675">
        <v>0</v>
      </c>
      <c r="DA162" s="675">
        <v>1</v>
      </c>
      <c r="DB162" s="675">
        <v>1318088</v>
      </c>
      <c r="DC162" s="675">
        <v>0</v>
      </c>
      <c r="DD162" s="675">
        <v>0</v>
      </c>
      <c r="DE162" s="675">
        <v>345396</v>
      </c>
      <c r="DF162" s="675">
        <v>345396</v>
      </c>
      <c r="DG162" s="675">
        <v>263.5</v>
      </c>
      <c r="DH162" s="675">
        <v>0</v>
      </c>
      <c r="DI162" s="675">
        <v>0</v>
      </c>
      <c r="DJ162" s="675">
        <v>0</v>
      </c>
      <c r="DK162" s="675">
        <v>5392</v>
      </c>
      <c r="DL162" s="675">
        <v>0</v>
      </c>
      <c r="DM162" s="675">
        <v>71292</v>
      </c>
      <c r="DN162" s="675">
        <v>0</v>
      </c>
      <c r="DO162" s="675">
        <v>1573</v>
      </c>
      <c r="DP162" s="675">
        <v>0</v>
      </c>
      <c r="DQ162" s="675">
        <v>0</v>
      </c>
      <c r="DR162" s="675">
        <v>0</v>
      </c>
      <c r="DS162" s="675">
        <v>0</v>
      </c>
      <c r="DT162" s="675">
        <v>0.04</v>
      </c>
      <c r="DU162" s="675">
        <v>0</v>
      </c>
      <c r="DV162" s="675">
        <v>0</v>
      </c>
      <c r="DW162" s="675">
        <v>0.04</v>
      </c>
      <c r="DX162" s="675">
        <v>0</v>
      </c>
      <c r="DY162" s="675">
        <v>0</v>
      </c>
      <c r="DZ162" s="675">
        <v>0.32</v>
      </c>
      <c r="EA162" s="675">
        <v>0</v>
      </c>
      <c r="EB162" s="675">
        <v>0</v>
      </c>
      <c r="EC162" s="675">
        <v>0.187</v>
      </c>
      <c r="ED162" s="675">
        <v>1348</v>
      </c>
      <c r="EE162" s="675">
        <v>0</v>
      </c>
      <c r="EF162" s="675">
        <v>0</v>
      </c>
      <c r="EG162" s="675">
        <v>0</v>
      </c>
      <c r="EH162" s="675">
        <v>68371</v>
      </c>
      <c r="EI162" s="675">
        <v>0</v>
      </c>
      <c r="EJ162" s="675">
        <v>0</v>
      </c>
      <c r="EK162" s="675">
        <v>2.9590000000000001</v>
      </c>
      <c r="EL162" s="675">
        <v>0</v>
      </c>
      <c r="EM162" s="675">
        <v>0</v>
      </c>
      <c r="EN162" s="675">
        <v>0.311</v>
      </c>
      <c r="EO162" s="675">
        <v>0</v>
      </c>
      <c r="EP162" s="675">
        <v>0</v>
      </c>
      <c r="EQ162" s="675">
        <v>3.27</v>
      </c>
      <c r="ER162" s="675">
        <v>0</v>
      </c>
      <c r="ES162" s="675">
        <v>10.432</v>
      </c>
      <c r="ET162" s="675">
        <v>6209</v>
      </c>
      <c r="EU162" s="675">
        <v>79950</v>
      </c>
      <c r="EV162" s="675">
        <v>0</v>
      </c>
      <c r="EW162" s="675">
        <v>0</v>
      </c>
      <c r="EX162" s="675">
        <v>0</v>
      </c>
      <c r="EY162" s="675">
        <v>0</v>
      </c>
      <c r="EZ162" s="675">
        <v>1698171</v>
      </c>
      <c r="FA162" s="675">
        <v>0</v>
      </c>
      <c r="FB162" s="675">
        <v>1778121</v>
      </c>
      <c r="FC162" s="675">
        <v>0.97327799999999998</v>
      </c>
      <c r="FD162" s="675">
        <v>0</v>
      </c>
      <c r="FE162" s="675">
        <v>263471</v>
      </c>
      <c r="FF162" s="675">
        <v>59373</v>
      </c>
      <c r="FG162" s="675">
        <v>6.1239999999999996E-2</v>
      </c>
      <c r="FH162" s="675">
        <v>5.4803999999999999E-2</v>
      </c>
      <c r="FI162" s="675">
        <v>0</v>
      </c>
      <c r="FJ162" s="675">
        <v>0</v>
      </c>
      <c r="FK162" s="675">
        <v>339.08</v>
      </c>
      <c r="FL162" s="675">
        <v>2147453</v>
      </c>
      <c r="FM162" s="675">
        <v>0</v>
      </c>
      <c r="FN162" s="675">
        <v>0</v>
      </c>
      <c r="FO162" s="675">
        <v>0</v>
      </c>
      <c r="FP162" s="675">
        <v>0</v>
      </c>
      <c r="FQ162" s="675">
        <v>0</v>
      </c>
      <c r="FR162" s="675">
        <v>0</v>
      </c>
      <c r="FS162" s="675">
        <v>0</v>
      </c>
      <c r="FT162" s="675">
        <v>0</v>
      </c>
      <c r="FU162" s="675">
        <v>0</v>
      </c>
      <c r="FV162" s="675">
        <v>0</v>
      </c>
      <c r="FW162" s="675">
        <v>0</v>
      </c>
      <c r="FX162" s="675">
        <v>0</v>
      </c>
      <c r="FY162" s="675">
        <v>0</v>
      </c>
      <c r="FZ162" s="675">
        <v>0</v>
      </c>
      <c r="GA162" s="675">
        <v>0</v>
      </c>
      <c r="GB162" s="675">
        <v>0</v>
      </c>
      <c r="GC162" s="675">
        <v>0</v>
      </c>
      <c r="GD162" s="675">
        <v>0</v>
      </c>
      <c r="GE162" s="675">
        <v>0</v>
      </c>
      <c r="GF162" s="675">
        <v>0</v>
      </c>
      <c r="GG162" s="675">
        <v>0</v>
      </c>
      <c r="GH162" s="675">
        <v>0</v>
      </c>
      <c r="GI162" s="675">
        <v>0</v>
      </c>
      <c r="GJ162" s="675">
        <v>0</v>
      </c>
      <c r="GK162" s="675">
        <v>5115</v>
      </c>
      <c r="GL162" s="675">
        <v>9033</v>
      </c>
      <c r="GM162" s="675">
        <v>0</v>
      </c>
      <c r="GN162" s="675">
        <v>0</v>
      </c>
      <c r="GO162" s="675">
        <v>0</v>
      </c>
      <c r="GP162" s="675">
        <v>2100965</v>
      </c>
      <c r="GQ162" s="675">
        <v>2100965</v>
      </c>
      <c r="GR162" s="675">
        <v>0</v>
      </c>
      <c r="GS162" s="675">
        <v>0</v>
      </c>
      <c r="GT162" s="675">
        <v>0</v>
      </c>
      <c r="GU162" s="675">
        <v>0</v>
      </c>
      <c r="GV162" s="675">
        <v>0</v>
      </c>
      <c r="GW162" s="675">
        <v>0</v>
      </c>
      <c r="GX162" s="675">
        <v>0</v>
      </c>
      <c r="GY162" s="675">
        <v>0</v>
      </c>
      <c r="GZ162" s="675">
        <v>0</v>
      </c>
      <c r="HA162" s="675">
        <v>0</v>
      </c>
      <c r="HB162" s="675">
        <v>260786259</v>
      </c>
      <c r="HC162" s="675">
        <v>5.0923999999999997E-2</v>
      </c>
      <c r="HD162" s="675">
        <v>40279</v>
      </c>
      <c r="HE162" s="675">
        <v>0</v>
      </c>
      <c r="HF162" s="675">
        <v>0</v>
      </c>
      <c r="HG162" s="675">
        <v>0</v>
      </c>
      <c r="HH162" s="675">
        <v>0</v>
      </c>
      <c r="HI162" s="675">
        <v>0</v>
      </c>
      <c r="HJ162" s="675">
        <v>0</v>
      </c>
      <c r="HK162" s="675">
        <v>0</v>
      </c>
      <c r="HL162" s="675">
        <v>0</v>
      </c>
      <c r="HM162" s="675">
        <v>0</v>
      </c>
      <c r="HN162" s="675">
        <v>0</v>
      </c>
      <c r="HO162" s="675">
        <v>0</v>
      </c>
      <c r="HP162" s="675">
        <v>0</v>
      </c>
      <c r="HQ162" s="675">
        <v>0</v>
      </c>
      <c r="HR162" s="675">
        <v>0</v>
      </c>
      <c r="HS162" s="675">
        <v>0</v>
      </c>
      <c r="HT162" s="675">
        <v>0</v>
      </c>
      <c r="HU162" s="675">
        <v>0</v>
      </c>
      <c r="HV162" s="675">
        <v>0</v>
      </c>
      <c r="HW162" s="675">
        <v>0</v>
      </c>
      <c r="HX162" s="675">
        <v>0</v>
      </c>
      <c r="HY162" s="675">
        <v>0</v>
      </c>
      <c r="HZ162" s="675">
        <v>0</v>
      </c>
      <c r="IA162" s="675">
        <v>0</v>
      </c>
      <c r="IB162" s="675">
        <v>0</v>
      </c>
      <c r="IC162" s="675">
        <v>0</v>
      </c>
      <c r="ID162" s="675">
        <v>0</v>
      </c>
      <c r="IE162" s="675">
        <v>0</v>
      </c>
      <c r="IF162" s="675">
        <v>0</v>
      </c>
      <c r="IG162" s="675">
        <v>0</v>
      </c>
      <c r="IH162" s="675">
        <v>0</v>
      </c>
      <c r="II162" s="675">
        <v>0</v>
      </c>
      <c r="IJ162" s="675">
        <v>0</v>
      </c>
      <c r="IK162" s="675">
        <v>0</v>
      </c>
      <c r="IL162" s="675">
        <v>0</v>
      </c>
      <c r="IM162" s="675">
        <v>0</v>
      </c>
      <c r="IN162" s="675">
        <v>0</v>
      </c>
      <c r="IO162" s="675">
        <v>0</v>
      </c>
      <c r="IP162" s="675">
        <v>0</v>
      </c>
      <c r="IQ162" s="675">
        <v>0</v>
      </c>
      <c r="IR162" s="675">
        <v>0</v>
      </c>
      <c r="IS162" s="675">
        <v>0</v>
      </c>
      <c r="IT162" s="675">
        <v>0</v>
      </c>
      <c r="IU162" s="675">
        <v>0</v>
      </c>
      <c r="IV162" s="675">
        <v>0</v>
      </c>
      <c r="IW162" s="675">
        <v>0</v>
      </c>
      <c r="IX162" s="675">
        <v>0</v>
      </c>
      <c r="IY162" s="675">
        <v>0</v>
      </c>
      <c r="IZ162" s="675">
        <v>0</v>
      </c>
      <c r="JA162" s="675">
        <v>0</v>
      </c>
      <c r="JB162" s="675">
        <v>0</v>
      </c>
      <c r="JC162" s="675">
        <v>0</v>
      </c>
      <c r="JD162" s="675">
        <v>0</v>
      </c>
      <c r="JE162" s="675">
        <v>0</v>
      </c>
      <c r="JF162" s="675">
        <v>0</v>
      </c>
      <c r="JG162" s="675">
        <v>0</v>
      </c>
      <c r="JH162" s="675">
        <v>0</v>
      </c>
      <c r="JI162" s="675">
        <v>0</v>
      </c>
      <c r="JJ162" s="675">
        <v>0</v>
      </c>
      <c r="JK162" s="675">
        <v>0</v>
      </c>
      <c r="JL162" s="675">
        <v>0</v>
      </c>
      <c r="JM162" s="675">
        <v>0</v>
      </c>
      <c r="JN162" s="675">
        <v>32469</v>
      </c>
      <c r="JO162" s="675">
        <v>0</v>
      </c>
      <c r="JP162" s="675">
        <v>0</v>
      </c>
      <c r="JQ162" s="675">
        <v>0</v>
      </c>
      <c r="JR162" s="675">
        <v>0</v>
      </c>
      <c r="JS162" s="675">
        <v>0</v>
      </c>
      <c r="JT162" s="675">
        <v>0</v>
      </c>
      <c r="JU162" s="675">
        <v>0</v>
      </c>
      <c r="JV162" s="675">
        <v>0</v>
      </c>
      <c r="JW162" s="675">
        <v>0</v>
      </c>
      <c r="JX162" s="675">
        <v>0</v>
      </c>
      <c r="JY162" s="675">
        <v>0</v>
      </c>
      <c r="JZ162" s="675">
        <v>0</v>
      </c>
      <c r="KA162" s="675">
        <v>0</v>
      </c>
      <c r="KB162" s="675">
        <v>0</v>
      </c>
      <c r="KC162" s="675">
        <v>0</v>
      </c>
      <c r="KD162" s="675">
        <v>0</v>
      </c>
      <c r="KE162" s="675">
        <v>0</v>
      </c>
      <c r="KF162" s="675">
        <v>0</v>
      </c>
    </row>
    <row r="163" spans="1:292" x14ac:dyDescent="0.25">
      <c r="A163" s="675">
        <v>220814</v>
      </c>
      <c r="B163" s="675">
        <v>32570</v>
      </c>
      <c r="C163" s="675">
        <v>35</v>
      </c>
      <c r="D163" s="675">
        <v>2022</v>
      </c>
      <c r="E163" s="675">
        <v>5392</v>
      </c>
      <c r="F163" s="675">
        <v>0</v>
      </c>
      <c r="G163" s="675">
        <v>312.81200000000001</v>
      </c>
      <c r="H163" s="675">
        <v>303.18400000000003</v>
      </c>
      <c r="I163" s="675">
        <v>303.18400000000003</v>
      </c>
      <c r="J163" s="675">
        <v>312.81200000000001</v>
      </c>
      <c r="K163" s="675">
        <v>0</v>
      </c>
      <c r="L163" s="675">
        <v>6554</v>
      </c>
      <c r="M163" s="675">
        <v>0</v>
      </c>
      <c r="N163" s="675">
        <v>0</v>
      </c>
      <c r="O163" s="675">
        <v>0</v>
      </c>
      <c r="P163" s="675">
        <v>317.601</v>
      </c>
      <c r="Q163" s="675">
        <v>0</v>
      </c>
      <c r="R163" s="675">
        <v>101541</v>
      </c>
      <c r="S163" s="675">
        <v>319.71300000000002</v>
      </c>
      <c r="T163" s="675">
        <v>0</v>
      </c>
      <c r="U163" s="675">
        <v>101541</v>
      </c>
      <c r="V163" s="675">
        <v>34.267000000000003</v>
      </c>
      <c r="W163" s="675">
        <v>22459</v>
      </c>
      <c r="X163" s="675">
        <v>22459</v>
      </c>
      <c r="Y163" s="675">
        <v>0</v>
      </c>
      <c r="Z163" s="675">
        <v>0</v>
      </c>
      <c r="AA163" s="675">
        <v>1</v>
      </c>
      <c r="AB163" s="675">
        <v>1</v>
      </c>
      <c r="AC163" s="675">
        <v>0</v>
      </c>
      <c r="AD163" s="675" t="s">
        <v>316</v>
      </c>
      <c r="AE163" s="675">
        <v>0</v>
      </c>
      <c r="AF163" s="675">
        <v>0</v>
      </c>
      <c r="AG163" s="675">
        <v>0</v>
      </c>
      <c r="AH163" s="675">
        <v>0</v>
      </c>
      <c r="AI163" s="675">
        <v>0</v>
      </c>
      <c r="AJ163" s="675">
        <v>5104</v>
      </c>
      <c r="AK163" s="675" t="s">
        <v>671</v>
      </c>
      <c r="AL163" s="675" t="s">
        <v>362</v>
      </c>
      <c r="AM163" s="675">
        <v>0</v>
      </c>
      <c r="AN163" s="675">
        <v>0</v>
      </c>
      <c r="AO163" s="675">
        <v>0</v>
      </c>
      <c r="AP163" s="675">
        <v>0</v>
      </c>
      <c r="AQ163" s="675">
        <v>0</v>
      </c>
      <c r="AR163" s="675">
        <v>0</v>
      </c>
      <c r="AS163" s="675">
        <v>0</v>
      </c>
      <c r="AT163" s="675">
        <v>0</v>
      </c>
      <c r="AU163" s="675">
        <v>0</v>
      </c>
      <c r="AV163" s="675">
        <v>54</v>
      </c>
      <c r="AW163" s="675">
        <v>2579379</v>
      </c>
      <c r="AX163" s="675">
        <v>2515377</v>
      </c>
      <c r="AY163" s="675">
        <v>2796212</v>
      </c>
      <c r="AZ163" s="675">
        <v>101541</v>
      </c>
      <c r="BA163" s="675">
        <v>3</v>
      </c>
      <c r="BB163" s="675">
        <v>12301</v>
      </c>
      <c r="BC163" s="675">
        <v>12301</v>
      </c>
      <c r="BD163" s="675">
        <v>15.641</v>
      </c>
      <c r="BE163" s="675">
        <v>0</v>
      </c>
      <c r="BF163" s="675">
        <v>2155606</v>
      </c>
      <c r="BG163" s="675">
        <v>0</v>
      </c>
      <c r="BH163" s="675">
        <v>0</v>
      </c>
      <c r="BI163" s="675">
        <v>0</v>
      </c>
      <c r="BJ163" s="675">
        <v>12</v>
      </c>
      <c r="BK163" s="675">
        <v>0</v>
      </c>
      <c r="BL163" s="675">
        <v>0</v>
      </c>
      <c r="BM163" s="675">
        <v>0</v>
      </c>
      <c r="BN163" s="675">
        <v>0</v>
      </c>
      <c r="BO163" s="675">
        <v>0</v>
      </c>
      <c r="BP163" s="675">
        <v>0</v>
      </c>
      <c r="BQ163" s="675">
        <v>5392</v>
      </c>
      <c r="BR163" s="675">
        <v>1</v>
      </c>
      <c r="BS163" s="675">
        <v>0</v>
      </c>
      <c r="BT163" s="675">
        <v>0</v>
      </c>
      <c r="BU163" s="675">
        <v>0</v>
      </c>
      <c r="BV163" s="675">
        <v>0</v>
      </c>
      <c r="BW163" s="675">
        <v>0</v>
      </c>
      <c r="BX163" s="675">
        <v>0</v>
      </c>
      <c r="BY163" s="675">
        <v>0</v>
      </c>
      <c r="BZ163" s="675">
        <v>0</v>
      </c>
      <c r="CA163" s="675">
        <v>0</v>
      </c>
      <c r="CB163" s="675">
        <v>0</v>
      </c>
      <c r="CC163" s="675">
        <v>0</v>
      </c>
      <c r="CD163" s="675">
        <v>0</v>
      </c>
      <c r="CE163" s="675">
        <v>0</v>
      </c>
      <c r="CF163" s="675">
        <v>0</v>
      </c>
      <c r="CG163" s="675">
        <v>0</v>
      </c>
      <c r="CH163" s="675">
        <v>64002</v>
      </c>
      <c r="CI163" s="675">
        <v>0</v>
      </c>
      <c r="CJ163" s="675">
        <v>4</v>
      </c>
      <c r="CK163" s="675">
        <v>0</v>
      </c>
      <c r="CL163" s="675">
        <v>0</v>
      </c>
      <c r="CM163" s="675">
        <v>0</v>
      </c>
      <c r="CN163" s="675">
        <v>0</v>
      </c>
      <c r="CO163" s="675">
        <v>0</v>
      </c>
      <c r="CP163" s="675">
        <v>0</v>
      </c>
      <c r="CQ163" s="675">
        <v>3.4170000000000003</v>
      </c>
      <c r="CR163" s="675">
        <v>317.601</v>
      </c>
      <c r="CS163" s="675">
        <v>0</v>
      </c>
      <c r="CT163" s="675">
        <v>0</v>
      </c>
      <c r="CU163" s="675">
        <v>0</v>
      </c>
      <c r="CV163" s="675">
        <v>0</v>
      </c>
      <c r="CW163" s="675">
        <v>0</v>
      </c>
      <c r="CX163" s="675">
        <v>0</v>
      </c>
      <c r="CY163" s="675">
        <v>0</v>
      </c>
      <c r="CZ163" s="675">
        <v>0</v>
      </c>
      <c r="DA163" s="675">
        <v>1</v>
      </c>
      <c r="DB163" s="675">
        <v>1987068</v>
      </c>
      <c r="DC163" s="675">
        <v>0</v>
      </c>
      <c r="DD163" s="675">
        <v>0</v>
      </c>
      <c r="DE163" s="675">
        <v>0</v>
      </c>
      <c r="DF163" s="675">
        <v>0</v>
      </c>
      <c r="DG163" s="675">
        <v>0</v>
      </c>
      <c r="DH163" s="675">
        <v>0</v>
      </c>
      <c r="DI163" s="675">
        <v>0</v>
      </c>
      <c r="DJ163" s="675">
        <v>0</v>
      </c>
      <c r="DK163" s="675">
        <v>5392</v>
      </c>
      <c r="DL163" s="675">
        <v>0</v>
      </c>
      <c r="DM163" s="675">
        <v>192963</v>
      </c>
      <c r="DN163" s="675">
        <v>0</v>
      </c>
      <c r="DO163" s="675">
        <v>0</v>
      </c>
      <c r="DP163" s="675">
        <v>0</v>
      </c>
      <c r="DQ163" s="675">
        <v>0</v>
      </c>
      <c r="DR163" s="675">
        <v>0</v>
      </c>
      <c r="DS163" s="675">
        <v>0</v>
      </c>
      <c r="DT163" s="675">
        <v>0</v>
      </c>
      <c r="DU163" s="675">
        <v>0</v>
      </c>
      <c r="DV163" s="675">
        <v>0</v>
      </c>
      <c r="DW163" s="675">
        <v>0</v>
      </c>
      <c r="DX163" s="675">
        <v>0</v>
      </c>
      <c r="DY163" s="675">
        <v>0</v>
      </c>
      <c r="DZ163" s="675">
        <v>0</v>
      </c>
      <c r="EA163" s="675">
        <v>0</v>
      </c>
      <c r="EB163" s="675">
        <v>0</v>
      </c>
      <c r="EC163" s="675">
        <v>0</v>
      </c>
      <c r="ED163" s="675">
        <v>0</v>
      </c>
      <c r="EE163" s="675">
        <v>0</v>
      </c>
      <c r="EF163" s="675">
        <v>0</v>
      </c>
      <c r="EG163" s="675">
        <v>0</v>
      </c>
      <c r="EH163" s="675">
        <v>192963</v>
      </c>
      <c r="EI163" s="675">
        <v>0</v>
      </c>
      <c r="EJ163" s="675">
        <v>0</v>
      </c>
      <c r="EK163" s="675">
        <v>9.3490000000000002</v>
      </c>
      <c r="EL163" s="675">
        <v>0</v>
      </c>
      <c r="EM163" s="675">
        <v>0</v>
      </c>
      <c r="EN163" s="675">
        <v>0.27900000000000003</v>
      </c>
      <c r="EO163" s="675">
        <v>0</v>
      </c>
      <c r="EP163" s="675">
        <v>0</v>
      </c>
      <c r="EQ163" s="675">
        <v>9.6280000000000001</v>
      </c>
      <c r="ER163" s="675">
        <v>0</v>
      </c>
      <c r="ES163" s="675">
        <v>29.442</v>
      </c>
      <c r="ET163" s="675">
        <v>2354</v>
      </c>
      <c r="EU163" s="675">
        <v>101541</v>
      </c>
      <c r="EV163" s="675">
        <v>0</v>
      </c>
      <c r="EW163" s="675">
        <v>0</v>
      </c>
      <c r="EX163" s="675">
        <v>0</v>
      </c>
      <c r="EY163" s="675">
        <v>0</v>
      </c>
      <c r="EZ163" s="675">
        <v>2113250</v>
      </c>
      <c r="FA163" s="675">
        <v>0</v>
      </c>
      <c r="FB163" s="675">
        <v>2214791</v>
      </c>
      <c r="FC163" s="675">
        <v>0.97327799999999998</v>
      </c>
      <c r="FD163" s="675">
        <v>0</v>
      </c>
      <c r="FE163" s="675">
        <v>328174</v>
      </c>
      <c r="FF163" s="675">
        <v>73953</v>
      </c>
      <c r="FG163" s="675">
        <v>6.1239999999999996E-2</v>
      </c>
      <c r="FH163" s="675">
        <v>5.4803999999999999E-2</v>
      </c>
      <c r="FI163" s="675">
        <v>0</v>
      </c>
      <c r="FJ163" s="675">
        <v>0</v>
      </c>
      <c r="FK163" s="675">
        <v>422.351</v>
      </c>
      <c r="FL163" s="675">
        <v>2680920</v>
      </c>
      <c r="FM163" s="675">
        <v>0</v>
      </c>
      <c r="FN163" s="675">
        <v>0</v>
      </c>
      <c r="FO163" s="675">
        <v>0</v>
      </c>
      <c r="FP163" s="675">
        <v>0</v>
      </c>
      <c r="FQ163" s="675">
        <v>0</v>
      </c>
      <c r="FR163" s="675">
        <v>0</v>
      </c>
      <c r="FS163" s="675">
        <v>0</v>
      </c>
      <c r="FT163" s="675">
        <v>0</v>
      </c>
      <c r="FU163" s="675">
        <v>0</v>
      </c>
      <c r="FV163" s="675">
        <v>0</v>
      </c>
      <c r="FW163" s="675">
        <v>0</v>
      </c>
      <c r="FX163" s="675">
        <v>0</v>
      </c>
      <c r="FY163" s="675">
        <v>0</v>
      </c>
      <c r="FZ163" s="675">
        <v>0</v>
      </c>
      <c r="GA163" s="675">
        <v>0</v>
      </c>
      <c r="GB163" s="675">
        <v>0</v>
      </c>
      <c r="GC163" s="675">
        <v>0</v>
      </c>
      <c r="GD163" s="675">
        <v>0</v>
      </c>
      <c r="GE163" s="675">
        <v>0</v>
      </c>
      <c r="GF163" s="675">
        <v>0</v>
      </c>
      <c r="GG163" s="675">
        <v>0</v>
      </c>
      <c r="GH163" s="675">
        <v>0</v>
      </c>
      <c r="GI163" s="675">
        <v>0</v>
      </c>
      <c r="GJ163" s="675">
        <v>0</v>
      </c>
      <c r="GK163" s="675">
        <v>5145</v>
      </c>
      <c r="GL163" s="675">
        <v>4560</v>
      </c>
      <c r="GM163" s="675">
        <v>0</v>
      </c>
      <c r="GN163" s="675">
        <v>0</v>
      </c>
      <c r="GO163" s="675">
        <v>0</v>
      </c>
      <c r="GP163" s="675">
        <v>2616918</v>
      </c>
      <c r="GQ163" s="675">
        <v>2616918</v>
      </c>
      <c r="GR163" s="675">
        <v>0</v>
      </c>
      <c r="GS163" s="675">
        <v>0</v>
      </c>
      <c r="GT163" s="675">
        <v>0</v>
      </c>
      <c r="GU163" s="675">
        <v>0</v>
      </c>
      <c r="GV163" s="675">
        <v>0</v>
      </c>
      <c r="GW163" s="675">
        <v>0</v>
      </c>
      <c r="GX163" s="675">
        <v>0</v>
      </c>
      <c r="GY163" s="675">
        <v>0</v>
      </c>
      <c r="GZ163" s="675">
        <v>0</v>
      </c>
      <c r="HA163" s="675">
        <v>0</v>
      </c>
      <c r="HB163" s="675">
        <v>260786259</v>
      </c>
      <c r="HC163" s="675">
        <v>5.0923999999999997E-2</v>
      </c>
      <c r="HD163" s="675">
        <v>61648</v>
      </c>
      <c r="HE163" s="675">
        <v>0</v>
      </c>
      <c r="HF163" s="675">
        <v>0</v>
      </c>
      <c r="HG163" s="675">
        <v>0</v>
      </c>
      <c r="HH163" s="675">
        <v>0</v>
      </c>
      <c r="HI163" s="675">
        <v>0</v>
      </c>
      <c r="HJ163" s="675">
        <v>0</v>
      </c>
      <c r="HK163" s="675">
        <v>0</v>
      </c>
      <c r="HL163" s="675">
        <v>0</v>
      </c>
      <c r="HM163" s="675">
        <v>0</v>
      </c>
      <c r="HN163" s="675">
        <v>0</v>
      </c>
      <c r="HO163" s="675">
        <v>0</v>
      </c>
      <c r="HP163" s="675">
        <v>0</v>
      </c>
      <c r="HQ163" s="675">
        <v>0</v>
      </c>
      <c r="HR163" s="675">
        <v>0</v>
      </c>
      <c r="HS163" s="675">
        <v>0</v>
      </c>
      <c r="HT163" s="675">
        <v>0</v>
      </c>
      <c r="HU163" s="675">
        <v>0</v>
      </c>
      <c r="HV163" s="675">
        <v>0</v>
      </c>
      <c r="HW163" s="675">
        <v>0</v>
      </c>
      <c r="HX163" s="675">
        <v>0</v>
      </c>
      <c r="HY163" s="675">
        <v>0</v>
      </c>
      <c r="HZ163" s="675">
        <v>0</v>
      </c>
      <c r="IA163" s="675">
        <v>0</v>
      </c>
      <c r="IB163" s="675">
        <v>0</v>
      </c>
      <c r="IC163" s="675">
        <v>0</v>
      </c>
      <c r="ID163" s="675">
        <v>0</v>
      </c>
      <c r="IE163" s="675">
        <v>0</v>
      </c>
      <c r="IF163" s="675">
        <v>0</v>
      </c>
      <c r="IG163" s="675">
        <v>0</v>
      </c>
      <c r="IH163" s="675">
        <v>0</v>
      </c>
      <c r="II163" s="675">
        <v>0</v>
      </c>
      <c r="IJ163" s="675">
        <v>0</v>
      </c>
      <c r="IK163" s="675">
        <v>0</v>
      </c>
      <c r="IL163" s="675">
        <v>0</v>
      </c>
      <c r="IM163" s="675">
        <v>0</v>
      </c>
      <c r="IN163" s="675">
        <v>0</v>
      </c>
      <c r="IO163" s="675">
        <v>0</v>
      </c>
      <c r="IP163" s="675">
        <v>0</v>
      </c>
      <c r="IQ163" s="675">
        <v>0</v>
      </c>
      <c r="IR163" s="675">
        <v>0</v>
      </c>
      <c r="IS163" s="675">
        <v>0</v>
      </c>
      <c r="IT163" s="675">
        <v>0</v>
      </c>
      <c r="IU163" s="675">
        <v>0</v>
      </c>
      <c r="IV163" s="675">
        <v>0</v>
      </c>
      <c r="IW163" s="675">
        <v>0</v>
      </c>
      <c r="IX163" s="675">
        <v>0</v>
      </c>
      <c r="IY163" s="675">
        <v>0</v>
      </c>
      <c r="IZ163" s="675">
        <v>0</v>
      </c>
      <c r="JA163" s="675">
        <v>0</v>
      </c>
      <c r="JB163" s="675">
        <v>0</v>
      </c>
      <c r="JC163" s="675">
        <v>0</v>
      </c>
      <c r="JD163" s="675">
        <v>0</v>
      </c>
      <c r="JE163" s="675">
        <v>0</v>
      </c>
      <c r="JF163" s="675">
        <v>0</v>
      </c>
      <c r="JG163" s="675">
        <v>0</v>
      </c>
      <c r="JH163" s="675">
        <v>0</v>
      </c>
      <c r="JI163" s="675">
        <v>0</v>
      </c>
      <c r="JJ163" s="675">
        <v>0</v>
      </c>
      <c r="JK163" s="675">
        <v>0</v>
      </c>
      <c r="JL163" s="675">
        <v>0</v>
      </c>
      <c r="JM163" s="675">
        <v>0</v>
      </c>
      <c r="JN163" s="675">
        <v>32469</v>
      </c>
      <c r="JO163" s="675">
        <v>0</v>
      </c>
      <c r="JP163" s="675">
        <v>0</v>
      </c>
      <c r="JQ163" s="675">
        <v>0</v>
      </c>
      <c r="JR163" s="675">
        <v>0</v>
      </c>
      <c r="JS163" s="675">
        <v>0</v>
      </c>
      <c r="JT163" s="675">
        <v>0</v>
      </c>
      <c r="JU163" s="675">
        <v>0</v>
      </c>
      <c r="JV163" s="675">
        <v>0</v>
      </c>
      <c r="JW163" s="675">
        <v>0</v>
      </c>
      <c r="JX163" s="675">
        <v>0</v>
      </c>
      <c r="JY163" s="675">
        <v>0</v>
      </c>
      <c r="JZ163" s="675">
        <v>0</v>
      </c>
      <c r="KA163" s="675">
        <v>0</v>
      </c>
      <c r="KB163" s="675">
        <v>0</v>
      </c>
      <c r="KC163" s="675">
        <v>0</v>
      </c>
      <c r="KD163" s="675">
        <v>0</v>
      </c>
      <c r="KE163" s="675">
        <v>0</v>
      </c>
      <c r="KF163" s="675">
        <v>0</v>
      </c>
    </row>
    <row r="164" spans="1:292" x14ac:dyDescent="0.25">
      <c r="A164" s="675">
        <v>220815</v>
      </c>
      <c r="B164" s="675">
        <v>32570</v>
      </c>
      <c r="C164" s="675">
        <v>35</v>
      </c>
      <c r="D164" s="675">
        <v>2022</v>
      </c>
      <c r="E164" s="675">
        <v>5392</v>
      </c>
      <c r="F164" s="675">
        <v>0</v>
      </c>
      <c r="G164" s="675">
        <v>671.27</v>
      </c>
      <c r="H164" s="675">
        <v>653.69100000000003</v>
      </c>
      <c r="I164" s="675">
        <v>653.69100000000003</v>
      </c>
      <c r="J164" s="675">
        <v>671.27</v>
      </c>
      <c r="K164" s="675">
        <v>0</v>
      </c>
      <c r="L164" s="675">
        <v>6554</v>
      </c>
      <c r="M164" s="675">
        <v>0</v>
      </c>
      <c r="N164" s="675">
        <v>0</v>
      </c>
      <c r="O164" s="675">
        <v>0</v>
      </c>
      <c r="P164" s="675">
        <v>589.80000000000007</v>
      </c>
      <c r="Q164" s="675">
        <v>0</v>
      </c>
      <c r="R164" s="675">
        <v>188567</v>
      </c>
      <c r="S164" s="675">
        <v>319.71300000000002</v>
      </c>
      <c r="T164" s="675">
        <v>0</v>
      </c>
      <c r="U164" s="675">
        <v>188567</v>
      </c>
      <c r="V164" s="675">
        <v>44.502000000000002</v>
      </c>
      <c r="W164" s="675">
        <v>29167</v>
      </c>
      <c r="X164" s="675">
        <v>29167</v>
      </c>
      <c r="Y164" s="675">
        <v>0</v>
      </c>
      <c r="Z164" s="675">
        <v>0</v>
      </c>
      <c r="AA164" s="675">
        <v>1</v>
      </c>
      <c r="AB164" s="675">
        <v>1</v>
      </c>
      <c r="AC164" s="675">
        <v>0</v>
      </c>
      <c r="AD164" s="675" t="s">
        <v>316</v>
      </c>
      <c r="AE164" s="675">
        <v>0</v>
      </c>
      <c r="AF164" s="675">
        <v>0</v>
      </c>
      <c r="AG164" s="675">
        <v>0</v>
      </c>
      <c r="AH164" s="675">
        <v>0</v>
      </c>
      <c r="AI164" s="675">
        <v>0</v>
      </c>
      <c r="AJ164" s="675">
        <v>5104</v>
      </c>
      <c r="AK164" s="675" t="s">
        <v>671</v>
      </c>
      <c r="AL164" s="675" t="s">
        <v>363</v>
      </c>
      <c r="AM164" s="675">
        <v>0</v>
      </c>
      <c r="AN164" s="675">
        <v>0</v>
      </c>
      <c r="AO164" s="675">
        <v>0</v>
      </c>
      <c r="AP164" s="675">
        <v>0</v>
      </c>
      <c r="AQ164" s="675">
        <v>0</v>
      </c>
      <c r="AR164" s="675">
        <v>0</v>
      </c>
      <c r="AS164" s="675">
        <v>0</v>
      </c>
      <c r="AT164" s="675">
        <v>0</v>
      </c>
      <c r="AU164" s="675">
        <v>0</v>
      </c>
      <c r="AV164" s="675">
        <v>244694</v>
      </c>
      <c r="AW164" s="675">
        <v>6287356</v>
      </c>
      <c r="AX164" s="675">
        <v>6155064</v>
      </c>
      <c r="AY164" s="675">
        <v>6753707</v>
      </c>
      <c r="AZ164" s="675">
        <v>188567</v>
      </c>
      <c r="BA164" s="675">
        <v>0</v>
      </c>
      <c r="BB164" s="675">
        <v>26397</v>
      </c>
      <c r="BC164" s="675">
        <v>26397</v>
      </c>
      <c r="BD164" s="675">
        <v>33.564</v>
      </c>
      <c r="BE164" s="675">
        <v>0</v>
      </c>
      <c r="BF164" s="675">
        <v>5225371</v>
      </c>
      <c r="BG164" s="675">
        <v>0</v>
      </c>
      <c r="BH164" s="675">
        <v>0</v>
      </c>
      <c r="BI164" s="675">
        <v>0</v>
      </c>
      <c r="BJ164" s="675">
        <v>12</v>
      </c>
      <c r="BK164" s="675">
        <v>0</v>
      </c>
      <c r="BL164" s="675">
        <v>0</v>
      </c>
      <c r="BM164" s="675">
        <v>0</v>
      </c>
      <c r="BN164" s="675">
        <v>0</v>
      </c>
      <c r="BO164" s="675">
        <v>0</v>
      </c>
      <c r="BP164" s="675">
        <v>0</v>
      </c>
      <c r="BQ164" s="675">
        <v>5392</v>
      </c>
      <c r="BR164" s="675">
        <v>1</v>
      </c>
      <c r="BS164" s="675">
        <v>0</v>
      </c>
      <c r="BT164" s="675">
        <v>0</v>
      </c>
      <c r="BU164" s="675">
        <v>0</v>
      </c>
      <c r="BV164" s="675">
        <v>0</v>
      </c>
      <c r="BW164" s="675">
        <v>0</v>
      </c>
      <c r="BX164" s="675">
        <v>0</v>
      </c>
      <c r="BY164" s="675">
        <v>0</v>
      </c>
      <c r="BZ164" s="675">
        <v>0</v>
      </c>
      <c r="CA164" s="675">
        <v>0</v>
      </c>
      <c r="CB164" s="675">
        <v>0</v>
      </c>
      <c r="CC164" s="675">
        <v>0</v>
      </c>
      <c r="CD164" s="675">
        <v>0</v>
      </c>
      <c r="CE164" s="675">
        <v>0</v>
      </c>
      <c r="CF164" s="675">
        <v>0</v>
      </c>
      <c r="CG164" s="675">
        <v>0</v>
      </c>
      <c r="CH164" s="675">
        <v>132292</v>
      </c>
      <c r="CI164" s="675">
        <v>0</v>
      </c>
      <c r="CJ164" s="675">
        <v>5</v>
      </c>
      <c r="CK164" s="675">
        <v>0</v>
      </c>
      <c r="CL164" s="675">
        <v>0</v>
      </c>
      <c r="CM164" s="675">
        <v>0</v>
      </c>
      <c r="CN164" s="675">
        <v>0</v>
      </c>
      <c r="CO164" s="675">
        <v>0</v>
      </c>
      <c r="CP164" s="675">
        <v>0</v>
      </c>
      <c r="CQ164" s="675">
        <v>0</v>
      </c>
      <c r="CR164" s="675">
        <v>589.80000000000007</v>
      </c>
      <c r="CS164" s="675">
        <v>0</v>
      </c>
      <c r="CT164" s="675">
        <v>0</v>
      </c>
      <c r="CU164" s="675">
        <v>0</v>
      </c>
      <c r="CV164" s="675">
        <v>0</v>
      </c>
      <c r="CW164" s="675">
        <v>0</v>
      </c>
      <c r="CX164" s="675">
        <v>0</v>
      </c>
      <c r="CY164" s="675">
        <v>0</v>
      </c>
      <c r="CZ164" s="675">
        <v>0</v>
      </c>
      <c r="DA164" s="675">
        <v>1</v>
      </c>
      <c r="DB164" s="675">
        <v>4284291</v>
      </c>
      <c r="DC164" s="675">
        <v>0</v>
      </c>
      <c r="DD164" s="675">
        <v>0</v>
      </c>
      <c r="DE164" s="675">
        <v>637272</v>
      </c>
      <c r="DF164" s="675">
        <v>637272</v>
      </c>
      <c r="DG164" s="675">
        <v>486.17</v>
      </c>
      <c r="DH164" s="675">
        <v>0</v>
      </c>
      <c r="DI164" s="675">
        <v>0</v>
      </c>
      <c r="DJ164" s="675">
        <v>0</v>
      </c>
      <c r="DK164" s="675">
        <v>5392</v>
      </c>
      <c r="DL164" s="675">
        <v>0</v>
      </c>
      <c r="DM164" s="675">
        <v>391713</v>
      </c>
      <c r="DN164" s="675">
        <v>0</v>
      </c>
      <c r="DO164" s="675">
        <v>0</v>
      </c>
      <c r="DP164" s="675">
        <v>0</v>
      </c>
      <c r="DQ164" s="675">
        <v>0</v>
      </c>
      <c r="DR164" s="675">
        <v>0</v>
      </c>
      <c r="DS164" s="675">
        <v>0</v>
      </c>
      <c r="DT164" s="675">
        <v>0</v>
      </c>
      <c r="DU164" s="675">
        <v>0</v>
      </c>
      <c r="DV164" s="675">
        <v>0</v>
      </c>
      <c r="DW164" s="675">
        <v>0</v>
      </c>
      <c r="DX164" s="675">
        <v>0</v>
      </c>
      <c r="DY164" s="675">
        <v>0</v>
      </c>
      <c r="DZ164" s="675">
        <v>0</v>
      </c>
      <c r="EA164" s="675">
        <v>0</v>
      </c>
      <c r="EB164" s="675">
        <v>0</v>
      </c>
      <c r="EC164" s="675">
        <v>3.64</v>
      </c>
      <c r="ED164" s="675">
        <v>26242</v>
      </c>
      <c r="EE164" s="675">
        <v>0</v>
      </c>
      <c r="EF164" s="675">
        <v>0</v>
      </c>
      <c r="EG164" s="675">
        <v>0</v>
      </c>
      <c r="EH164" s="675">
        <v>365471</v>
      </c>
      <c r="EI164" s="675">
        <v>0</v>
      </c>
      <c r="EJ164" s="675">
        <v>0</v>
      </c>
      <c r="EK164" s="675">
        <v>16.066000000000003</v>
      </c>
      <c r="EL164" s="675">
        <v>0</v>
      </c>
      <c r="EM164" s="675">
        <v>0</v>
      </c>
      <c r="EN164" s="675">
        <v>1.5130000000000001</v>
      </c>
      <c r="EO164" s="675">
        <v>0</v>
      </c>
      <c r="EP164" s="675">
        <v>0</v>
      </c>
      <c r="EQ164" s="675">
        <v>17.579000000000001</v>
      </c>
      <c r="ER164" s="675">
        <v>0</v>
      </c>
      <c r="ES164" s="675">
        <v>55.763000000000005</v>
      </c>
      <c r="ET164" s="675">
        <v>0</v>
      </c>
      <c r="EU164" s="675">
        <v>188567</v>
      </c>
      <c r="EV164" s="675">
        <v>0</v>
      </c>
      <c r="EW164" s="675">
        <v>0</v>
      </c>
      <c r="EX164" s="675">
        <v>0</v>
      </c>
      <c r="EY164" s="675">
        <v>0</v>
      </c>
      <c r="EZ164" s="675">
        <v>5180273</v>
      </c>
      <c r="FA164" s="675">
        <v>0</v>
      </c>
      <c r="FB164" s="675">
        <v>5368840</v>
      </c>
      <c r="FC164" s="675">
        <v>0.97327799999999998</v>
      </c>
      <c r="FD164" s="675">
        <v>0</v>
      </c>
      <c r="FE164" s="675">
        <v>795521</v>
      </c>
      <c r="FF164" s="675">
        <v>179270</v>
      </c>
      <c r="FG164" s="675">
        <v>6.1239999999999996E-2</v>
      </c>
      <c r="FH164" s="675">
        <v>5.4803999999999999E-2</v>
      </c>
      <c r="FI164" s="675">
        <v>0</v>
      </c>
      <c r="FJ164" s="675">
        <v>0</v>
      </c>
      <c r="FK164" s="675">
        <v>1023.8150000000001</v>
      </c>
      <c r="FL164" s="675">
        <v>6475923</v>
      </c>
      <c r="FM164" s="675">
        <v>0</v>
      </c>
      <c r="FN164" s="675">
        <v>0</v>
      </c>
      <c r="FO164" s="675">
        <v>0</v>
      </c>
      <c r="FP164" s="675">
        <v>0</v>
      </c>
      <c r="FQ164" s="675">
        <v>0</v>
      </c>
      <c r="FR164" s="675">
        <v>0</v>
      </c>
      <c r="FS164" s="675">
        <v>0</v>
      </c>
      <c r="FT164" s="675">
        <v>0</v>
      </c>
      <c r="FU164" s="675">
        <v>0</v>
      </c>
      <c r="FV164" s="675">
        <v>0</v>
      </c>
      <c r="FW164" s="675">
        <v>0</v>
      </c>
      <c r="FX164" s="675">
        <v>0</v>
      </c>
      <c r="FY164" s="675">
        <v>0</v>
      </c>
      <c r="FZ164" s="675">
        <v>0</v>
      </c>
      <c r="GA164" s="675">
        <v>0</v>
      </c>
      <c r="GB164" s="675">
        <v>0</v>
      </c>
      <c r="GC164" s="675">
        <v>0</v>
      </c>
      <c r="GD164" s="675">
        <v>0</v>
      </c>
      <c r="GE164" s="675">
        <v>0</v>
      </c>
      <c r="GF164" s="675">
        <v>0</v>
      </c>
      <c r="GG164" s="675">
        <v>0</v>
      </c>
      <c r="GH164" s="675">
        <v>0</v>
      </c>
      <c r="GI164" s="675">
        <v>0</v>
      </c>
      <c r="GJ164" s="675">
        <v>0</v>
      </c>
      <c r="GK164" s="675">
        <v>4971</v>
      </c>
      <c r="GL164" s="675">
        <v>3931</v>
      </c>
      <c r="GM164" s="675">
        <v>0</v>
      </c>
      <c r="GN164" s="675">
        <v>0</v>
      </c>
      <c r="GO164" s="675">
        <v>0</v>
      </c>
      <c r="GP164" s="675">
        <v>6343631</v>
      </c>
      <c r="GQ164" s="675">
        <v>6343631</v>
      </c>
      <c r="GR164" s="675">
        <v>0</v>
      </c>
      <c r="GS164" s="675">
        <v>0</v>
      </c>
      <c r="GT164" s="675">
        <v>0</v>
      </c>
      <c r="GU164" s="675">
        <v>0</v>
      </c>
      <c r="GV164" s="675">
        <v>0</v>
      </c>
      <c r="GW164" s="675">
        <v>0</v>
      </c>
      <c r="GX164" s="675">
        <v>0</v>
      </c>
      <c r="GY164" s="675">
        <v>0</v>
      </c>
      <c r="GZ164" s="675">
        <v>0</v>
      </c>
      <c r="HA164" s="675">
        <v>0</v>
      </c>
      <c r="HB164" s="675">
        <v>260786259</v>
      </c>
      <c r="HC164" s="675">
        <v>5.0923999999999997E-2</v>
      </c>
      <c r="HD164" s="675">
        <v>132292</v>
      </c>
      <c r="HE164" s="675">
        <v>0</v>
      </c>
      <c r="HF164" s="675">
        <v>0</v>
      </c>
      <c r="HG164" s="675">
        <v>0</v>
      </c>
      <c r="HH164" s="675">
        <v>0</v>
      </c>
      <c r="HI164" s="675">
        <v>0</v>
      </c>
      <c r="HJ164" s="675">
        <v>0</v>
      </c>
      <c r="HK164" s="675">
        <v>0</v>
      </c>
      <c r="HL164" s="675">
        <v>0</v>
      </c>
      <c r="HM164" s="675">
        <v>0</v>
      </c>
      <c r="HN164" s="675">
        <v>0</v>
      </c>
      <c r="HO164" s="675">
        <v>0</v>
      </c>
      <c r="HP164" s="675">
        <v>0</v>
      </c>
      <c r="HQ164" s="675">
        <v>0</v>
      </c>
      <c r="HR164" s="675">
        <v>0</v>
      </c>
      <c r="HS164" s="675">
        <v>0</v>
      </c>
      <c r="HT164" s="675">
        <v>0</v>
      </c>
      <c r="HU164" s="675">
        <v>0</v>
      </c>
      <c r="HV164" s="675">
        <v>0</v>
      </c>
      <c r="HW164" s="675">
        <v>0</v>
      </c>
      <c r="HX164" s="675">
        <v>0</v>
      </c>
      <c r="HY164" s="675">
        <v>0</v>
      </c>
      <c r="HZ164" s="675">
        <v>0</v>
      </c>
      <c r="IA164" s="675">
        <v>0</v>
      </c>
      <c r="IB164" s="675">
        <v>0</v>
      </c>
      <c r="IC164" s="675">
        <v>0</v>
      </c>
      <c r="ID164" s="675">
        <v>0</v>
      </c>
      <c r="IE164" s="675">
        <v>0</v>
      </c>
      <c r="IF164" s="675">
        <v>0</v>
      </c>
      <c r="IG164" s="675">
        <v>0</v>
      </c>
      <c r="IH164" s="675">
        <v>0</v>
      </c>
      <c r="II164" s="675">
        <v>0</v>
      </c>
      <c r="IJ164" s="675">
        <v>0</v>
      </c>
      <c r="IK164" s="675">
        <v>0</v>
      </c>
      <c r="IL164" s="675">
        <v>0</v>
      </c>
      <c r="IM164" s="675">
        <v>0</v>
      </c>
      <c r="IN164" s="675">
        <v>0</v>
      </c>
      <c r="IO164" s="675">
        <v>0</v>
      </c>
      <c r="IP164" s="675">
        <v>0</v>
      </c>
      <c r="IQ164" s="675">
        <v>0</v>
      </c>
      <c r="IR164" s="675">
        <v>0</v>
      </c>
      <c r="IS164" s="675">
        <v>0</v>
      </c>
      <c r="IT164" s="675">
        <v>0</v>
      </c>
      <c r="IU164" s="675">
        <v>0</v>
      </c>
      <c r="IV164" s="675">
        <v>0</v>
      </c>
      <c r="IW164" s="675">
        <v>0</v>
      </c>
      <c r="IX164" s="675">
        <v>0</v>
      </c>
      <c r="IY164" s="675">
        <v>0</v>
      </c>
      <c r="IZ164" s="675">
        <v>0</v>
      </c>
      <c r="JA164" s="675">
        <v>0</v>
      </c>
      <c r="JB164" s="675">
        <v>0</v>
      </c>
      <c r="JC164" s="675">
        <v>0</v>
      </c>
      <c r="JD164" s="675">
        <v>0</v>
      </c>
      <c r="JE164" s="675">
        <v>0</v>
      </c>
      <c r="JF164" s="675">
        <v>0</v>
      </c>
      <c r="JG164" s="675">
        <v>0</v>
      </c>
      <c r="JH164" s="675">
        <v>0</v>
      </c>
      <c r="JI164" s="675">
        <v>0</v>
      </c>
      <c r="JJ164" s="675">
        <v>0</v>
      </c>
      <c r="JK164" s="675">
        <v>0</v>
      </c>
      <c r="JL164" s="675">
        <v>0</v>
      </c>
      <c r="JM164" s="675">
        <v>0</v>
      </c>
      <c r="JN164" s="675">
        <v>32469</v>
      </c>
      <c r="JO164" s="675">
        <v>0</v>
      </c>
      <c r="JP164" s="675">
        <v>0</v>
      </c>
      <c r="JQ164" s="675">
        <v>0</v>
      </c>
      <c r="JR164" s="675">
        <v>0</v>
      </c>
      <c r="JS164" s="675">
        <v>0</v>
      </c>
      <c r="JT164" s="675">
        <v>0</v>
      </c>
      <c r="JU164" s="675">
        <v>0</v>
      </c>
      <c r="JV164" s="675">
        <v>0</v>
      </c>
      <c r="JW164" s="675">
        <v>0</v>
      </c>
      <c r="JX164" s="675">
        <v>0</v>
      </c>
      <c r="JY164" s="675">
        <v>0</v>
      </c>
      <c r="JZ164" s="675">
        <v>0</v>
      </c>
      <c r="KA164" s="675">
        <v>0</v>
      </c>
      <c r="KB164" s="675">
        <v>0</v>
      </c>
      <c r="KC164" s="675">
        <v>0</v>
      </c>
      <c r="KD164" s="675">
        <v>0</v>
      </c>
      <c r="KE164" s="675">
        <v>0</v>
      </c>
      <c r="KF164" s="675">
        <v>0</v>
      </c>
    </row>
    <row r="165" spans="1:292" x14ac:dyDescent="0.25">
      <c r="A165" s="675">
        <v>220817</v>
      </c>
      <c r="B165" s="675">
        <v>32570</v>
      </c>
      <c r="C165" s="675">
        <v>35</v>
      </c>
      <c r="D165" s="675">
        <v>2022</v>
      </c>
      <c r="E165" s="675">
        <v>5392</v>
      </c>
      <c r="F165" s="675">
        <v>0</v>
      </c>
      <c r="G165" s="675">
        <v>2870.4410000000003</v>
      </c>
      <c r="H165" s="675">
        <v>2679.6610000000001</v>
      </c>
      <c r="I165" s="675">
        <v>2679.6610000000001</v>
      </c>
      <c r="J165" s="675">
        <v>2870.4410000000003</v>
      </c>
      <c r="K165" s="675">
        <v>0</v>
      </c>
      <c r="L165" s="675">
        <v>6554</v>
      </c>
      <c r="M165" s="675">
        <v>0</v>
      </c>
      <c r="N165" s="675">
        <v>0</v>
      </c>
      <c r="O165" s="675">
        <v>0</v>
      </c>
      <c r="P165" s="675">
        <v>2768.63</v>
      </c>
      <c r="Q165" s="675">
        <v>0</v>
      </c>
      <c r="R165" s="675">
        <v>885167</v>
      </c>
      <c r="S165" s="675">
        <v>319.71300000000002</v>
      </c>
      <c r="T165" s="675">
        <v>0</v>
      </c>
      <c r="U165" s="675">
        <v>885167</v>
      </c>
      <c r="V165" s="675">
        <v>399.82100000000003</v>
      </c>
      <c r="W165" s="675">
        <v>262043</v>
      </c>
      <c r="X165" s="675">
        <v>262043</v>
      </c>
      <c r="Y165" s="675">
        <v>0</v>
      </c>
      <c r="Z165" s="675">
        <v>0</v>
      </c>
      <c r="AA165" s="675">
        <v>1</v>
      </c>
      <c r="AB165" s="675">
        <v>1</v>
      </c>
      <c r="AC165" s="675">
        <v>0</v>
      </c>
      <c r="AD165" s="675" t="s">
        <v>316</v>
      </c>
      <c r="AE165" s="675">
        <v>0</v>
      </c>
      <c r="AF165" s="675">
        <v>0</v>
      </c>
      <c r="AG165" s="675">
        <v>0</v>
      </c>
      <c r="AH165" s="675">
        <v>0</v>
      </c>
      <c r="AI165" s="675">
        <v>0</v>
      </c>
      <c r="AJ165" s="675">
        <v>5104</v>
      </c>
      <c r="AK165" s="675" t="s">
        <v>671</v>
      </c>
      <c r="AL165" s="675" t="s">
        <v>364</v>
      </c>
      <c r="AM165" s="675">
        <v>0</v>
      </c>
      <c r="AN165" s="675">
        <v>0</v>
      </c>
      <c r="AO165" s="675">
        <v>0</v>
      </c>
      <c r="AP165" s="675">
        <v>0</v>
      </c>
      <c r="AQ165" s="675">
        <v>0</v>
      </c>
      <c r="AR165" s="675">
        <v>0</v>
      </c>
      <c r="AS165" s="675">
        <v>0</v>
      </c>
      <c r="AT165" s="675">
        <v>0</v>
      </c>
      <c r="AU165" s="675">
        <v>0</v>
      </c>
      <c r="AV165" s="675">
        <v>793983</v>
      </c>
      <c r="AW165" s="675">
        <v>26509451</v>
      </c>
      <c r="AX165" s="675">
        <v>25795866</v>
      </c>
      <c r="AY165" s="675">
        <v>28055566</v>
      </c>
      <c r="AZ165" s="675">
        <v>1033052</v>
      </c>
      <c r="BA165" s="675">
        <v>0</v>
      </c>
      <c r="BB165" s="675">
        <v>112877</v>
      </c>
      <c r="BC165" s="675">
        <v>112877</v>
      </c>
      <c r="BD165" s="675">
        <v>143.52200000000002</v>
      </c>
      <c r="BE165" s="675">
        <v>0</v>
      </c>
      <c r="BF165" s="675">
        <v>21977684</v>
      </c>
      <c r="BG165" s="675">
        <v>0</v>
      </c>
      <c r="BH165" s="675">
        <v>537.76300000000003</v>
      </c>
      <c r="BI165" s="675">
        <v>147885</v>
      </c>
      <c r="BJ165" s="675">
        <v>12</v>
      </c>
      <c r="BK165" s="675">
        <v>0</v>
      </c>
      <c r="BL165" s="675">
        <v>0</v>
      </c>
      <c r="BM165" s="675">
        <v>0</v>
      </c>
      <c r="BN165" s="675">
        <v>0</v>
      </c>
      <c r="BO165" s="675">
        <v>0</v>
      </c>
      <c r="BP165" s="675">
        <v>0</v>
      </c>
      <c r="BQ165" s="675">
        <v>5392</v>
      </c>
      <c r="BR165" s="675">
        <v>1</v>
      </c>
      <c r="BS165" s="675">
        <v>0</v>
      </c>
      <c r="BT165" s="675">
        <v>0</v>
      </c>
      <c r="BU165" s="675">
        <v>0</v>
      </c>
      <c r="BV165" s="675">
        <v>0</v>
      </c>
      <c r="BW165" s="675">
        <v>0</v>
      </c>
      <c r="BX165" s="675">
        <v>0</v>
      </c>
      <c r="BY165" s="675">
        <v>0</v>
      </c>
      <c r="BZ165" s="675">
        <v>0</v>
      </c>
      <c r="CA165" s="675">
        <v>0</v>
      </c>
      <c r="CB165" s="675">
        <v>0</v>
      </c>
      <c r="CC165" s="675">
        <v>0</v>
      </c>
      <c r="CD165" s="675">
        <v>0</v>
      </c>
      <c r="CE165" s="675">
        <v>0</v>
      </c>
      <c r="CF165" s="675">
        <v>0</v>
      </c>
      <c r="CG165" s="675">
        <v>0</v>
      </c>
      <c r="CH165" s="675">
        <v>565700</v>
      </c>
      <c r="CI165" s="675">
        <v>0</v>
      </c>
      <c r="CJ165" s="675">
        <v>4</v>
      </c>
      <c r="CK165" s="675">
        <v>0</v>
      </c>
      <c r="CL165" s="675">
        <v>0</v>
      </c>
      <c r="CM165" s="675">
        <v>0</v>
      </c>
      <c r="CN165" s="675">
        <v>0</v>
      </c>
      <c r="CO165" s="675">
        <v>0</v>
      </c>
      <c r="CP165" s="675">
        <v>0</v>
      </c>
      <c r="CQ165" s="675">
        <v>0</v>
      </c>
      <c r="CR165" s="675">
        <v>2768.63</v>
      </c>
      <c r="CS165" s="675">
        <v>0</v>
      </c>
      <c r="CT165" s="675">
        <v>0</v>
      </c>
      <c r="CU165" s="675">
        <v>0</v>
      </c>
      <c r="CV165" s="675">
        <v>0</v>
      </c>
      <c r="CW165" s="675">
        <v>0</v>
      </c>
      <c r="CX165" s="675">
        <v>0</v>
      </c>
      <c r="CY165" s="675">
        <v>0</v>
      </c>
      <c r="CZ165" s="675">
        <v>0</v>
      </c>
      <c r="DA165" s="675">
        <v>1</v>
      </c>
      <c r="DB165" s="675">
        <v>17562498</v>
      </c>
      <c r="DC165" s="675">
        <v>0</v>
      </c>
      <c r="DD165" s="675">
        <v>0</v>
      </c>
      <c r="DE165" s="675">
        <v>2060355</v>
      </c>
      <c r="DF165" s="675">
        <v>2060355</v>
      </c>
      <c r="DG165" s="675">
        <v>1571.83</v>
      </c>
      <c r="DH165" s="675">
        <v>0</v>
      </c>
      <c r="DI165" s="675">
        <v>0</v>
      </c>
      <c r="DJ165" s="675">
        <v>0</v>
      </c>
      <c r="DK165" s="675">
        <v>5392</v>
      </c>
      <c r="DL165" s="675">
        <v>0</v>
      </c>
      <c r="DM165" s="675">
        <v>1313348</v>
      </c>
      <c r="DN165" s="675">
        <v>0</v>
      </c>
      <c r="DO165" s="675">
        <v>0</v>
      </c>
      <c r="DP165" s="675">
        <v>0</v>
      </c>
      <c r="DQ165" s="675">
        <v>0</v>
      </c>
      <c r="DR165" s="675">
        <v>0</v>
      </c>
      <c r="DS165" s="675">
        <v>0</v>
      </c>
      <c r="DT165" s="675">
        <v>0</v>
      </c>
      <c r="DU165" s="675">
        <v>0</v>
      </c>
      <c r="DV165" s="675">
        <v>0</v>
      </c>
      <c r="DW165" s="675">
        <v>0</v>
      </c>
      <c r="DX165" s="675">
        <v>0</v>
      </c>
      <c r="DY165" s="675">
        <v>0</v>
      </c>
      <c r="DZ165" s="675">
        <v>0</v>
      </c>
      <c r="EA165" s="675">
        <v>0</v>
      </c>
      <c r="EB165" s="675">
        <v>0</v>
      </c>
      <c r="EC165" s="675">
        <v>46.088000000000001</v>
      </c>
      <c r="ED165" s="675">
        <v>332267</v>
      </c>
      <c r="EE165" s="675">
        <v>0</v>
      </c>
      <c r="EF165" s="675">
        <v>0</v>
      </c>
      <c r="EG165" s="675">
        <v>0</v>
      </c>
      <c r="EH165" s="675">
        <v>981081</v>
      </c>
      <c r="EI165" s="675">
        <v>0</v>
      </c>
      <c r="EJ165" s="675">
        <v>0</v>
      </c>
      <c r="EK165" s="675">
        <v>41.175000000000004</v>
      </c>
      <c r="EL165" s="675">
        <v>0</v>
      </c>
      <c r="EM165" s="675">
        <v>2.6040000000000001</v>
      </c>
      <c r="EN165" s="675">
        <v>3.6710000000000003</v>
      </c>
      <c r="EO165" s="675">
        <v>0</v>
      </c>
      <c r="EP165" s="675">
        <v>0</v>
      </c>
      <c r="EQ165" s="675">
        <v>47.45</v>
      </c>
      <c r="ER165" s="675">
        <v>0</v>
      </c>
      <c r="ES165" s="675">
        <v>149.69200000000001</v>
      </c>
      <c r="ET165" s="675">
        <v>0</v>
      </c>
      <c r="EU165" s="675">
        <v>1033052</v>
      </c>
      <c r="EV165" s="675">
        <v>0</v>
      </c>
      <c r="EW165" s="675">
        <v>0</v>
      </c>
      <c r="EX165" s="675">
        <v>0</v>
      </c>
      <c r="EY165" s="675">
        <v>0</v>
      </c>
      <c r="EZ165" s="675">
        <v>21695940</v>
      </c>
      <c r="FA165" s="675">
        <v>0</v>
      </c>
      <c r="FB165" s="675">
        <v>22728992</v>
      </c>
      <c r="FC165" s="675">
        <v>0.97327799999999998</v>
      </c>
      <c r="FD165" s="675">
        <v>0</v>
      </c>
      <c r="FE165" s="675">
        <v>3345926</v>
      </c>
      <c r="FF165" s="675">
        <v>754000</v>
      </c>
      <c r="FG165" s="675">
        <v>6.1239999999999996E-2</v>
      </c>
      <c r="FH165" s="675">
        <v>5.4803999999999999E-2</v>
      </c>
      <c r="FI165" s="675">
        <v>0</v>
      </c>
      <c r="FJ165" s="675">
        <v>0</v>
      </c>
      <c r="FK165" s="675">
        <v>4306.12</v>
      </c>
      <c r="FL165" s="675">
        <v>27394618</v>
      </c>
      <c r="FM165" s="675">
        <v>0</v>
      </c>
      <c r="FN165" s="675">
        <v>0</v>
      </c>
      <c r="FO165" s="675">
        <v>0</v>
      </c>
      <c r="FP165" s="675">
        <v>0</v>
      </c>
      <c r="FQ165" s="675">
        <v>0</v>
      </c>
      <c r="FR165" s="675">
        <v>0</v>
      </c>
      <c r="FS165" s="675">
        <v>0</v>
      </c>
      <c r="FT165" s="675">
        <v>0</v>
      </c>
      <c r="FU165" s="675">
        <v>0</v>
      </c>
      <c r="FV165" s="675">
        <v>0</v>
      </c>
      <c r="FW165" s="675">
        <v>0</v>
      </c>
      <c r="FX165" s="675">
        <v>0</v>
      </c>
      <c r="FY165" s="675">
        <v>0</v>
      </c>
      <c r="FZ165" s="675">
        <v>1816</v>
      </c>
      <c r="GA165" s="675">
        <v>36.323</v>
      </c>
      <c r="GB165" s="675">
        <v>1269986</v>
      </c>
      <c r="GC165" s="675">
        <v>1269986</v>
      </c>
      <c r="GD165" s="675">
        <v>143.33000000000001</v>
      </c>
      <c r="GE165" s="675">
        <v>0</v>
      </c>
      <c r="GF165" s="675">
        <v>0</v>
      </c>
      <c r="GG165" s="675">
        <v>0</v>
      </c>
      <c r="GH165" s="675">
        <v>0</v>
      </c>
      <c r="GI165" s="675">
        <v>0</v>
      </c>
      <c r="GJ165" s="675">
        <v>0</v>
      </c>
      <c r="GK165" s="675">
        <v>4971</v>
      </c>
      <c r="GL165" s="675">
        <v>0</v>
      </c>
      <c r="GM165" s="675">
        <v>0</v>
      </c>
      <c r="GN165" s="675">
        <v>0</v>
      </c>
      <c r="GO165" s="675">
        <v>0</v>
      </c>
      <c r="GP165" s="675">
        <v>26828918</v>
      </c>
      <c r="GQ165" s="675">
        <v>26828918</v>
      </c>
      <c r="GR165" s="675">
        <v>0</v>
      </c>
      <c r="GS165" s="675">
        <v>0</v>
      </c>
      <c r="GT165" s="675">
        <v>0</v>
      </c>
      <c r="GU165" s="675">
        <v>0</v>
      </c>
      <c r="GV165" s="675">
        <v>0</v>
      </c>
      <c r="GW165" s="675">
        <v>0</v>
      </c>
      <c r="GX165" s="675">
        <v>0</v>
      </c>
      <c r="GY165" s="675">
        <v>0</v>
      </c>
      <c r="GZ165" s="675">
        <v>0</v>
      </c>
      <c r="HA165" s="675">
        <v>0</v>
      </c>
      <c r="HB165" s="675">
        <v>260786259</v>
      </c>
      <c r="HC165" s="675">
        <v>5.0923999999999997E-2</v>
      </c>
      <c r="HD165" s="675">
        <v>565700</v>
      </c>
      <c r="HE165" s="675">
        <v>0</v>
      </c>
      <c r="HF165" s="675">
        <v>0</v>
      </c>
      <c r="HG165" s="675">
        <v>0</v>
      </c>
      <c r="HH165" s="675">
        <v>0</v>
      </c>
      <c r="HI165" s="675">
        <v>0</v>
      </c>
      <c r="HJ165" s="675">
        <v>0</v>
      </c>
      <c r="HK165" s="675">
        <v>0</v>
      </c>
      <c r="HL165" s="675">
        <v>0</v>
      </c>
      <c r="HM165" s="675">
        <v>0</v>
      </c>
      <c r="HN165" s="675">
        <v>0</v>
      </c>
      <c r="HO165" s="675">
        <v>0</v>
      </c>
      <c r="HP165" s="675">
        <v>0</v>
      </c>
      <c r="HQ165" s="675">
        <v>0</v>
      </c>
      <c r="HR165" s="675">
        <v>0</v>
      </c>
      <c r="HS165" s="675">
        <v>0</v>
      </c>
      <c r="HT165" s="675">
        <v>0</v>
      </c>
      <c r="HU165" s="675">
        <v>0</v>
      </c>
      <c r="HV165" s="675">
        <v>0</v>
      </c>
      <c r="HW165" s="675">
        <v>0</v>
      </c>
      <c r="HX165" s="675">
        <v>0</v>
      </c>
      <c r="HY165" s="675">
        <v>0</v>
      </c>
      <c r="HZ165" s="675">
        <v>0</v>
      </c>
      <c r="IA165" s="675">
        <v>0</v>
      </c>
      <c r="IB165" s="675">
        <v>0</v>
      </c>
      <c r="IC165" s="675">
        <v>0</v>
      </c>
      <c r="ID165" s="675">
        <v>0</v>
      </c>
      <c r="IE165" s="675">
        <v>0</v>
      </c>
      <c r="IF165" s="675">
        <v>0</v>
      </c>
      <c r="IG165" s="675">
        <v>0</v>
      </c>
      <c r="IH165" s="675">
        <v>0</v>
      </c>
      <c r="II165" s="675">
        <v>0</v>
      </c>
      <c r="IJ165" s="675">
        <v>0</v>
      </c>
      <c r="IK165" s="675">
        <v>0</v>
      </c>
      <c r="IL165" s="675">
        <v>0</v>
      </c>
      <c r="IM165" s="675">
        <v>0</v>
      </c>
      <c r="IN165" s="675">
        <v>0</v>
      </c>
      <c r="IO165" s="675">
        <v>0</v>
      </c>
      <c r="IP165" s="675">
        <v>0</v>
      </c>
      <c r="IQ165" s="675">
        <v>0</v>
      </c>
      <c r="IR165" s="675">
        <v>0</v>
      </c>
      <c r="IS165" s="675">
        <v>0</v>
      </c>
      <c r="IT165" s="675">
        <v>0</v>
      </c>
      <c r="IU165" s="675">
        <v>0</v>
      </c>
      <c r="IV165" s="675">
        <v>0</v>
      </c>
      <c r="IW165" s="675">
        <v>0</v>
      </c>
      <c r="IX165" s="675">
        <v>0</v>
      </c>
      <c r="IY165" s="675">
        <v>0</v>
      </c>
      <c r="IZ165" s="675">
        <v>0</v>
      </c>
      <c r="JA165" s="675">
        <v>0</v>
      </c>
      <c r="JB165" s="675">
        <v>0</v>
      </c>
      <c r="JC165" s="675">
        <v>0</v>
      </c>
      <c r="JD165" s="675">
        <v>0</v>
      </c>
      <c r="JE165" s="675">
        <v>0</v>
      </c>
      <c r="JF165" s="675">
        <v>0</v>
      </c>
      <c r="JG165" s="675">
        <v>0</v>
      </c>
      <c r="JH165" s="675">
        <v>0</v>
      </c>
      <c r="JI165" s="675">
        <v>0</v>
      </c>
      <c r="JJ165" s="675">
        <v>0</v>
      </c>
      <c r="JK165" s="675">
        <v>0</v>
      </c>
      <c r="JL165" s="675">
        <v>0</v>
      </c>
      <c r="JM165" s="675">
        <v>0</v>
      </c>
      <c r="JN165" s="675">
        <v>32469</v>
      </c>
      <c r="JO165" s="675">
        <v>0</v>
      </c>
      <c r="JP165" s="675">
        <v>0</v>
      </c>
      <c r="JQ165" s="675">
        <v>0</v>
      </c>
      <c r="JR165" s="675">
        <v>0</v>
      </c>
      <c r="JS165" s="675">
        <v>0</v>
      </c>
      <c r="JT165" s="675">
        <v>0</v>
      </c>
      <c r="JU165" s="675">
        <v>0</v>
      </c>
      <c r="JV165" s="675">
        <v>0</v>
      </c>
      <c r="JW165" s="675">
        <v>0</v>
      </c>
      <c r="JX165" s="675">
        <v>0</v>
      </c>
      <c r="JY165" s="675">
        <v>0</v>
      </c>
      <c r="JZ165" s="675">
        <v>0</v>
      </c>
      <c r="KA165" s="675">
        <v>0</v>
      </c>
      <c r="KB165" s="675">
        <v>0</v>
      </c>
      <c r="KC165" s="675">
        <v>0</v>
      </c>
      <c r="KD165" s="675">
        <v>0</v>
      </c>
      <c r="KE165" s="675">
        <v>0</v>
      </c>
      <c r="KF165" s="675">
        <v>0</v>
      </c>
    </row>
    <row r="166" spans="1:292" x14ac:dyDescent="0.25">
      <c r="A166" s="675">
        <v>220819</v>
      </c>
      <c r="B166" s="675">
        <v>32570</v>
      </c>
      <c r="C166" s="675">
        <v>35</v>
      </c>
      <c r="D166" s="675">
        <v>2022</v>
      </c>
      <c r="E166" s="675">
        <v>5392</v>
      </c>
      <c r="F166" s="675">
        <v>0</v>
      </c>
      <c r="G166" s="675">
        <v>1590.7140000000002</v>
      </c>
      <c r="H166" s="675">
        <v>1532.5420000000001</v>
      </c>
      <c r="I166" s="675">
        <v>1532.5420000000001</v>
      </c>
      <c r="J166" s="675">
        <v>1590.7140000000002</v>
      </c>
      <c r="K166" s="675">
        <v>0</v>
      </c>
      <c r="L166" s="675">
        <v>6554</v>
      </c>
      <c r="M166" s="675">
        <v>0</v>
      </c>
      <c r="N166" s="675">
        <v>0</v>
      </c>
      <c r="O166" s="675">
        <v>0</v>
      </c>
      <c r="P166" s="675">
        <v>1324.8390000000002</v>
      </c>
      <c r="Q166" s="675">
        <v>0</v>
      </c>
      <c r="R166" s="675">
        <v>423568</v>
      </c>
      <c r="S166" s="675">
        <v>319.71300000000002</v>
      </c>
      <c r="T166" s="675">
        <v>0</v>
      </c>
      <c r="U166" s="675">
        <v>423568</v>
      </c>
      <c r="V166" s="675">
        <v>80.546999999999997</v>
      </c>
      <c r="W166" s="675">
        <v>52791</v>
      </c>
      <c r="X166" s="675">
        <v>52791</v>
      </c>
      <c r="Y166" s="675">
        <v>0</v>
      </c>
      <c r="Z166" s="675">
        <v>0</v>
      </c>
      <c r="AA166" s="675">
        <v>1</v>
      </c>
      <c r="AB166" s="675">
        <v>1</v>
      </c>
      <c r="AC166" s="675">
        <v>0</v>
      </c>
      <c r="AD166" s="675" t="s">
        <v>316</v>
      </c>
      <c r="AE166" s="675">
        <v>0</v>
      </c>
      <c r="AF166" s="675">
        <v>0</v>
      </c>
      <c r="AG166" s="675">
        <v>0</v>
      </c>
      <c r="AH166" s="675">
        <v>0</v>
      </c>
      <c r="AI166" s="675">
        <v>0</v>
      </c>
      <c r="AJ166" s="675">
        <v>5104</v>
      </c>
      <c r="AK166" s="675" t="s">
        <v>671</v>
      </c>
      <c r="AL166" s="675" t="s">
        <v>373</v>
      </c>
      <c r="AM166" s="675">
        <v>0</v>
      </c>
      <c r="AN166" s="675">
        <v>0</v>
      </c>
      <c r="AO166" s="675">
        <v>0</v>
      </c>
      <c r="AP166" s="675">
        <v>0</v>
      </c>
      <c r="AQ166" s="675">
        <v>0</v>
      </c>
      <c r="AR166" s="675">
        <v>0</v>
      </c>
      <c r="AS166" s="675">
        <v>0</v>
      </c>
      <c r="AT166" s="675">
        <v>0</v>
      </c>
      <c r="AU166" s="675">
        <v>0</v>
      </c>
      <c r="AV166" s="675">
        <v>58464</v>
      </c>
      <c r="AW166" s="675">
        <v>14106171</v>
      </c>
      <c r="AX166" s="675">
        <v>13700596</v>
      </c>
      <c r="AY166" s="675">
        <v>15101941</v>
      </c>
      <c r="AZ166" s="675">
        <v>515649</v>
      </c>
      <c r="BA166" s="675">
        <v>0</v>
      </c>
      <c r="BB166" s="675">
        <v>62553</v>
      </c>
      <c r="BC166" s="675">
        <v>62553</v>
      </c>
      <c r="BD166" s="675">
        <v>79.536000000000001</v>
      </c>
      <c r="BE166" s="675">
        <v>0</v>
      </c>
      <c r="BF166" s="675">
        <v>11634348</v>
      </c>
      <c r="BG166" s="675">
        <v>0</v>
      </c>
      <c r="BH166" s="675">
        <v>186.649</v>
      </c>
      <c r="BI166" s="675">
        <v>51328</v>
      </c>
      <c r="BJ166" s="675">
        <v>12</v>
      </c>
      <c r="BK166" s="675">
        <v>0</v>
      </c>
      <c r="BL166" s="675">
        <v>0</v>
      </c>
      <c r="BM166" s="675">
        <v>0</v>
      </c>
      <c r="BN166" s="675">
        <v>0</v>
      </c>
      <c r="BO166" s="675">
        <v>0</v>
      </c>
      <c r="BP166" s="675">
        <v>0</v>
      </c>
      <c r="BQ166" s="675">
        <v>5392</v>
      </c>
      <c r="BR166" s="675">
        <v>1</v>
      </c>
      <c r="BS166" s="675">
        <v>0</v>
      </c>
      <c r="BT166" s="675">
        <v>0</v>
      </c>
      <c r="BU166" s="675">
        <v>0</v>
      </c>
      <c r="BV166" s="675">
        <v>0</v>
      </c>
      <c r="BW166" s="675">
        <v>0</v>
      </c>
      <c r="BX166" s="675">
        <v>0</v>
      </c>
      <c r="BY166" s="675">
        <v>0</v>
      </c>
      <c r="BZ166" s="675">
        <v>0</v>
      </c>
      <c r="CA166" s="675">
        <v>106.61</v>
      </c>
      <c r="CB166" s="675">
        <v>40753</v>
      </c>
      <c r="CC166" s="675">
        <v>0</v>
      </c>
      <c r="CD166" s="675">
        <v>0</v>
      </c>
      <c r="CE166" s="675">
        <v>0</v>
      </c>
      <c r="CF166" s="675">
        <v>0</v>
      </c>
      <c r="CG166" s="675">
        <v>0</v>
      </c>
      <c r="CH166" s="675">
        <v>313494</v>
      </c>
      <c r="CI166" s="675">
        <v>0</v>
      </c>
      <c r="CJ166" s="675">
        <v>5</v>
      </c>
      <c r="CK166" s="675">
        <v>0</v>
      </c>
      <c r="CL166" s="675">
        <v>0</v>
      </c>
      <c r="CM166" s="675">
        <v>0</v>
      </c>
      <c r="CN166" s="675">
        <v>0</v>
      </c>
      <c r="CO166" s="675">
        <v>0</v>
      </c>
      <c r="CP166" s="675">
        <v>0</v>
      </c>
      <c r="CQ166" s="675">
        <v>0</v>
      </c>
      <c r="CR166" s="675">
        <v>1324.8390000000002</v>
      </c>
      <c r="CS166" s="675">
        <v>0</v>
      </c>
      <c r="CT166" s="675">
        <v>0</v>
      </c>
      <c r="CU166" s="675">
        <v>0</v>
      </c>
      <c r="CV166" s="675">
        <v>0</v>
      </c>
      <c r="CW166" s="675">
        <v>0</v>
      </c>
      <c r="CX166" s="675">
        <v>0</v>
      </c>
      <c r="CY166" s="675">
        <v>0</v>
      </c>
      <c r="CZ166" s="675">
        <v>0</v>
      </c>
      <c r="DA166" s="675">
        <v>1</v>
      </c>
      <c r="DB166" s="675">
        <v>10044280</v>
      </c>
      <c r="DC166" s="675">
        <v>0</v>
      </c>
      <c r="DD166" s="675">
        <v>0</v>
      </c>
      <c r="DE166" s="675">
        <v>565610</v>
      </c>
      <c r="DF166" s="675">
        <v>565610</v>
      </c>
      <c r="DG166" s="675">
        <v>431.5</v>
      </c>
      <c r="DH166" s="675">
        <v>0</v>
      </c>
      <c r="DI166" s="675">
        <v>0</v>
      </c>
      <c r="DJ166" s="675">
        <v>0</v>
      </c>
      <c r="DK166" s="675">
        <v>5392</v>
      </c>
      <c r="DL166" s="675">
        <v>0</v>
      </c>
      <c r="DM166" s="675">
        <v>1013297</v>
      </c>
      <c r="DN166" s="675">
        <v>0</v>
      </c>
      <c r="DO166" s="675">
        <v>0</v>
      </c>
      <c r="DP166" s="675">
        <v>0</v>
      </c>
      <c r="DQ166" s="675">
        <v>0</v>
      </c>
      <c r="DR166" s="675">
        <v>0</v>
      </c>
      <c r="DS166" s="675">
        <v>0</v>
      </c>
      <c r="DT166" s="675">
        <v>0</v>
      </c>
      <c r="DU166" s="675">
        <v>0</v>
      </c>
      <c r="DV166" s="675">
        <v>0</v>
      </c>
      <c r="DW166" s="675">
        <v>0</v>
      </c>
      <c r="DX166" s="675">
        <v>0</v>
      </c>
      <c r="DY166" s="675">
        <v>0</v>
      </c>
      <c r="DZ166" s="675">
        <v>0</v>
      </c>
      <c r="EA166" s="675">
        <v>8.0000000000000002E-3</v>
      </c>
      <c r="EB166" s="675">
        <v>0</v>
      </c>
      <c r="EC166" s="675">
        <v>42.374000000000002</v>
      </c>
      <c r="ED166" s="675">
        <v>305491</v>
      </c>
      <c r="EE166" s="675">
        <v>0</v>
      </c>
      <c r="EF166" s="675">
        <v>0</v>
      </c>
      <c r="EG166" s="675">
        <v>0</v>
      </c>
      <c r="EH166" s="675">
        <v>707806</v>
      </c>
      <c r="EI166" s="675">
        <v>0</v>
      </c>
      <c r="EJ166" s="675">
        <v>0</v>
      </c>
      <c r="EK166" s="675">
        <v>30.117000000000001</v>
      </c>
      <c r="EL166" s="675">
        <v>0</v>
      </c>
      <c r="EM166" s="675">
        <v>0.49500000000000005</v>
      </c>
      <c r="EN166" s="675">
        <v>3.2240000000000002</v>
      </c>
      <c r="EO166" s="675">
        <v>0</v>
      </c>
      <c r="EP166" s="675">
        <v>0</v>
      </c>
      <c r="EQ166" s="675">
        <v>33.844000000000001</v>
      </c>
      <c r="ER166" s="675">
        <v>0</v>
      </c>
      <c r="ES166" s="675">
        <v>107.99600000000001</v>
      </c>
      <c r="ET166" s="675">
        <v>0</v>
      </c>
      <c r="EU166" s="675">
        <v>515649</v>
      </c>
      <c r="EV166" s="675">
        <v>0</v>
      </c>
      <c r="EW166" s="675">
        <v>0</v>
      </c>
      <c r="EX166" s="675">
        <v>0</v>
      </c>
      <c r="EY166" s="675">
        <v>0</v>
      </c>
      <c r="EZ166" s="675">
        <v>11530215</v>
      </c>
      <c r="FA166" s="675">
        <v>0</v>
      </c>
      <c r="FB166" s="675">
        <v>12045864</v>
      </c>
      <c r="FC166" s="675">
        <v>0.97327799999999998</v>
      </c>
      <c r="FD166" s="675">
        <v>0</v>
      </c>
      <c r="FE166" s="675">
        <v>1771236</v>
      </c>
      <c r="FF166" s="675">
        <v>399145</v>
      </c>
      <c r="FG166" s="675">
        <v>6.1239999999999996E-2</v>
      </c>
      <c r="FH166" s="675">
        <v>5.4803999999999999E-2</v>
      </c>
      <c r="FI166" s="675">
        <v>0</v>
      </c>
      <c r="FJ166" s="675">
        <v>0</v>
      </c>
      <c r="FK166" s="675">
        <v>2279.5350000000003</v>
      </c>
      <c r="FL166" s="675">
        <v>14529739</v>
      </c>
      <c r="FM166" s="675">
        <v>0</v>
      </c>
      <c r="FN166" s="675">
        <v>0</v>
      </c>
      <c r="FO166" s="675">
        <v>0</v>
      </c>
      <c r="FP166" s="675">
        <v>0</v>
      </c>
      <c r="FQ166" s="675">
        <v>0</v>
      </c>
      <c r="FR166" s="675">
        <v>0</v>
      </c>
      <c r="FS166" s="675">
        <v>0</v>
      </c>
      <c r="FT166" s="675">
        <v>0</v>
      </c>
      <c r="FU166" s="675">
        <v>0</v>
      </c>
      <c r="FV166" s="675">
        <v>0</v>
      </c>
      <c r="FW166" s="675">
        <v>0</v>
      </c>
      <c r="FX166" s="675">
        <v>0</v>
      </c>
      <c r="FY166" s="675">
        <v>0</v>
      </c>
      <c r="FZ166" s="675">
        <v>0</v>
      </c>
      <c r="GA166" s="675">
        <v>0</v>
      </c>
      <c r="GB166" s="675">
        <v>215252</v>
      </c>
      <c r="GC166" s="675">
        <v>215252</v>
      </c>
      <c r="GD166" s="675">
        <v>24.327999999999999</v>
      </c>
      <c r="GE166" s="675">
        <v>0</v>
      </c>
      <c r="GF166" s="675">
        <v>0</v>
      </c>
      <c r="GG166" s="675">
        <v>0</v>
      </c>
      <c r="GH166" s="675">
        <v>0</v>
      </c>
      <c r="GI166" s="675">
        <v>0</v>
      </c>
      <c r="GJ166" s="675">
        <v>0</v>
      </c>
      <c r="GK166" s="675">
        <v>0</v>
      </c>
      <c r="GL166" s="675">
        <v>0</v>
      </c>
      <c r="GM166" s="675">
        <v>0</v>
      </c>
      <c r="GN166" s="675">
        <v>0</v>
      </c>
      <c r="GO166" s="675">
        <v>0</v>
      </c>
      <c r="GP166" s="675">
        <v>14216245</v>
      </c>
      <c r="GQ166" s="675">
        <v>14216245</v>
      </c>
      <c r="GR166" s="675">
        <v>0</v>
      </c>
      <c r="GS166" s="675">
        <v>0</v>
      </c>
      <c r="GT166" s="675">
        <v>0</v>
      </c>
      <c r="GU166" s="675">
        <v>0</v>
      </c>
      <c r="GV166" s="675">
        <v>0</v>
      </c>
      <c r="GW166" s="675">
        <v>0</v>
      </c>
      <c r="GX166" s="675">
        <v>0</v>
      </c>
      <c r="GY166" s="675">
        <v>0</v>
      </c>
      <c r="GZ166" s="675">
        <v>0</v>
      </c>
      <c r="HA166" s="675">
        <v>0</v>
      </c>
      <c r="HB166" s="675">
        <v>260786259</v>
      </c>
      <c r="HC166" s="675">
        <v>5.0923999999999997E-2</v>
      </c>
      <c r="HD166" s="675">
        <v>313494</v>
      </c>
      <c r="HE166" s="675">
        <v>0</v>
      </c>
      <c r="HF166" s="675">
        <v>0</v>
      </c>
      <c r="HG166" s="675">
        <v>0</v>
      </c>
      <c r="HH166" s="675">
        <v>0</v>
      </c>
      <c r="HI166" s="675">
        <v>0</v>
      </c>
      <c r="HJ166" s="675">
        <v>0</v>
      </c>
      <c r="HK166" s="675">
        <v>0</v>
      </c>
      <c r="HL166" s="675">
        <v>0</v>
      </c>
      <c r="HM166" s="675">
        <v>0</v>
      </c>
      <c r="HN166" s="675">
        <v>0</v>
      </c>
      <c r="HO166" s="675">
        <v>0</v>
      </c>
      <c r="HP166" s="675">
        <v>0</v>
      </c>
      <c r="HQ166" s="675">
        <v>0</v>
      </c>
      <c r="HR166" s="675">
        <v>0</v>
      </c>
      <c r="HS166" s="675">
        <v>0</v>
      </c>
      <c r="HT166" s="675">
        <v>0</v>
      </c>
      <c r="HU166" s="675">
        <v>0</v>
      </c>
      <c r="HV166" s="675">
        <v>0</v>
      </c>
      <c r="HW166" s="675">
        <v>0</v>
      </c>
      <c r="HX166" s="675">
        <v>0</v>
      </c>
      <c r="HY166" s="675">
        <v>0</v>
      </c>
      <c r="HZ166" s="675">
        <v>0</v>
      </c>
      <c r="IA166" s="675">
        <v>0</v>
      </c>
      <c r="IB166" s="675">
        <v>0</v>
      </c>
      <c r="IC166" s="675">
        <v>0</v>
      </c>
      <c r="ID166" s="675">
        <v>0</v>
      </c>
      <c r="IE166" s="675">
        <v>0</v>
      </c>
      <c r="IF166" s="675">
        <v>0</v>
      </c>
      <c r="IG166" s="675">
        <v>0</v>
      </c>
      <c r="IH166" s="675">
        <v>0</v>
      </c>
      <c r="II166" s="675">
        <v>0</v>
      </c>
      <c r="IJ166" s="675">
        <v>0</v>
      </c>
      <c r="IK166" s="675">
        <v>0</v>
      </c>
      <c r="IL166" s="675">
        <v>0</v>
      </c>
      <c r="IM166" s="675">
        <v>0</v>
      </c>
      <c r="IN166" s="675">
        <v>0</v>
      </c>
      <c r="IO166" s="675">
        <v>0</v>
      </c>
      <c r="IP166" s="675">
        <v>0</v>
      </c>
      <c r="IQ166" s="675">
        <v>0</v>
      </c>
      <c r="IR166" s="675">
        <v>0</v>
      </c>
      <c r="IS166" s="675">
        <v>0</v>
      </c>
      <c r="IT166" s="675">
        <v>0</v>
      </c>
      <c r="IU166" s="675">
        <v>0</v>
      </c>
      <c r="IV166" s="675">
        <v>0</v>
      </c>
      <c r="IW166" s="675">
        <v>0</v>
      </c>
      <c r="IX166" s="675">
        <v>0</v>
      </c>
      <c r="IY166" s="675">
        <v>0</v>
      </c>
      <c r="IZ166" s="675">
        <v>0</v>
      </c>
      <c r="JA166" s="675">
        <v>0</v>
      </c>
      <c r="JB166" s="675">
        <v>0</v>
      </c>
      <c r="JC166" s="675">
        <v>0</v>
      </c>
      <c r="JD166" s="675">
        <v>0</v>
      </c>
      <c r="JE166" s="675">
        <v>0</v>
      </c>
      <c r="JF166" s="675">
        <v>0</v>
      </c>
      <c r="JG166" s="675">
        <v>0</v>
      </c>
      <c r="JH166" s="675">
        <v>0</v>
      </c>
      <c r="JI166" s="675">
        <v>0</v>
      </c>
      <c r="JJ166" s="675">
        <v>0</v>
      </c>
      <c r="JK166" s="675">
        <v>0</v>
      </c>
      <c r="JL166" s="675">
        <v>0</v>
      </c>
      <c r="JM166" s="675">
        <v>0</v>
      </c>
      <c r="JN166" s="675">
        <v>32469</v>
      </c>
      <c r="JO166" s="675">
        <v>0</v>
      </c>
      <c r="JP166" s="675">
        <v>0</v>
      </c>
      <c r="JQ166" s="675">
        <v>0</v>
      </c>
      <c r="JR166" s="675">
        <v>0</v>
      </c>
      <c r="JS166" s="675">
        <v>0</v>
      </c>
      <c r="JT166" s="675">
        <v>0</v>
      </c>
      <c r="JU166" s="675">
        <v>0</v>
      </c>
      <c r="JV166" s="675">
        <v>0</v>
      </c>
      <c r="JW166" s="675">
        <v>0</v>
      </c>
      <c r="JX166" s="675">
        <v>0</v>
      </c>
      <c r="JY166" s="675">
        <v>0</v>
      </c>
      <c r="JZ166" s="675">
        <v>0</v>
      </c>
      <c r="KA166" s="675">
        <v>0</v>
      </c>
      <c r="KB166" s="675">
        <v>0</v>
      </c>
      <c r="KC166" s="675">
        <v>0</v>
      </c>
      <c r="KD166" s="675">
        <v>0</v>
      </c>
      <c r="KE166" s="675">
        <v>0</v>
      </c>
      <c r="KF166" s="675">
        <v>0</v>
      </c>
    </row>
    <row r="167" spans="1:292" ht="13" x14ac:dyDescent="0.3">
      <c r="A167" s="675">
        <v>221801</v>
      </c>
      <c r="B167" s="675">
        <v>32570</v>
      </c>
      <c r="C167" s="675">
        <v>35</v>
      </c>
      <c r="D167" s="675">
        <v>2022</v>
      </c>
      <c r="E167" s="675">
        <v>5392</v>
      </c>
      <c r="F167" s="675">
        <v>0</v>
      </c>
      <c r="G167" s="675">
        <v>12880.678</v>
      </c>
      <c r="H167" s="675">
        <v>12198.816000000001</v>
      </c>
      <c r="I167" s="675">
        <v>12198.816000000001</v>
      </c>
      <c r="J167" s="675">
        <v>12489.932000000001</v>
      </c>
      <c r="K167" s="675">
        <v>0</v>
      </c>
      <c r="L167" s="675">
        <v>6554</v>
      </c>
      <c r="M167" s="675">
        <v>0</v>
      </c>
      <c r="N167" s="675">
        <v>0</v>
      </c>
      <c r="O167" s="675">
        <v>0</v>
      </c>
      <c r="P167" s="675">
        <v>11465.715</v>
      </c>
      <c r="Q167" s="675">
        <v>0</v>
      </c>
      <c r="R167" s="676">
        <v>3665738</v>
      </c>
      <c r="S167" s="675">
        <v>319.71300000000002</v>
      </c>
      <c r="T167" s="675">
        <v>0</v>
      </c>
      <c r="U167" s="676">
        <v>3665738</v>
      </c>
      <c r="V167" s="676">
        <v>1128.932</v>
      </c>
      <c r="W167" s="676">
        <v>739902</v>
      </c>
      <c r="X167" s="676">
        <v>739902</v>
      </c>
      <c r="Y167" s="675">
        <v>0</v>
      </c>
      <c r="Z167" s="675">
        <v>0</v>
      </c>
      <c r="AA167" s="675">
        <v>1</v>
      </c>
      <c r="AB167" s="675">
        <v>1</v>
      </c>
      <c r="AC167" s="675">
        <v>0</v>
      </c>
      <c r="AD167" s="675" t="s">
        <v>316</v>
      </c>
      <c r="AE167" s="675">
        <v>0</v>
      </c>
      <c r="AF167" s="675">
        <v>0</v>
      </c>
      <c r="AG167" s="675">
        <v>0</v>
      </c>
      <c r="AH167" s="675">
        <v>0</v>
      </c>
      <c r="AI167" s="675">
        <v>0</v>
      </c>
      <c r="AJ167" s="675">
        <v>5104</v>
      </c>
      <c r="AK167" s="675" t="s">
        <v>671</v>
      </c>
      <c r="AL167" s="675" t="s">
        <v>365</v>
      </c>
      <c r="AM167" s="675">
        <v>0</v>
      </c>
      <c r="AN167" s="675">
        <v>0</v>
      </c>
      <c r="AO167" s="675">
        <v>0</v>
      </c>
      <c r="AP167" s="675">
        <v>0</v>
      </c>
      <c r="AQ167" s="675">
        <v>0</v>
      </c>
      <c r="AR167" s="675">
        <v>0</v>
      </c>
      <c r="AS167" s="675">
        <v>0</v>
      </c>
      <c r="AT167" s="675">
        <v>0</v>
      </c>
      <c r="AU167" s="675">
        <v>0</v>
      </c>
      <c r="AV167" s="675">
        <v>-108321</v>
      </c>
      <c r="AW167" s="675">
        <v>110684489</v>
      </c>
      <c r="AX167" s="675">
        <v>106821896</v>
      </c>
      <c r="AY167" s="675">
        <v>119215100</v>
      </c>
      <c r="AZ167" s="675">
        <v>4748740</v>
      </c>
      <c r="BA167" s="676">
        <v>557.83299999999997</v>
      </c>
      <c r="BB167" s="675">
        <v>0</v>
      </c>
      <c r="BC167" s="675">
        <v>0</v>
      </c>
      <c r="BD167" s="675">
        <v>0</v>
      </c>
      <c r="BE167" s="675">
        <v>0</v>
      </c>
      <c r="BF167" s="675">
        <v>91010806</v>
      </c>
      <c r="BG167" s="675">
        <v>0</v>
      </c>
      <c r="BH167" s="676">
        <v>2173.66</v>
      </c>
      <c r="BI167" s="676">
        <v>597757</v>
      </c>
      <c r="BJ167" s="675">
        <v>12</v>
      </c>
      <c r="BK167" s="675">
        <v>0</v>
      </c>
      <c r="BL167" s="675">
        <v>0</v>
      </c>
      <c r="BM167" s="675">
        <v>0</v>
      </c>
      <c r="BN167" s="675">
        <v>0</v>
      </c>
      <c r="BO167" s="675">
        <v>0</v>
      </c>
      <c r="BP167" s="675">
        <v>0</v>
      </c>
      <c r="BQ167" s="675">
        <v>5392</v>
      </c>
      <c r="BR167" s="675">
        <v>1</v>
      </c>
      <c r="BS167" s="675">
        <v>0</v>
      </c>
      <c r="BT167" s="675">
        <v>0</v>
      </c>
      <c r="BU167" s="675">
        <v>0</v>
      </c>
      <c r="BV167" s="675">
        <v>0</v>
      </c>
      <c r="BW167" s="675">
        <v>0</v>
      </c>
      <c r="BX167" s="675">
        <v>0</v>
      </c>
      <c r="BY167" s="675">
        <v>0</v>
      </c>
      <c r="BZ167" s="675">
        <v>0</v>
      </c>
      <c r="CA167" s="675">
        <v>1269.412</v>
      </c>
      <c r="CB167" s="675">
        <v>485245</v>
      </c>
      <c r="CC167" s="675">
        <v>0</v>
      </c>
      <c r="CD167" s="675">
        <v>0</v>
      </c>
      <c r="CE167" s="675">
        <v>0</v>
      </c>
      <c r="CF167" s="675">
        <v>0</v>
      </c>
      <c r="CG167" s="675">
        <v>0</v>
      </c>
      <c r="CH167" s="676">
        <v>2779591</v>
      </c>
      <c r="CI167" s="675">
        <v>0</v>
      </c>
      <c r="CJ167" s="675">
        <v>4</v>
      </c>
      <c r="CK167" s="675">
        <v>0</v>
      </c>
      <c r="CL167" s="675">
        <v>0</v>
      </c>
      <c r="CM167" s="675">
        <v>0</v>
      </c>
      <c r="CN167" s="675">
        <v>0</v>
      </c>
      <c r="CO167" s="675">
        <v>0</v>
      </c>
      <c r="CP167" s="675">
        <v>0</v>
      </c>
      <c r="CQ167" s="675">
        <v>156.75</v>
      </c>
      <c r="CR167" s="675">
        <v>11465.715</v>
      </c>
      <c r="CS167" s="675">
        <v>0</v>
      </c>
      <c r="CT167" s="675">
        <v>0</v>
      </c>
      <c r="CU167" s="675">
        <v>0</v>
      </c>
      <c r="CV167" s="675">
        <v>0</v>
      </c>
      <c r="CW167" s="675">
        <v>0</v>
      </c>
      <c r="CX167" s="675">
        <v>0</v>
      </c>
      <c r="CY167" s="675">
        <v>0</v>
      </c>
      <c r="CZ167" s="675">
        <v>0</v>
      </c>
      <c r="DA167" s="675">
        <v>1</v>
      </c>
      <c r="DB167" s="675">
        <v>79951040</v>
      </c>
      <c r="DC167" s="675">
        <v>0</v>
      </c>
      <c r="DD167" s="675">
        <v>0</v>
      </c>
      <c r="DE167" s="675">
        <v>6137598</v>
      </c>
      <c r="DF167" s="675">
        <v>6137598</v>
      </c>
      <c r="DG167" s="675">
        <v>4682.33</v>
      </c>
      <c r="DH167" s="675">
        <v>0</v>
      </c>
      <c r="DI167" s="675">
        <v>0</v>
      </c>
      <c r="DJ167" s="675">
        <v>0</v>
      </c>
      <c r="DK167" s="675">
        <v>5392</v>
      </c>
      <c r="DL167" s="675">
        <v>0</v>
      </c>
      <c r="DM167" s="675">
        <v>6072788</v>
      </c>
      <c r="DN167" s="675">
        <v>0</v>
      </c>
      <c r="DO167" s="675">
        <v>3170</v>
      </c>
      <c r="DP167" s="675">
        <v>0</v>
      </c>
      <c r="DQ167" s="675">
        <v>0</v>
      </c>
      <c r="DR167" s="675">
        <v>0</v>
      </c>
      <c r="DS167" s="675">
        <v>0</v>
      </c>
      <c r="DT167" s="675">
        <v>0</v>
      </c>
      <c r="DU167" s="675">
        <v>0</v>
      </c>
      <c r="DV167" s="675">
        <v>0</v>
      </c>
      <c r="DW167" s="675">
        <v>0.129</v>
      </c>
      <c r="DX167" s="675">
        <v>0</v>
      </c>
      <c r="DY167" s="675">
        <v>0</v>
      </c>
      <c r="DZ167" s="675">
        <v>0.64500000000000002</v>
      </c>
      <c r="EA167" s="675">
        <v>0</v>
      </c>
      <c r="EB167" s="675">
        <v>0</v>
      </c>
      <c r="EC167" s="675">
        <v>218.82600000000002</v>
      </c>
      <c r="ED167" s="675">
        <v>1577604</v>
      </c>
      <c r="EE167" s="675">
        <v>0</v>
      </c>
      <c r="EF167" s="675">
        <v>0</v>
      </c>
      <c r="EG167" s="675">
        <v>0</v>
      </c>
      <c r="EH167" s="675">
        <v>4471303</v>
      </c>
      <c r="EI167" s="675">
        <v>20711</v>
      </c>
      <c r="EJ167" s="675">
        <v>0.79</v>
      </c>
      <c r="EK167" s="675">
        <v>200.05700000000002</v>
      </c>
      <c r="EL167" s="675">
        <v>0</v>
      </c>
      <c r="EM167" s="675">
        <v>12.803000000000001</v>
      </c>
      <c r="EN167" s="675">
        <v>8.729000000000001</v>
      </c>
      <c r="EO167" s="675">
        <v>0</v>
      </c>
      <c r="EP167" s="675">
        <v>0</v>
      </c>
      <c r="EQ167" s="675">
        <v>222.37900000000002</v>
      </c>
      <c r="ER167" s="675">
        <v>0</v>
      </c>
      <c r="ES167" s="675">
        <v>682.22500000000002</v>
      </c>
      <c r="ET167" s="676">
        <v>318104</v>
      </c>
      <c r="EU167" s="675">
        <v>4748740</v>
      </c>
      <c r="EV167" s="675">
        <v>0</v>
      </c>
      <c r="EW167" s="675">
        <v>0</v>
      </c>
      <c r="EX167" s="675">
        <v>0</v>
      </c>
      <c r="EY167" s="675">
        <v>0</v>
      </c>
      <c r="EZ167" s="675">
        <v>89843877</v>
      </c>
      <c r="FA167" s="675">
        <v>0</v>
      </c>
      <c r="FB167" s="676">
        <v>94592617</v>
      </c>
      <c r="FC167" s="675">
        <v>0.97327799999999998</v>
      </c>
      <c r="FD167" s="675">
        <v>0</v>
      </c>
      <c r="FE167" s="675">
        <v>13855665</v>
      </c>
      <c r="FF167" s="675">
        <v>3122354</v>
      </c>
      <c r="FG167" s="675">
        <v>6.1239999999999996E-2</v>
      </c>
      <c r="FH167" s="675">
        <v>5.4803999999999999E-2</v>
      </c>
      <c r="FI167" s="675">
        <v>0</v>
      </c>
      <c r="FJ167" s="675">
        <v>0</v>
      </c>
      <c r="FK167" s="675">
        <v>17831.883000000002</v>
      </c>
      <c r="FL167" s="675">
        <v>114350227</v>
      </c>
      <c r="FM167" s="675">
        <v>0</v>
      </c>
      <c r="FN167" s="675">
        <v>0</v>
      </c>
      <c r="FO167" s="675">
        <v>0</v>
      </c>
      <c r="FP167" s="675">
        <v>0</v>
      </c>
      <c r="FQ167" s="675">
        <v>0</v>
      </c>
      <c r="FR167" s="675">
        <v>0</v>
      </c>
      <c r="FS167" s="675">
        <v>0</v>
      </c>
      <c r="FT167" s="675">
        <v>0</v>
      </c>
      <c r="FU167" s="675">
        <v>0</v>
      </c>
      <c r="FV167" s="675">
        <v>0</v>
      </c>
      <c r="FW167" s="675">
        <v>0</v>
      </c>
      <c r="FX167" s="675">
        <v>0</v>
      </c>
      <c r="FY167" s="675">
        <v>0</v>
      </c>
      <c r="FZ167" s="675">
        <v>109</v>
      </c>
      <c r="GA167" s="675">
        <v>2.1840000000000002</v>
      </c>
      <c r="GB167" s="676">
        <v>608287</v>
      </c>
      <c r="GC167" s="676">
        <v>608287</v>
      </c>
      <c r="GD167" s="676">
        <v>68.737000000000009</v>
      </c>
      <c r="GE167" s="675">
        <v>0</v>
      </c>
      <c r="GF167" s="675">
        <v>0</v>
      </c>
      <c r="GG167" s="675">
        <v>0</v>
      </c>
      <c r="GH167" s="675">
        <v>0</v>
      </c>
      <c r="GI167" s="675">
        <v>0</v>
      </c>
      <c r="GJ167" s="675">
        <v>0</v>
      </c>
      <c r="GK167" s="675">
        <v>5176</v>
      </c>
      <c r="GL167" s="675">
        <v>116386</v>
      </c>
      <c r="GM167" s="675">
        <v>0</v>
      </c>
      <c r="GN167" s="675">
        <v>45688</v>
      </c>
      <c r="GO167" s="675">
        <v>0</v>
      </c>
      <c r="GP167" s="675">
        <v>111570636</v>
      </c>
      <c r="GQ167" s="675">
        <v>111570636</v>
      </c>
      <c r="GR167" s="675">
        <v>0</v>
      </c>
      <c r="GS167" s="675">
        <v>0</v>
      </c>
      <c r="GT167" s="675">
        <v>0</v>
      </c>
      <c r="GU167" s="675">
        <v>0</v>
      </c>
      <c r="GV167" s="675">
        <v>0</v>
      </c>
      <c r="GW167" s="675">
        <v>0</v>
      </c>
      <c r="GX167" s="675">
        <v>0</v>
      </c>
      <c r="GY167" s="675">
        <v>0</v>
      </c>
      <c r="GZ167" s="675">
        <v>0</v>
      </c>
      <c r="HA167" s="675">
        <v>0</v>
      </c>
      <c r="HB167" s="675">
        <v>260786259</v>
      </c>
      <c r="HC167" s="675">
        <v>5.0923999999999997E-2</v>
      </c>
      <c r="HD167" s="676">
        <v>2461487</v>
      </c>
      <c r="HE167" s="675">
        <v>0</v>
      </c>
      <c r="HF167" s="675">
        <v>0</v>
      </c>
      <c r="HG167" s="675">
        <v>0</v>
      </c>
      <c r="HH167" s="675">
        <v>0</v>
      </c>
      <c r="HI167" s="675">
        <v>0</v>
      </c>
      <c r="HJ167" s="675">
        <v>0</v>
      </c>
      <c r="HK167" s="675">
        <v>0</v>
      </c>
      <c r="HL167" s="675">
        <v>0</v>
      </c>
      <c r="HM167" s="675">
        <v>0</v>
      </c>
      <c r="HN167" s="675">
        <v>0</v>
      </c>
      <c r="HO167" s="675">
        <v>0</v>
      </c>
      <c r="HP167" s="675">
        <v>0</v>
      </c>
      <c r="HQ167" s="675">
        <v>0</v>
      </c>
      <c r="HR167" s="675">
        <v>0</v>
      </c>
      <c r="HS167" s="675">
        <v>0</v>
      </c>
      <c r="HT167" s="675">
        <v>0</v>
      </c>
      <c r="HU167" s="675">
        <v>0</v>
      </c>
      <c r="HV167" s="675">
        <v>0</v>
      </c>
      <c r="HW167" s="675">
        <v>0</v>
      </c>
      <c r="HX167" s="675">
        <v>0</v>
      </c>
      <c r="HY167" s="675">
        <v>0</v>
      </c>
      <c r="HZ167" s="675">
        <v>0</v>
      </c>
      <c r="IA167" s="675">
        <v>0</v>
      </c>
      <c r="IB167" s="675">
        <v>0</v>
      </c>
      <c r="IC167" s="675">
        <v>0</v>
      </c>
      <c r="ID167" s="675">
        <v>0</v>
      </c>
      <c r="IE167" s="675">
        <v>0</v>
      </c>
      <c r="IF167" s="675">
        <v>0</v>
      </c>
      <c r="IG167" s="675">
        <v>0</v>
      </c>
      <c r="IH167" s="675">
        <v>0</v>
      </c>
      <c r="II167" s="675">
        <v>0</v>
      </c>
      <c r="IJ167" s="675">
        <v>0</v>
      </c>
      <c r="IK167" s="675">
        <v>0</v>
      </c>
      <c r="IL167" s="675">
        <v>0</v>
      </c>
      <c r="IM167" s="675">
        <v>0</v>
      </c>
      <c r="IN167" s="675">
        <v>0</v>
      </c>
      <c r="IO167" s="675">
        <v>0</v>
      </c>
      <c r="IP167" s="675">
        <v>0</v>
      </c>
      <c r="IQ167" s="675">
        <v>0</v>
      </c>
      <c r="IR167" s="675">
        <v>0</v>
      </c>
      <c r="IS167" s="675">
        <v>0</v>
      </c>
      <c r="IT167" s="675">
        <v>0</v>
      </c>
      <c r="IU167" s="675">
        <v>0</v>
      </c>
      <c r="IV167" s="675">
        <v>0</v>
      </c>
      <c r="IW167" s="675">
        <v>0</v>
      </c>
      <c r="IX167" s="675">
        <v>0</v>
      </c>
      <c r="IY167" s="675">
        <v>0</v>
      </c>
      <c r="IZ167" s="675">
        <v>0</v>
      </c>
      <c r="JA167" s="675">
        <v>0</v>
      </c>
      <c r="JB167" s="675">
        <v>0</v>
      </c>
      <c r="JC167" s="675">
        <v>0</v>
      </c>
      <c r="JD167" s="675">
        <v>0</v>
      </c>
      <c r="JE167" s="675">
        <v>0</v>
      </c>
      <c r="JF167" s="675">
        <v>0</v>
      </c>
      <c r="JG167" s="675">
        <v>0</v>
      </c>
      <c r="JH167" s="675">
        <v>0</v>
      </c>
      <c r="JI167" s="675">
        <v>0</v>
      </c>
      <c r="JJ167" s="675">
        <v>0</v>
      </c>
      <c r="JK167" s="675">
        <v>0</v>
      </c>
      <c r="JL167" s="675">
        <v>0</v>
      </c>
      <c r="JM167" s="675">
        <v>0</v>
      </c>
      <c r="JN167" s="675">
        <v>32469</v>
      </c>
      <c r="JO167" s="675">
        <v>0</v>
      </c>
      <c r="JP167" s="675">
        <v>0</v>
      </c>
      <c r="JQ167" s="675">
        <v>0</v>
      </c>
      <c r="JR167" s="675">
        <v>0</v>
      </c>
      <c r="JS167" s="675">
        <v>0</v>
      </c>
      <c r="JT167" s="675">
        <v>0</v>
      </c>
      <c r="JU167" s="675">
        <v>0</v>
      </c>
      <c r="JV167" s="675">
        <v>0</v>
      </c>
      <c r="JW167" s="675">
        <v>0</v>
      </c>
      <c r="JX167" s="675">
        <v>0</v>
      </c>
      <c r="JY167" s="675">
        <v>0</v>
      </c>
      <c r="JZ167" s="675">
        <v>0</v>
      </c>
      <c r="KA167" s="675">
        <v>0</v>
      </c>
      <c r="KB167" s="675">
        <v>0</v>
      </c>
      <c r="KC167" s="675">
        <v>0</v>
      </c>
      <c r="KD167" s="675">
        <v>0</v>
      </c>
      <c r="KE167" s="675">
        <v>0</v>
      </c>
      <c r="KF167" s="675">
        <v>0</v>
      </c>
    </row>
    <row r="168" spans="1:292" ht="13" x14ac:dyDescent="0.3">
      <c r="A168" s="675">
        <v>226801</v>
      </c>
      <c r="B168" s="675">
        <v>32570</v>
      </c>
      <c r="C168" s="675">
        <v>35</v>
      </c>
      <c r="D168" s="675">
        <v>2022</v>
      </c>
      <c r="E168" s="675">
        <v>5392</v>
      </c>
      <c r="F168" s="675">
        <v>0</v>
      </c>
      <c r="G168" s="675">
        <v>2797.7350000000001</v>
      </c>
      <c r="H168" s="675">
        <v>2658.3140000000003</v>
      </c>
      <c r="I168" s="675">
        <v>2658.3140000000003</v>
      </c>
      <c r="J168" s="675">
        <v>2797.7350000000001</v>
      </c>
      <c r="K168" s="675">
        <v>0</v>
      </c>
      <c r="L168" s="675">
        <v>6554</v>
      </c>
      <c r="M168" s="675">
        <v>0</v>
      </c>
      <c r="N168" s="675">
        <v>0</v>
      </c>
      <c r="O168" s="675">
        <v>0</v>
      </c>
      <c r="P168" s="675">
        <v>2657.0630000000001</v>
      </c>
      <c r="Q168" s="675">
        <v>0</v>
      </c>
      <c r="R168" s="676">
        <v>849498</v>
      </c>
      <c r="S168" s="675">
        <v>319.71300000000002</v>
      </c>
      <c r="T168" s="675">
        <v>0</v>
      </c>
      <c r="U168" s="676">
        <v>849498</v>
      </c>
      <c r="V168" s="676">
        <v>103.91300000000001</v>
      </c>
      <c r="W168" s="676">
        <v>68105</v>
      </c>
      <c r="X168" s="676">
        <v>68105</v>
      </c>
      <c r="Y168" s="675">
        <v>0</v>
      </c>
      <c r="Z168" s="675">
        <v>0</v>
      </c>
      <c r="AA168" s="675">
        <v>1</v>
      </c>
      <c r="AB168" s="675">
        <v>1</v>
      </c>
      <c r="AC168" s="675">
        <v>0</v>
      </c>
      <c r="AD168" s="675" t="s">
        <v>316</v>
      </c>
      <c r="AE168" s="675">
        <v>0</v>
      </c>
      <c r="AF168" s="675">
        <v>0</v>
      </c>
      <c r="AG168" s="675">
        <v>0</v>
      </c>
      <c r="AH168" s="675">
        <v>0</v>
      </c>
      <c r="AI168" s="675">
        <v>0</v>
      </c>
      <c r="AJ168" s="675">
        <v>5104</v>
      </c>
      <c r="AK168" s="675" t="s">
        <v>671</v>
      </c>
      <c r="AL168" s="675" t="s">
        <v>101</v>
      </c>
      <c r="AM168" s="675">
        <v>0</v>
      </c>
      <c r="AN168" s="675">
        <v>0</v>
      </c>
      <c r="AO168" s="675">
        <v>0</v>
      </c>
      <c r="AP168" s="675">
        <v>0</v>
      </c>
      <c r="AQ168" s="675">
        <v>0</v>
      </c>
      <c r="AR168" s="675">
        <v>0</v>
      </c>
      <c r="AS168" s="675">
        <v>0</v>
      </c>
      <c r="AT168" s="675">
        <v>0</v>
      </c>
      <c r="AU168" s="675">
        <v>0</v>
      </c>
      <c r="AV168" s="675">
        <v>244447</v>
      </c>
      <c r="AW168" s="675">
        <v>25723839</v>
      </c>
      <c r="AX168" s="675">
        <v>25048555</v>
      </c>
      <c r="AY168" s="675">
        <v>26816097</v>
      </c>
      <c r="AZ168" s="675">
        <v>973411</v>
      </c>
      <c r="BA168" s="676">
        <v>0</v>
      </c>
      <c r="BB168" s="675">
        <v>0</v>
      </c>
      <c r="BC168" s="675">
        <v>0</v>
      </c>
      <c r="BD168" s="675">
        <v>0</v>
      </c>
      <c r="BE168" s="675">
        <v>0</v>
      </c>
      <c r="BF168" s="675">
        <v>21294890</v>
      </c>
      <c r="BG168" s="675">
        <v>0</v>
      </c>
      <c r="BH168" s="676">
        <v>450.59300000000002</v>
      </c>
      <c r="BI168" s="676">
        <v>123913</v>
      </c>
      <c r="BJ168" s="675">
        <v>12</v>
      </c>
      <c r="BK168" s="675">
        <v>0</v>
      </c>
      <c r="BL168" s="675">
        <v>0</v>
      </c>
      <c r="BM168" s="675">
        <v>0</v>
      </c>
      <c r="BN168" s="675">
        <v>0</v>
      </c>
      <c r="BO168" s="675">
        <v>0</v>
      </c>
      <c r="BP168" s="675">
        <v>0</v>
      </c>
      <c r="BQ168" s="675">
        <v>5392</v>
      </c>
      <c r="BR168" s="675">
        <v>1</v>
      </c>
      <c r="BS168" s="675">
        <v>0</v>
      </c>
      <c r="BT168" s="675">
        <v>0</v>
      </c>
      <c r="BU168" s="675">
        <v>0</v>
      </c>
      <c r="BV168" s="675">
        <v>0</v>
      </c>
      <c r="BW168" s="675">
        <v>0</v>
      </c>
      <c r="BX168" s="675">
        <v>0</v>
      </c>
      <c r="BY168" s="675">
        <v>0</v>
      </c>
      <c r="BZ168" s="675">
        <v>0</v>
      </c>
      <c r="CA168" s="675">
        <v>0</v>
      </c>
      <c r="CB168" s="675">
        <v>0</v>
      </c>
      <c r="CC168" s="675">
        <v>0</v>
      </c>
      <c r="CD168" s="675">
        <v>0</v>
      </c>
      <c r="CE168" s="675">
        <v>0</v>
      </c>
      <c r="CF168" s="675">
        <v>0</v>
      </c>
      <c r="CG168" s="675">
        <v>0</v>
      </c>
      <c r="CH168" s="676">
        <v>551371</v>
      </c>
      <c r="CI168" s="675">
        <v>0</v>
      </c>
      <c r="CJ168" s="675">
        <v>4</v>
      </c>
      <c r="CK168" s="675">
        <v>0</v>
      </c>
      <c r="CL168" s="675">
        <v>0</v>
      </c>
      <c r="CM168" s="675">
        <v>0</v>
      </c>
      <c r="CN168" s="675">
        <v>0</v>
      </c>
      <c r="CO168" s="675">
        <v>0</v>
      </c>
      <c r="CP168" s="675">
        <v>0</v>
      </c>
      <c r="CQ168" s="675">
        <v>0</v>
      </c>
      <c r="CR168" s="675">
        <v>2657.0630000000001</v>
      </c>
      <c r="CS168" s="675">
        <v>0</v>
      </c>
      <c r="CT168" s="675">
        <v>0</v>
      </c>
      <c r="CU168" s="675">
        <v>0</v>
      </c>
      <c r="CV168" s="675">
        <v>0</v>
      </c>
      <c r="CW168" s="675">
        <v>0</v>
      </c>
      <c r="CX168" s="675">
        <v>0</v>
      </c>
      <c r="CY168" s="675">
        <v>0</v>
      </c>
      <c r="CZ168" s="675">
        <v>0</v>
      </c>
      <c r="DA168" s="675">
        <v>1</v>
      </c>
      <c r="DB168" s="675">
        <v>17422590</v>
      </c>
      <c r="DC168" s="675">
        <v>0</v>
      </c>
      <c r="DD168" s="675">
        <v>0</v>
      </c>
      <c r="DE168" s="675">
        <v>1902403</v>
      </c>
      <c r="DF168" s="675">
        <v>1902403</v>
      </c>
      <c r="DG168" s="675">
        <v>1451.33</v>
      </c>
      <c r="DH168" s="675">
        <v>0</v>
      </c>
      <c r="DI168" s="675">
        <v>0</v>
      </c>
      <c r="DJ168" s="675">
        <v>0</v>
      </c>
      <c r="DK168" s="675">
        <v>5392</v>
      </c>
      <c r="DL168" s="675">
        <v>0</v>
      </c>
      <c r="DM168" s="675">
        <v>1864527</v>
      </c>
      <c r="DN168" s="675">
        <v>0</v>
      </c>
      <c r="DO168" s="675">
        <v>0</v>
      </c>
      <c r="DP168" s="675">
        <v>0</v>
      </c>
      <c r="DQ168" s="675">
        <v>0</v>
      </c>
      <c r="DR168" s="675">
        <v>0</v>
      </c>
      <c r="DS168" s="675">
        <v>0</v>
      </c>
      <c r="DT168" s="675">
        <v>0</v>
      </c>
      <c r="DU168" s="675">
        <v>0</v>
      </c>
      <c r="DV168" s="675">
        <v>0</v>
      </c>
      <c r="DW168" s="675">
        <v>0</v>
      </c>
      <c r="DX168" s="675">
        <v>0</v>
      </c>
      <c r="DY168" s="675">
        <v>0</v>
      </c>
      <c r="DZ168" s="675">
        <v>0</v>
      </c>
      <c r="EA168" s="675">
        <v>0</v>
      </c>
      <c r="EB168" s="675">
        <v>0</v>
      </c>
      <c r="EC168" s="675">
        <v>58.527000000000001</v>
      </c>
      <c r="ED168" s="675">
        <v>421945</v>
      </c>
      <c r="EE168" s="675">
        <v>0</v>
      </c>
      <c r="EF168" s="675">
        <v>0</v>
      </c>
      <c r="EG168" s="675">
        <v>0</v>
      </c>
      <c r="EH168" s="675">
        <v>1317741</v>
      </c>
      <c r="EI168" s="675">
        <v>124841</v>
      </c>
      <c r="EJ168" s="675">
        <v>4.7620000000000005</v>
      </c>
      <c r="EK168" s="675">
        <v>54.539000000000001</v>
      </c>
      <c r="EL168" s="675">
        <v>0</v>
      </c>
      <c r="EM168" s="675">
        <v>5.8890000000000002</v>
      </c>
      <c r="EN168" s="675">
        <v>3.9550000000000001</v>
      </c>
      <c r="EO168" s="675">
        <v>0</v>
      </c>
      <c r="EP168" s="675">
        <v>0</v>
      </c>
      <c r="EQ168" s="675">
        <v>69.14500000000001</v>
      </c>
      <c r="ER168" s="675">
        <v>0</v>
      </c>
      <c r="ES168" s="675">
        <v>201.059</v>
      </c>
      <c r="ET168" s="676">
        <v>0</v>
      </c>
      <c r="EU168" s="675">
        <v>973411</v>
      </c>
      <c r="EV168" s="675">
        <v>0</v>
      </c>
      <c r="EW168" s="675">
        <v>0</v>
      </c>
      <c r="EX168" s="675">
        <v>0</v>
      </c>
      <c r="EY168" s="675">
        <v>0</v>
      </c>
      <c r="EZ168" s="675">
        <v>21076004</v>
      </c>
      <c r="FA168" s="675">
        <v>0</v>
      </c>
      <c r="FB168" s="676">
        <v>22049415</v>
      </c>
      <c r="FC168" s="675">
        <v>0.97327799999999998</v>
      </c>
      <c r="FD168" s="675">
        <v>0</v>
      </c>
      <c r="FE168" s="675">
        <v>3241976</v>
      </c>
      <c r="FF168" s="675">
        <v>730575</v>
      </c>
      <c r="FG168" s="675">
        <v>6.1239999999999996E-2</v>
      </c>
      <c r="FH168" s="675">
        <v>5.4803999999999999E-2</v>
      </c>
      <c r="FI168" s="675">
        <v>0</v>
      </c>
      <c r="FJ168" s="675">
        <v>0</v>
      </c>
      <c r="FK168" s="675">
        <v>4172.34</v>
      </c>
      <c r="FL168" s="675">
        <v>26573337</v>
      </c>
      <c r="FM168" s="675">
        <v>0</v>
      </c>
      <c r="FN168" s="675">
        <v>0</v>
      </c>
      <c r="FO168" s="675">
        <v>45936</v>
      </c>
      <c r="FP168" s="675">
        <v>0</v>
      </c>
      <c r="FQ168" s="675">
        <v>45936</v>
      </c>
      <c r="FR168" s="675">
        <v>45936</v>
      </c>
      <c r="FS168" s="675">
        <v>0</v>
      </c>
      <c r="FT168" s="675">
        <v>0</v>
      </c>
      <c r="FU168" s="675">
        <v>0</v>
      </c>
      <c r="FV168" s="675">
        <v>0</v>
      </c>
      <c r="FW168" s="675">
        <v>0</v>
      </c>
      <c r="FX168" s="675">
        <v>0</v>
      </c>
      <c r="FY168" s="675">
        <v>0</v>
      </c>
      <c r="FZ168" s="675">
        <v>146</v>
      </c>
      <c r="GA168" s="675">
        <v>2.915</v>
      </c>
      <c r="GB168" s="676">
        <v>621941</v>
      </c>
      <c r="GC168" s="676">
        <v>621941</v>
      </c>
      <c r="GD168" s="676">
        <v>70.27600000000001</v>
      </c>
      <c r="GE168" s="675">
        <v>0</v>
      </c>
      <c r="GF168" s="675">
        <v>0</v>
      </c>
      <c r="GG168" s="675">
        <v>0</v>
      </c>
      <c r="GH168" s="675">
        <v>0</v>
      </c>
      <c r="GI168" s="675">
        <v>0</v>
      </c>
      <c r="GJ168" s="675">
        <v>0</v>
      </c>
      <c r="GK168" s="675">
        <v>4998</v>
      </c>
      <c r="GL168" s="675">
        <v>0</v>
      </c>
      <c r="GM168" s="675">
        <v>0</v>
      </c>
      <c r="GN168" s="675">
        <v>0</v>
      </c>
      <c r="GO168" s="675">
        <v>0</v>
      </c>
      <c r="GP168" s="675">
        <v>26021966</v>
      </c>
      <c r="GQ168" s="675">
        <v>26021966</v>
      </c>
      <c r="GR168" s="675">
        <v>0</v>
      </c>
      <c r="GS168" s="675">
        <v>0</v>
      </c>
      <c r="GT168" s="675">
        <v>0</v>
      </c>
      <c r="GU168" s="675">
        <v>0</v>
      </c>
      <c r="GV168" s="675">
        <v>0</v>
      </c>
      <c r="GW168" s="675">
        <v>0</v>
      </c>
      <c r="GX168" s="675">
        <v>0</v>
      </c>
      <c r="GY168" s="675">
        <v>0</v>
      </c>
      <c r="GZ168" s="675">
        <v>0</v>
      </c>
      <c r="HA168" s="675">
        <v>0</v>
      </c>
      <c r="HB168" s="675">
        <v>260786259</v>
      </c>
      <c r="HC168" s="675">
        <v>5.0923999999999997E-2</v>
      </c>
      <c r="HD168" s="676">
        <v>551371</v>
      </c>
      <c r="HE168" s="675">
        <v>0</v>
      </c>
      <c r="HF168" s="675">
        <v>0</v>
      </c>
      <c r="HG168" s="675">
        <v>0</v>
      </c>
      <c r="HH168" s="675">
        <v>0</v>
      </c>
      <c r="HI168" s="675">
        <v>0</v>
      </c>
      <c r="HJ168" s="675">
        <v>0</v>
      </c>
      <c r="HK168" s="675">
        <v>0</v>
      </c>
      <c r="HL168" s="675">
        <v>0</v>
      </c>
      <c r="HM168" s="675">
        <v>0</v>
      </c>
      <c r="HN168" s="675">
        <v>0</v>
      </c>
      <c r="HO168" s="675">
        <v>0</v>
      </c>
      <c r="HP168" s="675">
        <v>0</v>
      </c>
      <c r="HQ168" s="675">
        <v>0</v>
      </c>
      <c r="HR168" s="675">
        <v>0</v>
      </c>
      <c r="HS168" s="675">
        <v>0</v>
      </c>
      <c r="HT168" s="675">
        <v>0</v>
      </c>
      <c r="HU168" s="675">
        <v>0</v>
      </c>
      <c r="HV168" s="675">
        <v>0</v>
      </c>
      <c r="HW168" s="675">
        <v>0</v>
      </c>
      <c r="HX168" s="675">
        <v>0</v>
      </c>
      <c r="HY168" s="675">
        <v>0</v>
      </c>
      <c r="HZ168" s="675">
        <v>0</v>
      </c>
      <c r="IA168" s="675">
        <v>0</v>
      </c>
      <c r="IB168" s="675">
        <v>0</v>
      </c>
      <c r="IC168" s="675">
        <v>0</v>
      </c>
      <c r="ID168" s="675">
        <v>0</v>
      </c>
      <c r="IE168" s="675">
        <v>0</v>
      </c>
      <c r="IF168" s="675">
        <v>0</v>
      </c>
      <c r="IG168" s="675">
        <v>0</v>
      </c>
      <c r="IH168" s="675">
        <v>0</v>
      </c>
      <c r="II168" s="675">
        <v>0</v>
      </c>
      <c r="IJ168" s="675">
        <v>0</v>
      </c>
      <c r="IK168" s="675">
        <v>0</v>
      </c>
      <c r="IL168" s="675">
        <v>0</v>
      </c>
      <c r="IM168" s="675">
        <v>0</v>
      </c>
      <c r="IN168" s="675">
        <v>0</v>
      </c>
      <c r="IO168" s="675">
        <v>0</v>
      </c>
      <c r="IP168" s="675">
        <v>0</v>
      </c>
      <c r="IQ168" s="675">
        <v>0</v>
      </c>
      <c r="IR168" s="675">
        <v>0</v>
      </c>
      <c r="IS168" s="675">
        <v>0</v>
      </c>
      <c r="IT168" s="675">
        <v>0</v>
      </c>
      <c r="IU168" s="675">
        <v>0</v>
      </c>
      <c r="IV168" s="675">
        <v>0</v>
      </c>
      <c r="IW168" s="675">
        <v>0</v>
      </c>
      <c r="IX168" s="675">
        <v>0</v>
      </c>
      <c r="IY168" s="675">
        <v>0</v>
      </c>
      <c r="IZ168" s="675">
        <v>0</v>
      </c>
      <c r="JA168" s="675">
        <v>0</v>
      </c>
      <c r="JB168" s="675">
        <v>0</v>
      </c>
      <c r="JC168" s="675">
        <v>0</v>
      </c>
      <c r="JD168" s="675">
        <v>0</v>
      </c>
      <c r="JE168" s="675">
        <v>0</v>
      </c>
      <c r="JF168" s="675">
        <v>0</v>
      </c>
      <c r="JG168" s="675">
        <v>0</v>
      </c>
      <c r="JH168" s="675">
        <v>0</v>
      </c>
      <c r="JI168" s="675">
        <v>0</v>
      </c>
      <c r="JJ168" s="675">
        <v>0</v>
      </c>
      <c r="JK168" s="675">
        <v>0</v>
      </c>
      <c r="JL168" s="675">
        <v>0</v>
      </c>
      <c r="JM168" s="675">
        <v>0</v>
      </c>
      <c r="JN168" s="675">
        <v>32469</v>
      </c>
      <c r="JO168" s="675">
        <v>0</v>
      </c>
      <c r="JP168" s="675">
        <v>0</v>
      </c>
      <c r="JQ168" s="675">
        <v>0</v>
      </c>
      <c r="JR168" s="675">
        <v>0</v>
      </c>
      <c r="JS168" s="675">
        <v>0</v>
      </c>
      <c r="JT168" s="675">
        <v>0</v>
      </c>
      <c r="JU168" s="675">
        <v>0</v>
      </c>
      <c r="JV168" s="675">
        <v>0</v>
      </c>
      <c r="JW168" s="675">
        <v>0</v>
      </c>
      <c r="JX168" s="675">
        <v>0</v>
      </c>
      <c r="JY168" s="675">
        <v>0</v>
      </c>
      <c r="JZ168" s="675">
        <v>0</v>
      </c>
      <c r="KA168" s="675">
        <v>0</v>
      </c>
      <c r="KB168" s="675">
        <v>0</v>
      </c>
      <c r="KC168" s="675">
        <v>0</v>
      </c>
      <c r="KD168" s="675">
        <v>0</v>
      </c>
      <c r="KE168" s="675">
        <v>0</v>
      </c>
      <c r="KF168" s="675">
        <v>0</v>
      </c>
    </row>
    <row r="169" spans="1:292" x14ac:dyDescent="0.25">
      <c r="A169" s="675">
        <v>227803</v>
      </c>
      <c r="B169" s="675">
        <v>32570</v>
      </c>
      <c r="C169" s="675">
        <v>35</v>
      </c>
      <c r="D169" s="675">
        <v>2022</v>
      </c>
      <c r="E169" s="675">
        <v>5392</v>
      </c>
      <c r="F169" s="675">
        <v>0</v>
      </c>
      <c r="G169" s="675">
        <v>1781.1390000000001</v>
      </c>
      <c r="H169" s="675">
        <v>1675.7180000000001</v>
      </c>
      <c r="I169" s="675">
        <v>1675.7180000000001</v>
      </c>
      <c r="J169" s="675">
        <v>1781.1390000000001</v>
      </c>
      <c r="K169" s="675">
        <v>0</v>
      </c>
      <c r="L169" s="675">
        <v>6554</v>
      </c>
      <c r="M169" s="675">
        <v>0</v>
      </c>
      <c r="N169" s="675">
        <v>0</v>
      </c>
      <c r="O169" s="675">
        <v>0</v>
      </c>
      <c r="P169" s="675">
        <v>1817.575</v>
      </c>
      <c r="Q169" s="675">
        <v>0</v>
      </c>
      <c r="R169" s="675">
        <v>581102</v>
      </c>
      <c r="S169" s="675">
        <v>319.71300000000002</v>
      </c>
      <c r="T169" s="675">
        <v>0</v>
      </c>
      <c r="U169" s="675">
        <v>581102</v>
      </c>
      <c r="V169" s="675">
        <v>689.61800000000005</v>
      </c>
      <c r="W169" s="675">
        <v>451976</v>
      </c>
      <c r="X169" s="675">
        <v>451976</v>
      </c>
      <c r="Y169" s="675">
        <v>0</v>
      </c>
      <c r="Z169" s="675">
        <v>0</v>
      </c>
      <c r="AA169" s="675">
        <v>1</v>
      </c>
      <c r="AB169" s="675">
        <v>1</v>
      </c>
      <c r="AC169" s="675">
        <v>0</v>
      </c>
      <c r="AD169" s="675" t="s">
        <v>316</v>
      </c>
      <c r="AE169" s="675">
        <v>0</v>
      </c>
      <c r="AF169" s="675">
        <v>0</v>
      </c>
      <c r="AG169" s="675">
        <v>0</v>
      </c>
      <c r="AH169" s="675">
        <v>0</v>
      </c>
      <c r="AI169" s="675">
        <v>0</v>
      </c>
      <c r="AJ169" s="675">
        <v>5104</v>
      </c>
      <c r="AK169" s="675" t="s">
        <v>671</v>
      </c>
      <c r="AL169" s="675" t="s">
        <v>366</v>
      </c>
      <c r="AM169" s="675">
        <v>0</v>
      </c>
      <c r="AN169" s="675">
        <v>0</v>
      </c>
      <c r="AO169" s="675">
        <v>0</v>
      </c>
      <c r="AP169" s="675">
        <v>0</v>
      </c>
      <c r="AQ169" s="675">
        <v>0</v>
      </c>
      <c r="AR169" s="675">
        <v>0</v>
      </c>
      <c r="AS169" s="675">
        <v>0</v>
      </c>
      <c r="AT169" s="675">
        <v>0</v>
      </c>
      <c r="AU169" s="675">
        <v>0</v>
      </c>
      <c r="AV169" s="675">
        <v>186042</v>
      </c>
      <c r="AW169" s="675">
        <v>17750272</v>
      </c>
      <c r="AX169" s="675">
        <v>17270449</v>
      </c>
      <c r="AY169" s="675">
        <v>18800295</v>
      </c>
      <c r="AZ169" s="675">
        <v>673485</v>
      </c>
      <c r="BA169" s="675">
        <v>71.832999999999998</v>
      </c>
      <c r="BB169" s="675">
        <v>0</v>
      </c>
      <c r="BC169" s="675">
        <v>0</v>
      </c>
      <c r="BD169" s="675">
        <v>0</v>
      </c>
      <c r="BE169" s="675">
        <v>0</v>
      </c>
      <c r="BF169" s="675">
        <v>14704668</v>
      </c>
      <c r="BG169" s="675">
        <v>0</v>
      </c>
      <c r="BH169" s="675">
        <v>240.79600000000002</v>
      </c>
      <c r="BI169" s="675">
        <v>66219</v>
      </c>
      <c r="BJ169" s="675">
        <v>12</v>
      </c>
      <c r="BK169" s="675">
        <v>0</v>
      </c>
      <c r="BL169" s="675">
        <v>0</v>
      </c>
      <c r="BM169" s="675">
        <v>0</v>
      </c>
      <c r="BN169" s="675">
        <v>0</v>
      </c>
      <c r="BO169" s="675">
        <v>0</v>
      </c>
      <c r="BP169" s="675">
        <v>0</v>
      </c>
      <c r="BQ169" s="675">
        <v>5392</v>
      </c>
      <c r="BR169" s="675">
        <v>1</v>
      </c>
      <c r="BS169" s="675">
        <v>0</v>
      </c>
      <c r="BT169" s="675">
        <v>0</v>
      </c>
      <c r="BU169" s="675">
        <v>0</v>
      </c>
      <c r="BV169" s="675">
        <v>0</v>
      </c>
      <c r="BW169" s="675">
        <v>0</v>
      </c>
      <c r="BX169" s="675">
        <v>0</v>
      </c>
      <c r="BY169" s="675">
        <v>0</v>
      </c>
      <c r="BZ169" s="675">
        <v>0</v>
      </c>
      <c r="CA169" s="675">
        <v>68.445999999999998</v>
      </c>
      <c r="CB169" s="675">
        <v>26164</v>
      </c>
      <c r="CC169" s="675">
        <v>0</v>
      </c>
      <c r="CD169" s="675">
        <v>0</v>
      </c>
      <c r="CE169" s="675">
        <v>0</v>
      </c>
      <c r="CF169" s="675">
        <v>0</v>
      </c>
      <c r="CG169" s="675">
        <v>0</v>
      </c>
      <c r="CH169" s="675">
        <v>387440</v>
      </c>
      <c r="CI169" s="675">
        <v>0</v>
      </c>
      <c r="CJ169" s="675">
        <v>4</v>
      </c>
      <c r="CK169" s="675">
        <v>0</v>
      </c>
      <c r="CL169" s="675">
        <v>0</v>
      </c>
      <c r="CM169" s="675">
        <v>0</v>
      </c>
      <c r="CN169" s="675">
        <v>0</v>
      </c>
      <c r="CO169" s="675">
        <v>0</v>
      </c>
      <c r="CP169" s="675">
        <v>0</v>
      </c>
      <c r="CQ169" s="675">
        <v>2</v>
      </c>
      <c r="CR169" s="675">
        <v>1817.575</v>
      </c>
      <c r="CS169" s="675">
        <v>0</v>
      </c>
      <c r="CT169" s="675">
        <v>0</v>
      </c>
      <c r="CU169" s="675">
        <v>0</v>
      </c>
      <c r="CV169" s="675">
        <v>0</v>
      </c>
      <c r="CW169" s="675">
        <v>0</v>
      </c>
      <c r="CX169" s="675">
        <v>0</v>
      </c>
      <c r="CY169" s="675">
        <v>0</v>
      </c>
      <c r="CZ169" s="675">
        <v>0</v>
      </c>
      <c r="DA169" s="675">
        <v>1</v>
      </c>
      <c r="DB169" s="675">
        <v>10982656</v>
      </c>
      <c r="DC169" s="675">
        <v>0</v>
      </c>
      <c r="DD169" s="675">
        <v>0</v>
      </c>
      <c r="DE169" s="675">
        <v>1897816</v>
      </c>
      <c r="DF169" s="675">
        <v>1897816</v>
      </c>
      <c r="DG169" s="675">
        <v>1447.83</v>
      </c>
      <c r="DH169" s="675">
        <v>0</v>
      </c>
      <c r="DI169" s="675">
        <v>0</v>
      </c>
      <c r="DJ169" s="675">
        <v>0</v>
      </c>
      <c r="DK169" s="675">
        <v>5392</v>
      </c>
      <c r="DL169" s="675">
        <v>0</v>
      </c>
      <c r="DM169" s="675">
        <v>1347864</v>
      </c>
      <c r="DN169" s="675">
        <v>0</v>
      </c>
      <c r="DO169" s="675">
        <v>0</v>
      </c>
      <c r="DP169" s="675">
        <v>0</v>
      </c>
      <c r="DQ169" s="675">
        <v>0</v>
      </c>
      <c r="DR169" s="675">
        <v>0</v>
      </c>
      <c r="DS169" s="675">
        <v>0</v>
      </c>
      <c r="DT169" s="675">
        <v>0</v>
      </c>
      <c r="DU169" s="675">
        <v>0</v>
      </c>
      <c r="DV169" s="675">
        <v>0</v>
      </c>
      <c r="DW169" s="675">
        <v>0</v>
      </c>
      <c r="DX169" s="675">
        <v>0</v>
      </c>
      <c r="DY169" s="675">
        <v>0</v>
      </c>
      <c r="DZ169" s="675">
        <v>0</v>
      </c>
      <c r="EA169" s="675">
        <v>0</v>
      </c>
      <c r="EB169" s="675">
        <v>0</v>
      </c>
      <c r="EC169" s="675">
        <v>26.672000000000001</v>
      </c>
      <c r="ED169" s="675">
        <v>192289</v>
      </c>
      <c r="EE169" s="675">
        <v>0</v>
      </c>
      <c r="EF169" s="675">
        <v>0</v>
      </c>
      <c r="EG169" s="675">
        <v>0</v>
      </c>
      <c r="EH169" s="675">
        <v>1155575</v>
      </c>
      <c r="EI169" s="675">
        <v>0</v>
      </c>
      <c r="EJ169" s="675">
        <v>0</v>
      </c>
      <c r="EK169" s="675">
        <v>44.006</v>
      </c>
      <c r="EL169" s="675">
        <v>0</v>
      </c>
      <c r="EM169" s="675">
        <v>10.436</v>
      </c>
      <c r="EN169" s="675">
        <v>2.5980000000000003</v>
      </c>
      <c r="EO169" s="675">
        <v>0</v>
      </c>
      <c r="EP169" s="675">
        <v>0</v>
      </c>
      <c r="EQ169" s="675">
        <v>57.04</v>
      </c>
      <c r="ER169" s="675">
        <v>0</v>
      </c>
      <c r="ES169" s="675">
        <v>176.316</v>
      </c>
      <c r="ET169" s="675">
        <v>36417</v>
      </c>
      <c r="EU169" s="675">
        <v>673485</v>
      </c>
      <c r="EV169" s="675">
        <v>0</v>
      </c>
      <c r="EW169" s="675">
        <v>0</v>
      </c>
      <c r="EX169" s="675">
        <v>0</v>
      </c>
      <c r="EY169" s="675">
        <v>0</v>
      </c>
      <c r="EZ169" s="675">
        <v>14527300</v>
      </c>
      <c r="FA169" s="675">
        <v>0</v>
      </c>
      <c r="FB169" s="675">
        <v>15200785</v>
      </c>
      <c r="FC169" s="675">
        <v>0.97327799999999998</v>
      </c>
      <c r="FD169" s="675">
        <v>0</v>
      </c>
      <c r="FE169" s="675">
        <v>2238668</v>
      </c>
      <c r="FF169" s="675">
        <v>504481</v>
      </c>
      <c r="FG169" s="675">
        <v>6.1239999999999996E-2</v>
      </c>
      <c r="FH169" s="675">
        <v>5.4803999999999999E-2</v>
      </c>
      <c r="FI169" s="675">
        <v>0</v>
      </c>
      <c r="FJ169" s="675">
        <v>0</v>
      </c>
      <c r="FK169" s="675">
        <v>2881.1080000000002</v>
      </c>
      <c r="FL169" s="675">
        <v>18331374</v>
      </c>
      <c r="FM169" s="675">
        <v>0</v>
      </c>
      <c r="FN169" s="675">
        <v>0</v>
      </c>
      <c r="FO169" s="675">
        <v>0</v>
      </c>
      <c r="FP169" s="675">
        <v>0</v>
      </c>
      <c r="FQ169" s="675">
        <v>0</v>
      </c>
      <c r="FR169" s="675">
        <v>0</v>
      </c>
      <c r="FS169" s="675">
        <v>0</v>
      </c>
      <c r="FT169" s="675">
        <v>0</v>
      </c>
      <c r="FU169" s="675">
        <v>0</v>
      </c>
      <c r="FV169" s="675">
        <v>0</v>
      </c>
      <c r="FW169" s="675">
        <v>0</v>
      </c>
      <c r="FX169" s="675">
        <v>0</v>
      </c>
      <c r="FY169" s="675">
        <v>0</v>
      </c>
      <c r="FZ169" s="675">
        <v>20</v>
      </c>
      <c r="GA169" s="675">
        <v>0.39</v>
      </c>
      <c r="GB169" s="675">
        <v>428090</v>
      </c>
      <c r="GC169" s="675">
        <v>428090</v>
      </c>
      <c r="GD169" s="675">
        <v>48.381</v>
      </c>
      <c r="GE169" s="675">
        <v>0</v>
      </c>
      <c r="GF169" s="675">
        <v>0</v>
      </c>
      <c r="GG169" s="675">
        <v>0</v>
      </c>
      <c r="GH169" s="675">
        <v>0</v>
      </c>
      <c r="GI169" s="675">
        <v>0</v>
      </c>
      <c r="GJ169" s="675">
        <v>0</v>
      </c>
      <c r="GK169" s="675">
        <v>5240</v>
      </c>
      <c r="GL169" s="675">
        <v>5584</v>
      </c>
      <c r="GM169" s="675">
        <v>0</v>
      </c>
      <c r="GN169" s="675">
        <v>0</v>
      </c>
      <c r="GO169" s="675">
        <v>0</v>
      </c>
      <c r="GP169" s="675">
        <v>17943934</v>
      </c>
      <c r="GQ169" s="675">
        <v>17943934</v>
      </c>
      <c r="GR169" s="675">
        <v>0</v>
      </c>
      <c r="GS169" s="675">
        <v>0</v>
      </c>
      <c r="GT169" s="675">
        <v>0</v>
      </c>
      <c r="GU169" s="675">
        <v>0</v>
      </c>
      <c r="GV169" s="675">
        <v>0</v>
      </c>
      <c r="GW169" s="675">
        <v>0</v>
      </c>
      <c r="GX169" s="675">
        <v>0</v>
      </c>
      <c r="GY169" s="675">
        <v>0</v>
      </c>
      <c r="GZ169" s="675">
        <v>0</v>
      </c>
      <c r="HA169" s="675">
        <v>0</v>
      </c>
      <c r="HB169" s="675">
        <v>260786259</v>
      </c>
      <c r="HC169" s="675">
        <v>5.0923999999999997E-2</v>
      </c>
      <c r="HD169" s="675">
        <v>351023</v>
      </c>
      <c r="HE169" s="675">
        <v>0</v>
      </c>
      <c r="HF169" s="675">
        <v>0</v>
      </c>
      <c r="HG169" s="675">
        <v>0</v>
      </c>
      <c r="HH169" s="675">
        <v>0</v>
      </c>
      <c r="HI169" s="675">
        <v>0</v>
      </c>
      <c r="HJ169" s="675">
        <v>0</v>
      </c>
      <c r="HK169" s="675">
        <v>0</v>
      </c>
      <c r="HL169" s="675">
        <v>0</v>
      </c>
      <c r="HM169" s="675">
        <v>0</v>
      </c>
      <c r="HN169" s="675">
        <v>0</v>
      </c>
      <c r="HO169" s="675">
        <v>0</v>
      </c>
      <c r="HP169" s="675">
        <v>0</v>
      </c>
      <c r="HQ169" s="675">
        <v>0</v>
      </c>
      <c r="HR169" s="675">
        <v>0</v>
      </c>
      <c r="HS169" s="675">
        <v>0</v>
      </c>
      <c r="HT169" s="675">
        <v>0</v>
      </c>
      <c r="HU169" s="675">
        <v>0</v>
      </c>
      <c r="HV169" s="675">
        <v>0</v>
      </c>
      <c r="HW169" s="675">
        <v>0</v>
      </c>
      <c r="HX169" s="675">
        <v>0</v>
      </c>
      <c r="HY169" s="675">
        <v>0</v>
      </c>
      <c r="HZ169" s="675">
        <v>0</v>
      </c>
      <c r="IA169" s="675">
        <v>0</v>
      </c>
      <c r="IB169" s="675">
        <v>0</v>
      </c>
      <c r="IC169" s="675">
        <v>0</v>
      </c>
      <c r="ID169" s="675">
        <v>0</v>
      </c>
      <c r="IE169" s="675">
        <v>0</v>
      </c>
      <c r="IF169" s="675">
        <v>0</v>
      </c>
      <c r="IG169" s="675">
        <v>0</v>
      </c>
      <c r="IH169" s="675">
        <v>0</v>
      </c>
      <c r="II169" s="675">
        <v>0</v>
      </c>
      <c r="IJ169" s="675">
        <v>0</v>
      </c>
      <c r="IK169" s="675">
        <v>0</v>
      </c>
      <c r="IL169" s="675">
        <v>0</v>
      </c>
      <c r="IM169" s="675">
        <v>0</v>
      </c>
      <c r="IN169" s="675">
        <v>0</v>
      </c>
      <c r="IO169" s="675">
        <v>0</v>
      </c>
      <c r="IP169" s="675">
        <v>0</v>
      </c>
      <c r="IQ169" s="675">
        <v>0</v>
      </c>
      <c r="IR169" s="675">
        <v>0</v>
      </c>
      <c r="IS169" s="675">
        <v>0</v>
      </c>
      <c r="IT169" s="675">
        <v>0</v>
      </c>
      <c r="IU169" s="675">
        <v>0</v>
      </c>
      <c r="IV169" s="675">
        <v>0</v>
      </c>
      <c r="IW169" s="675">
        <v>0</v>
      </c>
      <c r="IX169" s="675">
        <v>0</v>
      </c>
      <c r="IY169" s="675">
        <v>0</v>
      </c>
      <c r="IZ169" s="675">
        <v>0</v>
      </c>
      <c r="JA169" s="675">
        <v>0</v>
      </c>
      <c r="JB169" s="675">
        <v>0</v>
      </c>
      <c r="JC169" s="675">
        <v>0</v>
      </c>
      <c r="JD169" s="675">
        <v>0</v>
      </c>
      <c r="JE169" s="675">
        <v>0</v>
      </c>
      <c r="JF169" s="675">
        <v>0</v>
      </c>
      <c r="JG169" s="675">
        <v>0</v>
      </c>
      <c r="JH169" s="675">
        <v>0</v>
      </c>
      <c r="JI169" s="675">
        <v>0</v>
      </c>
      <c r="JJ169" s="675">
        <v>0</v>
      </c>
      <c r="JK169" s="675">
        <v>0</v>
      </c>
      <c r="JL169" s="675">
        <v>0</v>
      </c>
      <c r="JM169" s="675">
        <v>0</v>
      </c>
      <c r="JN169" s="675">
        <v>32469</v>
      </c>
      <c r="JO169" s="675">
        <v>0</v>
      </c>
      <c r="JP169" s="675">
        <v>0</v>
      </c>
      <c r="JQ169" s="675">
        <v>0</v>
      </c>
      <c r="JR169" s="675">
        <v>0</v>
      </c>
      <c r="JS169" s="675">
        <v>0</v>
      </c>
      <c r="JT169" s="675">
        <v>0</v>
      </c>
      <c r="JU169" s="675">
        <v>0</v>
      </c>
      <c r="JV169" s="675">
        <v>0</v>
      </c>
      <c r="JW169" s="675">
        <v>0</v>
      </c>
      <c r="JX169" s="675">
        <v>0</v>
      </c>
      <c r="JY169" s="675">
        <v>0</v>
      </c>
      <c r="JZ169" s="675">
        <v>0</v>
      </c>
      <c r="KA169" s="675">
        <v>0</v>
      </c>
      <c r="KB169" s="675">
        <v>0</v>
      </c>
      <c r="KC169" s="675">
        <v>0</v>
      </c>
      <c r="KD169" s="675">
        <v>0</v>
      </c>
      <c r="KE169" s="675">
        <v>0</v>
      </c>
      <c r="KF169" s="675">
        <v>0</v>
      </c>
    </row>
    <row r="170" spans="1:292" x14ac:dyDescent="0.25">
      <c r="A170" s="675">
        <v>227804</v>
      </c>
      <c r="B170" s="675">
        <v>32570</v>
      </c>
      <c r="C170" s="675">
        <v>35</v>
      </c>
      <c r="D170" s="675">
        <v>2022</v>
      </c>
      <c r="E170" s="675">
        <v>5392</v>
      </c>
      <c r="F170" s="675">
        <v>0</v>
      </c>
      <c r="G170" s="675">
        <v>976.11900000000003</v>
      </c>
      <c r="H170" s="675">
        <v>924.12100000000009</v>
      </c>
      <c r="I170" s="675">
        <v>924.12100000000009</v>
      </c>
      <c r="J170" s="675">
        <v>976.11900000000003</v>
      </c>
      <c r="K170" s="675">
        <v>0</v>
      </c>
      <c r="L170" s="675">
        <v>6554</v>
      </c>
      <c r="M170" s="675">
        <v>0</v>
      </c>
      <c r="N170" s="675">
        <v>0</v>
      </c>
      <c r="O170" s="675">
        <v>0</v>
      </c>
      <c r="P170" s="675">
        <v>938.91200000000003</v>
      </c>
      <c r="Q170" s="675">
        <v>0</v>
      </c>
      <c r="R170" s="675">
        <v>300182</v>
      </c>
      <c r="S170" s="675">
        <v>319.71300000000002</v>
      </c>
      <c r="T170" s="675">
        <v>0</v>
      </c>
      <c r="U170" s="675">
        <v>300182</v>
      </c>
      <c r="V170" s="675">
        <v>198.64100000000002</v>
      </c>
      <c r="W170" s="675">
        <v>130189</v>
      </c>
      <c r="X170" s="675">
        <v>130189</v>
      </c>
      <c r="Y170" s="675">
        <v>0</v>
      </c>
      <c r="Z170" s="675">
        <v>0</v>
      </c>
      <c r="AA170" s="675">
        <v>1</v>
      </c>
      <c r="AB170" s="675">
        <v>1</v>
      </c>
      <c r="AC170" s="675">
        <v>0</v>
      </c>
      <c r="AD170" s="675" t="s">
        <v>316</v>
      </c>
      <c r="AE170" s="675">
        <v>0</v>
      </c>
      <c r="AF170" s="675">
        <v>0</v>
      </c>
      <c r="AG170" s="675">
        <v>0</v>
      </c>
      <c r="AH170" s="675">
        <v>0</v>
      </c>
      <c r="AI170" s="675">
        <v>0</v>
      </c>
      <c r="AJ170" s="675">
        <v>5104</v>
      </c>
      <c r="AK170" s="675" t="s">
        <v>671</v>
      </c>
      <c r="AL170" s="675" t="s">
        <v>79</v>
      </c>
      <c r="AM170" s="675">
        <v>0</v>
      </c>
      <c r="AN170" s="675">
        <v>0</v>
      </c>
      <c r="AO170" s="675">
        <v>0</v>
      </c>
      <c r="AP170" s="675">
        <v>0</v>
      </c>
      <c r="AQ170" s="675">
        <v>0</v>
      </c>
      <c r="AR170" s="675">
        <v>0</v>
      </c>
      <c r="AS170" s="675">
        <v>0</v>
      </c>
      <c r="AT170" s="675">
        <v>0</v>
      </c>
      <c r="AU170" s="675">
        <v>0</v>
      </c>
      <c r="AV170" s="675">
        <v>14140</v>
      </c>
      <c r="AW170" s="675">
        <v>9019786</v>
      </c>
      <c r="AX170" s="675">
        <v>8754101</v>
      </c>
      <c r="AY170" s="675">
        <v>9375307</v>
      </c>
      <c r="AZ170" s="675">
        <v>373496</v>
      </c>
      <c r="BA170" s="675">
        <v>0</v>
      </c>
      <c r="BB170" s="675">
        <v>9403</v>
      </c>
      <c r="BC170" s="675">
        <v>9403</v>
      </c>
      <c r="BD170" s="675">
        <v>11.956000000000001</v>
      </c>
      <c r="BE170" s="675">
        <v>0</v>
      </c>
      <c r="BF170" s="675">
        <v>7458189</v>
      </c>
      <c r="BG170" s="675">
        <v>0</v>
      </c>
      <c r="BH170" s="675">
        <v>266.59800000000001</v>
      </c>
      <c r="BI170" s="675">
        <v>73314</v>
      </c>
      <c r="BJ170" s="675">
        <v>12</v>
      </c>
      <c r="BK170" s="675">
        <v>0</v>
      </c>
      <c r="BL170" s="675">
        <v>0</v>
      </c>
      <c r="BM170" s="675">
        <v>0</v>
      </c>
      <c r="BN170" s="675">
        <v>0</v>
      </c>
      <c r="BO170" s="675">
        <v>0</v>
      </c>
      <c r="BP170" s="675">
        <v>0</v>
      </c>
      <c r="BQ170" s="675">
        <v>5392</v>
      </c>
      <c r="BR170" s="675">
        <v>1</v>
      </c>
      <c r="BS170" s="675">
        <v>0</v>
      </c>
      <c r="BT170" s="675">
        <v>0</v>
      </c>
      <c r="BU170" s="675">
        <v>0</v>
      </c>
      <c r="BV170" s="675">
        <v>0</v>
      </c>
      <c r="BW170" s="675">
        <v>0</v>
      </c>
      <c r="BX170" s="675">
        <v>0</v>
      </c>
      <c r="BY170" s="675">
        <v>0</v>
      </c>
      <c r="BZ170" s="675">
        <v>0</v>
      </c>
      <c r="CA170" s="675">
        <v>0</v>
      </c>
      <c r="CB170" s="675">
        <v>0</v>
      </c>
      <c r="CC170" s="675">
        <v>0</v>
      </c>
      <c r="CD170" s="675">
        <v>0</v>
      </c>
      <c r="CE170" s="675">
        <v>0</v>
      </c>
      <c r="CF170" s="675">
        <v>0</v>
      </c>
      <c r="CG170" s="675">
        <v>0</v>
      </c>
      <c r="CH170" s="675">
        <v>192371</v>
      </c>
      <c r="CI170" s="675">
        <v>0</v>
      </c>
      <c r="CJ170" s="675">
        <v>4</v>
      </c>
      <c r="CK170" s="675">
        <v>0</v>
      </c>
      <c r="CL170" s="675">
        <v>0</v>
      </c>
      <c r="CM170" s="675">
        <v>0</v>
      </c>
      <c r="CN170" s="675">
        <v>0</v>
      </c>
      <c r="CO170" s="675">
        <v>0</v>
      </c>
      <c r="CP170" s="675">
        <v>0</v>
      </c>
      <c r="CQ170" s="675">
        <v>0</v>
      </c>
      <c r="CR170" s="675">
        <v>938.91200000000003</v>
      </c>
      <c r="CS170" s="675">
        <v>0</v>
      </c>
      <c r="CT170" s="675">
        <v>0</v>
      </c>
      <c r="CU170" s="675">
        <v>0</v>
      </c>
      <c r="CV170" s="675">
        <v>0</v>
      </c>
      <c r="CW170" s="675">
        <v>0</v>
      </c>
      <c r="CX170" s="675">
        <v>0</v>
      </c>
      <c r="CY170" s="675">
        <v>0</v>
      </c>
      <c r="CZ170" s="675">
        <v>0</v>
      </c>
      <c r="DA170" s="675">
        <v>1</v>
      </c>
      <c r="DB170" s="675">
        <v>6056689</v>
      </c>
      <c r="DC170" s="675">
        <v>0</v>
      </c>
      <c r="DD170" s="675">
        <v>0</v>
      </c>
      <c r="DE170" s="675">
        <v>488050</v>
      </c>
      <c r="DF170" s="675">
        <v>488050</v>
      </c>
      <c r="DG170" s="675">
        <v>372.33</v>
      </c>
      <c r="DH170" s="675">
        <v>0</v>
      </c>
      <c r="DI170" s="675">
        <v>0</v>
      </c>
      <c r="DJ170" s="675">
        <v>0</v>
      </c>
      <c r="DK170" s="675">
        <v>5392</v>
      </c>
      <c r="DL170" s="675">
        <v>0</v>
      </c>
      <c r="DM170" s="675">
        <v>713321</v>
      </c>
      <c r="DN170" s="675">
        <v>0</v>
      </c>
      <c r="DO170" s="675">
        <v>0</v>
      </c>
      <c r="DP170" s="675">
        <v>0</v>
      </c>
      <c r="DQ170" s="675">
        <v>0</v>
      </c>
      <c r="DR170" s="675">
        <v>0</v>
      </c>
      <c r="DS170" s="675">
        <v>0</v>
      </c>
      <c r="DT170" s="675">
        <v>0</v>
      </c>
      <c r="DU170" s="675">
        <v>0</v>
      </c>
      <c r="DV170" s="675">
        <v>0</v>
      </c>
      <c r="DW170" s="675">
        <v>0</v>
      </c>
      <c r="DX170" s="675">
        <v>0</v>
      </c>
      <c r="DY170" s="675">
        <v>0</v>
      </c>
      <c r="DZ170" s="675">
        <v>0</v>
      </c>
      <c r="EA170" s="675">
        <v>0</v>
      </c>
      <c r="EB170" s="675">
        <v>0</v>
      </c>
      <c r="EC170" s="675">
        <v>36.286000000000001</v>
      </c>
      <c r="ED170" s="675">
        <v>261600</v>
      </c>
      <c r="EE170" s="675">
        <v>0</v>
      </c>
      <c r="EF170" s="675">
        <v>0</v>
      </c>
      <c r="EG170" s="675">
        <v>0</v>
      </c>
      <c r="EH170" s="675">
        <v>451721</v>
      </c>
      <c r="EI170" s="675">
        <v>0</v>
      </c>
      <c r="EJ170" s="675">
        <v>0</v>
      </c>
      <c r="EK170" s="675">
        <v>18.775000000000002</v>
      </c>
      <c r="EL170" s="675">
        <v>0</v>
      </c>
      <c r="EM170" s="675">
        <v>1.881</v>
      </c>
      <c r="EN170" s="675">
        <v>1.391</v>
      </c>
      <c r="EO170" s="675">
        <v>0</v>
      </c>
      <c r="EP170" s="675">
        <v>0</v>
      </c>
      <c r="EQ170" s="675">
        <v>22.047000000000001</v>
      </c>
      <c r="ER170" s="675">
        <v>0</v>
      </c>
      <c r="ES170" s="675">
        <v>68.923000000000002</v>
      </c>
      <c r="ET170" s="675">
        <v>0</v>
      </c>
      <c r="EU170" s="675">
        <v>373496</v>
      </c>
      <c r="EV170" s="675">
        <v>0</v>
      </c>
      <c r="EW170" s="675">
        <v>0</v>
      </c>
      <c r="EX170" s="675">
        <v>0</v>
      </c>
      <c r="EY170" s="675">
        <v>0</v>
      </c>
      <c r="EZ170" s="675">
        <v>7362780</v>
      </c>
      <c r="FA170" s="675">
        <v>0</v>
      </c>
      <c r="FB170" s="675">
        <v>7736276</v>
      </c>
      <c r="FC170" s="675">
        <v>0.97327799999999998</v>
      </c>
      <c r="FD170" s="675">
        <v>0</v>
      </c>
      <c r="FE170" s="675">
        <v>1135449</v>
      </c>
      <c r="FF170" s="675">
        <v>255872</v>
      </c>
      <c r="FG170" s="675">
        <v>6.1239999999999996E-2</v>
      </c>
      <c r="FH170" s="675">
        <v>5.4803999999999999E-2</v>
      </c>
      <c r="FI170" s="675">
        <v>0</v>
      </c>
      <c r="FJ170" s="675">
        <v>0</v>
      </c>
      <c r="FK170" s="675">
        <v>1461.2940000000001</v>
      </c>
      <c r="FL170" s="675">
        <v>9319968</v>
      </c>
      <c r="FM170" s="675">
        <v>0</v>
      </c>
      <c r="FN170" s="675">
        <v>0</v>
      </c>
      <c r="FO170" s="675">
        <v>0</v>
      </c>
      <c r="FP170" s="675">
        <v>0</v>
      </c>
      <c r="FQ170" s="675">
        <v>0</v>
      </c>
      <c r="FR170" s="675">
        <v>0</v>
      </c>
      <c r="FS170" s="675">
        <v>0</v>
      </c>
      <c r="FT170" s="675">
        <v>0</v>
      </c>
      <c r="FU170" s="675">
        <v>0</v>
      </c>
      <c r="FV170" s="675">
        <v>0</v>
      </c>
      <c r="FW170" s="675">
        <v>0</v>
      </c>
      <c r="FX170" s="675">
        <v>0</v>
      </c>
      <c r="FY170" s="675">
        <v>0</v>
      </c>
      <c r="FZ170" s="675">
        <v>307</v>
      </c>
      <c r="GA170" s="675">
        <v>6.133</v>
      </c>
      <c r="GB170" s="675">
        <v>265310</v>
      </c>
      <c r="GC170" s="675">
        <v>265310</v>
      </c>
      <c r="GD170" s="675">
        <v>29.951000000000001</v>
      </c>
      <c r="GE170" s="675">
        <v>0</v>
      </c>
      <c r="GF170" s="675">
        <v>0</v>
      </c>
      <c r="GG170" s="675">
        <v>0</v>
      </c>
      <c r="GH170" s="675">
        <v>0</v>
      </c>
      <c r="GI170" s="675">
        <v>0</v>
      </c>
      <c r="GJ170" s="675">
        <v>0</v>
      </c>
      <c r="GK170" s="675">
        <v>5205</v>
      </c>
      <c r="GL170" s="675">
        <v>20185</v>
      </c>
      <c r="GM170" s="675">
        <v>0</v>
      </c>
      <c r="GN170" s="675">
        <v>0</v>
      </c>
      <c r="GO170" s="675">
        <v>0</v>
      </c>
      <c r="GP170" s="675">
        <v>9127597</v>
      </c>
      <c r="GQ170" s="675">
        <v>9127597</v>
      </c>
      <c r="GR170" s="675">
        <v>0</v>
      </c>
      <c r="GS170" s="675">
        <v>0</v>
      </c>
      <c r="GT170" s="675">
        <v>0</v>
      </c>
      <c r="GU170" s="675">
        <v>0</v>
      </c>
      <c r="GV170" s="675">
        <v>0</v>
      </c>
      <c r="GW170" s="675">
        <v>0</v>
      </c>
      <c r="GX170" s="675">
        <v>0</v>
      </c>
      <c r="GY170" s="675">
        <v>0</v>
      </c>
      <c r="GZ170" s="675">
        <v>0</v>
      </c>
      <c r="HA170" s="675">
        <v>0</v>
      </c>
      <c r="HB170" s="675">
        <v>260786259</v>
      </c>
      <c r="HC170" s="675">
        <v>5.0923999999999997E-2</v>
      </c>
      <c r="HD170" s="675">
        <v>192371</v>
      </c>
      <c r="HE170" s="675">
        <v>0</v>
      </c>
      <c r="HF170" s="675">
        <v>0</v>
      </c>
      <c r="HG170" s="675">
        <v>0</v>
      </c>
      <c r="HH170" s="675">
        <v>0</v>
      </c>
      <c r="HI170" s="675">
        <v>0</v>
      </c>
      <c r="HJ170" s="675">
        <v>0</v>
      </c>
      <c r="HK170" s="675">
        <v>0</v>
      </c>
      <c r="HL170" s="675">
        <v>0</v>
      </c>
      <c r="HM170" s="675">
        <v>0</v>
      </c>
      <c r="HN170" s="675">
        <v>0</v>
      </c>
      <c r="HO170" s="675">
        <v>0</v>
      </c>
      <c r="HP170" s="675">
        <v>0</v>
      </c>
      <c r="HQ170" s="675">
        <v>0</v>
      </c>
      <c r="HR170" s="675">
        <v>0</v>
      </c>
      <c r="HS170" s="675">
        <v>0</v>
      </c>
      <c r="HT170" s="675">
        <v>0</v>
      </c>
      <c r="HU170" s="675">
        <v>0</v>
      </c>
      <c r="HV170" s="675">
        <v>0</v>
      </c>
      <c r="HW170" s="675">
        <v>0</v>
      </c>
      <c r="HX170" s="675">
        <v>0</v>
      </c>
      <c r="HY170" s="675">
        <v>0</v>
      </c>
      <c r="HZ170" s="675">
        <v>0</v>
      </c>
      <c r="IA170" s="675">
        <v>0</v>
      </c>
      <c r="IB170" s="675">
        <v>0</v>
      </c>
      <c r="IC170" s="675">
        <v>0</v>
      </c>
      <c r="ID170" s="675">
        <v>0</v>
      </c>
      <c r="IE170" s="675">
        <v>0</v>
      </c>
      <c r="IF170" s="675">
        <v>0</v>
      </c>
      <c r="IG170" s="675">
        <v>0</v>
      </c>
      <c r="IH170" s="675">
        <v>0</v>
      </c>
      <c r="II170" s="675">
        <v>0</v>
      </c>
      <c r="IJ170" s="675">
        <v>0</v>
      </c>
      <c r="IK170" s="675">
        <v>0</v>
      </c>
      <c r="IL170" s="675">
        <v>0</v>
      </c>
      <c r="IM170" s="675">
        <v>0</v>
      </c>
      <c r="IN170" s="675">
        <v>0</v>
      </c>
      <c r="IO170" s="675">
        <v>0</v>
      </c>
      <c r="IP170" s="675">
        <v>0</v>
      </c>
      <c r="IQ170" s="675">
        <v>0</v>
      </c>
      <c r="IR170" s="675">
        <v>0</v>
      </c>
      <c r="IS170" s="675">
        <v>0</v>
      </c>
      <c r="IT170" s="675">
        <v>0</v>
      </c>
      <c r="IU170" s="675">
        <v>0</v>
      </c>
      <c r="IV170" s="675">
        <v>0</v>
      </c>
      <c r="IW170" s="675">
        <v>0</v>
      </c>
      <c r="IX170" s="675">
        <v>0</v>
      </c>
      <c r="IY170" s="675">
        <v>0</v>
      </c>
      <c r="IZ170" s="675">
        <v>0</v>
      </c>
      <c r="JA170" s="675">
        <v>0</v>
      </c>
      <c r="JB170" s="675">
        <v>0</v>
      </c>
      <c r="JC170" s="675">
        <v>0</v>
      </c>
      <c r="JD170" s="675">
        <v>0</v>
      </c>
      <c r="JE170" s="675">
        <v>0</v>
      </c>
      <c r="JF170" s="675">
        <v>0</v>
      </c>
      <c r="JG170" s="675">
        <v>0</v>
      </c>
      <c r="JH170" s="675">
        <v>0</v>
      </c>
      <c r="JI170" s="675">
        <v>0</v>
      </c>
      <c r="JJ170" s="675">
        <v>0</v>
      </c>
      <c r="JK170" s="675">
        <v>0</v>
      </c>
      <c r="JL170" s="675">
        <v>0</v>
      </c>
      <c r="JM170" s="675">
        <v>0</v>
      </c>
      <c r="JN170" s="675">
        <v>32469</v>
      </c>
      <c r="JO170" s="675">
        <v>0</v>
      </c>
      <c r="JP170" s="675">
        <v>0</v>
      </c>
      <c r="JQ170" s="675">
        <v>0</v>
      </c>
      <c r="JR170" s="675">
        <v>0</v>
      </c>
      <c r="JS170" s="675">
        <v>0</v>
      </c>
      <c r="JT170" s="675">
        <v>0</v>
      </c>
      <c r="JU170" s="675">
        <v>0</v>
      </c>
      <c r="JV170" s="675">
        <v>0</v>
      </c>
      <c r="JW170" s="675">
        <v>0</v>
      </c>
      <c r="JX170" s="675">
        <v>0</v>
      </c>
      <c r="JY170" s="675">
        <v>0</v>
      </c>
      <c r="JZ170" s="675">
        <v>0</v>
      </c>
      <c r="KA170" s="675">
        <v>0</v>
      </c>
      <c r="KB170" s="675">
        <v>0</v>
      </c>
      <c r="KC170" s="675">
        <v>0</v>
      </c>
      <c r="KD170" s="675">
        <v>0</v>
      </c>
      <c r="KE170" s="675">
        <v>0</v>
      </c>
      <c r="KF170" s="675">
        <v>0</v>
      </c>
    </row>
    <row r="171" spans="1:292" x14ac:dyDescent="0.25">
      <c r="A171" s="675">
        <v>227805</v>
      </c>
      <c r="B171" s="675">
        <v>32570</v>
      </c>
      <c r="C171" s="675">
        <v>35</v>
      </c>
      <c r="D171" s="675">
        <v>2022</v>
      </c>
      <c r="E171" s="675">
        <v>5392</v>
      </c>
      <c r="F171" s="675">
        <v>0</v>
      </c>
      <c r="G171" s="675">
        <v>333.36900000000003</v>
      </c>
      <c r="H171" s="675">
        <v>327.46300000000002</v>
      </c>
      <c r="I171" s="675">
        <v>327.46300000000002</v>
      </c>
      <c r="J171" s="675">
        <v>333.36900000000003</v>
      </c>
      <c r="K171" s="675">
        <v>0</v>
      </c>
      <c r="L171" s="675">
        <v>6554</v>
      </c>
      <c r="M171" s="675">
        <v>0</v>
      </c>
      <c r="N171" s="675">
        <v>0</v>
      </c>
      <c r="O171" s="675">
        <v>0</v>
      </c>
      <c r="P171" s="675">
        <v>310.06600000000003</v>
      </c>
      <c r="Q171" s="675">
        <v>0</v>
      </c>
      <c r="R171" s="675">
        <v>99132</v>
      </c>
      <c r="S171" s="675">
        <v>319.71300000000002</v>
      </c>
      <c r="T171" s="675">
        <v>0</v>
      </c>
      <c r="U171" s="675">
        <v>99132</v>
      </c>
      <c r="V171" s="675">
        <v>0</v>
      </c>
      <c r="W171" s="675">
        <v>0</v>
      </c>
      <c r="X171" s="675">
        <v>0</v>
      </c>
      <c r="Y171" s="675">
        <v>0</v>
      </c>
      <c r="Z171" s="675">
        <v>0</v>
      </c>
      <c r="AA171" s="675">
        <v>1</v>
      </c>
      <c r="AB171" s="675">
        <v>1</v>
      </c>
      <c r="AC171" s="675">
        <v>0</v>
      </c>
      <c r="AD171" s="675" t="s">
        <v>316</v>
      </c>
      <c r="AE171" s="675">
        <v>0</v>
      </c>
      <c r="AF171" s="675">
        <v>0</v>
      </c>
      <c r="AG171" s="675">
        <v>0</v>
      </c>
      <c r="AH171" s="675">
        <v>0</v>
      </c>
      <c r="AI171" s="675">
        <v>0</v>
      </c>
      <c r="AJ171" s="675">
        <v>5104</v>
      </c>
      <c r="AK171" s="675" t="s">
        <v>671</v>
      </c>
      <c r="AL171" s="675" t="s">
        <v>80</v>
      </c>
      <c r="AM171" s="675">
        <v>0</v>
      </c>
      <c r="AN171" s="675">
        <v>0</v>
      </c>
      <c r="AO171" s="675">
        <v>0</v>
      </c>
      <c r="AP171" s="675">
        <v>0</v>
      </c>
      <c r="AQ171" s="675">
        <v>0</v>
      </c>
      <c r="AR171" s="675">
        <v>0</v>
      </c>
      <c r="AS171" s="675">
        <v>0</v>
      </c>
      <c r="AT171" s="675">
        <v>0</v>
      </c>
      <c r="AU171" s="675">
        <v>0</v>
      </c>
      <c r="AV171" s="675">
        <v>124985</v>
      </c>
      <c r="AW171" s="675">
        <v>3293055</v>
      </c>
      <c r="AX171" s="675">
        <v>3211396</v>
      </c>
      <c r="AY171" s="675">
        <v>3541536</v>
      </c>
      <c r="AZ171" s="675">
        <v>109299</v>
      </c>
      <c r="BA171" s="675">
        <v>11.167</v>
      </c>
      <c r="BB171" s="675">
        <v>0</v>
      </c>
      <c r="BC171" s="675">
        <v>0</v>
      </c>
      <c r="BD171" s="675">
        <v>0</v>
      </c>
      <c r="BE171" s="675">
        <v>0</v>
      </c>
      <c r="BF171" s="675">
        <v>2726945</v>
      </c>
      <c r="BG171" s="675">
        <v>0</v>
      </c>
      <c r="BH171" s="675">
        <v>36.972000000000001</v>
      </c>
      <c r="BI171" s="675">
        <v>10167</v>
      </c>
      <c r="BJ171" s="675">
        <v>12</v>
      </c>
      <c r="BK171" s="675">
        <v>0</v>
      </c>
      <c r="BL171" s="675">
        <v>0</v>
      </c>
      <c r="BM171" s="675">
        <v>0</v>
      </c>
      <c r="BN171" s="675">
        <v>0</v>
      </c>
      <c r="BO171" s="675">
        <v>0</v>
      </c>
      <c r="BP171" s="675">
        <v>0</v>
      </c>
      <c r="BQ171" s="675">
        <v>5392</v>
      </c>
      <c r="BR171" s="675">
        <v>1</v>
      </c>
      <c r="BS171" s="675">
        <v>0</v>
      </c>
      <c r="BT171" s="675">
        <v>0</v>
      </c>
      <c r="BU171" s="675">
        <v>0</v>
      </c>
      <c r="BV171" s="675">
        <v>0</v>
      </c>
      <c r="BW171" s="675">
        <v>0</v>
      </c>
      <c r="BX171" s="675">
        <v>0</v>
      </c>
      <c r="BY171" s="675">
        <v>0</v>
      </c>
      <c r="BZ171" s="675">
        <v>0</v>
      </c>
      <c r="CA171" s="675">
        <v>0</v>
      </c>
      <c r="CB171" s="675">
        <v>0</v>
      </c>
      <c r="CC171" s="675">
        <v>0</v>
      </c>
      <c r="CD171" s="675">
        <v>0</v>
      </c>
      <c r="CE171" s="675">
        <v>0</v>
      </c>
      <c r="CF171" s="675">
        <v>0</v>
      </c>
      <c r="CG171" s="675">
        <v>0</v>
      </c>
      <c r="CH171" s="675">
        <v>71492</v>
      </c>
      <c r="CI171" s="675">
        <v>0</v>
      </c>
      <c r="CJ171" s="675">
        <v>4</v>
      </c>
      <c r="CK171" s="675">
        <v>0</v>
      </c>
      <c r="CL171" s="675">
        <v>0</v>
      </c>
      <c r="CM171" s="675">
        <v>0</v>
      </c>
      <c r="CN171" s="675">
        <v>0</v>
      </c>
      <c r="CO171" s="675">
        <v>0</v>
      </c>
      <c r="CP171" s="675">
        <v>0</v>
      </c>
      <c r="CQ171" s="675">
        <v>0.83300000000000007</v>
      </c>
      <c r="CR171" s="675">
        <v>310.06600000000003</v>
      </c>
      <c r="CS171" s="675">
        <v>0</v>
      </c>
      <c r="CT171" s="675">
        <v>0</v>
      </c>
      <c r="CU171" s="675">
        <v>0</v>
      </c>
      <c r="CV171" s="675">
        <v>0</v>
      </c>
      <c r="CW171" s="675">
        <v>0</v>
      </c>
      <c r="CX171" s="675">
        <v>0</v>
      </c>
      <c r="CY171" s="675">
        <v>0</v>
      </c>
      <c r="CZ171" s="675">
        <v>0</v>
      </c>
      <c r="DA171" s="675">
        <v>1</v>
      </c>
      <c r="DB171" s="675">
        <v>2146193</v>
      </c>
      <c r="DC171" s="675">
        <v>0</v>
      </c>
      <c r="DD171" s="675">
        <v>0</v>
      </c>
      <c r="DE171" s="675">
        <v>395862</v>
      </c>
      <c r="DF171" s="675">
        <v>395862</v>
      </c>
      <c r="DG171" s="675">
        <v>302</v>
      </c>
      <c r="DH171" s="675">
        <v>0</v>
      </c>
      <c r="DI171" s="675">
        <v>0</v>
      </c>
      <c r="DJ171" s="675">
        <v>0</v>
      </c>
      <c r="DK171" s="675">
        <v>5392</v>
      </c>
      <c r="DL171" s="675">
        <v>0</v>
      </c>
      <c r="DM171" s="675">
        <v>259762</v>
      </c>
      <c r="DN171" s="675">
        <v>0</v>
      </c>
      <c r="DO171" s="675">
        <v>0</v>
      </c>
      <c r="DP171" s="675">
        <v>0</v>
      </c>
      <c r="DQ171" s="675">
        <v>0</v>
      </c>
      <c r="DR171" s="675">
        <v>0</v>
      </c>
      <c r="DS171" s="675">
        <v>0</v>
      </c>
      <c r="DT171" s="675">
        <v>0</v>
      </c>
      <c r="DU171" s="675">
        <v>0</v>
      </c>
      <c r="DV171" s="675">
        <v>0</v>
      </c>
      <c r="DW171" s="675">
        <v>0</v>
      </c>
      <c r="DX171" s="675">
        <v>0</v>
      </c>
      <c r="DY171" s="675">
        <v>0</v>
      </c>
      <c r="DZ171" s="675">
        <v>0</v>
      </c>
      <c r="EA171" s="675">
        <v>0</v>
      </c>
      <c r="EB171" s="675">
        <v>0</v>
      </c>
      <c r="EC171" s="675">
        <v>19.462</v>
      </c>
      <c r="ED171" s="675">
        <v>140309</v>
      </c>
      <c r="EE171" s="675">
        <v>0</v>
      </c>
      <c r="EF171" s="675">
        <v>0</v>
      </c>
      <c r="EG171" s="675">
        <v>0</v>
      </c>
      <c r="EH171" s="675">
        <v>119453</v>
      </c>
      <c r="EI171" s="675">
        <v>0</v>
      </c>
      <c r="EJ171" s="675">
        <v>0</v>
      </c>
      <c r="EK171" s="675">
        <v>5.6520000000000001</v>
      </c>
      <c r="EL171" s="675">
        <v>0</v>
      </c>
      <c r="EM171" s="675">
        <v>0</v>
      </c>
      <c r="EN171" s="675">
        <v>0.254</v>
      </c>
      <c r="EO171" s="675">
        <v>0</v>
      </c>
      <c r="EP171" s="675">
        <v>0</v>
      </c>
      <c r="EQ171" s="675">
        <v>5.9060000000000006</v>
      </c>
      <c r="ER171" s="675">
        <v>0</v>
      </c>
      <c r="ES171" s="675">
        <v>18.226000000000003</v>
      </c>
      <c r="ET171" s="675">
        <v>5792</v>
      </c>
      <c r="EU171" s="675">
        <v>109299</v>
      </c>
      <c r="EV171" s="675">
        <v>0</v>
      </c>
      <c r="EW171" s="675">
        <v>0</v>
      </c>
      <c r="EX171" s="675">
        <v>0</v>
      </c>
      <c r="EY171" s="675">
        <v>0</v>
      </c>
      <c r="EZ171" s="675">
        <v>2702685</v>
      </c>
      <c r="FA171" s="675">
        <v>0</v>
      </c>
      <c r="FB171" s="675">
        <v>2811984</v>
      </c>
      <c r="FC171" s="675">
        <v>0.97327799999999998</v>
      </c>
      <c r="FD171" s="675">
        <v>0</v>
      </c>
      <c r="FE171" s="675">
        <v>415156</v>
      </c>
      <c r="FF171" s="675">
        <v>93555</v>
      </c>
      <c r="FG171" s="675">
        <v>6.1239999999999996E-2</v>
      </c>
      <c r="FH171" s="675">
        <v>5.4803999999999999E-2</v>
      </c>
      <c r="FI171" s="675">
        <v>0</v>
      </c>
      <c r="FJ171" s="675">
        <v>0</v>
      </c>
      <c r="FK171" s="675">
        <v>534.29500000000007</v>
      </c>
      <c r="FL171" s="675">
        <v>3392187</v>
      </c>
      <c r="FM171" s="675">
        <v>0</v>
      </c>
      <c r="FN171" s="675">
        <v>0</v>
      </c>
      <c r="FO171" s="675">
        <v>0</v>
      </c>
      <c r="FP171" s="675">
        <v>0</v>
      </c>
      <c r="FQ171" s="675">
        <v>0</v>
      </c>
      <c r="FR171" s="675">
        <v>0</v>
      </c>
      <c r="FS171" s="675">
        <v>0</v>
      </c>
      <c r="FT171" s="675">
        <v>0</v>
      </c>
      <c r="FU171" s="675">
        <v>0</v>
      </c>
      <c r="FV171" s="675">
        <v>0</v>
      </c>
      <c r="FW171" s="675">
        <v>0</v>
      </c>
      <c r="FX171" s="675">
        <v>0</v>
      </c>
      <c r="FY171" s="675">
        <v>0</v>
      </c>
      <c r="FZ171" s="675">
        <v>0</v>
      </c>
      <c r="GA171" s="675">
        <v>0</v>
      </c>
      <c r="GB171" s="675">
        <v>0</v>
      </c>
      <c r="GC171" s="675">
        <v>0</v>
      </c>
      <c r="GD171" s="675">
        <v>0</v>
      </c>
      <c r="GE171" s="675">
        <v>0</v>
      </c>
      <c r="GF171" s="675">
        <v>0</v>
      </c>
      <c r="GG171" s="675">
        <v>0</v>
      </c>
      <c r="GH171" s="675">
        <v>0</v>
      </c>
      <c r="GI171" s="675">
        <v>0</v>
      </c>
      <c r="GJ171" s="675">
        <v>0</v>
      </c>
      <c r="GK171" s="675">
        <v>5191</v>
      </c>
      <c r="GL171" s="675">
        <v>4692</v>
      </c>
      <c r="GM171" s="675">
        <v>0</v>
      </c>
      <c r="GN171" s="675">
        <v>0</v>
      </c>
      <c r="GO171" s="675">
        <v>0</v>
      </c>
      <c r="GP171" s="675">
        <v>3320695</v>
      </c>
      <c r="GQ171" s="675">
        <v>3320695</v>
      </c>
      <c r="GR171" s="675">
        <v>0</v>
      </c>
      <c r="GS171" s="675">
        <v>0</v>
      </c>
      <c r="GT171" s="675">
        <v>0</v>
      </c>
      <c r="GU171" s="675">
        <v>0</v>
      </c>
      <c r="GV171" s="675">
        <v>0</v>
      </c>
      <c r="GW171" s="675">
        <v>0</v>
      </c>
      <c r="GX171" s="675">
        <v>0</v>
      </c>
      <c r="GY171" s="675">
        <v>0</v>
      </c>
      <c r="GZ171" s="675">
        <v>0</v>
      </c>
      <c r="HA171" s="675">
        <v>0</v>
      </c>
      <c r="HB171" s="675">
        <v>260786259</v>
      </c>
      <c r="HC171" s="675">
        <v>5.0923999999999997E-2</v>
      </c>
      <c r="HD171" s="675">
        <v>65700</v>
      </c>
      <c r="HE171" s="675">
        <v>0</v>
      </c>
      <c r="HF171" s="675">
        <v>0</v>
      </c>
      <c r="HG171" s="675">
        <v>0</v>
      </c>
      <c r="HH171" s="675">
        <v>0</v>
      </c>
      <c r="HI171" s="675">
        <v>0</v>
      </c>
      <c r="HJ171" s="675">
        <v>0</v>
      </c>
      <c r="HK171" s="675">
        <v>0</v>
      </c>
      <c r="HL171" s="675">
        <v>0</v>
      </c>
      <c r="HM171" s="675">
        <v>0</v>
      </c>
      <c r="HN171" s="675">
        <v>0</v>
      </c>
      <c r="HO171" s="675">
        <v>0</v>
      </c>
      <c r="HP171" s="675">
        <v>0</v>
      </c>
      <c r="HQ171" s="675">
        <v>0</v>
      </c>
      <c r="HR171" s="675">
        <v>0</v>
      </c>
      <c r="HS171" s="675">
        <v>0</v>
      </c>
      <c r="HT171" s="675">
        <v>0</v>
      </c>
      <c r="HU171" s="675">
        <v>0</v>
      </c>
      <c r="HV171" s="675">
        <v>0</v>
      </c>
      <c r="HW171" s="675">
        <v>0</v>
      </c>
      <c r="HX171" s="675">
        <v>0</v>
      </c>
      <c r="HY171" s="675">
        <v>0</v>
      </c>
      <c r="HZ171" s="675">
        <v>0</v>
      </c>
      <c r="IA171" s="675">
        <v>0</v>
      </c>
      <c r="IB171" s="675">
        <v>0</v>
      </c>
      <c r="IC171" s="675">
        <v>0</v>
      </c>
      <c r="ID171" s="675">
        <v>0</v>
      </c>
      <c r="IE171" s="675">
        <v>0</v>
      </c>
      <c r="IF171" s="675">
        <v>0</v>
      </c>
      <c r="IG171" s="675">
        <v>0</v>
      </c>
      <c r="IH171" s="675">
        <v>0</v>
      </c>
      <c r="II171" s="675">
        <v>0</v>
      </c>
      <c r="IJ171" s="675">
        <v>0</v>
      </c>
      <c r="IK171" s="675">
        <v>0</v>
      </c>
      <c r="IL171" s="675">
        <v>0</v>
      </c>
      <c r="IM171" s="675">
        <v>0</v>
      </c>
      <c r="IN171" s="675">
        <v>0</v>
      </c>
      <c r="IO171" s="675">
        <v>0</v>
      </c>
      <c r="IP171" s="675">
        <v>0</v>
      </c>
      <c r="IQ171" s="675">
        <v>0</v>
      </c>
      <c r="IR171" s="675">
        <v>0</v>
      </c>
      <c r="IS171" s="675">
        <v>0</v>
      </c>
      <c r="IT171" s="675">
        <v>0</v>
      </c>
      <c r="IU171" s="675">
        <v>0</v>
      </c>
      <c r="IV171" s="675">
        <v>0</v>
      </c>
      <c r="IW171" s="675">
        <v>0</v>
      </c>
      <c r="IX171" s="675">
        <v>0</v>
      </c>
      <c r="IY171" s="675">
        <v>0</v>
      </c>
      <c r="IZ171" s="675">
        <v>0</v>
      </c>
      <c r="JA171" s="675">
        <v>0</v>
      </c>
      <c r="JB171" s="675">
        <v>0</v>
      </c>
      <c r="JC171" s="675">
        <v>0</v>
      </c>
      <c r="JD171" s="675">
        <v>0</v>
      </c>
      <c r="JE171" s="675">
        <v>0</v>
      </c>
      <c r="JF171" s="675">
        <v>0</v>
      </c>
      <c r="JG171" s="675">
        <v>0</v>
      </c>
      <c r="JH171" s="675">
        <v>0</v>
      </c>
      <c r="JI171" s="675">
        <v>0</v>
      </c>
      <c r="JJ171" s="675">
        <v>0</v>
      </c>
      <c r="JK171" s="675">
        <v>0</v>
      </c>
      <c r="JL171" s="675">
        <v>0</v>
      </c>
      <c r="JM171" s="675">
        <v>0</v>
      </c>
      <c r="JN171" s="675">
        <v>32469</v>
      </c>
      <c r="JO171" s="675">
        <v>0</v>
      </c>
      <c r="JP171" s="675">
        <v>0</v>
      </c>
      <c r="JQ171" s="675">
        <v>0</v>
      </c>
      <c r="JR171" s="675">
        <v>0</v>
      </c>
      <c r="JS171" s="675">
        <v>0</v>
      </c>
      <c r="JT171" s="675">
        <v>0</v>
      </c>
      <c r="JU171" s="675">
        <v>0</v>
      </c>
      <c r="JV171" s="675">
        <v>0</v>
      </c>
      <c r="JW171" s="675">
        <v>0</v>
      </c>
      <c r="JX171" s="675">
        <v>0</v>
      </c>
      <c r="JY171" s="675">
        <v>0</v>
      </c>
      <c r="JZ171" s="675">
        <v>0</v>
      </c>
      <c r="KA171" s="675">
        <v>0</v>
      </c>
      <c r="KB171" s="675">
        <v>0</v>
      </c>
      <c r="KC171" s="675">
        <v>0</v>
      </c>
      <c r="KD171" s="675">
        <v>0</v>
      </c>
      <c r="KE171" s="675">
        <v>0</v>
      </c>
      <c r="KF171" s="675">
        <v>0</v>
      </c>
    </row>
    <row r="172" spans="1:292" x14ac:dyDescent="0.25">
      <c r="A172" s="675">
        <v>227806</v>
      </c>
      <c r="B172" s="675">
        <v>32570</v>
      </c>
      <c r="C172" s="675">
        <v>35</v>
      </c>
      <c r="D172" s="675">
        <v>2022</v>
      </c>
      <c r="E172" s="675">
        <v>5392</v>
      </c>
      <c r="F172" s="675">
        <v>0</v>
      </c>
      <c r="G172" s="675">
        <v>577.12900000000002</v>
      </c>
      <c r="H172" s="675">
        <v>396.17400000000004</v>
      </c>
      <c r="I172" s="675">
        <v>396.17400000000004</v>
      </c>
      <c r="J172" s="675">
        <v>577.12900000000002</v>
      </c>
      <c r="K172" s="675">
        <v>0</v>
      </c>
      <c r="L172" s="675">
        <v>6554</v>
      </c>
      <c r="M172" s="675">
        <v>0</v>
      </c>
      <c r="N172" s="675">
        <v>0</v>
      </c>
      <c r="O172" s="675">
        <v>0</v>
      </c>
      <c r="P172" s="675">
        <v>582.71300000000008</v>
      </c>
      <c r="Q172" s="675">
        <v>0</v>
      </c>
      <c r="R172" s="675">
        <v>186301</v>
      </c>
      <c r="S172" s="675">
        <v>319.71300000000002</v>
      </c>
      <c r="T172" s="675">
        <v>0</v>
      </c>
      <c r="U172" s="675">
        <v>186301</v>
      </c>
      <c r="V172" s="675">
        <v>31.533000000000001</v>
      </c>
      <c r="W172" s="675">
        <v>20667</v>
      </c>
      <c r="X172" s="675">
        <v>20667</v>
      </c>
      <c r="Y172" s="675">
        <v>0</v>
      </c>
      <c r="Z172" s="675">
        <v>0</v>
      </c>
      <c r="AA172" s="675">
        <v>1</v>
      </c>
      <c r="AB172" s="675">
        <v>1</v>
      </c>
      <c r="AC172" s="675">
        <v>0</v>
      </c>
      <c r="AD172" s="675" t="s">
        <v>316</v>
      </c>
      <c r="AE172" s="675">
        <v>0</v>
      </c>
      <c r="AF172" s="675">
        <v>0</v>
      </c>
      <c r="AG172" s="675">
        <v>0</v>
      </c>
      <c r="AH172" s="675">
        <v>0</v>
      </c>
      <c r="AI172" s="675">
        <v>0</v>
      </c>
      <c r="AJ172" s="675">
        <v>5104</v>
      </c>
      <c r="AK172" s="675" t="s">
        <v>671</v>
      </c>
      <c r="AL172" s="675" t="s">
        <v>86</v>
      </c>
      <c r="AM172" s="675">
        <v>0</v>
      </c>
      <c r="AN172" s="675">
        <v>0</v>
      </c>
      <c r="AO172" s="675">
        <v>0</v>
      </c>
      <c r="AP172" s="675">
        <v>0</v>
      </c>
      <c r="AQ172" s="675">
        <v>0</v>
      </c>
      <c r="AR172" s="675">
        <v>0</v>
      </c>
      <c r="AS172" s="675">
        <v>0</v>
      </c>
      <c r="AT172" s="675">
        <v>0</v>
      </c>
      <c r="AU172" s="675">
        <v>0</v>
      </c>
      <c r="AV172" s="675">
        <v>297123</v>
      </c>
      <c r="AW172" s="675">
        <v>9942442</v>
      </c>
      <c r="AX172" s="675">
        <v>9732355</v>
      </c>
      <c r="AY172" s="675">
        <v>9783515</v>
      </c>
      <c r="AZ172" s="675">
        <v>282649</v>
      </c>
      <c r="BA172" s="675">
        <v>0</v>
      </c>
      <c r="BB172" s="675">
        <v>0</v>
      </c>
      <c r="BC172" s="675">
        <v>0</v>
      </c>
      <c r="BD172" s="675">
        <v>0</v>
      </c>
      <c r="BE172" s="675">
        <v>0</v>
      </c>
      <c r="BF172" s="675">
        <v>8170190</v>
      </c>
      <c r="BG172" s="675">
        <v>0</v>
      </c>
      <c r="BH172" s="675">
        <v>350.35599999999999</v>
      </c>
      <c r="BI172" s="675">
        <v>96348</v>
      </c>
      <c r="BJ172" s="675">
        <v>12</v>
      </c>
      <c r="BK172" s="675">
        <v>0</v>
      </c>
      <c r="BL172" s="675">
        <v>0</v>
      </c>
      <c r="BM172" s="675">
        <v>0</v>
      </c>
      <c r="BN172" s="675">
        <v>0</v>
      </c>
      <c r="BO172" s="675">
        <v>0</v>
      </c>
      <c r="BP172" s="675">
        <v>0</v>
      </c>
      <c r="BQ172" s="675">
        <v>5392</v>
      </c>
      <c r="BR172" s="675">
        <v>1</v>
      </c>
      <c r="BS172" s="675">
        <v>0</v>
      </c>
      <c r="BT172" s="675">
        <v>0</v>
      </c>
      <c r="BU172" s="675">
        <v>0</v>
      </c>
      <c r="BV172" s="675">
        <v>0</v>
      </c>
      <c r="BW172" s="675">
        <v>0</v>
      </c>
      <c r="BX172" s="675">
        <v>0</v>
      </c>
      <c r="BY172" s="675">
        <v>0</v>
      </c>
      <c r="BZ172" s="675">
        <v>0</v>
      </c>
      <c r="CA172" s="675">
        <v>0</v>
      </c>
      <c r="CB172" s="675">
        <v>0</v>
      </c>
      <c r="CC172" s="675">
        <v>0</v>
      </c>
      <c r="CD172" s="675">
        <v>0</v>
      </c>
      <c r="CE172" s="675">
        <v>0</v>
      </c>
      <c r="CF172" s="675">
        <v>0</v>
      </c>
      <c r="CG172" s="675">
        <v>0</v>
      </c>
      <c r="CH172" s="675">
        <v>113739</v>
      </c>
      <c r="CI172" s="675">
        <v>0</v>
      </c>
      <c r="CJ172" s="675">
        <v>4</v>
      </c>
      <c r="CK172" s="675">
        <v>0</v>
      </c>
      <c r="CL172" s="675">
        <v>0</v>
      </c>
      <c r="CM172" s="675">
        <v>0</v>
      </c>
      <c r="CN172" s="675">
        <v>0</v>
      </c>
      <c r="CO172" s="675">
        <v>0</v>
      </c>
      <c r="CP172" s="675">
        <v>1.147</v>
      </c>
      <c r="CQ172" s="675">
        <v>0</v>
      </c>
      <c r="CR172" s="675">
        <v>582.71300000000008</v>
      </c>
      <c r="CS172" s="675">
        <v>0</v>
      </c>
      <c r="CT172" s="675">
        <v>0</v>
      </c>
      <c r="CU172" s="675">
        <v>0</v>
      </c>
      <c r="CV172" s="675">
        <v>0</v>
      </c>
      <c r="CW172" s="675">
        <v>0</v>
      </c>
      <c r="CX172" s="675">
        <v>0</v>
      </c>
      <c r="CY172" s="675">
        <v>0</v>
      </c>
      <c r="CZ172" s="675">
        <v>0</v>
      </c>
      <c r="DA172" s="675">
        <v>1</v>
      </c>
      <c r="DB172" s="675">
        <v>2596524</v>
      </c>
      <c r="DC172" s="675">
        <v>0</v>
      </c>
      <c r="DD172" s="675">
        <v>0</v>
      </c>
      <c r="DE172" s="675">
        <v>916249</v>
      </c>
      <c r="DF172" s="675">
        <v>934366</v>
      </c>
      <c r="DG172" s="675">
        <v>699</v>
      </c>
      <c r="DH172" s="675">
        <v>0</v>
      </c>
      <c r="DI172" s="675">
        <v>18117</v>
      </c>
      <c r="DJ172" s="675">
        <v>0</v>
      </c>
      <c r="DK172" s="675">
        <v>5392</v>
      </c>
      <c r="DL172" s="675">
        <v>0</v>
      </c>
      <c r="DM172" s="675">
        <v>4842955</v>
      </c>
      <c r="DN172" s="675">
        <v>0</v>
      </c>
      <c r="DO172" s="675">
        <v>177</v>
      </c>
      <c r="DP172" s="675">
        <v>0</v>
      </c>
      <c r="DQ172" s="675">
        <v>0</v>
      </c>
      <c r="DR172" s="675">
        <v>0</v>
      </c>
      <c r="DS172" s="675">
        <v>9.0000000000000011E-3</v>
      </c>
      <c r="DT172" s="675">
        <v>0</v>
      </c>
      <c r="DU172" s="675">
        <v>0</v>
      </c>
      <c r="DV172" s="675">
        <v>0</v>
      </c>
      <c r="DW172" s="675">
        <v>0</v>
      </c>
      <c r="DX172" s="675">
        <v>0</v>
      </c>
      <c r="DY172" s="675">
        <v>0</v>
      </c>
      <c r="DZ172" s="675">
        <v>3.6000000000000004E-2</v>
      </c>
      <c r="EA172" s="675">
        <v>0.184</v>
      </c>
      <c r="EB172" s="675">
        <v>0</v>
      </c>
      <c r="EC172" s="675">
        <v>14.372</v>
      </c>
      <c r="ED172" s="675">
        <v>103613</v>
      </c>
      <c r="EE172" s="675">
        <v>0</v>
      </c>
      <c r="EF172" s="675">
        <v>0</v>
      </c>
      <c r="EG172" s="675">
        <v>0</v>
      </c>
      <c r="EH172" s="675">
        <v>103966</v>
      </c>
      <c r="EI172" s="675">
        <v>4635199</v>
      </c>
      <c r="EJ172" s="675">
        <v>176.80800000000002</v>
      </c>
      <c r="EK172" s="675">
        <v>2.4359999999999999</v>
      </c>
      <c r="EL172" s="675">
        <v>0</v>
      </c>
      <c r="EM172" s="675">
        <v>0</v>
      </c>
      <c r="EN172" s="675">
        <v>1.5270000000000001</v>
      </c>
      <c r="EO172" s="675">
        <v>0</v>
      </c>
      <c r="EP172" s="675">
        <v>0</v>
      </c>
      <c r="EQ172" s="675">
        <v>180.95500000000001</v>
      </c>
      <c r="ER172" s="675">
        <v>0</v>
      </c>
      <c r="ES172" s="675">
        <v>15.863000000000001</v>
      </c>
      <c r="ET172" s="675">
        <v>0</v>
      </c>
      <c r="EU172" s="675">
        <v>282649</v>
      </c>
      <c r="EV172" s="675">
        <v>0</v>
      </c>
      <c r="EW172" s="675">
        <v>0</v>
      </c>
      <c r="EX172" s="675">
        <v>0</v>
      </c>
      <c r="EY172" s="675">
        <v>0</v>
      </c>
      <c r="EZ172" s="675">
        <v>8208211</v>
      </c>
      <c r="FA172" s="675">
        <v>0</v>
      </c>
      <c r="FB172" s="675">
        <v>8490860</v>
      </c>
      <c r="FC172" s="675">
        <v>0.97327799999999998</v>
      </c>
      <c r="FD172" s="675">
        <v>0</v>
      </c>
      <c r="FE172" s="675">
        <v>1243845</v>
      </c>
      <c r="FF172" s="675">
        <v>280299</v>
      </c>
      <c r="FG172" s="675">
        <v>6.1239999999999996E-2</v>
      </c>
      <c r="FH172" s="675">
        <v>5.4803999999999999E-2</v>
      </c>
      <c r="FI172" s="675">
        <v>0</v>
      </c>
      <c r="FJ172" s="675">
        <v>0</v>
      </c>
      <c r="FK172" s="675">
        <v>1600.797</v>
      </c>
      <c r="FL172" s="675">
        <v>10128743</v>
      </c>
      <c r="FM172" s="675">
        <v>0</v>
      </c>
      <c r="FN172" s="675">
        <v>0</v>
      </c>
      <c r="FO172" s="675">
        <v>0</v>
      </c>
      <c r="FP172" s="675">
        <v>0</v>
      </c>
      <c r="FQ172" s="675">
        <v>0</v>
      </c>
      <c r="FR172" s="675">
        <v>0</v>
      </c>
      <c r="FS172" s="675">
        <v>0</v>
      </c>
      <c r="FT172" s="675">
        <v>0</v>
      </c>
      <c r="FU172" s="675">
        <v>0</v>
      </c>
      <c r="FV172" s="675">
        <v>0</v>
      </c>
      <c r="FW172" s="675">
        <v>0</v>
      </c>
      <c r="FX172" s="675">
        <v>0</v>
      </c>
      <c r="FY172" s="675">
        <v>0</v>
      </c>
      <c r="FZ172" s="675">
        <v>0</v>
      </c>
      <c r="GA172" s="675">
        <v>0</v>
      </c>
      <c r="GB172" s="675">
        <v>0</v>
      </c>
      <c r="GC172" s="675">
        <v>0</v>
      </c>
      <c r="GD172" s="675">
        <v>0</v>
      </c>
      <c r="GE172" s="675">
        <v>0</v>
      </c>
      <c r="GF172" s="675">
        <v>0</v>
      </c>
      <c r="GG172" s="675">
        <v>0</v>
      </c>
      <c r="GH172" s="675">
        <v>0</v>
      </c>
      <c r="GI172" s="675">
        <v>0</v>
      </c>
      <c r="GJ172" s="675">
        <v>0</v>
      </c>
      <c r="GK172" s="675">
        <v>5062</v>
      </c>
      <c r="GL172" s="675">
        <v>68817</v>
      </c>
      <c r="GM172" s="675">
        <v>0</v>
      </c>
      <c r="GN172" s="675">
        <v>0</v>
      </c>
      <c r="GO172" s="675">
        <v>0</v>
      </c>
      <c r="GP172" s="675">
        <v>10015004</v>
      </c>
      <c r="GQ172" s="675">
        <v>10015004</v>
      </c>
      <c r="GR172" s="675">
        <v>0</v>
      </c>
      <c r="GS172" s="675">
        <v>0</v>
      </c>
      <c r="GT172" s="675">
        <v>0</v>
      </c>
      <c r="GU172" s="675">
        <v>0</v>
      </c>
      <c r="GV172" s="675">
        <v>0</v>
      </c>
      <c r="GW172" s="675">
        <v>0</v>
      </c>
      <c r="GX172" s="675">
        <v>0</v>
      </c>
      <c r="GY172" s="675">
        <v>0</v>
      </c>
      <c r="GZ172" s="675">
        <v>0</v>
      </c>
      <c r="HA172" s="675">
        <v>0</v>
      </c>
      <c r="HB172" s="675">
        <v>260786259</v>
      </c>
      <c r="HC172" s="675">
        <v>5.0923999999999997E-2</v>
      </c>
      <c r="HD172" s="675">
        <v>113739</v>
      </c>
      <c r="HE172" s="675">
        <v>0</v>
      </c>
      <c r="HF172" s="675">
        <v>0</v>
      </c>
      <c r="HG172" s="675">
        <v>0</v>
      </c>
      <c r="HH172" s="675">
        <v>0</v>
      </c>
      <c r="HI172" s="675">
        <v>0</v>
      </c>
      <c r="HJ172" s="675">
        <v>0</v>
      </c>
      <c r="HK172" s="675">
        <v>0</v>
      </c>
      <c r="HL172" s="675">
        <v>0</v>
      </c>
      <c r="HM172" s="675">
        <v>0</v>
      </c>
      <c r="HN172" s="675">
        <v>0</v>
      </c>
      <c r="HO172" s="675">
        <v>0</v>
      </c>
      <c r="HP172" s="675">
        <v>0</v>
      </c>
      <c r="HQ172" s="675">
        <v>0</v>
      </c>
      <c r="HR172" s="675">
        <v>0</v>
      </c>
      <c r="HS172" s="675">
        <v>0</v>
      </c>
      <c r="HT172" s="675">
        <v>0</v>
      </c>
      <c r="HU172" s="675">
        <v>0</v>
      </c>
      <c r="HV172" s="675">
        <v>0</v>
      </c>
      <c r="HW172" s="675">
        <v>0</v>
      </c>
      <c r="HX172" s="675">
        <v>0</v>
      </c>
      <c r="HY172" s="675">
        <v>0</v>
      </c>
      <c r="HZ172" s="675">
        <v>0</v>
      </c>
      <c r="IA172" s="675">
        <v>0</v>
      </c>
      <c r="IB172" s="675">
        <v>0</v>
      </c>
      <c r="IC172" s="675">
        <v>0</v>
      </c>
      <c r="ID172" s="675">
        <v>0</v>
      </c>
      <c r="IE172" s="675">
        <v>0</v>
      </c>
      <c r="IF172" s="675">
        <v>0</v>
      </c>
      <c r="IG172" s="675">
        <v>0</v>
      </c>
      <c r="IH172" s="675">
        <v>0</v>
      </c>
      <c r="II172" s="675">
        <v>0</v>
      </c>
      <c r="IJ172" s="675">
        <v>0</v>
      </c>
      <c r="IK172" s="675">
        <v>0</v>
      </c>
      <c r="IL172" s="675">
        <v>0</v>
      </c>
      <c r="IM172" s="675">
        <v>0</v>
      </c>
      <c r="IN172" s="675">
        <v>0</v>
      </c>
      <c r="IO172" s="675">
        <v>0</v>
      </c>
      <c r="IP172" s="675">
        <v>0</v>
      </c>
      <c r="IQ172" s="675">
        <v>0</v>
      </c>
      <c r="IR172" s="675">
        <v>0</v>
      </c>
      <c r="IS172" s="675">
        <v>0</v>
      </c>
      <c r="IT172" s="675">
        <v>0</v>
      </c>
      <c r="IU172" s="675">
        <v>0</v>
      </c>
      <c r="IV172" s="675">
        <v>0</v>
      </c>
      <c r="IW172" s="675">
        <v>0</v>
      </c>
      <c r="IX172" s="675">
        <v>0</v>
      </c>
      <c r="IY172" s="675">
        <v>0</v>
      </c>
      <c r="IZ172" s="675">
        <v>0</v>
      </c>
      <c r="JA172" s="675">
        <v>0</v>
      </c>
      <c r="JB172" s="675">
        <v>0</v>
      </c>
      <c r="JC172" s="675">
        <v>0</v>
      </c>
      <c r="JD172" s="675">
        <v>0</v>
      </c>
      <c r="JE172" s="675">
        <v>0</v>
      </c>
      <c r="JF172" s="675">
        <v>0</v>
      </c>
      <c r="JG172" s="675">
        <v>0</v>
      </c>
      <c r="JH172" s="675">
        <v>0</v>
      </c>
      <c r="JI172" s="675">
        <v>0</v>
      </c>
      <c r="JJ172" s="675">
        <v>0</v>
      </c>
      <c r="JK172" s="675">
        <v>0</v>
      </c>
      <c r="JL172" s="675">
        <v>0</v>
      </c>
      <c r="JM172" s="675">
        <v>0</v>
      </c>
      <c r="JN172" s="675">
        <v>32469</v>
      </c>
      <c r="JO172" s="675">
        <v>0</v>
      </c>
      <c r="JP172" s="675">
        <v>0</v>
      </c>
      <c r="JQ172" s="675">
        <v>0</v>
      </c>
      <c r="JR172" s="675">
        <v>0</v>
      </c>
      <c r="JS172" s="675">
        <v>0</v>
      </c>
      <c r="JT172" s="675">
        <v>0</v>
      </c>
      <c r="JU172" s="675">
        <v>0</v>
      </c>
      <c r="JV172" s="675">
        <v>0</v>
      </c>
      <c r="JW172" s="675">
        <v>0</v>
      </c>
      <c r="JX172" s="675">
        <v>0</v>
      </c>
      <c r="JY172" s="675">
        <v>0</v>
      </c>
      <c r="JZ172" s="675">
        <v>0</v>
      </c>
      <c r="KA172" s="675">
        <v>0</v>
      </c>
      <c r="KB172" s="675">
        <v>0</v>
      </c>
      <c r="KC172" s="675">
        <v>0</v>
      </c>
      <c r="KD172" s="675">
        <v>0</v>
      </c>
      <c r="KE172" s="675">
        <v>0</v>
      </c>
      <c r="KF172" s="675">
        <v>0</v>
      </c>
    </row>
    <row r="173" spans="1:292" x14ac:dyDescent="0.25">
      <c r="A173" s="675">
        <v>227814</v>
      </c>
      <c r="B173" s="675">
        <v>32570</v>
      </c>
      <c r="C173" s="675">
        <v>35</v>
      </c>
      <c r="D173" s="675">
        <v>2022</v>
      </c>
      <c r="E173" s="675">
        <v>5392</v>
      </c>
      <c r="F173" s="675">
        <v>0</v>
      </c>
      <c r="G173" s="675">
        <v>347.529</v>
      </c>
      <c r="H173" s="675">
        <v>344.11099999999999</v>
      </c>
      <c r="I173" s="675">
        <v>344.11099999999999</v>
      </c>
      <c r="J173" s="675">
        <v>347.529</v>
      </c>
      <c r="K173" s="675">
        <v>0</v>
      </c>
      <c r="L173" s="675">
        <v>6554</v>
      </c>
      <c r="M173" s="675">
        <v>0</v>
      </c>
      <c r="N173" s="675">
        <v>0</v>
      </c>
      <c r="O173" s="675">
        <v>0</v>
      </c>
      <c r="P173" s="675">
        <v>353.86700000000002</v>
      </c>
      <c r="Q173" s="675">
        <v>0</v>
      </c>
      <c r="R173" s="675">
        <v>113136</v>
      </c>
      <c r="S173" s="675">
        <v>319.71300000000002</v>
      </c>
      <c r="T173" s="675">
        <v>0</v>
      </c>
      <c r="U173" s="675">
        <v>113136</v>
      </c>
      <c r="V173" s="675">
        <v>30.935000000000002</v>
      </c>
      <c r="W173" s="675">
        <v>20275</v>
      </c>
      <c r="X173" s="675">
        <v>20275</v>
      </c>
      <c r="Y173" s="675">
        <v>0</v>
      </c>
      <c r="Z173" s="675">
        <v>0</v>
      </c>
      <c r="AA173" s="675">
        <v>1</v>
      </c>
      <c r="AB173" s="675">
        <v>1</v>
      </c>
      <c r="AC173" s="675">
        <v>0</v>
      </c>
      <c r="AD173" s="675" t="s">
        <v>316</v>
      </c>
      <c r="AE173" s="675">
        <v>0</v>
      </c>
      <c r="AF173" s="675">
        <v>0</v>
      </c>
      <c r="AG173" s="675">
        <v>0</v>
      </c>
      <c r="AH173" s="675">
        <v>0</v>
      </c>
      <c r="AI173" s="675">
        <v>0</v>
      </c>
      <c r="AJ173" s="675">
        <v>5104</v>
      </c>
      <c r="AK173" s="675" t="s">
        <v>671</v>
      </c>
      <c r="AL173" s="675" t="s">
        <v>93</v>
      </c>
      <c r="AM173" s="675">
        <v>0</v>
      </c>
      <c r="AN173" s="675">
        <v>0</v>
      </c>
      <c r="AO173" s="675">
        <v>0</v>
      </c>
      <c r="AP173" s="675">
        <v>0</v>
      </c>
      <c r="AQ173" s="675">
        <v>0</v>
      </c>
      <c r="AR173" s="675">
        <v>0</v>
      </c>
      <c r="AS173" s="675">
        <v>0</v>
      </c>
      <c r="AT173" s="675">
        <v>0</v>
      </c>
      <c r="AU173" s="675">
        <v>0</v>
      </c>
      <c r="AV173" s="675">
        <v>1231</v>
      </c>
      <c r="AW173" s="675">
        <v>2740329</v>
      </c>
      <c r="AX173" s="675">
        <v>2644978</v>
      </c>
      <c r="AY173" s="675">
        <v>2896636</v>
      </c>
      <c r="AZ173" s="675">
        <v>139497</v>
      </c>
      <c r="BA173" s="675">
        <v>1</v>
      </c>
      <c r="BB173" s="675">
        <v>0</v>
      </c>
      <c r="BC173" s="675">
        <v>0</v>
      </c>
      <c r="BD173" s="675">
        <v>0</v>
      </c>
      <c r="BE173" s="675">
        <v>0</v>
      </c>
      <c r="BF173" s="675">
        <v>2271912</v>
      </c>
      <c r="BG173" s="675">
        <v>0</v>
      </c>
      <c r="BH173" s="675">
        <v>95.856999999999999</v>
      </c>
      <c r="BI173" s="675">
        <v>26361</v>
      </c>
      <c r="BJ173" s="675">
        <v>12</v>
      </c>
      <c r="BK173" s="675">
        <v>0</v>
      </c>
      <c r="BL173" s="675">
        <v>0</v>
      </c>
      <c r="BM173" s="675">
        <v>0</v>
      </c>
      <c r="BN173" s="675">
        <v>0</v>
      </c>
      <c r="BO173" s="675">
        <v>0</v>
      </c>
      <c r="BP173" s="675">
        <v>0</v>
      </c>
      <c r="BQ173" s="675">
        <v>5392</v>
      </c>
      <c r="BR173" s="675">
        <v>1</v>
      </c>
      <c r="BS173" s="675">
        <v>0</v>
      </c>
      <c r="BT173" s="675">
        <v>0</v>
      </c>
      <c r="BU173" s="675">
        <v>0</v>
      </c>
      <c r="BV173" s="675">
        <v>0</v>
      </c>
      <c r="BW173" s="675">
        <v>0</v>
      </c>
      <c r="BX173" s="675">
        <v>0</v>
      </c>
      <c r="BY173" s="675">
        <v>0</v>
      </c>
      <c r="BZ173" s="675">
        <v>0</v>
      </c>
      <c r="CA173" s="675">
        <v>0</v>
      </c>
      <c r="CB173" s="675">
        <v>0</v>
      </c>
      <c r="CC173" s="675">
        <v>0</v>
      </c>
      <c r="CD173" s="675">
        <v>0</v>
      </c>
      <c r="CE173" s="675">
        <v>0</v>
      </c>
      <c r="CF173" s="675">
        <v>0</v>
      </c>
      <c r="CG173" s="675">
        <v>0</v>
      </c>
      <c r="CH173" s="675">
        <v>68990</v>
      </c>
      <c r="CI173" s="675">
        <v>0</v>
      </c>
      <c r="CJ173" s="675">
        <v>4</v>
      </c>
      <c r="CK173" s="675">
        <v>0</v>
      </c>
      <c r="CL173" s="675">
        <v>0</v>
      </c>
      <c r="CM173" s="675">
        <v>0</v>
      </c>
      <c r="CN173" s="675">
        <v>0</v>
      </c>
      <c r="CO173" s="675">
        <v>0</v>
      </c>
      <c r="CP173" s="675">
        <v>0</v>
      </c>
      <c r="CQ173" s="675">
        <v>0</v>
      </c>
      <c r="CR173" s="675">
        <v>353.86700000000002</v>
      </c>
      <c r="CS173" s="675">
        <v>0</v>
      </c>
      <c r="CT173" s="675">
        <v>0</v>
      </c>
      <c r="CU173" s="675">
        <v>0</v>
      </c>
      <c r="CV173" s="675">
        <v>0</v>
      </c>
      <c r="CW173" s="675">
        <v>0</v>
      </c>
      <c r="CX173" s="675">
        <v>0</v>
      </c>
      <c r="CY173" s="675">
        <v>0</v>
      </c>
      <c r="CZ173" s="675">
        <v>0</v>
      </c>
      <c r="DA173" s="675">
        <v>1</v>
      </c>
      <c r="DB173" s="675">
        <v>2255303</v>
      </c>
      <c r="DC173" s="675">
        <v>0</v>
      </c>
      <c r="DD173" s="675">
        <v>0</v>
      </c>
      <c r="DE173" s="675">
        <v>0</v>
      </c>
      <c r="DF173" s="675">
        <v>0</v>
      </c>
      <c r="DG173" s="675">
        <v>0</v>
      </c>
      <c r="DH173" s="675">
        <v>0</v>
      </c>
      <c r="DI173" s="675">
        <v>0</v>
      </c>
      <c r="DJ173" s="675">
        <v>0</v>
      </c>
      <c r="DK173" s="675">
        <v>5392</v>
      </c>
      <c r="DL173" s="675">
        <v>0</v>
      </c>
      <c r="DM173" s="675">
        <v>30073</v>
      </c>
      <c r="DN173" s="675">
        <v>0</v>
      </c>
      <c r="DO173" s="675">
        <v>0</v>
      </c>
      <c r="DP173" s="675">
        <v>0</v>
      </c>
      <c r="DQ173" s="675">
        <v>0</v>
      </c>
      <c r="DR173" s="675">
        <v>0</v>
      </c>
      <c r="DS173" s="675">
        <v>0</v>
      </c>
      <c r="DT173" s="675">
        <v>0</v>
      </c>
      <c r="DU173" s="675">
        <v>0</v>
      </c>
      <c r="DV173" s="675">
        <v>0</v>
      </c>
      <c r="DW173" s="675">
        <v>0</v>
      </c>
      <c r="DX173" s="675">
        <v>0</v>
      </c>
      <c r="DY173" s="675">
        <v>0</v>
      </c>
      <c r="DZ173" s="675">
        <v>0</v>
      </c>
      <c r="EA173" s="675">
        <v>0</v>
      </c>
      <c r="EB173" s="675">
        <v>0</v>
      </c>
      <c r="EC173" s="675">
        <v>3.3260000000000001</v>
      </c>
      <c r="ED173" s="675">
        <v>23978</v>
      </c>
      <c r="EE173" s="675">
        <v>0</v>
      </c>
      <c r="EF173" s="675">
        <v>0</v>
      </c>
      <c r="EG173" s="675">
        <v>0</v>
      </c>
      <c r="EH173" s="675">
        <v>6095</v>
      </c>
      <c r="EI173" s="675">
        <v>0</v>
      </c>
      <c r="EJ173" s="675">
        <v>0</v>
      </c>
      <c r="EK173" s="675">
        <v>0</v>
      </c>
      <c r="EL173" s="675">
        <v>0</v>
      </c>
      <c r="EM173" s="675">
        <v>0</v>
      </c>
      <c r="EN173" s="675">
        <v>0.186</v>
      </c>
      <c r="EO173" s="675">
        <v>0</v>
      </c>
      <c r="EP173" s="675">
        <v>0</v>
      </c>
      <c r="EQ173" s="675">
        <v>0.186</v>
      </c>
      <c r="ER173" s="675">
        <v>0</v>
      </c>
      <c r="ES173" s="675">
        <v>0.93</v>
      </c>
      <c r="ET173" s="675">
        <v>500</v>
      </c>
      <c r="EU173" s="675">
        <v>139497</v>
      </c>
      <c r="EV173" s="675">
        <v>0</v>
      </c>
      <c r="EW173" s="675">
        <v>0</v>
      </c>
      <c r="EX173" s="675">
        <v>0</v>
      </c>
      <c r="EY173" s="675">
        <v>0</v>
      </c>
      <c r="EZ173" s="675">
        <v>2221154</v>
      </c>
      <c r="FA173" s="675">
        <v>0</v>
      </c>
      <c r="FB173" s="675">
        <v>2360651</v>
      </c>
      <c r="FC173" s="675">
        <v>0.97327799999999998</v>
      </c>
      <c r="FD173" s="675">
        <v>0</v>
      </c>
      <c r="FE173" s="675">
        <v>345880</v>
      </c>
      <c r="FF173" s="675">
        <v>77944</v>
      </c>
      <c r="FG173" s="675">
        <v>6.1239999999999996E-2</v>
      </c>
      <c r="FH173" s="675">
        <v>5.4803999999999999E-2</v>
      </c>
      <c r="FI173" s="675">
        <v>0</v>
      </c>
      <c r="FJ173" s="675">
        <v>0</v>
      </c>
      <c r="FK173" s="675">
        <v>445.13900000000001</v>
      </c>
      <c r="FL173" s="675">
        <v>2853465</v>
      </c>
      <c r="FM173" s="675">
        <v>0</v>
      </c>
      <c r="FN173" s="675">
        <v>0</v>
      </c>
      <c r="FO173" s="675">
        <v>0</v>
      </c>
      <c r="FP173" s="675">
        <v>0</v>
      </c>
      <c r="FQ173" s="675">
        <v>0</v>
      </c>
      <c r="FR173" s="675">
        <v>0</v>
      </c>
      <c r="FS173" s="675">
        <v>0</v>
      </c>
      <c r="FT173" s="675">
        <v>0</v>
      </c>
      <c r="FU173" s="675">
        <v>0</v>
      </c>
      <c r="FV173" s="675">
        <v>0</v>
      </c>
      <c r="FW173" s="675">
        <v>0</v>
      </c>
      <c r="FX173" s="675">
        <v>0</v>
      </c>
      <c r="FY173" s="675">
        <v>0</v>
      </c>
      <c r="FZ173" s="675">
        <v>43</v>
      </c>
      <c r="GA173" s="675">
        <v>0.85500000000000009</v>
      </c>
      <c r="GB173" s="675">
        <v>28639</v>
      </c>
      <c r="GC173" s="675">
        <v>28639</v>
      </c>
      <c r="GD173" s="675">
        <v>3.2320000000000002</v>
      </c>
      <c r="GE173" s="675">
        <v>0</v>
      </c>
      <c r="GF173" s="675">
        <v>0</v>
      </c>
      <c r="GG173" s="675">
        <v>0</v>
      </c>
      <c r="GH173" s="675">
        <v>0</v>
      </c>
      <c r="GI173" s="675">
        <v>0</v>
      </c>
      <c r="GJ173" s="675">
        <v>0</v>
      </c>
      <c r="GK173" s="675">
        <v>5359</v>
      </c>
      <c r="GL173" s="675">
        <v>8117</v>
      </c>
      <c r="GM173" s="675">
        <v>0</v>
      </c>
      <c r="GN173" s="675">
        <v>0</v>
      </c>
      <c r="GO173" s="675">
        <v>0</v>
      </c>
      <c r="GP173" s="675">
        <v>2784475</v>
      </c>
      <c r="GQ173" s="675">
        <v>2784475</v>
      </c>
      <c r="GR173" s="675">
        <v>0</v>
      </c>
      <c r="GS173" s="675">
        <v>0</v>
      </c>
      <c r="GT173" s="675">
        <v>0</v>
      </c>
      <c r="GU173" s="675">
        <v>0</v>
      </c>
      <c r="GV173" s="675">
        <v>0</v>
      </c>
      <c r="GW173" s="675">
        <v>0</v>
      </c>
      <c r="GX173" s="675">
        <v>0</v>
      </c>
      <c r="GY173" s="675">
        <v>0</v>
      </c>
      <c r="GZ173" s="675">
        <v>0</v>
      </c>
      <c r="HA173" s="675">
        <v>0</v>
      </c>
      <c r="HB173" s="675">
        <v>260786259</v>
      </c>
      <c r="HC173" s="675">
        <v>5.0923999999999997E-2</v>
      </c>
      <c r="HD173" s="675">
        <v>68490</v>
      </c>
      <c r="HE173" s="675">
        <v>0</v>
      </c>
      <c r="HF173" s="675">
        <v>0</v>
      </c>
      <c r="HG173" s="675">
        <v>0</v>
      </c>
      <c r="HH173" s="675">
        <v>0</v>
      </c>
      <c r="HI173" s="675">
        <v>0</v>
      </c>
      <c r="HJ173" s="675">
        <v>0</v>
      </c>
      <c r="HK173" s="675">
        <v>0</v>
      </c>
      <c r="HL173" s="675">
        <v>0</v>
      </c>
      <c r="HM173" s="675">
        <v>0</v>
      </c>
      <c r="HN173" s="675">
        <v>0</v>
      </c>
      <c r="HO173" s="675">
        <v>0</v>
      </c>
      <c r="HP173" s="675">
        <v>0</v>
      </c>
      <c r="HQ173" s="675">
        <v>0</v>
      </c>
      <c r="HR173" s="675">
        <v>0</v>
      </c>
      <c r="HS173" s="675">
        <v>0</v>
      </c>
      <c r="HT173" s="675">
        <v>0</v>
      </c>
      <c r="HU173" s="675">
        <v>0</v>
      </c>
      <c r="HV173" s="675">
        <v>0</v>
      </c>
      <c r="HW173" s="675">
        <v>0</v>
      </c>
      <c r="HX173" s="675">
        <v>0</v>
      </c>
      <c r="HY173" s="675">
        <v>0</v>
      </c>
      <c r="HZ173" s="675">
        <v>0</v>
      </c>
      <c r="IA173" s="675">
        <v>0</v>
      </c>
      <c r="IB173" s="675">
        <v>0</v>
      </c>
      <c r="IC173" s="675">
        <v>0</v>
      </c>
      <c r="ID173" s="675">
        <v>0</v>
      </c>
      <c r="IE173" s="675">
        <v>0</v>
      </c>
      <c r="IF173" s="675">
        <v>0</v>
      </c>
      <c r="IG173" s="675">
        <v>0</v>
      </c>
      <c r="IH173" s="675">
        <v>0</v>
      </c>
      <c r="II173" s="675">
        <v>0</v>
      </c>
      <c r="IJ173" s="675">
        <v>0</v>
      </c>
      <c r="IK173" s="675">
        <v>0</v>
      </c>
      <c r="IL173" s="675">
        <v>0</v>
      </c>
      <c r="IM173" s="675">
        <v>0</v>
      </c>
      <c r="IN173" s="675">
        <v>0</v>
      </c>
      <c r="IO173" s="675">
        <v>0</v>
      </c>
      <c r="IP173" s="675">
        <v>0</v>
      </c>
      <c r="IQ173" s="675">
        <v>0</v>
      </c>
      <c r="IR173" s="675">
        <v>0</v>
      </c>
      <c r="IS173" s="675">
        <v>0</v>
      </c>
      <c r="IT173" s="675">
        <v>0</v>
      </c>
      <c r="IU173" s="675">
        <v>0</v>
      </c>
      <c r="IV173" s="675">
        <v>0</v>
      </c>
      <c r="IW173" s="675">
        <v>0</v>
      </c>
      <c r="IX173" s="675">
        <v>0</v>
      </c>
      <c r="IY173" s="675">
        <v>0</v>
      </c>
      <c r="IZ173" s="675">
        <v>0</v>
      </c>
      <c r="JA173" s="675">
        <v>0</v>
      </c>
      <c r="JB173" s="675">
        <v>0</v>
      </c>
      <c r="JC173" s="675">
        <v>0</v>
      </c>
      <c r="JD173" s="675">
        <v>0</v>
      </c>
      <c r="JE173" s="675">
        <v>0</v>
      </c>
      <c r="JF173" s="675">
        <v>0</v>
      </c>
      <c r="JG173" s="675">
        <v>0</v>
      </c>
      <c r="JH173" s="675">
        <v>0</v>
      </c>
      <c r="JI173" s="675">
        <v>0</v>
      </c>
      <c r="JJ173" s="675">
        <v>0</v>
      </c>
      <c r="JK173" s="675">
        <v>0</v>
      </c>
      <c r="JL173" s="675">
        <v>0</v>
      </c>
      <c r="JM173" s="675">
        <v>0</v>
      </c>
      <c r="JN173" s="675">
        <v>32469</v>
      </c>
      <c r="JO173" s="675">
        <v>0</v>
      </c>
      <c r="JP173" s="675">
        <v>0</v>
      </c>
      <c r="JQ173" s="675">
        <v>0</v>
      </c>
      <c r="JR173" s="675">
        <v>0</v>
      </c>
      <c r="JS173" s="675">
        <v>0</v>
      </c>
      <c r="JT173" s="675">
        <v>0</v>
      </c>
      <c r="JU173" s="675">
        <v>0</v>
      </c>
      <c r="JV173" s="675">
        <v>0</v>
      </c>
      <c r="JW173" s="675">
        <v>0</v>
      </c>
      <c r="JX173" s="675">
        <v>0</v>
      </c>
      <c r="JY173" s="675">
        <v>0</v>
      </c>
      <c r="JZ173" s="675">
        <v>0</v>
      </c>
      <c r="KA173" s="675">
        <v>0</v>
      </c>
      <c r="KB173" s="675">
        <v>0</v>
      </c>
      <c r="KC173" s="675">
        <v>0</v>
      </c>
      <c r="KD173" s="675">
        <v>0</v>
      </c>
      <c r="KE173" s="675">
        <v>0</v>
      </c>
      <c r="KF173" s="675">
        <v>0</v>
      </c>
    </row>
    <row r="174" spans="1:292" x14ac:dyDescent="0.25">
      <c r="A174" s="675">
        <v>227816</v>
      </c>
      <c r="B174" s="675">
        <v>32570</v>
      </c>
      <c r="C174" s="675">
        <v>35</v>
      </c>
      <c r="D174" s="675">
        <v>2022</v>
      </c>
      <c r="E174" s="675">
        <v>5392</v>
      </c>
      <c r="F174" s="675">
        <v>0</v>
      </c>
      <c r="G174" s="675">
        <v>3881.0220000000004</v>
      </c>
      <c r="H174" s="675">
        <v>3629.268</v>
      </c>
      <c r="I174" s="675">
        <v>3629.268</v>
      </c>
      <c r="J174" s="675">
        <v>3881.0220000000004</v>
      </c>
      <c r="K174" s="675">
        <v>0</v>
      </c>
      <c r="L174" s="675">
        <v>6554</v>
      </c>
      <c r="M174" s="675">
        <v>0</v>
      </c>
      <c r="N174" s="675">
        <v>0</v>
      </c>
      <c r="O174" s="675">
        <v>0</v>
      </c>
      <c r="P174" s="675">
        <v>3761.6170000000002</v>
      </c>
      <c r="Q174" s="675">
        <v>0</v>
      </c>
      <c r="R174" s="675">
        <v>1202638</v>
      </c>
      <c r="S174" s="675">
        <v>319.71300000000002</v>
      </c>
      <c r="T174" s="675">
        <v>0</v>
      </c>
      <c r="U174" s="675">
        <v>1202638</v>
      </c>
      <c r="V174" s="675">
        <v>1646.2360000000001</v>
      </c>
      <c r="W174" s="675">
        <v>1078943</v>
      </c>
      <c r="X174" s="675">
        <v>1078943</v>
      </c>
      <c r="Y174" s="675">
        <v>0</v>
      </c>
      <c r="Z174" s="675">
        <v>0</v>
      </c>
      <c r="AA174" s="675">
        <v>1</v>
      </c>
      <c r="AB174" s="675">
        <v>1</v>
      </c>
      <c r="AC174" s="675">
        <v>0</v>
      </c>
      <c r="AD174" s="675" t="s">
        <v>316</v>
      </c>
      <c r="AE174" s="675">
        <v>0</v>
      </c>
      <c r="AF174" s="675">
        <v>0</v>
      </c>
      <c r="AG174" s="675">
        <v>0</v>
      </c>
      <c r="AH174" s="675">
        <v>0</v>
      </c>
      <c r="AI174" s="675">
        <v>0</v>
      </c>
      <c r="AJ174" s="675">
        <v>5104</v>
      </c>
      <c r="AK174" s="675" t="s">
        <v>671</v>
      </c>
      <c r="AL174" s="675" t="s">
        <v>87</v>
      </c>
      <c r="AM174" s="675">
        <v>0</v>
      </c>
      <c r="AN174" s="675">
        <v>0</v>
      </c>
      <c r="AO174" s="675">
        <v>0</v>
      </c>
      <c r="AP174" s="675">
        <v>0</v>
      </c>
      <c r="AQ174" s="675">
        <v>0</v>
      </c>
      <c r="AR174" s="675">
        <v>0</v>
      </c>
      <c r="AS174" s="675">
        <v>0</v>
      </c>
      <c r="AT174" s="675">
        <v>0</v>
      </c>
      <c r="AU174" s="675">
        <v>0</v>
      </c>
      <c r="AV174" s="675">
        <v>199629</v>
      </c>
      <c r="AW174" s="675">
        <v>38422322</v>
      </c>
      <c r="AX174" s="675">
        <v>37386050</v>
      </c>
      <c r="AY174" s="675">
        <v>40171629</v>
      </c>
      <c r="AZ174" s="675">
        <v>1432547</v>
      </c>
      <c r="BA174" s="675">
        <v>83</v>
      </c>
      <c r="BB174" s="675">
        <v>152617</v>
      </c>
      <c r="BC174" s="675">
        <v>152617</v>
      </c>
      <c r="BD174" s="675">
        <v>194.05100000000002</v>
      </c>
      <c r="BE174" s="675">
        <v>0</v>
      </c>
      <c r="BF174" s="675">
        <v>31685750</v>
      </c>
      <c r="BG174" s="675">
        <v>0</v>
      </c>
      <c r="BH174" s="675">
        <v>836.03200000000004</v>
      </c>
      <c r="BI174" s="675">
        <v>229909</v>
      </c>
      <c r="BJ174" s="675">
        <v>12</v>
      </c>
      <c r="BK174" s="675">
        <v>0</v>
      </c>
      <c r="BL174" s="675">
        <v>0</v>
      </c>
      <c r="BM174" s="675">
        <v>0</v>
      </c>
      <c r="BN174" s="675">
        <v>0</v>
      </c>
      <c r="BO174" s="675">
        <v>0</v>
      </c>
      <c r="BP174" s="675">
        <v>0</v>
      </c>
      <c r="BQ174" s="675">
        <v>5392</v>
      </c>
      <c r="BR174" s="675">
        <v>1</v>
      </c>
      <c r="BS174" s="675">
        <v>0</v>
      </c>
      <c r="BT174" s="675">
        <v>0</v>
      </c>
      <c r="BU174" s="675">
        <v>0</v>
      </c>
      <c r="BV174" s="675">
        <v>0</v>
      </c>
      <c r="BW174" s="675">
        <v>0</v>
      </c>
      <c r="BX174" s="675">
        <v>0</v>
      </c>
      <c r="BY174" s="675">
        <v>0</v>
      </c>
      <c r="BZ174" s="675">
        <v>0</v>
      </c>
      <c r="CA174" s="675">
        <v>0</v>
      </c>
      <c r="CB174" s="675">
        <v>0</v>
      </c>
      <c r="CC174" s="675">
        <v>0</v>
      </c>
      <c r="CD174" s="675">
        <v>0</v>
      </c>
      <c r="CE174" s="675">
        <v>0</v>
      </c>
      <c r="CF174" s="675">
        <v>0</v>
      </c>
      <c r="CG174" s="675">
        <v>0</v>
      </c>
      <c r="CH174" s="675">
        <v>806363</v>
      </c>
      <c r="CI174" s="675">
        <v>0</v>
      </c>
      <c r="CJ174" s="675">
        <v>4</v>
      </c>
      <c r="CK174" s="675">
        <v>0</v>
      </c>
      <c r="CL174" s="675">
        <v>0</v>
      </c>
      <c r="CM174" s="675">
        <v>0</v>
      </c>
      <c r="CN174" s="675">
        <v>0</v>
      </c>
      <c r="CO174" s="675">
        <v>0</v>
      </c>
      <c r="CP174" s="675">
        <v>0</v>
      </c>
      <c r="CQ174" s="675">
        <v>0</v>
      </c>
      <c r="CR174" s="675">
        <v>3761.6170000000002</v>
      </c>
      <c r="CS174" s="675">
        <v>0</v>
      </c>
      <c r="CT174" s="675">
        <v>0</v>
      </c>
      <c r="CU174" s="675">
        <v>0</v>
      </c>
      <c r="CV174" s="675">
        <v>0</v>
      </c>
      <c r="CW174" s="675">
        <v>0</v>
      </c>
      <c r="CX174" s="675">
        <v>0</v>
      </c>
      <c r="CY174" s="675">
        <v>0</v>
      </c>
      <c r="CZ174" s="675">
        <v>0</v>
      </c>
      <c r="DA174" s="675">
        <v>1</v>
      </c>
      <c r="DB174" s="675">
        <v>23786222</v>
      </c>
      <c r="DC174" s="675">
        <v>0</v>
      </c>
      <c r="DD174" s="675">
        <v>0</v>
      </c>
      <c r="DE174" s="675">
        <v>3853319</v>
      </c>
      <c r="DF174" s="675">
        <v>3853319</v>
      </c>
      <c r="DG174" s="675">
        <v>2939.67</v>
      </c>
      <c r="DH174" s="675">
        <v>0</v>
      </c>
      <c r="DI174" s="675">
        <v>0</v>
      </c>
      <c r="DJ174" s="675">
        <v>0</v>
      </c>
      <c r="DK174" s="675">
        <v>5392</v>
      </c>
      <c r="DL174" s="675">
        <v>0</v>
      </c>
      <c r="DM174" s="675">
        <v>2247561</v>
      </c>
      <c r="DN174" s="675">
        <v>0</v>
      </c>
      <c r="DO174" s="675">
        <v>0</v>
      </c>
      <c r="DP174" s="675">
        <v>0</v>
      </c>
      <c r="DQ174" s="675">
        <v>0</v>
      </c>
      <c r="DR174" s="675">
        <v>0</v>
      </c>
      <c r="DS174" s="675">
        <v>0</v>
      </c>
      <c r="DT174" s="675">
        <v>0</v>
      </c>
      <c r="DU174" s="675">
        <v>0</v>
      </c>
      <c r="DV174" s="675">
        <v>0</v>
      </c>
      <c r="DW174" s="675">
        <v>0</v>
      </c>
      <c r="DX174" s="675">
        <v>0</v>
      </c>
      <c r="DY174" s="675">
        <v>0</v>
      </c>
      <c r="DZ174" s="675">
        <v>0</v>
      </c>
      <c r="EA174" s="675">
        <v>0</v>
      </c>
      <c r="EB174" s="675">
        <v>0</v>
      </c>
      <c r="EC174" s="675">
        <v>58.545999999999999</v>
      </c>
      <c r="ED174" s="675">
        <v>422082</v>
      </c>
      <c r="EE174" s="675">
        <v>0</v>
      </c>
      <c r="EF174" s="675">
        <v>0</v>
      </c>
      <c r="EG174" s="675">
        <v>0</v>
      </c>
      <c r="EH174" s="675">
        <v>1825479</v>
      </c>
      <c r="EI174" s="675">
        <v>0</v>
      </c>
      <c r="EJ174" s="675">
        <v>0</v>
      </c>
      <c r="EK174" s="675">
        <v>72.063000000000002</v>
      </c>
      <c r="EL174" s="675">
        <v>0</v>
      </c>
      <c r="EM174" s="675">
        <v>12.36</v>
      </c>
      <c r="EN174" s="675">
        <v>5.0520000000000005</v>
      </c>
      <c r="EO174" s="675">
        <v>0</v>
      </c>
      <c r="EP174" s="675">
        <v>0</v>
      </c>
      <c r="EQ174" s="675">
        <v>89.475000000000009</v>
      </c>
      <c r="ER174" s="675">
        <v>0</v>
      </c>
      <c r="ES174" s="675">
        <v>278.529</v>
      </c>
      <c r="ET174" s="675">
        <v>41500</v>
      </c>
      <c r="EU174" s="675">
        <v>1432547</v>
      </c>
      <c r="EV174" s="675">
        <v>0</v>
      </c>
      <c r="EW174" s="675">
        <v>0</v>
      </c>
      <c r="EX174" s="675">
        <v>0</v>
      </c>
      <c r="EY174" s="675">
        <v>0</v>
      </c>
      <c r="EZ174" s="675">
        <v>31475090</v>
      </c>
      <c r="FA174" s="675">
        <v>0</v>
      </c>
      <c r="FB174" s="675">
        <v>32907637</v>
      </c>
      <c r="FC174" s="675">
        <v>0.97327799999999998</v>
      </c>
      <c r="FD174" s="675">
        <v>0</v>
      </c>
      <c r="FE174" s="675">
        <v>4823901</v>
      </c>
      <c r="FF174" s="675">
        <v>1087059</v>
      </c>
      <c r="FG174" s="675">
        <v>6.1239999999999996E-2</v>
      </c>
      <c r="FH174" s="675">
        <v>5.4803999999999999E-2</v>
      </c>
      <c r="FI174" s="675">
        <v>0</v>
      </c>
      <c r="FJ174" s="675">
        <v>0</v>
      </c>
      <c r="FK174" s="675">
        <v>6208.2359999999999</v>
      </c>
      <c r="FL174" s="675">
        <v>39624960</v>
      </c>
      <c r="FM174" s="675">
        <v>0</v>
      </c>
      <c r="FN174" s="675">
        <v>0</v>
      </c>
      <c r="FO174" s="675">
        <v>122008</v>
      </c>
      <c r="FP174" s="675">
        <v>0</v>
      </c>
      <c r="FQ174" s="675">
        <v>122008</v>
      </c>
      <c r="FR174" s="675">
        <v>122008</v>
      </c>
      <c r="FS174" s="675">
        <v>0</v>
      </c>
      <c r="FT174" s="675">
        <v>0</v>
      </c>
      <c r="FU174" s="675">
        <v>0</v>
      </c>
      <c r="FV174" s="675">
        <v>0</v>
      </c>
      <c r="FW174" s="675">
        <v>0</v>
      </c>
      <c r="FX174" s="675">
        <v>0</v>
      </c>
      <c r="FY174" s="675">
        <v>0</v>
      </c>
      <c r="FZ174" s="675">
        <v>1230</v>
      </c>
      <c r="GA174" s="675">
        <v>24.596</v>
      </c>
      <c r="GB174" s="675">
        <v>1437058</v>
      </c>
      <c r="GC174" s="675">
        <v>1437058</v>
      </c>
      <c r="GD174" s="675">
        <v>162.279</v>
      </c>
      <c r="GE174" s="675">
        <v>0</v>
      </c>
      <c r="GF174" s="675">
        <v>0</v>
      </c>
      <c r="GG174" s="675">
        <v>0</v>
      </c>
      <c r="GH174" s="675">
        <v>0</v>
      </c>
      <c r="GI174" s="675">
        <v>0</v>
      </c>
      <c r="GJ174" s="675">
        <v>0</v>
      </c>
      <c r="GK174" s="675">
        <v>5135.8940000000002</v>
      </c>
      <c r="GL174" s="675">
        <v>13351</v>
      </c>
      <c r="GM174" s="675">
        <v>0</v>
      </c>
      <c r="GN174" s="675">
        <v>0</v>
      </c>
      <c r="GO174" s="675">
        <v>0</v>
      </c>
      <c r="GP174" s="675">
        <v>38818597</v>
      </c>
      <c r="GQ174" s="675">
        <v>38818597</v>
      </c>
      <c r="GR174" s="675">
        <v>0</v>
      </c>
      <c r="GS174" s="675">
        <v>0</v>
      </c>
      <c r="GT174" s="675">
        <v>0</v>
      </c>
      <c r="GU174" s="675">
        <v>0</v>
      </c>
      <c r="GV174" s="675">
        <v>0</v>
      </c>
      <c r="GW174" s="675">
        <v>0</v>
      </c>
      <c r="GX174" s="675">
        <v>0</v>
      </c>
      <c r="GY174" s="675">
        <v>0</v>
      </c>
      <c r="GZ174" s="675">
        <v>0</v>
      </c>
      <c r="HA174" s="675">
        <v>0</v>
      </c>
      <c r="HB174" s="675">
        <v>260786259</v>
      </c>
      <c r="HC174" s="675">
        <v>5.0923999999999997E-2</v>
      </c>
      <c r="HD174" s="675">
        <v>764863</v>
      </c>
      <c r="HE174" s="675">
        <v>0</v>
      </c>
      <c r="HF174" s="675">
        <v>0</v>
      </c>
      <c r="HG174" s="675">
        <v>0</v>
      </c>
      <c r="HH174" s="675">
        <v>0</v>
      </c>
      <c r="HI174" s="675">
        <v>0</v>
      </c>
      <c r="HJ174" s="675">
        <v>0</v>
      </c>
      <c r="HK174" s="675">
        <v>0</v>
      </c>
      <c r="HL174" s="675">
        <v>0</v>
      </c>
      <c r="HM174" s="675">
        <v>0</v>
      </c>
      <c r="HN174" s="675">
        <v>0</v>
      </c>
      <c r="HO174" s="675">
        <v>0</v>
      </c>
      <c r="HP174" s="675">
        <v>0</v>
      </c>
      <c r="HQ174" s="675">
        <v>0</v>
      </c>
      <c r="HR174" s="675">
        <v>0</v>
      </c>
      <c r="HS174" s="675">
        <v>0</v>
      </c>
      <c r="HT174" s="675">
        <v>0</v>
      </c>
      <c r="HU174" s="675">
        <v>0</v>
      </c>
      <c r="HV174" s="675">
        <v>0</v>
      </c>
      <c r="HW174" s="675">
        <v>0</v>
      </c>
      <c r="HX174" s="675">
        <v>0</v>
      </c>
      <c r="HY174" s="675">
        <v>0</v>
      </c>
      <c r="HZ174" s="675">
        <v>0</v>
      </c>
      <c r="IA174" s="675">
        <v>0</v>
      </c>
      <c r="IB174" s="675">
        <v>0</v>
      </c>
      <c r="IC174" s="675">
        <v>0</v>
      </c>
      <c r="ID174" s="675">
        <v>0</v>
      </c>
      <c r="IE174" s="675">
        <v>0</v>
      </c>
      <c r="IF174" s="675">
        <v>0</v>
      </c>
      <c r="IG174" s="675">
        <v>0</v>
      </c>
      <c r="IH174" s="675">
        <v>0</v>
      </c>
      <c r="II174" s="675">
        <v>0</v>
      </c>
      <c r="IJ174" s="675">
        <v>0</v>
      </c>
      <c r="IK174" s="675">
        <v>0</v>
      </c>
      <c r="IL174" s="675">
        <v>0</v>
      </c>
      <c r="IM174" s="675">
        <v>0</v>
      </c>
      <c r="IN174" s="675">
        <v>0</v>
      </c>
      <c r="IO174" s="675">
        <v>0</v>
      </c>
      <c r="IP174" s="675">
        <v>0</v>
      </c>
      <c r="IQ174" s="675">
        <v>0</v>
      </c>
      <c r="IR174" s="675">
        <v>0</v>
      </c>
      <c r="IS174" s="675">
        <v>0</v>
      </c>
      <c r="IT174" s="675">
        <v>0</v>
      </c>
      <c r="IU174" s="675">
        <v>0</v>
      </c>
      <c r="IV174" s="675">
        <v>0</v>
      </c>
      <c r="IW174" s="675">
        <v>0</v>
      </c>
      <c r="IX174" s="675">
        <v>0</v>
      </c>
      <c r="IY174" s="675">
        <v>0</v>
      </c>
      <c r="IZ174" s="675">
        <v>0</v>
      </c>
      <c r="JA174" s="675">
        <v>0</v>
      </c>
      <c r="JB174" s="675">
        <v>0</v>
      </c>
      <c r="JC174" s="675">
        <v>0</v>
      </c>
      <c r="JD174" s="675">
        <v>0</v>
      </c>
      <c r="JE174" s="675">
        <v>0</v>
      </c>
      <c r="JF174" s="675">
        <v>0</v>
      </c>
      <c r="JG174" s="675">
        <v>0</v>
      </c>
      <c r="JH174" s="675">
        <v>0</v>
      </c>
      <c r="JI174" s="675">
        <v>0</v>
      </c>
      <c r="JJ174" s="675">
        <v>0</v>
      </c>
      <c r="JK174" s="675">
        <v>0</v>
      </c>
      <c r="JL174" s="675">
        <v>0</v>
      </c>
      <c r="JM174" s="675">
        <v>0</v>
      </c>
      <c r="JN174" s="675">
        <v>32469</v>
      </c>
      <c r="JO174" s="675">
        <v>0</v>
      </c>
      <c r="JP174" s="675">
        <v>0</v>
      </c>
      <c r="JQ174" s="675">
        <v>0</v>
      </c>
      <c r="JR174" s="675">
        <v>0</v>
      </c>
      <c r="JS174" s="675">
        <v>0</v>
      </c>
      <c r="JT174" s="675">
        <v>0</v>
      </c>
      <c r="JU174" s="675">
        <v>0</v>
      </c>
      <c r="JV174" s="675">
        <v>0</v>
      </c>
      <c r="JW174" s="675">
        <v>0</v>
      </c>
      <c r="JX174" s="675">
        <v>0</v>
      </c>
      <c r="JY174" s="675">
        <v>0</v>
      </c>
      <c r="JZ174" s="675">
        <v>0</v>
      </c>
      <c r="KA174" s="675">
        <v>0</v>
      </c>
      <c r="KB174" s="675">
        <v>0</v>
      </c>
      <c r="KC174" s="675">
        <v>0</v>
      </c>
      <c r="KD174" s="675">
        <v>0</v>
      </c>
      <c r="KE174" s="675">
        <v>0</v>
      </c>
      <c r="KF174" s="675">
        <v>0</v>
      </c>
    </row>
    <row r="175" spans="1:292" x14ac:dyDescent="0.25">
      <c r="A175" s="675">
        <v>227817</v>
      </c>
      <c r="B175" s="675">
        <v>32570</v>
      </c>
      <c r="C175" s="675">
        <v>35</v>
      </c>
      <c r="D175" s="675">
        <v>2022</v>
      </c>
      <c r="E175" s="675">
        <v>5392</v>
      </c>
      <c r="F175" s="675">
        <v>0</v>
      </c>
      <c r="G175" s="675">
        <v>448.61400000000003</v>
      </c>
      <c r="H175" s="675">
        <v>423.779</v>
      </c>
      <c r="I175" s="675">
        <v>423.779</v>
      </c>
      <c r="J175" s="675">
        <v>448.61400000000003</v>
      </c>
      <c r="K175" s="675">
        <v>0</v>
      </c>
      <c r="L175" s="675">
        <v>6554</v>
      </c>
      <c r="M175" s="675">
        <v>0</v>
      </c>
      <c r="N175" s="675">
        <v>0</v>
      </c>
      <c r="O175" s="675">
        <v>0</v>
      </c>
      <c r="P175" s="675">
        <v>495.10700000000003</v>
      </c>
      <c r="Q175" s="675">
        <v>0</v>
      </c>
      <c r="R175" s="675">
        <v>158292</v>
      </c>
      <c r="S175" s="675">
        <v>319.71300000000002</v>
      </c>
      <c r="T175" s="675">
        <v>0</v>
      </c>
      <c r="U175" s="675">
        <v>158292</v>
      </c>
      <c r="V175" s="675">
        <v>193.18100000000001</v>
      </c>
      <c r="W175" s="675">
        <v>126611</v>
      </c>
      <c r="X175" s="675">
        <v>126611</v>
      </c>
      <c r="Y175" s="675">
        <v>0</v>
      </c>
      <c r="Z175" s="675">
        <v>0</v>
      </c>
      <c r="AA175" s="675">
        <v>1</v>
      </c>
      <c r="AB175" s="675">
        <v>1</v>
      </c>
      <c r="AC175" s="675">
        <v>0</v>
      </c>
      <c r="AD175" s="675" t="s">
        <v>316</v>
      </c>
      <c r="AE175" s="675">
        <v>0</v>
      </c>
      <c r="AF175" s="675">
        <v>0</v>
      </c>
      <c r="AG175" s="675">
        <v>0</v>
      </c>
      <c r="AH175" s="675">
        <v>0</v>
      </c>
      <c r="AI175" s="675">
        <v>0</v>
      </c>
      <c r="AJ175" s="675">
        <v>5104</v>
      </c>
      <c r="AK175" s="675" t="s">
        <v>671</v>
      </c>
      <c r="AL175" s="675" t="s">
        <v>81</v>
      </c>
      <c r="AM175" s="675">
        <v>0</v>
      </c>
      <c r="AN175" s="675">
        <v>0</v>
      </c>
      <c r="AO175" s="675">
        <v>0</v>
      </c>
      <c r="AP175" s="675">
        <v>0</v>
      </c>
      <c r="AQ175" s="675">
        <v>0</v>
      </c>
      <c r="AR175" s="675">
        <v>0</v>
      </c>
      <c r="AS175" s="675">
        <v>0</v>
      </c>
      <c r="AT175" s="675">
        <v>0</v>
      </c>
      <c r="AU175" s="675">
        <v>0</v>
      </c>
      <c r="AV175" s="675">
        <v>132067</v>
      </c>
      <c r="AW175" s="675">
        <v>4720122</v>
      </c>
      <c r="AX175" s="675">
        <v>4595040</v>
      </c>
      <c r="AY175" s="675">
        <v>4966339</v>
      </c>
      <c r="AZ175" s="675">
        <v>185879</v>
      </c>
      <c r="BA175" s="675">
        <v>17.833000000000002</v>
      </c>
      <c r="BB175" s="675">
        <v>9312</v>
      </c>
      <c r="BC175" s="675">
        <v>9312</v>
      </c>
      <c r="BD175" s="675">
        <v>11.84</v>
      </c>
      <c r="BE175" s="675">
        <v>0</v>
      </c>
      <c r="BF175" s="675">
        <v>3915412</v>
      </c>
      <c r="BG175" s="675">
        <v>0</v>
      </c>
      <c r="BH175" s="675">
        <v>100.316</v>
      </c>
      <c r="BI175" s="675">
        <v>27587</v>
      </c>
      <c r="BJ175" s="675">
        <v>12</v>
      </c>
      <c r="BK175" s="675">
        <v>0</v>
      </c>
      <c r="BL175" s="675">
        <v>0</v>
      </c>
      <c r="BM175" s="675">
        <v>0</v>
      </c>
      <c r="BN175" s="675">
        <v>0</v>
      </c>
      <c r="BO175" s="675">
        <v>0</v>
      </c>
      <c r="BP175" s="675">
        <v>0</v>
      </c>
      <c r="BQ175" s="675">
        <v>5392</v>
      </c>
      <c r="BR175" s="675">
        <v>1</v>
      </c>
      <c r="BS175" s="675">
        <v>0</v>
      </c>
      <c r="BT175" s="675">
        <v>0</v>
      </c>
      <c r="BU175" s="675">
        <v>0</v>
      </c>
      <c r="BV175" s="675">
        <v>0</v>
      </c>
      <c r="BW175" s="675">
        <v>0</v>
      </c>
      <c r="BX175" s="675">
        <v>0</v>
      </c>
      <c r="BY175" s="675">
        <v>0</v>
      </c>
      <c r="BZ175" s="675">
        <v>0</v>
      </c>
      <c r="CA175" s="675">
        <v>0</v>
      </c>
      <c r="CB175" s="675">
        <v>0</v>
      </c>
      <c r="CC175" s="675">
        <v>0</v>
      </c>
      <c r="CD175" s="675">
        <v>0</v>
      </c>
      <c r="CE175" s="675">
        <v>0</v>
      </c>
      <c r="CF175" s="675">
        <v>0</v>
      </c>
      <c r="CG175" s="675">
        <v>0</v>
      </c>
      <c r="CH175" s="675">
        <v>97495</v>
      </c>
      <c r="CI175" s="675">
        <v>0</v>
      </c>
      <c r="CJ175" s="675">
        <v>4</v>
      </c>
      <c r="CK175" s="675">
        <v>0</v>
      </c>
      <c r="CL175" s="675">
        <v>0</v>
      </c>
      <c r="CM175" s="675">
        <v>0</v>
      </c>
      <c r="CN175" s="675">
        <v>0</v>
      </c>
      <c r="CO175" s="675">
        <v>0</v>
      </c>
      <c r="CP175" s="675">
        <v>0</v>
      </c>
      <c r="CQ175" s="675">
        <v>0.66700000000000004</v>
      </c>
      <c r="CR175" s="675">
        <v>495.10700000000003</v>
      </c>
      <c r="CS175" s="675">
        <v>0</v>
      </c>
      <c r="CT175" s="675">
        <v>0</v>
      </c>
      <c r="CU175" s="675">
        <v>0</v>
      </c>
      <c r="CV175" s="675">
        <v>0</v>
      </c>
      <c r="CW175" s="675">
        <v>0</v>
      </c>
      <c r="CX175" s="675">
        <v>0</v>
      </c>
      <c r="CY175" s="675">
        <v>0</v>
      </c>
      <c r="CZ175" s="675">
        <v>0</v>
      </c>
      <c r="DA175" s="675">
        <v>1</v>
      </c>
      <c r="DB175" s="675">
        <v>2777448</v>
      </c>
      <c r="DC175" s="675">
        <v>0</v>
      </c>
      <c r="DD175" s="675">
        <v>0</v>
      </c>
      <c r="DE175" s="675">
        <v>625029</v>
      </c>
      <c r="DF175" s="675">
        <v>625029</v>
      </c>
      <c r="DG175" s="675">
        <v>476.83</v>
      </c>
      <c r="DH175" s="675">
        <v>0</v>
      </c>
      <c r="DI175" s="675">
        <v>0</v>
      </c>
      <c r="DJ175" s="675">
        <v>0</v>
      </c>
      <c r="DK175" s="675">
        <v>5392</v>
      </c>
      <c r="DL175" s="675">
        <v>0</v>
      </c>
      <c r="DM175" s="675">
        <v>322690</v>
      </c>
      <c r="DN175" s="675">
        <v>0</v>
      </c>
      <c r="DO175" s="675">
        <v>1829</v>
      </c>
      <c r="DP175" s="675">
        <v>0</v>
      </c>
      <c r="DQ175" s="675">
        <v>0</v>
      </c>
      <c r="DR175" s="675">
        <v>0</v>
      </c>
      <c r="DS175" s="675">
        <v>0</v>
      </c>
      <c r="DT175" s="675">
        <v>0.124</v>
      </c>
      <c r="DU175" s="675">
        <v>0</v>
      </c>
      <c r="DV175" s="675">
        <v>0</v>
      </c>
      <c r="DW175" s="675">
        <v>0</v>
      </c>
      <c r="DX175" s="675">
        <v>0</v>
      </c>
      <c r="DY175" s="675">
        <v>0</v>
      </c>
      <c r="DZ175" s="675">
        <v>0.372</v>
      </c>
      <c r="EA175" s="675">
        <v>0</v>
      </c>
      <c r="EB175" s="675">
        <v>0</v>
      </c>
      <c r="EC175" s="675">
        <v>25.095000000000002</v>
      </c>
      <c r="ED175" s="675">
        <v>180920</v>
      </c>
      <c r="EE175" s="675">
        <v>0</v>
      </c>
      <c r="EF175" s="675">
        <v>0</v>
      </c>
      <c r="EG175" s="675">
        <v>0</v>
      </c>
      <c r="EH175" s="675">
        <v>139941</v>
      </c>
      <c r="EI175" s="675">
        <v>0</v>
      </c>
      <c r="EJ175" s="675">
        <v>0</v>
      </c>
      <c r="EK175" s="675">
        <v>5.6720000000000006</v>
      </c>
      <c r="EL175" s="675">
        <v>0</v>
      </c>
      <c r="EM175" s="675">
        <v>1.7000000000000001E-2</v>
      </c>
      <c r="EN175" s="675">
        <v>0.8570000000000001</v>
      </c>
      <c r="EO175" s="675">
        <v>0</v>
      </c>
      <c r="EP175" s="675">
        <v>0</v>
      </c>
      <c r="EQ175" s="675">
        <v>6.5460000000000003</v>
      </c>
      <c r="ER175" s="675">
        <v>0</v>
      </c>
      <c r="ES175" s="675">
        <v>21.352</v>
      </c>
      <c r="ET175" s="675">
        <v>9083</v>
      </c>
      <c r="EU175" s="675">
        <v>185879</v>
      </c>
      <c r="EV175" s="675">
        <v>0</v>
      </c>
      <c r="EW175" s="675">
        <v>0</v>
      </c>
      <c r="EX175" s="675">
        <v>0</v>
      </c>
      <c r="EY175" s="675">
        <v>0</v>
      </c>
      <c r="EZ175" s="675">
        <v>3864622</v>
      </c>
      <c r="FA175" s="675">
        <v>0</v>
      </c>
      <c r="FB175" s="675">
        <v>4050501</v>
      </c>
      <c r="FC175" s="675">
        <v>0.97327799999999998</v>
      </c>
      <c r="FD175" s="675">
        <v>0</v>
      </c>
      <c r="FE175" s="675">
        <v>596090</v>
      </c>
      <c r="FF175" s="675">
        <v>134328</v>
      </c>
      <c r="FG175" s="675">
        <v>6.1239999999999996E-2</v>
      </c>
      <c r="FH175" s="675">
        <v>5.4803999999999999E-2</v>
      </c>
      <c r="FI175" s="675">
        <v>0</v>
      </c>
      <c r="FJ175" s="675">
        <v>0</v>
      </c>
      <c r="FK175" s="675">
        <v>767.15200000000004</v>
      </c>
      <c r="FL175" s="675">
        <v>4878414</v>
      </c>
      <c r="FM175" s="675">
        <v>0</v>
      </c>
      <c r="FN175" s="675">
        <v>0</v>
      </c>
      <c r="FO175" s="675">
        <v>0</v>
      </c>
      <c r="FP175" s="675">
        <v>0</v>
      </c>
      <c r="FQ175" s="675">
        <v>0</v>
      </c>
      <c r="FR175" s="675">
        <v>0</v>
      </c>
      <c r="FS175" s="675">
        <v>0</v>
      </c>
      <c r="FT175" s="675">
        <v>0</v>
      </c>
      <c r="FU175" s="675">
        <v>0</v>
      </c>
      <c r="FV175" s="675">
        <v>0</v>
      </c>
      <c r="FW175" s="675">
        <v>0</v>
      </c>
      <c r="FX175" s="675">
        <v>0</v>
      </c>
      <c r="FY175" s="675">
        <v>0</v>
      </c>
      <c r="FZ175" s="675">
        <v>5</v>
      </c>
      <c r="GA175" s="675">
        <v>9.8000000000000004E-2</v>
      </c>
      <c r="GB175" s="675">
        <v>161824</v>
      </c>
      <c r="GC175" s="675">
        <v>161824</v>
      </c>
      <c r="GD175" s="675">
        <v>18.289000000000001</v>
      </c>
      <c r="GE175" s="675">
        <v>0</v>
      </c>
      <c r="GF175" s="675">
        <v>0</v>
      </c>
      <c r="GG175" s="675">
        <v>0</v>
      </c>
      <c r="GH175" s="675">
        <v>0</v>
      </c>
      <c r="GI175" s="675">
        <v>0</v>
      </c>
      <c r="GJ175" s="675">
        <v>0</v>
      </c>
      <c r="GK175" s="675">
        <v>5220</v>
      </c>
      <c r="GL175" s="675">
        <v>6252</v>
      </c>
      <c r="GM175" s="675">
        <v>0</v>
      </c>
      <c r="GN175" s="675">
        <v>0</v>
      </c>
      <c r="GO175" s="675">
        <v>0</v>
      </c>
      <c r="GP175" s="675">
        <v>4780919</v>
      </c>
      <c r="GQ175" s="675">
        <v>4780919</v>
      </c>
      <c r="GR175" s="675">
        <v>0</v>
      </c>
      <c r="GS175" s="675">
        <v>0</v>
      </c>
      <c r="GT175" s="675">
        <v>0</v>
      </c>
      <c r="GU175" s="675">
        <v>0</v>
      </c>
      <c r="GV175" s="675">
        <v>0</v>
      </c>
      <c r="GW175" s="675">
        <v>0</v>
      </c>
      <c r="GX175" s="675">
        <v>0</v>
      </c>
      <c r="GY175" s="675">
        <v>0</v>
      </c>
      <c r="GZ175" s="675">
        <v>0</v>
      </c>
      <c r="HA175" s="675">
        <v>0</v>
      </c>
      <c r="HB175" s="675">
        <v>260786259</v>
      </c>
      <c r="HC175" s="675">
        <v>5.0923999999999997E-2</v>
      </c>
      <c r="HD175" s="675">
        <v>88412</v>
      </c>
      <c r="HE175" s="675">
        <v>0</v>
      </c>
      <c r="HF175" s="675">
        <v>0</v>
      </c>
      <c r="HG175" s="675">
        <v>0</v>
      </c>
      <c r="HH175" s="675">
        <v>0</v>
      </c>
      <c r="HI175" s="675">
        <v>0</v>
      </c>
      <c r="HJ175" s="675">
        <v>0</v>
      </c>
      <c r="HK175" s="675">
        <v>0</v>
      </c>
      <c r="HL175" s="675">
        <v>0</v>
      </c>
      <c r="HM175" s="675">
        <v>0</v>
      </c>
      <c r="HN175" s="675">
        <v>0</v>
      </c>
      <c r="HO175" s="675">
        <v>0</v>
      </c>
      <c r="HP175" s="675">
        <v>0</v>
      </c>
      <c r="HQ175" s="675">
        <v>0</v>
      </c>
      <c r="HR175" s="675">
        <v>0</v>
      </c>
      <c r="HS175" s="675">
        <v>0</v>
      </c>
      <c r="HT175" s="675">
        <v>0</v>
      </c>
      <c r="HU175" s="675">
        <v>0</v>
      </c>
      <c r="HV175" s="675">
        <v>0</v>
      </c>
      <c r="HW175" s="675">
        <v>0</v>
      </c>
      <c r="HX175" s="675">
        <v>0</v>
      </c>
      <c r="HY175" s="675">
        <v>0</v>
      </c>
      <c r="HZ175" s="675">
        <v>0</v>
      </c>
      <c r="IA175" s="675">
        <v>0</v>
      </c>
      <c r="IB175" s="675">
        <v>0</v>
      </c>
      <c r="IC175" s="675">
        <v>0</v>
      </c>
      <c r="ID175" s="675">
        <v>0</v>
      </c>
      <c r="IE175" s="675">
        <v>0</v>
      </c>
      <c r="IF175" s="675">
        <v>0</v>
      </c>
      <c r="IG175" s="675">
        <v>0</v>
      </c>
      <c r="IH175" s="675">
        <v>0</v>
      </c>
      <c r="II175" s="675">
        <v>0</v>
      </c>
      <c r="IJ175" s="675">
        <v>0</v>
      </c>
      <c r="IK175" s="675">
        <v>0</v>
      </c>
      <c r="IL175" s="675">
        <v>0</v>
      </c>
      <c r="IM175" s="675">
        <v>0</v>
      </c>
      <c r="IN175" s="675">
        <v>0</v>
      </c>
      <c r="IO175" s="675">
        <v>0</v>
      </c>
      <c r="IP175" s="675">
        <v>0</v>
      </c>
      <c r="IQ175" s="675">
        <v>0</v>
      </c>
      <c r="IR175" s="675">
        <v>0</v>
      </c>
      <c r="IS175" s="675">
        <v>0</v>
      </c>
      <c r="IT175" s="675">
        <v>0</v>
      </c>
      <c r="IU175" s="675">
        <v>0</v>
      </c>
      <c r="IV175" s="675">
        <v>0</v>
      </c>
      <c r="IW175" s="675">
        <v>0</v>
      </c>
      <c r="IX175" s="675">
        <v>0</v>
      </c>
      <c r="IY175" s="675">
        <v>0</v>
      </c>
      <c r="IZ175" s="675">
        <v>0</v>
      </c>
      <c r="JA175" s="675">
        <v>0</v>
      </c>
      <c r="JB175" s="675">
        <v>0</v>
      </c>
      <c r="JC175" s="675">
        <v>0</v>
      </c>
      <c r="JD175" s="675">
        <v>0</v>
      </c>
      <c r="JE175" s="675">
        <v>0</v>
      </c>
      <c r="JF175" s="675">
        <v>0</v>
      </c>
      <c r="JG175" s="675">
        <v>0</v>
      </c>
      <c r="JH175" s="675">
        <v>0</v>
      </c>
      <c r="JI175" s="675">
        <v>0</v>
      </c>
      <c r="JJ175" s="675">
        <v>0</v>
      </c>
      <c r="JK175" s="675">
        <v>0</v>
      </c>
      <c r="JL175" s="675">
        <v>0</v>
      </c>
      <c r="JM175" s="675">
        <v>0</v>
      </c>
      <c r="JN175" s="675">
        <v>32469</v>
      </c>
      <c r="JO175" s="675">
        <v>0</v>
      </c>
      <c r="JP175" s="675">
        <v>0</v>
      </c>
      <c r="JQ175" s="675">
        <v>0</v>
      </c>
      <c r="JR175" s="675">
        <v>0</v>
      </c>
      <c r="JS175" s="675">
        <v>0</v>
      </c>
      <c r="JT175" s="675">
        <v>0</v>
      </c>
      <c r="JU175" s="675">
        <v>0</v>
      </c>
      <c r="JV175" s="675">
        <v>0</v>
      </c>
      <c r="JW175" s="675">
        <v>0</v>
      </c>
      <c r="JX175" s="675">
        <v>0</v>
      </c>
      <c r="JY175" s="675">
        <v>0</v>
      </c>
      <c r="JZ175" s="675">
        <v>0</v>
      </c>
      <c r="KA175" s="675">
        <v>0</v>
      </c>
      <c r="KB175" s="675">
        <v>0</v>
      </c>
      <c r="KC175" s="675">
        <v>0</v>
      </c>
      <c r="KD175" s="675">
        <v>0</v>
      </c>
      <c r="KE175" s="675">
        <v>0</v>
      </c>
      <c r="KF175" s="675">
        <v>0</v>
      </c>
    </row>
    <row r="176" spans="1:292" x14ac:dyDescent="0.25">
      <c r="A176" s="675">
        <v>227819</v>
      </c>
      <c r="B176" s="675">
        <v>32570</v>
      </c>
      <c r="C176" s="675">
        <v>35</v>
      </c>
      <c r="D176" s="675">
        <v>2022</v>
      </c>
      <c r="E176" s="675">
        <v>5392</v>
      </c>
      <c r="F176" s="675">
        <v>0</v>
      </c>
      <c r="G176" s="675">
        <v>262.80200000000002</v>
      </c>
      <c r="H176" s="675">
        <v>250.84200000000001</v>
      </c>
      <c r="I176" s="675">
        <v>250.84200000000001</v>
      </c>
      <c r="J176" s="675">
        <v>262.80200000000002</v>
      </c>
      <c r="K176" s="675">
        <v>0</v>
      </c>
      <c r="L176" s="675">
        <v>6554</v>
      </c>
      <c r="M176" s="675">
        <v>0</v>
      </c>
      <c r="N176" s="675">
        <v>0</v>
      </c>
      <c r="O176" s="675">
        <v>0</v>
      </c>
      <c r="P176" s="675">
        <v>261.57600000000002</v>
      </c>
      <c r="Q176" s="675">
        <v>0</v>
      </c>
      <c r="R176" s="675">
        <v>83629</v>
      </c>
      <c r="S176" s="675">
        <v>319.71300000000002</v>
      </c>
      <c r="T176" s="675">
        <v>0</v>
      </c>
      <c r="U176" s="675">
        <v>83629</v>
      </c>
      <c r="V176" s="675">
        <v>42.516000000000005</v>
      </c>
      <c r="W176" s="675">
        <v>27865</v>
      </c>
      <c r="X176" s="675">
        <v>27865</v>
      </c>
      <c r="Y176" s="675">
        <v>0</v>
      </c>
      <c r="Z176" s="675">
        <v>0</v>
      </c>
      <c r="AA176" s="675">
        <v>1</v>
      </c>
      <c r="AB176" s="675">
        <v>1</v>
      </c>
      <c r="AC176" s="675">
        <v>0</v>
      </c>
      <c r="AD176" s="675" t="s">
        <v>316</v>
      </c>
      <c r="AE176" s="675">
        <v>0</v>
      </c>
      <c r="AF176" s="675">
        <v>0</v>
      </c>
      <c r="AG176" s="675">
        <v>0</v>
      </c>
      <c r="AH176" s="675">
        <v>0</v>
      </c>
      <c r="AI176" s="675">
        <v>0</v>
      </c>
      <c r="AJ176" s="675">
        <v>5104</v>
      </c>
      <c r="AK176" s="675" t="s">
        <v>671</v>
      </c>
      <c r="AL176" s="675" t="s">
        <v>88</v>
      </c>
      <c r="AM176" s="675">
        <v>0</v>
      </c>
      <c r="AN176" s="675">
        <v>0</v>
      </c>
      <c r="AO176" s="675">
        <v>0</v>
      </c>
      <c r="AP176" s="675">
        <v>0</v>
      </c>
      <c r="AQ176" s="675">
        <v>0</v>
      </c>
      <c r="AR176" s="675">
        <v>0</v>
      </c>
      <c r="AS176" s="675">
        <v>0</v>
      </c>
      <c r="AT176" s="675">
        <v>0</v>
      </c>
      <c r="AU176" s="675">
        <v>0</v>
      </c>
      <c r="AV176" s="675">
        <v>53946</v>
      </c>
      <c r="AW176" s="675">
        <v>2552795</v>
      </c>
      <c r="AX176" s="675">
        <v>2501003</v>
      </c>
      <c r="AY176" s="675">
        <v>2702668</v>
      </c>
      <c r="AZ176" s="675">
        <v>83629</v>
      </c>
      <c r="BA176" s="675">
        <v>0</v>
      </c>
      <c r="BB176" s="675">
        <v>10334</v>
      </c>
      <c r="BC176" s="675">
        <v>10334</v>
      </c>
      <c r="BD176" s="675">
        <v>13.14</v>
      </c>
      <c r="BE176" s="675">
        <v>0</v>
      </c>
      <c r="BF176" s="675">
        <v>2123630</v>
      </c>
      <c r="BG176" s="675">
        <v>0</v>
      </c>
      <c r="BH176" s="675">
        <v>0</v>
      </c>
      <c r="BI176" s="675">
        <v>0</v>
      </c>
      <c r="BJ176" s="675">
        <v>12</v>
      </c>
      <c r="BK176" s="675">
        <v>0</v>
      </c>
      <c r="BL176" s="675">
        <v>0</v>
      </c>
      <c r="BM176" s="675">
        <v>0</v>
      </c>
      <c r="BN176" s="675">
        <v>0</v>
      </c>
      <c r="BO176" s="675">
        <v>0</v>
      </c>
      <c r="BP176" s="675">
        <v>0</v>
      </c>
      <c r="BQ176" s="675">
        <v>5392</v>
      </c>
      <c r="BR176" s="675">
        <v>1</v>
      </c>
      <c r="BS176" s="675">
        <v>0</v>
      </c>
      <c r="BT176" s="675">
        <v>0</v>
      </c>
      <c r="BU176" s="675">
        <v>0</v>
      </c>
      <c r="BV176" s="675">
        <v>0</v>
      </c>
      <c r="BW176" s="675">
        <v>0</v>
      </c>
      <c r="BX176" s="675">
        <v>0</v>
      </c>
      <c r="BY176" s="675">
        <v>0</v>
      </c>
      <c r="BZ176" s="675">
        <v>0</v>
      </c>
      <c r="CA176" s="675">
        <v>0</v>
      </c>
      <c r="CB176" s="675">
        <v>0</v>
      </c>
      <c r="CC176" s="675">
        <v>0</v>
      </c>
      <c r="CD176" s="675">
        <v>0</v>
      </c>
      <c r="CE176" s="675">
        <v>0</v>
      </c>
      <c r="CF176" s="675">
        <v>0</v>
      </c>
      <c r="CG176" s="675">
        <v>0</v>
      </c>
      <c r="CH176" s="675">
        <v>51792</v>
      </c>
      <c r="CI176" s="675">
        <v>0</v>
      </c>
      <c r="CJ176" s="675">
        <v>4</v>
      </c>
      <c r="CK176" s="675">
        <v>0</v>
      </c>
      <c r="CL176" s="675">
        <v>0</v>
      </c>
      <c r="CM176" s="675">
        <v>0</v>
      </c>
      <c r="CN176" s="675">
        <v>0</v>
      </c>
      <c r="CO176" s="675">
        <v>0</v>
      </c>
      <c r="CP176" s="675">
        <v>0</v>
      </c>
      <c r="CQ176" s="675">
        <v>0</v>
      </c>
      <c r="CR176" s="675">
        <v>261.57600000000002</v>
      </c>
      <c r="CS176" s="675">
        <v>0</v>
      </c>
      <c r="CT176" s="675">
        <v>0</v>
      </c>
      <c r="CU176" s="675">
        <v>0</v>
      </c>
      <c r="CV176" s="675">
        <v>0</v>
      </c>
      <c r="CW176" s="675">
        <v>0</v>
      </c>
      <c r="CX176" s="675">
        <v>0</v>
      </c>
      <c r="CY176" s="675">
        <v>0</v>
      </c>
      <c r="CZ176" s="675">
        <v>0</v>
      </c>
      <c r="DA176" s="675">
        <v>1</v>
      </c>
      <c r="DB176" s="675">
        <v>1644018</v>
      </c>
      <c r="DC176" s="675">
        <v>0</v>
      </c>
      <c r="DD176" s="675">
        <v>0</v>
      </c>
      <c r="DE176" s="675">
        <v>232012</v>
      </c>
      <c r="DF176" s="675">
        <v>232012</v>
      </c>
      <c r="DG176" s="675">
        <v>177</v>
      </c>
      <c r="DH176" s="675">
        <v>0</v>
      </c>
      <c r="DI176" s="675">
        <v>0</v>
      </c>
      <c r="DJ176" s="675">
        <v>0</v>
      </c>
      <c r="DK176" s="675">
        <v>5392</v>
      </c>
      <c r="DL176" s="675">
        <v>0</v>
      </c>
      <c r="DM176" s="675">
        <v>267708</v>
      </c>
      <c r="DN176" s="675">
        <v>0</v>
      </c>
      <c r="DO176" s="675">
        <v>0</v>
      </c>
      <c r="DP176" s="675">
        <v>0</v>
      </c>
      <c r="DQ176" s="675">
        <v>0</v>
      </c>
      <c r="DR176" s="675">
        <v>0</v>
      </c>
      <c r="DS176" s="675">
        <v>0</v>
      </c>
      <c r="DT176" s="675">
        <v>0</v>
      </c>
      <c r="DU176" s="675">
        <v>0</v>
      </c>
      <c r="DV176" s="675">
        <v>0</v>
      </c>
      <c r="DW176" s="675">
        <v>0</v>
      </c>
      <c r="DX176" s="675">
        <v>0</v>
      </c>
      <c r="DY176" s="675">
        <v>0</v>
      </c>
      <c r="DZ176" s="675">
        <v>0</v>
      </c>
      <c r="EA176" s="675">
        <v>0</v>
      </c>
      <c r="EB176" s="675">
        <v>0</v>
      </c>
      <c r="EC176" s="675">
        <v>2.5460000000000003</v>
      </c>
      <c r="ED176" s="675">
        <v>18355</v>
      </c>
      <c r="EE176" s="675">
        <v>0</v>
      </c>
      <c r="EF176" s="675">
        <v>0</v>
      </c>
      <c r="EG176" s="675">
        <v>0</v>
      </c>
      <c r="EH176" s="675">
        <v>249353</v>
      </c>
      <c r="EI176" s="675">
        <v>0</v>
      </c>
      <c r="EJ176" s="675">
        <v>0</v>
      </c>
      <c r="EK176" s="675">
        <v>10.877000000000001</v>
      </c>
      <c r="EL176" s="675">
        <v>0</v>
      </c>
      <c r="EM176" s="675">
        <v>0</v>
      </c>
      <c r="EN176" s="675">
        <v>1.083</v>
      </c>
      <c r="EO176" s="675">
        <v>0</v>
      </c>
      <c r="EP176" s="675">
        <v>0</v>
      </c>
      <c r="EQ176" s="675">
        <v>11.96</v>
      </c>
      <c r="ER176" s="675">
        <v>0</v>
      </c>
      <c r="ES176" s="675">
        <v>38.045999999999999</v>
      </c>
      <c r="ET176" s="675">
        <v>0</v>
      </c>
      <c r="EU176" s="675">
        <v>83629</v>
      </c>
      <c r="EV176" s="675">
        <v>0</v>
      </c>
      <c r="EW176" s="675">
        <v>0</v>
      </c>
      <c r="EX176" s="675">
        <v>0</v>
      </c>
      <c r="EY176" s="675">
        <v>0</v>
      </c>
      <c r="EZ176" s="675">
        <v>2104841</v>
      </c>
      <c r="FA176" s="675">
        <v>0</v>
      </c>
      <c r="FB176" s="675">
        <v>2188470</v>
      </c>
      <c r="FC176" s="675">
        <v>0.97327799999999998</v>
      </c>
      <c r="FD176" s="675">
        <v>0</v>
      </c>
      <c r="FE176" s="675">
        <v>323306</v>
      </c>
      <c r="FF176" s="675">
        <v>72856</v>
      </c>
      <c r="FG176" s="675">
        <v>6.1239999999999996E-2</v>
      </c>
      <c r="FH176" s="675">
        <v>5.4803999999999999E-2</v>
      </c>
      <c r="FI176" s="675">
        <v>0</v>
      </c>
      <c r="FJ176" s="675">
        <v>0</v>
      </c>
      <c r="FK176" s="675">
        <v>416.08600000000001</v>
      </c>
      <c r="FL176" s="675">
        <v>2636424</v>
      </c>
      <c r="FM176" s="675">
        <v>0</v>
      </c>
      <c r="FN176" s="675">
        <v>0</v>
      </c>
      <c r="FO176" s="675">
        <v>6533</v>
      </c>
      <c r="FP176" s="675">
        <v>0</v>
      </c>
      <c r="FQ176" s="675">
        <v>6533</v>
      </c>
      <c r="FR176" s="675">
        <v>6533</v>
      </c>
      <c r="FS176" s="675">
        <v>0</v>
      </c>
      <c r="FT176" s="675">
        <v>0</v>
      </c>
      <c r="FU176" s="675">
        <v>0</v>
      </c>
      <c r="FV176" s="675">
        <v>0</v>
      </c>
      <c r="FW176" s="675">
        <v>0</v>
      </c>
      <c r="FX176" s="675">
        <v>0</v>
      </c>
      <c r="FY176" s="675">
        <v>0</v>
      </c>
      <c r="FZ176" s="675">
        <v>0</v>
      </c>
      <c r="GA176" s="675">
        <v>0</v>
      </c>
      <c r="GB176" s="675">
        <v>0</v>
      </c>
      <c r="GC176" s="675">
        <v>0</v>
      </c>
      <c r="GD176" s="675">
        <v>0</v>
      </c>
      <c r="GE176" s="675">
        <v>0</v>
      </c>
      <c r="GF176" s="675">
        <v>0</v>
      </c>
      <c r="GG176" s="675">
        <v>0</v>
      </c>
      <c r="GH176" s="675">
        <v>0</v>
      </c>
      <c r="GI176" s="675">
        <v>0</v>
      </c>
      <c r="GJ176" s="675">
        <v>0</v>
      </c>
      <c r="GK176" s="675">
        <v>5089</v>
      </c>
      <c r="GL176" s="675">
        <v>8007</v>
      </c>
      <c r="GM176" s="675">
        <v>0</v>
      </c>
      <c r="GN176" s="675">
        <v>7195</v>
      </c>
      <c r="GO176" s="675">
        <v>0</v>
      </c>
      <c r="GP176" s="675">
        <v>2584632</v>
      </c>
      <c r="GQ176" s="675">
        <v>2584632</v>
      </c>
      <c r="GR176" s="675">
        <v>0</v>
      </c>
      <c r="GS176" s="675">
        <v>0</v>
      </c>
      <c r="GT176" s="675">
        <v>0</v>
      </c>
      <c r="GU176" s="675">
        <v>0</v>
      </c>
      <c r="GV176" s="675">
        <v>0</v>
      </c>
      <c r="GW176" s="675">
        <v>0</v>
      </c>
      <c r="GX176" s="675">
        <v>0</v>
      </c>
      <c r="GY176" s="675">
        <v>0</v>
      </c>
      <c r="GZ176" s="675">
        <v>0</v>
      </c>
      <c r="HA176" s="675">
        <v>0</v>
      </c>
      <c r="HB176" s="675">
        <v>260786259</v>
      </c>
      <c r="HC176" s="675">
        <v>5.0923999999999997E-2</v>
      </c>
      <c r="HD176" s="675">
        <v>51792</v>
      </c>
      <c r="HE176" s="675">
        <v>0</v>
      </c>
      <c r="HF176" s="675">
        <v>0</v>
      </c>
      <c r="HG176" s="675">
        <v>0</v>
      </c>
      <c r="HH176" s="675">
        <v>0</v>
      </c>
      <c r="HI176" s="675">
        <v>0</v>
      </c>
      <c r="HJ176" s="675">
        <v>0</v>
      </c>
      <c r="HK176" s="675">
        <v>0</v>
      </c>
      <c r="HL176" s="675">
        <v>0</v>
      </c>
      <c r="HM176" s="675">
        <v>0</v>
      </c>
      <c r="HN176" s="675">
        <v>0</v>
      </c>
      <c r="HO176" s="675">
        <v>0</v>
      </c>
      <c r="HP176" s="675">
        <v>0</v>
      </c>
      <c r="HQ176" s="675">
        <v>0</v>
      </c>
      <c r="HR176" s="675">
        <v>0</v>
      </c>
      <c r="HS176" s="675">
        <v>0</v>
      </c>
      <c r="HT176" s="675">
        <v>0</v>
      </c>
      <c r="HU176" s="675">
        <v>0</v>
      </c>
      <c r="HV176" s="675">
        <v>0</v>
      </c>
      <c r="HW176" s="675">
        <v>0</v>
      </c>
      <c r="HX176" s="675">
        <v>0</v>
      </c>
      <c r="HY176" s="675">
        <v>0</v>
      </c>
      <c r="HZ176" s="675">
        <v>0</v>
      </c>
      <c r="IA176" s="675">
        <v>0</v>
      </c>
      <c r="IB176" s="675">
        <v>0</v>
      </c>
      <c r="IC176" s="675">
        <v>0</v>
      </c>
      <c r="ID176" s="675">
        <v>0</v>
      </c>
      <c r="IE176" s="675">
        <v>0</v>
      </c>
      <c r="IF176" s="675">
        <v>0</v>
      </c>
      <c r="IG176" s="675">
        <v>0</v>
      </c>
      <c r="IH176" s="675">
        <v>0</v>
      </c>
      <c r="II176" s="675">
        <v>0</v>
      </c>
      <c r="IJ176" s="675">
        <v>0</v>
      </c>
      <c r="IK176" s="675">
        <v>0</v>
      </c>
      <c r="IL176" s="675">
        <v>0</v>
      </c>
      <c r="IM176" s="675">
        <v>0</v>
      </c>
      <c r="IN176" s="675">
        <v>0</v>
      </c>
      <c r="IO176" s="675">
        <v>0</v>
      </c>
      <c r="IP176" s="675">
        <v>0</v>
      </c>
      <c r="IQ176" s="675">
        <v>0</v>
      </c>
      <c r="IR176" s="675">
        <v>0</v>
      </c>
      <c r="IS176" s="675">
        <v>0</v>
      </c>
      <c r="IT176" s="675">
        <v>0</v>
      </c>
      <c r="IU176" s="675">
        <v>0</v>
      </c>
      <c r="IV176" s="675">
        <v>0</v>
      </c>
      <c r="IW176" s="675">
        <v>0</v>
      </c>
      <c r="IX176" s="675">
        <v>0</v>
      </c>
      <c r="IY176" s="675">
        <v>0</v>
      </c>
      <c r="IZ176" s="675">
        <v>0</v>
      </c>
      <c r="JA176" s="675">
        <v>0</v>
      </c>
      <c r="JB176" s="675">
        <v>0</v>
      </c>
      <c r="JC176" s="675">
        <v>0</v>
      </c>
      <c r="JD176" s="675">
        <v>0</v>
      </c>
      <c r="JE176" s="675">
        <v>0</v>
      </c>
      <c r="JF176" s="675">
        <v>0</v>
      </c>
      <c r="JG176" s="675">
        <v>0</v>
      </c>
      <c r="JH176" s="675">
        <v>0</v>
      </c>
      <c r="JI176" s="675">
        <v>0</v>
      </c>
      <c r="JJ176" s="675">
        <v>0</v>
      </c>
      <c r="JK176" s="675">
        <v>0</v>
      </c>
      <c r="JL176" s="675">
        <v>0</v>
      </c>
      <c r="JM176" s="675">
        <v>0</v>
      </c>
      <c r="JN176" s="675">
        <v>32469</v>
      </c>
      <c r="JO176" s="675">
        <v>0</v>
      </c>
      <c r="JP176" s="675">
        <v>0</v>
      </c>
      <c r="JQ176" s="675">
        <v>0</v>
      </c>
      <c r="JR176" s="675">
        <v>0</v>
      </c>
      <c r="JS176" s="675">
        <v>0</v>
      </c>
      <c r="JT176" s="675">
        <v>0</v>
      </c>
      <c r="JU176" s="675">
        <v>0</v>
      </c>
      <c r="JV176" s="675">
        <v>0</v>
      </c>
      <c r="JW176" s="675">
        <v>0</v>
      </c>
      <c r="JX176" s="675">
        <v>0</v>
      </c>
      <c r="JY176" s="675">
        <v>0</v>
      </c>
      <c r="JZ176" s="675">
        <v>0</v>
      </c>
      <c r="KA176" s="675">
        <v>0</v>
      </c>
      <c r="KB176" s="675">
        <v>0</v>
      </c>
      <c r="KC176" s="675">
        <v>0</v>
      </c>
      <c r="KD176" s="675">
        <v>0</v>
      </c>
      <c r="KE176" s="675">
        <v>0</v>
      </c>
      <c r="KF176" s="675">
        <v>0</v>
      </c>
    </row>
    <row r="177" spans="1:292" x14ac:dyDescent="0.25">
      <c r="A177" s="675">
        <v>227820</v>
      </c>
      <c r="B177" s="675">
        <v>32570</v>
      </c>
      <c r="C177" s="675">
        <v>35</v>
      </c>
      <c r="D177" s="675">
        <v>2022</v>
      </c>
      <c r="E177" s="675">
        <v>5392</v>
      </c>
      <c r="F177" s="675">
        <v>0</v>
      </c>
      <c r="G177" s="675">
        <v>25942.050999999999</v>
      </c>
      <c r="H177" s="675">
        <v>25007.752</v>
      </c>
      <c r="I177" s="675">
        <v>25007.752</v>
      </c>
      <c r="J177" s="675">
        <v>25942.050999999999</v>
      </c>
      <c r="K177" s="675">
        <v>0</v>
      </c>
      <c r="L177" s="675">
        <v>6554</v>
      </c>
      <c r="M177" s="675">
        <v>0</v>
      </c>
      <c r="N177" s="675">
        <v>0</v>
      </c>
      <c r="O177" s="675">
        <v>0</v>
      </c>
      <c r="P177" s="675">
        <v>24657.974000000002</v>
      </c>
      <c r="Q177" s="675">
        <v>0</v>
      </c>
      <c r="R177" s="675">
        <v>7883475</v>
      </c>
      <c r="S177" s="675">
        <v>319.71300000000002</v>
      </c>
      <c r="T177" s="675">
        <v>0</v>
      </c>
      <c r="U177" s="675">
        <v>7883475</v>
      </c>
      <c r="V177" s="675">
        <v>8417.8549999999996</v>
      </c>
      <c r="W177" s="675">
        <v>5517062</v>
      </c>
      <c r="X177" s="675">
        <v>5517062</v>
      </c>
      <c r="Y177" s="675">
        <v>0</v>
      </c>
      <c r="Z177" s="675">
        <v>0</v>
      </c>
      <c r="AA177" s="675">
        <v>1</v>
      </c>
      <c r="AB177" s="675">
        <v>1</v>
      </c>
      <c r="AC177" s="675">
        <v>0</v>
      </c>
      <c r="AD177" s="675" t="s">
        <v>316</v>
      </c>
      <c r="AE177" s="675">
        <v>0</v>
      </c>
      <c r="AF177" s="675">
        <v>0</v>
      </c>
      <c r="AG177" s="675">
        <v>0</v>
      </c>
      <c r="AH177" s="675">
        <v>0</v>
      </c>
      <c r="AI177" s="675">
        <v>0</v>
      </c>
      <c r="AJ177" s="675">
        <v>5104</v>
      </c>
      <c r="AK177" s="675" t="s">
        <v>671</v>
      </c>
      <c r="AL177" s="675" t="s">
        <v>470</v>
      </c>
      <c r="AM177" s="675">
        <v>0</v>
      </c>
      <c r="AN177" s="675">
        <v>0</v>
      </c>
      <c r="AO177" s="675">
        <v>0</v>
      </c>
      <c r="AP177" s="675">
        <v>0</v>
      </c>
      <c r="AQ177" s="675">
        <v>0</v>
      </c>
      <c r="AR177" s="675">
        <v>0</v>
      </c>
      <c r="AS177" s="675">
        <v>0</v>
      </c>
      <c r="AT177" s="675">
        <v>0</v>
      </c>
      <c r="AU177" s="675">
        <v>0</v>
      </c>
      <c r="AV177" s="675">
        <v>6064115</v>
      </c>
      <c r="AW177" s="675">
        <v>261028070</v>
      </c>
      <c r="AX177" s="675">
        <v>254568203</v>
      </c>
      <c r="AY177" s="675">
        <v>275420390</v>
      </c>
      <c r="AZ177" s="675">
        <v>9230742</v>
      </c>
      <c r="BA177" s="675">
        <v>0</v>
      </c>
      <c r="BB177" s="675">
        <v>0</v>
      </c>
      <c r="BC177" s="675">
        <v>0</v>
      </c>
      <c r="BD177" s="675">
        <v>0</v>
      </c>
      <c r="BE177" s="675">
        <v>0</v>
      </c>
      <c r="BF177" s="675">
        <v>215060284</v>
      </c>
      <c r="BG177" s="675">
        <v>0</v>
      </c>
      <c r="BH177" s="675">
        <v>4899.1509999999998</v>
      </c>
      <c r="BI177" s="675">
        <v>1347267</v>
      </c>
      <c r="BJ177" s="675">
        <v>12</v>
      </c>
      <c r="BK177" s="675">
        <v>0</v>
      </c>
      <c r="BL177" s="675">
        <v>0</v>
      </c>
      <c r="BM177" s="675">
        <v>0</v>
      </c>
      <c r="BN177" s="675">
        <v>0</v>
      </c>
      <c r="BO177" s="675">
        <v>0</v>
      </c>
      <c r="BP177" s="675">
        <v>0</v>
      </c>
      <c r="BQ177" s="675">
        <v>5392</v>
      </c>
      <c r="BR177" s="675">
        <v>1</v>
      </c>
      <c r="BS177" s="675">
        <v>0</v>
      </c>
      <c r="BT177" s="675">
        <v>0</v>
      </c>
      <c r="BU177" s="675">
        <v>0</v>
      </c>
      <c r="BV177" s="675">
        <v>0</v>
      </c>
      <c r="BW177" s="675">
        <v>0</v>
      </c>
      <c r="BX177" s="675">
        <v>0</v>
      </c>
      <c r="BY177" s="675">
        <v>0</v>
      </c>
      <c r="BZ177" s="675">
        <v>0</v>
      </c>
      <c r="CA177" s="675">
        <v>0</v>
      </c>
      <c r="CB177" s="675">
        <v>0</v>
      </c>
      <c r="CC177" s="675">
        <v>0</v>
      </c>
      <c r="CD177" s="675">
        <v>0</v>
      </c>
      <c r="CE177" s="675">
        <v>0</v>
      </c>
      <c r="CF177" s="675">
        <v>0</v>
      </c>
      <c r="CG177" s="675">
        <v>0</v>
      </c>
      <c r="CH177" s="675">
        <v>5112600</v>
      </c>
      <c r="CI177" s="675">
        <v>0</v>
      </c>
      <c r="CJ177" s="675">
        <v>5</v>
      </c>
      <c r="CK177" s="675">
        <v>0</v>
      </c>
      <c r="CL177" s="675">
        <v>0</v>
      </c>
      <c r="CM177" s="675">
        <v>0</v>
      </c>
      <c r="CN177" s="675">
        <v>0</v>
      </c>
      <c r="CO177" s="675">
        <v>0</v>
      </c>
      <c r="CP177" s="675">
        <v>0</v>
      </c>
      <c r="CQ177" s="675">
        <v>0</v>
      </c>
      <c r="CR177" s="675">
        <v>24657.974000000002</v>
      </c>
      <c r="CS177" s="675">
        <v>0</v>
      </c>
      <c r="CT177" s="675">
        <v>0</v>
      </c>
      <c r="CU177" s="675">
        <v>0</v>
      </c>
      <c r="CV177" s="675">
        <v>0</v>
      </c>
      <c r="CW177" s="675">
        <v>0</v>
      </c>
      <c r="CX177" s="675">
        <v>0</v>
      </c>
      <c r="CY177" s="675">
        <v>0</v>
      </c>
      <c r="CZ177" s="675">
        <v>0</v>
      </c>
      <c r="DA177" s="675">
        <v>1</v>
      </c>
      <c r="DB177" s="675">
        <v>163900807</v>
      </c>
      <c r="DC177" s="675">
        <v>0</v>
      </c>
      <c r="DD177" s="675">
        <v>0</v>
      </c>
      <c r="DE177" s="675">
        <v>33508859</v>
      </c>
      <c r="DF177" s="675">
        <v>33508859</v>
      </c>
      <c r="DG177" s="675">
        <v>25563.670000000002</v>
      </c>
      <c r="DH177" s="675">
        <v>0</v>
      </c>
      <c r="DI177" s="675">
        <v>0</v>
      </c>
      <c r="DJ177" s="675">
        <v>0</v>
      </c>
      <c r="DK177" s="675">
        <v>5392</v>
      </c>
      <c r="DL177" s="675">
        <v>0</v>
      </c>
      <c r="DM177" s="675">
        <v>14227207</v>
      </c>
      <c r="DN177" s="675">
        <v>0</v>
      </c>
      <c r="DO177" s="675">
        <v>0</v>
      </c>
      <c r="DP177" s="675">
        <v>0</v>
      </c>
      <c r="DQ177" s="675">
        <v>0</v>
      </c>
      <c r="DR177" s="675">
        <v>0</v>
      </c>
      <c r="DS177" s="675">
        <v>0</v>
      </c>
      <c r="DT177" s="675">
        <v>0</v>
      </c>
      <c r="DU177" s="675">
        <v>0</v>
      </c>
      <c r="DV177" s="675">
        <v>0</v>
      </c>
      <c r="DW177" s="675">
        <v>0</v>
      </c>
      <c r="DX177" s="675">
        <v>0</v>
      </c>
      <c r="DY177" s="675">
        <v>0</v>
      </c>
      <c r="DZ177" s="675">
        <v>0</v>
      </c>
      <c r="EA177" s="675">
        <v>0.315</v>
      </c>
      <c r="EB177" s="675">
        <v>0</v>
      </c>
      <c r="EC177" s="675">
        <v>530.56400000000008</v>
      </c>
      <c r="ED177" s="675">
        <v>3825048</v>
      </c>
      <c r="EE177" s="675">
        <v>0</v>
      </c>
      <c r="EF177" s="675">
        <v>0</v>
      </c>
      <c r="EG177" s="675">
        <v>1.1880000000000002</v>
      </c>
      <c r="EH177" s="675">
        <v>10397833</v>
      </c>
      <c r="EI177" s="675">
        <v>4326</v>
      </c>
      <c r="EJ177" s="675">
        <v>0.16500000000000001</v>
      </c>
      <c r="EK177" s="675">
        <v>402.11400000000003</v>
      </c>
      <c r="EL177" s="675">
        <v>0.49</v>
      </c>
      <c r="EM177" s="675">
        <v>62.294000000000004</v>
      </c>
      <c r="EN177" s="675">
        <v>37.696000000000005</v>
      </c>
      <c r="EO177" s="675">
        <v>0</v>
      </c>
      <c r="EP177" s="675">
        <v>0</v>
      </c>
      <c r="EQ177" s="675">
        <v>503.77200000000005</v>
      </c>
      <c r="ER177" s="675">
        <v>0</v>
      </c>
      <c r="ES177" s="675">
        <v>1586.4870000000001</v>
      </c>
      <c r="ET177" s="675">
        <v>0</v>
      </c>
      <c r="EU177" s="675">
        <v>9230742</v>
      </c>
      <c r="EV177" s="675">
        <v>0</v>
      </c>
      <c r="EW177" s="675">
        <v>0</v>
      </c>
      <c r="EX177" s="675">
        <v>0</v>
      </c>
      <c r="EY177" s="675">
        <v>0</v>
      </c>
      <c r="EZ177" s="675">
        <v>214448817</v>
      </c>
      <c r="FA177" s="675">
        <v>0</v>
      </c>
      <c r="FB177" s="675">
        <v>223679559</v>
      </c>
      <c r="FC177" s="675">
        <v>0.97327799999999998</v>
      </c>
      <c r="FD177" s="675">
        <v>0</v>
      </c>
      <c r="FE177" s="675">
        <v>32741203</v>
      </c>
      <c r="FF177" s="675">
        <v>7378183</v>
      </c>
      <c r="FG177" s="675">
        <v>6.1239999999999996E-2</v>
      </c>
      <c r="FH177" s="675">
        <v>5.4803999999999999E-2</v>
      </c>
      <c r="FI177" s="675">
        <v>0</v>
      </c>
      <c r="FJ177" s="675">
        <v>0</v>
      </c>
      <c r="FK177" s="675">
        <v>42137.082999999999</v>
      </c>
      <c r="FL177" s="675">
        <v>268911545</v>
      </c>
      <c r="FM177" s="675">
        <v>0</v>
      </c>
      <c r="FN177" s="675">
        <v>0</v>
      </c>
      <c r="FO177" s="675">
        <v>974359</v>
      </c>
      <c r="FP177" s="675">
        <v>392915</v>
      </c>
      <c r="FQ177" s="675">
        <v>1367274</v>
      </c>
      <c r="FR177" s="675">
        <v>974359</v>
      </c>
      <c r="FS177" s="675">
        <v>0</v>
      </c>
      <c r="FT177" s="675">
        <v>0</v>
      </c>
      <c r="FU177" s="675">
        <v>0</v>
      </c>
      <c r="FV177" s="675">
        <v>0</v>
      </c>
      <c r="FW177" s="675">
        <v>0</v>
      </c>
      <c r="FX177" s="675">
        <v>0</v>
      </c>
      <c r="FY177" s="675">
        <v>0</v>
      </c>
      <c r="FZ177" s="675">
        <v>1823</v>
      </c>
      <c r="GA177" s="675">
        <v>36.460999999999999</v>
      </c>
      <c r="GB177" s="675">
        <v>3811083</v>
      </c>
      <c r="GC177" s="675">
        <v>3811083</v>
      </c>
      <c r="GD177" s="675">
        <v>430.52700000000004</v>
      </c>
      <c r="GE177" s="675">
        <v>0</v>
      </c>
      <c r="GF177" s="675">
        <v>0</v>
      </c>
      <c r="GG177" s="675">
        <v>0</v>
      </c>
      <c r="GH177" s="675">
        <v>0</v>
      </c>
      <c r="GI177" s="675">
        <v>0</v>
      </c>
      <c r="GJ177" s="675">
        <v>0</v>
      </c>
      <c r="GK177" s="675">
        <v>5220</v>
      </c>
      <c r="GL177" s="675">
        <v>16538</v>
      </c>
      <c r="GM177" s="675">
        <v>0</v>
      </c>
      <c r="GN177" s="675">
        <v>87195</v>
      </c>
      <c r="GO177" s="675">
        <v>0</v>
      </c>
      <c r="GP177" s="675">
        <v>263798945</v>
      </c>
      <c r="GQ177" s="675">
        <v>263798945</v>
      </c>
      <c r="GR177" s="675">
        <v>0</v>
      </c>
      <c r="GS177" s="675">
        <v>0</v>
      </c>
      <c r="GT177" s="675">
        <v>0</v>
      </c>
      <c r="GU177" s="675">
        <v>0</v>
      </c>
      <c r="GV177" s="675">
        <v>0</v>
      </c>
      <c r="GW177" s="675">
        <v>0</v>
      </c>
      <c r="GX177" s="675">
        <v>0</v>
      </c>
      <c r="GY177" s="675">
        <v>0</v>
      </c>
      <c r="GZ177" s="675">
        <v>0</v>
      </c>
      <c r="HA177" s="675">
        <v>0</v>
      </c>
      <c r="HB177" s="675">
        <v>260786259</v>
      </c>
      <c r="HC177" s="675">
        <v>5.0923999999999997E-2</v>
      </c>
      <c r="HD177" s="675">
        <v>5112600</v>
      </c>
      <c r="HE177" s="675">
        <v>0</v>
      </c>
      <c r="HF177" s="675">
        <v>0</v>
      </c>
      <c r="HG177" s="675">
        <v>0</v>
      </c>
      <c r="HH177" s="675">
        <v>0</v>
      </c>
      <c r="HI177" s="675">
        <v>0</v>
      </c>
      <c r="HJ177" s="675">
        <v>0</v>
      </c>
      <c r="HK177" s="675">
        <v>0</v>
      </c>
      <c r="HL177" s="675">
        <v>0</v>
      </c>
      <c r="HM177" s="675">
        <v>0</v>
      </c>
      <c r="HN177" s="675">
        <v>0</v>
      </c>
      <c r="HO177" s="675">
        <v>0</v>
      </c>
      <c r="HP177" s="675">
        <v>0</v>
      </c>
      <c r="HQ177" s="675">
        <v>0</v>
      </c>
      <c r="HR177" s="675">
        <v>0</v>
      </c>
      <c r="HS177" s="675">
        <v>0</v>
      </c>
      <c r="HT177" s="675">
        <v>0</v>
      </c>
      <c r="HU177" s="675">
        <v>0</v>
      </c>
      <c r="HV177" s="675">
        <v>0</v>
      </c>
      <c r="HW177" s="675">
        <v>0</v>
      </c>
      <c r="HX177" s="675">
        <v>0</v>
      </c>
      <c r="HY177" s="675">
        <v>0</v>
      </c>
      <c r="HZ177" s="675">
        <v>0</v>
      </c>
      <c r="IA177" s="675">
        <v>0</v>
      </c>
      <c r="IB177" s="675">
        <v>0</v>
      </c>
      <c r="IC177" s="675">
        <v>0</v>
      </c>
      <c r="ID177" s="675">
        <v>0</v>
      </c>
      <c r="IE177" s="675">
        <v>0</v>
      </c>
      <c r="IF177" s="675">
        <v>0</v>
      </c>
      <c r="IG177" s="675">
        <v>0</v>
      </c>
      <c r="IH177" s="675">
        <v>0</v>
      </c>
      <c r="II177" s="675">
        <v>0</v>
      </c>
      <c r="IJ177" s="675">
        <v>0</v>
      </c>
      <c r="IK177" s="675">
        <v>0</v>
      </c>
      <c r="IL177" s="675">
        <v>0</v>
      </c>
      <c r="IM177" s="675">
        <v>0</v>
      </c>
      <c r="IN177" s="675">
        <v>0</v>
      </c>
      <c r="IO177" s="675">
        <v>0</v>
      </c>
      <c r="IP177" s="675">
        <v>0</v>
      </c>
      <c r="IQ177" s="675">
        <v>0</v>
      </c>
      <c r="IR177" s="675">
        <v>0</v>
      </c>
      <c r="IS177" s="675">
        <v>0</v>
      </c>
      <c r="IT177" s="675">
        <v>0</v>
      </c>
      <c r="IU177" s="675">
        <v>0</v>
      </c>
      <c r="IV177" s="675">
        <v>0</v>
      </c>
      <c r="IW177" s="675">
        <v>0</v>
      </c>
      <c r="IX177" s="675">
        <v>0</v>
      </c>
      <c r="IY177" s="675">
        <v>0</v>
      </c>
      <c r="IZ177" s="675">
        <v>0</v>
      </c>
      <c r="JA177" s="675">
        <v>0</v>
      </c>
      <c r="JB177" s="675">
        <v>0</v>
      </c>
      <c r="JC177" s="675">
        <v>0</v>
      </c>
      <c r="JD177" s="675">
        <v>0</v>
      </c>
      <c r="JE177" s="675">
        <v>0</v>
      </c>
      <c r="JF177" s="675">
        <v>0</v>
      </c>
      <c r="JG177" s="675">
        <v>0</v>
      </c>
      <c r="JH177" s="675">
        <v>0</v>
      </c>
      <c r="JI177" s="675">
        <v>0</v>
      </c>
      <c r="JJ177" s="675">
        <v>0</v>
      </c>
      <c r="JK177" s="675">
        <v>0</v>
      </c>
      <c r="JL177" s="675">
        <v>0</v>
      </c>
      <c r="JM177" s="675">
        <v>0</v>
      </c>
      <c r="JN177" s="675">
        <v>32469</v>
      </c>
      <c r="JO177" s="675">
        <v>0</v>
      </c>
      <c r="JP177" s="675">
        <v>0</v>
      </c>
      <c r="JQ177" s="675">
        <v>0</v>
      </c>
      <c r="JR177" s="675">
        <v>0</v>
      </c>
      <c r="JS177" s="675">
        <v>0</v>
      </c>
      <c r="JT177" s="675">
        <v>0</v>
      </c>
      <c r="JU177" s="675">
        <v>0</v>
      </c>
      <c r="JV177" s="675">
        <v>0</v>
      </c>
      <c r="JW177" s="675">
        <v>0</v>
      </c>
      <c r="JX177" s="675">
        <v>0</v>
      </c>
      <c r="JY177" s="675">
        <v>0</v>
      </c>
      <c r="JZ177" s="675">
        <v>0</v>
      </c>
      <c r="KA177" s="675">
        <v>0</v>
      </c>
      <c r="KB177" s="675">
        <v>0</v>
      </c>
      <c r="KC177" s="675">
        <v>0</v>
      </c>
      <c r="KD177" s="675">
        <v>0</v>
      </c>
      <c r="KE177" s="675">
        <v>0</v>
      </c>
      <c r="KF177" s="675">
        <v>0</v>
      </c>
    </row>
    <row r="178" spans="1:292" x14ac:dyDescent="0.25">
      <c r="A178" s="675">
        <v>227821</v>
      </c>
      <c r="B178" s="675">
        <v>32570</v>
      </c>
      <c r="C178" s="675">
        <v>35</v>
      </c>
      <c r="D178" s="675">
        <v>2022</v>
      </c>
      <c r="E178" s="675">
        <v>5392</v>
      </c>
      <c r="F178" s="675">
        <v>0</v>
      </c>
      <c r="G178" s="675">
        <v>416.44</v>
      </c>
      <c r="H178" s="675">
        <v>397.92099999999999</v>
      </c>
      <c r="I178" s="675">
        <v>397.92099999999999</v>
      </c>
      <c r="J178" s="675">
        <v>416.44</v>
      </c>
      <c r="K178" s="675">
        <v>0</v>
      </c>
      <c r="L178" s="675">
        <v>6554</v>
      </c>
      <c r="M178" s="675">
        <v>0</v>
      </c>
      <c r="N178" s="675">
        <v>0</v>
      </c>
      <c r="O178" s="675">
        <v>0</v>
      </c>
      <c r="P178" s="675">
        <v>475.51600000000002</v>
      </c>
      <c r="Q178" s="675">
        <v>0</v>
      </c>
      <c r="R178" s="675">
        <v>152029</v>
      </c>
      <c r="S178" s="675">
        <v>319.71300000000002</v>
      </c>
      <c r="T178" s="675">
        <v>0</v>
      </c>
      <c r="U178" s="675">
        <v>152029</v>
      </c>
      <c r="V178" s="675">
        <v>4.8120000000000003</v>
      </c>
      <c r="W178" s="675">
        <v>3154</v>
      </c>
      <c r="X178" s="675">
        <v>3154</v>
      </c>
      <c r="Y178" s="675">
        <v>0</v>
      </c>
      <c r="Z178" s="675">
        <v>0</v>
      </c>
      <c r="AA178" s="675">
        <v>1</v>
      </c>
      <c r="AB178" s="675">
        <v>1</v>
      </c>
      <c r="AC178" s="675">
        <v>0</v>
      </c>
      <c r="AD178" s="675" t="s">
        <v>316</v>
      </c>
      <c r="AE178" s="675">
        <v>0</v>
      </c>
      <c r="AF178" s="675">
        <v>0</v>
      </c>
      <c r="AG178" s="675">
        <v>0</v>
      </c>
      <c r="AH178" s="675">
        <v>0</v>
      </c>
      <c r="AI178" s="675">
        <v>0</v>
      </c>
      <c r="AJ178" s="675">
        <v>5104</v>
      </c>
      <c r="AK178" s="675" t="s">
        <v>671</v>
      </c>
      <c r="AL178" s="675" t="s">
        <v>68</v>
      </c>
      <c r="AM178" s="675">
        <v>0</v>
      </c>
      <c r="AN178" s="675">
        <v>0</v>
      </c>
      <c r="AO178" s="675">
        <v>0</v>
      </c>
      <c r="AP178" s="675">
        <v>0</v>
      </c>
      <c r="AQ178" s="675">
        <v>0</v>
      </c>
      <c r="AR178" s="675">
        <v>0</v>
      </c>
      <c r="AS178" s="675">
        <v>0</v>
      </c>
      <c r="AT178" s="675">
        <v>0</v>
      </c>
      <c r="AU178" s="675">
        <v>0</v>
      </c>
      <c r="AV178" s="675">
        <v>151471</v>
      </c>
      <c r="AW178" s="675">
        <v>3646844</v>
      </c>
      <c r="AX178" s="675">
        <v>3558502</v>
      </c>
      <c r="AY178" s="675">
        <v>3884863</v>
      </c>
      <c r="AZ178" s="675">
        <v>152029</v>
      </c>
      <c r="BA178" s="675">
        <v>7.75</v>
      </c>
      <c r="BB178" s="675">
        <v>0</v>
      </c>
      <c r="BC178" s="675">
        <v>0</v>
      </c>
      <c r="BD178" s="675">
        <v>0</v>
      </c>
      <c r="BE178" s="675">
        <v>0</v>
      </c>
      <c r="BF178" s="675">
        <v>3056436</v>
      </c>
      <c r="BG178" s="675">
        <v>0</v>
      </c>
      <c r="BH178" s="675">
        <v>0</v>
      </c>
      <c r="BI178" s="675">
        <v>0</v>
      </c>
      <c r="BJ178" s="675">
        <v>12</v>
      </c>
      <c r="BK178" s="675">
        <v>0</v>
      </c>
      <c r="BL178" s="675">
        <v>0</v>
      </c>
      <c r="BM178" s="675">
        <v>0</v>
      </c>
      <c r="BN178" s="675">
        <v>0</v>
      </c>
      <c r="BO178" s="675">
        <v>0</v>
      </c>
      <c r="BP178" s="675">
        <v>0</v>
      </c>
      <c r="BQ178" s="675">
        <v>5392</v>
      </c>
      <c r="BR178" s="675">
        <v>1</v>
      </c>
      <c r="BS178" s="675">
        <v>0</v>
      </c>
      <c r="BT178" s="675">
        <v>0</v>
      </c>
      <c r="BU178" s="675">
        <v>0</v>
      </c>
      <c r="BV178" s="675">
        <v>0</v>
      </c>
      <c r="BW178" s="675">
        <v>0</v>
      </c>
      <c r="BX178" s="675">
        <v>0</v>
      </c>
      <c r="BY178" s="675">
        <v>0</v>
      </c>
      <c r="BZ178" s="675">
        <v>0</v>
      </c>
      <c r="CA178" s="675">
        <v>0</v>
      </c>
      <c r="CB178" s="675">
        <v>0</v>
      </c>
      <c r="CC178" s="675">
        <v>0</v>
      </c>
      <c r="CD178" s="675">
        <v>0</v>
      </c>
      <c r="CE178" s="675">
        <v>0</v>
      </c>
      <c r="CF178" s="675">
        <v>0</v>
      </c>
      <c r="CG178" s="675">
        <v>0</v>
      </c>
      <c r="CH178" s="675">
        <v>88342</v>
      </c>
      <c r="CI178" s="675">
        <v>0</v>
      </c>
      <c r="CJ178" s="675">
        <v>4</v>
      </c>
      <c r="CK178" s="675">
        <v>0</v>
      </c>
      <c r="CL178" s="675">
        <v>0</v>
      </c>
      <c r="CM178" s="675">
        <v>0</v>
      </c>
      <c r="CN178" s="675">
        <v>0</v>
      </c>
      <c r="CO178" s="675">
        <v>0</v>
      </c>
      <c r="CP178" s="675">
        <v>0</v>
      </c>
      <c r="CQ178" s="675">
        <v>9.5830000000000002</v>
      </c>
      <c r="CR178" s="675">
        <v>475.51600000000002</v>
      </c>
      <c r="CS178" s="675">
        <v>0</v>
      </c>
      <c r="CT178" s="675">
        <v>0</v>
      </c>
      <c r="CU178" s="675">
        <v>0</v>
      </c>
      <c r="CV178" s="675">
        <v>0</v>
      </c>
      <c r="CW178" s="675">
        <v>0</v>
      </c>
      <c r="CX178" s="675">
        <v>0</v>
      </c>
      <c r="CY178" s="675">
        <v>0</v>
      </c>
      <c r="CZ178" s="675">
        <v>0</v>
      </c>
      <c r="DA178" s="675">
        <v>1</v>
      </c>
      <c r="DB178" s="675">
        <v>2607974</v>
      </c>
      <c r="DC178" s="675">
        <v>0</v>
      </c>
      <c r="DD178" s="675">
        <v>0</v>
      </c>
      <c r="DE178" s="675">
        <v>126269</v>
      </c>
      <c r="DF178" s="675">
        <v>126269</v>
      </c>
      <c r="DG178" s="675">
        <v>96.33</v>
      </c>
      <c r="DH178" s="675">
        <v>0</v>
      </c>
      <c r="DI178" s="675">
        <v>0</v>
      </c>
      <c r="DJ178" s="675">
        <v>0</v>
      </c>
      <c r="DK178" s="675">
        <v>5392</v>
      </c>
      <c r="DL178" s="675">
        <v>0</v>
      </c>
      <c r="DM178" s="675">
        <v>402957</v>
      </c>
      <c r="DN178" s="675">
        <v>0</v>
      </c>
      <c r="DO178" s="675">
        <v>0</v>
      </c>
      <c r="DP178" s="675">
        <v>0</v>
      </c>
      <c r="DQ178" s="675">
        <v>0</v>
      </c>
      <c r="DR178" s="675">
        <v>0</v>
      </c>
      <c r="DS178" s="675">
        <v>0</v>
      </c>
      <c r="DT178" s="675">
        <v>0</v>
      </c>
      <c r="DU178" s="675">
        <v>0</v>
      </c>
      <c r="DV178" s="675">
        <v>0</v>
      </c>
      <c r="DW178" s="675">
        <v>0</v>
      </c>
      <c r="DX178" s="675">
        <v>0</v>
      </c>
      <c r="DY178" s="675">
        <v>0</v>
      </c>
      <c r="DZ178" s="675">
        <v>0</v>
      </c>
      <c r="EA178" s="675">
        <v>0</v>
      </c>
      <c r="EB178" s="675">
        <v>0</v>
      </c>
      <c r="EC178" s="675">
        <v>3.7160000000000002</v>
      </c>
      <c r="ED178" s="675">
        <v>26790</v>
      </c>
      <c r="EE178" s="675">
        <v>0</v>
      </c>
      <c r="EF178" s="675">
        <v>0</v>
      </c>
      <c r="EG178" s="675">
        <v>0</v>
      </c>
      <c r="EH178" s="675">
        <v>376167</v>
      </c>
      <c r="EI178" s="675">
        <v>0</v>
      </c>
      <c r="EJ178" s="675">
        <v>0</v>
      </c>
      <c r="EK178" s="675">
        <v>16.685000000000002</v>
      </c>
      <c r="EL178" s="675">
        <v>0</v>
      </c>
      <c r="EM178" s="675">
        <v>0.91500000000000004</v>
      </c>
      <c r="EN178" s="675">
        <v>0.91900000000000004</v>
      </c>
      <c r="EO178" s="675">
        <v>0</v>
      </c>
      <c r="EP178" s="675">
        <v>0</v>
      </c>
      <c r="EQ178" s="675">
        <v>18.519000000000002</v>
      </c>
      <c r="ER178" s="675">
        <v>0</v>
      </c>
      <c r="ES178" s="675">
        <v>57.395000000000003</v>
      </c>
      <c r="ET178" s="675">
        <v>6271</v>
      </c>
      <c r="EU178" s="675">
        <v>152029</v>
      </c>
      <c r="EV178" s="675">
        <v>0</v>
      </c>
      <c r="EW178" s="675">
        <v>0</v>
      </c>
      <c r="EX178" s="675">
        <v>0</v>
      </c>
      <c r="EY178" s="675">
        <v>0</v>
      </c>
      <c r="EZ178" s="675">
        <v>2988325</v>
      </c>
      <c r="FA178" s="675">
        <v>0</v>
      </c>
      <c r="FB178" s="675">
        <v>3140354</v>
      </c>
      <c r="FC178" s="675">
        <v>0.97327799999999998</v>
      </c>
      <c r="FD178" s="675">
        <v>0</v>
      </c>
      <c r="FE178" s="675">
        <v>465318</v>
      </c>
      <c r="FF178" s="675">
        <v>104859</v>
      </c>
      <c r="FG178" s="675">
        <v>6.1239999999999996E-2</v>
      </c>
      <c r="FH178" s="675">
        <v>5.4803999999999999E-2</v>
      </c>
      <c r="FI178" s="675">
        <v>0</v>
      </c>
      <c r="FJ178" s="675">
        <v>0</v>
      </c>
      <c r="FK178" s="675">
        <v>598.85199999999998</v>
      </c>
      <c r="FL178" s="675">
        <v>3798873</v>
      </c>
      <c r="FM178" s="675">
        <v>0</v>
      </c>
      <c r="FN178" s="675">
        <v>0</v>
      </c>
      <c r="FO178" s="675">
        <v>0</v>
      </c>
      <c r="FP178" s="675">
        <v>0</v>
      </c>
      <c r="FQ178" s="675">
        <v>0</v>
      </c>
      <c r="FR178" s="675">
        <v>0</v>
      </c>
      <c r="FS178" s="675">
        <v>0</v>
      </c>
      <c r="FT178" s="675">
        <v>0</v>
      </c>
      <c r="FU178" s="675">
        <v>0</v>
      </c>
      <c r="FV178" s="675">
        <v>0</v>
      </c>
      <c r="FW178" s="675">
        <v>0</v>
      </c>
      <c r="FX178" s="675">
        <v>0</v>
      </c>
      <c r="FY178" s="675">
        <v>0</v>
      </c>
      <c r="FZ178" s="675">
        <v>0</v>
      </c>
      <c r="GA178" s="675">
        <v>0</v>
      </c>
      <c r="GB178" s="675">
        <v>0</v>
      </c>
      <c r="GC178" s="675">
        <v>0</v>
      </c>
      <c r="GD178" s="675">
        <v>0</v>
      </c>
      <c r="GE178" s="675">
        <v>0</v>
      </c>
      <c r="GF178" s="675">
        <v>0</v>
      </c>
      <c r="GG178" s="675">
        <v>0</v>
      </c>
      <c r="GH178" s="675">
        <v>0</v>
      </c>
      <c r="GI178" s="675">
        <v>0</v>
      </c>
      <c r="GJ178" s="675">
        <v>0</v>
      </c>
      <c r="GK178" s="675">
        <v>5173</v>
      </c>
      <c r="GL178" s="675">
        <v>7158</v>
      </c>
      <c r="GM178" s="675">
        <v>0</v>
      </c>
      <c r="GN178" s="675">
        <v>0</v>
      </c>
      <c r="GO178" s="675">
        <v>0</v>
      </c>
      <c r="GP178" s="675">
        <v>3710531</v>
      </c>
      <c r="GQ178" s="675">
        <v>3710531</v>
      </c>
      <c r="GR178" s="675">
        <v>0</v>
      </c>
      <c r="GS178" s="675">
        <v>0</v>
      </c>
      <c r="GT178" s="675">
        <v>0</v>
      </c>
      <c r="GU178" s="675">
        <v>0</v>
      </c>
      <c r="GV178" s="675">
        <v>0</v>
      </c>
      <c r="GW178" s="675">
        <v>0</v>
      </c>
      <c r="GX178" s="675">
        <v>0</v>
      </c>
      <c r="GY178" s="675">
        <v>0</v>
      </c>
      <c r="GZ178" s="675">
        <v>0</v>
      </c>
      <c r="HA178" s="675">
        <v>0</v>
      </c>
      <c r="HB178" s="675">
        <v>260786259</v>
      </c>
      <c r="HC178" s="675">
        <v>5.0923999999999997E-2</v>
      </c>
      <c r="HD178" s="675">
        <v>82071</v>
      </c>
      <c r="HE178" s="675">
        <v>0</v>
      </c>
      <c r="HF178" s="675">
        <v>0</v>
      </c>
      <c r="HG178" s="675">
        <v>0</v>
      </c>
      <c r="HH178" s="675">
        <v>0</v>
      </c>
      <c r="HI178" s="675">
        <v>0</v>
      </c>
      <c r="HJ178" s="675">
        <v>0</v>
      </c>
      <c r="HK178" s="675">
        <v>0</v>
      </c>
      <c r="HL178" s="675">
        <v>0</v>
      </c>
      <c r="HM178" s="675">
        <v>0</v>
      </c>
      <c r="HN178" s="675">
        <v>0</v>
      </c>
      <c r="HO178" s="675">
        <v>0</v>
      </c>
      <c r="HP178" s="675">
        <v>0</v>
      </c>
      <c r="HQ178" s="675">
        <v>0</v>
      </c>
      <c r="HR178" s="675">
        <v>0</v>
      </c>
      <c r="HS178" s="675">
        <v>0</v>
      </c>
      <c r="HT178" s="675">
        <v>0</v>
      </c>
      <c r="HU178" s="675">
        <v>0</v>
      </c>
      <c r="HV178" s="675">
        <v>0</v>
      </c>
      <c r="HW178" s="675">
        <v>0</v>
      </c>
      <c r="HX178" s="675">
        <v>0</v>
      </c>
      <c r="HY178" s="675">
        <v>0</v>
      </c>
      <c r="HZ178" s="675">
        <v>0</v>
      </c>
      <c r="IA178" s="675">
        <v>0</v>
      </c>
      <c r="IB178" s="675">
        <v>0</v>
      </c>
      <c r="IC178" s="675">
        <v>0</v>
      </c>
      <c r="ID178" s="675">
        <v>0</v>
      </c>
      <c r="IE178" s="675">
        <v>0</v>
      </c>
      <c r="IF178" s="675">
        <v>0</v>
      </c>
      <c r="IG178" s="675">
        <v>0</v>
      </c>
      <c r="IH178" s="675">
        <v>0</v>
      </c>
      <c r="II178" s="675">
        <v>0</v>
      </c>
      <c r="IJ178" s="675">
        <v>0</v>
      </c>
      <c r="IK178" s="675">
        <v>0</v>
      </c>
      <c r="IL178" s="675">
        <v>0</v>
      </c>
      <c r="IM178" s="675">
        <v>0</v>
      </c>
      <c r="IN178" s="675">
        <v>0</v>
      </c>
      <c r="IO178" s="675">
        <v>0</v>
      </c>
      <c r="IP178" s="675">
        <v>0</v>
      </c>
      <c r="IQ178" s="675">
        <v>0</v>
      </c>
      <c r="IR178" s="675">
        <v>0</v>
      </c>
      <c r="IS178" s="675">
        <v>0</v>
      </c>
      <c r="IT178" s="675">
        <v>0</v>
      </c>
      <c r="IU178" s="675">
        <v>0</v>
      </c>
      <c r="IV178" s="675">
        <v>0</v>
      </c>
      <c r="IW178" s="675">
        <v>0</v>
      </c>
      <c r="IX178" s="675">
        <v>0</v>
      </c>
      <c r="IY178" s="675">
        <v>0</v>
      </c>
      <c r="IZ178" s="675">
        <v>0</v>
      </c>
      <c r="JA178" s="675">
        <v>0</v>
      </c>
      <c r="JB178" s="675">
        <v>0</v>
      </c>
      <c r="JC178" s="675">
        <v>0</v>
      </c>
      <c r="JD178" s="675">
        <v>0</v>
      </c>
      <c r="JE178" s="675">
        <v>0</v>
      </c>
      <c r="JF178" s="675">
        <v>0</v>
      </c>
      <c r="JG178" s="675">
        <v>0</v>
      </c>
      <c r="JH178" s="675">
        <v>0</v>
      </c>
      <c r="JI178" s="675">
        <v>0</v>
      </c>
      <c r="JJ178" s="675">
        <v>0</v>
      </c>
      <c r="JK178" s="675">
        <v>0</v>
      </c>
      <c r="JL178" s="675">
        <v>0</v>
      </c>
      <c r="JM178" s="675">
        <v>0</v>
      </c>
      <c r="JN178" s="675">
        <v>32469</v>
      </c>
      <c r="JO178" s="675">
        <v>0</v>
      </c>
      <c r="JP178" s="675">
        <v>0</v>
      </c>
      <c r="JQ178" s="675">
        <v>0</v>
      </c>
      <c r="JR178" s="675">
        <v>0</v>
      </c>
      <c r="JS178" s="675">
        <v>0</v>
      </c>
      <c r="JT178" s="675">
        <v>0</v>
      </c>
      <c r="JU178" s="675">
        <v>0</v>
      </c>
      <c r="JV178" s="675">
        <v>0</v>
      </c>
      <c r="JW178" s="675">
        <v>0</v>
      </c>
      <c r="JX178" s="675">
        <v>0</v>
      </c>
      <c r="JY178" s="675">
        <v>0</v>
      </c>
      <c r="JZ178" s="675">
        <v>0</v>
      </c>
      <c r="KA178" s="675">
        <v>0</v>
      </c>
      <c r="KB178" s="675">
        <v>0</v>
      </c>
      <c r="KC178" s="675">
        <v>0</v>
      </c>
      <c r="KD178" s="675">
        <v>0</v>
      </c>
      <c r="KE178" s="675">
        <v>0</v>
      </c>
      <c r="KF178" s="675">
        <v>0</v>
      </c>
    </row>
    <row r="179" spans="1:292" x14ac:dyDescent="0.25">
      <c r="A179" s="675">
        <v>227824</v>
      </c>
      <c r="B179" s="675">
        <v>32570</v>
      </c>
      <c r="C179" s="675">
        <v>35</v>
      </c>
      <c r="D179" s="675">
        <v>2022</v>
      </c>
      <c r="E179" s="675">
        <v>5392</v>
      </c>
      <c r="F179" s="675">
        <v>0</v>
      </c>
      <c r="G179" s="675">
        <v>806.327</v>
      </c>
      <c r="H179" s="675">
        <v>800.35800000000006</v>
      </c>
      <c r="I179" s="675">
        <v>800.35800000000006</v>
      </c>
      <c r="J179" s="675">
        <v>806.327</v>
      </c>
      <c r="K179" s="675">
        <v>0</v>
      </c>
      <c r="L179" s="675">
        <v>6554</v>
      </c>
      <c r="M179" s="675">
        <v>0</v>
      </c>
      <c r="N179" s="675">
        <v>0</v>
      </c>
      <c r="O179" s="675">
        <v>0</v>
      </c>
      <c r="P179" s="675">
        <v>846.04500000000007</v>
      </c>
      <c r="Q179" s="675">
        <v>0</v>
      </c>
      <c r="R179" s="675">
        <v>270492</v>
      </c>
      <c r="S179" s="675">
        <v>319.71300000000002</v>
      </c>
      <c r="T179" s="675">
        <v>0</v>
      </c>
      <c r="U179" s="675">
        <v>270492</v>
      </c>
      <c r="V179" s="675">
        <v>283.78899999999999</v>
      </c>
      <c r="W179" s="675">
        <v>185995</v>
      </c>
      <c r="X179" s="675">
        <v>185995</v>
      </c>
      <c r="Y179" s="675">
        <v>0</v>
      </c>
      <c r="Z179" s="675">
        <v>0</v>
      </c>
      <c r="AA179" s="675">
        <v>1</v>
      </c>
      <c r="AB179" s="675">
        <v>1</v>
      </c>
      <c r="AC179" s="675">
        <v>0</v>
      </c>
      <c r="AD179" s="675" t="s">
        <v>316</v>
      </c>
      <c r="AE179" s="675">
        <v>0</v>
      </c>
      <c r="AF179" s="675">
        <v>0</v>
      </c>
      <c r="AG179" s="675">
        <v>0</v>
      </c>
      <c r="AH179" s="675">
        <v>0</v>
      </c>
      <c r="AI179" s="675">
        <v>0</v>
      </c>
      <c r="AJ179" s="675">
        <v>5104</v>
      </c>
      <c r="AK179" s="675" t="s">
        <v>671</v>
      </c>
      <c r="AL179" s="675" t="s">
        <v>449</v>
      </c>
      <c r="AM179" s="675">
        <v>0</v>
      </c>
      <c r="AN179" s="675">
        <v>0</v>
      </c>
      <c r="AO179" s="675">
        <v>0</v>
      </c>
      <c r="AP179" s="675">
        <v>0</v>
      </c>
      <c r="AQ179" s="675">
        <v>0</v>
      </c>
      <c r="AR179" s="675">
        <v>0</v>
      </c>
      <c r="AS179" s="675">
        <v>0</v>
      </c>
      <c r="AT179" s="675">
        <v>0</v>
      </c>
      <c r="AU179" s="675">
        <v>0</v>
      </c>
      <c r="AV179" s="675">
        <v>681151</v>
      </c>
      <c r="AW179" s="675">
        <v>8147847</v>
      </c>
      <c r="AX179" s="675">
        <v>7898573</v>
      </c>
      <c r="AY179" s="675">
        <v>9370648</v>
      </c>
      <c r="AZ179" s="675">
        <v>360857</v>
      </c>
      <c r="BA179" s="675">
        <v>0</v>
      </c>
      <c r="BB179" s="675">
        <v>0</v>
      </c>
      <c r="BC179" s="675">
        <v>0</v>
      </c>
      <c r="BD179" s="675">
        <v>0</v>
      </c>
      <c r="BE179" s="675">
        <v>0</v>
      </c>
      <c r="BF179" s="675">
        <v>6677404</v>
      </c>
      <c r="BG179" s="675">
        <v>0</v>
      </c>
      <c r="BH179" s="675">
        <v>197.26500000000001</v>
      </c>
      <c r="BI179" s="675">
        <v>54248</v>
      </c>
      <c r="BJ179" s="675">
        <v>12</v>
      </c>
      <c r="BK179" s="675">
        <v>0</v>
      </c>
      <c r="BL179" s="675">
        <v>0</v>
      </c>
      <c r="BM179" s="675">
        <v>0</v>
      </c>
      <c r="BN179" s="675">
        <v>0</v>
      </c>
      <c r="BO179" s="675">
        <v>0</v>
      </c>
      <c r="BP179" s="675">
        <v>0</v>
      </c>
      <c r="BQ179" s="675">
        <v>5392</v>
      </c>
      <c r="BR179" s="675">
        <v>1</v>
      </c>
      <c r="BS179" s="675">
        <v>0</v>
      </c>
      <c r="BT179" s="675">
        <v>0</v>
      </c>
      <c r="BU179" s="675">
        <v>0</v>
      </c>
      <c r="BV179" s="675">
        <v>0</v>
      </c>
      <c r="BW179" s="675">
        <v>0</v>
      </c>
      <c r="BX179" s="675">
        <v>0</v>
      </c>
      <c r="BY179" s="675">
        <v>0</v>
      </c>
      <c r="BZ179" s="675">
        <v>0</v>
      </c>
      <c r="CA179" s="675">
        <v>94.484000000000009</v>
      </c>
      <c r="CB179" s="675">
        <v>36117</v>
      </c>
      <c r="CC179" s="675">
        <v>0</v>
      </c>
      <c r="CD179" s="675">
        <v>0</v>
      </c>
      <c r="CE179" s="675">
        <v>0</v>
      </c>
      <c r="CF179" s="675">
        <v>0</v>
      </c>
      <c r="CG179" s="675">
        <v>0</v>
      </c>
      <c r="CH179" s="675">
        <v>158909</v>
      </c>
      <c r="CI179" s="675">
        <v>0</v>
      </c>
      <c r="CJ179" s="675">
        <v>4</v>
      </c>
      <c r="CK179" s="675">
        <v>0</v>
      </c>
      <c r="CL179" s="675">
        <v>0</v>
      </c>
      <c r="CM179" s="675">
        <v>0</v>
      </c>
      <c r="CN179" s="675">
        <v>0</v>
      </c>
      <c r="CO179" s="675">
        <v>0</v>
      </c>
      <c r="CP179" s="675">
        <v>0</v>
      </c>
      <c r="CQ179" s="675">
        <v>0</v>
      </c>
      <c r="CR179" s="675">
        <v>846.04500000000007</v>
      </c>
      <c r="CS179" s="675">
        <v>0</v>
      </c>
      <c r="CT179" s="675">
        <v>0</v>
      </c>
      <c r="CU179" s="675">
        <v>0</v>
      </c>
      <c r="CV179" s="675">
        <v>0</v>
      </c>
      <c r="CW179" s="675">
        <v>0</v>
      </c>
      <c r="CX179" s="675">
        <v>0</v>
      </c>
      <c r="CY179" s="675">
        <v>0</v>
      </c>
      <c r="CZ179" s="675">
        <v>0</v>
      </c>
      <c r="DA179" s="675">
        <v>1</v>
      </c>
      <c r="DB179" s="675">
        <v>5245546</v>
      </c>
      <c r="DC179" s="675">
        <v>0</v>
      </c>
      <c r="DD179" s="675">
        <v>0</v>
      </c>
      <c r="DE179" s="675">
        <v>1120734</v>
      </c>
      <c r="DF179" s="675">
        <v>1120734</v>
      </c>
      <c r="DG179" s="675">
        <v>855</v>
      </c>
      <c r="DH179" s="675">
        <v>0</v>
      </c>
      <c r="DI179" s="675">
        <v>0</v>
      </c>
      <c r="DJ179" s="675">
        <v>0</v>
      </c>
      <c r="DK179" s="675">
        <v>5392</v>
      </c>
      <c r="DL179" s="675">
        <v>0</v>
      </c>
      <c r="DM179" s="675">
        <v>308465</v>
      </c>
      <c r="DN179" s="675">
        <v>0</v>
      </c>
      <c r="DO179" s="675">
        <v>0</v>
      </c>
      <c r="DP179" s="675">
        <v>0</v>
      </c>
      <c r="DQ179" s="675">
        <v>0</v>
      </c>
      <c r="DR179" s="675">
        <v>0</v>
      </c>
      <c r="DS179" s="675">
        <v>0</v>
      </c>
      <c r="DT179" s="675">
        <v>0</v>
      </c>
      <c r="DU179" s="675">
        <v>0</v>
      </c>
      <c r="DV179" s="675">
        <v>0</v>
      </c>
      <c r="DW179" s="675">
        <v>0</v>
      </c>
      <c r="DX179" s="675">
        <v>0</v>
      </c>
      <c r="DY179" s="675">
        <v>0</v>
      </c>
      <c r="DZ179" s="675">
        <v>0</v>
      </c>
      <c r="EA179" s="675">
        <v>0</v>
      </c>
      <c r="EB179" s="675">
        <v>0</v>
      </c>
      <c r="EC179" s="675">
        <v>23.942</v>
      </c>
      <c r="ED179" s="675">
        <v>172607</v>
      </c>
      <c r="EE179" s="675">
        <v>0</v>
      </c>
      <c r="EF179" s="675">
        <v>0</v>
      </c>
      <c r="EG179" s="675">
        <v>0</v>
      </c>
      <c r="EH179" s="675">
        <v>135858</v>
      </c>
      <c r="EI179" s="675">
        <v>0</v>
      </c>
      <c r="EJ179" s="675">
        <v>0</v>
      </c>
      <c r="EK179" s="675">
        <v>4.5579999999999998</v>
      </c>
      <c r="EL179" s="675">
        <v>0</v>
      </c>
      <c r="EM179" s="675">
        <v>0</v>
      </c>
      <c r="EN179" s="675">
        <v>1.411</v>
      </c>
      <c r="EO179" s="675">
        <v>0</v>
      </c>
      <c r="EP179" s="675">
        <v>0</v>
      </c>
      <c r="EQ179" s="675">
        <v>5.9690000000000003</v>
      </c>
      <c r="ER179" s="675">
        <v>0</v>
      </c>
      <c r="ES179" s="675">
        <v>20.729000000000003</v>
      </c>
      <c r="ET179" s="675">
        <v>0</v>
      </c>
      <c r="EU179" s="675">
        <v>360857</v>
      </c>
      <c r="EV179" s="675">
        <v>0</v>
      </c>
      <c r="EW179" s="675">
        <v>0</v>
      </c>
      <c r="EX179" s="675">
        <v>0</v>
      </c>
      <c r="EY179" s="675">
        <v>0</v>
      </c>
      <c r="EZ179" s="675">
        <v>6652907</v>
      </c>
      <c r="FA179" s="675">
        <v>0</v>
      </c>
      <c r="FB179" s="675">
        <v>7013764</v>
      </c>
      <c r="FC179" s="675">
        <v>0.97327799999999998</v>
      </c>
      <c r="FD179" s="675">
        <v>0</v>
      </c>
      <c r="FE179" s="675">
        <v>1016581</v>
      </c>
      <c r="FF179" s="675">
        <v>229085</v>
      </c>
      <c r="FG179" s="675">
        <v>6.1239999999999996E-2</v>
      </c>
      <c r="FH179" s="675">
        <v>5.4803999999999999E-2</v>
      </c>
      <c r="FI179" s="675">
        <v>0</v>
      </c>
      <c r="FJ179" s="675">
        <v>0</v>
      </c>
      <c r="FK179" s="675">
        <v>1308.3140000000001</v>
      </c>
      <c r="FL179" s="675">
        <v>8418339</v>
      </c>
      <c r="FM179" s="675">
        <v>0</v>
      </c>
      <c r="FN179" s="675">
        <v>0</v>
      </c>
      <c r="FO179" s="675">
        <v>62659</v>
      </c>
      <c r="FP179" s="675">
        <v>0</v>
      </c>
      <c r="FQ179" s="675">
        <v>62659</v>
      </c>
      <c r="FR179" s="675">
        <v>62659</v>
      </c>
      <c r="FS179" s="675">
        <v>0</v>
      </c>
      <c r="FT179" s="675">
        <v>0</v>
      </c>
      <c r="FU179" s="675">
        <v>0</v>
      </c>
      <c r="FV179" s="675">
        <v>0</v>
      </c>
      <c r="FW179" s="675">
        <v>0</v>
      </c>
      <c r="FX179" s="675">
        <v>0</v>
      </c>
      <c r="FY179" s="675">
        <v>0</v>
      </c>
      <c r="FZ179" s="675">
        <v>0</v>
      </c>
      <c r="GA179" s="675">
        <v>0</v>
      </c>
      <c r="GB179" s="675">
        <v>0</v>
      </c>
      <c r="GC179" s="675">
        <v>0</v>
      </c>
      <c r="GD179" s="675">
        <v>0</v>
      </c>
      <c r="GE179" s="675">
        <v>0</v>
      </c>
      <c r="GF179" s="675">
        <v>0</v>
      </c>
      <c r="GG179" s="675">
        <v>0</v>
      </c>
      <c r="GH179" s="675">
        <v>0</v>
      </c>
      <c r="GI179" s="675">
        <v>0</v>
      </c>
      <c r="GJ179" s="675">
        <v>0</v>
      </c>
      <c r="GK179" s="675">
        <v>5068</v>
      </c>
      <c r="GL179" s="675">
        <v>0</v>
      </c>
      <c r="GM179" s="675">
        <v>0</v>
      </c>
      <c r="GN179" s="675">
        <v>13619</v>
      </c>
      <c r="GO179" s="675">
        <v>0</v>
      </c>
      <c r="GP179" s="675">
        <v>8259430</v>
      </c>
      <c r="GQ179" s="675">
        <v>8259430</v>
      </c>
      <c r="GR179" s="675">
        <v>0</v>
      </c>
      <c r="GS179" s="675">
        <v>0</v>
      </c>
      <c r="GT179" s="675">
        <v>0</v>
      </c>
      <c r="GU179" s="675">
        <v>0</v>
      </c>
      <c r="GV179" s="675">
        <v>0</v>
      </c>
      <c r="GW179" s="675">
        <v>0</v>
      </c>
      <c r="GX179" s="675">
        <v>0</v>
      </c>
      <c r="GY179" s="675">
        <v>0</v>
      </c>
      <c r="GZ179" s="675">
        <v>0</v>
      </c>
      <c r="HA179" s="675">
        <v>0</v>
      </c>
      <c r="HB179" s="675">
        <v>260786259</v>
      </c>
      <c r="HC179" s="675">
        <v>5.0923999999999997E-2</v>
      </c>
      <c r="HD179" s="675">
        <v>158909</v>
      </c>
      <c r="HE179" s="675">
        <v>0</v>
      </c>
      <c r="HF179" s="675">
        <v>0</v>
      </c>
      <c r="HG179" s="675">
        <v>0</v>
      </c>
      <c r="HH179" s="675">
        <v>0</v>
      </c>
      <c r="HI179" s="675">
        <v>0</v>
      </c>
      <c r="HJ179" s="675">
        <v>0</v>
      </c>
      <c r="HK179" s="675">
        <v>0</v>
      </c>
      <c r="HL179" s="675">
        <v>0</v>
      </c>
      <c r="HM179" s="675">
        <v>0</v>
      </c>
      <c r="HN179" s="675">
        <v>0</v>
      </c>
      <c r="HO179" s="675">
        <v>0</v>
      </c>
      <c r="HP179" s="675">
        <v>0</v>
      </c>
      <c r="HQ179" s="675">
        <v>0</v>
      </c>
      <c r="HR179" s="675">
        <v>0</v>
      </c>
      <c r="HS179" s="675">
        <v>0</v>
      </c>
      <c r="HT179" s="675">
        <v>0</v>
      </c>
      <c r="HU179" s="675">
        <v>0</v>
      </c>
      <c r="HV179" s="675">
        <v>0</v>
      </c>
      <c r="HW179" s="675">
        <v>0</v>
      </c>
      <c r="HX179" s="675">
        <v>0</v>
      </c>
      <c r="HY179" s="675">
        <v>0</v>
      </c>
      <c r="HZ179" s="675">
        <v>0</v>
      </c>
      <c r="IA179" s="675">
        <v>0</v>
      </c>
      <c r="IB179" s="675">
        <v>0</v>
      </c>
      <c r="IC179" s="675">
        <v>0</v>
      </c>
      <c r="ID179" s="675">
        <v>0</v>
      </c>
      <c r="IE179" s="675">
        <v>0</v>
      </c>
      <c r="IF179" s="675">
        <v>0</v>
      </c>
      <c r="IG179" s="675">
        <v>0</v>
      </c>
      <c r="IH179" s="675">
        <v>0</v>
      </c>
      <c r="II179" s="675">
        <v>0</v>
      </c>
      <c r="IJ179" s="675">
        <v>0</v>
      </c>
      <c r="IK179" s="675">
        <v>0</v>
      </c>
      <c r="IL179" s="675">
        <v>0</v>
      </c>
      <c r="IM179" s="675">
        <v>0</v>
      </c>
      <c r="IN179" s="675">
        <v>0</v>
      </c>
      <c r="IO179" s="675">
        <v>0</v>
      </c>
      <c r="IP179" s="675">
        <v>0</v>
      </c>
      <c r="IQ179" s="675">
        <v>0</v>
      </c>
      <c r="IR179" s="675">
        <v>0</v>
      </c>
      <c r="IS179" s="675">
        <v>0</v>
      </c>
      <c r="IT179" s="675">
        <v>0</v>
      </c>
      <c r="IU179" s="675">
        <v>0</v>
      </c>
      <c r="IV179" s="675">
        <v>0</v>
      </c>
      <c r="IW179" s="675">
        <v>0</v>
      </c>
      <c r="IX179" s="675">
        <v>0</v>
      </c>
      <c r="IY179" s="675">
        <v>0</v>
      </c>
      <c r="IZ179" s="675">
        <v>0</v>
      </c>
      <c r="JA179" s="675">
        <v>0</v>
      </c>
      <c r="JB179" s="675">
        <v>0</v>
      </c>
      <c r="JC179" s="675">
        <v>0</v>
      </c>
      <c r="JD179" s="675">
        <v>0</v>
      </c>
      <c r="JE179" s="675">
        <v>0</v>
      </c>
      <c r="JF179" s="675">
        <v>0</v>
      </c>
      <c r="JG179" s="675">
        <v>0</v>
      </c>
      <c r="JH179" s="675">
        <v>0</v>
      </c>
      <c r="JI179" s="675">
        <v>0</v>
      </c>
      <c r="JJ179" s="675">
        <v>0</v>
      </c>
      <c r="JK179" s="675">
        <v>0</v>
      </c>
      <c r="JL179" s="675">
        <v>0</v>
      </c>
      <c r="JM179" s="675">
        <v>0</v>
      </c>
      <c r="JN179" s="675">
        <v>32469</v>
      </c>
      <c r="JO179" s="675">
        <v>0</v>
      </c>
      <c r="JP179" s="675">
        <v>0</v>
      </c>
      <c r="JQ179" s="675">
        <v>0</v>
      </c>
      <c r="JR179" s="675">
        <v>0</v>
      </c>
      <c r="JS179" s="675">
        <v>0</v>
      </c>
      <c r="JT179" s="675">
        <v>0</v>
      </c>
      <c r="JU179" s="675">
        <v>0</v>
      </c>
      <c r="JV179" s="675">
        <v>0</v>
      </c>
      <c r="JW179" s="675">
        <v>0</v>
      </c>
      <c r="JX179" s="675">
        <v>0</v>
      </c>
      <c r="JY179" s="675">
        <v>0</v>
      </c>
      <c r="JZ179" s="675">
        <v>0</v>
      </c>
      <c r="KA179" s="675">
        <v>0</v>
      </c>
      <c r="KB179" s="675">
        <v>0</v>
      </c>
      <c r="KC179" s="675">
        <v>0</v>
      </c>
      <c r="KD179" s="675">
        <v>0</v>
      </c>
      <c r="KE179" s="675">
        <v>0</v>
      </c>
      <c r="KF179" s="675">
        <v>0</v>
      </c>
    </row>
    <row r="180" spans="1:292" x14ac:dyDescent="0.25">
      <c r="A180" s="675">
        <v>227825</v>
      </c>
      <c r="B180" s="675">
        <v>32570</v>
      </c>
      <c r="C180" s="675">
        <v>35</v>
      </c>
      <c r="D180" s="675">
        <v>2022</v>
      </c>
      <c r="E180" s="675">
        <v>5392</v>
      </c>
      <c r="F180" s="675">
        <v>0</v>
      </c>
      <c r="G180" s="675">
        <v>1700.14</v>
      </c>
      <c r="H180" s="675">
        <v>1645.009</v>
      </c>
      <c r="I180" s="675">
        <v>1645.009</v>
      </c>
      <c r="J180" s="675">
        <v>1700.14</v>
      </c>
      <c r="K180" s="675">
        <v>0</v>
      </c>
      <c r="L180" s="675">
        <v>6554</v>
      </c>
      <c r="M180" s="675">
        <v>0</v>
      </c>
      <c r="N180" s="675">
        <v>0</v>
      </c>
      <c r="O180" s="675">
        <v>0</v>
      </c>
      <c r="P180" s="675">
        <v>1474.701</v>
      </c>
      <c r="Q180" s="675">
        <v>0</v>
      </c>
      <c r="R180" s="675">
        <v>471481</v>
      </c>
      <c r="S180" s="675">
        <v>319.71300000000002</v>
      </c>
      <c r="T180" s="675">
        <v>0</v>
      </c>
      <c r="U180" s="675">
        <v>471481</v>
      </c>
      <c r="V180" s="675">
        <v>980.3180000000001</v>
      </c>
      <c r="W180" s="675">
        <v>642500</v>
      </c>
      <c r="X180" s="675">
        <v>642500</v>
      </c>
      <c r="Y180" s="675">
        <v>0</v>
      </c>
      <c r="Z180" s="675">
        <v>0</v>
      </c>
      <c r="AA180" s="675">
        <v>1</v>
      </c>
      <c r="AB180" s="675">
        <v>1</v>
      </c>
      <c r="AC180" s="675">
        <v>0</v>
      </c>
      <c r="AD180" s="675" t="s">
        <v>316</v>
      </c>
      <c r="AE180" s="675">
        <v>0</v>
      </c>
      <c r="AF180" s="675">
        <v>0</v>
      </c>
      <c r="AG180" s="675">
        <v>0</v>
      </c>
      <c r="AH180" s="675">
        <v>0</v>
      </c>
      <c r="AI180" s="675">
        <v>0</v>
      </c>
      <c r="AJ180" s="675">
        <v>5104</v>
      </c>
      <c r="AK180" s="675" t="s">
        <v>671</v>
      </c>
      <c r="AL180" s="675" t="s">
        <v>120</v>
      </c>
      <c r="AM180" s="675">
        <v>0</v>
      </c>
      <c r="AN180" s="675">
        <v>0</v>
      </c>
      <c r="AO180" s="675">
        <v>0</v>
      </c>
      <c r="AP180" s="675">
        <v>0</v>
      </c>
      <c r="AQ180" s="675">
        <v>0</v>
      </c>
      <c r="AR180" s="675">
        <v>0</v>
      </c>
      <c r="AS180" s="675">
        <v>0</v>
      </c>
      <c r="AT180" s="675">
        <v>0</v>
      </c>
      <c r="AU180" s="675">
        <v>0</v>
      </c>
      <c r="AV180" s="675">
        <v>115878</v>
      </c>
      <c r="AW180" s="675">
        <v>18100045</v>
      </c>
      <c r="AX180" s="675">
        <v>17444446</v>
      </c>
      <c r="AY180" s="675">
        <v>19190215</v>
      </c>
      <c r="AZ180" s="675">
        <v>792020</v>
      </c>
      <c r="BA180" s="675">
        <v>0</v>
      </c>
      <c r="BB180" s="675">
        <v>0</v>
      </c>
      <c r="BC180" s="675">
        <v>0</v>
      </c>
      <c r="BD180" s="675">
        <v>0</v>
      </c>
      <c r="BE180" s="675">
        <v>0</v>
      </c>
      <c r="BF180" s="675">
        <v>14689535</v>
      </c>
      <c r="BG180" s="675">
        <v>0</v>
      </c>
      <c r="BH180" s="675">
        <v>485.74200000000002</v>
      </c>
      <c r="BI180" s="675">
        <v>133579</v>
      </c>
      <c r="BJ180" s="675">
        <v>12</v>
      </c>
      <c r="BK180" s="675">
        <v>0</v>
      </c>
      <c r="BL180" s="675">
        <v>0</v>
      </c>
      <c r="BM180" s="675">
        <v>0</v>
      </c>
      <c r="BN180" s="675">
        <v>0</v>
      </c>
      <c r="BO180" s="675">
        <v>0</v>
      </c>
      <c r="BP180" s="675">
        <v>0</v>
      </c>
      <c r="BQ180" s="675">
        <v>5392</v>
      </c>
      <c r="BR180" s="675">
        <v>1</v>
      </c>
      <c r="BS180" s="675">
        <v>0</v>
      </c>
      <c r="BT180" s="675">
        <v>0</v>
      </c>
      <c r="BU180" s="675">
        <v>0</v>
      </c>
      <c r="BV180" s="675">
        <v>0</v>
      </c>
      <c r="BW180" s="675">
        <v>0</v>
      </c>
      <c r="BX180" s="675">
        <v>0</v>
      </c>
      <c r="BY180" s="675">
        <v>0</v>
      </c>
      <c r="BZ180" s="675">
        <v>0</v>
      </c>
      <c r="CA180" s="675">
        <v>489.09000000000003</v>
      </c>
      <c r="CB180" s="675">
        <v>186960</v>
      </c>
      <c r="CC180" s="675">
        <v>0</v>
      </c>
      <c r="CD180" s="675">
        <v>0</v>
      </c>
      <c r="CE180" s="675">
        <v>0</v>
      </c>
      <c r="CF180" s="675">
        <v>0</v>
      </c>
      <c r="CG180" s="675">
        <v>0</v>
      </c>
      <c r="CH180" s="675">
        <v>335060</v>
      </c>
      <c r="CI180" s="675">
        <v>0</v>
      </c>
      <c r="CJ180" s="675">
        <v>5</v>
      </c>
      <c r="CK180" s="675">
        <v>0</v>
      </c>
      <c r="CL180" s="675">
        <v>0</v>
      </c>
      <c r="CM180" s="675">
        <v>0</v>
      </c>
      <c r="CN180" s="675">
        <v>0</v>
      </c>
      <c r="CO180" s="675">
        <v>0</v>
      </c>
      <c r="CP180" s="675">
        <v>1.1000000000000001E-2</v>
      </c>
      <c r="CQ180" s="675">
        <v>0</v>
      </c>
      <c r="CR180" s="675">
        <v>1474.701</v>
      </c>
      <c r="CS180" s="675">
        <v>0</v>
      </c>
      <c r="CT180" s="675">
        <v>0</v>
      </c>
      <c r="CU180" s="675">
        <v>0</v>
      </c>
      <c r="CV180" s="675">
        <v>0</v>
      </c>
      <c r="CW180" s="675">
        <v>0</v>
      </c>
      <c r="CX180" s="675">
        <v>0</v>
      </c>
      <c r="CY180" s="675">
        <v>0</v>
      </c>
      <c r="CZ180" s="675">
        <v>0</v>
      </c>
      <c r="DA180" s="675">
        <v>1</v>
      </c>
      <c r="DB180" s="675">
        <v>10781389</v>
      </c>
      <c r="DC180" s="675">
        <v>0</v>
      </c>
      <c r="DD180" s="675">
        <v>0</v>
      </c>
      <c r="DE180" s="675">
        <v>2149712</v>
      </c>
      <c r="DF180" s="675">
        <v>2149886</v>
      </c>
      <c r="DG180" s="675">
        <v>1640</v>
      </c>
      <c r="DH180" s="675">
        <v>0</v>
      </c>
      <c r="DI180" s="675">
        <v>174</v>
      </c>
      <c r="DJ180" s="675">
        <v>0</v>
      </c>
      <c r="DK180" s="675">
        <v>5392</v>
      </c>
      <c r="DL180" s="675">
        <v>0</v>
      </c>
      <c r="DM180" s="675">
        <v>1300854</v>
      </c>
      <c r="DN180" s="675">
        <v>0</v>
      </c>
      <c r="DO180" s="675">
        <v>0</v>
      </c>
      <c r="DP180" s="675">
        <v>0</v>
      </c>
      <c r="DQ180" s="675">
        <v>0</v>
      </c>
      <c r="DR180" s="675">
        <v>0</v>
      </c>
      <c r="DS180" s="675">
        <v>0</v>
      </c>
      <c r="DT180" s="675">
        <v>0</v>
      </c>
      <c r="DU180" s="675">
        <v>0</v>
      </c>
      <c r="DV180" s="675">
        <v>0</v>
      </c>
      <c r="DW180" s="675">
        <v>0</v>
      </c>
      <c r="DX180" s="675">
        <v>0</v>
      </c>
      <c r="DY180" s="675">
        <v>0</v>
      </c>
      <c r="DZ180" s="675">
        <v>0</v>
      </c>
      <c r="EA180" s="675">
        <v>0</v>
      </c>
      <c r="EB180" s="675">
        <v>0</v>
      </c>
      <c r="EC180" s="675">
        <v>93.414000000000001</v>
      </c>
      <c r="ED180" s="675">
        <v>673459</v>
      </c>
      <c r="EE180" s="675">
        <v>0</v>
      </c>
      <c r="EF180" s="675">
        <v>0</v>
      </c>
      <c r="EG180" s="675">
        <v>0</v>
      </c>
      <c r="EH180" s="675">
        <v>627395</v>
      </c>
      <c r="EI180" s="675">
        <v>0</v>
      </c>
      <c r="EJ180" s="675">
        <v>0</v>
      </c>
      <c r="EK180" s="675">
        <v>24.228000000000002</v>
      </c>
      <c r="EL180" s="675">
        <v>0</v>
      </c>
      <c r="EM180" s="675">
        <v>4.0760000000000005</v>
      </c>
      <c r="EN180" s="675">
        <v>2.1630000000000003</v>
      </c>
      <c r="EO180" s="675">
        <v>0</v>
      </c>
      <c r="EP180" s="675">
        <v>0</v>
      </c>
      <c r="EQ180" s="675">
        <v>30.467000000000002</v>
      </c>
      <c r="ER180" s="675">
        <v>0</v>
      </c>
      <c r="ES180" s="675">
        <v>95.727000000000004</v>
      </c>
      <c r="ET180" s="675">
        <v>0</v>
      </c>
      <c r="EU180" s="675">
        <v>792020</v>
      </c>
      <c r="EV180" s="675">
        <v>0</v>
      </c>
      <c r="EW180" s="675">
        <v>0</v>
      </c>
      <c r="EX180" s="675">
        <v>0</v>
      </c>
      <c r="EY180" s="675">
        <v>0</v>
      </c>
      <c r="EZ180" s="675">
        <v>14704121</v>
      </c>
      <c r="FA180" s="675">
        <v>0</v>
      </c>
      <c r="FB180" s="675">
        <v>15496141</v>
      </c>
      <c r="FC180" s="675">
        <v>0.97327799999999998</v>
      </c>
      <c r="FD180" s="675">
        <v>0</v>
      </c>
      <c r="FE180" s="675">
        <v>2236364</v>
      </c>
      <c r="FF180" s="675">
        <v>503961</v>
      </c>
      <c r="FG180" s="675">
        <v>6.1239999999999996E-2</v>
      </c>
      <c r="FH180" s="675">
        <v>5.4803999999999999E-2</v>
      </c>
      <c r="FI180" s="675">
        <v>0</v>
      </c>
      <c r="FJ180" s="675">
        <v>0</v>
      </c>
      <c r="FK180" s="675">
        <v>2878.143</v>
      </c>
      <c r="FL180" s="675">
        <v>18571526</v>
      </c>
      <c r="FM180" s="675">
        <v>0</v>
      </c>
      <c r="FN180" s="675">
        <v>0</v>
      </c>
      <c r="FO180" s="675">
        <v>82748</v>
      </c>
      <c r="FP180" s="675">
        <v>0</v>
      </c>
      <c r="FQ180" s="675">
        <v>82748</v>
      </c>
      <c r="FR180" s="675">
        <v>82748</v>
      </c>
      <c r="FS180" s="675">
        <v>0</v>
      </c>
      <c r="FT180" s="675">
        <v>0</v>
      </c>
      <c r="FU180" s="675">
        <v>0</v>
      </c>
      <c r="FV180" s="675">
        <v>0</v>
      </c>
      <c r="FW180" s="675">
        <v>0</v>
      </c>
      <c r="FX180" s="675">
        <v>0</v>
      </c>
      <c r="FY180" s="675">
        <v>0</v>
      </c>
      <c r="FZ180" s="675">
        <v>0</v>
      </c>
      <c r="GA180" s="675">
        <v>0</v>
      </c>
      <c r="GB180" s="675">
        <v>218225</v>
      </c>
      <c r="GC180" s="675">
        <v>218225</v>
      </c>
      <c r="GD180" s="675">
        <v>24.664000000000001</v>
      </c>
      <c r="GE180" s="675">
        <v>0</v>
      </c>
      <c r="GF180" s="675">
        <v>0</v>
      </c>
      <c r="GG180" s="675">
        <v>0</v>
      </c>
      <c r="GH180" s="675">
        <v>0</v>
      </c>
      <c r="GI180" s="675">
        <v>0</v>
      </c>
      <c r="GJ180" s="675">
        <v>0</v>
      </c>
      <c r="GK180" s="675">
        <v>4971</v>
      </c>
      <c r="GL180" s="675">
        <v>0</v>
      </c>
      <c r="GM180" s="675">
        <v>0</v>
      </c>
      <c r="GN180" s="675">
        <v>0</v>
      </c>
      <c r="GO180" s="675">
        <v>0</v>
      </c>
      <c r="GP180" s="675">
        <v>18236466</v>
      </c>
      <c r="GQ180" s="675">
        <v>18236466</v>
      </c>
      <c r="GR180" s="675">
        <v>0</v>
      </c>
      <c r="GS180" s="675">
        <v>0</v>
      </c>
      <c r="GT180" s="675">
        <v>0</v>
      </c>
      <c r="GU180" s="675">
        <v>0</v>
      </c>
      <c r="GV180" s="675">
        <v>0</v>
      </c>
      <c r="GW180" s="675">
        <v>0</v>
      </c>
      <c r="GX180" s="675">
        <v>0</v>
      </c>
      <c r="GY180" s="675">
        <v>0</v>
      </c>
      <c r="GZ180" s="675">
        <v>0</v>
      </c>
      <c r="HA180" s="675">
        <v>0</v>
      </c>
      <c r="HB180" s="675">
        <v>260786259</v>
      </c>
      <c r="HC180" s="675">
        <v>5.0923999999999997E-2</v>
      </c>
      <c r="HD180" s="675">
        <v>335060</v>
      </c>
      <c r="HE180" s="675">
        <v>0</v>
      </c>
      <c r="HF180" s="675">
        <v>0</v>
      </c>
      <c r="HG180" s="675">
        <v>0</v>
      </c>
      <c r="HH180" s="675">
        <v>0</v>
      </c>
      <c r="HI180" s="675">
        <v>0</v>
      </c>
      <c r="HJ180" s="675">
        <v>0</v>
      </c>
      <c r="HK180" s="675">
        <v>0</v>
      </c>
      <c r="HL180" s="675">
        <v>0</v>
      </c>
      <c r="HM180" s="675">
        <v>0</v>
      </c>
      <c r="HN180" s="675">
        <v>0</v>
      </c>
      <c r="HO180" s="675">
        <v>0</v>
      </c>
      <c r="HP180" s="675">
        <v>0</v>
      </c>
      <c r="HQ180" s="675">
        <v>0</v>
      </c>
      <c r="HR180" s="675">
        <v>0</v>
      </c>
      <c r="HS180" s="675">
        <v>0</v>
      </c>
      <c r="HT180" s="675">
        <v>0</v>
      </c>
      <c r="HU180" s="675">
        <v>0</v>
      </c>
      <c r="HV180" s="675">
        <v>0</v>
      </c>
      <c r="HW180" s="675">
        <v>0</v>
      </c>
      <c r="HX180" s="675">
        <v>0</v>
      </c>
      <c r="HY180" s="675">
        <v>0</v>
      </c>
      <c r="HZ180" s="675">
        <v>0</v>
      </c>
      <c r="IA180" s="675">
        <v>0</v>
      </c>
      <c r="IB180" s="675">
        <v>0</v>
      </c>
      <c r="IC180" s="675">
        <v>0</v>
      </c>
      <c r="ID180" s="675">
        <v>0</v>
      </c>
      <c r="IE180" s="675">
        <v>0</v>
      </c>
      <c r="IF180" s="675">
        <v>0</v>
      </c>
      <c r="IG180" s="675">
        <v>0</v>
      </c>
      <c r="IH180" s="675">
        <v>0</v>
      </c>
      <c r="II180" s="675">
        <v>0</v>
      </c>
      <c r="IJ180" s="675">
        <v>0</v>
      </c>
      <c r="IK180" s="675">
        <v>0</v>
      </c>
      <c r="IL180" s="675">
        <v>0</v>
      </c>
      <c r="IM180" s="675">
        <v>0</v>
      </c>
      <c r="IN180" s="675">
        <v>0</v>
      </c>
      <c r="IO180" s="675">
        <v>0</v>
      </c>
      <c r="IP180" s="675">
        <v>0</v>
      </c>
      <c r="IQ180" s="675">
        <v>0</v>
      </c>
      <c r="IR180" s="675">
        <v>0</v>
      </c>
      <c r="IS180" s="675">
        <v>0</v>
      </c>
      <c r="IT180" s="675">
        <v>0</v>
      </c>
      <c r="IU180" s="675">
        <v>0</v>
      </c>
      <c r="IV180" s="675">
        <v>0</v>
      </c>
      <c r="IW180" s="675">
        <v>0</v>
      </c>
      <c r="IX180" s="675">
        <v>0</v>
      </c>
      <c r="IY180" s="675">
        <v>0</v>
      </c>
      <c r="IZ180" s="675">
        <v>0</v>
      </c>
      <c r="JA180" s="675">
        <v>0</v>
      </c>
      <c r="JB180" s="675">
        <v>0</v>
      </c>
      <c r="JC180" s="675">
        <v>0</v>
      </c>
      <c r="JD180" s="675">
        <v>0</v>
      </c>
      <c r="JE180" s="675">
        <v>0</v>
      </c>
      <c r="JF180" s="675">
        <v>0</v>
      </c>
      <c r="JG180" s="675">
        <v>0</v>
      </c>
      <c r="JH180" s="675">
        <v>0</v>
      </c>
      <c r="JI180" s="675">
        <v>0</v>
      </c>
      <c r="JJ180" s="675">
        <v>0</v>
      </c>
      <c r="JK180" s="675">
        <v>0</v>
      </c>
      <c r="JL180" s="675">
        <v>0</v>
      </c>
      <c r="JM180" s="675">
        <v>0</v>
      </c>
      <c r="JN180" s="675">
        <v>32469</v>
      </c>
      <c r="JO180" s="675">
        <v>0</v>
      </c>
      <c r="JP180" s="675">
        <v>0</v>
      </c>
      <c r="JQ180" s="675">
        <v>0</v>
      </c>
      <c r="JR180" s="675">
        <v>0</v>
      </c>
      <c r="JS180" s="675">
        <v>0</v>
      </c>
      <c r="JT180" s="675">
        <v>0</v>
      </c>
      <c r="JU180" s="675">
        <v>0</v>
      </c>
      <c r="JV180" s="675">
        <v>0</v>
      </c>
      <c r="JW180" s="675">
        <v>0</v>
      </c>
      <c r="JX180" s="675">
        <v>0</v>
      </c>
      <c r="JY180" s="675">
        <v>0</v>
      </c>
      <c r="JZ180" s="675">
        <v>0</v>
      </c>
      <c r="KA180" s="675">
        <v>0</v>
      </c>
      <c r="KB180" s="675">
        <v>0</v>
      </c>
      <c r="KC180" s="675">
        <v>0</v>
      </c>
      <c r="KD180" s="675">
        <v>0</v>
      </c>
      <c r="KE180" s="675">
        <v>0</v>
      </c>
      <c r="KF180" s="675">
        <v>0</v>
      </c>
    </row>
    <row r="181" spans="1:292" x14ac:dyDescent="0.25">
      <c r="A181" s="675">
        <v>227826</v>
      </c>
      <c r="B181" s="675">
        <v>32570</v>
      </c>
      <c r="C181" s="675">
        <v>35</v>
      </c>
      <c r="D181" s="675">
        <v>2022</v>
      </c>
      <c r="E181" s="675">
        <v>5392</v>
      </c>
      <c r="F181" s="675">
        <v>0</v>
      </c>
      <c r="G181" s="675">
        <v>379.68800000000005</v>
      </c>
      <c r="H181" s="675">
        <v>370.3</v>
      </c>
      <c r="I181" s="675">
        <v>370.3</v>
      </c>
      <c r="J181" s="675">
        <v>379.68800000000005</v>
      </c>
      <c r="K181" s="675">
        <v>0</v>
      </c>
      <c r="L181" s="675">
        <v>6554</v>
      </c>
      <c r="M181" s="675">
        <v>0</v>
      </c>
      <c r="N181" s="675">
        <v>0</v>
      </c>
      <c r="O181" s="675">
        <v>0</v>
      </c>
      <c r="P181" s="675">
        <v>387.80600000000004</v>
      </c>
      <c r="Q181" s="675">
        <v>0</v>
      </c>
      <c r="R181" s="675">
        <v>123987</v>
      </c>
      <c r="S181" s="675">
        <v>319.71300000000002</v>
      </c>
      <c r="T181" s="675">
        <v>0</v>
      </c>
      <c r="U181" s="675">
        <v>123987</v>
      </c>
      <c r="V181" s="675">
        <v>97.951000000000008</v>
      </c>
      <c r="W181" s="675">
        <v>64197</v>
      </c>
      <c r="X181" s="675">
        <v>64197</v>
      </c>
      <c r="Y181" s="675">
        <v>0</v>
      </c>
      <c r="Z181" s="675">
        <v>0</v>
      </c>
      <c r="AA181" s="675">
        <v>1</v>
      </c>
      <c r="AB181" s="675">
        <v>1</v>
      </c>
      <c r="AC181" s="675">
        <v>0</v>
      </c>
      <c r="AD181" s="675" t="s">
        <v>316</v>
      </c>
      <c r="AE181" s="675">
        <v>0</v>
      </c>
      <c r="AF181" s="675">
        <v>0</v>
      </c>
      <c r="AG181" s="675">
        <v>0</v>
      </c>
      <c r="AH181" s="675">
        <v>0</v>
      </c>
      <c r="AI181" s="675">
        <v>0</v>
      </c>
      <c r="AJ181" s="675">
        <v>5104</v>
      </c>
      <c r="AK181" s="675" t="s">
        <v>671</v>
      </c>
      <c r="AL181" s="675" t="s">
        <v>367</v>
      </c>
      <c r="AM181" s="675">
        <v>0</v>
      </c>
      <c r="AN181" s="675">
        <v>0</v>
      </c>
      <c r="AO181" s="675">
        <v>0</v>
      </c>
      <c r="AP181" s="675">
        <v>0</v>
      </c>
      <c r="AQ181" s="675">
        <v>0</v>
      </c>
      <c r="AR181" s="675">
        <v>0</v>
      </c>
      <c r="AS181" s="675">
        <v>0</v>
      </c>
      <c r="AT181" s="675">
        <v>0</v>
      </c>
      <c r="AU181" s="675">
        <v>0</v>
      </c>
      <c r="AV181" s="675">
        <v>64</v>
      </c>
      <c r="AW181" s="675">
        <v>3564084</v>
      </c>
      <c r="AX181" s="675">
        <v>3489256</v>
      </c>
      <c r="AY181" s="675">
        <v>3719417</v>
      </c>
      <c r="AZ181" s="675">
        <v>123987</v>
      </c>
      <c r="BA181" s="675">
        <v>0</v>
      </c>
      <c r="BB181" s="675">
        <v>0</v>
      </c>
      <c r="BC181" s="675">
        <v>0</v>
      </c>
      <c r="BD181" s="675">
        <v>0</v>
      </c>
      <c r="BE181" s="675">
        <v>0</v>
      </c>
      <c r="BF181" s="675">
        <v>2976298</v>
      </c>
      <c r="BG181" s="675">
        <v>0</v>
      </c>
      <c r="BH181" s="675">
        <v>0</v>
      </c>
      <c r="BI181" s="675">
        <v>0</v>
      </c>
      <c r="BJ181" s="675">
        <v>12</v>
      </c>
      <c r="BK181" s="675">
        <v>0</v>
      </c>
      <c r="BL181" s="675">
        <v>0</v>
      </c>
      <c r="BM181" s="675">
        <v>0</v>
      </c>
      <c r="BN181" s="675">
        <v>0</v>
      </c>
      <c r="BO181" s="675">
        <v>0</v>
      </c>
      <c r="BP181" s="675">
        <v>0</v>
      </c>
      <c r="BQ181" s="675">
        <v>5392</v>
      </c>
      <c r="BR181" s="675">
        <v>1</v>
      </c>
      <c r="BS181" s="675">
        <v>0</v>
      </c>
      <c r="BT181" s="675">
        <v>0</v>
      </c>
      <c r="BU181" s="675">
        <v>0</v>
      </c>
      <c r="BV181" s="675">
        <v>0</v>
      </c>
      <c r="BW181" s="675">
        <v>0</v>
      </c>
      <c r="BX181" s="675">
        <v>0</v>
      </c>
      <c r="BY181" s="675">
        <v>0</v>
      </c>
      <c r="BZ181" s="675">
        <v>0</v>
      </c>
      <c r="CA181" s="675">
        <v>0</v>
      </c>
      <c r="CB181" s="675">
        <v>0</v>
      </c>
      <c r="CC181" s="675">
        <v>0</v>
      </c>
      <c r="CD181" s="675">
        <v>0</v>
      </c>
      <c r="CE181" s="675">
        <v>0</v>
      </c>
      <c r="CF181" s="675">
        <v>0</v>
      </c>
      <c r="CG181" s="675">
        <v>0</v>
      </c>
      <c r="CH181" s="675">
        <v>74828</v>
      </c>
      <c r="CI181" s="675">
        <v>0</v>
      </c>
      <c r="CJ181" s="675">
        <v>4</v>
      </c>
      <c r="CK181" s="675">
        <v>0</v>
      </c>
      <c r="CL181" s="675">
        <v>0</v>
      </c>
      <c r="CM181" s="675">
        <v>0</v>
      </c>
      <c r="CN181" s="675">
        <v>0</v>
      </c>
      <c r="CO181" s="675">
        <v>0</v>
      </c>
      <c r="CP181" s="675">
        <v>0</v>
      </c>
      <c r="CQ181" s="675">
        <v>0</v>
      </c>
      <c r="CR181" s="675">
        <v>387.80600000000004</v>
      </c>
      <c r="CS181" s="675">
        <v>0</v>
      </c>
      <c r="CT181" s="675">
        <v>0</v>
      </c>
      <c r="CU181" s="675">
        <v>0</v>
      </c>
      <c r="CV181" s="675">
        <v>0</v>
      </c>
      <c r="CW181" s="675">
        <v>0</v>
      </c>
      <c r="CX181" s="675">
        <v>0</v>
      </c>
      <c r="CY181" s="675">
        <v>0</v>
      </c>
      <c r="CZ181" s="675">
        <v>0</v>
      </c>
      <c r="DA181" s="675">
        <v>1</v>
      </c>
      <c r="DB181" s="675">
        <v>2426946</v>
      </c>
      <c r="DC181" s="675">
        <v>0</v>
      </c>
      <c r="DD181" s="675">
        <v>0</v>
      </c>
      <c r="DE181" s="675">
        <v>350639</v>
      </c>
      <c r="DF181" s="675">
        <v>350639</v>
      </c>
      <c r="DG181" s="675">
        <v>267.5</v>
      </c>
      <c r="DH181" s="675">
        <v>0</v>
      </c>
      <c r="DI181" s="675">
        <v>0</v>
      </c>
      <c r="DJ181" s="675">
        <v>0</v>
      </c>
      <c r="DK181" s="675">
        <v>5392</v>
      </c>
      <c r="DL181" s="675">
        <v>0</v>
      </c>
      <c r="DM181" s="675">
        <v>216234</v>
      </c>
      <c r="DN181" s="675">
        <v>0</v>
      </c>
      <c r="DO181" s="675">
        <v>0</v>
      </c>
      <c r="DP181" s="675">
        <v>0</v>
      </c>
      <c r="DQ181" s="675">
        <v>0</v>
      </c>
      <c r="DR181" s="675">
        <v>0</v>
      </c>
      <c r="DS181" s="675">
        <v>0</v>
      </c>
      <c r="DT181" s="675">
        <v>0</v>
      </c>
      <c r="DU181" s="675">
        <v>0</v>
      </c>
      <c r="DV181" s="675">
        <v>0</v>
      </c>
      <c r="DW181" s="675">
        <v>0</v>
      </c>
      <c r="DX181" s="675">
        <v>0</v>
      </c>
      <c r="DY181" s="675">
        <v>0</v>
      </c>
      <c r="DZ181" s="675">
        <v>0</v>
      </c>
      <c r="EA181" s="675">
        <v>0</v>
      </c>
      <c r="EB181" s="675">
        <v>0</v>
      </c>
      <c r="EC181" s="675">
        <v>2.8370000000000002</v>
      </c>
      <c r="ED181" s="675">
        <v>20453</v>
      </c>
      <c r="EE181" s="675">
        <v>0</v>
      </c>
      <c r="EF181" s="675">
        <v>0</v>
      </c>
      <c r="EG181" s="675">
        <v>0</v>
      </c>
      <c r="EH181" s="675">
        <v>195781</v>
      </c>
      <c r="EI181" s="675">
        <v>0</v>
      </c>
      <c r="EJ181" s="675">
        <v>0</v>
      </c>
      <c r="EK181" s="675">
        <v>8.5340000000000007</v>
      </c>
      <c r="EL181" s="675">
        <v>0</v>
      </c>
      <c r="EM181" s="675">
        <v>0</v>
      </c>
      <c r="EN181" s="675">
        <v>0.85400000000000009</v>
      </c>
      <c r="EO181" s="675">
        <v>0</v>
      </c>
      <c r="EP181" s="675">
        <v>0</v>
      </c>
      <c r="EQ181" s="675">
        <v>9.3879999999999999</v>
      </c>
      <c r="ER181" s="675">
        <v>0</v>
      </c>
      <c r="ES181" s="675">
        <v>29.872</v>
      </c>
      <c r="ET181" s="675">
        <v>0</v>
      </c>
      <c r="EU181" s="675">
        <v>123987</v>
      </c>
      <c r="EV181" s="675">
        <v>0</v>
      </c>
      <c r="EW181" s="675">
        <v>0</v>
      </c>
      <c r="EX181" s="675">
        <v>0</v>
      </c>
      <c r="EY181" s="675">
        <v>0</v>
      </c>
      <c r="EZ181" s="675">
        <v>2934029</v>
      </c>
      <c r="FA181" s="675">
        <v>0</v>
      </c>
      <c r="FB181" s="675">
        <v>3058016</v>
      </c>
      <c r="FC181" s="675">
        <v>0.97327799999999998</v>
      </c>
      <c r="FD181" s="675">
        <v>0</v>
      </c>
      <c r="FE181" s="675">
        <v>453118</v>
      </c>
      <c r="FF181" s="675">
        <v>102109</v>
      </c>
      <c r="FG181" s="675">
        <v>6.1239999999999996E-2</v>
      </c>
      <c r="FH181" s="675">
        <v>5.4803999999999999E-2</v>
      </c>
      <c r="FI181" s="675">
        <v>0</v>
      </c>
      <c r="FJ181" s="675">
        <v>0</v>
      </c>
      <c r="FK181" s="675">
        <v>583.15100000000007</v>
      </c>
      <c r="FL181" s="675">
        <v>3688071</v>
      </c>
      <c r="FM181" s="675">
        <v>0</v>
      </c>
      <c r="FN181" s="675">
        <v>0</v>
      </c>
      <c r="FO181" s="675">
        <v>0</v>
      </c>
      <c r="FP181" s="675">
        <v>0</v>
      </c>
      <c r="FQ181" s="675">
        <v>0</v>
      </c>
      <c r="FR181" s="675">
        <v>0</v>
      </c>
      <c r="FS181" s="675">
        <v>0</v>
      </c>
      <c r="FT181" s="675">
        <v>0</v>
      </c>
      <c r="FU181" s="675">
        <v>0</v>
      </c>
      <c r="FV181" s="675">
        <v>0</v>
      </c>
      <c r="FW181" s="675">
        <v>0</v>
      </c>
      <c r="FX181" s="675">
        <v>0</v>
      </c>
      <c r="FY181" s="675">
        <v>0</v>
      </c>
      <c r="FZ181" s="675">
        <v>0</v>
      </c>
      <c r="GA181" s="675">
        <v>0</v>
      </c>
      <c r="GB181" s="675">
        <v>0</v>
      </c>
      <c r="GC181" s="675">
        <v>0</v>
      </c>
      <c r="GD181" s="675">
        <v>0</v>
      </c>
      <c r="GE181" s="675">
        <v>0</v>
      </c>
      <c r="GF181" s="675">
        <v>0</v>
      </c>
      <c r="GG181" s="675">
        <v>0</v>
      </c>
      <c r="GH181" s="675">
        <v>0</v>
      </c>
      <c r="GI181" s="675">
        <v>0</v>
      </c>
      <c r="GJ181" s="675">
        <v>0</v>
      </c>
      <c r="GK181" s="675">
        <v>0</v>
      </c>
      <c r="GL181" s="675">
        <v>0</v>
      </c>
      <c r="GM181" s="675">
        <v>0</v>
      </c>
      <c r="GN181" s="675">
        <v>0</v>
      </c>
      <c r="GO181" s="675">
        <v>0</v>
      </c>
      <c r="GP181" s="675">
        <v>3613243</v>
      </c>
      <c r="GQ181" s="675">
        <v>3613243</v>
      </c>
      <c r="GR181" s="675">
        <v>0</v>
      </c>
      <c r="GS181" s="675">
        <v>0</v>
      </c>
      <c r="GT181" s="675">
        <v>0</v>
      </c>
      <c r="GU181" s="675">
        <v>0</v>
      </c>
      <c r="GV181" s="675">
        <v>0</v>
      </c>
      <c r="GW181" s="675">
        <v>0</v>
      </c>
      <c r="GX181" s="675">
        <v>0</v>
      </c>
      <c r="GY181" s="675">
        <v>0</v>
      </c>
      <c r="GZ181" s="675">
        <v>0</v>
      </c>
      <c r="HA181" s="675">
        <v>0</v>
      </c>
      <c r="HB181" s="675">
        <v>260786259</v>
      </c>
      <c r="HC181" s="675">
        <v>5.0923999999999997E-2</v>
      </c>
      <c r="HD181" s="675">
        <v>74828</v>
      </c>
      <c r="HE181" s="675">
        <v>0</v>
      </c>
      <c r="HF181" s="675">
        <v>0</v>
      </c>
      <c r="HG181" s="675">
        <v>0</v>
      </c>
      <c r="HH181" s="675">
        <v>0</v>
      </c>
      <c r="HI181" s="675">
        <v>0</v>
      </c>
      <c r="HJ181" s="675">
        <v>0</v>
      </c>
      <c r="HK181" s="675">
        <v>0</v>
      </c>
      <c r="HL181" s="675">
        <v>0</v>
      </c>
      <c r="HM181" s="675">
        <v>0</v>
      </c>
      <c r="HN181" s="675">
        <v>0</v>
      </c>
      <c r="HO181" s="675">
        <v>0</v>
      </c>
      <c r="HP181" s="675">
        <v>0</v>
      </c>
      <c r="HQ181" s="675">
        <v>0</v>
      </c>
      <c r="HR181" s="675">
        <v>0</v>
      </c>
      <c r="HS181" s="675">
        <v>0</v>
      </c>
      <c r="HT181" s="675">
        <v>0</v>
      </c>
      <c r="HU181" s="675">
        <v>0</v>
      </c>
      <c r="HV181" s="675">
        <v>0</v>
      </c>
      <c r="HW181" s="675">
        <v>0</v>
      </c>
      <c r="HX181" s="675">
        <v>0</v>
      </c>
      <c r="HY181" s="675">
        <v>0</v>
      </c>
      <c r="HZ181" s="675">
        <v>0</v>
      </c>
      <c r="IA181" s="675">
        <v>0</v>
      </c>
      <c r="IB181" s="675">
        <v>0</v>
      </c>
      <c r="IC181" s="675">
        <v>0</v>
      </c>
      <c r="ID181" s="675">
        <v>0</v>
      </c>
      <c r="IE181" s="675">
        <v>0</v>
      </c>
      <c r="IF181" s="675">
        <v>0</v>
      </c>
      <c r="IG181" s="675">
        <v>0</v>
      </c>
      <c r="IH181" s="675">
        <v>0</v>
      </c>
      <c r="II181" s="675">
        <v>0</v>
      </c>
      <c r="IJ181" s="675">
        <v>0</v>
      </c>
      <c r="IK181" s="675">
        <v>0</v>
      </c>
      <c r="IL181" s="675">
        <v>0</v>
      </c>
      <c r="IM181" s="675">
        <v>0</v>
      </c>
      <c r="IN181" s="675">
        <v>0</v>
      </c>
      <c r="IO181" s="675">
        <v>0</v>
      </c>
      <c r="IP181" s="675">
        <v>0</v>
      </c>
      <c r="IQ181" s="675">
        <v>0</v>
      </c>
      <c r="IR181" s="675">
        <v>0</v>
      </c>
      <c r="IS181" s="675">
        <v>0</v>
      </c>
      <c r="IT181" s="675">
        <v>0</v>
      </c>
      <c r="IU181" s="675">
        <v>0</v>
      </c>
      <c r="IV181" s="675">
        <v>0</v>
      </c>
      <c r="IW181" s="675">
        <v>0</v>
      </c>
      <c r="IX181" s="675">
        <v>0</v>
      </c>
      <c r="IY181" s="675">
        <v>0</v>
      </c>
      <c r="IZ181" s="675">
        <v>0</v>
      </c>
      <c r="JA181" s="675">
        <v>0</v>
      </c>
      <c r="JB181" s="675">
        <v>0</v>
      </c>
      <c r="JC181" s="675">
        <v>0</v>
      </c>
      <c r="JD181" s="675">
        <v>0</v>
      </c>
      <c r="JE181" s="675">
        <v>0</v>
      </c>
      <c r="JF181" s="675">
        <v>0</v>
      </c>
      <c r="JG181" s="675">
        <v>0</v>
      </c>
      <c r="JH181" s="675">
        <v>0</v>
      </c>
      <c r="JI181" s="675">
        <v>0</v>
      </c>
      <c r="JJ181" s="675">
        <v>0</v>
      </c>
      <c r="JK181" s="675">
        <v>0</v>
      </c>
      <c r="JL181" s="675">
        <v>0</v>
      </c>
      <c r="JM181" s="675">
        <v>0</v>
      </c>
      <c r="JN181" s="675">
        <v>32469</v>
      </c>
      <c r="JO181" s="675">
        <v>0</v>
      </c>
      <c r="JP181" s="675">
        <v>0</v>
      </c>
      <c r="JQ181" s="675">
        <v>0</v>
      </c>
      <c r="JR181" s="675">
        <v>0</v>
      </c>
      <c r="JS181" s="675">
        <v>0</v>
      </c>
      <c r="JT181" s="675">
        <v>0</v>
      </c>
      <c r="JU181" s="675">
        <v>0</v>
      </c>
      <c r="JV181" s="675">
        <v>0</v>
      </c>
      <c r="JW181" s="675">
        <v>0</v>
      </c>
      <c r="JX181" s="675">
        <v>0</v>
      </c>
      <c r="JY181" s="675">
        <v>0</v>
      </c>
      <c r="JZ181" s="675">
        <v>0</v>
      </c>
      <c r="KA181" s="675">
        <v>0</v>
      </c>
      <c r="KB181" s="675">
        <v>0</v>
      </c>
      <c r="KC181" s="675">
        <v>0</v>
      </c>
      <c r="KD181" s="675">
        <v>0</v>
      </c>
      <c r="KE181" s="675">
        <v>0</v>
      </c>
      <c r="KF181" s="675">
        <v>0</v>
      </c>
    </row>
    <row r="182" spans="1:292" x14ac:dyDescent="0.25">
      <c r="A182" s="675">
        <v>227827</v>
      </c>
      <c r="B182" s="675">
        <v>32570</v>
      </c>
      <c r="C182" s="675">
        <v>35</v>
      </c>
      <c r="D182" s="675">
        <v>2022</v>
      </c>
      <c r="E182" s="675">
        <v>5392</v>
      </c>
      <c r="F182" s="675">
        <v>0</v>
      </c>
      <c r="G182" s="675">
        <v>461.21300000000002</v>
      </c>
      <c r="H182" s="675">
        <v>421.03200000000004</v>
      </c>
      <c r="I182" s="675">
        <v>421.03200000000004</v>
      </c>
      <c r="J182" s="675">
        <v>461.21300000000002</v>
      </c>
      <c r="K182" s="675">
        <v>0</v>
      </c>
      <c r="L182" s="675">
        <v>6554</v>
      </c>
      <c r="M182" s="675">
        <v>0</v>
      </c>
      <c r="N182" s="675">
        <v>0</v>
      </c>
      <c r="O182" s="675">
        <v>0</v>
      </c>
      <c r="P182" s="675">
        <v>209.762</v>
      </c>
      <c r="Q182" s="675">
        <v>0</v>
      </c>
      <c r="R182" s="675">
        <v>67064</v>
      </c>
      <c r="S182" s="675">
        <v>319.71300000000002</v>
      </c>
      <c r="T182" s="675">
        <v>0</v>
      </c>
      <c r="U182" s="675">
        <v>67064</v>
      </c>
      <c r="V182" s="675">
        <v>83.89200000000001</v>
      </c>
      <c r="W182" s="675">
        <v>54983</v>
      </c>
      <c r="X182" s="675">
        <v>54983</v>
      </c>
      <c r="Y182" s="675">
        <v>0</v>
      </c>
      <c r="Z182" s="675">
        <v>0</v>
      </c>
      <c r="AA182" s="675">
        <v>1</v>
      </c>
      <c r="AB182" s="675">
        <v>1</v>
      </c>
      <c r="AC182" s="675">
        <v>0</v>
      </c>
      <c r="AD182" s="675" t="s">
        <v>316</v>
      </c>
      <c r="AE182" s="675">
        <v>0</v>
      </c>
      <c r="AF182" s="675">
        <v>0</v>
      </c>
      <c r="AG182" s="675">
        <v>0</v>
      </c>
      <c r="AH182" s="675">
        <v>0</v>
      </c>
      <c r="AI182" s="675">
        <v>0</v>
      </c>
      <c r="AJ182" s="675">
        <v>5104</v>
      </c>
      <c r="AK182" s="675" t="s">
        <v>671</v>
      </c>
      <c r="AL182" s="675" t="s">
        <v>368</v>
      </c>
      <c r="AM182" s="675">
        <v>0</v>
      </c>
      <c r="AN182" s="675">
        <v>0</v>
      </c>
      <c r="AO182" s="675">
        <v>0</v>
      </c>
      <c r="AP182" s="675">
        <v>0</v>
      </c>
      <c r="AQ182" s="675">
        <v>0</v>
      </c>
      <c r="AR182" s="675">
        <v>0</v>
      </c>
      <c r="AS182" s="675">
        <v>0</v>
      </c>
      <c r="AT182" s="675">
        <v>0</v>
      </c>
      <c r="AU182" s="675">
        <v>0</v>
      </c>
      <c r="AV182" s="675">
        <v>-346691</v>
      </c>
      <c r="AW182" s="675">
        <v>4487523</v>
      </c>
      <c r="AX182" s="675">
        <v>4360695</v>
      </c>
      <c r="AY182" s="675">
        <v>4487015</v>
      </c>
      <c r="AZ182" s="675">
        <v>193892</v>
      </c>
      <c r="BA182" s="675">
        <v>0</v>
      </c>
      <c r="BB182" s="675">
        <v>0</v>
      </c>
      <c r="BC182" s="675">
        <v>0</v>
      </c>
      <c r="BD182" s="675">
        <v>0</v>
      </c>
      <c r="BE182" s="675">
        <v>0</v>
      </c>
      <c r="BF182" s="675">
        <v>3642422</v>
      </c>
      <c r="BG182" s="675">
        <v>0</v>
      </c>
      <c r="BH182" s="675">
        <v>461.19100000000003</v>
      </c>
      <c r="BI182" s="675">
        <v>126828</v>
      </c>
      <c r="BJ182" s="675">
        <v>12</v>
      </c>
      <c r="BK182" s="675">
        <v>0</v>
      </c>
      <c r="BL182" s="675">
        <v>0</v>
      </c>
      <c r="BM182" s="675">
        <v>0</v>
      </c>
      <c r="BN182" s="675">
        <v>0</v>
      </c>
      <c r="BO182" s="675">
        <v>0</v>
      </c>
      <c r="BP182" s="675">
        <v>0</v>
      </c>
      <c r="BQ182" s="675">
        <v>5392</v>
      </c>
      <c r="BR182" s="675">
        <v>1</v>
      </c>
      <c r="BS182" s="675">
        <v>0</v>
      </c>
      <c r="BT182" s="675">
        <v>0</v>
      </c>
      <c r="BU182" s="675">
        <v>0</v>
      </c>
      <c r="BV182" s="675">
        <v>0</v>
      </c>
      <c r="BW182" s="675">
        <v>0</v>
      </c>
      <c r="BX182" s="675">
        <v>0</v>
      </c>
      <c r="BY182" s="675">
        <v>0</v>
      </c>
      <c r="BZ182" s="675">
        <v>0</v>
      </c>
      <c r="CA182" s="675">
        <v>0</v>
      </c>
      <c r="CB182" s="675">
        <v>0</v>
      </c>
      <c r="CC182" s="675">
        <v>0</v>
      </c>
      <c r="CD182" s="675">
        <v>0</v>
      </c>
      <c r="CE182" s="675">
        <v>0</v>
      </c>
      <c r="CF182" s="675">
        <v>0</v>
      </c>
      <c r="CG182" s="675">
        <v>0</v>
      </c>
      <c r="CH182" s="675">
        <v>0</v>
      </c>
      <c r="CI182" s="675">
        <v>0</v>
      </c>
      <c r="CJ182" s="675">
        <v>4</v>
      </c>
      <c r="CK182" s="675">
        <v>0</v>
      </c>
      <c r="CL182" s="675">
        <v>0</v>
      </c>
      <c r="CM182" s="675">
        <v>0</v>
      </c>
      <c r="CN182" s="675">
        <v>0</v>
      </c>
      <c r="CO182" s="675">
        <v>0</v>
      </c>
      <c r="CP182" s="675">
        <v>0.499</v>
      </c>
      <c r="CQ182" s="675">
        <v>0</v>
      </c>
      <c r="CR182" s="675">
        <v>209.762</v>
      </c>
      <c r="CS182" s="675">
        <v>0</v>
      </c>
      <c r="CT182" s="675">
        <v>0</v>
      </c>
      <c r="CU182" s="675">
        <v>0</v>
      </c>
      <c r="CV182" s="675">
        <v>0</v>
      </c>
      <c r="CW182" s="675">
        <v>0</v>
      </c>
      <c r="CX182" s="675">
        <v>0</v>
      </c>
      <c r="CY182" s="675">
        <v>0</v>
      </c>
      <c r="CZ182" s="675">
        <v>0</v>
      </c>
      <c r="DA182" s="675">
        <v>1</v>
      </c>
      <c r="DB182" s="675">
        <v>2759444</v>
      </c>
      <c r="DC182" s="675">
        <v>0</v>
      </c>
      <c r="DD182" s="675">
        <v>0</v>
      </c>
      <c r="DE182" s="675">
        <v>564077</v>
      </c>
      <c r="DF182" s="675">
        <v>571959</v>
      </c>
      <c r="DG182" s="675">
        <v>430.33</v>
      </c>
      <c r="DH182" s="675">
        <v>0</v>
      </c>
      <c r="DI182" s="675">
        <v>7882</v>
      </c>
      <c r="DJ182" s="675">
        <v>0</v>
      </c>
      <c r="DK182" s="675">
        <v>5392</v>
      </c>
      <c r="DL182" s="675">
        <v>0</v>
      </c>
      <c r="DM182" s="675">
        <v>526</v>
      </c>
      <c r="DN182" s="675">
        <v>0</v>
      </c>
      <c r="DO182" s="675">
        <v>0</v>
      </c>
      <c r="DP182" s="675">
        <v>0</v>
      </c>
      <c r="DQ182" s="675">
        <v>0</v>
      </c>
      <c r="DR182" s="675">
        <v>0</v>
      </c>
      <c r="DS182" s="675">
        <v>0</v>
      </c>
      <c r="DT182" s="675">
        <v>0</v>
      </c>
      <c r="DU182" s="675">
        <v>0</v>
      </c>
      <c r="DV182" s="675">
        <v>0</v>
      </c>
      <c r="DW182" s="675">
        <v>0</v>
      </c>
      <c r="DX182" s="675">
        <v>0</v>
      </c>
      <c r="DY182" s="675">
        <v>0</v>
      </c>
      <c r="DZ182" s="675">
        <v>0</v>
      </c>
      <c r="EA182" s="675">
        <v>0</v>
      </c>
      <c r="EB182" s="675">
        <v>0</v>
      </c>
      <c r="EC182" s="675">
        <v>7.3000000000000009E-2</v>
      </c>
      <c r="ED182" s="675">
        <v>526</v>
      </c>
      <c r="EE182" s="675">
        <v>0</v>
      </c>
      <c r="EF182" s="675">
        <v>0</v>
      </c>
      <c r="EG182" s="675">
        <v>0</v>
      </c>
      <c r="EH182" s="675">
        <v>0</v>
      </c>
      <c r="EI182" s="675">
        <v>0</v>
      </c>
      <c r="EJ182" s="675">
        <v>0</v>
      </c>
      <c r="EK182" s="675">
        <v>0</v>
      </c>
      <c r="EL182" s="675">
        <v>0</v>
      </c>
      <c r="EM182" s="675">
        <v>0</v>
      </c>
      <c r="EN182" s="675">
        <v>0</v>
      </c>
      <c r="EO182" s="675">
        <v>0</v>
      </c>
      <c r="EP182" s="675">
        <v>0</v>
      </c>
      <c r="EQ182" s="675">
        <v>0</v>
      </c>
      <c r="ER182" s="675">
        <v>0</v>
      </c>
      <c r="ES182" s="675">
        <v>0</v>
      </c>
      <c r="ET182" s="675">
        <v>0</v>
      </c>
      <c r="EU182" s="675">
        <v>193892</v>
      </c>
      <c r="EV182" s="675">
        <v>0</v>
      </c>
      <c r="EW182" s="675">
        <v>0</v>
      </c>
      <c r="EX182" s="675">
        <v>0</v>
      </c>
      <c r="EY182" s="675">
        <v>0</v>
      </c>
      <c r="EZ182" s="675">
        <v>3681204</v>
      </c>
      <c r="FA182" s="675">
        <v>0</v>
      </c>
      <c r="FB182" s="675">
        <v>3875096</v>
      </c>
      <c r="FC182" s="675">
        <v>0.97327799999999998</v>
      </c>
      <c r="FD182" s="675">
        <v>0</v>
      </c>
      <c r="FE182" s="675">
        <v>554529</v>
      </c>
      <c r="FF182" s="675">
        <v>124962</v>
      </c>
      <c r="FG182" s="675">
        <v>6.1239999999999996E-2</v>
      </c>
      <c r="FH182" s="675">
        <v>5.4803999999999999E-2</v>
      </c>
      <c r="FI182" s="675">
        <v>0</v>
      </c>
      <c r="FJ182" s="675">
        <v>0</v>
      </c>
      <c r="FK182" s="675">
        <v>713.66500000000008</v>
      </c>
      <c r="FL182" s="675">
        <v>4554587</v>
      </c>
      <c r="FM182" s="675">
        <v>0</v>
      </c>
      <c r="FN182" s="675">
        <v>0</v>
      </c>
      <c r="FO182" s="675">
        <v>5839</v>
      </c>
      <c r="FP182" s="675">
        <v>0</v>
      </c>
      <c r="FQ182" s="675">
        <v>5839</v>
      </c>
      <c r="FR182" s="675">
        <v>5839</v>
      </c>
      <c r="FS182" s="675">
        <v>0</v>
      </c>
      <c r="FT182" s="675">
        <v>0</v>
      </c>
      <c r="FU182" s="675">
        <v>0</v>
      </c>
      <c r="FV182" s="675">
        <v>0</v>
      </c>
      <c r="FW182" s="675">
        <v>0</v>
      </c>
      <c r="FX182" s="675">
        <v>0</v>
      </c>
      <c r="FY182" s="675">
        <v>0</v>
      </c>
      <c r="FZ182" s="675">
        <v>0</v>
      </c>
      <c r="GA182" s="675">
        <v>0</v>
      </c>
      <c r="GB182" s="675">
        <v>355517</v>
      </c>
      <c r="GC182" s="675">
        <v>355517</v>
      </c>
      <c r="GD182" s="675">
        <v>40.181000000000004</v>
      </c>
      <c r="GE182" s="675">
        <v>0</v>
      </c>
      <c r="GF182" s="675">
        <v>0</v>
      </c>
      <c r="GG182" s="675">
        <v>0</v>
      </c>
      <c r="GH182" s="675">
        <v>0</v>
      </c>
      <c r="GI182" s="675">
        <v>0</v>
      </c>
      <c r="GJ182" s="675">
        <v>0</v>
      </c>
      <c r="GK182" s="675">
        <v>0</v>
      </c>
      <c r="GL182" s="675">
        <v>0</v>
      </c>
      <c r="GM182" s="675">
        <v>0</v>
      </c>
      <c r="GN182" s="675">
        <v>0</v>
      </c>
      <c r="GO182" s="675">
        <v>0</v>
      </c>
      <c r="GP182" s="675">
        <v>4554587</v>
      </c>
      <c r="GQ182" s="675">
        <v>4554587</v>
      </c>
      <c r="GR182" s="675">
        <v>0</v>
      </c>
      <c r="GS182" s="675">
        <v>0</v>
      </c>
      <c r="GT182" s="675">
        <v>0</v>
      </c>
      <c r="GU182" s="675">
        <v>0</v>
      </c>
      <c r="GV182" s="675">
        <v>0</v>
      </c>
      <c r="GW182" s="675">
        <v>0</v>
      </c>
      <c r="GX182" s="675">
        <v>0</v>
      </c>
      <c r="GY182" s="675">
        <v>0</v>
      </c>
      <c r="GZ182" s="675">
        <v>0</v>
      </c>
      <c r="HA182" s="675">
        <v>0</v>
      </c>
      <c r="HB182" s="675">
        <v>0</v>
      </c>
      <c r="HC182" s="675">
        <v>0</v>
      </c>
      <c r="HD182" s="675">
        <v>0</v>
      </c>
      <c r="HE182" s="675">
        <v>0</v>
      </c>
      <c r="HF182" s="675">
        <v>0</v>
      </c>
      <c r="HG182" s="675">
        <v>0</v>
      </c>
      <c r="HH182" s="675">
        <v>0</v>
      </c>
      <c r="HI182" s="675">
        <v>0</v>
      </c>
      <c r="HJ182" s="675">
        <v>0</v>
      </c>
      <c r="HK182" s="675">
        <v>0</v>
      </c>
      <c r="HL182" s="675">
        <v>0</v>
      </c>
      <c r="HM182" s="675">
        <v>0</v>
      </c>
      <c r="HN182" s="675">
        <v>0</v>
      </c>
      <c r="HO182" s="675">
        <v>0</v>
      </c>
      <c r="HP182" s="675">
        <v>0</v>
      </c>
      <c r="HQ182" s="675">
        <v>0</v>
      </c>
      <c r="HR182" s="675">
        <v>0</v>
      </c>
      <c r="HS182" s="675">
        <v>0</v>
      </c>
      <c r="HT182" s="675">
        <v>0</v>
      </c>
      <c r="HU182" s="675">
        <v>0</v>
      </c>
      <c r="HV182" s="675">
        <v>0</v>
      </c>
      <c r="HW182" s="675">
        <v>0</v>
      </c>
      <c r="HX182" s="675">
        <v>0</v>
      </c>
      <c r="HY182" s="675">
        <v>0</v>
      </c>
      <c r="HZ182" s="675">
        <v>0</v>
      </c>
      <c r="IA182" s="675">
        <v>0</v>
      </c>
      <c r="IB182" s="675">
        <v>0</v>
      </c>
      <c r="IC182" s="675">
        <v>0</v>
      </c>
      <c r="ID182" s="675">
        <v>0</v>
      </c>
      <c r="IE182" s="675">
        <v>0</v>
      </c>
      <c r="IF182" s="675">
        <v>0</v>
      </c>
      <c r="IG182" s="675">
        <v>0</v>
      </c>
      <c r="IH182" s="675">
        <v>0</v>
      </c>
      <c r="II182" s="675">
        <v>0</v>
      </c>
      <c r="IJ182" s="675">
        <v>0</v>
      </c>
      <c r="IK182" s="675">
        <v>0</v>
      </c>
      <c r="IL182" s="675">
        <v>0</v>
      </c>
      <c r="IM182" s="675">
        <v>0</v>
      </c>
      <c r="IN182" s="675">
        <v>0</v>
      </c>
      <c r="IO182" s="675">
        <v>0</v>
      </c>
      <c r="IP182" s="675">
        <v>0</v>
      </c>
      <c r="IQ182" s="675">
        <v>0</v>
      </c>
      <c r="IR182" s="675">
        <v>0</v>
      </c>
      <c r="IS182" s="675">
        <v>0</v>
      </c>
      <c r="IT182" s="675">
        <v>0</v>
      </c>
      <c r="IU182" s="675">
        <v>0</v>
      </c>
      <c r="IV182" s="675">
        <v>0</v>
      </c>
      <c r="IW182" s="675">
        <v>0</v>
      </c>
      <c r="IX182" s="675">
        <v>0</v>
      </c>
      <c r="IY182" s="675">
        <v>0</v>
      </c>
      <c r="IZ182" s="675">
        <v>0</v>
      </c>
      <c r="JA182" s="675">
        <v>0</v>
      </c>
      <c r="JB182" s="675">
        <v>0</v>
      </c>
      <c r="JC182" s="675">
        <v>0</v>
      </c>
      <c r="JD182" s="675">
        <v>0</v>
      </c>
      <c r="JE182" s="675">
        <v>0</v>
      </c>
      <c r="JF182" s="675">
        <v>0</v>
      </c>
      <c r="JG182" s="675">
        <v>0</v>
      </c>
      <c r="JH182" s="675">
        <v>0</v>
      </c>
      <c r="JI182" s="675">
        <v>0</v>
      </c>
      <c r="JJ182" s="675">
        <v>0</v>
      </c>
      <c r="JK182" s="675">
        <v>0</v>
      </c>
      <c r="JL182" s="675">
        <v>0</v>
      </c>
      <c r="JM182" s="675">
        <v>0</v>
      </c>
      <c r="JN182" s="675">
        <v>32469</v>
      </c>
      <c r="JO182" s="675">
        <v>0</v>
      </c>
      <c r="JP182" s="675">
        <v>0</v>
      </c>
      <c r="JQ182" s="675">
        <v>0</v>
      </c>
      <c r="JR182" s="675">
        <v>0</v>
      </c>
      <c r="JS182" s="675">
        <v>0</v>
      </c>
      <c r="JT182" s="675">
        <v>0</v>
      </c>
      <c r="JU182" s="675">
        <v>0</v>
      </c>
      <c r="JV182" s="675">
        <v>0</v>
      </c>
      <c r="JW182" s="675">
        <v>0</v>
      </c>
      <c r="JX182" s="675">
        <v>0</v>
      </c>
      <c r="JY182" s="675">
        <v>0</v>
      </c>
      <c r="JZ182" s="675">
        <v>0</v>
      </c>
      <c r="KA182" s="675">
        <v>0</v>
      </c>
      <c r="KB182" s="675">
        <v>0</v>
      </c>
      <c r="KC182" s="675">
        <v>0</v>
      </c>
      <c r="KD182" s="675">
        <v>0</v>
      </c>
      <c r="KE182" s="675">
        <v>0</v>
      </c>
      <c r="KF182" s="675">
        <v>0</v>
      </c>
    </row>
    <row r="183" spans="1:292" x14ac:dyDescent="0.25">
      <c r="A183" s="675">
        <v>227829</v>
      </c>
      <c r="B183" s="675">
        <v>32570</v>
      </c>
      <c r="C183" s="675">
        <v>35</v>
      </c>
      <c r="D183" s="675">
        <v>2022</v>
      </c>
      <c r="E183" s="675">
        <v>5392</v>
      </c>
      <c r="F183" s="675">
        <v>0</v>
      </c>
      <c r="G183" s="675">
        <v>512.06799999999998</v>
      </c>
      <c r="H183" s="675">
        <v>500.72400000000005</v>
      </c>
      <c r="I183" s="675">
        <v>500.72400000000005</v>
      </c>
      <c r="J183" s="675">
        <v>512.06799999999998</v>
      </c>
      <c r="K183" s="675">
        <v>0</v>
      </c>
      <c r="L183" s="675">
        <v>6554</v>
      </c>
      <c r="M183" s="675">
        <v>0</v>
      </c>
      <c r="N183" s="675">
        <v>0</v>
      </c>
      <c r="O183" s="675">
        <v>0</v>
      </c>
      <c r="P183" s="675">
        <v>443.61200000000002</v>
      </c>
      <c r="Q183" s="675">
        <v>0</v>
      </c>
      <c r="R183" s="675">
        <v>141829</v>
      </c>
      <c r="S183" s="675">
        <v>319.71300000000002</v>
      </c>
      <c r="T183" s="675">
        <v>0</v>
      </c>
      <c r="U183" s="675">
        <v>141829</v>
      </c>
      <c r="V183" s="675">
        <v>0</v>
      </c>
      <c r="W183" s="675">
        <v>0</v>
      </c>
      <c r="X183" s="675">
        <v>0</v>
      </c>
      <c r="Y183" s="675">
        <v>0</v>
      </c>
      <c r="Z183" s="675">
        <v>0</v>
      </c>
      <c r="AA183" s="675">
        <v>1</v>
      </c>
      <c r="AB183" s="675">
        <v>1</v>
      </c>
      <c r="AC183" s="675">
        <v>0</v>
      </c>
      <c r="AD183" s="675" t="s">
        <v>316</v>
      </c>
      <c r="AE183" s="675">
        <v>0</v>
      </c>
      <c r="AF183" s="675">
        <v>0</v>
      </c>
      <c r="AG183" s="675">
        <v>0</v>
      </c>
      <c r="AH183" s="675">
        <v>0</v>
      </c>
      <c r="AI183" s="675">
        <v>0</v>
      </c>
      <c r="AJ183" s="675">
        <v>5104</v>
      </c>
      <c r="AK183" s="675" t="s">
        <v>671</v>
      </c>
      <c r="AL183" s="675" t="s">
        <v>451</v>
      </c>
      <c r="AM183" s="675">
        <v>0</v>
      </c>
      <c r="AN183" s="675">
        <v>0</v>
      </c>
      <c r="AO183" s="675">
        <v>0</v>
      </c>
      <c r="AP183" s="675">
        <v>0</v>
      </c>
      <c r="AQ183" s="675">
        <v>0</v>
      </c>
      <c r="AR183" s="675">
        <v>0</v>
      </c>
      <c r="AS183" s="675">
        <v>0</v>
      </c>
      <c r="AT183" s="675">
        <v>0</v>
      </c>
      <c r="AU183" s="675">
        <v>0</v>
      </c>
      <c r="AV183" s="675">
        <v>90</v>
      </c>
      <c r="AW183" s="675">
        <v>4364486</v>
      </c>
      <c r="AX183" s="675">
        <v>4257440</v>
      </c>
      <c r="AY183" s="675">
        <v>4524932</v>
      </c>
      <c r="AZ183" s="675">
        <v>147958</v>
      </c>
      <c r="BA183" s="675">
        <v>0</v>
      </c>
      <c r="BB183" s="675">
        <v>0</v>
      </c>
      <c r="BC183" s="675">
        <v>0</v>
      </c>
      <c r="BD183" s="675">
        <v>0</v>
      </c>
      <c r="BE183" s="675">
        <v>0</v>
      </c>
      <c r="BF183" s="675">
        <v>3623763</v>
      </c>
      <c r="BG183" s="675">
        <v>0</v>
      </c>
      <c r="BH183" s="675">
        <v>22.287000000000003</v>
      </c>
      <c r="BI183" s="675">
        <v>6129</v>
      </c>
      <c r="BJ183" s="675">
        <v>12</v>
      </c>
      <c r="BK183" s="675">
        <v>0</v>
      </c>
      <c r="BL183" s="675">
        <v>0</v>
      </c>
      <c r="BM183" s="675">
        <v>0</v>
      </c>
      <c r="BN183" s="675">
        <v>0</v>
      </c>
      <c r="BO183" s="675">
        <v>0</v>
      </c>
      <c r="BP183" s="675">
        <v>0</v>
      </c>
      <c r="BQ183" s="675">
        <v>5392</v>
      </c>
      <c r="BR183" s="675">
        <v>1</v>
      </c>
      <c r="BS183" s="675">
        <v>0</v>
      </c>
      <c r="BT183" s="675">
        <v>0</v>
      </c>
      <c r="BU183" s="675">
        <v>0</v>
      </c>
      <c r="BV183" s="675">
        <v>0</v>
      </c>
      <c r="BW183" s="675">
        <v>0</v>
      </c>
      <c r="BX183" s="675">
        <v>0</v>
      </c>
      <c r="BY183" s="675">
        <v>0</v>
      </c>
      <c r="BZ183" s="675">
        <v>0</v>
      </c>
      <c r="CA183" s="675">
        <v>0</v>
      </c>
      <c r="CB183" s="675">
        <v>0</v>
      </c>
      <c r="CC183" s="675">
        <v>0</v>
      </c>
      <c r="CD183" s="675">
        <v>0</v>
      </c>
      <c r="CE183" s="675">
        <v>0</v>
      </c>
      <c r="CF183" s="675">
        <v>0</v>
      </c>
      <c r="CG183" s="675">
        <v>0</v>
      </c>
      <c r="CH183" s="675">
        <v>100917</v>
      </c>
      <c r="CI183" s="675">
        <v>0</v>
      </c>
      <c r="CJ183" s="675">
        <v>4</v>
      </c>
      <c r="CK183" s="675">
        <v>0</v>
      </c>
      <c r="CL183" s="675">
        <v>0</v>
      </c>
      <c r="CM183" s="675">
        <v>0</v>
      </c>
      <c r="CN183" s="675">
        <v>0</v>
      </c>
      <c r="CO183" s="675">
        <v>0</v>
      </c>
      <c r="CP183" s="675">
        <v>0</v>
      </c>
      <c r="CQ183" s="675">
        <v>0</v>
      </c>
      <c r="CR183" s="675">
        <v>443.61200000000002</v>
      </c>
      <c r="CS183" s="675">
        <v>0</v>
      </c>
      <c r="CT183" s="675">
        <v>0</v>
      </c>
      <c r="CU183" s="675">
        <v>0</v>
      </c>
      <c r="CV183" s="675">
        <v>0</v>
      </c>
      <c r="CW183" s="675">
        <v>0</v>
      </c>
      <c r="CX183" s="675">
        <v>0</v>
      </c>
      <c r="CY183" s="675">
        <v>0</v>
      </c>
      <c r="CZ183" s="675">
        <v>0</v>
      </c>
      <c r="DA183" s="675">
        <v>1</v>
      </c>
      <c r="DB183" s="675">
        <v>3281745</v>
      </c>
      <c r="DC183" s="675">
        <v>0</v>
      </c>
      <c r="DD183" s="675">
        <v>0</v>
      </c>
      <c r="DE183" s="675">
        <v>161447</v>
      </c>
      <c r="DF183" s="675">
        <v>161447</v>
      </c>
      <c r="DG183" s="675">
        <v>123.167</v>
      </c>
      <c r="DH183" s="675">
        <v>0</v>
      </c>
      <c r="DI183" s="675">
        <v>0</v>
      </c>
      <c r="DJ183" s="675">
        <v>0</v>
      </c>
      <c r="DK183" s="675">
        <v>5392</v>
      </c>
      <c r="DL183" s="675">
        <v>0</v>
      </c>
      <c r="DM183" s="675">
        <v>280066</v>
      </c>
      <c r="DN183" s="675">
        <v>0</v>
      </c>
      <c r="DO183" s="675">
        <v>0</v>
      </c>
      <c r="DP183" s="675">
        <v>0</v>
      </c>
      <c r="DQ183" s="675">
        <v>0</v>
      </c>
      <c r="DR183" s="675">
        <v>0</v>
      </c>
      <c r="DS183" s="675">
        <v>0</v>
      </c>
      <c r="DT183" s="675">
        <v>0</v>
      </c>
      <c r="DU183" s="675">
        <v>0</v>
      </c>
      <c r="DV183" s="675">
        <v>0</v>
      </c>
      <c r="DW183" s="675">
        <v>0</v>
      </c>
      <c r="DX183" s="675">
        <v>0</v>
      </c>
      <c r="DY183" s="675">
        <v>0</v>
      </c>
      <c r="DZ183" s="675">
        <v>0</v>
      </c>
      <c r="EA183" s="675">
        <v>0</v>
      </c>
      <c r="EB183" s="675">
        <v>0</v>
      </c>
      <c r="EC183" s="675">
        <v>6.7709999999999999</v>
      </c>
      <c r="ED183" s="675">
        <v>48815</v>
      </c>
      <c r="EE183" s="675">
        <v>0</v>
      </c>
      <c r="EF183" s="675">
        <v>0</v>
      </c>
      <c r="EG183" s="675">
        <v>0</v>
      </c>
      <c r="EH183" s="675">
        <v>231251</v>
      </c>
      <c r="EI183" s="675">
        <v>0</v>
      </c>
      <c r="EJ183" s="675">
        <v>0</v>
      </c>
      <c r="EK183" s="675">
        <v>10.718</v>
      </c>
      <c r="EL183" s="675">
        <v>0</v>
      </c>
      <c r="EM183" s="675">
        <v>0</v>
      </c>
      <c r="EN183" s="675">
        <v>0.626</v>
      </c>
      <c r="EO183" s="675">
        <v>0</v>
      </c>
      <c r="EP183" s="675">
        <v>0</v>
      </c>
      <c r="EQ183" s="675">
        <v>11.344000000000001</v>
      </c>
      <c r="ER183" s="675">
        <v>0</v>
      </c>
      <c r="ES183" s="675">
        <v>35.283999999999999</v>
      </c>
      <c r="ET183" s="675">
        <v>0</v>
      </c>
      <c r="EU183" s="675">
        <v>147958</v>
      </c>
      <c r="EV183" s="675">
        <v>0</v>
      </c>
      <c r="EW183" s="675">
        <v>0</v>
      </c>
      <c r="EX183" s="675">
        <v>0</v>
      </c>
      <c r="EY183" s="675">
        <v>0</v>
      </c>
      <c r="EZ183" s="675">
        <v>3581429</v>
      </c>
      <c r="FA183" s="675">
        <v>0</v>
      </c>
      <c r="FB183" s="675">
        <v>3729387</v>
      </c>
      <c r="FC183" s="675">
        <v>0.97327799999999998</v>
      </c>
      <c r="FD183" s="675">
        <v>0</v>
      </c>
      <c r="FE183" s="675">
        <v>551689</v>
      </c>
      <c r="FF183" s="675">
        <v>124322</v>
      </c>
      <c r="FG183" s="675">
        <v>6.1239999999999996E-2</v>
      </c>
      <c r="FH183" s="675">
        <v>5.4803999999999999E-2</v>
      </c>
      <c r="FI183" s="675">
        <v>0</v>
      </c>
      <c r="FJ183" s="675">
        <v>0</v>
      </c>
      <c r="FK183" s="675">
        <v>710.00900000000001</v>
      </c>
      <c r="FL183" s="675">
        <v>4506315</v>
      </c>
      <c r="FM183" s="675">
        <v>0</v>
      </c>
      <c r="FN183" s="675">
        <v>0</v>
      </c>
      <c r="FO183" s="675">
        <v>0</v>
      </c>
      <c r="FP183" s="675">
        <v>0</v>
      </c>
      <c r="FQ183" s="675">
        <v>0</v>
      </c>
      <c r="FR183" s="675">
        <v>0</v>
      </c>
      <c r="FS183" s="675">
        <v>0</v>
      </c>
      <c r="FT183" s="675">
        <v>0</v>
      </c>
      <c r="FU183" s="675">
        <v>0</v>
      </c>
      <c r="FV183" s="675">
        <v>0</v>
      </c>
      <c r="FW183" s="675">
        <v>0</v>
      </c>
      <c r="FX183" s="675">
        <v>0</v>
      </c>
      <c r="FY183" s="675">
        <v>0</v>
      </c>
      <c r="FZ183" s="675">
        <v>0</v>
      </c>
      <c r="GA183" s="675">
        <v>0</v>
      </c>
      <c r="GB183" s="675">
        <v>0</v>
      </c>
      <c r="GC183" s="675">
        <v>0</v>
      </c>
      <c r="GD183" s="675">
        <v>0</v>
      </c>
      <c r="GE183" s="675">
        <v>0</v>
      </c>
      <c r="GF183" s="675">
        <v>0</v>
      </c>
      <c r="GG183" s="675">
        <v>0</v>
      </c>
      <c r="GH183" s="675">
        <v>0</v>
      </c>
      <c r="GI183" s="675">
        <v>0</v>
      </c>
      <c r="GJ183" s="675">
        <v>0</v>
      </c>
      <c r="GK183" s="675">
        <v>0</v>
      </c>
      <c r="GL183" s="675">
        <v>0</v>
      </c>
      <c r="GM183" s="675">
        <v>0</v>
      </c>
      <c r="GN183" s="675">
        <v>0</v>
      </c>
      <c r="GO183" s="675">
        <v>0</v>
      </c>
      <c r="GP183" s="675">
        <v>4405398</v>
      </c>
      <c r="GQ183" s="675">
        <v>4405398</v>
      </c>
      <c r="GR183" s="675">
        <v>0</v>
      </c>
      <c r="GS183" s="675">
        <v>0</v>
      </c>
      <c r="GT183" s="675">
        <v>0</v>
      </c>
      <c r="GU183" s="675">
        <v>0</v>
      </c>
      <c r="GV183" s="675">
        <v>0</v>
      </c>
      <c r="GW183" s="675">
        <v>0</v>
      </c>
      <c r="GX183" s="675">
        <v>0</v>
      </c>
      <c r="GY183" s="675">
        <v>0</v>
      </c>
      <c r="GZ183" s="675">
        <v>0</v>
      </c>
      <c r="HA183" s="675">
        <v>0</v>
      </c>
      <c r="HB183" s="675">
        <v>260786259</v>
      </c>
      <c r="HC183" s="675">
        <v>5.0923999999999997E-2</v>
      </c>
      <c r="HD183" s="675">
        <v>100917</v>
      </c>
      <c r="HE183" s="675">
        <v>0</v>
      </c>
      <c r="HF183" s="675">
        <v>0</v>
      </c>
      <c r="HG183" s="675">
        <v>0</v>
      </c>
      <c r="HH183" s="675">
        <v>0</v>
      </c>
      <c r="HI183" s="675">
        <v>0</v>
      </c>
      <c r="HJ183" s="675">
        <v>0</v>
      </c>
      <c r="HK183" s="675">
        <v>0</v>
      </c>
      <c r="HL183" s="675">
        <v>0</v>
      </c>
      <c r="HM183" s="675">
        <v>0</v>
      </c>
      <c r="HN183" s="675">
        <v>0</v>
      </c>
      <c r="HO183" s="675">
        <v>0</v>
      </c>
      <c r="HP183" s="675">
        <v>0</v>
      </c>
      <c r="HQ183" s="675">
        <v>0</v>
      </c>
      <c r="HR183" s="675">
        <v>0</v>
      </c>
      <c r="HS183" s="675">
        <v>0</v>
      </c>
      <c r="HT183" s="675">
        <v>0</v>
      </c>
      <c r="HU183" s="675">
        <v>0</v>
      </c>
      <c r="HV183" s="675">
        <v>0</v>
      </c>
      <c r="HW183" s="675">
        <v>0</v>
      </c>
      <c r="HX183" s="675">
        <v>0</v>
      </c>
      <c r="HY183" s="675">
        <v>0</v>
      </c>
      <c r="HZ183" s="675">
        <v>0</v>
      </c>
      <c r="IA183" s="675">
        <v>0</v>
      </c>
      <c r="IB183" s="675">
        <v>0</v>
      </c>
      <c r="IC183" s="675">
        <v>0</v>
      </c>
      <c r="ID183" s="675">
        <v>0</v>
      </c>
      <c r="IE183" s="675">
        <v>0</v>
      </c>
      <c r="IF183" s="675">
        <v>0</v>
      </c>
      <c r="IG183" s="675">
        <v>0</v>
      </c>
      <c r="IH183" s="675">
        <v>0</v>
      </c>
      <c r="II183" s="675">
        <v>0</v>
      </c>
      <c r="IJ183" s="675">
        <v>0</v>
      </c>
      <c r="IK183" s="675">
        <v>0</v>
      </c>
      <c r="IL183" s="675">
        <v>0</v>
      </c>
      <c r="IM183" s="675">
        <v>0</v>
      </c>
      <c r="IN183" s="675">
        <v>0</v>
      </c>
      <c r="IO183" s="675">
        <v>0</v>
      </c>
      <c r="IP183" s="675">
        <v>0</v>
      </c>
      <c r="IQ183" s="675">
        <v>0</v>
      </c>
      <c r="IR183" s="675">
        <v>0</v>
      </c>
      <c r="IS183" s="675">
        <v>0</v>
      </c>
      <c r="IT183" s="675">
        <v>0</v>
      </c>
      <c r="IU183" s="675">
        <v>0</v>
      </c>
      <c r="IV183" s="675">
        <v>0</v>
      </c>
      <c r="IW183" s="675">
        <v>0</v>
      </c>
      <c r="IX183" s="675">
        <v>0</v>
      </c>
      <c r="IY183" s="675">
        <v>0</v>
      </c>
      <c r="IZ183" s="675">
        <v>0</v>
      </c>
      <c r="JA183" s="675">
        <v>0</v>
      </c>
      <c r="JB183" s="675">
        <v>0</v>
      </c>
      <c r="JC183" s="675">
        <v>0</v>
      </c>
      <c r="JD183" s="675">
        <v>0</v>
      </c>
      <c r="JE183" s="675">
        <v>0</v>
      </c>
      <c r="JF183" s="675">
        <v>0</v>
      </c>
      <c r="JG183" s="675">
        <v>0</v>
      </c>
      <c r="JH183" s="675">
        <v>0</v>
      </c>
      <c r="JI183" s="675">
        <v>0</v>
      </c>
      <c r="JJ183" s="675">
        <v>0</v>
      </c>
      <c r="JK183" s="675">
        <v>0</v>
      </c>
      <c r="JL183" s="675">
        <v>0</v>
      </c>
      <c r="JM183" s="675">
        <v>0</v>
      </c>
      <c r="JN183" s="675">
        <v>32469</v>
      </c>
      <c r="JO183" s="675">
        <v>0</v>
      </c>
      <c r="JP183" s="675">
        <v>0</v>
      </c>
      <c r="JQ183" s="675">
        <v>0</v>
      </c>
      <c r="JR183" s="675">
        <v>0</v>
      </c>
      <c r="JS183" s="675">
        <v>0</v>
      </c>
      <c r="JT183" s="675">
        <v>0</v>
      </c>
      <c r="JU183" s="675">
        <v>0</v>
      </c>
      <c r="JV183" s="675">
        <v>0</v>
      </c>
      <c r="JW183" s="675">
        <v>0</v>
      </c>
      <c r="JX183" s="675">
        <v>0</v>
      </c>
      <c r="JY183" s="675">
        <v>0</v>
      </c>
      <c r="JZ183" s="675">
        <v>0</v>
      </c>
      <c r="KA183" s="675">
        <v>0</v>
      </c>
      <c r="KB183" s="675">
        <v>0</v>
      </c>
      <c r="KC183" s="675">
        <v>0</v>
      </c>
      <c r="KD183" s="675">
        <v>0</v>
      </c>
      <c r="KE183" s="675">
        <v>0</v>
      </c>
      <c r="KF183" s="675">
        <v>0</v>
      </c>
    </row>
    <row r="184" spans="1:292" ht="13" x14ac:dyDescent="0.3">
      <c r="A184" s="675">
        <v>234801</v>
      </c>
      <c r="B184" s="675">
        <v>32570</v>
      </c>
      <c r="C184" s="675">
        <v>35</v>
      </c>
      <c r="D184" s="675">
        <v>2022</v>
      </c>
      <c r="E184" s="675">
        <v>5392</v>
      </c>
      <c r="F184" s="675">
        <v>0</v>
      </c>
      <c r="G184" s="675">
        <v>70.171999999999997</v>
      </c>
      <c r="H184" s="675">
        <v>63.233000000000004</v>
      </c>
      <c r="I184" s="675">
        <v>63.233000000000004</v>
      </c>
      <c r="J184" s="675">
        <v>70.171999999999997</v>
      </c>
      <c r="K184" s="675">
        <v>0</v>
      </c>
      <c r="L184" s="675">
        <v>6554</v>
      </c>
      <c r="M184" s="675">
        <v>0</v>
      </c>
      <c r="N184" s="675">
        <v>0</v>
      </c>
      <c r="O184" s="675">
        <v>0</v>
      </c>
      <c r="P184" s="675">
        <v>60.123000000000005</v>
      </c>
      <c r="Q184" s="675">
        <v>0</v>
      </c>
      <c r="R184" s="676">
        <v>19222</v>
      </c>
      <c r="S184" s="675">
        <v>319.71300000000002</v>
      </c>
      <c r="T184" s="675">
        <v>0</v>
      </c>
      <c r="U184" s="676">
        <v>19222</v>
      </c>
      <c r="V184" s="676">
        <v>0</v>
      </c>
      <c r="W184" s="676">
        <v>0</v>
      </c>
      <c r="X184" s="676">
        <v>0</v>
      </c>
      <c r="Y184" s="675">
        <v>0</v>
      </c>
      <c r="Z184" s="675">
        <v>0</v>
      </c>
      <c r="AA184" s="675">
        <v>1</v>
      </c>
      <c r="AB184" s="675">
        <v>1</v>
      </c>
      <c r="AC184" s="675">
        <v>0</v>
      </c>
      <c r="AD184" s="675" t="s">
        <v>316</v>
      </c>
      <c r="AE184" s="675">
        <v>0</v>
      </c>
      <c r="AF184" s="675">
        <v>0</v>
      </c>
      <c r="AG184" s="675">
        <v>0</v>
      </c>
      <c r="AH184" s="675">
        <v>0</v>
      </c>
      <c r="AI184" s="675">
        <v>0</v>
      </c>
      <c r="AJ184" s="675">
        <v>5104</v>
      </c>
      <c r="AK184" s="675" t="s">
        <v>671</v>
      </c>
      <c r="AL184" s="675" t="s">
        <v>82</v>
      </c>
      <c r="AM184" s="675">
        <v>0</v>
      </c>
      <c r="AN184" s="675">
        <v>0</v>
      </c>
      <c r="AO184" s="675">
        <v>0</v>
      </c>
      <c r="AP184" s="675">
        <v>0</v>
      </c>
      <c r="AQ184" s="675">
        <v>0</v>
      </c>
      <c r="AR184" s="675">
        <v>0</v>
      </c>
      <c r="AS184" s="675">
        <v>0</v>
      </c>
      <c r="AT184" s="675">
        <v>0</v>
      </c>
      <c r="AU184" s="675">
        <v>0</v>
      </c>
      <c r="AV184" s="675">
        <v>-59877</v>
      </c>
      <c r="AW184" s="675">
        <v>821760</v>
      </c>
      <c r="AX184" s="675">
        <v>787368</v>
      </c>
      <c r="AY184" s="675">
        <v>772059</v>
      </c>
      <c r="AZ184" s="675">
        <v>36285</v>
      </c>
      <c r="BA184" s="676">
        <v>7</v>
      </c>
      <c r="BB184" s="675">
        <v>0</v>
      </c>
      <c r="BC184" s="675">
        <v>0</v>
      </c>
      <c r="BD184" s="675">
        <v>0</v>
      </c>
      <c r="BE184" s="675">
        <v>0</v>
      </c>
      <c r="BF184" s="675">
        <v>664404</v>
      </c>
      <c r="BG184" s="675">
        <v>0</v>
      </c>
      <c r="BH184" s="676">
        <v>62.047000000000004</v>
      </c>
      <c r="BI184" s="676">
        <v>17063</v>
      </c>
      <c r="BJ184" s="675">
        <v>12</v>
      </c>
      <c r="BK184" s="675">
        <v>0</v>
      </c>
      <c r="BL184" s="675">
        <v>0</v>
      </c>
      <c r="BM184" s="675">
        <v>0</v>
      </c>
      <c r="BN184" s="675">
        <v>0</v>
      </c>
      <c r="BO184" s="675">
        <v>0</v>
      </c>
      <c r="BP184" s="675">
        <v>0</v>
      </c>
      <c r="BQ184" s="675">
        <v>5392</v>
      </c>
      <c r="BR184" s="675">
        <v>1</v>
      </c>
      <c r="BS184" s="675">
        <v>0</v>
      </c>
      <c r="BT184" s="675">
        <v>0</v>
      </c>
      <c r="BU184" s="675">
        <v>0</v>
      </c>
      <c r="BV184" s="675">
        <v>0</v>
      </c>
      <c r="BW184" s="675">
        <v>0</v>
      </c>
      <c r="BX184" s="675">
        <v>0</v>
      </c>
      <c r="BY184" s="675">
        <v>0</v>
      </c>
      <c r="BZ184" s="675">
        <v>0</v>
      </c>
      <c r="CA184" s="675">
        <v>0</v>
      </c>
      <c r="CB184" s="675">
        <v>0</v>
      </c>
      <c r="CC184" s="675">
        <v>0</v>
      </c>
      <c r="CD184" s="675">
        <v>0</v>
      </c>
      <c r="CE184" s="675">
        <v>0</v>
      </c>
      <c r="CF184" s="675">
        <v>0</v>
      </c>
      <c r="CG184" s="675">
        <v>0</v>
      </c>
      <c r="CH184" s="676">
        <v>17329</v>
      </c>
      <c r="CI184" s="675">
        <v>0</v>
      </c>
      <c r="CJ184" s="675">
        <v>4</v>
      </c>
      <c r="CK184" s="675">
        <v>0</v>
      </c>
      <c r="CL184" s="675">
        <v>0</v>
      </c>
      <c r="CM184" s="675">
        <v>0</v>
      </c>
      <c r="CN184" s="675">
        <v>0</v>
      </c>
      <c r="CO184" s="675">
        <v>0</v>
      </c>
      <c r="CP184" s="675">
        <v>7.3000000000000009E-2</v>
      </c>
      <c r="CQ184" s="675">
        <v>0</v>
      </c>
      <c r="CR184" s="675">
        <v>60.123000000000005</v>
      </c>
      <c r="CS184" s="675">
        <v>0</v>
      </c>
      <c r="CT184" s="675">
        <v>0</v>
      </c>
      <c r="CU184" s="675">
        <v>0</v>
      </c>
      <c r="CV184" s="675">
        <v>0</v>
      </c>
      <c r="CW184" s="675">
        <v>0</v>
      </c>
      <c r="CX184" s="675">
        <v>0</v>
      </c>
      <c r="CY184" s="675">
        <v>0</v>
      </c>
      <c r="CZ184" s="675">
        <v>0</v>
      </c>
      <c r="DA184" s="675">
        <v>1</v>
      </c>
      <c r="DB184" s="675">
        <v>414429</v>
      </c>
      <c r="DC184" s="675">
        <v>0</v>
      </c>
      <c r="DD184" s="675">
        <v>0</v>
      </c>
      <c r="DE184" s="675">
        <v>52865</v>
      </c>
      <c r="DF184" s="675">
        <v>54018</v>
      </c>
      <c r="DG184" s="675">
        <v>40.33</v>
      </c>
      <c r="DH184" s="675">
        <v>0</v>
      </c>
      <c r="DI184" s="675">
        <v>1153</v>
      </c>
      <c r="DJ184" s="675">
        <v>0</v>
      </c>
      <c r="DK184" s="675">
        <v>5392</v>
      </c>
      <c r="DL184" s="675">
        <v>0</v>
      </c>
      <c r="DM184" s="675">
        <v>214199</v>
      </c>
      <c r="DN184" s="675">
        <v>0</v>
      </c>
      <c r="DO184" s="675">
        <v>0</v>
      </c>
      <c r="DP184" s="675">
        <v>0</v>
      </c>
      <c r="DQ184" s="675">
        <v>0</v>
      </c>
      <c r="DR184" s="675">
        <v>0</v>
      </c>
      <c r="DS184" s="675">
        <v>0</v>
      </c>
      <c r="DT184" s="675">
        <v>0</v>
      </c>
      <c r="DU184" s="675">
        <v>0</v>
      </c>
      <c r="DV184" s="675">
        <v>0</v>
      </c>
      <c r="DW184" s="675">
        <v>0</v>
      </c>
      <c r="DX184" s="675">
        <v>0</v>
      </c>
      <c r="DY184" s="675">
        <v>0</v>
      </c>
      <c r="DZ184" s="675">
        <v>0</v>
      </c>
      <c r="EA184" s="675">
        <v>0</v>
      </c>
      <c r="EB184" s="675">
        <v>0</v>
      </c>
      <c r="EC184" s="675">
        <v>8.261000000000001</v>
      </c>
      <c r="ED184" s="675">
        <v>59557</v>
      </c>
      <c r="EE184" s="675">
        <v>0</v>
      </c>
      <c r="EF184" s="675">
        <v>0</v>
      </c>
      <c r="EG184" s="675">
        <v>0</v>
      </c>
      <c r="EH184" s="675">
        <v>81814</v>
      </c>
      <c r="EI184" s="675">
        <v>72828</v>
      </c>
      <c r="EJ184" s="675">
        <v>2.778</v>
      </c>
      <c r="EK184" s="675">
        <v>4.0620000000000003</v>
      </c>
      <c r="EL184" s="675">
        <v>0</v>
      </c>
      <c r="EM184" s="675">
        <v>9.9000000000000005E-2</v>
      </c>
      <c r="EN184" s="675">
        <v>0</v>
      </c>
      <c r="EO184" s="675">
        <v>0</v>
      </c>
      <c r="EP184" s="675">
        <v>0</v>
      </c>
      <c r="EQ184" s="675">
        <v>6.9390000000000001</v>
      </c>
      <c r="ER184" s="675">
        <v>0</v>
      </c>
      <c r="ES184" s="675">
        <v>12.483000000000001</v>
      </c>
      <c r="ET184" s="676">
        <v>3500</v>
      </c>
      <c r="EU184" s="675">
        <v>36285</v>
      </c>
      <c r="EV184" s="675">
        <v>0</v>
      </c>
      <c r="EW184" s="675">
        <v>0</v>
      </c>
      <c r="EX184" s="675">
        <v>0</v>
      </c>
      <c r="EY184" s="675">
        <v>0</v>
      </c>
      <c r="EZ184" s="675">
        <v>663424</v>
      </c>
      <c r="FA184" s="675">
        <v>0</v>
      </c>
      <c r="FB184" s="676">
        <v>699709</v>
      </c>
      <c r="FC184" s="675">
        <v>0.97327799999999998</v>
      </c>
      <c r="FD184" s="675">
        <v>0</v>
      </c>
      <c r="FE184" s="675">
        <v>101150</v>
      </c>
      <c r="FF184" s="675">
        <v>22794</v>
      </c>
      <c r="FG184" s="675">
        <v>6.1239999999999996E-2</v>
      </c>
      <c r="FH184" s="675">
        <v>5.4803999999999999E-2</v>
      </c>
      <c r="FI184" s="675">
        <v>0</v>
      </c>
      <c r="FJ184" s="675">
        <v>0</v>
      </c>
      <c r="FK184" s="675">
        <v>130.178</v>
      </c>
      <c r="FL184" s="675">
        <v>840982</v>
      </c>
      <c r="FM184" s="675">
        <v>0</v>
      </c>
      <c r="FN184" s="675">
        <v>0</v>
      </c>
      <c r="FO184" s="675">
        <v>0</v>
      </c>
      <c r="FP184" s="675">
        <v>0</v>
      </c>
      <c r="FQ184" s="675">
        <v>0</v>
      </c>
      <c r="FR184" s="675">
        <v>0</v>
      </c>
      <c r="FS184" s="675">
        <v>0</v>
      </c>
      <c r="FT184" s="675">
        <v>0</v>
      </c>
      <c r="FU184" s="675">
        <v>0</v>
      </c>
      <c r="FV184" s="675">
        <v>0</v>
      </c>
      <c r="FW184" s="675">
        <v>0</v>
      </c>
      <c r="FX184" s="675">
        <v>0</v>
      </c>
      <c r="FY184" s="675">
        <v>0</v>
      </c>
      <c r="FZ184" s="675">
        <v>0</v>
      </c>
      <c r="GA184" s="675">
        <v>0</v>
      </c>
      <c r="GB184" s="676">
        <v>0</v>
      </c>
      <c r="GC184" s="676">
        <v>0</v>
      </c>
      <c r="GD184" s="676">
        <v>0</v>
      </c>
      <c r="GE184" s="675">
        <v>0</v>
      </c>
      <c r="GF184" s="675">
        <v>0</v>
      </c>
      <c r="GG184" s="675">
        <v>0</v>
      </c>
      <c r="GH184" s="675">
        <v>0</v>
      </c>
      <c r="GI184" s="675">
        <v>0</v>
      </c>
      <c r="GJ184" s="675">
        <v>0</v>
      </c>
      <c r="GK184" s="675">
        <v>5038</v>
      </c>
      <c r="GL184" s="675">
        <v>5287</v>
      </c>
      <c r="GM184" s="675">
        <v>0</v>
      </c>
      <c r="GN184" s="675">
        <v>0</v>
      </c>
      <c r="GO184" s="675">
        <v>0</v>
      </c>
      <c r="GP184" s="675">
        <v>823653</v>
      </c>
      <c r="GQ184" s="675">
        <v>823653</v>
      </c>
      <c r="GR184" s="675">
        <v>0</v>
      </c>
      <c r="GS184" s="675">
        <v>0</v>
      </c>
      <c r="GT184" s="675">
        <v>0</v>
      </c>
      <c r="GU184" s="675">
        <v>0</v>
      </c>
      <c r="GV184" s="675">
        <v>0</v>
      </c>
      <c r="GW184" s="675">
        <v>0</v>
      </c>
      <c r="GX184" s="675">
        <v>0</v>
      </c>
      <c r="GY184" s="675">
        <v>0</v>
      </c>
      <c r="GZ184" s="675">
        <v>0</v>
      </c>
      <c r="HA184" s="675">
        <v>0</v>
      </c>
      <c r="HB184" s="675">
        <v>260786259</v>
      </c>
      <c r="HC184" s="675">
        <v>5.0923999999999997E-2</v>
      </c>
      <c r="HD184" s="676">
        <v>13829</v>
      </c>
      <c r="HE184" s="675">
        <v>0</v>
      </c>
      <c r="HF184" s="675">
        <v>0</v>
      </c>
      <c r="HG184" s="675">
        <v>0</v>
      </c>
      <c r="HH184" s="675">
        <v>0</v>
      </c>
      <c r="HI184" s="675">
        <v>0</v>
      </c>
      <c r="HJ184" s="675">
        <v>0</v>
      </c>
      <c r="HK184" s="675">
        <v>0</v>
      </c>
      <c r="HL184" s="675">
        <v>0</v>
      </c>
      <c r="HM184" s="675">
        <v>0</v>
      </c>
      <c r="HN184" s="675">
        <v>0</v>
      </c>
      <c r="HO184" s="675">
        <v>0</v>
      </c>
      <c r="HP184" s="675">
        <v>0</v>
      </c>
      <c r="HQ184" s="675">
        <v>0</v>
      </c>
      <c r="HR184" s="675">
        <v>0</v>
      </c>
      <c r="HS184" s="675">
        <v>0</v>
      </c>
      <c r="HT184" s="675">
        <v>0</v>
      </c>
      <c r="HU184" s="675">
        <v>0</v>
      </c>
      <c r="HV184" s="675">
        <v>0</v>
      </c>
      <c r="HW184" s="675">
        <v>0</v>
      </c>
      <c r="HX184" s="675">
        <v>0</v>
      </c>
      <c r="HY184" s="675">
        <v>0</v>
      </c>
      <c r="HZ184" s="675">
        <v>0</v>
      </c>
      <c r="IA184" s="675">
        <v>0</v>
      </c>
      <c r="IB184" s="675">
        <v>0</v>
      </c>
      <c r="IC184" s="675">
        <v>0</v>
      </c>
      <c r="ID184" s="675">
        <v>0</v>
      </c>
      <c r="IE184" s="675">
        <v>0</v>
      </c>
      <c r="IF184" s="675">
        <v>0</v>
      </c>
      <c r="IG184" s="675">
        <v>0</v>
      </c>
      <c r="IH184" s="675">
        <v>0</v>
      </c>
      <c r="II184" s="675">
        <v>0</v>
      </c>
      <c r="IJ184" s="675">
        <v>0</v>
      </c>
      <c r="IK184" s="675">
        <v>0</v>
      </c>
      <c r="IL184" s="675">
        <v>0</v>
      </c>
      <c r="IM184" s="675">
        <v>0</v>
      </c>
      <c r="IN184" s="675">
        <v>0</v>
      </c>
      <c r="IO184" s="675">
        <v>0</v>
      </c>
      <c r="IP184" s="675">
        <v>0</v>
      </c>
      <c r="IQ184" s="675">
        <v>0</v>
      </c>
      <c r="IR184" s="675">
        <v>0</v>
      </c>
      <c r="IS184" s="675">
        <v>0</v>
      </c>
      <c r="IT184" s="675">
        <v>0</v>
      </c>
      <c r="IU184" s="675">
        <v>0</v>
      </c>
      <c r="IV184" s="675">
        <v>0</v>
      </c>
      <c r="IW184" s="675">
        <v>0</v>
      </c>
      <c r="IX184" s="675">
        <v>0</v>
      </c>
      <c r="IY184" s="675">
        <v>0</v>
      </c>
      <c r="IZ184" s="675">
        <v>0</v>
      </c>
      <c r="JA184" s="675">
        <v>0</v>
      </c>
      <c r="JB184" s="675">
        <v>0</v>
      </c>
      <c r="JC184" s="675">
        <v>0</v>
      </c>
      <c r="JD184" s="675">
        <v>0</v>
      </c>
      <c r="JE184" s="675">
        <v>0</v>
      </c>
      <c r="JF184" s="675">
        <v>0</v>
      </c>
      <c r="JG184" s="675">
        <v>0</v>
      </c>
      <c r="JH184" s="675">
        <v>0</v>
      </c>
      <c r="JI184" s="675">
        <v>0</v>
      </c>
      <c r="JJ184" s="675">
        <v>0</v>
      </c>
      <c r="JK184" s="675">
        <v>0</v>
      </c>
      <c r="JL184" s="675">
        <v>0</v>
      </c>
      <c r="JM184" s="675">
        <v>0</v>
      </c>
      <c r="JN184" s="675">
        <v>32469</v>
      </c>
      <c r="JO184" s="675">
        <v>0</v>
      </c>
      <c r="JP184" s="675">
        <v>0</v>
      </c>
      <c r="JQ184" s="675">
        <v>0</v>
      </c>
      <c r="JR184" s="675">
        <v>0</v>
      </c>
      <c r="JS184" s="675">
        <v>0</v>
      </c>
      <c r="JT184" s="675">
        <v>0</v>
      </c>
      <c r="JU184" s="675">
        <v>0</v>
      </c>
      <c r="JV184" s="675">
        <v>0</v>
      </c>
      <c r="JW184" s="675">
        <v>0</v>
      </c>
      <c r="JX184" s="675">
        <v>0</v>
      </c>
      <c r="JY184" s="675">
        <v>0</v>
      </c>
      <c r="JZ184" s="675">
        <v>0</v>
      </c>
      <c r="KA184" s="675">
        <v>0</v>
      </c>
      <c r="KB184" s="675">
        <v>0</v>
      </c>
      <c r="KC184" s="675">
        <v>0</v>
      </c>
      <c r="KD184" s="675">
        <v>0</v>
      </c>
      <c r="KE184" s="675">
        <v>0</v>
      </c>
      <c r="KF184" s="675">
        <v>0</v>
      </c>
    </row>
    <row r="185" spans="1:292" ht="13" x14ac:dyDescent="0.3">
      <c r="A185" s="675">
        <v>236801</v>
      </c>
      <c r="B185" s="675">
        <v>32570</v>
      </c>
      <c r="C185" s="675">
        <v>35</v>
      </c>
      <c r="D185" s="675">
        <v>2022</v>
      </c>
      <c r="E185" s="675">
        <v>5392</v>
      </c>
      <c r="F185" s="675">
        <v>0</v>
      </c>
      <c r="G185" s="675">
        <v>55.305</v>
      </c>
      <c r="H185" s="675">
        <v>0</v>
      </c>
      <c r="I185" s="675">
        <v>0</v>
      </c>
      <c r="J185" s="675">
        <v>55.305</v>
      </c>
      <c r="K185" s="675">
        <v>0</v>
      </c>
      <c r="L185" s="675">
        <v>6554</v>
      </c>
      <c r="M185" s="675">
        <v>0</v>
      </c>
      <c r="N185" s="675">
        <v>0</v>
      </c>
      <c r="O185" s="675">
        <v>0</v>
      </c>
      <c r="P185" s="675">
        <v>103.85600000000001</v>
      </c>
      <c r="Q185" s="675">
        <v>0</v>
      </c>
      <c r="R185" s="676">
        <v>33204</v>
      </c>
      <c r="S185" s="675">
        <v>319.71300000000002</v>
      </c>
      <c r="T185" s="675">
        <v>0</v>
      </c>
      <c r="U185" s="676">
        <v>33204</v>
      </c>
      <c r="V185" s="676">
        <v>2.9290000000000003</v>
      </c>
      <c r="W185" s="676">
        <v>1920</v>
      </c>
      <c r="X185" s="676">
        <v>1920</v>
      </c>
      <c r="Y185" s="675">
        <v>0</v>
      </c>
      <c r="Z185" s="675">
        <v>0</v>
      </c>
      <c r="AA185" s="675">
        <v>1</v>
      </c>
      <c r="AB185" s="675">
        <v>1</v>
      </c>
      <c r="AC185" s="675">
        <v>0</v>
      </c>
      <c r="AD185" s="675" t="s">
        <v>316</v>
      </c>
      <c r="AE185" s="675">
        <v>0</v>
      </c>
      <c r="AF185" s="675">
        <v>0</v>
      </c>
      <c r="AG185" s="675">
        <v>0</v>
      </c>
      <c r="AH185" s="675">
        <v>0</v>
      </c>
      <c r="AI185" s="675">
        <v>0</v>
      </c>
      <c r="AJ185" s="675">
        <v>5104</v>
      </c>
      <c r="AK185" s="675" t="s">
        <v>671</v>
      </c>
      <c r="AL185" s="675" t="s">
        <v>83</v>
      </c>
      <c r="AM185" s="675">
        <v>0</v>
      </c>
      <c r="AN185" s="675">
        <v>0</v>
      </c>
      <c r="AO185" s="675">
        <v>0</v>
      </c>
      <c r="AP185" s="675">
        <v>0</v>
      </c>
      <c r="AQ185" s="675">
        <v>0</v>
      </c>
      <c r="AR185" s="675">
        <v>0</v>
      </c>
      <c r="AS185" s="675">
        <v>0</v>
      </c>
      <c r="AT185" s="675">
        <v>0</v>
      </c>
      <c r="AU185" s="675">
        <v>0</v>
      </c>
      <c r="AV185" s="675">
        <v>-48486</v>
      </c>
      <c r="AW185" s="675">
        <v>1128171</v>
      </c>
      <c r="AX185" s="675">
        <v>1055479</v>
      </c>
      <c r="AY185" s="675">
        <v>1037834</v>
      </c>
      <c r="AZ185" s="675">
        <v>48413</v>
      </c>
      <c r="BA185" s="676">
        <v>91.167000000000002</v>
      </c>
      <c r="BB185" s="675">
        <v>0</v>
      </c>
      <c r="BC185" s="675">
        <v>0</v>
      </c>
      <c r="BD185" s="675">
        <v>0</v>
      </c>
      <c r="BE185" s="675">
        <v>0</v>
      </c>
      <c r="BF185" s="675">
        <v>896769</v>
      </c>
      <c r="BG185" s="675">
        <v>0</v>
      </c>
      <c r="BH185" s="676">
        <v>55.304000000000002</v>
      </c>
      <c r="BI185" s="676">
        <v>15209</v>
      </c>
      <c r="BJ185" s="675">
        <v>12</v>
      </c>
      <c r="BK185" s="675">
        <v>0</v>
      </c>
      <c r="BL185" s="675">
        <v>0</v>
      </c>
      <c r="BM185" s="675">
        <v>0</v>
      </c>
      <c r="BN185" s="675">
        <v>0</v>
      </c>
      <c r="BO185" s="675">
        <v>0</v>
      </c>
      <c r="BP185" s="675">
        <v>0</v>
      </c>
      <c r="BQ185" s="675">
        <v>5392</v>
      </c>
      <c r="BR185" s="675">
        <v>1</v>
      </c>
      <c r="BS185" s="675">
        <v>0</v>
      </c>
      <c r="BT185" s="675">
        <v>0</v>
      </c>
      <c r="BU185" s="675">
        <v>0</v>
      </c>
      <c r="BV185" s="675">
        <v>0</v>
      </c>
      <c r="BW185" s="675">
        <v>0</v>
      </c>
      <c r="BX185" s="675">
        <v>0</v>
      </c>
      <c r="BY185" s="675">
        <v>0</v>
      </c>
      <c r="BZ185" s="675">
        <v>0</v>
      </c>
      <c r="CA185" s="675">
        <v>0</v>
      </c>
      <c r="CB185" s="675">
        <v>0</v>
      </c>
      <c r="CC185" s="675">
        <v>0</v>
      </c>
      <c r="CD185" s="675">
        <v>0</v>
      </c>
      <c r="CE185" s="675">
        <v>0</v>
      </c>
      <c r="CF185" s="675">
        <v>0</v>
      </c>
      <c r="CG185" s="675">
        <v>0</v>
      </c>
      <c r="CH185" s="676">
        <v>57483</v>
      </c>
      <c r="CI185" s="675">
        <v>0</v>
      </c>
      <c r="CJ185" s="675">
        <v>4</v>
      </c>
      <c r="CK185" s="675">
        <v>0</v>
      </c>
      <c r="CL185" s="675">
        <v>0</v>
      </c>
      <c r="CM185" s="675">
        <v>0</v>
      </c>
      <c r="CN185" s="675">
        <v>0</v>
      </c>
      <c r="CO185" s="675">
        <v>0</v>
      </c>
      <c r="CP185" s="675">
        <v>0</v>
      </c>
      <c r="CQ185" s="675">
        <v>4</v>
      </c>
      <c r="CR185" s="675">
        <v>103.85600000000001</v>
      </c>
      <c r="CS185" s="675">
        <v>0</v>
      </c>
      <c r="CT185" s="675">
        <v>0</v>
      </c>
      <c r="CU185" s="675">
        <v>0</v>
      </c>
      <c r="CV185" s="675">
        <v>0</v>
      </c>
      <c r="CW185" s="675">
        <v>0</v>
      </c>
      <c r="CX185" s="675">
        <v>0</v>
      </c>
      <c r="CY185" s="675">
        <v>0</v>
      </c>
      <c r="CZ185" s="675">
        <v>0</v>
      </c>
      <c r="DA185" s="675">
        <v>1</v>
      </c>
      <c r="DB185" s="675">
        <v>0</v>
      </c>
      <c r="DC185" s="675">
        <v>0</v>
      </c>
      <c r="DD185" s="675">
        <v>0</v>
      </c>
      <c r="DE185" s="675">
        <v>136756</v>
      </c>
      <c r="DF185" s="675">
        <v>136756</v>
      </c>
      <c r="DG185" s="675">
        <v>104.33</v>
      </c>
      <c r="DH185" s="675">
        <v>0</v>
      </c>
      <c r="DI185" s="675">
        <v>0</v>
      </c>
      <c r="DJ185" s="675">
        <v>0</v>
      </c>
      <c r="DK185" s="675">
        <v>5392</v>
      </c>
      <c r="DL185" s="675">
        <v>0</v>
      </c>
      <c r="DM185" s="675">
        <v>430886</v>
      </c>
      <c r="DN185" s="675">
        <v>0</v>
      </c>
      <c r="DO185" s="675">
        <v>0</v>
      </c>
      <c r="DP185" s="675">
        <v>0</v>
      </c>
      <c r="DQ185" s="675">
        <v>0</v>
      </c>
      <c r="DR185" s="675">
        <v>0</v>
      </c>
      <c r="DS185" s="675">
        <v>0</v>
      </c>
      <c r="DT185" s="675">
        <v>0</v>
      </c>
      <c r="DU185" s="675">
        <v>0</v>
      </c>
      <c r="DV185" s="675">
        <v>0</v>
      </c>
      <c r="DW185" s="675">
        <v>0</v>
      </c>
      <c r="DX185" s="675">
        <v>0</v>
      </c>
      <c r="DY185" s="675">
        <v>0</v>
      </c>
      <c r="DZ185" s="675">
        <v>0</v>
      </c>
      <c r="EA185" s="675">
        <v>0</v>
      </c>
      <c r="EB185" s="675">
        <v>0</v>
      </c>
      <c r="EC185" s="675">
        <v>0</v>
      </c>
      <c r="ED185" s="675">
        <v>0</v>
      </c>
      <c r="EE185" s="675">
        <v>0</v>
      </c>
      <c r="EF185" s="675">
        <v>0</v>
      </c>
      <c r="EG185" s="675">
        <v>0</v>
      </c>
      <c r="EH185" s="675">
        <v>0</v>
      </c>
      <c r="EI185" s="675">
        <v>430886</v>
      </c>
      <c r="EJ185" s="675">
        <v>16.436</v>
      </c>
      <c r="EK185" s="675">
        <v>0</v>
      </c>
      <c r="EL185" s="675">
        <v>0</v>
      </c>
      <c r="EM185" s="675">
        <v>0</v>
      </c>
      <c r="EN185" s="675">
        <v>0</v>
      </c>
      <c r="EO185" s="675">
        <v>0</v>
      </c>
      <c r="EP185" s="675">
        <v>0</v>
      </c>
      <c r="EQ185" s="675">
        <v>16.436</v>
      </c>
      <c r="ER185" s="675">
        <v>0</v>
      </c>
      <c r="ES185" s="675">
        <v>0</v>
      </c>
      <c r="ET185" s="676">
        <v>46584</v>
      </c>
      <c r="EU185" s="675">
        <v>48413</v>
      </c>
      <c r="EV185" s="675">
        <v>0</v>
      </c>
      <c r="EW185" s="675">
        <v>0</v>
      </c>
      <c r="EX185" s="675">
        <v>0</v>
      </c>
      <c r="EY185" s="675">
        <v>0</v>
      </c>
      <c r="EZ185" s="675">
        <v>888187</v>
      </c>
      <c r="FA185" s="675">
        <v>0</v>
      </c>
      <c r="FB185" s="676">
        <v>936600</v>
      </c>
      <c r="FC185" s="675">
        <v>0.97327799999999998</v>
      </c>
      <c r="FD185" s="675">
        <v>0</v>
      </c>
      <c r="FE185" s="675">
        <v>136526</v>
      </c>
      <c r="FF185" s="675">
        <v>30766</v>
      </c>
      <c r="FG185" s="675">
        <v>6.1239999999999996E-2</v>
      </c>
      <c r="FH185" s="675">
        <v>5.4803999999999999E-2</v>
      </c>
      <c r="FI185" s="675">
        <v>0</v>
      </c>
      <c r="FJ185" s="675">
        <v>0</v>
      </c>
      <c r="FK185" s="675">
        <v>175.70500000000001</v>
      </c>
      <c r="FL185" s="675">
        <v>1161375</v>
      </c>
      <c r="FM185" s="675">
        <v>0</v>
      </c>
      <c r="FN185" s="675">
        <v>0</v>
      </c>
      <c r="FO185" s="675">
        <v>0</v>
      </c>
      <c r="FP185" s="675">
        <v>0</v>
      </c>
      <c r="FQ185" s="675">
        <v>0</v>
      </c>
      <c r="FR185" s="675">
        <v>0</v>
      </c>
      <c r="FS185" s="675">
        <v>0</v>
      </c>
      <c r="FT185" s="675">
        <v>0</v>
      </c>
      <c r="FU185" s="675">
        <v>0</v>
      </c>
      <c r="FV185" s="675">
        <v>0</v>
      </c>
      <c r="FW185" s="675">
        <v>0</v>
      </c>
      <c r="FX185" s="675">
        <v>0</v>
      </c>
      <c r="FY185" s="675">
        <v>0</v>
      </c>
      <c r="FZ185" s="675">
        <v>178</v>
      </c>
      <c r="GA185" s="675">
        <v>3.5580000000000003</v>
      </c>
      <c r="GB185" s="676">
        <v>351829</v>
      </c>
      <c r="GC185" s="676">
        <v>351829</v>
      </c>
      <c r="GD185" s="676">
        <v>39.744</v>
      </c>
      <c r="GE185" s="675">
        <v>0</v>
      </c>
      <c r="GF185" s="675">
        <v>0</v>
      </c>
      <c r="GG185" s="675">
        <v>0</v>
      </c>
      <c r="GH185" s="675">
        <v>0</v>
      </c>
      <c r="GI185" s="675">
        <v>0</v>
      </c>
      <c r="GJ185" s="675">
        <v>0</v>
      </c>
      <c r="GK185" s="675">
        <v>5071</v>
      </c>
      <c r="GL185" s="675">
        <v>9226</v>
      </c>
      <c r="GM185" s="675">
        <v>0</v>
      </c>
      <c r="GN185" s="675">
        <v>0</v>
      </c>
      <c r="GO185" s="675">
        <v>0</v>
      </c>
      <c r="GP185" s="675">
        <v>1103892</v>
      </c>
      <c r="GQ185" s="675">
        <v>1103892</v>
      </c>
      <c r="GR185" s="675">
        <v>0</v>
      </c>
      <c r="GS185" s="675">
        <v>0</v>
      </c>
      <c r="GT185" s="675">
        <v>0</v>
      </c>
      <c r="GU185" s="675">
        <v>0</v>
      </c>
      <c r="GV185" s="675">
        <v>0</v>
      </c>
      <c r="GW185" s="675">
        <v>0</v>
      </c>
      <c r="GX185" s="675">
        <v>0</v>
      </c>
      <c r="GY185" s="675">
        <v>0</v>
      </c>
      <c r="GZ185" s="675">
        <v>0</v>
      </c>
      <c r="HA185" s="675">
        <v>0</v>
      </c>
      <c r="HB185" s="675">
        <v>260786259</v>
      </c>
      <c r="HC185" s="675">
        <v>5.0923999999999997E-2</v>
      </c>
      <c r="HD185" s="676">
        <v>10899</v>
      </c>
      <c r="HE185" s="675">
        <v>0</v>
      </c>
      <c r="HF185" s="675">
        <v>0</v>
      </c>
      <c r="HG185" s="675">
        <v>0</v>
      </c>
      <c r="HH185" s="675">
        <v>0</v>
      </c>
      <c r="HI185" s="675">
        <v>0</v>
      </c>
      <c r="HJ185" s="675">
        <v>0</v>
      </c>
      <c r="HK185" s="675">
        <v>0</v>
      </c>
      <c r="HL185" s="675">
        <v>0</v>
      </c>
      <c r="HM185" s="675">
        <v>0</v>
      </c>
      <c r="HN185" s="675">
        <v>0</v>
      </c>
      <c r="HO185" s="675">
        <v>0</v>
      </c>
      <c r="HP185" s="675">
        <v>0</v>
      </c>
      <c r="HQ185" s="675">
        <v>0</v>
      </c>
      <c r="HR185" s="675">
        <v>0</v>
      </c>
      <c r="HS185" s="675">
        <v>0</v>
      </c>
      <c r="HT185" s="675">
        <v>0</v>
      </c>
      <c r="HU185" s="675">
        <v>0</v>
      </c>
      <c r="HV185" s="675">
        <v>0</v>
      </c>
      <c r="HW185" s="675">
        <v>0</v>
      </c>
      <c r="HX185" s="675">
        <v>0</v>
      </c>
      <c r="HY185" s="675">
        <v>0</v>
      </c>
      <c r="HZ185" s="675">
        <v>0</v>
      </c>
      <c r="IA185" s="675">
        <v>0</v>
      </c>
      <c r="IB185" s="675">
        <v>0</v>
      </c>
      <c r="IC185" s="675">
        <v>0</v>
      </c>
      <c r="ID185" s="675">
        <v>0</v>
      </c>
      <c r="IE185" s="675">
        <v>0</v>
      </c>
      <c r="IF185" s="675">
        <v>0</v>
      </c>
      <c r="IG185" s="675">
        <v>0</v>
      </c>
      <c r="IH185" s="675">
        <v>0</v>
      </c>
      <c r="II185" s="675">
        <v>0</v>
      </c>
      <c r="IJ185" s="675">
        <v>0</v>
      </c>
      <c r="IK185" s="675">
        <v>0</v>
      </c>
      <c r="IL185" s="675">
        <v>0</v>
      </c>
      <c r="IM185" s="675">
        <v>0</v>
      </c>
      <c r="IN185" s="675">
        <v>0</v>
      </c>
      <c r="IO185" s="675">
        <v>0</v>
      </c>
      <c r="IP185" s="675">
        <v>0</v>
      </c>
      <c r="IQ185" s="675">
        <v>0</v>
      </c>
      <c r="IR185" s="675">
        <v>0</v>
      </c>
      <c r="IS185" s="675">
        <v>0</v>
      </c>
      <c r="IT185" s="675">
        <v>0</v>
      </c>
      <c r="IU185" s="675">
        <v>0</v>
      </c>
      <c r="IV185" s="675">
        <v>0</v>
      </c>
      <c r="IW185" s="675">
        <v>0</v>
      </c>
      <c r="IX185" s="675">
        <v>0</v>
      </c>
      <c r="IY185" s="675">
        <v>0</v>
      </c>
      <c r="IZ185" s="675">
        <v>0</v>
      </c>
      <c r="JA185" s="675">
        <v>0</v>
      </c>
      <c r="JB185" s="675">
        <v>0</v>
      </c>
      <c r="JC185" s="675">
        <v>0</v>
      </c>
      <c r="JD185" s="675">
        <v>0</v>
      </c>
      <c r="JE185" s="675">
        <v>0</v>
      </c>
      <c r="JF185" s="675">
        <v>0</v>
      </c>
      <c r="JG185" s="675">
        <v>0</v>
      </c>
      <c r="JH185" s="675">
        <v>0</v>
      </c>
      <c r="JI185" s="675">
        <v>0</v>
      </c>
      <c r="JJ185" s="675">
        <v>0</v>
      </c>
      <c r="JK185" s="675">
        <v>0</v>
      </c>
      <c r="JL185" s="675">
        <v>0</v>
      </c>
      <c r="JM185" s="675">
        <v>0</v>
      </c>
      <c r="JN185" s="675">
        <v>32469</v>
      </c>
      <c r="JO185" s="675">
        <v>0</v>
      </c>
      <c r="JP185" s="675">
        <v>0</v>
      </c>
      <c r="JQ185" s="675">
        <v>0</v>
      </c>
      <c r="JR185" s="675">
        <v>0</v>
      </c>
      <c r="JS185" s="675">
        <v>0</v>
      </c>
      <c r="JT185" s="675">
        <v>0</v>
      </c>
      <c r="JU185" s="675">
        <v>0</v>
      </c>
      <c r="JV185" s="675">
        <v>0</v>
      </c>
      <c r="JW185" s="675">
        <v>0</v>
      </c>
      <c r="JX185" s="675">
        <v>0</v>
      </c>
      <c r="JY185" s="675">
        <v>0</v>
      </c>
      <c r="JZ185" s="675">
        <v>0</v>
      </c>
      <c r="KA185" s="675">
        <v>0</v>
      </c>
      <c r="KB185" s="675">
        <v>0</v>
      </c>
      <c r="KC185" s="675">
        <v>0</v>
      </c>
      <c r="KD185" s="675">
        <v>0</v>
      </c>
      <c r="KE185" s="675">
        <v>0</v>
      </c>
      <c r="KF185" s="675">
        <v>0</v>
      </c>
    </row>
    <row r="186" spans="1:292" x14ac:dyDescent="0.25">
      <c r="A186" s="675">
        <v>236802</v>
      </c>
      <c r="B186" s="675">
        <v>32570</v>
      </c>
      <c r="C186" s="675">
        <v>35</v>
      </c>
      <c r="D186" s="675">
        <v>2022</v>
      </c>
      <c r="E186" s="675">
        <v>5392</v>
      </c>
      <c r="F186" s="675">
        <v>0</v>
      </c>
      <c r="G186" s="675">
        <v>335.71500000000003</v>
      </c>
      <c r="H186" s="675">
        <v>334.87400000000002</v>
      </c>
      <c r="I186" s="675">
        <v>334.87400000000002</v>
      </c>
      <c r="J186" s="675">
        <v>335.71500000000003</v>
      </c>
      <c r="K186" s="675">
        <v>0</v>
      </c>
      <c r="L186" s="675">
        <v>6554</v>
      </c>
      <c r="M186" s="675">
        <v>0</v>
      </c>
      <c r="N186" s="675">
        <v>0</v>
      </c>
      <c r="O186" s="675">
        <v>0</v>
      </c>
      <c r="P186" s="675">
        <v>277.19300000000004</v>
      </c>
      <c r="Q186" s="675">
        <v>0</v>
      </c>
      <c r="R186" s="675">
        <v>88622</v>
      </c>
      <c r="S186" s="675">
        <v>319.71300000000002</v>
      </c>
      <c r="T186" s="675">
        <v>0</v>
      </c>
      <c r="U186" s="675">
        <v>88622</v>
      </c>
      <c r="V186" s="675">
        <v>13.218</v>
      </c>
      <c r="W186" s="675">
        <v>8663</v>
      </c>
      <c r="X186" s="675">
        <v>8663</v>
      </c>
      <c r="Y186" s="675">
        <v>0</v>
      </c>
      <c r="Z186" s="675">
        <v>0</v>
      </c>
      <c r="AA186" s="675">
        <v>1</v>
      </c>
      <c r="AB186" s="675">
        <v>1</v>
      </c>
      <c r="AC186" s="675">
        <v>0</v>
      </c>
      <c r="AD186" s="675" t="s">
        <v>316</v>
      </c>
      <c r="AE186" s="675">
        <v>0</v>
      </c>
      <c r="AF186" s="675">
        <v>0</v>
      </c>
      <c r="AG186" s="675">
        <v>0</v>
      </c>
      <c r="AH186" s="675">
        <v>0</v>
      </c>
      <c r="AI186" s="675">
        <v>0</v>
      </c>
      <c r="AJ186" s="675">
        <v>5104</v>
      </c>
      <c r="AK186" s="675" t="s">
        <v>671</v>
      </c>
      <c r="AL186" s="675" t="s">
        <v>390</v>
      </c>
      <c r="AM186" s="675">
        <v>0</v>
      </c>
      <c r="AN186" s="675">
        <v>0</v>
      </c>
      <c r="AO186" s="675">
        <v>0</v>
      </c>
      <c r="AP186" s="675">
        <v>0</v>
      </c>
      <c r="AQ186" s="675">
        <v>0</v>
      </c>
      <c r="AR186" s="675">
        <v>0</v>
      </c>
      <c r="AS186" s="675">
        <v>0</v>
      </c>
      <c r="AT186" s="675">
        <v>0</v>
      </c>
      <c r="AU186" s="675">
        <v>0</v>
      </c>
      <c r="AV186" s="675">
        <v>58</v>
      </c>
      <c r="AW186" s="675">
        <v>2855578</v>
      </c>
      <c r="AX186" s="675">
        <v>2789416</v>
      </c>
      <c r="AY186" s="675">
        <v>3056445</v>
      </c>
      <c r="AZ186" s="675">
        <v>88622</v>
      </c>
      <c r="BA186" s="675">
        <v>0</v>
      </c>
      <c r="BB186" s="675">
        <v>13202</v>
      </c>
      <c r="BC186" s="675">
        <v>13202</v>
      </c>
      <c r="BD186" s="675">
        <v>16.786000000000001</v>
      </c>
      <c r="BE186" s="675">
        <v>0</v>
      </c>
      <c r="BF186" s="675">
        <v>2370696</v>
      </c>
      <c r="BG186" s="675">
        <v>0</v>
      </c>
      <c r="BH186" s="675">
        <v>0</v>
      </c>
      <c r="BI186" s="675">
        <v>0</v>
      </c>
      <c r="BJ186" s="675">
        <v>12</v>
      </c>
      <c r="BK186" s="675">
        <v>0</v>
      </c>
      <c r="BL186" s="675">
        <v>0</v>
      </c>
      <c r="BM186" s="675">
        <v>0</v>
      </c>
      <c r="BN186" s="675">
        <v>0</v>
      </c>
      <c r="BO186" s="675">
        <v>0</v>
      </c>
      <c r="BP186" s="675">
        <v>0</v>
      </c>
      <c r="BQ186" s="675">
        <v>5392</v>
      </c>
      <c r="BR186" s="675">
        <v>1</v>
      </c>
      <c r="BS186" s="675">
        <v>0</v>
      </c>
      <c r="BT186" s="675">
        <v>0</v>
      </c>
      <c r="BU186" s="675">
        <v>0</v>
      </c>
      <c r="BV186" s="675">
        <v>0</v>
      </c>
      <c r="BW186" s="675">
        <v>0</v>
      </c>
      <c r="BX186" s="675">
        <v>0</v>
      </c>
      <c r="BY186" s="675">
        <v>0</v>
      </c>
      <c r="BZ186" s="675">
        <v>0</v>
      </c>
      <c r="CA186" s="675">
        <v>0</v>
      </c>
      <c r="CB186" s="675">
        <v>0</v>
      </c>
      <c r="CC186" s="675">
        <v>0</v>
      </c>
      <c r="CD186" s="675">
        <v>0</v>
      </c>
      <c r="CE186" s="675">
        <v>0</v>
      </c>
      <c r="CF186" s="675">
        <v>0</v>
      </c>
      <c r="CG186" s="675">
        <v>0</v>
      </c>
      <c r="CH186" s="675">
        <v>66162</v>
      </c>
      <c r="CI186" s="675">
        <v>0</v>
      </c>
      <c r="CJ186" s="675">
        <v>4</v>
      </c>
      <c r="CK186" s="675">
        <v>0</v>
      </c>
      <c r="CL186" s="675">
        <v>0</v>
      </c>
      <c r="CM186" s="675">
        <v>0</v>
      </c>
      <c r="CN186" s="675">
        <v>0</v>
      </c>
      <c r="CO186" s="675">
        <v>0</v>
      </c>
      <c r="CP186" s="675">
        <v>0</v>
      </c>
      <c r="CQ186" s="675">
        <v>0</v>
      </c>
      <c r="CR186" s="675">
        <v>277.19300000000004</v>
      </c>
      <c r="CS186" s="675">
        <v>0</v>
      </c>
      <c r="CT186" s="675">
        <v>0</v>
      </c>
      <c r="CU186" s="675">
        <v>0</v>
      </c>
      <c r="CV186" s="675">
        <v>0</v>
      </c>
      <c r="CW186" s="675">
        <v>0</v>
      </c>
      <c r="CX186" s="675">
        <v>0</v>
      </c>
      <c r="CY186" s="675">
        <v>0</v>
      </c>
      <c r="CZ186" s="675">
        <v>0</v>
      </c>
      <c r="DA186" s="675">
        <v>1</v>
      </c>
      <c r="DB186" s="675">
        <v>2194764</v>
      </c>
      <c r="DC186" s="675">
        <v>0</v>
      </c>
      <c r="DD186" s="675">
        <v>0</v>
      </c>
      <c r="DE186" s="675">
        <v>79736</v>
      </c>
      <c r="DF186" s="675">
        <v>79736</v>
      </c>
      <c r="DG186" s="675">
        <v>60.83</v>
      </c>
      <c r="DH186" s="675">
        <v>0</v>
      </c>
      <c r="DI186" s="675">
        <v>0</v>
      </c>
      <c r="DJ186" s="675">
        <v>0</v>
      </c>
      <c r="DK186" s="675">
        <v>5392</v>
      </c>
      <c r="DL186" s="675">
        <v>0</v>
      </c>
      <c r="DM186" s="675">
        <v>139421</v>
      </c>
      <c r="DN186" s="675">
        <v>0</v>
      </c>
      <c r="DO186" s="675">
        <v>0</v>
      </c>
      <c r="DP186" s="675">
        <v>0</v>
      </c>
      <c r="DQ186" s="675">
        <v>0</v>
      </c>
      <c r="DR186" s="675">
        <v>0</v>
      </c>
      <c r="DS186" s="675">
        <v>0</v>
      </c>
      <c r="DT186" s="675">
        <v>0</v>
      </c>
      <c r="DU186" s="675">
        <v>0</v>
      </c>
      <c r="DV186" s="675">
        <v>0</v>
      </c>
      <c r="DW186" s="675">
        <v>0</v>
      </c>
      <c r="DX186" s="675">
        <v>0</v>
      </c>
      <c r="DY186" s="675">
        <v>0</v>
      </c>
      <c r="DZ186" s="675">
        <v>0</v>
      </c>
      <c r="EA186" s="675">
        <v>0</v>
      </c>
      <c r="EB186" s="675">
        <v>0</v>
      </c>
      <c r="EC186" s="675">
        <v>15.516</v>
      </c>
      <c r="ED186" s="675">
        <v>111861</v>
      </c>
      <c r="EE186" s="675">
        <v>0</v>
      </c>
      <c r="EF186" s="675">
        <v>0</v>
      </c>
      <c r="EG186" s="675">
        <v>0</v>
      </c>
      <c r="EH186" s="675">
        <v>27560</v>
      </c>
      <c r="EI186" s="675">
        <v>0</v>
      </c>
      <c r="EJ186" s="675">
        <v>0</v>
      </c>
      <c r="EK186" s="675">
        <v>0</v>
      </c>
      <c r="EL186" s="675">
        <v>0</v>
      </c>
      <c r="EM186" s="675">
        <v>0</v>
      </c>
      <c r="EN186" s="675">
        <v>0.84100000000000008</v>
      </c>
      <c r="EO186" s="675">
        <v>0</v>
      </c>
      <c r="EP186" s="675">
        <v>0</v>
      </c>
      <c r="EQ186" s="675">
        <v>0.84100000000000008</v>
      </c>
      <c r="ER186" s="675">
        <v>0</v>
      </c>
      <c r="ES186" s="675">
        <v>4.2050000000000001</v>
      </c>
      <c r="ET186" s="675">
        <v>0</v>
      </c>
      <c r="EU186" s="675">
        <v>88622</v>
      </c>
      <c r="EV186" s="675">
        <v>0</v>
      </c>
      <c r="EW186" s="675">
        <v>0</v>
      </c>
      <c r="EX186" s="675">
        <v>0</v>
      </c>
      <c r="EY186" s="675">
        <v>0</v>
      </c>
      <c r="EZ186" s="675">
        <v>2347164</v>
      </c>
      <c r="FA186" s="675">
        <v>0</v>
      </c>
      <c r="FB186" s="675">
        <v>2435786</v>
      </c>
      <c r="FC186" s="675">
        <v>0.97327799999999998</v>
      </c>
      <c r="FD186" s="675">
        <v>0</v>
      </c>
      <c r="FE186" s="675">
        <v>360919</v>
      </c>
      <c r="FF186" s="675">
        <v>81333</v>
      </c>
      <c r="FG186" s="675">
        <v>6.1239999999999996E-2</v>
      </c>
      <c r="FH186" s="675">
        <v>5.4803999999999999E-2</v>
      </c>
      <c r="FI186" s="675">
        <v>0</v>
      </c>
      <c r="FJ186" s="675">
        <v>0</v>
      </c>
      <c r="FK186" s="675">
        <v>464.49400000000003</v>
      </c>
      <c r="FL186" s="675">
        <v>2944200</v>
      </c>
      <c r="FM186" s="675">
        <v>0</v>
      </c>
      <c r="FN186" s="675">
        <v>0</v>
      </c>
      <c r="FO186" s="675">
        <v>0</v>
      </c>
      <c r="FP186" s="675">
        <v>0</v>
      </c>
      <c r="FQ186" s="675">
        <v>0</v>
      </c>
      <c r="FR186" s="675">
        <v>0</v>
      </c>
      <c r="FS186" s="675">
        <v>0</v>
      </c>
      <c r="FT186" s="675">
        <v>0</v>
      </c>
      <c r="FU186" s="675">
        <v>0</v>
      </c>
      <c r="FV186" s="675">
        <v>0</v>
      </c>
      <c r="FW186" s="675">
        <v>0</v>
      </c>
      <c r="FX186" s="675">
        <v>0</v>
      </c>
      <c r="FY186" s="675">
        <v>0</v>
      </c>
      <c r="FZ186" s="675">
        <v>0</v>
      </c>
      <c r="GA186" s="675">
        <v>0</v>
      </c>
      <c r="GB186" s="675">
        <v>0</v>
      </c>
      <c r="GC186" s="675">
        <v>0</v>
      </c>
      <c r="GD186" s="675">
        <v>0</v>
      </c>
      <c r="GE186" s="675">
        <v>0</v>
      </c>
      <c r="GF186" s="675">
        <v>0</v>
      </c>
      <c r="GG186" s="675">
        <v>0</v>
      </c>
      <c r="GH186" s="675">
        <v>0</v>
      </c>
      <c r="GI186" s="675">
        <v>0</v>
      </c>
      <c r="GJ186" s="675">
        <v>0</v>
      </c>
      <c r="GK186" s="675">
        <v>0</v>
      </c>
      <c r="GL186" s="675">
        <v>0</v>
      </c>
      <c r="GM186" s="675">
        <v>0</v>
      </c>
      <c r="GN186" s="675">
        <v>0</v>
      </c>
      <c r="GO186" s="675">
        <v>0</v>
      </c>
      <c r="GP186" s="675">
        <v>2878038</v>
      </c>
      <c r="GQ186" s="675">
        <v>2878038</v>
      </c>
      <c r="GR186" s="675">
        <v>0</v>
      </c>
      <c r="GS186" s="675">
        <v>0</v>
      </c>
      <c r="GT186" s="675">
        <v>0</v>
      </c>
      <c r="GU186" s="675">
        <v>0</v>
      </c>
      <c r="GV186" s="675">
        <v>0</v>
      </c>
      <c r="GW186" s="675">
        <v>0</v>
      </c>
      <c r="GX186" s="675">
        <v>0</v>
      </c>
      <c r="GY186" s="675">
        <v>0</v>
      </c>
      <c r="GZ186" s="675">
        <v>0</v>
      </c>
      <c r="HA186" s="675">
        <v>0</v>
      </c>
      <c r="HB186" s="675">
        <v>260786259</v>
      </c>
      <c r="HC186" s="675">
        <v>5.0923999999999997E-2</v>
      </c>
      <c r="HD186" s="675">
        <v>66162</v>
      </c>
      <c r="HE186" s="675">
        <v>0</v>
      </c>
      <c r="HF186" s="675">
        <v>0</v>
      </c>
      <c r="HG186" s="675">
        <v>0</v>
      </c>
      <c r="HH186" s="675">
        <v>0</v>
      </c>
      <c r="HI186" s="675">
        <v>0</v>
      </c>
      <c r="HJ186" s="675">
        <v>0</v>
      </c>
      <c r="HK186" s="675">
        <v>0</v>
      </c>
      <c r="HL186" s="675">
        <v>0</v>
      </c>
      <c r="HM186" s="675">
        <v>0</v>
      </c>
      <c r="HN186" s="675">
        <v>0</v>
      </c>
      <c r="HO186" s="675">
        <v>0</v>
      </c>
      <c r="HP186" s="675">
        <v>0</v>
      </c>
      <c r="HQ186" s="675">
        <v>0</v>
      </c>
      <c r="HR186" s="675">
        <v>0</v>
      </c>
      <c r="HS186" s="675">
        <v>0</v>
      </c>
      <c r="HT186" s="675">
        <v>0</v>
      </c>
      <c r="HU186" s="675">
        <v>0</v>
      </c>
      <c r="HV186" s="675">
        <v>0</v>
      </c>
      <c r="HW186" s="675">
        <v>0</v>
      </c>
      <c r="HX186" s="675">
        <v>0</v>
      </c>
      <c r="HY186" s="675">
        <v>0</v>
      </c>
      <c r="HZ186" s="675">
        <v>0</v>
      </c>
      <c r="IA186" s="675">
        <v>0</v>
      </c>
      <c r="IB186" s="675">
        <v>0</v>
      </c>
      <c r="IC186" s="675">
        <v>0</v>
      </c>
      <c r="ID186" s="675">
        <v>0</v>
      </c>
      <c r="IE186" s="675">
        <v>0</v>
      </c>
      <c r="IF186" s="675">
        <v>0</v>
      </c>
      <c r="IG186" s="675">
        <v>0</v>
      </c>
      <c r="IH186" s="675">
        <v>0</v>
      </c>
      <c r="II186" s="675">
        <v>0</v>
      </c>
      <c r="IJ186" s="675">
        <v>0</v>
      </c>
      <c r="IK186" s="675">
        <v>0</v>
      </c>
      <c r="IL186" s="675">
        <v>0</v>
      </c>
      <c r="IM186" s="675">
        <v>0</v>
      </c>
      <c r="IN186" s="675">
        <v>0</v>
      </c>
      <c r="IO186" s="675">
        <v>0</v>
      </c>
      <c r="IP186" s="675">
        <v>0</v>
      </c>
      <c r="IQ186" s="675">
        <v>0</v>
      </c>
      <c r="IR186" s="675">
        <v>0</v>
      </c>
      <c r="IS186" s="675">
        <v>0</v>
      </c>
      <c r="IT186" s="675">
        <v>0</v>
      </c>
      <c r="IU186" s="675">
        <v>0</v>
      </c>
      <c r="IV186" s="675">
        <v>0</v>
      </c>
      <c r="IW186" s="675">
        <v>0</v>
      </c>
      <c r="IX186" s="675">
        <v>0</v>
      </c>
      <c r="IY186" s="675">
        <v>0</v>
      </c>
      <c r="IZ186" s="675">
        <v>0</v>
      </c>
      <c r="JA186" s="675">
        <v>0</v>
      </c>
      <c r="JB186" s="675">
        <v>0</v>
      </c>
      <c r="JC186" s="675">
        <v>0</v>
      </c>
      <c r="JD186" s="675">
        <v>0</v>
      </c>
      <c r="JE186" s="675">
        <v>0</v>
      </c>
      <c r="JF186" s="675">
        <v>0</v>
      </c>
      <c r="JG186" s="675">
        <v>0</v>
      </c>
      <c r="JH186" s="675">
        <v>0</v>
      </c>
      <c r="JI186" s="675">
        <v>0</v>
      </c>
      <c r="JJ186" s="675">
        <v>0</v>
      </c>
      <c r="JK186" s="675">
        <v>0</v>
      </c>
      <c r="JL186" s="675">
        <v>0</v>
      </c>
      <c r="JM186" s="675">
        <v>0</v>
      </c>
      <c r="JN186" s="675">
        <v>32469</v>
      </c>
      <c r="JO186" s="675">
        <v>0</v>
      </c>
      <c r="JP186" s="675">
        <v>0</v>
      </c>
      <c r="JQ186" s="675">
        <v>0</v>
      </c>
      <c r="JR186" s="675">
        <v>0</v>
      </c>
      <c r="JS186" s="675">
        <v>0</v>
      </c>
      <c r="JT186" s="675">
        <v>0</v>
      </c>
      <c r="JU186" s="675">
        <v>0</v>
      </c>
      <c r="JV186" s="675">
        <v>0</v>
      </c>
      <c r="JW186" s="675">
        <v>0</v>
      </c>
      <c r="JX186" s="675">
        <v>0</v>
      </c>
      <c r="JY186" s="675">
        <v>0</v>
      </c>
      <c r="JZ186" s="675">
        <v>0</v>
      </c>
      <c r="KA186" s="675">
        <v>0</v>
      </c>
      <c r="KB186" s="675">
        <v>0</v>
      </c>
      <c r="KC186" s="675">
        <v>0</v>
      </c>
      <c r="KD186" s="675">
        <v>0</v>
      </c>
      <c r="KE186" s="675">
        <v>0</v>
      </c>
      <c r="KF186" s="675">
        <v>0</v>
      </c>
    </row>
    <row r="187" spans="1:292" ht="13" x14ac:dyDescent="0.3">
      <c r="A187" s="675">
        <v>240801</v>
      </c>
      <c r="B187" s="675">
        <v>32570</v>
      </c>
      <c r="C187" s="675">
        <v>35</v>
      </c>
      <c r="D187" s="675">
        <v>2022</v>
      </c>
      <c r="E187" s="675">
        <v>5392</v>
      </c>
      <c r="F187" s="675">
        <v>0</v>
      </c>
      <c r="G187" s="675">
        <v>204.86600000000001</v>
      </c>
      <c r="H187" s="675">
        <v>189.952</v>
      </c>
      <c r="I187" s="675">
        <v>189.952</v>
      </c>
      <c r="J187" s="675">
        <v>204.86600000000001</v>
      </c>
      <c r="K187" s="675">
        <v>0</v>
      </c>
      <c r="L187" s="675">
        <v>6554</v>
      </c>
      <c r="M187" s="675">
        <v>0</v>
      </c>
      <c r="N187" s="675">
        <v>0</v>
      </c>
      <c r="O187" s="675">
        <v>0</v>
      </c>
      <c r="P187" s="675">
        <v>249.82400000000001</v>
      </c>
      <c r="Q187" s="675">
        <v>0</v>
      </c>
      <c r="R187" s="676">
        <v>79872</v>
      </c>
      <c r="S187" s="675">
        <v>319.71300000000002</v>
      </c>
      <c r="T187" s="675">
        <v>0</v>
      </c>
      <c r="U187" s="676">
        <v>79872</v>
      </c>
      <c r="V187" s="676">
        <v>105.20100000000001</v>
      </c>
      <c r="W187" s="676">
        <v>68949</v>
      </c>
      <c r="X187" s="676">
        <v>68949</v>
      </c>
      <c r="Y187" s="675">
        <v>0</v>
      </c>
      <c r="Z187" s="675">
        <v>0</v>
      </c>
      <c r="AA187" s="675">
        <v>1</v>
      </c>
      <c r="AB187" s="675">
        <v>1</v>
      </c>
      <c r="AC187" s="675">
        <v>0</v>
      </c>
      <c r="AD187" s="675" t="s">
        <v>316</v>
      </c>
      <c r="AE187" s="675">
        <v>0</v>
      </c>
      <c r="AF187" s="675">
        <v>0</v>
      </c>
      <c r="AG187" s="675">
        <v>0</v>
      </c>
      <c r="AH187" s="675">
        <v>0</v>
      </c>
      <c r="AI187" s="675">
        <v>0</v>
      </c>
      <c r="AJ187" s="675">
        <v>5104</v>
      </c>
      <c r="AK187" s="675" t="s">
        <v>671</v>
      </c>
      <c r="AL187" s="675" t="s">
        <v>471</v>
      </c>
      <c r="AM187" s="675">
        <v>0</v>
      </c>
      <c r="AN187" s="675">
        <v>0</v>
      </c>
      <c r="AO187" s="675">
        <v>0</v>
      </c>
      <c r="AP187" s="675">
        <v>0</v>
      </c>
      <c r="AQ187" s="675">
        <v>0</v>
      </c>
      <c r="AR187" s="675">
        <v>0</v>
      </c>
      <c r="AS187" s="675">
        <v>0</v>
      </c>
      <c r="AT187" s="675">
        <v>0</v>
      </c>
      <c r="AU187" s="675">
        <v>0</v>
      </c>
      <c r="AV187" s="675">
        <v>264097</v>
      </c>
      <c r="AW187" s="675">
        <v>2330166</v>
      </c>
      <c r="AX187" s="675">
        <v>2221539</v>
      </c>
      <c r="AY187" s="675">
        <v>2514995</v>
      </c>
      <c r="AZ187" s="675">
        <v>136207</v>
      </c>
      <c r="BA187" s="676">
        <v>17.917000000000002</v>
      </c>
      <c r="BB187" s="675">
        <v>0</v>
      </c>
      <c r="BC187" s="675">
        <v>0</v>
      </c>
      <c r="BD187" s="675">
        <v>0</v>
      </c>
      <c r="BE187" s="675">
        <v>0</v>
      </c>
      <c r="BF187" s="675">
        <v>1895717</v>
      </c>
      <c r="BG187" s="675">
        <v>0</v>
      </c>
      <c r="BH187" s="676">
        <v>204.85600000000002</v>
      </c>
      <c r="BI187" s="676">
        <v>56335</v>
      </c>
      <c r="BJ187" s="675">
        <v>12</v>
      </c>
      <c r="BK187" s="675">
        <v>0</v>
      </c>
      <c r="BL187" s="675">
        <v>0</v>
      </c>
      <c r="BM187" s="675">
        <v>0</v>
      </c>
      <c r="BN187" s="675">
        <v>0</v>
      </c>
      <c r="BO187" s="675">
        <v>0</v>
      </c>
      <c r="BP187" s="675">
        <v>0</v>
      </c>
      <c r="BQ187" s="675">
        <v>5392</v>
      </c>
      <c r="BR187" s="675">
        <v>1</v>
      </c>
      <c r="BS187" s="675">
        <v>0</v>
      </c>
      <c r="BT187" s="675">
        <v>0</v>
      </c>
      <c r="BU187" s="675">
        <v>0</v>
      </c>
      <c r="BV187" s="675">
        <v>0</v>
      </c>
      <c r="BW187" s="675">
        <v>0</v>
      </c>
      <c r="BX187" s="675">
        <v>0</v>
      </c>
      <c r="BY187" s="675">
        <v>0</v>
      </c>
      <c r="BZ187" s="675">
        <v>0</v>
      </c>
      <c r="CA187" s="675">
        <v>0</v>
      </c>
      <c r="CB187" s="675">
        <v>0</v>
      </c>
      <c r="CC187" s="675">
        <v>0</v>
      </c>
      <c r="CD187" s="675">
        <v>0</v>
      </c>
      <c r="CE187" s="675">
        <v>0</v>
      </c>
      <c r="CF187" s="675">
        <v>0</v>
      </c>
      <c r="CG187" s="675">
        <v>0</v>
      </c>
      <c r="CH187" s="676">
        <v>52292</v>
      </c>
      <c r="CI187" s="675">
        <v>0</v>
      </c>
      <c r="CJ187" s="675">
        <v>4</v>
      </c>
      <c r="CK187" s="675">
        <v>0</v>
      </c>
      <c r="CL187" s="675">
        <v>0</v>
      </c>
      <c r="CM187" s="675">
        <v>0</v>
      </c>
      <c r="CN187" s="675">
        <v>0</v>
      </c>
      <c r="CO187" s="675">
        <v>0</v>
      </c>
      <c r="CP187" s="675">
        <v>1.8230000000000002</v>
      </c>
      <c r="CQ187" s="675">
        <v>11.833</v>
      </c>
      <c r="CR187" s="675">
        <v>249.82400000000001</v>
      </c>
      <c r="CS187" s="675">
        <v>0</v>
      </c>
      <c r="CT187" s="675">
        <v>0</v>
      </c>
      <c r="CU187" s="675">
        <v>0</v>
      </c>
      <c r="CV187" s="675">
        <v>0</v>
      </c>
      <c r="CW187" s="675">
        <v>0</v>
      </c>
      <c r="CX187" s="675">
        <v>0</v>
      </c>
      <c r="CY187" s="675">
        <v>0</v>
      </c>
      <c r="CZ187" s="675">
        <v>0</v>
      </c>
      <c r="DA187" s="675">
        <v>1</v>
      </c>
      <c r="DB187" s="675">
        <v>1244945</v>
      </c>
      <c r="DC187" s="675">
        <v>0</v>
      </c>
      <c r="DD187" s="675">
        <v>0</v>
      </c>
      <c r="DE187" s="675">
        <v>323112</v>
      </c>
      <c r="DF187" s="675">
        <v>351907</v>
      </c>
      <c r="DG187" s="675">
        <v>246.5</v>
      </c>
      <c r="DH187" s="675">
        <v>0</v>
      </c>
      <c r="DI187" s="675">
        <v>28795</v>
      </c>
      <c r="DJ187" s="675">
        <v>0</v>
      </c>
      <c r="DK187" s="675">
        <v>5392</v>
      </c>
      <c r="DL187" s="675">
        <v>0</v>
      </c>
      <c r="DM187" s="675">
        <v>150291</v>
      </c>
      <c r="DN187" s="675">
        <v>0</v>
      </c>
      <c r="DO187" s="675">
        <v>0</v>
      </c>
      <c r="DP187" s="675">
        <v>0</v>
      </c>
      <c r="DQ187" s="675">
        <v>0</v>
      </c>
      <c r="DR187" s="675">
        <v>0</v>
      </c>
      <c r="DS187" s="675">
        <v>0</v>
      </c>
      <c r="DT187" s="675">
        <v>0</v>
      </c>
      <c r="DU187" s="675">
        <v>0</v>
      </c>
      <c r="DV187" s="675">
        <v>0</v>
      </c>
      <c r="DW187" s="675">
        <v>0</v>
      </c>
      <c r="DX187" s="675">
        <v>0</v>
      </c>
      <c r="DY187" s="675">
        <v>0</v>
      </c>
      <c r="DZ187" s="675">
        <v>0</v>
      </c>
      <c r="EA187" s="675">
        <v>0</v>
      </c>
      <c r="EB187" s="675">
        <v>0</v>
      </c>
      <c r="EC187" s="675">
        <v>20.701000000000001</v>
      </c>
      <c r="ED187" s="675">
        <v>149242</v>
      </c>
      <c r="EE187" s="675">
        <v>0</v>
      </c>
      <c r="EF187" s="675">
        <v>0</v>
      </c>
      <c r="EG187" s="675">
        <v>0</v>
      </c>
      <c r="EH187" s="675">
        <v>1049</v>
      </c>
      <c r="EI187" s="675">
        <v>0</v>
      </c>
      <c r="EJ187" s="675">
        <v>0</v>
      </c>
      <c r="EK187" s="675">
        <v>0</v>
      </c>
      <c r="EL187" s="675">
        <v>0</v>
      </c>
      <c r="EM187" s="675">
        <v>0</v>
      </c>
      <c r="EN187" s="675">
        <v>3.2000000000000001E-2</v>
      </c>
      <c r="EO187" s="675">
        <v>0</v>
      </c>
      <c r="EP187" s="675">
        <v>0</v>
      </c>
      <c r="EQ187" s="675">
        <v>3.2000000000000001E-2</v>
      </c>
      <c r="ER187" s="675">
        <v>0</v>
      </c>
      <c r="ES187" s="675">
        <v>0.16</v>
      </c>
      <c r="ET187" s="676">
        <v>11917</v>
      </c>
      <c r="EU187" s="675">
        <v>136207</v>
      </c>
      <c r="EV187" s="675">
        <v>0</v>
      </c>
      <c r="EW187" s="675">
        <v>0</v>
      </c>
      <c r="EX187" s="675">
        <v>0</v>
      </c>
      <c r="EY187" s="675">
        <v>0</v>
      </c>
      <c r="EZ187" s="675">
        <v>1867894</v>
      </c>
      <c r="FA187" s="675">
        <v>0</v>
      </c>
      <c r="FB187" s="676">
        <v>2004101</v>
      </c>
      <c r="FC187" s="675">
        <v>0.97327799999999998</v>
      </c>
      <c r="FD187" s="675">
        <v>0</v>
      </c>
      <c r="FE187" s="675">
        <v>288608</v>
      </c>
      <c r="FF187" s="675">
        <v>65037</v>
      </c>
      <c r="FG187" s="675">
        <v>6.1239999999999996E-2</v>
      </c>
      <c r="FH187" s="675">
        <v>5.4803999999999999E-2</v>
      </c>
      <c r="FI187" s="675">
        <v>0</v>
      </c>
      <c r="FJ187" s="675">
        <v>0</v>
      </c>
      <c r="FK187" s="675">
        <v>371.43100000000004</v>
      </c>
      <c r="FL187" s="675">
        <v>2410038</v>
      </c>
      <c r="FM187" s="675">
        <v>0</v>
      </c>
      <c r="FN187" s="675">
        <v>0</v>
      </c>
      <c r="FO187" s="675">
        <v>0</v>
      </c>
      <c r="FP187" s="675">
        <v>0</v>
      </c>
      <c r="FQ187" s="675">
        <v>0</v>
      </c>
      <c r="FR187" s="675">
        <v>0</v>
      </c>
      <c r="FS187" s="675">
        <v>0</v>
      </c>
      <c r="FT187" s="675">
        <v>0</v>
      </c>
      <c r="FU187" s="675">
        <v>0</v>
      </c>
      <c r="FV187" s="675">
        <v>0</v>
      </c>
      <c r="FW187" s="675">
        <v>0</v>
      </c>
      <c r="FX187" s="675">
        <v>0</v>
      </c>
      <c r="FY187" s="675">
        <v>0</v>
      </c>
      <c r="FZ187" s="675">
        <v>0</v>
      </c>
      <c r="GA187" s="675">
        <v>0</v>
      </c>
      <c r="GB187" s="676">
        <v>131674</v>
      </c>
      <c r="GC187" s="676">
        <v>131674</v>
      </c>
      <c r="GD187" s="676">
        <v>14.882000000000001</v>
      </c>
      <c r="GE187" s="675">
        <v>0</v>
      </c>
      <c r="GF187" s="675">
        <v>0</v>
      </c>
      <c r="GG187" s="675">
        <v>0</v>
      </c>
      <c r="GH187" s="675">
        <v>0</v>
      </c>
      <c r="GI187" s="675">
        <v>0</v>
      </c>
      <c r="GJ187" s="675">
        <v>0</v>
      </c>
      <c r="GK187" s="675">
        <v>5139</v>
      </c>
      <c r="GL187" s="675">
        <v>19097</v>
      </c>
      <c r="GM187" s="675">
        <v>0</v>
      </c>
      <c r="GN187" s="675">
        <v>0</v>
      </c>
      <c r="GO187" s="675">
        <v>0</v>
      </c>
      <c r="GP187" s="675">
        <v>2357746</v>
      </c>
      <c r="GQ187" s="675">
        <v>2357746</v>
      </c>
      <c r="GR187" s="675">
        <v>0</v>
      </c>
      <c r="GS187" s="675">
        <v>0</v>
      </c>
      <c r="GT187" s="675">
        <v>0</v>
      </c>
      <c r="GU187" s="675">
        <v>0</v>
      </c>
      <c r="GV187" s="675">
        <v>0</v>
      </c>
      <c r="GW187" s="675">
        <v>0</v>
      </c>
      <c r="GX187" s="675">
        <v>0</v>
      </c>
      <c r="GY187" s="675">
        <v>0</v>
      </c>
      <c r="GZ187" s="675">
        <v>0</v>
      </c>
      <c r="HA187" s="675">
        <v>0</v>
      </c>
      <c r="HB187" s="675">
        <v>260786259</v>
      </c>
      <c r="HC187" s="675">
        <v>5.0923999999999997E-2</v>
      </c>
      <c r="HD187" s="676">
        <v>40375</v>
      </c>
      <c r="HE187" s="675">
        <v>0</v>
      </c>
      <c r="HF187" s="675">
        <v>0</v>
      </c>
      <c r="HG187" s="675">
        <v>0</v>
      </c>
      <c r="HH187" s="675">
        <v>0</v>
      </c>
      <c r="HI187" s="675">
        <v>0</v>
      </c>
      <c r="HJ187" s="675">
        <v>0</v>
      </c>
      <c r="HK187" s="675">
        <v>0</v>
      </c>
      <c r="HL187" s="675">
        <v>0</v>
      </c>
      <c r="HM187" s="675">
        <v>0</v>
      </c>
      <c r="HN187" s="675">
        <v>0</v>
      </c>
      <c r="HO187" s="675">
        <v>0</v>
      </c>
      <c r="HP187" s="675">
        <v>0</v>
      </c>
      <c r="HQ187" s="675">
        <v>0</v>
      </c>
      <c r="HR187" s="675">
        <v>0</v>
      </c>
      <c r="HS187" s="675">
        <v>0</v>
      </c>
      <c r="HT187" s="675">
        <v>0</v>
      </c>
      <c r="HU187" s="675">
        <v>0</v>
      </c>
      <c r="HV187" s="675">
        <v>0</v>
      </c>
      <c r="HW187" s="675">
        <v>0</v>
      </c>
      <c r="HX187" s="675">
        <v>0</v>
      </c>
      <c r="HY187" s="675">
        <v>0</v>
      </c>
      <c r="HZ187" s="675">
        <v>0</v>
      </c>
      <c r="IA187" s="675">
        <v>0</v>
      </c>
      <c r="IB187" s="675">
        <v>0</v>
      </c>
      <c r="IC187" s="675">
        <v>0</v>
      </c>
      <c r="ID187" s="675">
        <v>0</v>
      </c>
      <c r="IE187" s="675">
        <v>0</v>
      </c>
      <c r="IF187" s="675">
        <v>0</v>
      </c>
      <c r="IG187" s="675">
        <v>0</v>
      </c>
      <c r="IH187" s="675">
        <v>0</v>
      </c>
      <c r="II187" s="675">
        <v>0</v>
      </c>
      <c r="IJ187" s="675">
        <v>0</v>
      </c>
      <c r="IK187" s="675">
        <v>0</v>
      </c>
      <c r="IL187" s="675">
        <v>0</v>
      </c>
      <c r="IM187" s="675">
        <v>0</v>
      </c>
      <c r="IN187" s="675">
        <v>0</v>
      </c>
      <c r="IO187" s="675">
        <v>0</v>
      </c>
      <c r="IP187" s="675">
        <v>0</v>
      </c>
      <c r="IQ187" s="675">
        <v>0</v>
      </c>
      <c r="IR187" s="675">
        <v>0</v>
      </c>
      <c r="IS187" s="675">
        <v>0</v>
      </c>
      <c r="IT187" s="675">
        <v>0</v>
      </c>
      <c r="IU187" s="675">
        <v>0</v>
      </c>
      <c r="IV187" s="675">
        <v>0</v>
      </c>
      <c r="IW187" s="675">
        <v>0</v>
      </c>
      <c r="IX187" s="675">
        <v>0</v>
      </c>
      <c r="IY187" s="675">
        <v>0</v>
      </c>
      <c r="IZ187" s="675">
        <v>0</v>
      </c>
      <c r="JA187" s="675">
        <v>0</v>
      </c>
      <c r="JB187" s="675">
        <v>0</v>
      </c>
      <c r="JC187" s="675">
        <v>0</v>
      </c>
      <c r="JD187" s="675">
        <v>0</v>
      </c>
      <c r="JE187" s="675">
        <v>0</v>
      </c>
      <c r="JF187" s="675">
        <v>0</v>
      </c>
      <c r="JG187" s="675">
        <v>0</v>
      </c>
      <c r="JH187" s="675">
        <v>0</v>
      </c>
      <c r="JI187" s="675">
        <v>0</v>
      </c>
      <c r="JJ187" s="675">
        <v>0</v>
      </c>
      <c r="JK187" s="675">
        <v>0</v>
      </c>
      <c r="JL187" s="675">
        <v>0</v>
      </c>
      <c r="JM187" s="675">
        <v>0</v>
      </c>
      <c r="JN187" s="675">
        <v>32469</v>
      </c>
      <c r="JO187" s="675">
        <v>0</v>
      </c>
      <c r="JP187" s="675">
        <v>0</v>
      </c>
      <c r="JQ187" s="675">
        <v>0</v>
      </c>
      <c r="JR187" s="675">
        <v>0</v>
      </c>
      <c r="JS187" s="675">
        <v>0</v>
      </c>
      <c r="JT187" s="675">
        <v>0</v>
      </c>
      <c r="JU187" s="675">
        <v>0</v>
      </c>
      <c r="JV187" s="675">
        <v>0</v>
      </c>
      <c r="JW187" s="675">
        <v>0</v>
      </c>
      <c r="JX187" s="675">
        <v>0</v>
      </c>
      <c r="JY187" s="675">
        <v>0</v>
      </c>
      <c r="JZ187" s="675">
        <v>0</v>
      </c>
      <c r="KA187" s="675">
        <v>0</v>
      </c>
      <c r="KB187" s="675">
        <v>0</v>
      </c>
      <c r="KC187" s="675">
        <v>0</v>
      </c>
      <c r="KD187" s="675">
        <v>0</v>
      </c>
      <c r="KE187" s="675">
        <v>0</v>
      </c>
      <c r="KF187" s="675">
        <v>0</v>
      </c>
    </row>
    <row r="188" spans="1:292" ht="13" x14ac:dyDescent="0.3">
      <c r="A188" s="675">
        <v>246801</v>
      </c>
      <c r="B188" s="675">
        <v>32570</v>
      </c>
      <c r="C188" s="675">
        <v>35</v>
      </c>
      <c r="D188" s="675">
        <v>2022</v>
      </c>
      <c r="E188" s="675">
        <v>5392</v>
      </c>
      <c r="F188" s="675">
        <v>0</v>
      </c>
      <c r="G188" s="675">
        <v>1613.2950000000001</v>
      </c>
      <c r="H188" s="675">
        <v>1561.8290000000002</v>
      </c>
      <c r="I188" s="675">
        <v>1561.8290000000002</v>
      </c>
      <c r="J188" s="675">
        <v>1613.2950000000001</v>
      </c>
      <c r="K188" s="675">
        <v>0</v>
      </c>
      <c r="L188" s="675">
        <v>6554</v>
      </c>
      <c r="M188" s="675">
        <v>0</v>
      </c>
      <c r="N188" s="675">
        <v>0</v>
      </c>
      <c r="O188" s="675">
        <v>0</v>
      </c>
      <c r="P188" s="675">
        <v>1592.2360000000001</v>
      </c>
      <c r="Q188" s="675">
        <v>0</v>
      </c>
      <c r="R188" s="676">
        <v>509059</v>
      </c>
      <c r="S188" s="675">
        <v>319.71300000000002</v>
      </c>
      <c r="T188" s="675">
        <v>0</v>
      </c>
      <c r="U188" s="676">
        <v>509059</v>
      </c>
      <c r="V188" s="676">
        <v>77.088999999999999</v>
      </c>
      <c r="W188" s="676">
        <v>50524</v>
      </c>
      <c r="X188" s="676">
        <v>50524</v>
      </c>
      <c r="Y188" s="675">
        <v>0</v>
      </c>
      <c r="Z188" s="675">
        <v>0</v>
      </c>
      <c r="AA188" s="675">
        <v>1</v>
      </c>
      <c r="AB188" s="675">
        <v>1</v>
      </c>
      <c r="AC188" s="675">
        <v>0</v>
      </c>
      <c r="AD188" s="675" t="s">
        <v>316</v>
      </c>
      <c r="AE188" s="675">
        <v>0</v>
      </c>
      <c r="AF188" s="675">
        <v>0</v>
      </c>
      <c r="AG188" s="675">
        <v>0</v>
      </c>
      <c r="AH188" s="675">
        <v>0</v>
      </c>
      <c r="AI188" s="675">
        <v>0</v>
      </c>
      <c r="AJ188" s="675">
        <v>5104</v>
      </c>
      <c r="AK188" s="675" t="s">
        <v>671</v>
      </c>
      <c r="AL188" s="675" t="s">
        <v>97</v>
      </c>
      <c r="AM188" s="675">
        <v>0</v>
      </c>
      <c r="AN188" s="675">
        <v>0</v>
      </c>
      <c r="AO188" s="675">
        <v>0</v>
      </c>
      <c r="AP188" s="675">
        <v>0</v>
      </c>
      <c r="AQ188" s="675">
        <v>0</v>
      </c>
      <c r="AR188" s="675">
        <v>0</v>
      </c>
      <c r="AS188" s="675">
        <v>0</v>
      </c>
      <c r="AT188" s="675">
        <v>0</v>
      </c>
      <c r="AU188" s="675">
        <v>0</v>
      </c>
      <c r="AV188" s="675">
        <v>283</v>
      </c>
      <c r="AW188" s="675">
        <v>13852160</v>
      </c>
      <c r="AX188" s="675">
        <v>13441967</v>
      </c>
      <c r="AY188" s="675">
        <v>14401031</v>
      </c>
      <c r="AZ188" s="675">
        <v>601307</v>
      </c>
      <c r="BA188" s="676">
        <v>0</v>
      </c>
      <c r="BB188" s="675">
        <v>0</v>
      </c>
      <c r="BC188" s="675">
        <v>0</v>
      </c>
      <c r="BD188" s="675">
        <v>0</v>
      </c>
      <c r="BE188" s="675">
        <v>0</v>
      </c>
      <c r="BF188" s="675">
        <v>11491730</v>
      </c>
      <c r="BG188" s="675">
        <v>0</v>
      </c>
      <c r="BH188" s="676">
        <v>335.44900000000001</v>
      </c>
      <c r="BI188" s="676">
        <v>92248</v>
      </c>
      <c r="BJ188" s="675">
        <v>12</v>
      </c>
      <c r="BK188" s="675">
        <v>0</v>
      </c>
      <c r="BL188" s="675">
        <v>0</v>
      </c>
      <c r="BM188" s="675">
        <v>0</v>
      </c>
      <c r="BN188" s="675">
        <v>0</v>
      </c>
      <c r="BO188" s="675">
        <v>0</v>
      </c>
      <c r="BP188" s="675">
        <v>0</v>
      </c>
      <c r="BQ188" s="675">
        <v>5392</v>
      </c>
      <c r="BR188" s="675">
        <v>1</v>
      </c>
      <c r="BS188" s="675">
        <v>0</v>
      </c>
      <c r="BT188" s="675">
        <v>0</v>
      </c>
      <c r="BU188" s="675">
        <v>0</v>
      </c>
      <c r="BV188" s="675">
        <v>0</v>
      </c>
      <c r="BW188" s="675">
        <v>0</v>
      </c>
      <c r="BX188" s="675">
        <v>0</v>
      </c>
      <c r="BY188" s="675">
        <v>0</v>
      </c>
      <c r="BZ188" s="675">
        <v>0</v>
      </c>
      <c r="CA188" s="675">
        <v>0</v>
      </c>
      <c r="CB188" s="675">
        <v>0</v>
      </c>
      <c r="CC188" s="675">
        <v>0</v>
      </c>
      <c r="CD188" s="675">
        <v>0</v>
      </c>
      <c r="CE188" s="675">
        <v>0</v>
      </c>
      <c r="CF188" s="675">
        <v>0</v>
      </c>
      <c r="CG188" s="675">
        <v>0</v>
      </c>
      <c r="CH188" s="676">
        <v>317945</v>
      </c>
      <c r="CI188" s="675">
        <v>0</v>
      </c>
      <c r="CJ188" s="675">
        <v>4</v>
      </c>
      <c r="CK188" s="675">
        <v>0</v>
      </c>
      <c r="CL188" s="675">
        <v>0</v>
      </c>
      <c r="CM188" s="675">
        <v>0</v>
      </c>
      <c r="CN188" s="675">
        <v>0</v>
      </c>
      <c r="CO188" s="675">
        <v>0</v>
      </c>
      <c r="CP188" s="675">
        <v>0</v>
      </c>
      <c r="CQ188" s="675">
        <v>0</v>
      </c>
      <c r="CR188" s="675">
        <v>1592.2360000000001</v>
      </c>
      <c r="CS188" s="675">
        <v>0</v>
      </c>
      <c r="CT188" s="675">
        <v>0</v>
      </c>
      <c r="CU188" s="675">
        <v>0</v>
      </c>
      <c r="CV188" s="675">
        <v>0</v>
      </c>
      <c r="CW188" s="675">
        <v>0</v>
      </c>
      <c r="CX188" s="675">
        <v>0</v>
      </c>
      <c r="CY188" s="675">
        <v>0</v>
      </c>
      <c r="CZ188" s="675">
        <v>0</v>
      </c>
      <c r="DA188" s="675">
        <v>1</v>
      </c>
      <c r="DB188" s="675">
        <v>10236227</v>
      </c>
      <c r="DC188" s="675">
        <v>0</v>
      </c>
      <c r="DD188" s="675">
        <v>0</v>
      </c>
      <c r="DE188" s="675">
        <v>255173</v>
      </c>
      <c r="DF188" s="675">
        <v>255173</v>
      </c>
      <c r="DG188" s="675">
        <v>194.67000000000002</v>
      </c>
      <c r="DH188" s="675">
        <v>0</v>
      </c>
      <c r="DI188" s="675">
        <v>0</v>
      </c>
      <c r="DJ188" s="675">
        <v>0</v>
      </c>
      <c r="DK188" s="675">
        <v>5392</v>
      </c>
      <c r="DL188" s="675">
        <v>0</v>
      </c>
      <c r="DM188" s="675">
        <v>1265325</v>
      </c>
      <c r="DN188" s="675">
        <v>0</v>
      </c>
      <c r="DO188" s="675">
        <v>0</v>
      </c>
      <c r="DP188" s="675">
        <v>0</v>
      </c>
      <c r="DQ188" s="675">
        <v>0</v>
      </c>
      <c r="DR188" s="675">
        <v>0</v>
      </c>
      <c r="DS188" s="675">
        <v>0</v>
      </c>
      <c r="DT188" s="675">
        <v>0</v>
      </c>
      <c r="DU188" s="675">
        <v>0</v>
      </c>
      <c r="DV188" s="675">
        <v>0</v>
      </c>
      <c r="DW188" s="675">
        <v>0</v>
      </c>
      <c r="DX188" s="675">
        <v>0</v>
      </c>
      <c r="DY188" s="675">
        <v>0</v>
      </c>
      <c r="DZ188" s="675">
        <v>0</v>
      </c>
      <c r="EA188" s="675">
        <v>0</v>
      </c>
      <c r="EB188" s="675">
        <v>0</v>
      </c>
      <c r="EC188" s="675">
        <v>29.283000000000001</v>
      </c>
      <c r="ED188" s="675">
        <v>211113</v>
      </c>
      <c r="EE188" s="675">
        <v>0</v>
      </c>
      <c r="EF188" s="675">
        <v>0</v>
      </c>
      <c r="EG188" s="675">
        <v>0.65300000000000002</v>
      </c>
      <c r="EH188" s="675">
        <v>1054212</v>
      </c>
      <c r="EI188" s="675">
        <v>0</v>
      </c>
      <c r="EJ188" s="675">
        <v>0</v>
      </c>
      <c r="EK188" s="675">
        <v>42.737000000000002</v>
      </c>
      <c r="EL188" s="675">
        <v>0</v>
      </c>
      <c r="EM188" s="675">
        <v>4.7520000000000007</v>
      </c>
      <c r="EN188" s="675">
        <v>3.3240000000000003</v>
      </c>
      <c r="EO188" s="675">
        <v>0</v>
      </c>
      <c r="EP188" s="675">
        <v>0</v>
      </c>
      <c r="EQ188" s="675">
        <v>51.466000000000001</v>
      </c>
      <c r="ER188" s="675">
        <v>0</v>
      </c>
      <c r="ES188" s="675">
        <v>160.85</v>
      </c>
      <c r="ET188" s="676">
        <v>0</v>
      </c>
      <c r="EU188" s="675">
        <v>601307</v>
      </c>
      <c r="EV188" s="675">
        <v>0</v>
      </c>
      <c r="EW188" s="675">
        <v>0</v>
      </c>
      <c r="EX188" s="675">
        <v>0</v>
      </c>
      <c r="EY188" s="675">
        <v>0</v>
      </c>
      <c r="EZ188" s="675">
        <v>11298190</v>
      </c>
      <c r="FA188" s="675">
        <v>0</v>
      </c>
      <c r="FB188" s="676">
        <v>11899497</v>
      </c>
      <c r="FC188" s="675">
        <v>0.97327799999999998</v>
      </c>
      <c r="FD188" s="675">
        <v>0</v>
      </c>
      <c r="FE188" s="675">
        <v>1749524</v>
      </c>
      <c r="FF188" s="675">
        <v>394253</v>
      </c>
      <c r="FG188" s="675">
        <v>6.1239999999999996E-2</v>
      </c>
      <c r="FH188" s="675">
        <v>5.4803999999999999E-2</v>
      </c>
      <c r="FI188" s="675">
        <v>0</v>
      </c>
      <c r="FJ188" s="675">
        <v>0</v>
      </c>
      <c r="FK188" s="675">
        <v>2251.5920000000001</v>
      </c>
      <c r="FL188" s="675">
        <v>14361219</v>
      </c>
      <c r="FM188" s="675">
        <v>0</v>
      </c>
      <c r="FN188" s="675">
        <v>0</v>
      </c>
      <c r="FO188" s="675">
        <v>0</v>
      </c>
      <c r="FP188" s="675">
        <v>0</v>
      </c>
      <c r="FQ188" s="675">
        <v>0</v>
      </c>
      <c r="FR188" s="675">
        <v>0</v>
      </c>
      <c r="FS188" s="675">
        <v>0</v>
      </c>
      <c r="FT188" s="675">
        <v>0</v>
      </c>
      <c r="FU188" s="675">
        <v>1</v>
      </c>
      <c r="FV188" s="675">
        <v>0</v>
      </c>
      <c r="FW188" s="675">
        <v>0</v>
      </c>
      <c r="FX188" s="675">
        <v>0</v>
      </c>
      <c r="FY188" s="675">
        <v>0</v>
      </c>
      <c r="FZ188" s="675">
        <v>0</v>
      </c>
      <c r="GA188" s="675">
        <v>0</v>
      </c>
      <c r="GB188" s="676">
        <v>0</v>
      </c>
      <c r="GC188" s="676">
        <v>0</v>
      </c>
      <c r="GD188" s="676">
        <v>0</v>
      </c>
      <c r="GE188" s="675">
        <v>0</v>
      </c>
      <c r="GF188" s="675">
        <v>0</v>
      </c>
      <c r="GG188" s="675">
        <v>0</v>
      </c>
      <c r="GH188" s="675">
        <v>0</v>
      </c>
      <c r="GI188" s="675">
        <v>0</v>
      </c>
      <c r="GJ188" s="675">
        <v>0</v>
      </c>
      <c r="GK188" s="675">
        <v>4971</v>
      </c>
      <c r="GL188" s="675">
        <v>0</v>
      </c>
      <c r="GM188" s="675">
        <v>0</v>
      </c>
      <c r="GN188" s="675">
        <v>0</v>
      </c>
      <c r="GO188" s="675">
        <v>0</v>
      </c>
      <c r="GP188" s="675">
        <v>14043274</v>
      </c>
      <c r="GQ188" s="675">
        <v>14043274</v>
      </c>
      <c r="GR188" s="675">
        <v>0</v>
      </c>
      <c r="GS188" s="675">
        <v>0</v>
      </c>
      <c r="GT188" s="675">
        <v>0</v>
      </c>
      <c r="GU188" s="675">
        <v>0</v>
      </c>
      <c r="GV188" s="675">
        <v>0</v>
      </c>
      <c r="GW188" s="675">
        <v>0</v>
      </c>
      <c r="GX188" s="675">
        <v>0</v>
      </c>
      <c r="GY188" s="675">
        <v>0</v>
      </c>
      <c r="GZ188" s="675">
        <v>0</v>
      </c>
      <c r="HA188" s="675">
        <v>0</v>
      </c>
      <c r="HB188" s="675">
        <v>260786259</v>
      </c>
      <c r="HC188" s="675">
        <v>5.0923999999999997E-2</v>
      </c>
      <c r="HD188" s="676">
        <v>317945</v>
      </c>
      <c r="HE188" s="675">
        <v>0</v>
      </c>
      <c r="HF188" s="675">
        <v>0</v>
      </c>
      <c r="HG188" s="675">
        <v>0</v>
      </c>
      <c r="HH188" s="675">
        <v>0</v>
      </c>
      <c r="HI188" s="675">
        <v>0</v>
      </c>
      <c r="HJ188" s="675">
        <v>0</v>
      </c>
      <c r="HK188" s="675">
        <v>0</v>
      </c>
      <c r="HL188" s="675">
        <v>0</v>
      </c>
      <c r="HM188" s="675">
        <v>0</v>
      </c>
      <c r="HN188" s="675">
        <v>0</v>
      </c>
      <c r="HO188" s="675">
        <v>0</v>
      </c>
      <c r="HP188" s="675">
        <v>0</v>
      </c>
      <c r="HQ188" s="675">
        <v>0</v>
      </c>
      <c r="HR188" s="675">
        <v>0</v>
      </c>
      <c r="HS188" s="675">
        <v>0</v>
      </c>
      <c r="HT188" s="675">
        <v>0</v>
      </c>
      <c r="HU188" s="675">
        <v>0</v>
      </c>
      <c r="HV188" s="675">
        <v>0</v>
      </c>
      <c r="HW188" s="675">
        <v>0</v>
      </c>
      <c r="HX188" s="675">
        <v>0</v>
      </c>
      <c r="HY188" s="675">
        <v>0</v>
      </c>
      <c r="HZ188" s="675">
        <v>0</v>
      </c>
      <c r="IA188" s="675">
        <v>0</v>
      </c>
      <c r="IB188" s="675">
        <v>0</v>
      </c>
      <c r="IC188" s="675">
        <v>0</v>
      </c>
      <c r="ID188" s="675">
        <v>0</v>
      </c>
      <c r="IE188" s="675">
        <v>0</v>
      </c>
      <c r="IF188" s="675">
        <v>0</v>
      </c>
      <c r="IG188" s="675">
        <v>0</v>
      </c>
      <c r="IH188" s="675">
        <v>0</v>
      </c>
      <c r="II188" s="675">
        <v>0</v>
      </c>
      <c r="IJ188" s="675">
        <v>0</v>
      </c>
      <c r="IK188" s="675">
        <v>0</v>
      </c>
      <c r="IL188" s="675">
        <v>0</v>
      </c>
      <c r="IM188" s="675">
        <v>0</v>
      </c>
      <c r="IN188" s="675">
        <v>0</v>
      </c>
      <c r="IO188" s="675">
        <v>0</v>
      </c>
      <c r="IP188" s="675">
        <v>0</v>
      </c>
      <c r="IQ188" s="675">
        <v>0</v>
      </c>
      <c r="IR188" s="675">
        <v>0</v>
      </c>
      <c r="IS188" s="675">
        <v>0</v>
      </c>
      <c r="IT188" s="675">
        <v>0</v>
      </c>
      <c r="IU188" s="675">
        <v>0</v>
      </c>
      <c r="IV188" s="675">
        <v>0</v>
      </c>
      <c r="IW188" s="675">
        <v>0</v>
      </c>
      <c r="IX188" s="675">
        <v>0</v>
      </c>
      <c r="IY188" s="675">
        <v>0</v>
      </c>
      <c r="IZ188" s="675">
        <v>0</v>
      </c>
      <c r="JA188" s="675">
        <v>0</v>
      </c>
      <c r="JB188" s="675">
        <v>0</v>
      </c>
      <c r="JC188" s="675">
        <v>0</v>
      </c>
      <c r="JD188" s="675">
        <v>0</v>
      </c>
      <c r="JE188" s="675">
        <v>0</v>
      </c>
      <c r="JF188" s="675">
        <v>0</v>
      </c>
      <c r="JG188" s="675">
        <v>0</v>
      </c>
      <c r="JH188" s="675">
        <v>0</v>
      </c>
      <c r="JI188" s="675">
        <v>0</v>
      </c>
      <c r="JJ188" s="675">
        <v>0</v>
      </c>
      <c r="JK188" s="675">
        <v>0</v>
      </c>
      <c r="JL188" s="675">
        <v>0</v>
      </c>
      <c r="JM188" s="675">
        <v>0</v>
      </c>
      <c r="JN188" s="675">
        <v>32469</v>
      </c>
      <c r="JO188" s="675">
        <v>0</v>
      </c>
      <c r="JP188" s="675">
        <v>0</v>
      </c>
      <c r="JQ188" s="675">
        <v>0</v>
      </c>
      <c r="JR188" s="675">
        <v>0</v>
      </c>
      <c r="JS188" s="675">
        <v>0</v>
      </c>
      <c r="JT188" s="675">
        <v>0</v>
      </c>
      <c r="JU188" s="675">
        <v>0</v>
      </c>
      <c r="JV188" s="675">
        <v>0</v>
      </c>
      <c r="JW188" s="675">
        <v>0</v>
      </c>
      <c r="JX188" s="675">
        <v>0</v>
      </c>
      <c r="JY188" s="675">
        <v>0</v>
      </c>
      <c r="JZ188" s="675">
        <v>0</v>
      </c>
      <c r="KA188" s="675">
        <v>0</v>
      </c>
      <c r="KB188" s="675">
        <v>0</v>
      </c>
      <c r="KC188" s="675">
        <v>0</v>
      </c>
      <c r="KD188" s="675">
        <v>0</v>
      </c>
      <c r="KE188" s="675">
        <v>0</v>
      </c>
      <c r="KF188" s="675">
        <v>0</v>
      </c>
    </row>
    <row r="189" spans="1:292" x14ac:dyDescent="0.25">
      <c r="A189" s="675">
        <v>246802</v>
      </c>
      <c r="B189" s="675">
        <v>32570</v>
      </c>
      <c r="C189" s="675">
        <v>35</v>
      </c>
      <c r="D189" s="675">
        <v>2022</v>
      </c>
      <c r="E189" s="675">
        <v>5392</v>
      </c>
      <c r="F189" s="675">
        <v>0</v>
      </c>
      <c r="G189" s="675">
        <v>332.59100000000001</v>
      </c>
      <c r="H189" s="675">
        <v>318.65800000000002</v>
      </c>
      <c r="I189" s="675">
        <v>318.65800000000002</v>
      </c>
      <c r="J189" s="675">
        <v>332.59100000000001</v>
      </c>
      <c r="K189" s="675">
        <v>0</v>
      </c>
      <c r="L189" s="675">
        <v>6554</v>
      </c>
      <c r="M189" s="675">
        <v>0</v>
      </c>
      <c r="N189" s="675">
        <v>0</v>
      </c>
      <c r="O189" s="675">
        <v>0</v>
      </c>
      <c r="P189" s="675">
        <v>278.02100000000002</v>
      </c>
      <c r="Q189" s="675">
        <v>0</v>
      </c>
      <c r="R189" s="675">
        <v>88887</v>
      </c>
      <c r="S189" s="675">
        <v>319.71300000000002</v>
      </c>
      <c r="T189" s="675">
        <v>0</v>
      </c>
      <c r="U189" s="675">
        <v>88887</v>
      </c>
      <c r="V189" s="675">
        <v>16.77</v>
      </c>
      <c r="W189" s="675">
        <v>10991</v>
      </c>
      <c r="X189" s="675">
        <v>10991</v>
      </c>
      <c r="Y189" s="675">
        <v>0</v>
      </c>
      <c r="Z189" s="675">
        <v>0</v>
      </c>
      <c r="AA189" s="675">
        <v>1</v>
      </c>
      <c r="AB189" s="675">
        <v>1</v>
      </c>
      <c r="AC189" s="675">
        <v>0</v>
      </c>
      <c r="AD189" s="675" t="s">
        <v>316</v>
      </c>
      <c r="AE189" s="675">
        <v>0</v>
      </c>
      <c r="AF189" s="675">
        <v>0</v>
      </c>
      <c r="AG189" s="675">
        <v>0</v>
      </c>
      <c r="AH189" s="675">
        <v>0</v>
      </c>
      <c r="AI189" s="675">
        <v>0</v>
      </c>
      <c r="AJ189" s="675">
        <v>5104</v>
      </c>
      <c r="AK189" s="675" t="s">
        <v>671</v>
      </c>
      <c r="AL189" s="675" t="s">
        <v>420</v>
      </c>
      <c r="AM189" s="675">
        <v>0</v>
      </c>
      <c r="AN189" s="675">
        <v>0</v>
      </c>
      <c r="AO189" s="675">
        <v>0</v>
      </c>
      <c r="AP189" s="675">
        <v>0</v>
      </c>
      <c r="AQ189" s="675">
        <v>0</v>
      </c>
      <c r="AR189" s="675">
        <v>0</v>
      </c>
      <c r="AS189" s="675">
        <v>0</v>
      </c>
      <c r="AT189" s="675">
        <v>0</v>
      </c>
      <c r="AU189" s="675">
        <v>0</v>
      </c>
      <c r="AV189" s="675">
        <v>22252</v>
      </c>
      <c r="AW189" s="675">
        <v>2964860</v>
      </c>
      <c r="AX189" s="675">
        <v>2899314</v>
      </c>
      <c r="AY189" s="675">
        <v>3130537</v>
      </c>
      <c r="AZ189" s="675">
        <v>88887</v>
      </c>
      <c r="BA189" s="675">
        <v>0</v>
      </c>
      <c r="BB189" s="675">
        <v>3111</v>
      </c>
      <c r="BC189" s="675">
        <v>3111</v>
      </c>
      <c r="BD189" s="675">
        <v>3.9560000000000004</v>
      </c>
      <c r="BE189" s="675">
        <v>0</v>
      </c>
      <c r="BF189" s="675">
        <v>2461439</v>
      </c>
      <c r="BG189" s="675">
        <v>0</v>
      </c>
      <c r="BH189" s="675">
        <v>0</v>
      </c>
      <c r="BI189" s="675">
        <v>0</v>
      </c>
      <c r="BJ189" s="675">
        <v>12</v>
      </c>
      <c r="BK189" s="675">
        <v>0</v>
      </c>
      <c r="BL189" s="675">
        <v>0</v>
      </c>
      <c r="BM189" s="675">
        <v>0</v>
      </c>
      <c r="BN189" s="675">
        <v>0</v>
      </c>
      <c r="BO189" s="675">
        <v>0</v>
      </c>
      <c r="BP189" s="675">
        <v>0</v>
      </c>
      <c r="BQ189" s="675">
        <v>5392</v>
      </c>
      <c r="BR189" s="675">
        <v>1</v>
      </c>
      <c r="BS189" s="675">
        <v>0</v>
      </c>
      <c r="BT189" s="675">
        <v>0</v>
      </c>
      <c r="BU189" s="675">
        <v>0</v>
      </c>
      <c r="BV189" s="675">
        <v>0</v>
      </c>
      <c r="BW189" s="675">
        <v>0</v>
      </c>
      <c r="BX189" s="675">
        <v>0</v>
      </c>
      <c r="BY189" s="675">
        <v>0</v>
      </c>
      <c r="BZ189" s="675">
        <v>0</v>
      </c>
      <c r="CA189" s="675">
        <v>0</v>
      </c>
      <c r="CB189" s="675">
        <v>0</v>
      </c>
      <c r="CC189" s="675">
        <v>0</v>
      </c>
      <c r="CD189" s="675">
        <v>0</v>
      </c>
      <c r="CE189" s="675">
        <v>0</v>
      </c>
      <c r="CF189" s="675">
        <v>0</v>
      </c>
      <c r="CG189" s="675">
        <v>0</v>
      </c>
      <c r="CH189" s="675">
        <v>65546</v>
      </c>
      <c r="CI189" s="675">
        <v>0</v>
      </c>
      <c r="CJ189" s="675">
        <v>5</v>
      </c>
      <c r="CK189" s="675">
        <v>0</v>
      </c>
      <c r="CL189" s="675">
        <v>0</v>
      </c>
      <c r="CM189" s="675">
        <v>0</v>
      </c>
      <c r="CN189" s="675">
        <v>0</v>
      </c>
      <c r="CO189" s="675">
        <v>0</v>
      </c>
      <c r="CP189" s="675">
        <v>0</v>
      </c>
      <c r="CQ189" s="675">
        <v>0</v>
      </c>
      <c r="CR189" s="675">
        <v>278.02100000000002</v>
      </c>
      <c r="CS189" s="675">
        <v>0</v>
      </c>
      <c r="CT189" s="675">
        <v>0</v>
      </c>
      <c r="CU189" s="675">
        <v>0</v>
      </c>
      <c r="CV189" s="675">
        <v>0</v>
      </c>
      <c r="CW189" s="675">
        <v>0</v>
      </c>
      <c r="CX189" s="675">
        <v>0</v>
      </c>
      <c r="CY189" s="675">
        <v>0</v>
      </c>
      <c r="CZ189" s="675">
        <v>0</v>
      </c>
      <c r="DA189" s="675">
        <v>1</v>
      </c>
      <c r="DB189" s="675">
        <v>2088485</v>
      </c>
      <c r="DC189" s="675">
        <v>0</v>
      </c>
      <c r="DD189" s="675">
        <v>0</v>
      </c>
      <c r="DE189" s="675">
        <v>135235</v>
      </c>
      <c r="DF189" s="675">
        <v>135235</v>
      </c>
      <c r="DG189" s="675">
        <v>103.17</v>
      </c>
      <c r="DH189" s="675">
        <v>0</v>
      </c>
      <c r="DI189" s="675">
        <v>0</v>
      </c>
      <c r="DJ189" s="675">
        <v>0</v>
      </c>
      <c r="DK189" s="675">
        <v>5392</v>
      </c>
      <c r="DL189" s="675">
        <v>0</v>
      </c>
      <c r="DM189" s="675">
        <v>291199</v>
      </c>
      <c r="DN189" s="675">
        <v>0</v>
      </c>
      <c r="DO189" s="675">
        <v>0</v>
      </c>
      <c r="DP189" s="675">
        <v>0</v>
      </c>
      <c r="DQ189" s="675">
        <v>0</v>
      </c>
      <c r="DR189" s="675">
        <v>0</v>
      </c>
      <c r="DS189" s="675">
        <v>0</v>
      </c>
      <c r="DT189" s="675">
        <v>0</v>
      </c>
      <c r="DU189" s="675">
        <v>0</v>
      </c>
      <c r="DV189" s="675">
        <v>0</v>
      </c>
      <c r="DW189" s="675">
        <v>0</v>
      </c>
      <c r="DX189" s="675">
        <v>0</v>
      </c>
      <c r="DY189" s="675">
        <v>0</v>
      </c>
      <c r="DZ189" s="675">
        <v>0</v>
      </c>
      <c r="EA189" s="675">
        <v>0</v>
      </c>
      <c r="EB189" s="675">
        <v>0</v>
      </c>
      <c r="EC189" s="675">
        <v>1.107</v>
      </c>
      <c r="ED189" s="675">
        <v>7981</v>
      </c>
      <c r="EE189" s="675">
        <v>0</v>
      </c>
      <c r="EF189" s="675">
        <v>0</v>
      </c>
      <c r="EG189" s="675">
        <v>0</v>
      </c>
      <c r="EH189" s="675">
        <v>283218</v>
      </c>
      <c r="EI189" s="675">
        <v>0</v>
      </c>
      <c r="EJ189" s="675">
        <v>0</v>
      </c>
      <c r="EK189" s="675">
        <v>13.226000000000001</v>
      </c>
      <c r="EL189" s="675">
        <v>0</v>
      </c>
      <c r="EM189" s="675">
        <v>0</v>
      </c>
      <c r="EN189" s="675">
        <v>0.70700000000000007</v>
      </c>
      <c r="EO189" s="675">
        <v>0</v>
      </c>
      <c r="EP189" s="675">
        <v>0</v>
      </c>
      <c r="EQ189" s="675">
        <v>13.933</v>
      </c>
      <c r="ER189" s="675">
        <v>0</v>
      </c>
      <c r="ES189" s="675">
        <v>43.213000000000001</v>
      </c>
      <c r="ET189" s="675">
        <v>0</v>
      </c>
      <c r="EU189" s="675">
        <v>88887</v>
      </c>
      <c r="EV189" s="675">
        <v>0</v>
      </c>
      <c r="EW189" s="675">
        <v>0</v>
      </c>
      <c r="EX189" s="675">
        <v>0</v>
      </c>
      <c r="EY189" s="675">
        <v>0</v>
      </c>
      <c r="EZ189" s="675">
        <v>2440134</v>
      </c>
      <c r="FA189" s="675">
        <v>0</v>
      </c>
      <c r="FB189" s="675">
        <v>2529021</v>
      </c>
      <c r="FC189" s="675">
        <v>0.97327799999999998</v>
      </c>
      <c r="FD189" s="675">
        <v>0</v>
      </c>
      <c r="FE189" s="675">
        <v>374734</v>
      </c>
      <c r="FF189" s="675">
        <v>84446</v>
      </c>
      <c r="FG189" s="675">
        <v>6.1239999999999996E-2</v>
      </c>
      <c r="FH189" s="675">
        <v>5.4803999999999999E-2</v>
      </c>
      <c r="FI189" s="675">
        <v>0</v>
      </c>
      <c r="FJ189" s="675">
        <v>0</v>
      </c>
      <c r="FK189" s="675">
        <v>482.27300000000002</v>
      </c>
      <c r="FL189" s="675">
        <v>3053747</v>
      </c>
      <c r="FM189" s="675">
        <v>0</v>
      </c>
      <c r="FN189" s="675">
        <v>0</v>
      </c>
      <c r="FO189" s="675">
        <v>0</v>
      </c>
      <c r="FP189" s="675">
        <v>0</v>
      </c>
      <c r="FQ189" s="675">
        <v>0</v>
      </c>
      <c r="FR189" s="675">
        <v>0</v>
      </c>
      <c r="FS189" s="675">
        <v>0</v>
      </c>
      <c r="FT189" s="675">
        <v>0</v>
      </c>
      <c r="FU189" s="675">
        <v>0</v>
      </c>
      <c r="FV189" s="675">
        <v>0</v>
      </c>
      <c r="FW189" s="675">
        <v>0</v>
      </c>
      <c r="FX189" s="675">
        <v>0</v>
      </c>
      <c r="FY189" s="675">
        <v>0</v>
      </c>
      <c r="FZ189" s="675">
        <v>0</v>
      </c>
      <c r="GA189" s="675">
        <v>0</v>
      </c>
      <c r="GB189" s="675">
        <v>0</v>
      </c>
      <c r="GC189" s="675">
        <v>0</v>
      </c>
      <c r="GD189" s="675">
        <v>0</v>
      </c>
      <c r="GE189" s="675">
        <v>0</v>
      </c>
      <c r="GF189" s="675">
        <v>0</v>
      </c>
      <c r="GG189" s="675">
        <v>0</v>
      </c>
      <c r="GH189" s="675">
        <v>0</v>
      </c>
      <c r="GI189" s="675">
        <v>0</v>
      </c>
      <c r="GJ189" s="675">
        <v>0</v>
      </c>
      <c r="GK189" s="675">
        <v>0</v>
      </c>
      <c r="GL189" s="675">
        <v>0</v>
      </c>
      <c r="GM189" s="675">
        <v>0</v>
      </c>
      <c r="GN189" s="675">
        <v>0</v>
      </c>
      <c r="GO189" s="675">
        <v>0</v>
      </c>
      <c r="GP189" s="675">
        <v>2988201</v>
      </c>
      <c r="GQ189" s="675">
        <v>2988201</v>
      </c>
      <c r="GR189" s="675">
        <v>0</v>
      </c>
      <c r="GS189" s="675">
        <v>0</v>
      </c>
      <c r="GT189" s="675">
        <v>0</v>
      </c>
      <c r="GU189" s="675">
        <v>0</v>
      </c>
      <c r="GV189" s="675">
        <v>0</v>
      </c>
      <c r="GW189" s="675">
        <v>0</v>
      </c>
      <c r="GX189" s="675">
        <v>0</v>
      </c>
      <c r="GY189" s="675">
        <v>0</v>
      </c>
      <c r="GZ189" s="675">
        <v>0</v>
      </c>
      <c r="HA189" s="675">
        <v>0</v>
      </c>
      <c r="HB189" s="675">
        <v>260786259</v>
      </c>
      <c r="HC189" s="675">
        <v>5.0923999999999997E-2</v>
      </c>
      <c r="HD189" s="675">
        <v>65546</v>
      </c>
      <c r="HE189" s="675">
        <v>0</v>
      </c>
      <c r="HF189" s="675">
        <v>0</v>
      </c>
      <c r="HG189" s="675">
        <v>0</v>
      </c>
      <c r="HH189" s="675">
        <v>0</v>
      </c>
      <c r="HI189" s="675">
        <v>0</v>
      </c>
      <c r="HJ189" s="675">
        <v>0</v>
      </c>
      <c r="HK189" s="675">
        <v>0</v>
      </c>
      <c r="HL189" s="675">
        <v>0</v>
      </c>
      <c r="HM189" s="675">
        <v>0</v>
      </c>
      <c r="HN189" s="675">
        <v>0</v>
      </c>
      <c r="HO189" s="675">
        <v>0</v>
      </c>
      <c r="HP189" s="675">
        <v>0</v>
      </c>
      <c r="HQ189" s="675">
        <v>0</v>
      </c>
      <c r="HR189" s="675">
        <v>0</v>
      </c>
      <c r="HS189" s="675">
        <v>0</v>
      </c>
      <c r="HT189" s="675">
        <v>0</v>
      </c>
      <c r="HU189" s="675">
        <v>0</v>
      </c>
      <c r="HV189" s="675">
        <v>0</v>
      </c>
      <c r="HW189" s="675">
        <v>0</v>
      </c>
      <c r="HX189" s="675">
        <v>0</v>
      </c>
      <c r="HY189" s="675">
        <v>0</v>
      </c>
      <c r="HZ189" s="675">
        <v>0</v>
      </c>
      <c r="IA189" s="675">
        <v>0</v>
      </c>
      <c r="IB189" s="675">
        <v>0</v>
      </c>
      <c r="IC189" s="675">
        <v>0</v>
      </c>
      <c r="ID189" s="675">
        <v>0</v>
      </c>
      <c r="IE189" s="675">
        <v>0</v>
      </c>
      <c r="IF189" s="675">
        <v>0</v>
      </c>
      <c r="IG189" s="675">
        <v>0</v>
      </c>
      <c r="IH189" s="675">
        <v>0</v>
      </c>
      <c r="II189" s="675">
        <v>0</v>
      </c>
      <c r="IJ189" s="675">
        <v>0</v>
      </c>
      <c r="IK189" s="675">
        <v>0</v>
      </c>
      <c r="IL189" s="675">
        <v>0</v>
      </c>
      <c r="IM189" s="675">
        <v>0</v>
      </c>
      <c r="IN189" s="675">
        <v>0</v>
      </c>
      <c r="IO189" s="675">
        <v>0</v>
      </c>
      <c r="IP189" s="675">
        <v>0</v>
      </c>
      <c r="IQ189" s="675">
        <v>0</v>
      </c>
      <c r="IR189" s="675">
        <v>0</v>
      </c>
      <c r="IS189" s="675">
        <v>0</v>
      </c>
      <c r="IT189" s="675">
        <v>0</v>
      </c>
      <c r="IU189" s="675">
        <v>0</v>
      </c>
      <c r="IV189" s="675">
        <v>0</v>
      </c>
      <c r="IW189" s="675">
        <v>0</v>
      </c>
      <c r="IX189" s="675">
        <v>0</v>
      </c>
      <c r="IY189" s="675">
        <v>0</v>
      </c>
      <c r="IZ189" s="675">
        <v>0</v>
      </c>
      <c r="JA189" s="675">
        <v>0</v>
      </c>
      <c r="JB189" s="675">
        <v>0</v>
      </c>
      <c r="JC189" s="675">
        <v>0</v>
      </c>
      <c r="JD189" s="675">
        <v>0</v>
      </c>
      <c r="JE189" s="675">
        <v>0</v>
      </c>
      <c r="JF189" s="675">
        <v>0</v>
      </c>
      <c r="JG189" s="675">
        <v>0</v>
      </c>
      <c r="JH189" s="675">
        <v>0</v>
      </c>
      <c r="JI189" s="675">
        <v>0</v>
      </c>
      <c r="JJ189" s="675">
        <v>0</v>
      </c>
      <c r="JK189" s="675">
        <v>0</v>
      </c>
      <c r="JL189" s="675">
        <v>0</v>
      </c>
      <c r="JM189" s="675">
        <v>0</v>
      </c>
      <c r="JN189" s="675">
        <v>32469</v>
      </c>
      <c r="JO189" s="675">
        <v>0</v>
      </c>
      <c r="JP189" s="675">
        <v>0</v>
      </c>
      <c r="JQ189" s="675">
        <v>0</v>
      </c>
      <c r="JR189" s="675">
        <v>0</v>
      </c>
      <c r="JS189" s="675">
        <v>0</v>
      </c>
      <c r="JT189" s="675">
        <v>0</v>
      </c>
      <c r="JU189" s="675">
        <v>0</v>
      </c>
      <c r="JV189" s="675">
        <v>0</v>
      </c>
      <c r="JW189" s="675">
        <v>0</v>
      </c>
      <c r="JX189" s="675">
        <v>0</v>
      </c>
      <c r="JY189" s="675">
        <v>0</v>
      </c>
      <c r="JZ189" s="675">
        <v>0</v>
      </c>
      <c r="KA189" s="675">
        <v>0</v>
      </c>
      <c r="KB189" s="675">
        <v>0</v>
      </c>
      <c r="KC189" s="675">
        <v>0</v>
      </c>
      <c r="KD189" s="675">
        <v>0</v>
      </c>
      <c r="KE189" s="675">
        <v>0</v>
      </c>
      <c r="KF189" s="675">
        <v>0</v>
      </c>
    </row>
  </sheetData>
  <sortState xmlns:xlrd2="http://schemas.microsoft.com/office/spreadsheetml/2017/richdata2" ref="A3:KF189">
    <sortCondition ref="A3:A189"/>
  </sortState>
  <phoneticPr fontId="6"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81B-4F56-43F3-8B5C-07683BECCC8E}">
  <sheetPr codeName="Sheet20">
    <tabColor rgb="FFFFC000"/>
  </sheetPr>
  <dimension ref="A1:KI189"/>
  <sheetViews>
    <sheetView workbookViewId="0">
      <pane ySplit="1" topLeftCell="A2" activePane="bottomLeft" state="frozen"/>
      <selection pane="bottomLeft" activeCell="D6" sqref="D6"/>
    </sheetView>
  </sheetViews>
  <sheetFormatPr defaultColWidth="9.1796875" defaultRowHeight="13" x14ac:dyDescent="0.3"/>
  <cols>
    <col min="1" max="1" width="12.453125" style="675" bestFit="1" customWidth="1"/>
    <col min="2" max="2" width="11.7265625" style="675" bestFit="1" customWidth="1"/>
    <col min="3" max="3" width="16" style="675" customWidth="1"/>
    <col min="4" max="4" width="14" style="675" customWidth="1"/>
    <col min="5" max="5" width="5" style="676" customWidth="1"/>
    <col min="6" max="6" width="22.1796875" style="675" customWidth="1"/>
    <col min="7" max="7" width="23.1796875" style="675" customWidth="1"/>
    <col min="8" max="8" width="15.26953125" style="675" customWidth="1"/>
    <col min="9" max="9" width="23.7265625" style="675" customWidth="1"/>
    <col min="10" max="10" width="18.54296875" style="675" customWidth="1"/>
    <col min="11" max="11" width="22.81640625" style="675" customWidth="1"/>
    <col min="12" max="12" width="11.1796875" style="675" customWidth="1"/>
    <col min="13" max="13" width="29.26953125" style="675" customWidth="1"/>
    <col min="14" max="14" width="17.26953125" style="675" customWidth="1"/>
    <col min="15" max="15" width="23.453125" style="675" customWidth="1"/>
    <col min="16" max="16" width="10" style="676" customWidth="1"/>
    <col min="17" max="17" width="23.7265625" style="675" customWidth="1"/>
    <col min="18" max="18" width="11.453125" style="675" customWidth="1"/>
    <col min="19" max="19" width="10.54296875" style="676" customWidth="1"/>
    <col min="20" max="20" width="10.54296875" style="675" customWidth="1"/>
    <col min="21" max="21" width="20.81640625" style="675" customWidth="1"/>
    <col min="22" max="22" width="10" style="675" customWidth="1"/>
    <col min="23" max="23" width="10.453125" style="675" customWidth="1"/>
    <col min="24" max="24" width="18.54296875" style="675" customWidth="1"/>
    <col min="25" max="25" width="17.453125" style="675" customWidth="1"/>
    <col min="26" max="26" width="24.81640625" style="675" customWidth="1"/>
    <col min="27" max="27" width="4" style="675" customWidth="1"/>
    <col min="28" max="28" width="8.453125" style="675" customWidth="1"/>
    <col min="29" max="29" width="18.7265625" style="675" customWidth="1"/>
    <col min="30" max="30" width="11.453125" style="675" customWidth="1"/>
    <col min="31" max="31" width="21" style="675" customWidth="1"/>
    <col min="32" max="33" width="9" style="675" customWidth="1"/>
    <col min="34" max="34" width="24.54296875" style="675" customWidth="1"/>
    <col min="35" max="36" width="12.54296875" style="675" customWidth="1"/>
    <col min="37" max="37" width="19.81640625" style="675" customWidth="1"/>
    <col min="38" max="38" width="60.453125" style="675" customWidth="1"/>
    <col min="39" max="39" width="8.1796875" style="675" customWidth="1"/>
    <col min="40" max="40" width="20.453125" style="675" customWidth="1"/>
    <col min="41" max="41" width="26.1796875" style="675" customWidth="1"/>
    <col min="42" max="42" width="19.54296875" style="675" customWidth="1"/>
    <col min="43" max="43" width="19.453125" style="675" customWidth="1"/>
    <col min="44" max="44" width="8.81640625" style="675" customWidth="1"/>
    <col min="45" max="45" width="5.81640625" style="675" customWidth="1"/>
    <col min="46" max="46" width="14.7265625" style="675" customWidth="1"/>
    <col min="47" max="47" width="10.81640625" style="675" customWidth="1"/>
    <col min="48" max="48" width="23.54296875" style="675" customWidth="1"/>
    <col min="49" max="50" width="15.81640625" style="675" customWidth="1"/>
    <col min="51" max="51" width="20.7265625" style="675" customWidth="1"/>
    <col min="52" max="52" width="19.54296875" style="675" customWidth="1"/>
    <col min="53" max="53" width="14.7265625" style="675" customWidth="1"/>
    <col min="54" max="54" width="10.1796875" style="675" customWidth="1"/>
    <col min="55" max="55" width="18.26953125" style="675" customWidth="1"/>
    <col min="56" max="56" width="11.7265625" style="675" customWidth="1"/>
    <col min="57" max="57" width="17" style="675" customWidth="1"/>
    <col min="58" max="58" width="11" style="675" customWidth="1"/>
    <col min="59" max="59" width="5.81640625" style="675" customWidth="1"/>
    <col min="60" max="60" width="19.26953125" style="675" customWidth="1"/>
    <col min="61" max="61" width="21.1796875" style="675" customWidth="1"/>
    <col min="62" max="62" width="16.7265625" style="675" customWidth="1"/>
    <col min="63" max="63" width="24.54296875" style="675" customWidth="1"/>
    <col min="64" max="64" width="17.453125" style="675" customWidth="1"/>
    <col min="65" max="65" width="17.26953125" style="675" customWidth="1"/>
    <col min="66" max="66" width="24.453125" style="675" customWidth="1"/>
    <col min="67" max="67" width="26" style="675" customWidth="1"/>
    <col min="68" max="68" width="25.81640625" style="675" customWidth="1"/>
    <col min="69" max="69" width="5.1796875" style="675" customWidth="1"/>
    <col min="70" max="70" width="9.1796875" style="675" customWidth="1"/>
    <col min="71" max="71" width="20.453125" style="675" customWidth="1"/>
    <col min="72" max="74" width="14.1796875" style="675" customWidth="1"/>
    <col min="75" max="75" width="20.81640625" style="675" customWidth="1"/>
    <col min="76" max="76" width="18" style="675" customWidth="1"/>
    <col min="77" max="77" width="14.26953125" style="675" customWidth="1"/>
    <col min="78" max="78" width="5.81640625" style="675" customWidth="1"/>
    <col min="79" max="79" width="10" style="675" customWidth="1"/>
    <col min="80" max="80" width="12.453125" style="676" customWidth="1"/>
    <col min="81" max="81" width="19" style="675" customWidth="1"/>
    <col min="82" max="84" width="21.7265625" style="675" customWidth="1"/>
    <col min="85" max="85" width="20.7265625" style="675" customWidth="1"/>
    <col min="86" max="86" width="28.54296875" style="675" customWidth="1"/>
    <col min="87" max="87" width="9.7265625" style="675" customWidth="1"/>
    <col min="88" max="88" width="21" style="675" customWidth="1"/>
    <col min="89" max="89" width="9.81640625" style="675" customWidth="1"/>
    <col min="90" max="90" width="11.7265625" style="675" customWidth="1"/>
    <col min="91" max="91" width="6.7265625" style="675" customWidth="1"/>
    <col min="92" max="92" width="16.81640625" style="675" customWidth="1"/>
    <col min="93" max="93" width="19.453125" style="675" customWidth="1"/>
    <col min="94" max="94" width="9.26953125" style="675" customWidth="1"/>
    <col min="95" max="95" width="14.81640625" style="675" customWidth="1"/>
    <col min="96" max="96" width="23.26953125" style="675" customWidth="1"/>
    <col min="97" max="97" width="16.54296875" style="675" customWidth="1"/>
    <col min="98" max="98" width="13.1796875" style="675" customWidth="1"/>
    <col min="99" max="99" width="21.7265625" style="675" customWidth="1"/>
    <col min="100" max="100" width="22.1796875" style="675" customWidth="1"/>
    <col min="101" max="101" width="19.453125" style="675" customWidth="1"/>
    <col min="102" max="102" width="22.81640625" style="675" customWidth="1"/>
    <col min="103" max="103" width="18.453125" style="675" customWidth="1"/>
    <col min="104" max="104" width="12.26953125" style="675" customWidth="1"/>
    <col min="105" max="105" width="23.54296875" style="675" customWidth="1"/>
    <col min="106" max="106" width="17.26953125" style="675" customWidth="1"/>
    <col min="107" max="107" width="13.54296875" style="675" customWidth="1"/>
    <col min="108" max="108" width="20" style="675" customWidth="1"/>
    <col min="109" max="109" width="11.54296875" style="675" customWidth="1"/>
    <col min="110" max="110" width="19.7265625" style="675" customWidth="1"/>
    <col min="111" max="111" width="13.26953125" style="675" customWidth="1"/>
    <col min="112" max="112" width="21.1796875" style="675" customWidth="1"/>
    <col min="113" max="113" width="16.54296875" style="675" customWidth="1"/>
    <col min="114" max="114" width="18.54296875" style="675" customWidth="1"/>
    <col min="115" max="115" width="5" style="675" customWidth="1"/>
    <col min="116" max="116" width="22.453125" style="675" customWidth="1"/>
    <col min="117" max="117" width="23.7265625" style="675" customWidth="1"/>
    <col min="118" max="118" width="26.453125" style="676" customWidth="1"/>
    <col min="119" max="119" width="20.54296875" style="675" customWidth="1"/>
    <col min="120" max="120" width="31.1796875" style="676" customWidth="1"/>
    <col min="121" max="121" width="28.453125" style="676" customWidth="1"/>
    <col min="122" max="122" width="29.1796875" style="676" customWidth="1"/>
    <col min="123" max="123" width="26.1796875" style="676" customWidth="1"/>
    <col min="124" max="124" width="29.1796875" style="676" customWidth="1"/>
    <col min="125" max="125" width="33.54296875" style="676" customWidth="1"/>
    <col min="126" max="126" width="33.1796875" style="676" customWidth="1"/>
    <col min="127" max="127" width="26.453125" style="676" customWidth="1"/>
    <col min="128" max="128" width="30.453125" style="676" customWidth="1"/>
    <col min="129" max="129" width="22.7265625" style="676" customWidth="1"/>
    <col min="130" max="130" width="29.453125" style="675" customWidth="1"/>
    <col min="131" max="131" width="26.81640625" style="675" customWidth="1"/>
    <col min="132" max="132" width="23.54296875" style="675" customWidth="1"/>
    <col min="133" max="133" width="27.453125" style="675" customWidth="1"/>
    <col min="134" max="134" width="29.26953125" style="675" customWidth="1"/>
    <col min="135" max="135" width="24.7265625" style="675" customWidth="1"/>
    <col min="136" max="136" width="22.453125" style="675" customWidth="1"/>
    <col min="137" max="137" width="24.7265625" style="675" customWidth="1"/>
    <col min="138" max="138" width="20.7265625" style="675" customWidth="1"/>
    <col min="139" max="139" width="24" style="675" customWidth="1"/>
    <col min="140" max="140" width="21.7265625" style="675" customWidth="1"/>
    <col min="141" max="141" width="25" style="675" customWidth="1"/>
    <col min="142" max="142" width="29" style="675" customWidth="1"/>
    <col min="143" max="143" width="28.453125" style="675" customWidth="1"/>
    <col min="144" max="144" width="22.26953125" style="675" customWidth="1"/>
    <col min="145" max="145" width="28" style="675" customWidth="1"/>
    <col min="146" max="146" width="25.7265625" style="675" customWidth="1"/>
    <col min="147" max="147" width="23.1796875" style="675" customWidth="1"/>
    <col min="148" max="148" width="18.26953125" style="675" customWidth="1"/>
    <col min="149" max="149" width="29" style="675" customWidth="1"/>
    <col min="150" max="150" width="13.7265625" style="675" customWidth="1"/>
    <col min="151" max="151" width="12.1796875" style="675" customWidth="1"/>
    <col min="152" max="152" width="20" style="675" customWidth="1"/>
    <col min="153" max="153" width="17.26953125" style="675" customWidth="1"/>
    <col min="154" max="154" width="12.54296875" style="675" customWidth="1"/>
    <col min="155" max="155" width="19.54296875" style="675" customWidth="1"/>
    <col min="156" max="156" width="16.54296875" style="675" customWidth="1"/>
    <col min="157" max="157" width="21.1796875" style="675" customWidth="1"/>
    <col min="158" max="158" width="20.453125" style="675" customWidth="1"/>
    <col min="159" max="159" width="16.26953125" style="675" customWidth="1"/>
    <col min="160" max="162" width="15.26953125" style="675" customWidth="1"/>
    <col min="163" max="164" width="16.54296875" style="676" customWidth="1"/>
    <col min="165" max="166" width="23.453125" style="675" customWidth="1"/>
    <col min="167" max="167" width="13.7265625" style="675" customWidth="1"/>
    <col min="168" max="168" width="15.453125" style="675" customWidth="1"/>
    <col min="169" max="169" width="21.54296875" style="675" customWidth="1"/>
    <col min="170" max="170" width="23.1796875" style="675" customWidth="1"/>
    <col min="171" max="171" width="19.54296875" style="676" customWidth="1"/>
    <col min="172" max="172" width="23.26953125" style="676" customWidth="1"/>
    <col min="173" max="173" width="18.54296875" style="675" customWidth="1"/>
    <col min="174" max="174" width="28.7265625" style="675" customWidth="1"/>
    <col min="175" max="175" width="22.26953125" style="676" customWidth="1"/>
    <col min="176" max="176" width="19.7265625" style="675" customWidth="1"/>
    <col min="177" max="177" width="11.1796875" style="675" customWidth="1"/>
    <col min="178" max="178" width="24.453125" style="675" customWidth="1"/>
    <col min="179" max="179" width="9.453125" style="675" customWidth="1"/>
    <col min="180" max="180" width="22.7265625" style="675" customWidth="1"/>
    <col min="181" max="181" width="13.26953125" style="675" customWidth="1"/>
    <col min="182" max="182" width="19.453125" style="675" customWidth="1"/>
    <col min="183" max="183" width="17" style="675" customWidth="1"/>
    <col min="184" max="184" width="14.453125" style="675" customWidth="1"/>
    <col min="185" max="185" width="22.54296875" style="675" customWidth="1"/>
    <col min="186" max="186" width="12" style="675" customWidth="1"/>
    <col min="187" max="187" width="21.453125" style="675" customWidth="1"/>
    <col min="188" max="188" width="9.7265625" style="675" customWidth="1"/>
    <col min="189" max="189" width="13.26953125" style="675" customWidth="1"/>
    <col min="190" max="190" width="18.54296875" style="675" customWidth="1"/>
    <col min="191" max="191" width="19.1796875" style="675" customWidth="1"/>
    <col min="192" max="192" width="21.81640625" style="675" customWidth="1"/>
    <col min="193" max="193" width="25.81640625" style="675" customWidth="1"/>
    <col min="194" max="194" width="18.453125" style="675" customWidth="1"/>
    <col min="195" max="195" width="16.26953125" style="675" customWidth="1"/>
    <col min="196" max="196" width="18.453125" style="675" customWidth="1"/>
    <col min="197" max="197" width="20.7265625" style="675" customWidth="1"/>
    <col min="198" max="198" width="28.54296875" style="675" customWidth="1"/>
    <col min="199" max="199" width="18.1796875" style="675" customWidth="1"/>
    <col min="200" max="200" width="14" style="675" customWidth="1"/>
    <col min="201" max="202" width="19" style="675" customWidth="1"/>
    <col min="203" max="203" width="18.453125" style="675" customWidth="1"/>
    <col min="204" max="204" width="25.54296875" style="675" customWidth="1"/>
    <col min="205" max="205" width="22.81640625" style="675" customWidth="1"/>
    <col min="206" max="206" width="18.81640625" style="675" customWidth="1"/>
    <col min="207" max="207" width="23.453125" style="675" customWidth="1"/>
    <col min="208" max="208" width="22" style="675" customWidth="1"/>
    <col min="209" max="209" width="23" style="675" customWidth="1"/>
    <col min="210" max="210" width="27.7265625" style="675" customWidth="1"/>
    <col min="211" max="211" width="26.1796875" style="675" customWidth="1"/>
    <col min="212" max="212" width="20.26953125" style="675" customWidth="1"/>
    <col min="213" max="213" width="16.1796875" style="675" customWidth="1"/>
    <col min="214" max="214" width="18.453125" style="675" customWidth="1"/>
    <col min="215" max="215" width="16.7265625" style="675" customWidth="1"/>
    <col min="216" max="216" width="17.7265625" style="675" customWidth="1"/>
    <col min="217" max="217" width="22.1796875" style="675" customWidth="1"/>
    <col min="218" max="218" width="15.1796875" style="675" customWidth="1"/>
    <col min="219" max="219" width="23" style="676" customWidth="1"/>
    <col min="220" max="220" width="19.26953125" style="676" customWidth="1"/>
    <col min="221" max="221" width="25.7265625" style="676" customWidth="1"/>
    <col min="222" max="222" width="24.26953125" style="676" customWidth="1"/>
    <col min="223" max="223" width="16.1796875" style="676" customWidth="1"/>
    <col min="224" max="224" width="16.81640625" style="675" customWidth="1"/>
    <col min="225" max="225" width="20.81640625" style="675" customWidth="1"/>
    <col min="226" max="226" width="18.81640625" style="675" customWidth="1"/>
    <col min="227" max="227" width="21" style="675" customWidth="1"/>
    <col min="228" max="228" width="15.81640625" style="675" customWidth="1"/>
    <col min="229" max="229" width="21.1796875" style="675" customWidth="1"/>
    <col min="230" max="230" width="6.54296875" style="675" customWidth="1"/>
    <col min="231" max="231" width="26.26953125" style="675" customWidth="1"/>
    <col min="232" max="236" width="16.26953125" style="675" customWidth="1"/>
    <col min="237" max="237" width="18.81640625" style="675" customWidth="1"/>
    <col min="238" max="238" width="28.26953125" style="675" customWidth="1"/>
    <col min="239" max="239" width="19.26953125" style="675" customWidth="1"/>
    <col min="240" max="240" width="23.453125" style="675" customWidth="1"/>
    <col min="241" max="241" width="18.453125" style="675" customWidth="1"/>
    <col min="242" max="242" width="15.7265625" style="675" customWidth="1"/>
    <col min="243" max="243" width="15" style="675" customWidth="1"/>
    <col min="244" max="244" width="13.1796875" style="675" customWidth="1"/>
    <col min="245" max="245" width="14.54296875" style="675" customWidth="1"/>
    <col min="246" max="246" width="23.1796875" style="675" customWidth="1"/>
    <col min="247" max="247" width="27.26953125" style="675" customWidth="1"/>
    <col min="248" max="248" width="21.1796875" style="675" customWidth="1"/>
    <col min="249" max="249" width="26.81640625" style="675" customWidth="1"/>
    <col min="250" max="250" width="20" style="675" customWidth="1"/>
    <col min="251" max="251" width="15.453125" style="675" customWidth="1"/>
    <col min="252" max="252" width="17.453125" style="675" customWidth="1"/>
    <col min="253" max="253" width="16.453125" style="675" customWidth="1"/>
    <col min="254" max="254" width="21.54296875" style="675" customWidth="1"/>
    <col min="255" max="255" width="25.7265625" style="675" customWidth="1"/>
    <col min="256" max="256" width="19.54296875" style="675" customWidth="1"/>
    <col min="257" max="257" width="14.453125" style="675" customWidth="1"/>
    <col min="258" max="258" width="21.1796875" style="675" customWidth="1"/>
    <col min="259" max="259" width="25.26953125" style="675" customWidth="1"/>
    <col min="260" max="260" width="22" style="675" customWidth="1"/>
    <col min="261" max="261" width="26.7265625" style="675" customWidth="1"/>
    <col min="262" max="262" width="20.54296875" style="675" customWidth="1"/>
    <col min="263" max="263" width="22.81640625" style="675" customWidth="1"/>
    <col min="264" max="264" width="22" style="675" customWidth="1"/>
    <col min="265" max="265" width="24.1796875" style="675" customWidth="1"/>
    <col min="266" max="266" width="22.26953125" style="675" customWidth="1"/>
    <col min="267" max="267" width="24.453125" style="675" customWidth="1"/>
    <col min="268" max="268" width="15.453125" style="675" customWidth="1"/>
    <col min="269" max="269" width="21.7265625" style="675" customWidth="1"/>
    <col min="270" max="271" width="20.81640625" style="675" customWidth="1"/>
    <col min="272" max="273" width="22.81640625" style="675" customWidth="1"/>
    <col min="274" max="274" width="17.7265625" style="675" customWidth="1"/>
    <col min="275" max="277" width="19.26953125" style="675" customWidth="1"/>
    <col min="278" max="280" width="21.7265625" style="675" customWidth="1"/>
    <col min="281" max="281" width="14.7265625" style="675" customWidth="1"/>
    <col min="282" max="282" width="11.54296875" style="675" customWidth="1"/>
    <col min="283" max="283" width="19.81640625" style="675" customWidth="1"/>
    <col min="284" max="284" width="20.26953125" style="675" customWidth="1"/>
    <col min="285" max="285" width="18.81640625" style="675" customWidth="1"/>
    <col min="286" max="286" width="16.1796875" style="675" customWidth="1"/>
    <col min="287" max="287" width="16.7265625" style="675" customWidth="1"/>
    <col min="288" max="288" width="22.54296875" style="675" customWidth="1"/>
    <col min="289" max="289" width="19.81640625" style="675" customWidth="1"/>
    <col min="290" max="290" width="17.453125" style="675" customWidth="1"/>
    <col min="291" max="291" width="15.81640625" style="675" customWidth="1"/>
    <col min="292" max="292" width="12.1796875" style="675" bestFit="1" customWidth="1"/>
    <col min="293" max="293" width="21.1796875" style="675" bestFit="1" customWidth="1"/>
    <col min="294" max="294" width="28" style="675" bestFit="1" customWidth="1"/>
    <col min="295" max="295" width="22.81640625" style="675" bestFit="1" customWidth="1"/>
    <col min="296" max="16384" width="9.1796875" style="675"/>
  </cols>
  <sheetData>
    <row r="1" spans="1:295" customFormat="1" x14ac:dyDescent="0.3">
      <c r="A1" t="s">
        <v>121</v>
      </c>
      <c r="B1" t="s">
        <v>122</v>
      </c>
      <c r="C1" t="s">
        <v>423</v>
      </c>
      <c r="D1" t="s">
        <v>123</v>
      </c>
      <c r="E1" s="833" t="s">
        <v>124</v>
      </c>
      <c r="F1" t="s">
        <v>125</v>
      </c>
      <c r="G1" t="s">
        <v>126</v>
      </c>
      <c r="H1" t="s">
        <v>127</v>
      </c>
      <c r="I1" t="s">
        <v>128</v>
      </c>
      <c r="J1" t="s">
        <v>129</v>
      </c>
      <c r="K1" t="s">
        <v>130</v>
      </c>
      <c r="L1" s="834" t="s">
        <v>131</v>
      </c>
      <c r="M1" t="s">
        <v>132</v>
      </c>
      <c r="N1" t="s">
        <v>133</v>
      </c>
      <c r="O1" t="s">
        <v>134</v>
      </c>
      <c r="P1" t="s">
        <v>135</v>
      </c>
      <c r="Q1" t="s">
        <v>136</v>
      </c>
      <c r="R1" t="s">
        <v>137</v>
      </c>
      <c r="S1" t="s">
        <v>138</v>
      </c>
      <c r="T1" t="s">
        <v>139</v>
      </c>
      <c r="U1" t="s">
        <v>140</v>
      </c>
      <c r="V1" t="s">
        <v>141</v>
      </c>
      <c r="W1" t="s">
        <v>142</v>
      </c>
      <c r="X1" t="s">
        <v>143</v>
      </c>
      <c r="Y1" t="s">
        <v>144</v>
      </c>
      <c r="Z1" t="s">
        <v>145</v>
      </c>
      <c r="AA1" t="s">
        <v>146</v>
      </c>
      <c r="AB1" t="s">
        <v>147</v>
      </c>
      <c r="AC1" t="s">
        <v>148</v>
      </c>
      <c r="AD1" t="s">
        <v>149</v>
      </c>
      <c r="AE1" t="s">
        <v>150</v>
      </c>
      <c r="AF1" t="s">
        <v>151</v>
      </c>
      <c r="AG1" t="s">
        <v>152</v>
      </c>
      <c r="AH1" t="s">
        <v>153</v>
      </c>
      <c r="AI1" t="s">
        <v>154</v>
      </c>
      <c r="AJ1" t="s">
        <v>155</v>
      </c>
      <c r="AK1" t="s">
        <v>156</v>
      </c>
      <c r="AL1" t="s">
        <v>157</v>
      </c>
      <c r="AM1" t="s">
        <v>158</v>
      </c>
      <c r="AN1" t="s">
        <v>159</v>
      </c>
      <c r="AO1" t="s">
        <v>160</v>
      </c>
      <c r="AP1" t="s">
        <v>161</v>
      </c>
      <c r="AQ1" t="s">
        <v>162</v>
      </c>
      <c r="AR1" t="s">
        <v>163</v>
      </c>
      <c r="AS1" t="s">
        <v>164</v>
      </c>
      <c r="AT1" t="s">
        <v>165</v>
      </c>
      <c r="AU1" t="s">
        <v>166</v>
      </c>
      <c r="AV1" t="s">
        <v>167</v>
      </c>
      <c r="AW1" t="s">
        <v>168</v>
      </c>
      <c r="AX1" t="s">
        <v>169</v>
      </c>
      <c r="AY1" t="s">
        <v>170</v>
      </c>
      <c r="AZ1" t="s">
        <v>171</v>
      </c>
      <c r="BA1" t="s">
        <v>172</v>
      </c>
      <c r="BB1" t="s">
        <v>173</v>
      </c>
      <c r="BC1" t="s">
        <v>174</v>
      </c>
      <c r="BD1" t="s">
        <v>175</v>
      </c>
      <c r="BE1" t="s">
        <v>176</v>
      </c>
      <c r="BF1" t="s">
        <v>177</v>
      </c>
      <c r="BG1" t="s">
        <v>178</v>
      </c>
      <c r="BH1" t="s">
        <v>179</v>
      </c>
      <c r="BI1" t="s">
        <v>180</v>
      </c>
      <c r="BJ1" t="s">
        <v>181</v>
      </c>
      <c r="BK1" t="s">
        <v>182</v>
      </c>
      <c r="BL1" t="s">
        <v>183</v>
      </c>
      <c r="BM1" t="s">
        <v>184</v>
      </c>
      <c r="BN1" t="s">
        <v>185</v>
      </c>
      <c r="BO1" t="s">
        <v>186</v>
      </c>
      <c r="BP1" t="s">
        <v>187</v>
      </c>
      <c r="BQ1" t="s">
        <v>188</v>
      </c>
      <c r="BR1" t="s">
        <v>189</v>
      </c>
      <c r="BS1" t="s">
        <v>190</v>
      </c>
      <c r="BT1" t="s">
        <v>191</v>
      </c>
      <c r="BU1" t="s">
        <v>192</v>
      </c>
      <c r="BV1" t="s">
        <v>193</v>
      </c>
      <c r="BW1" t="s">
        <v>194</v>
      </c>
      <c r="BX1" t="s">
        <v>195</v>
      </c>
      <c r="BY1" t="s">
        <v>196</v>
      </c>
      <c r="BZ1" t="s">
        <v>197</v>
      </c>
      <c r="CA1" t="s">
        <v>198</v>
      </c>
      <c r="CB1" t="s">
        <v>199</v>
      </c>
      <c r="CC1" t="s">
        <v>200</v>
      </c>
      <c r="CD1" t="s">
        <v>201</v>
      </c>
      <c r="CE1" t="s">
        <v>202</v>
      </c>
      <c r="CF1" t="s">
        <v>203</v>
      </c>
      <c r="CG1" t="s">
        <v>204</v>
      </c>
      <c r="CH1" t="s">
        <v>205</v>
      </c>
      <c r="CI1" t="s">
        <v>206</v>
      </c>
      <c r="CJ1" t="s">
        <v>207</v>
      </c>
      <c r="CK1" t="s">
        <v>208</v>
      </c>
      <c r="CL1" t="s">
        <v>209</v>
      </c>
      <c r="CM1" t="s">
        <v>210</v>
      </c>
      <c r="CN1" t="s">
        <v>211</v>
      </c>
      <c r="CO1" t="s">
        <v>212</v>
      </c>
      <c r="CP1" t="s">
        <v>213</v>
      </c>
      <c r="CQ1" t="s">
        <v>214</v>
      </c>
      <c r="CR1" t="s">
        <v>215</v>
      </c>
      <c r="CS1" t="s">
        <v>216</v>
      </c>
      <c r="CT1" t="s">
        <v>217</v>
      </c>
      <c r="CU1" t="s">
        <v>218</v>
      </c>
      <c r="CV1" t="s">
        <v>219</v>
      </c>
      <c r="CW1" t="s">
        <v>220</v>
      </c>
      <c r="CX1" t="s">
        <v>221</v>
      </c>
      <c r="CY1" t="s">
        <v>222</v>
      </c>
      <c r="CZ1" t="s">
        <v>223</v>
      </c>
      <c r="DA1" t="s">
        <v>224</v>
      </c>
      <c r="DB1" t="s">
        <v>225</v>
      </c>
      <c r="DC1" t="s">
        <v>226</v>
      </c>
      <c r="DD1" t="s">
        <v>227</v>
      </c>
      <c r="DE1" t="s">
        <v>228</v>
      </c>
      <c r="DF1" t="s">
        <v>229</v>
      </c>
      <c r="DG1" t="s">
        <v>230</v>
      </c>
      <c r="DH1" t="s">
        <v>231</v>
      </c>
      <c r="DI1" t="s">
        <v>232</v>
      </c>
      <c r="DJ1" t="s">
        <v>233</v>
      </c>
      <c r="DK1" t="s">
        <v>234</v>
      </c>
      <c r="DL1" t="s">
        <v>235</v>
      </c>
      <c r="DM1" t="s">
        <v>236</v>
      </c>
      <c r="DN1" t="s">
        <v>237</v>
      </c>
      <c r="DO1" t="s">
        <v>238</v>
      </c>
      <c r="DP1" t="s">
        <v>239</v>
      </c>
      <c r="DQ1" t="s">
        <v>240</v>
      </c>
      <c r="DR1" t="s">
        <v>241</v>
      </c>
      <c r="DS1" t="s">
        <v>242</v>
      </c>
      <c r="DT1" t="s">
        <v>243</v>
      </c>
      <c r="DU1" t="s">
        <v>244</v>
      </c>
      <c r="DV1" t="s">
        <v>245</v>
      </c>
      <c r="DW1" t="s">
        <v>246</v>
      </c>
      <c r="DX1" t="s">
        <v>247</v>
      </c>
      <c r="DY1" t="s">
        <v>248</v>
      </c>
      <c r="DZ1" t="s">
        <v>249</v>
      </c>
      <c r="EA1" t="s">
        <v>250</v>
      </c>
      <c r="EB1" t="s">
        <v>251</v>
      </c>
      <c r="EC1" t="s">
        <v>252</v>
      </c>
      <c r="ED1" t="s">
        <v>253</v>
      </c>
      <c r="EE1" t="s">
        <v>254</v>
      </c>
      <c r="EF1" t="s">
        <v>255</v>
      </c>
      <c r="EG1" t="s">
        <v>256</v>
      </c>
      <c r="EH1" t="s">
        <v>257</v>
      </c>
      <c r="EI1" t="s">
        <v>258</v>
      </c>
      <c r="EJ1" t="s">
        <v>259</v>
      </c>
      <c r="EK1" t="s">
        <v>260</v>
      </c>
      <c r="EL1" t="s">
        <v>261</v>
      </c>
      <c r="EM1" t="s">
        <v>262</v>
      </c>
      <c r="EN1" t="s">
        <v>263</v>
      </c>
      <c r="EO1" t="s">
        <v>264</v>
      </c>
      <c r="EP1" t="s">
        <v>265</v>
      </c>
      <c r="EQ1" t="s">
        <v>266</v>
      </c>
      <c r="ER1" t="s">
        <v>267</v>
      </c>
      <c r="ES1" t="s">
        <v>268</v>
      </c>
      <c r="ET1" t="s">
        <v>269</v>
      </c>
      <c r="EU1" t="s">
        <v>270</v>
      </c>
      <c r="EV1" t="s">
        <v>271</v>
      </c>
      <c r="EW1" t="s">
        <v>272</v>
      </c>
      <c r="EX1" t="s">
        <v>273</v>
      </c>
      <c r="EY1" t="s">
        <v>274</v>
      </c>
      <c r="EZ1" t="s">
        <v>275</v>
      </c>
      <c r="FA1" t="s">
        <v>276</v>
      </c>
      <c r="FB1" t="s">
        <v>277</v>
      </c>
      <c r="FC1" t="s">
        <v>278</v>
      </c>
      <c r="FD1" t="s">
        <v>279</v>
      </c>
      <c r="FE1" t="s">
        <v>280</v>
      </c>
      <c r="FF1" t="s">
        <v>281</v>
      </c>
      <c r="FG1" s="835" t="s">
        <v>282</v>
      </c>
      <c r="FH1" s="835" t="s">
        <v>283</v>
      </c>
      <c r="FI1" t="s">
        <v>284</v>
      </c>
      <c r="FJ1" t="s">
        <v>285</v>
      </c>
      <c r="FK1" t="s">
        <v>286</v>
      </c>
      <c r="FL1" t="s">
        <v>287</v>
      </c>
      <c r="FM1" t="s">
        <v>288</v>
      </c>
      <c r="FN1" t="s">
        <v>289</v>
      </c>
      <c r="FO1" t="s">
        <v>290</v>
      </c>
      <c r="FP1" t="s">
        <v>291</v>
      </c>
      <c r="FQ1" t="s">
        <v>292</v>
      </c>
      <c r="FR1" t="s">
        <v>293</v>
      </c>
      <c r="FS1" t="s">
        <v>294</v>
      </c>
      <c r="FT1" t="s">
        <v>295</v>
      </c>
      <c r="FU1" t="s">
        <v>296</v>
      </c>
      <c r="FV1" t="s">
        <v>297</v>
      </c>
      <c r="FW1" t="s">
        <v>298</v>
      </c>
      <c r="FX1" t="s">
        <v>299</v>
      </c>
      <c r="FY1" t="s">
        <v>300</v>
      </c>
      <c r="FZ1" t="s">
        <v>301</v>
      </c>
      <c r="GA1" t="s">
        <v>302</v>
      </c>
      <c r="GB1" t="s">
        <v>303</v>
      </c>
      <c r="GC1" t="s">
        <v>304</v>
      </c>
      <c r="GD1" t="s">
        <v>305</v>
      </c>
      <c r="GE1" t="s">
        <v>306</v>
      </c>
      <c r="GF1" t="s">
        <v>307</v>
      </c>
      <c r="GG1" t="s">
        <v>308</v>
      </c>
      <c r="GH1" t="s">
        <v>309</v>
      </c>
      <c r="GI1" t="s">
        <v>310</v>
      </c>
      <c r="GJ1" t="s">
        <v>311</v>
      </c>
      <c r="GK1" t="s">
        <v>312</v>
      </c>
      <c r="GL1" t="s">
        <v>313</v>
      </c>
      <c r="GM1" t="s">
        <v>314</v>
      </c>
      <c r="GN1" t="s">
        <v>315</v>
      </c>
      <c r="GO1" t="s">
        <v>424</v>
      </c>
      <c r="GP1" t="s">
        <v>425</v>
      </c>
      <c r="GQ1" t="s">
        <v>426</v>
      </c>
      <c r="GR1" t="s">
        <v>427</v>
      </c>
      <c r="GS1" t="s">
        <v>428</v>
      </c>
      <c r="GT1" t="s">
        <v>429</v>
      </c>
      <c r="GU1" t="s">
        <v>432</v>
      </c>
      <c r="GV1" t="s">
        <v>433</v>
      </c>
      <c r="GW1" t="s">
        <v>434</v>
      </c>
      <c r="GX1" t="s">
        <v>435</v>
      </c>
      <c r="GY1" t="s">
        <v>436</v>
      </c>
      <c r="GZ1" t="s">
        <v>437</v>
      </c>
      <c r="HA1" t="s">
        <v>438</v>
      </c>
      <c r="HB1" t="s">
        <v>439</v>
      </c>
      <c r="HC1" t="s">
        <v>440</v>
      </c>
      <c r="HD1" s="1" t="s">
        <v>441</v>
      </c>
      <c r="HE1" t="s">
        <v>494</v>
      </c>
      <c r="HF1" t="s">
        <v>495</v>
      </c>
      <c r="HG1" t="s">
        <v>496</v>
      </c>
      <c r="HH1" t="s">
        <v>497</v>
      </c>
      <c r="HI1" t="s">
        <v>498</v>
      </c>
      <c r="HJ1" t="s">
        <v>499</v>
      </c>
      <c r="HK1" t="s">
        <v>500</v>
      </c>
      <c r="HL1" t="s">
        <v>501</v>
      </c>
      <c r="HM1" t="s">
        <v>502</v>
      </c>
      <c r="HN1" t="s">
        <v>503</v>
      </c>
      <c r="HO1" t="s">
        <v>504</v>
      </c>
      <c r="HP1" t="s">
        <v>505</v>
      </c>
      <c r="HQ1" t="s">
        <v>506</v>
      </c>
      <c r="HR1" t="s">
        <v>507</v>
      </c>
      <c r="HS1" t="s">
        <v>508</v>
      </c>
      <c r="HT1" t="s">
        <v>509</v>
      </c>
      <c r="HU1" t="s">
        <v>510</v>
      </c>
      <c r="HV1" t="s">
        <v>511</v>
      </c>
      <c r="HW1" t="s">
        <v>512</v>
      </c>
      <c r="HX1" t="s">
        <v>513</v>
      </c>
      <c r="HY1" t="s">
        <v>514</v>
      </c>
      <c r="HZ1" t="s">
        <v>515</v>
      </c>
      <c r="IA1" t="s">
        <v>516</v>
      </c>
      <c r="IB1" t="s">
        <v>517</v>
      </c>
      <c r="IC1" t="s">
        <v>518</v>
      </c>
      <c r="ID1" t="s">
        <v>519</v>
      </c>
      <c r="IE1" t="s">
        <v>520</v>
      </c>
      <c r="IF1" t="s">
        <v>521</v>
      </c>
      <c r="IG1" t="s">
        <v>522</v>
      </c>
      <c r="IH1" t="s">
        <v>523</v>
      </c>
      <c r="II1" t="s">
        <v>524</v>
      </c>
      <c r="IJ1" t="s">
        <v>525</v>
      </c>
      <c r="IK1" t="s">
        <v>526</v>
      </c>
      <c r="IL1" t="s">
        <v>527</v>
      </c>
      <c r="IM1" t="s">
        <v>528</v>
      </c>
      <c r="IN1" t="s">
        <v>529</v>
      </c>
      <c r="IO1" t="s">
        <v>530</v>
      </c>
      <c r="IP1" t="s">
        <v>531</v>
      </c>
      <c r="IQ1" t="s">
        <v>532</v>
      </c>
      <c r="IR1" t="s">
        <v>533</v>
      </c>
      <c r="IS1" t="s">
        <v>534</v>
      </c>
      <c r="IT1" t="s">
        <v>535</v>
      </c>
      <c r="IU1" t="s">
        <v>536</v>
      </c>
      <c r="IV1" t="s">
        <v>537</v>
      </c>
      <c r="IW1" t="s">
        <v>538</v>
      </c>
      <c r="IX1" t="s">
        <v>539</v>
      </c>
      <c r="IY1" t="s">
        <v>540</v>
      </c>
      <c r="IZ1" t="s">
        <v>541</v>
      </c>
      <c r="JA1" t="s">
        <v>542</v>
      </c>
      <c r="JB1" t="s">
        <v>678</v>
      </c>
      <c r="JC1" t="s">
        <v>679</v>
      </c>
      <c r="JD1" t="s">
        <v>680</v>
      </c>
      <c r="JE1" t="s">
        <v>681</v>
      </c>
      <c r="JF1" t="s">
        <v>682</v>
      </c>
      <c r="JG1" t="s">
        <v>683</v>
      </c>
      <c r="JH1" t="s">
        <v>684</v>
      </c>
      <c r="JI1" t="s">
        <v>685</v>
      </c>
      <c r="JJ1" t="s">
        <v>686</v>
      </c>
      <c r="JK1" t="s">
        <v>687</v>
      </c>
      <c r="JL1" t="s">
        <v>688</v>
      </c>
      <c r="JM1" t="s">
        <v>689</v>
      </c>
      <c r="JN1" t="s">
        <v>775</v>
      </c>
      <c r="JO1" t="s">
        <v>848</v>
      </c>
      <c r="JP1" t="s">
        <v>849</v>
      </c>
      <c r="JQ1" t="s">
        <v>850</v>
      </c>
      <c r="JR1" t="s">
        <v>851</v>
      </c>
      <c r="JS1" t="s">
        <v>852</v>
      </c>
      <c r="JT1" t="s">
        <v>853</v>
      </c>
      <c r="JU1" t="s">
        <v>854</v>
      </c>
      <c r="JV1" t="s">
        <v>855</v>
      </c>
      <c r="JW1" t="s">
        <v>856</v>
      </c>
      <c r="JX1" t="s">
        <v>857</v>
      </c>
      <c r="JY1" t="s">
        <v>858</v>
      </c>
      <c r="JZ1" t="s">
        <v>859</v>
      </c>
      <c r="KA1" t="s">
        <v>860</v>
      </c>
      <c r="KB1" t="s">
        <v>861</v>
      </c>
      <c r="KC1" t="s">
        <v>862</v>
      </c>
      <c r="KD1" t="s">
        <v>941</v>
      </c>
      <c r="KE1" t="s">
        <v>942</v>
      </c>
      <c r="KF1" s="1" t="s">
        <v>943</v>
      </c>
      <c r="KG1" t="s">
        <v>944</v>
      </c>
      <c r="KH1" t="s">
        <v>945</v>
      </c>
      <c r="KI1" t="s">
        <v>946</v>
      </c>
    </row>
    <row r="2" spans="1:295" x14ac:dyDescent="0.3">
      <c r="B2" s="675">
        <v>1</v>
      </c>
      <c r="C2" s="675">
        <v>2</v>
      </c>
      <c r="D2" s="675">
        <v>3</v>
      </c>
      <c r="E2" s="834">
        <v>4</v>
      </c>
      <c r="F2" s="675">
        <v>5</v>
      </c>
      <c r="G2" s="675">
        <v>6</v>
      </c>
      <c r="H2" s="675">
        <v>7</v>
      </c>
      <c r="I2" s="675">
        <v>8</v>
      </c>
      <c r="J2" s="675">
        <v>9</v>
      </c>
      <c r="K2" s="675">
        <v>10</v>
      </c>
      <c r="L2" s="834">
        <v>11</v>
      </c>
      <c r="M2" s="675">
        <v>12</v>
      </c>
      <c r="N2" s="675">
        <v>13</v>
      </c>
      <c r="O2" s="675">
        <v>14</v>
      </c>
      <c r="P2" s="675">
        <v>15</v>
      </c>
      <c r="Q2" s="675">
        <v>16</v>
      </c>
      <c r="R2" s="675">
        <v>17</v>
      </c>
      <c r="S2" s="675">
        <v>18</v>
      </c>
      <c r="T2" s="675">
        <v>19</v>
      </c>
      <c r="U2" s="675">
        <v>20</v>
      </c>
      <c r="V2" s="675">
        <v>21</v>
      </c>
      <c r="W2" s="675">
        <v>22</v>
      </c>
      <c r="X2" s="675">
        <v>23</v>
      </c>
      <c r="Y2" s="675">
        <v>24</v>
      </c>
      <c r="Z2" s="675">
        <v>25</v>
      </c>
      <c r="AA2" s="675">
        <v>26</v>
      </c>
      <c r="AB2" s="675">
        <v>27</v>
      </c>
      <c r="AC2" s="675">
        <v>28</v>
      </c>
      <c r="AD2" s="675">
        <v>29</v>
      </c>
      <c r="AE2" s="675">
        <v>30</v>
      </c>
      <c r="AF2" s="675">
        <v>31</v>
      </c>
      <c r="AG2" s="675">
        <v>32</v>
      </c>
      <c r="AH2" s="675">
        <v>33</v>
      </c>
      <c r="AI2" s="675">
        <v>34</v>
      </c>
      <c r="AJ2" s="675">
        <v>35</v>
      </c>
      <c r="AK2" s="675">
        <v>36</v>
      </c>
      <c r="AL2" s="675">
        <v>37</v>
      </c>
      <c r="AM2" s="675">
        <v>38</v>
      </c>
      <c r="AN2" s="675">
        <v>39</v>
      </c>
      <c r="AO2" s="675">
        <v>40</v>
      </c>
      <c r="AP2" s="675">
        <v>41</v>
      </c>
      <c r="AQ2" s="675">
        <v>42</v>
      </c>
      <c r="AR2" s="675">
        <v>43</v>
      </c>
      <c r="AS2" s="675">
        <v>44</v>
      </c>
      <c r="AT2" s="675">
        <v>45</v>
      </c>
      <c r="AU2" s="675">
        <v>46</v>
      </c>
      <c r="AV2" s="675">
        <v>47</v>
      </c>
      <c r="AW2" s="675">
        <v>48</v>
      </c>
      <c r="AX2" s="675">
        <v>49</v>
      </c>
      <c r="AY2" s="675">
        <v>50</v>
      </c>
      <c r="AZ2" s="675">
        <v>51</v>
      </c>
      <c r="BA2" s="675">
        <v>52</v>
      </c>
      <c r="BB2" s="675">
        <v>53</v>
      </c>
      <c r="BC2" s="675">
        <v>54</v>
      </c>
      <c r="BD2" s="675">
        <v>55</v>
      </c>
      <c r="BE2" s="675">
        <v>56</v>
      </c>
      <c r="BF2" s="675">
        <v>57</v>
      </c>
      <c r="BG2" s="675">
        <v>58</v>
      </c>
      <c r="BH2" s="675">
        <v>59</v>
      </c>
      <c r="BI2" s="675">
        <v>60</v>
      </c>
      <c r="BJ2" s="675">
        <v>61</v>
      </c>
      <c r="BK2" s="675">
        <v>62</v>
      </c>
      <c r="BL2" s="675">
        <v>63</v>
      </c>
      <c r="BM2" s="675">
        <v>64</v>
      </c>
      <c r="BN2" s="675">
        <v>65</v>
      </c>
      <c r="BO2" s="675">
        <v>66</v>
      </c>
      <c r="BP2" s="675">
        <v>67</v>
      </c>
      <c r="BQ2" s="675">
        <v>68</v>
      </c>
      <c r="BR2" s="675">
        <v>69</v>
      </c>
      <c r="BS2" s="675">
        <v>70</v>
      </c>
      <c r="BT2" s="675">
        <v>71</v>
      </c>
      <c r="BU2" s="675">
        <v>72</v>
      </c>
      <c r="BV2" s="675">
        <v>73</v>
      </c>
      <c r="BW2" s="675">
        <v>74</v>
      </c>
      <c r="BX2" s="675">
        <v>75</v>
      </c>
      <c r="BY2" s="675">
        <v>76</v>
      </c>
      <c r="BZ2" s="675">
        <v>77</v>
      </c>
      <c r="CA2" s="675">
        <v>78</v>
      </c>
      <c r="CB2" s="676">
        <v>79</v>
      </c>
      <c r="CC2" s="675">
        <v>80</v>
      </c>
      <c r="CD2" s="675">
        <v>81</v>
      </c>
      <c r="CE2" s="675">
        <v>82</v>
      </c>
      <c r="CF2" s="675">
        <v>83</v>
      </c>
      <c r="CG2" s="675">
        <v>84</v>
      </c>
      <c r="CH2" s="675">
        <v>85</v>
      </c>
      <c r="CI2" s="675">
        <v>86</v>
      </c>
      <c r="CJ2" s="675">
        <v>87</v>
      </c>
      <c r="CK2" s="675">
        <v>88</v>
      </c>
      <c r="CL2" s="675">
        <v>89</v>
      </c>
      <c r="CM2" s="675">
        <v>90</v>
      </c>
      <c r="CN2" s="675">
        <v>91</v>
      </c>
      <c r="CO2" s="675">
        <v>92</v>
      </c>
      <c r="CP2" s="675">
        <v>93</v>
      </c>
      <c r="CQ2" s="675">
        <v>94</v>
      </c>
      <c r="CR2" s="675">
        <v>95</v>
      </c>
      <c r="CS2" s="675">
        <v>96</v>
      </c>
      <c r="CT2" s="675">
        <v>97</v>
      </c>
      <c r="CU2" s="675">
        <v>98</v>
      </c>
      <c r="CV2" s="675">
        <v>99</v>
      </c>
      <c r="CW2" s="675">
        <v>100</v>
      </c>
      <c r="CX2" s="675">
        <v>101</v>
      </c>
      <c r="CY2" s="675">
        <v>102</v>
      </c>
      <c r="CZ2" s="675">
        <v>103</v>
      </c>
      <c r="DA2" s="675">
        <v>104</v>
      </c>
      <c r="DB2" s="675">
        <v>105</v>
      </c>
      <c r="DC2" s="675">
        <v>106</v>
      </c>
      <c r="DD2" s="675">
        <v>107</v>
      </c>
      <c r="DE2" s="675">
        <v>108</v>
      </c>
      <c r="DF2" s="675">
        <v>109</v>
      </c>
      <c r="DG2" s="675">
        <v>110</v>
      </c>
      <c r="DH2" s="675">
        <v>111</v>
      </c>
      <c r="DI2" s="675">
        <v>112</v>
      </c>
      <c r="DJ2" s="675">
        <v>113</v>
      </c>
      <c r="DK2" s="675">
        <v>114</v>
      </c>
      <c r="DL2" s="675">
        <v>115</v>
      </c>
      <c r="DM2" s="675">
        <v>116</v>
      </c>
      <c r="DN2" s="675">
        <v>117</v>
      </c>
      <c r="DO2" s="675">
        <v>118</v>
      </c>
      <c r="DP2" s="675">
        <v>119</v>
      </c>
      <c r="DQ2" s="675">
        <v>120</v>
      </c>
      <c r="DR2" s="675">
        <v>121</v>
      </c>
      <c r="DS2" s="675">
        <v>122</v>
      </c>
      <c r="DT2" s="676">
        <v>123</v>
      </c>
      <c r="DU2" s="676">
        <v>124</v>
      </c>
      <c r="DV2" s="675">
        <v>125</v>
      </c>
      <c r="DW2" s="675">
        <v>126</v>
      </c>
      <c r="DX2" s="675">
        <v>127</v>
      </c>
      <c r="DY2" s="675">
        <v>128</v>
      </c>
      <c r="DZ2" s="675">
        <v>129</v>
      </c>
      <c r="EA2" s="675">
        <v>130</v>
      </c>
      <c r="EB2" s="675">
        <v>131</v>
      </c>
      <c r="EC2" s="675">
        <v>132</v>
      </c>
      <c r="ED2" s="675">
        <v>133</v>
      </c>
      <c r="EE2" s="675">
        <v>134</v>
      </c>
      <c r="EF2" s="675">
        <v>135</v>
      </c>
      <c r="EG2" s="675">
        <v>136</v>
      </c>
      <c r="EH2" s="675">
        <v>137</v>
      </c>
      <c r="EI2" s="675">
        <v>138</v>
      </c>
      <c r="EJ2" s="675">
        <v>139</v>
      </c>
      <c r="EK2" s="675">
        <v>140</v>
      </c>
      <c r="EL2" s="675">
        <v>141</v>
      </c>
      <c r="EM2" s="675">
        <v>142</v>
      </c>
      <c r="EN2" s="675">
        <v>143</v>
      </c>
      <c r="EO2" s="675">
        <v>144</v>
      </c>
      <c r="EP2" s="675">
        <v>145</v>
      </c>
      <c r="EQ2" s="675">
        <v>146</v>
      </c>
      <c r="ER2" s="675">
        <v>147</v>
      </c>
      <c r="ES2" s="675">
        <v>148</v>
      </c>
      <c r="ET2" s="675">
        <v>149</v>
      </c>
      <c r="EU2" s="675">
        <v>150</v>
      </c>
      <c r="EV2" s="675">
        <v>151</v>
      </c>
      <c r="EW2" s="675">
        <v>152</v>
      </c>
      <c r="EX2" s="675">
        <v>153</v>
      </c>
      <c r="EY2" s="675">
        <v>154</v>
      </c>
      <c r="EZ2" s="675">
        <v>155</v>
      </c>
      <c r="FA2" s="675">
        <v>156</v>
      </c>
      <c r="FB2" s="675">
        <v>157</v>
      </c>
      <c r="FC2" s="675">
        <v>158</v>
      </c>
      <c r="FD2" s="675">
        <v>159</v>
      </c>
      <c r="FE2" s="675">
        <v>160</v>
      </c>
      <c r="FF2" s="675">
        <v>161</v>
      </c>
      <c r="FG2" s="834">
        <v>162</v>
      </c>
      <c r="FH2" s="834">
        <v>163</v>
      </c>
      <c r="FI2" s="675">
        <v>164</v>
      </c>
      <c r="FJ2" s="675">
        <v>165</v>
      </c>
      <c r="FK2" s="675">
        <v>166</v>
      </c>
      <c r="FL2" s="675">
        <v>167</v>
      </c>
      <c r="FM2" s="675">
        <v>168</v>
      </c>
      <c r="FN2" s="675">
        <v>169</v>
      </c>
      <c r="FO2" s="675">
        <v>170</v>
      </c>
      <c r="FP2" s="675">
        <v>171</v>
      </c>
      <c r="FQ2" s="675">
        <v>172</v>
      </c>
      <c r="FR2" s="675">
        <v>173</v>
      </c>
      <c r="FS2" s="675">
        <v>174</v>
      </c>
      <c r="FT2" s="675">
        <v>175</v>
      </c>
      <c r="FU2" s="675">
        <v>176</v>
      </c>
      <c r="FV2" s="675">
        <v>177</v>
      </c>
      <c r="FW2" s="675">
        <v>178</v>
      </c>
      <c r="FX2" s="675">
        <v>179</v>
      </c>
      <c r="FY2" s="675">
        <v>180</v>
      </c>
      <c r="FZ2" s="675">
        <v>181</v>
      </c>
      <c r="GA2" s="675">
        <v>182</v>
      </c>
      <c r="GB2" s="675">
        <v>183</v>
      </c>
      <c r="GC2" s="675">
        <v>184</v>
      </c>
      <c r="GD2" s="675">
        <v>185</v>
      </c>
      <c r="GE2" s="675">
        <v>186</v>
      </c>
      <c r="GF2" s="675">
        <v>187</v>
      </c>
      <c r="GG2" s="675">
        <v>188</v>
      </c>
      <c r="GH2" s="675">
        <v>189</v>
      </c>
      <c r="GI2" s="675">
        <v>190</v>
      </c>
      <c r="GJ2" s="675">
        <v>191</v>
      </c>
      <c r="GK2" s="675">
        <v>192</v>
      </c>
      <c r="GL2" s="675">
        <v>193</v>
      </c>
      <c r="GM2" s="675">
        <v>194</v>
      </c>
      <c r="GN2" s="675">
        <v>195</v>
      </c>
      <c r="GO2" s="675">
        <v>196</v>
      </c>
      <c r="GP2" s="675">
        <v>197</v>
      </c>
      <c r="GQ2" s="675">
        <v>198</v>
      </c>
      <c r="GR2" s="675">
        <v>199</v>
      </c>
      <c r="GS2" s="675">
        <v>200</v>
      </c>
      <c r="GT2" s="675">
        <v>201</v>
      </c>
      <c r="GU2" s="675">
        <v>202</v>
      </c>
      <c r="GV2" s="675">
        <v>203</v>
      </c>
      <c r="GW2" s="675">
        <v>204</v>
      </c>
      <c r="GX2" s="675">
        <v>205</v>
      </c>
      <c r="GY2" s="675">
        <v>206</v>
      </c>
      <c r="GZ2" s="675">
        <v>207</v>
      </c>
      <c r="HA2" s="675">
        <v>208</v>
      </c>
      <c r="HB2" s="675">
        <v>209</v>
      </c>
      <c r="HC2" s="833">
        <v>210</v>
      </c>
      <c r="HD2" s="675">
        <v>211</v>
      </c>
      <c r="HE2" s="675">
        <v>212</v>
      </c>
      <c r="HF2" s="675">
        <v>213</v>
      </c>
      <c r="HG2" s="675">
        <v>214</v>
      </c>
      <c r="HH2" s="675">
        <v>215</v>
      </c>
      <c r="HI2" s="675">
        <v>216</v>
      </c>
      <c r="HJ2" s="675">
        <v>217</v>
      </c>
      <c r="HK2" s="675">
        <v>218</v>
      </c>
      <c r="HL2" s="675">
        <v>219</v>
      </c>
      <c r="HM2" s="675">
        <v>220</v>
      </c>
      <c r="HN2" s="675">
        <v>221</v>
      </c>
      <c r="HO2" s="675">
        <v>222</v>
      </c>
      <c r="HP2" s="675">
        <v>223</v>
      </c>
      <c r="HQ2" s="675">
        <v>224</v>
      </c>
      <c r="HR2" s="675">
        <v>225</v>
      </c>
      <c r="HS2" s="675">
        <v>226</v>
      </c>
      <c r="HT2" s="675">
        <v>227</v>
      </c>
      <c r="HU2" s="675">
        <v>228</v>
      </c>
      <c r="HV2" s="675">
        <v>229</v>
      </c>
      <c r="HW2" s="675">
        <v>230</v>
      </c>
      <c r="HX2" s="675">
        <v>231</v>
      </c>
      <c r="HY2" s="675">
        <v>232</v>
      </c>
      <c r="HZ2" s="675">
        <v>233</v>
      </c>
      <c r="IA2" s="675">
        <v>234</v>
      </c>
      <c r="IB2" s="675">
        <v>235</v>
      </c>
      <c r="IC2" s="675">
        <v>236</v>
      </c>
      <c r="ID2" s="675">
        <v>237</v>
      </c>
      <c r="IE2" s="675">
        <v>238</v>
      </c>
      <c r="IG2" s="675">
        <v>240</v>
      </c>
      <c r="IH2" s="675">
        <v>241</v>
      </c>
      <c r="II2" s="675">
        <v>242</v>
      </c>
      <c r="IJ2" s="675">
        <v>243</v>
      </c>
      <c r="IK2" s="675">
        <v>244</v>
      </c>
      <c r="IL2" s="675">
        <v>245</v>
      </c>
      <c r="IM2" s="675">
        <v>246</v>
      </c>
      <c r="IN2" s="675">
        <v>247</v>
      </c>
      <c r="IO2" s="675">
        <v>248</v>
      </c>
      <c r="IP2" s="675">
        <v>249</v>
      </c>
      <c r="IQ2" s="675">
        <v>250</v>
      </c>
      <c r="IR2" s="675">
        <v>251</v>
      </c>
      <c r="IS2" s="675">
        <v>252</v>
      </c>
      <c r="IT2" s="675">
        <v>253</v>
      </c>
      <c r="IU2" s="675">
        <v>254</v>
      </c>
      <c r="IV2" s="675">
        <v>255</v>
      </c>
      <c r="IW2" s="675">
        <v>256</v>
      </c>
      <c r="IX2" s="675">
        <v>257</v>
      </c>
      <c r="IY2" s="675">
        <v>258</v>
      </c>
      <c r="IZ2" s="675">
        <v>259</v>
      </c>
      <c r="JA2" s="675">
        <v>260</v>
      </c>
      <c r="JB2" s="675">
        <v>261</v>
      </c>
      <c r="JC2" s="675">
        <v>262</v>
      </c>
      <c r="JD2" s="675">
        <v>263</v>
      </c>
      <c r="JE2" s="675">
        <v>264</v>
      </c>
      <c r="JF2" s="675">
        <v>265</v>
      </c>
      <c r="JG2" s="675">
        <v>266</v>
      </c>
      <c r="JH2" s="675">
        <v>267</v>
      </c>
      <c r="JI2" s="675">
        <v>268</v>
      </c>
      <c r="JJ2" s="675">
        <v>269</v>
      </c>
      <c r="JK2" s="675">
        <v>270</v>
      </c>
      <c r="JL2" s="675">
        <v>271</v>
      </c>
      <c r="JM2" s="675">
        <v>272</v>
      </c>
      <c r="JN2" s="675">
        <v>273</v>
      </c>
      <c r="JO2" s="675">
        <v>274</v>
      </c>
      <c r="JP2" s="675">
        <v>275</v>
      </c>
      <c r="JQ2" s="675">
        <v>276</v>
      </c>
      <c r="JR2" s="675">
        <v>277</v>
      </c>
      <c r="JS2" s="675">
        <v>278</v>
      </c>
      <c r="JT2" s="675">
        <v>279</v>
      </c>
      <c r="JU2" s="675">
        <v>280</v>
      </c>
      <c r="JV2" s="675">
        <v>281</v>
      </c>
      <c r="JW2" s="675">
        <v>282</v>
      </c>
      <c r="JX2" s="675">
        <v>283</v>
      </c>
      <c r="JY2" s="675">
        <v>284</v>
      </c>
      <c r="JZ2" s="675">
        <v>285</v>
      </c>
      <c r="KA2" s="675">
        <v>286</v>
      </c>
      <c r="KB2" s="675">
        <v>287</v>
      </c>
      <c r="KC2" s="675">
        <v>288</v>
      </c>
      <c r="KD2" s="675">
        <v>289</v>
      </c>
      <c r="KE2" s="675">
        <v>290</v>
      </c>
      <c r="KF2" s="675">
        <v>291</v>
      </c>
      <c r="KG2" s="675">
        <v>292</v>
      </c>
      <c r="KH2" s="675">
        <v>293</v>
      </c>
      <c r="KI2" s="675">
        <v>294</v>
      </c>
    </row>
    <row r="3" spans="1:295" x14ac:dyDescent="0.3">
      <c r="B3" s="675">
        <v>0</v>
      </c>
      <c r="C3" s="675">
        <v>0</v>
      </c>
      <c r="D3" s="675">
        <v>0</v>
      </c>
      <c r="E3" s="834">
        <v>6160</v>
      </c>
      <c r="F3" s="675">
        <v>0</v>
      </c>
      <c r="G3" s="675">
        <v>0</v>
      </c>
      <c r="H3" s="675">
        <v>0</v>
      </c>
      <c r="I3" s="675">
        <v>0</v>
      </c>
      <c r="J3" s="675">
        <v>0</v>
      </c>
      <c r="K3" s="675">
        <v>0</v>
      </c>
      <c r="L3" s="834">
        <v>6160</v>
      </c>
      <c r="M3" s="675">
        <v>0</v>
      </c>
      <c r="N3" s="675">
        <v>0</v>
      </c>
      <c r="O3" s="675">
        <v>0</v>
      </c>
      <c r="P3" s="675">
        <v>0</v>
      </c>
      <c r="Q3" s="675">
        <v>0</v>
      </c>
      <c r="R3" s="675">
        <v>0</v>
      </c>
      <c r="S3" s="675">
        <v>0</v>
      </c>
      <c r="T3" s="675">
        <v>0</v>
      </c>
      <c r="U3" s="675">
        <v>0</v>
      </c>
      <c r="V3" s="675">
        <v>0</v>
      </c>
      <c r="W3" s="675">
        <v>0</v>
      </c>
      <c r="X3" s="675">
        <v>0</v>
      </c>
      <c r="Y3" s="675">
        <v>0</v>
      </c>
      <c r="Z3" s="675">
        <v>0</v>
      </c>
      <c r="AA3" s="675">
        <v>0</v>
      </c>
      <c r="AB3" s="675">
        <v>0</v>
      </c>
      <c r="AC3" s="675">
        <v>0</v>
      </c>
      <c r="AD3" s="675">
        <v>0</v>
      </c>
      <c r="AE3" s="675">
        <v>0</v>
      </c>
      <c r="AF3" s="675">
        <v>0</v>
      </c>
      <c r="AG3" s="675">
        <v>0</v>
      </c>
      <c r="AH3" s="675">
        <v>0</v>
      </c>
      <c r="AI3" s="675">
        <v>0</v>
      </c>
      <c r="AJ3" s="675">
        <v>6160</v>
      </c>
      <c r="AK3" s="675">
        <v>0</v>
      </c>
      <c r="AL3" s="675">
        <v>0</v>
      </c>
      <c r="AM3" s="675">
        <v>0</v>
      </c>
      <c r="AN3" s="675">
        <v>0</v>
      </c>
      <c r="AO3" s="675">
        <v>0</v>
      </c>
      <c r="AP3" s="675">
        <v>0</v>
      </c>
      <c r="AQ3" s="675">
        <v>0</v>
      </c>
      <c r="AR3" s="675">
        <v>0</v>
      </c>
      <c r="AS3" s="675">
        <v>0</v>
      </c>
      <c r="AT3" s="675">
        <v>0</v>
      </c>
      <c r="AU3" s="675">
        <v>0</v>
      </c>
      <c r="AV3" s="675">
        <v>0</v>
      </c>
      <c r="AW3" s="675">
        <v>0</v>
      </c>
      <c r="AX3" s="675">
        <v>0</v>
      </c>
      <c r="AY3" s="675">
        <v>0</v>
      </c>
      <c r="AZ3" s="675">
        <v>0</v>
      </c>
      <c r="BA3" s="675">
        <v>0</v>
      </c>
      <c r="BB3" s="675">
        <v>0</v>
      </c>
      <c r="BC3" s="675">
        <v>0</v>
      </c>
      <c r="BD3" s="675">
        <v>0</v>
      </c>
      <c r="BE3" s="675">
        <v>0</v>
      </c>
      <c r="BF3" s="675">
        <v>0</v>
      </c>
      <c r="BG3" s="675">
        <v>0</v>
      </c>
      <c r="BH3" s="675">
        <v>0</v>
      </c>
      <c r="BI3" s="675">
        <v>0</v>
      </c>
      <c r="BJ3" s="675">
        <v>0</v>
      </c>
      <c r="BK3" s="675">
        <v>0</v>
      </c>
      <c r="BL3" s="675">
        <v>0</v>
      </c>
      <c r="BM3" s="675">
        <v>0</v>
      </c>
      <c r="BN3" s="675">
        <v>0</v>
      </c>
      <c r="BO3" s="675">
        <v>0</v>
      </c>
      <c r="BP3" s="675">
        <v>0</v>
      </c>
      <c r="BQ3" s="675">
        <v>0</v>
      </c>
      <c r="BR3" s="675">
        <v>0</v>
      </c>
      <c r="BS3" s="675">
        <v>0</v>
      </c>
      <c r="BT3" s="675">
        <v>0</v>
      </c>
      <c r="BU3" s="675">
        <v>0</v>
      </c>
      <c r="BV3" s="675">
        <v>0</v>
      </c>
      <c r="BW3" s="675">
        <v>0</v>
      </c>
      <c r="BX3" s="675">
        <v>0</v>
      </c>
      <c r="BY3" s="675">
        <v>0</v>
      </c>
      <c r="BZ3" s="675">
        <v>0</v>
      </c>
      <c r="CA3" s="675">
        <v>0</v>
      </c>
      <c r="CB3" s="676">
        <v>0</v>
      </c>
      <c r="CC3" s="675">
        <v>0</v>
      </c>
      <c r="CD3" s="675">
        <v>0</v>
      </c>
      <c r="CE3" s="675">
        <v>0</v>
      </c>
      <c r="CF3" s="675">
        <v>0</v>
      </c>
      <c r="CG3" s="675">
        <v>0</v>
      </c>
      <c r="CH3" s="675">
        <v>0</v>
      </c>
      <c r="CI3" s="675">
        <v>0</v>
      </c>
      <c r="CJ3" s="675">
        <v>0</v>
      </c>
      <c r="CK3" s="675">
        <v>0</v>
      </c>
      <c r="CL3" s="675">
        <v>0</v>
      </c>
      <c r="CM3" s="675">
        <v>0</v>
      </c>
      <c r="CN3" s="675">
        <v>0</v>
      </c>
      <c r="CO3" s="675">
        <v>0</v>
      </c>
      <c r="CP3" s="675">
        <v>0</v>
      </c>
      <c r="CQ3" s="675">
        <v>0</v>
      </c>
      <c r="CR3" s="675">
        <v>0</v>
      </c>
      <c r="CS3" s="675">
        <v>0</v>
      </c>
      <c r="CT3" s="675">
        <v>0</v>
      </c>
      <c r="CU3" s="675">
        <v>0</v>
      </c>
      <c r="CV3" s="675">
        <v>0</v>
      </c>
      <c r="CW3" s="675">
        <v>0</v>
      </c>
      <c r="CX3" s="675">
        <v>0</v>
      </c>
      <c r="CY3" s="675">
        <v>0</v>
      </c>
      <c r="CZ3" s="675">
        <v>0</v>
      </c>
      <c r="DA3" s="675">
        <v>0</v>
      </c>
      <c r="DB3" s="675">
        <v>0</v>
      </c>
      <c r="DC3" s="675">
        <v>0</v>
      </c>
      <c r="DD3" s="675">
        <v>0</v>
      </c>
      <c r="DE3" s="675">
        <v>0</v>
      </c>
      <c r="DF3" s="675">
        <v>0</v>
      </c>
      <c r="DG3" s="675">
        <v>0</v>
      </c>
      <c r="DH3" s="675">
        <v>0</v>
      </c>
      <c r="DI3" s="675">
        <v>0</v>
      </c>
      <c r="DJ3" s="675">
        <v>0</v>
      </c>
      <c r="DK3" s="675">
        <v>0</v>
      </c>
      <c r="DL3" s="675">
        <v>0</v>
      </c>
      <c r="DM3" s="675">
        <v>0</v>
      </c>
      <c r="DN3" s="675">
        <v>0</v>
      </c>
      <c r="DO3" s="675">
        <v>0</v>
      </c>
      <c r="DP3" s="675">
        <v>0</v>
      </c>
      <c r="DQ3" s="675">
        <v>0</v>
      </c>
      <c r="DR3" s="675">
        <v>0</v>
      </c>
      <c r="DS3" s="675">
        <v>0</v>
      </c>
      <c r="DT3" s="676">
        <v>0</v>
      </c>
      <c r="DU3" s="676">
        <v>0</v>
      </c>
      <c r="DV3" s="676">
        <v>0</v>
      </c>
      <c r="DW3" s="676">
        <v>0</v>
      </c>
      <c r="DX3" s="676">
        <v>0</v>
      </c>
      <c r="DY3" s="676">
        <v>0</v>
      </c>
      <c r="DZ3" s="675">
        <v>0</v>
      </c>
      <c r="EA3" s="675">
        <v>0</v>
      </c>
      <c r="EB3" s="675">
        <v>0</v>
      </c>
      <c r="EC3" s="675">
        <v>0</v>
      </c>
      <c r="ED3" s="675">
        <v>0</v>
      </c>
      <c r="EE3" s="675">
        <v>0</v>
      </c>
      <c r="EF3" s="675">
        <v>0</v>
      </c>
      <c r="EG3" s="675">
        <v>0</v>
      </c>
      <c r="EH3" s="675">
        <v>0</v>
      </c>
      <c r="EI3" s="675">
        <v>0</v>
      </c>
      <c r="EJ3" s="675">
        <v>0</v>
      </c>
      <c r="EK3" s="675">
        <v>0</v>
      </c>
      <c r="EL3" s="675">
        <v>0</v>
      </c>
      <c r="EM3" s="675">
        <v>0</v>
      </c>
      <c r="EN3" s="675">
        <v>0</v>
      </c>
      <c r="EO3" s="675">
        <v>0</v>
      </c>
      <c r="EP3" s="675">
        <v>0</v>
      </c>
      <c r="EQ3" s="675">
        <v>0</v>
      </c>
      <c r="ER3" s="675">
        <v>0</v>
      </c>
      <c r="ES3" s="675">
        <v>0</v>
      </c>
      <c r="ET3" s="675">
        <v>0</v>
      </c>
      <c r="EU3" s="675">
        <v>0</v>
      </c>
      <c r="EV3" s="675">
        <v>0</v>
      </c>
      <c r="EW3" s="675">
        <v>0</v>
      </c>
      <c r="EX3" s="675">
        <v>0</v>
      </c>
      <c r="EY3" s="675">
        <v>0</v>
      </c>
      <c r="EZ3" s="675">
        <v>0</v>
      </c>
      <c r="FA3" s="675">
        <v>0</v>
      </c>
      <c r="FB3" s="675">
        <v>0</v>
      </c>
      <c r="FC3" s="675">
        <v>0</v>
      </c>
      <c r="FD3" s="675">
        <v>0</v>
      </c>
      <c r="FE3" s="675">
        <v>0</v>
      </c>
      <c r="FF3" s="675">
        <v>0</v>
      </c>
      <c r="FG3" s="834">
        <v>6.3574999999999993E-2</v>
      </c>
      <c r="FH3" s="834">
        <v>2.6298999999999999E-2</v>
      </c>
      <c r="FI3" s="675">
        <v>0</v>
      </c>
      <c r="FJ3" s="675">
        <v>0</v>
      </c>
      <c r="FK3" s="675">
        <v>0</v>
      </c>
      <c r="FL3" s="675">
        <v>0</v>
      </c>
      <c r="FM3" s="675">
        <v>0</v>
      </c>
      <c r="FN3" s="675">
        <v>0</v>
      </c>
      <c r="FO3" s="675">
        <v>0</v>
      </c>
      <c r="FP3" s="675">
        <v>0</v>
      </c>
      <c r="FQ3" s="675">
        <v>0</v>
      </c>
      <c r="FR3" s="675">
        <v>0</v>
      </c>
      <c r="FS3" s="675">
        <v>0</v>
      </c>
      <c r="FT3" s="675">
        <v>0</v>
      </c>
      <c r="FU3" s="675">
        <v>0</v>
      </c>
      <c r="FV3" s="675">
        <v>0</v>
      </c>
      <c r="FW3" s="675">
        <v>0</v>
      </c>
      <c r="FX3" s="675">
        <v>0</v>
      </c>
      <c r="FY3" s="675">
        <v>0</v>
      </c>
      <c r="FZ3" s="675">
        <v>0</v>
      </c>
      <c r="GA3" s="675">
        <v>0</v>
      </c>
      <c r="GB3" s="675">
        <v>0</v>
      </c>
      <c r="GC3" s="675">
        <v>0</v>
      </c>
      <c r="GD3" s="675">
        <v>0</v>
      </c>
      <c r="GE3" s="675">
        <v>0</v>
      </c>
      <c r="GF3" s="675">
        <v>0</v>
      </c>
      <c r="GG3" s="675">
        <v>0</v>
      </c>
      <c r="GH3" s="675">
        <v>0</v>
      </c>
      <c r="GI3" s="675">
        <v>0</v>
      </c>
      <c r="GJ3" s="675">
        <v>0</v>
      </c>
      <c r="GK3" s="675">
        <v>0</v>
      </c>
      <c r="GL3" s="675">
        <v>0</v>
      </c>
      <c r="GM3" s="675">
        <v>0</v>
      </c>
      <c r="GN3" s="675">
        <v>0</v>
      </c>
      <c r="GO3" s="675">
        <v>0</v>
      </c>
      <c r="GP3" s="675">
        <v>0</v>
      </c>
      <c r="GQ3" s="675">
        <v>0</v>
      </c>
      <c r="GR3" s="675">
        <v>0</v>
      </c>
      <c r="GS3" s="675">
        <v>0</v>
      </c>
      <c r="GT3" s="675">
        <v>0</v>
      </c>
      <c r="GU3" s="675">
        <v>0</v>
      </c>
      <c r="GV3" s="675">
        <v>0</v>
      </c>
      <c r="GW3" s="675">
        <v>0</v>
      </c>
      <c r="GX3" s="675">
        <v>0</v>
      </c>
      <c r="GY3" s="675">
        <v>0</v>
      </c>
      <c r="GZ3" s="675">
        <v>0</v>
      </c>
      <c r="HA3" s="675">
        <v>0</v>
      </c>
      <c r="HB3" s="675">
        <v>0</v>
      </c>
      <c r="HC3" s="676">
        <v>4.5690999999999996E-2</v>
      </c>
      <c r="HD3" s="675">
        <v>0</v>
      </c>
      <c r="HE3" s="675">
        <v>0</v>
      </c>
      <c r="HF3" s="675">
        <v>0</v>
      </c>
      <c r="HG3" s="675">
        <v>0</v>
      </c>
      <c r="HH3" s="675">
        <v>0</v>
      </c>
      <c r="HI3" s="675">
        <v>0</v>
      </c>
      <c r="HJ3" s="675">
        <v>0</v>
      </c>
      <c r="HK3" s="675">
        <v>0</v>
      </c>
      <c r="HL3" s="675">
        <v>0</v>
      </c>
      <c r="HM3" s="675">
        <v>0</v>
      </c>
      <c r="HN3" s="675">
        <v>0</v>
      </c>
      <c r="HO3" s="675">
        <v>0</v>
      </c>
      <c r="HP3" s="675">
        <v>0</v>
      </c>
      <c r="HQ3" s="675">
        <v>0</v>
      </c>
      <c r="HR3" s="675">
        <v>0</v>
      </c>
      <c r="HS3" s="675">
        <v>0</v>
      </c>
      <c r="HT3" s="675">
        <v>0</v>
      </c>
      <c r="HU3" s="675">
        <v>0</v>
      </c>
      <c r="HV3" s="675">
        <v>0</v>
      </c>
      <c r="HW3" s="675">
        <v>0</v>
      </c>
      <c r="HX3" s="675">
        <v>0</v>
      </c>
      <c r="HY3" s="675">
        <v>0</v>
      </c>
      <c r="HZ3" s="675">
        <v>0</v>
      </c>
      <c r="IA3" s="675">
        <v>0</v>
      </c>
      <c r="IB3" s="675">
        <v>0</v>
      </c>
      <c r="IC3" s="675">
        <v>0</v>
      </c>
      <c r="ID3" s="675">
        <v>0</v>
      </c>
      <c r="IE3" s="675">
        <v>0</v>
      </c>
      <c r="IF3" s="675">
        <v>0</v>
      </c>
      <c r="IG3" s="675">
        <v>0</v>
      </c>
      <c r="IH3" s="675">
        <v>0</v>
      </c>
      <c r="II3" s="675">
        <v>0</v>
      </c>
      <c r="IJ3" s="675">
        <v>0</v>
      </c>
      <c r="IK3" s="675">
        <v>0</v>
      </c>
      <c r="IL3" s="675">
        <v>0</v>
      </c>
      <c r="IM3" s="675">
        <v>0</v>
      </c>
      <c r="IN3" s="675">
        <v>0</v>
      </c>
      <c r="IO3" s="675">
        <v>0</v>
      </c>
      <c r="IP3" s="675">
        <v>0</v>
      </c>
      <c r="IQ3" s="675">
        <v>0</v>
      </c>
      <c r="IR3" s="675">
        <v>0</v>
      </c>
      <c r="IS3" s="675">
        <v>0</v>
      </c>
      <c r="IT3" s="675">
        <v>0</v>
      </c>
      <c r="IU3" s="675">
        <v>0</v>
      </c>
      <c r="IV3" s="675">
        <v>0</v>
      </c>
      <c r="IW3" s="675">
        <v>6159</v>
      </c>
      <c r="IX3" s="675">
        <v>0</v>
      </c>
      <c r="IY3" s="675">
        <v>0</v>
      </c>
      <c r="IZ3" s="675">
        <v>0</v>
      </c>
      <c r="JA3" s="675">
        <v>0</v>
      </c>
      <c r="JB3" s="675">
        <v>0</v>
      </c>
      <c r="JC3" s="675">
        <v>0</v>
      </c>
      <c r="JD3" s="675">
        <v>0</v>
      </c>
      <c r="JE3" s="675">
        <v>0</v>
      </c>
      <c r="JF3" s="675">
        <v>0</v>
      </c>
      <c r="JG3" s="675">
        <v>0</v>
      </c>
      <c r="JH3" s="675">
        <v>0</v>
      </c>
      <c r="JI3" s="675">
        <v>0</v>
      </c>
      <c r="JJ3" s="675">
        <v>0</v>
      </c>
      <c r="JK3" s="675">
        <v>0</v>
      </c>
      <c r="JL3" s="675">
        <v>0</v>
      </c>
      <c r="JM3" s="675">
        <v>0</v>
      </c>
      <c r="JN3" s="675">
        <v>0</v>
      </c>
      <c r="JO3" s="675">
        <v>0</v>
      </c>
      <c r="JP3" s="675">
        <v>0</v>
      </c>
      <c r="JQ3" s="675">
        <v>0</v>
      </c>
      <c r="JR3" s="675">
        <v>0</v>
      </c>
      <c r="JS3" s="675">
        <v>0</v>
      </c>
      <c r="JT3" s="675">
        <v>0</v>
      </c>
      <c r="JU3" s="675">
        <v>0</v>
      </c>
      <c r="JV3" s="675">
        <v>0</v>
      </c>
      <c r="JW3" s="675">
        <v>0</v>
      </c>
      <c r="JX3" s="675">
        <v>0</v>
      </c>
      <c r="JY3" s="675">
        <v>0</v>
      </c>
      <c r="JZ3" s="675">
        <v>0</v>
      </c>
      <c r="KA3" s="675">
        <v>0</v>
      </c>
      <c r="KB3" s="675">
        <v>0</v>
      </c>
      <c r="KC3" s="675">
        <v>0</v>
      </c>
      <c r="KD3" s="675">
        <v>0</v>
      </c>
      <c r="KE3" s="675">
        <v>0</v>
      </c>
      <c r="KF3" s="675">
        <v>0</v>
      </c>
      <c r="KG3" s="675">
        <v>0</v>
      </c>
      <c r="KH3" s="675">
        <v>0</v>
      </c>
      <c r="KI3" s="675">
        <v>0</v>
      </c>
    </row>
    <row r="4" spans="1:295" ht="12.5" x14ac:dyDescent="0.25">
      <c r="A4" s="675">
        <v>35795</v>
      </c>
      <c r="B4" s="675">
        <v>105801</v>
      </c>
      <c r="C4" s="675">
        <v>9</v>
      </c>
      <c r="D4" s="675">
        <v>2022</v>
      </c>
      <c r="E4" s="675">
        <v>6160</v>
      </c>
      <c r="F4" s="675">
        <v>0</v>
      </c>
      <c r="G4" s="675">
        <v>90</v>
      </c>
      <c r="H4" s="675">
        <v>84.163000000000011</v>
      </c>
      <c r="I4" s="675">
        <v>84.163000000000011</v>
      </c>
      <c r="J4" s="675">
        <v>90</v>
      </c>
      <c r="K4" s="675">
        <v>0</v>
      </c>
      <c r="L4" s="675">
        <v>6160</v>
      </c>
      <c r="M4" s="675">
        <v>0</v>
      </c>
      <c r="N4" s="675">
        <v>0</v>
      </c>
      <c r="O4" s="675">
        <v>0</v>
      </c>
      <c r="P4" s="675">
        <v>92.057000000000002</v>
      </c>
      <c r="Q4" s="675">
        <v>0</v>
      </c>
      <c r="R4" s="675">
        <v>37046</v>
      </c>
      <c r="S4" s="675">
        <v>402.428</v>
      </c>
      <c r="T4" s="675">
        <v>0</v>
      </c>
      <c r="U4" s="675">
        <v>19698</v>
      </c>
      <c r="V4" s="675">
        <v>0</v>
      </c>
      <c r="W4" s="675">
        <v>0</v>
      </c>
      <c r="X4" s="675">
        <v>0</v>
      </c>
      <c r="Y4" s="675">
        <v>0</v>
      </c>
      <c r="Z4" s="675">
        <v>0</v>
      </c>
      <c r="AA4" s="675">
        <v>0</v>
      </c>
      <c r="AB4" s="675">
        <v>0</v>
      </c>
      <c r="AC4" s="675">
        <v>0</v>
      </c>
      <c r="AD4" s="675" t="s">
        <v>316</v>
      </c>
      <c r="AE4" s="675">
        <v>0</v>
      </c>
      <c r="AF4" s="675">
        <v>0</v>
      </c>
      <c r="AG4" s="675">
        <v>0</v>
      </c>
      <c r="AH4" s="675">
        <v>0</v>
      </c>
      <c r="AI4" s="675">
        <v>0</v>
      </c>
      <c r="AJ4" s="675">
        <v>6160</v>
      </c>
      <c r="AK4" s="675" t="s">
        <v>671</v>
      </c>
      <c r="AL4" s="675" t="s">
        <v>34</v>
      </c>
      <c r="AM4" s="675">
        <v>0</v>
      </c>
      <c r="AN4" s="675">
        <v>0</v>
      </c>
      <c r="AO4" s="675">
        <v>0</v>
      </c>
      <c r="AP4" s="675">
        <v>0</v>
      </c>
      <c r="AQ4" s="675">
        <v>0</v>
      </c>
      <c r="AR4" s="675">
        <v>0</v>
      </c>
      <c r="AS4" s="675">
        <v>0</v>
      </c>
      <c r="AT4" s="675">
        <v>0</v>
      </c>
      <c r="AU4" s="675">
        <v>0</v>
      </c>
      <c r="AV4" s="675">
        <v>0</v>
      </c>
      <c r="AW4" s="675">
        <v>987858</v>
      </c>
      <c r="AX4" s="675">
        <v>743621</v>
      </c>
      <c r="AY4" s="675">
        <v>504180</v>
      </c>
      <c r="AZ4" s="675">
        <v>37046</v>
      </c>
      <c r="BA4" s="675">
        <v>0</v>
      </c>
      <c r="BB4" s="675">
        <v>0</v>
      </c>
      <c r="BC4" s="675">
        <v>0</v>
      </c>
      <c r="BD4" s="675">
        <v>0</v>
      </c>
      <c r="BE4" s="675">
        <v>0</v>
      </c>
      <c r="BF4" s="675">
        <v>694224</v>
      </c>
      <c r="BG4" s="675">
        <v>0</v>
      </c>
      <c r="BH4" s="675">
        <v>0</v>
      </c>
      <c r="BI4" s="675">
        <v>0</v>
      </c>
      <c r="BJ4" s="675">
        <v>12</v>
      </c>
      <c r="BK4" s="675">
        <v>0</v>
      </c>
      <c r="BL4" s="675">
        <v>0</v>
      </c>
      <c r="BM4" s="675">
        <v>0</v>
      </c>
      <c r="BN4" s="675">
        <v>0</v>
      </c>
      <c r="BO4" s="675">
        <v>0</v>
      </c>
      <c r="BP4" s="675">
        <v>0</v>
      </c>
      <c r="BQ4" s="675">
        <v>757</v>
      </c>
      <c r="BR4" s="675">
        <v>0</v>
      </c>
      <c r="BS4" s="675">
        <v>0</v>
      </c>
      <c r="BT4" s="675">
        <v>0</v>
      </c>
      <c r="BU4" s="675">
        <v>0</v>
      </c>
      <c r="BV4" s="675">
        <v>0</v>
      </c>
      <c r="BW4" s="675">
        <v>0</v>
      </c>
      <c r="BX4" s="675">
        <v>0</v>
      </c>
      <c r="BY4" s="675">
        <v>0</v>
      </c>
      <c r="BZ4" s="675">
        <v>0</v>
      </c>
      <c r="CA4" s="675">
        <v>0</v>
      </c>
      <c r="CB4" s="675">
        <v>0</v>
      </c>
      <c r="CC4" s="675">
        <v>0</v>
      </c>
      <c r="CD4" s="675">
        <v>0</v>
      </c>
      <c r="CE4" s="675">
        <v>0</v>
      </c>
      <c r="CF4" s="675">
        <v>0</v>
      </c>
      <c r="CG4" s="675">
        <v>0</v>
      </c>
      <c r="CH4" s="675">
        <v>244527</v>
      </c>
      <c r="CI4" s="675">
        <v>0</v>
      </c>
      <c r="CJ4" s="675">
        <v>4</v>
      </c>
      <c r="CK4" s="675">
        <v>0</v>
      </c>
      <c r="CL4" s="675">
        <v>0</v>
      </c>
      <c r="CM4" s="675">
        <v>0</v>
      </c>
      <c r="CN4" s="675">
        <v>0</v>
      </c>
      <c r="CO4" s="675">
        <v>1</v>
      </c>
      <c r="CP4" s="675">
        <v>0</v>
      </c>
      <c r="CQ4" s="675">
        <v>0</v>
      </c>
      <c r="CR4" s="675">
        <v>124.021</v>
      </c>
      <c r="CS4" s="675">
        <v>0</v>
      </c>
      <c r="CT4" s="675">
        <v>0</v>
      </c>
      <c r="CU4" s="675">
        <v>0</v>
      </c>
      <c r="CV4" s="675">
        <v>0</v>
      </c>
      <c r="CW4" s="675">
        <v>0</v>
      </c>
      <c r="CX4" s="675">
        <v>0</v>
      </c>
      <c r="CY4" s="675">
        <v>0</v>
      </c>
      <c r="CZ4" s="675">
        <v>0</v>
      </c>
      <c r="DA4" s="675">
        <v>0</v>
      </c>
      <c r="DB4" s="675">
        <v>454160</v>
      </c>
      <c r="DC4" s="675">
        <v>0</v>
      </c>
      <c r="DD4" s="675">
        <v>0</v>
      </c>
      <c r="DE4" s="675">
        <v>4158</v>
      </c>
      <c r="DF4" s="675">
        <v>4158</v>
      </c>
      <c r="DG4" s="675">
        <v>0.67500000000000004</v>
      </c>
      <c r="DH4" s="675">
        <v>0</v>
      </c>
      <c r="DI4" s="675">
        <v>0</v>
      </c>
      <c r="DJ4" s="675">
        <v>0</v>
      </c>
      <c r="DK4" s="675">
        <v>3735</v>
      </c>
      <c r="DL4" s="675">
        <v>0</v>
      </c>
      <c r="DM4" s="675">
        <v>140314</v>
      </c>
      <c r="DN4" s="675">
        <v>290</v>
      </c>
      <c r="DO4" s="675">
        <v>0</v>
      </c>
      <c r="DP4" s="675">
        <v>0</v>
      </c>
      <c r="DQ4" s="675">
        <v>0</v>
      </c>
      <c r="DR4" s="675">
        <v>0</v>
      </c>
      <c r="DS4" s="675">
        <v>0</v>
      </c>
      <c r="DT4" s="675">
        <v>0</v>
      </c>
      <c r="DU4" s="675">
        <v>0</v>
      </c>
      <c r="DV4" s="675">
        <v>0</v>
      </c>
      <c r="DW4" s="675">
        <v>0</v>
      </c>
      <c r="DX4" s="675">
        <v>0</v>
      </c>
      <c r="DY4" s="675">
        <v>0</v>
      </c>
      <c r="DZ4" s="675">
        <v>0</v>
      </c>
      <c r="EA4" s="675">
        <v>0</v>
      </c>
      <c r="EB4" s="675">
        <v>0</v>
      </c>
      <c r="EC4" s="675">
        <v>6.3</v>
      </c>
      <c r="ED4" s="675">
        <v>44629</v>
      </c>
      <c r="EE4" s="675">
        <v>0</v>
      </c>
      <c r="EF4" s="675">
        <v>0</v>
      </c>
      <c r="EG4" s="675">
        <v>0</v>
      </c>
      <c r="EH4" s="675">
        <v>31693</v>
      </c>
      <c r="EI4" s="675">
        <v>0</v>
      </c>
      <c r="EJ4" s="675">
        <v>0</v>
      </c>
      <c r="EK4" s="675">
        <v>1.7150000000000001</v>
      </c>
      <c r="EL4" s="675">
        <v>0</v>
      </c>
      <c r="EM4" s="675">
        <v>0</v>
      </c>
      <c r="EN4" s="675">
        <v>0</v>
      </c>
      <c r="EO4" s="675">
        <v>0</v>
      </c>
      <c r="EP4" s="675">
        <v>0</v>
      </c>
      <c r="EQ4" s="675">
        <v>1.7150000000000001</v>
      </c>
      <c r="ER4" s="675">
        <v>0</v>
      </c>
      <c r="ES4" s="675">
        <v>5.1450000000000005</v>
      </c>
      <c r="ET4" s="675">
        <v>0</v>
      </c>
      <c r="EU4" s="675">
        <v>0</v>
      </c>
      <c r="EV4" s="675">
        <v>0</v>
      </c>
      <c r="EW4" s="675">
        <v>0</v>
      </c>
      <c r="EX4" s="675">
        <v>0</v>
      </c>
      <c r="EY4" s="675">
        <v>0</v>
      </c>
      <c r="EZ4" s="675">
        <v>658398</v>
      </c>
      <c r="FA4" s="675">
        <v>0</v>
      </c>
      <c r="FB4" s="675">
        <v>695154</v>
      </c>
      <c r="FC4" s="675">
        <v>0</v>
      </c>
      <c r="FD4" s="675">
        <v>0</v>
      </c>
      <c r="FE4" s="675">
        <v>70617</v>
      </c>
      <c r="FF4" s="675">
        <v>14606</v>
      </c>
      <c r="FG4" s="675">
        <v>6.3574999999999993E-2</v>
      </c>
      <c r="FH4" s="675">
        <v>2.6298999999999999E-2</v>
      </c>
      <c r="FI4" s="675">
        <v>0</v>
      </c>
      <c r="FJ4" s="675">
        <v>0</v>
      </c>
      <c r="FK4" s="675">
        <v>112.69900000000001</v>
      </c>
      <c r="FL4" s="675">
        <v>1024904</v>
      </c>
      <c r="FM4" s="675">
        <v>0</v>
      </c>
      <c r="FN4" s="675">
        <v>0</v>
      </c>
      <c r="FO4" s="675">
        <v>0</v>
      </c>
      <c r="FP4" s="675">
        <v>0</v>
      </c>
      <c r="FQ4" s="675">
        <v>0</v>
      </c>
      <c r="FR4" s="675">
        <v>0</v>
      </c>
      <c r="FS4" s="675">
        <v>0</v>
      </c>
      <c r="FT4" s="675">
        <v>0</v>
      </c>
      <c r="FU4" s="675">
        <v>0</v>
      </c>
      <c r="FV4" s="675">
        <v>0</v>
      </c>
      <c r="FW4" s="675">
        <v>0</v>
      </c>
      <c r="FX4" s="675">
        <v>0</v>
      </c>
      <c r="FY4" s="675">
        <v>0</v>
      </c>
      <c r="FZ4" s="675">
        <v>0</v>
      </c>
      <c r="GA4" s="675">
        <v>0</v>
      </c>
      <c r="GB4" s="675">
        <v>0</v>
      </c>
      <c r="GC4" s="675">
        <v>0</v>
      </c>
      <c r="GD4" s="675">
        <v>4.1219999999999999</v>
      </c>
      <c r="GE4" s="675">
        <v>0</v>
      </c>
      <c r="GF4" s="675">
        <v>0</v>
      </c>
      <c r="GG4" s="675">
        <v>0</v>
      </c>
      <c r="GH4" s="675">
        <v>0</v>
      </c>
      <c r="GI4" s="675">
        <v>0</v>
      </c>
      <c r="GJ4" s="675">
        <v>0</v>
      </c>
      <c r="GK4" s="675">
        <v>0</v>
      </c>
      <c r="GL4" s="675">
        <v>0</v>
      </c>
      <c r="GM4" s="675">
        <v>0</v>
      </c>
      <c r="GN4" s="675">
        <v>0</v>
      </c>
      <c r="GO4" s="675">
        <v>0</v>
      </c>
      <c r="GP4" s="675">
        <v>0</v>
      </c>
      <c r="GQ4" s="675">
        <v>0</v>
      </c>
      <c r="GR4" s="675">
        <v>0</v>
      </c>
      <c r="GS4" s="675">
        <v>0</v>
      </c>
      <c r="GT4" s="675">
        <v>0</v>
      </c>
      <c r="GU4" s="675">
        <v>0</v>
      </c>
      <c r="GV4" s="675">
        <v>0</v>
      </c>
      <c r="GW4" s="675">
        <v>0</v>
      </c>
      <c r="GX4" s="675">
        <v>0</v>
      </c>
      <c r="GY4" s="675">
        <v>0</v>
      </c>
      <c r="GZ4" s="675">
        <v>0</v>
      </c>
      <c r="HA4" s="675">
        <v>0</v>
      </c>
      <c r="HB4" s="675">
        <v>298386780</v>
      </c>
      <c r="HC4" s="675">
        <v>4.5690999999999996E-2</v>
      </c>
      <c r="HD4" s="675">
        <v>16449</v>
      </c>
      <c r="HE4" s="675">
        <v>0</v>
      </c>
      <c r="HF4" s="675">
        <v>92579</v>
      </c>
      <c r="HG4" s="675">
        <v>1848</v>
      </c>
      <c r="HH4" s="675">
        <v>0</v>
      </c>
      <c r="HI4" s="675">
        <v>0</v>
      </c>
      <c r="HJ4" s="675">
        <v>875</v>
      </c>
      <c r="HK4" s="675">
        <v>1017</v>
      </c>
      <c r="HL4" s="675">
        <v>203</v>
      </c>
      <c r="HM4" s="675">
        <v>0</v>
      </c>
      <c r="HN4" s="675">
        <v>0</v>
      </c>
      <c r="HO4" s="675">
        <v>0</v>
      </c>
      <c r="HP4" s="675">
        <v>0</v>
      </c>
      <c r="HQ4" s="675">
        <v>0</v>
      </c>
      <c r="HR4" s="675">
        <v>0</v>
      </c>
      <c r="HS4" s="675">
        <v>658108</v>
      </c>
      <c r="HT4" s="675">
        <v>14606</v>
      </c>
      <c r="HU4" s="675">
        <v>228078</v>
      </c>
      <c r="HV4" s="675">
        <v>0</v>
      </c>
      <c r="HW4" s="675">
        <v>0</v>
      </c>
      <c r="HX4" s="675">
        <v>3</v>
      </c>
      <c r="HY4" s="675">
        <v>0</v>
      </c>
      <c r="HZ4" s="675">
        <v>0</v>
      </c>
      <c r="IA4" s="675">
        <v>0</v>
      </c>
      <c r="IB4" s="675">
        <v>0</v>
      </c>
      <c r="IC4" s="675">
        <v>3</v>
      </c>
      <c r="ID4" s="675">
        <v>0</v>
      </c>
      <c r="IE4" s="675">
        <v>0</v>
      </c>
      <c r="IF4" s="675">
        <v>0</v>
      </c>
      <c r="IG4" s="675">
        <v>3</v>
      </c>
      <c r="IH4" s="675">
        <v>0</v>
      </c>
      <c r="II4" s="675">
        <v>0</v>
      </c>
      <c r="IJ4" s="675">
        <v>0</v>
      </c>
      <c r="IK4" s="675">
        <v>0</v>
      </c>
      <c r="IL4" s="675">
        <v>0</v>
      </c>
      <c r="IM4" s="675">
        <v>0</v>
      </c>
      <c r="IN4" s="675">
        <v>0</v>
      </c>
      <c r="IO4" s="675">
        <v>0</v>
      </c>
      <c r="IP4" s="675">
        <v>0</v>
      </c>
      <c r="IQ4" s="675">
        <v>0</v>
      </c>
      <c r="IR4" s="675">
        <v>0</v>
      </c>
      <c r="IS4" s="675">
        <v>0</v>
      </c>
      <c r="IT4" s="675">
        <v>0</v>
      </c>
      <c r="IU4" s="675">
        <v>0</v>
      </c>
      <c r="IV4" s="675">
        <v>0</v>
      </c>
      <c r="IW4" s="675">
        <v>6160</v>
      </c>
      <c r="IX4" s="675">
        <v>0</v>
      </c>
      <c r="IY4" s="675">
        <v>0</v>
      </c>
      <c r="IZ4" s="675">
        <v>0</v>
      </c>
      <c r="JA4" s="675">
        <v>0</v>
      </c>
      <c r="JB4" s="675">
        <v>0</v>
      </c>
      <c r="JC4" s="675">
        <v>0</v>
      </c>
      <c r="JD4" s="675">
        <v>0</v>
      </c>
      <c r="JE4" s="675">
        <v>0</v>
      </c>
      <c r="JF4" s="675">
        <v>0</v>
      </c>
      <c r="JG4" s="675">
        <v>0</v>
      </c>
      <c r="JH4" s="675">
        <v>0</v>
      </c>
      <c r="JI4" s="675">
        <v>0</v>
      </c>
      <c r="JJ4" s="675">
        <v>0</v>
      </c>
      <c r="JK4" s="675">
        <v>0</v>
      </c>
      <c r="JL4" s="675">
        <v>0</v>
      </c>
      <c r="JM4" s="675">
        <v>0</v>
      </c>
      <c r="JN4" s="675">
        <v>32469</v>
      </c>
      <c r="JO4" s="675">
        <v>0</v>
      </c>
      <c r="JP4" s="675">
        <v>0</v>
      </c>
      <c r="JQ4" s="675">
        <v>0</v>
      </c>
      <c r="JR4" s="675">
        <v>0</v>
      </c>
      <c r="JS4" s="675">
        <v>0</v>
      </c>
      <c r="JT4" s="675">
        <v>0</v>
      </c>
      <c r="JU4" s="675">
        <v>0</v>
      </c>
      <c r="JV4" s="675">
        <v>228078</v>
      </c>
      <c r="JW4" s="675">
        <v>0</v>
      </c>
      <c r="JX4" s="675">
        <v>0</v>
      </c>
      <c r="JY4" s="675">
        <v>0</v>
      </c>
      <c r="JZ4" s="675">
        <v>0</v>
      </c>
      <c r="KA4" s="675">
        <v>0</v>
      </c>
      <c r="KB4" s="675">
        <v>0</v>
      </c>
      <c r="KC4" s="675">
        <v>0</v>
      </c>
      <c r="KD4" s="675">
        <v>0</v>
      </c>
      <c r="KE4" s="675">
        <v>7260</v>
      </c>
      <c r="KF4" s="675">
        <v>0</v>
      </c>
      <c r="KG4" s="675">
        <v>0</v>
      </c>
      <c r="KH4" s="675">
        <v>0</v>
      </c>
      <c r="KI4" s="675">
        <v>0</v>
      </c>
    </row>
    <row r="5" spans="1:295" ht="12.5" x14ac:dyDescent="0.25">
      <c r="A5" s="675">
        <v>35795</v>
      </c>
      <c r="B5" s="675">
        <v>101803</v>
      </c>
      <c r="C5" s="675">
        <v>9</v>
      </c>
      <c r="D5" s="675">
        <v>2022</v>
      </c>
      <c r="E5" s="675">
        <v>6160</v>
      </c>
      <c r="F5" s="675">
        <v>0</v>
      </c>
      <c r="G5" s="675">
        <v>1145.4680000000001</v>
      </c>
      <c r="H5" s="675">
        <v>1122.1200000000001</v>
      </c>
      <c r="I5" s="675">
        <v>1122.1200000000001</v>
      </c>
      <c r="J5" s="675">
        <v>1145.4680000000001</v>
      </c>
      <c r="K5" s="675">
        <v>0</v>
      </c>
      <c r="L5" s="675">
        <v>6160</v>
      </c>
      <c r="M5" s="675">
        <v>0</v>
      </c>
      <c r="N5" s="675">
        <v>0</v>
      </c>
      <c r="O5" s="675">
        <v>0</v>
      </c>
      <c r="P5" s="675">
        <v>1026.797</v>
      </c>
      <c r="Q5" s="675">
        <v>0</v>
      </c>
      <c r="R5" s="675">
        <v>413212</v>
      </c>
      <c r="S5" s="675">
        <v>402.428</v>
      </c>
      <c r="T5" s="675">
        <v>0</v>
      </c>
      <c r="U5" s="675">
        <v>219735</v>
      </c>
      <c r="V5" s="675">
        <v>32.65</v>
      </c>
      <c r="W5" s="675">
        <v>25815</v>
      </c>
      <c r="X5" s="675">
        <v>25815</v>
      </c>
      <c r="Y5" s="675">
        <v>0</v>
      </c>
      <c r="Z5" s="675">
        <v>0</v>
      </c>
      <c r="AA5" s="675">
        <v>0</v>
      </c>
      <c r="AB5" s="675">
        <v>0</v>
      </c>
      <c r="AC5" s="675">
        <v>0</v>
      </c>
      <c r="AD5" s="675" t="s">
        <v>316</v>
      </c>
      <c r="AE5" s="675">
        <v>0</v>
      </c>
      <c r="AF5" s="675">
        <v>0</v>
      </c>
      <c r="AG5" s="675">
        <v>0</v>
      </c>
      <c r="AH5" s="675">
        <v>0</v>
      </c>
      <c r="AI5" s="675">
        <v>0</v>
      </c>
      <c r="AJ5" s="675">
        <v>6160</v>
      </c>
      <c r="AK5" s="675" t="s">
        <v>671</v>
      </c>
      <c r="AL5" s="675" t="s">
        <v>92</v>
      </c>
      <c r="AM5" s="675">
        <v>0</v>
      </c>
      <c r="AN5" s="675">
        <v>0</v>
      </c>
      <c r="AO5" s="675">
        <v>0</v>
      </c>
      <c r="AP5" s="675">
        <v>0</v>
      </c>
      <c r="AQ5" s="675">
        <v>0</v>
      </c>
      <c r="AR5" s="675">
        <v>0</v>
      </c>
      <c r="AS5" s="675">
        <v>0</v>
      </c>
      <c r="AT5" s="675">
        <v>0</v>
      </c>
      <c r="AU5" s="675">
        <v>0</v>
      </c>
      <c r="AV5" s="675">
        <v>-223005</v>
      </c>
      <c r="AW5" s="675">
        <v>10383186</v>
      </c>
      <c r="AX5" s="675">
        <v>9965746</v>
      </c>
      <c r="AY5" s="675">
        <v>7296500</v>
      </c>
      <c r="AZ5" s="675">
        <v>413212</v>
      </c>
      <c r="BA5" s="675">
        <v>0</v>
      </c>
      <c r="BB5" s="675">
        <v>0</v>
      </c>
      <c r="BC5" s="675">
        <v>0</v>
      </c>
      <c r="BD5" s="675">
        <v>0</v>
      </c>
      <c r="BE5" s="675">
        <v>0</v>
      </c>
      <c r="BF5" s="675">
        <v>9218502</v>
      </c>
      <c r="BG5" s="675">
        <v>0</v>
      </c>
      <c r="BH5" s="675">
        <v>0</v>
      </c>
      <c r="BI5" s="675">
        <v>0</v>
      </c>
      <c r="BJ5" s="675">
        <v>12</v>
      </c>
      <c r="BK5" s="675">
        <v>0</v>
      </c>
      <c r="BL5" s="675">
        <v>0</v>
      </c>
      <c r="BM5" s="675">
        <v>0</v>
      </c>
      <c r="BN5" s="675">
        <v>0</v>
      </c>
      <c r="BO5" s="675">
        <v>0</v>
      </c>
      <c r="BP5" s="675">
        <v>0</v>
      </c>
      <c r="BQ5" s="675">
        <v>597</v>
      </c>
      <c r="BR5" s="675">
        <v>0</v>
      </c>
      <c r="BS5" s="675">
        <v>0</v>
      </c>
      <c r="BT5" s="675">
        <v>0</v>
      </c>
      <c r="BU5" s="675">
        <v>0</v>
      </c>
      <c r="BV5" s="675">
        <v>0</v>
      </c>
      <c r="BW5" s="675">
        <v>0</v>
      </c>
      <c r="BX5" s="675">
        <v>0</v>
      </c>
      <c r="BY5" s="675">
        <v>0</v>
      </c>
      <c r="BZ5" s="675">
        <v>0</v>
      </c>
      <c r="CA5" s="675">
        <v>30.875</v>
      </c>
      <c r="CB5" s="675">
        <v>26329</v>
      </c>
      <c r="CC5" s="675">
        <v>0</v>
      </c>
      <c r="CD5" s="675">
        <v>0</v>
      </c>
      <c r="CE5" s="675">
        <v>0</v>
      </c>
      <c r="CF5" s="675">
        <v>0</v>
      </c>
      <c r="CG5" s="675">
        <v>0</v>
      </c>
      <c r="CH5" s="675">
        <v>420509</v>
      </c>
      <c r="CI5" s="675">
        <v>0</v>
      </c>
      <c r="CJ5" s="675">
        <v>5</v>
      </c>
      <c r="CK5" s="675">
        <v>0</v>
      </c>
      <c r="CL5" s="675">
        <v>0</v>
      </c>
      <c r="CM5" s="675">
        <v>0</v>
      </c>
      <c r="CN5" s="675">
        <v>0</v>
      </c>
      <c r="CO5" s="675">
        <v>1</v>
      </c>
      <c r="CP5" s="675">
        <v>0</v>
      </c>
      <c r="CQ5" s="675">
        <v>0</v>
      </c>
      <c r="CR5" s="675">
        <v>1031.915</v>
      </c>
      <c r="CS5" s="675">
        <v>0</v>
      </c>
      <c r="CT5" s="675">
        <v>0</v>
      </c>
      <c r="CU5" s="675">
        <v>0</v>
      </c>
      <c r="CV5" s="675">
        <v>0</v>
      </c>
      <c r="CW5" s="675">
        <v>0</v>
      </c>
      <c r="CX5" s="675">
        <v>0</v>
      </c>
      <c r="CY5" s="675">
        <v>0</v>
      </c>
      <c r="CZ5" s="675">
        <v>0</v>
      </c>
      <c r="DA5" s="675">
        <v>0</v>
      </c>
      <c r="DB5" s="675">
        <v>6912227</v>
      </c>
      <c r="DC5" s="675">
        <v>0</v>
      </c>
      <c r="DD5" s="675">
        <v>0</v>
      </c>
      <c r="DE5" s="675">
        <v>110802</v>
      </c>
      <c r="DF5" s="675">
        <v>110802</v>
      </c>
      <c r="DG5" s="675">
        <v>17.988</v>
      </c>
      <c r="DH5" s="675">
        <v>0</v>
      </c>
      <c r="DI5" s="675">
        <v>0</v>
      </c>
      <c r="DJ5" s="675">
        <v>0</v>
      </c>
      <c r="DK5" s="675">
        <v>1177</v>
      </c>
      <c r="DL5" s="675">
        <v>0</v>
      </c>
      <c r="DM5" s="675">
        <v>805766</v>
      </c>
      <c r="DN5" s="675">
        <v>3069</v>
      </c>
      <c r="DO5" s="675">
        <v>0</v>
      </c>
      <c r="DP5" s="675">
        <v>0</v>
      </c>
      <c r="DQ5" s="675">
        <v>0</v>
      </c>
      <c r="DR5" s="675">
        <v>0</v>
      </c>
      <c r="DS5" s="675">
        <v>0</v>
      </c>
      <c r="DT5" s="675">
        <v>0</v>
      </c>
      <c r="DU5" s="675">
        <v>0</v>
      </c>
      <c r="DV5" s="675">
        <v>0</v>
      </c>
      <c r="DW5" s="675">
        <v>0</v>
      </c>
      <c r="DX5" s="675">
        <v>0</v>
      </c>
      <c r="DY5" s="675">
        <v>0</v>
      </c>
      <c r="DZ5" s="675">
        <v>0</v>
      </c>
      <c r="EA5" s="675">
        <v>0</v>
      </c>
      <c r="EB5" s="675">
        <v>0</v>
      </c>
      <c r="EC5" s="675">
        <v>56.76</v>
      </c>
      <c r="ED5" s="675">
        <v>402086</v>
      </c>
      <c r="EE5" s="675">
        <v>0</v>
      </c>
      <c r="EF5" s="675">
        <v>0</v>
      </c>
      <c r="EG5" s="675">
        <v>0</v>
      </c>
      <c r="EH5" s="675">
        <v>406749</v>
      </c>
      <c r="EI5" s="675">
        <v>0</v>
      </c>
      <c r="EJ5" s="675">
        <v>0</v>
      </c>
      <c r="EK5" s="675">
        <v>16.734999999999999</v>
      </c>
      <c r="EL5" s="675">
        <v>0</v>
      </c>
      <c r="EM5" s="675">
        <v>1.2970000000000002</v>
      </c>
      <c r="EN5" s="675">
        <v>2.387</v>
      </c>
      <c r="EO5" s="675">
        <v>0</v>
      </c>
      <c r="EP5" s="675">
        <v>0</v>
      </c>
      <c r="EQ5" s="675">
        <v>20.419</v>
      </c>
      <c r="ER5" s="675">
        <v>0</v>
      </c>
      <c r="ES5" s="675">
        <v>66.031000000000006</v>
      </c>
      <c r="ET5" s="675">
        <v>0</v>
      </c>
      <c r="EU5" s="675">
        <v>0</v>
      </c>
      <c r="EV5" s="675">
        <v>0</v>
      </c>
      <c r="EW5" s="675">
        <v>0</v>
      </c>
      <c r="EX5" s="675">
        <v>0</v>
      </c>
      <c r="EY5" s="675">
        <v>0</v>
      </c>
      <c r="EZ5" s="675">
        <v>8834085</v>
      </c>
      <c r="FA5" s="675">
        <v>0</v>
      </c>
      <c r="FB5" s="675">
        <v>9244228</v>
      </c>
      <c r="FC5" s="675">
        <v>0</v>
      </c>
      <c r="FD5" s="675">
        <v>0</v>
      </c>
      <c r="FE5" s="675">
        <v>937710</v>
      </c>
      <c r="FF5" s="675">
        <v>193951</v>
      </c>
      <c r="FG5" s="675">
        <v>6.3574999999999993E-2</v>
      </c>
      <c r="FH5" s="675">
        <v>2.6298999999999999E-2</v>
      </c>
      <c r="FI5" s="675">
        <v>0</v>
      </c>
      <c r="FJ5" s="675">
        <v>0</v>
      </c>
      <c r="FK5" s="675">
        <v>1496.5170000000001</v>
      </c>
      <c r="FL5" s="675">
        <v>10796398</v>
      </c>
      <c r="FM5" s="675">
        <v>0</v>
      </c>
      <c r="FN5" s="675">
        <v>0</v>
      </c>
      <c r="FO5" s="675">
        <v>0</v>
      </c>
      <c r="FP5" s="675">
        <v>0</v>
      </c>
      <c r="FQ5" s="675">
        <v>0</v>
      </c>
      <c r="FR5" s="675">
        <v>0</v>
      </c>
      <c r="FS5" s="675">
        <v>0</v>
      </c>
      <c r="FT5" s="675">
        <v>0</v>
      </c>
      <c r="FU5" s="675">
        <v>0</v>
      </c>
      <c r="FV5" s="675">
        <v>0</v>
      </c>
      <c r="FW5" s="675">
        <v>0</v>
      </c>
      <c r="FX5" s="675">
        <v>0</v>
      </c>
      <c r="FY5" s="675">
        <v>0</v>
      </c>
      <c r="FZ5" s="675">
        <v>0</v>
      </c>
      <c r="GA5" s="675">
        <v>0</v>
      </c>
      <c r="GB5" s="675">
        <v>23391</v>
      </c>
      <c r="GC5" s="675">
        <v>23391</v>
      </c>
      <c r="GD5" s="675">
        <v>2.9290000000000003</v>
      </c>
      <c r="GE5" s="675">
        <v>0</v>
      </c>
      <c r="GF5" s="675">
        <v>0</v>
      </c>
      <c r="GG5" s="675">
        <v>0</v>
      </c>
      <c r="GH5" s="675">
        <v>0</v>
      </c>
      <c r="GI5" s="675">
        <v>0</v>
      </c>
      <c r="GJ5" s="675">
        <v>0</v>
      </c>
      <c r="GK5" s="675">
        <v>0</v>
      </c>
      <c r="GL5" s="675">
        <v>0</v>
      </c>
      <c r="GM5" s="675">
        <v>0</v>
      </c>
      <c r="GN5" s="675">
        <v>0</v>
      </c>
      <c r="GO5" s="675">
        <v>0</v>
      </c>
      <c r="GP5" s="675">
        <v>0</v>
      </c>
      <c r="GQ5" s="675">
        <v>0</v>
      </c>
      <c r="GR5" s="675">
        <v>0</v>
      </c>
      <c r="GS5" s="675">
        <v>0</v>
      </c>
      <c r="GT5" s="675">
        <v>0</v>
      </c>
      <c r="GU5" s="675">
        <v>0</v>
      </c>
      <c r="GV5" s="675">
        <v>0</v>
      </c>
      <c r="GW5" s="675">
        <v>0</v>
      </c>
      <c r="GX5" s="675">
        <v>0</v>
      </c>
      <c r="GY5" s="675">
        <v>0</v>
      </c>
      <c r="GZ5" s="675">
        <v>0</v>
      </c>
      <c r="HA5" s="675">
        <v>0</v>
      </c>
      <c r="HB5" s="675">
        <v>298386780</v>
      </c>
      <c r="HC5" s="675">
        <v>4.5690999999999996E-2</v>
      </c>
      <c r="HD5" s="675">
        <v>209349</v>
      </c>
      <c r="HE5" s="675">
        <v>0</v>
      </c>
      <c r="HF5" s="675">
        <v>1234332</v>
      </c>
      <c r="HG5" s="675">
        <v>17248</v>
      </c>
      <c r="HH5" s="675">
        <v>48718</v>
      </c>
      <c r="HI5" s="675">
        <v>0</v>
      </c>
      <c r="HJ5" s="675">
        <v>11134</v>
      </c>
      <c r="HK5" s="675">
        <v>2466</v>
      </c>
      <c r="HL5" s="675">
        <v>0</v>
      </c>
      <c r="HM5" s="675">
        <v>26000</v>
      </c>
      <c r="HN5" s="675">
        <v>0</v>
      </c>
      <c r="HO5" s="675">
        <v>0</v>
      </c>
      <c r="HP5" s="675">
        <v>0</v>
      </c>
      <c r="HQ5" s="675">
        <v>0</v>
      </c>
      <c r="HR5" s="675">
        <v>0</v>
      </c>
      <c r="HS5" s="675">
        <v>8831016</v>
      </c>
      <c r="HT5" s="675">
        <v>193951</v>
      </c>
      <c r="HU5" s="675">
        <v>211160</v>
      </c>
      <c r="HV5" s="675">
        <v>0</v>
      </c>
      <c r="HW5" s="675">
        <v>0</v>
      </c>
      <c r="HX5" s="675">
        <v>28</v>
      </c>
      <c r="HY5" s="675">
        <v>31</v>
      </c>
      <c r="HZ5" s="675">
        <v>11</v>
      </c>
      <c r="IA5" s="675">
        <v>6</v>
      </c>
      <c r="IB5" s="675">
        <v>0</v>
      </c>
      <c r="IC5" s="675">
        <v>76</v>
      </c>
      <c r="ID5" s="675">
        <v>0</v>
      </c>
      <c r="IE5" s="675">
        <v>6.1720000000000006</v>
      </c>
      <c r="IF5" s="675">
        <v>0</v>
      </c>
      <c r="IG5" s="675">
        <v>28</v>
      </c>
      <c r="IH5" s="675">
        <v>79.088000000000008</v>
      </c>
      <c r="II5" s="675">
        <v>0</v>
      </c>
      <c r="IJ5" s="675">
        <v>38.822000000000003</v>
      </c>
      <c r="IK5" s="675">
        <v>0</v>
      </c>
      <c r="IL5" s="675">
        <v>1</v>
      </c>
      <c r="IM5" s="675">
        <v>7</v>
      </c>
      <c r="IN5" s="675">
        <v>0</v>
      </c>
      <c r="IO5" s="675">
        <v>8</v>
      </c>
      <c r="IP5" s="675">
        <v>0</v>
      </c>
      <c r="IQ5" s="675">
        <v>32.65</v>
      </c>
      <c r="IR5" s="675">
        <v>20112</v>
      </c>
      <c r="IS5" s="675">
        <v>0</v>
      </c>
      <c r="IT5" s="675">
        <v>5000</v>
      </c>
      <c r="IU5" s="675">
        <v>21000</v>
      </c>
      <c r="IV5" s="675">
        <v>0</v>
      </c>
      <c r="IW5" s="675">
        <v>6160</v>
      </c>
      <c r="IX5" s="675">
        <v>5703</v>
      </c>
      <c r="IY5" s="675">
        <v>0</v>
      </c>
      <c r="IZ5" s="675">
        <v>0</v>
      </c>
      <c r="JA5" s="675">
        <v>0</v>
      </c>
      <c r="JB5" s="675">
        <v>0</v>
      </c>
      <c r="JC5" s="675">
        <v>0</v>
      </c>
      <c r="JD5" s="675">
        <v>0</v>
      </c>
      <c r="JE5" s="675">
        <v>0</v>
      </c>
      <c r="JF5" s="675">
        <v>0</v>
      </c>
      <c r="JG5" s="675">
        <v>0</v>
      </c>
      <c r="JH5" s="675">
        <v>0</v>
      </c>
      <c r="JI5" s="675">
        <v>0</v>
      </c>
      <c r="JJ5" s="675">
        <v>0</v>
      </c>
      <c r="JK5" s="675">
        <v>0</v>
      </c>
      <c r="JL5" s="675">
        <v>0</v>
      </c>
      <c r="JM5" s="675">
        <v>0</v>
      </c>
      <c r="JN5" s="675">
        <v>32469</v>
      </c>
      <c r="JO5" s="675">
        <v>2.9290000000000003</v>
      </c>
      <c r="JP5" s="675">
        <v>0</v>
      </c>
      <c r="JQ5" s="675">
        <v>0</v>
      </c>
      <c r="JR5" s="675">
        <v>23391</v>
      </c>
      <c r="JS5" s="675">
        <v>0</v>
      </c>
      <c r="JT5" s="675">
        <v>0</v>
      </c>
      <c r="JU5" s="675">
        <v>0</v>
      </c>
      <c r="JV5" s="675">
        <v>211160</v>
      </c>
      <c r="JW5" s="675">
        <v>0</v>
      </c>
      <c r="JX5" s="675">
        <v>0</v>
      </c>
      <c r="JY5" s="675">
        <v>0</v>
      </c>
      <c r="JZ5" s="675">
        <v>0</v>
      </c>
      <c r="KA5" s="675">
        <v>0</v>
      </c>
      <c r="KB5" s="675">
        <v>0</v>
      </c>
      <c r="KC5" s="675">
        <v>0</v>
      </c>
      <c r="KD5" s="675">
        <v>0</v>
      </c>
      <c r="KE5" s="675">
        <v>7260</v>
      </c>
      <c r="KF5" s="675">
        <v>0</v>
      </c>
      <c r="KG5" s="675">
        <v>0</v>
      </c>
      <c r="KH5" s="675">
        <v>0</v>
      </c>
      <c r="KI5" s="675">
        <v>0</v>
      </c>
    </row>
    <row r="6" spans="1:295" ht="12.5" x14ac:dyDescent="0.25">
      <c r="A6" s="675">
        <v>35795</v>
      </c>
      <c r="B6" s="675">
        <v>15808</v>
      </c>
      <c r="C6" s="675">
        <v>9</v>
      </c>
      <c r="D6" s="675">
        <v>2022</v>
      </c>
      <c r="E6" s="675">
        <v>6160</v>
      </c>
      <c r="F6" s="675">
        <v>0</v>
      </c>
      <c r="G6" s="675">
        <v>575.07299999999998</v>
      </c>
      <c r="H6" s="675">
        <v>506.60700000000003</v>
      </c>
      <c r="I6" s="675">
        <v>506.60700000000003</v>
      </c>
      <c r="J6" s="675">
        <v>575.07299999999998</v>
      </c>
      <c r="K6" s="675">
        <v>0</v>
      </c>
      <c r="L6" s="675">
        <v>6160</v>
      </c>
      <c r="M6" s="675">
        <v>0</v>
      </c>
      <c r="N6" s="675">
        <v>0</v>
      </c>
      <c r="O6" s="675">
        <v>0</v>
      </c>
      <c r="P6" s="675">
        <v>525.74700000000007</v>
      </c>
      <c r="Q6" s="675">
        <v>0</v>
      </c>
      <c r="R6" s="675">
        <v>211575</v>
      </c>
      <c r="S6" s="675">
        <v>402.428</v>
      </c>
      <c r="T6" s="675">
        <v>0</v>
      </c>
      <c r="U6" s="675">
        <v>112510</v>
      </c>
      <c r="V6" s="675">
        <v>12.305</v>
      </c>
      <c r="W6" s="675">
        <v>7580</v>
      </c>
      <c r="X6" s="675">
        <v>7580</v>
      </c>
      <c r="Y6" s="675">
        <v>0</v>
      </c>
      <c r="Z6" s="675">
        <v>0</v>
      </c>
      <c r="AA6" s="675">
        <v>0</v>
      </c>
      <c r="AB6" s="675">
        <v>0</v>
      </c>
      <c r="AC6" s="675">
        <v>0</v>
      </c>
      <c r="AD6" s="675" t="s">
        <v>316</v>
      </c>
      <c r="AE6" s="675">
        <v>0</v>
      </c>
      <c r="AF6" s="675">
        <v>0</v>
      </c>
      <c r="AG6" s="675">
        <v>0</v>
      </c>
      <c r="AH6" s="675">
        <v>0</v>
      </c>
      <c r="AI6" s="675">
        <v>0</v>
      </c>
      <c r="AJ6" s="675">
        <v>6160</v>
      </c>
      <c r="AK6" s="675" t="s">
        <v>671</v>
      </c>
      <c r="AL6" s="675" t="s">
        <v>444</v>
      </c>
      <c r="AM6" s="675">
        <v>0</v>
      </c>
      <c r="AN6" s="675">
        <v>0</v>
      </c>
      <c r="AO6" s="675">
        <v>0</v>
      </c>
      <c r="AP6" s="675">
        <v>0</v>
      </c>
      <c r="AQ6" s="675">
        <v>0</v>
      </c>
      <c r="AR6" s="675">
        <v>0</v>
      </c>
      <c r="AS6" s="675">
        <v>0</v>
      </c>
      <c r="AT6" s="675">
        <v>0</v>
      </c>
      <c r="AU6" s="675">
        <v>0</v>
      </c>
      <c r="AV6" s="675">
        <v>-1647</v>
      </c>
      <c r="AW6" s="675">
        <v>6604179</v>
      </c>
      <c r="AX6" s="675">
        <v>6324152</v>
      </c>
      <c r="AY6" s="675">
        <v>4436603</v>
      </c>
      <c r="AZ6" s="675">
        <v>211575</v>
      </c>
      <c r="BA6" s="675">
        <v>0</v>
      </c>
      <c r="BB6" s="675">
        <v>0</v>
      </c>
      <c r="BC6" s="675">
        <v>0</v>
      </c>
      <c r="BD6" s="675">
        <v>0</v>
      </c>
      <c r="BE6" s="675">
        <v>0</v>
      </c>
      <c r="BF6" s="675">
        <v>5699125</v>
      </c>
      <c r="BG6" s="675">
        <v>0</v>
      </c>
      <c r="BH6" s="675">
        <v>0</v>
      </c>
      <c r="BI6" s="675">
        <v>0</v>
      </c>
      <c r="BJ6" s="675">
        <v>12</v>
      </c>
      <c r="BK6" s="675">
        <v>0</v>
      </c>
      <c r="BL6" s="675">
        <v>0</v>
      </c>
      <c r="BM6" s="675">
        <v>0</v>
      </c>
      <c r="BN6" s="675">
        <v>0</v>
      </c>
      <c r="BO6" s="675">
        <v>0</v>
      </c>
      <c r="BP6" s="675">
        <v>0</v>
      </c>
      <c r="BQ6" s="675">
        <v>692</v>
      </c>
      <c r="BR6" s="675">
        <v>0</v>
      </c>
      <c r="BS6" s="675">
        <v>0</v>
      </c>
      <c r="BT6" s="675">
        <v>0</v>
      </c>
      <c r="BU6" s="675">
        <v>0</v>
      </c>
      <c r="BV6" s="675">
        <v>0</v>
      </c>
      <c r="BW6" s="675">
        <v>0</v>
      </c>
      <c r="BX6" s="675">
        <v>0</v>
      </c>
      <c r="BY6" s="675">
        <v>0</v>
      </c>
      <c r="BZ6" s="675">
        <v>0</v>
      </c>
      <c r="CA6" s="675">
        <v>0</v>
      </c>
      <c r="CB6" s="675">
        <v>0</v>
      </c>
      <c r="CC6" s="675">
        <v>0</v>
      </c>
      <c r="CD6" s="675">
        <v>0</v>
      </c>
      <c r="CE6" s="675">
        <v>0</v>
      </c>
      <c r="CF6" s="675">
        <v>0</v>
      </c>
      <c r="CG6" s="675">
        <v>0</v>
      </c>
      <c r="CH6" s="675">
        <v>284040</v>
      </c>
      <c r="CI6" s="675">
        <v>0</v>
      </c>
      <c r="CJ6" s="675">
        <v>4</v>
      </c>
      <c r="CK6" s="675">
        <v>0</v>
      </c>
      <c r="CL6" s="675">
        <v>0</v>
      </c>
      <c r="CM6" s="675">
        <v>0</v>
      </c>
      <c r="CN6" s="675">
        <v>0</v>
      </c>
      <c r="CO6" s="675">
        <v>1</v>
      </c>
      <c r="CP6" s="675">
        <v>0</v>
      </c>
      <c r="CQ6" s="675">
        <v>0</v>
      </c>
      <c r="CR6" s="675">
        <v>562.26400000000001</v>
      </c>
      <c r="CS6" s="675">
        <v>0</v>
      </c>
      <c r="CT6" s="675">
        <v>0</v>
      </c>
      <c r="CU6" s="675">
        <v>0</v>
      </c>
      <c r="CV6" s="675">
        <v>0</v>
      </c>
      <c r="CW6" s="675">
        <v>0</v>
      </c>
      <c r="CX6" s="675">
        <v>0</v>
      </c>
      <c r="CY6" s="675">
        <v>0</v>
      </c>
      <c r="CZ6" s="675">
        <v>0</v>
      </c>
      <c r="DA6" s="675">
        <v>0</v>
      </c>
      <c r="DB6" s="675">
        <v>151072</v>
      </c>
      <c r="DC6" s="675">
        <v>0</v>
      </c>
      <c r="DD6" s="675">
        <v>0</v>
      </c>
      <c r="DE6" s="675">
        <v>582733</v>
      </c>
      <c r="DF6" s="675">
        <v>582733</v>
      </c>
      <c r="DG6" s="675">
        <v>94.600000000000009</v>
      </c>
      <c r="DH6" s="675">
        <v>0</v>
      </c>
      <c r="DI6" s="675">
        <v>0</v>
      </c>
      <c r="DJ6" s="675">
        <v>0</v>
      </c>
      <c r="DK6" s="675">
        <v>2694</v>
      </c>
      <c r="DL6" s="675">
        <v>0</v>
      </c>
      <c r="DM6" s="675">
        <v>4023092</v>
      </c>
      <c r="DN6" s="675">
        <v>4013</v>
      </c>
      <c r="DO6" s="675">
        <v>0</v>
      </c>
      <c r="DP6" s="675">
        <v>0</v>
      </c>
      <c r="DQ6" s="675">
        <v>0</v>
      </c>
      <c r="DR6" s="675">
        <v>0</v>
      </c>
      <c r="DS6" s="675">
        <v>0</v>
      </c>
      <c r="DT6" s="675">
        <v>0</v>
      </c>
      <c r="DU6" s="675">
        <v>0</v>
      </c>
      <c r="DV6" s="675">
        <v>0</v>
      </c>
      <c r="DW6" s="675">
        <v>0</v>
      </c>
      <c r="DX6" s="675">
        <v>0</v>
      </c>
      <c r="DY6" s="675">
        <v>0</v>
      </c>
      <c r="DZ6" s="675">
        <v>0</v>
      </c>
      <c r="EA6" s="675">
        <v>1.1000000000000001E-2</v>
      </c>
      <c r="EB6" s="675">
        <v>0</v>
      </c>
      <c r="EC6" s="675">
        <v>30.583000000000002</v>
      </c>
      <c r="ED6" s="675">
        <v>216649</v>
      </c>
      <c r="EE6" s="675">
        <v>0</v>
      </c>
      <c r="EF6" s="675">
        <v>0</v>
      </c>
      <c r="EG6" s="675">
        <v>0</v>
      </c>
      <c r="EH6" s="675">
        <v>200181</v>
      </c>
      <c r="EI6" s="675">
        <v>640662</v>
      </c>
      <c r="EJ6" s="675">
        <v>26.001000000000001</v>
      </c>
      <c r="EK6" s="675">
        <v>8.9740000000000002</v>
      </c>
      <c r="EL6" s="675">
        <v>0</v>
      </c>
      <c r="EM6" s="675">
        <v>0</v>
      </c>
      <c r="EN6" s="675">
        <v>1.1040000000000001</v>
      </c>
      <c r="EO6" s="675">
        <v>0</v>
      </c>
      <c r="EP6" s="675">
        <v>0</v>
      </c>
      <c r="EQ6" s="675">
        <v>36.090000000000003</v>
      </c>
      <c r="ER6" s="675">
        <v>0</v>
      </c>
      <c r="ES6" s="675">
        <v>32.497</v>
      </c>
      <c r="ET6" s="675">
        <v>0</v>
      </c>
      <c r="EU6" s="675">
        <v>0</v>
      </c>
      <c r="EV6" s="675">
        <v>0</v>
      </c>
      <c r="EW6" s="675">
        <v>0</v>
      </c>
      <c r="EX6" s="675">
        <v>0</v>
      </c>
      <c r="EY6" s="675">
        <v>0</v>
      </c>
      <c r="EZ6" s="675">
        <v>5624528</v>
      </c>
      <c r="FA6" s="675">
        <v>0</v>
      </c>
      <c r="FB6" s="675">
        <v>5832090</v>
      </c>
      <c r="FC6" s="675">
        <v>0</v>
      </c>
      <c r="FD6" s="675">
        <v>0</v>
      </c>
      <c r="FE6" s="675">
        <v>579718</v>
      </c>
      <c r="FF6" s="675">
        <v>119906</v>
      </c>
      <c r="FG6" s="675">
        <v>6.3574999999999993E-2</v>
      </c>
      <c r="FH6" s="675">
        <v>2.6298999999999999E-2</v>
      </c>
      <c r="FI6" s="675">
        <v>0</v>
      </c>
      <c r="FJ6" s="675">
        <v>0</v>
      </c>
      <c r="FK6" s="675">
        <v>925.18700000000001</v>
      </c>
      <c r="FL6" s="675">
        <v>6815754</v>
      </c>
      <c r="FM6" s="675">
        <v>0</v>
      </c>
      <c r="FN6" s="675">
        <v>0</v>
      </c>
      <c r="FO6" s="675">
        <v>0</v>
      </c>
      <c r="FP6" s="675">
        <v>0</v>
      </c>
      <c r="FQ6" s="675">
        <v>0</v>
      </c>
      <c r="FR6" s="675">
        <v>0</v>
      </c>
      <c r="FS6" s="675">
        <v>0</v>
      </c>
      <c r="FT6" s="675">
        <v>0</v>
      </c>
      <c r="FU6" s="675">
        <v>0</v>
      </c>
      <c r="FV6" s="675">
        <v>0</v>
      </c>
      <c r="FW6" s="675">
        <v>0</v>
      </c>
      <c r="FX6" s="675">
        <v>0</v>
      </c>
      <c r="FY6" s="675">
        <v>0</v>
      </c>
      <c r="FZ6" s="675">
        <v>0</v>
      </c>
      <c r="GA6" s="675">
        <v>0</v>
      </c>
      <c r="GB6" s="675">
        <v>318277</v>
      </c>
      <c r="GC6" s="675">
        <v>318277</v>
      </c>
      <c r="GD6" s="675">
        <v>32.376000000000005</v>
      </c>
      <c r="GE6" s="675">
        <v>0</v>
      </c>
      <c r="GF6" s="675">
        <v>0</v>
      </c>
      <c r="GG6" s="675">
        <v>0</v>
      </c>
      <c r="GH6" s="675">
        <v>0</v>
      </c>
      <c r="GI6" s="675">
        <v>0</v>
      </c>
      <c r="GJ6" s="675">
        <v>0</v>
      </c>
      <c r="GK6" s="675">
        <v>0</v>
      </c>
      <c r="GL6" s="675">
        <v>0</v>
      </c>
      <c r="GM6" s="675">
        <v>0</v>
      </c>
      <c r="GN6" s="675">
        <v>0</v>
      </c>
      <c r="GO6" s="675">
        <v>0</v>
      </c>
      <c r="GP6" s="675">
        <v>0</v>
      </c>
      <c r="GQ6" s="675">
        <v>0</v>
      </c>
      <c r="GR6" s="675">
        <v>0</v>
      </c>
      <c r="GS6" s="675">
        <v>0</v>
      </c>
      <c r="GT6" s="675">
        <v>0</v>
      </c>
      <c r="GU6" s="675">
        <v>0</v>
      </c>
      <c r="GV6" s="675">
        <v>0</v>
      </c>
      <c r="GW6" s="675">
        <v>0</v>
      </c>
      <c r="GX6" s="675">
        <v>0</v>
      </c>
      <c r="GY6" s="675">
        <v>0</v>
      </c>
      <c r="GZ6" s="675">
        <v>0</v>
      </c>
      <c r="HA6" s="675">
        <v>0</v>
      </c>
      <c r="HB6" s="675">
        <v>298386780</v>
      </c>
      <c r="HC6" s="675">
        <v>4.5690999999999996E-2</v>
      </c>
      <c r="HD6" s="675">
        <v>105102</v>
      </c>
      <c r="HE6" s="675">
        <v>0</v>
      </c>
      <c r="HF6" s="675">
        <v>557268</v>
      </c>
      <c r="HG6" s="675">
        <v>7058</v>
      </c>
      <c r="HH6" s="675">
        <v>42442</v>
      </c>
      <c r="HI6" s="675">
        <v>0</v>
      </c>
      <c r="HJ6" s="675">
        <v>5590</v>
      </c>
      <c r="HK6" s="675">
        <v>2790</v>
      </c>
      <c r="HL6" s="675">
        <v>43</v>
      </c>
      <c r="HM6" s="675">
        <v>0</v>
      </c>
      <c r="HN6" s="675">
        <v>0</v>
      </c>
      <c r="HO6" s="675">
        <v>0</v>
      </c>
      <c r="HP6" s="675">
        <v>108086</v>
      </c>
      <c r="HQ6" s="675">
        <v>0</v>
      </c>
      <c r="HR6" s="675">
        <v>0</v>
      </c>
      <c r="HS6" s="675">
        <v>5620515</v>
      </c>
      <c r="HT6" s="675">
        <v>119906</v>
      </c>
      <c r="HU6" s="675">
        <v>178938</v>
      </c>
      <c r="HV6" s="675">
        <v>0</v>
      </c>
      <c r="HW6" s="675">
        <v>0</v>
      </c>
      <c r="HX6" s="675">
        <v>119</v>
      </c>
      <c r="HY6" s="675">
        <v>59</v>
      </c>
      <c r="HZ6" s="675">
        <v>95</v>
      </c>
      <c r="IA6" s="675">
        <v>15</v>
      </c>
      <c r="IB6" s="675">
        <v>95</v>
      </c>
      <c r="IC6" s="675">
        <v>383</v>
      </c>
      <c r="ID6" s="675">
        <v>0</v>
      </c>
      <c r="IE6" s="675">
        <v>0</v>
      </c>
      <c r="IF6" s="675">
        <v>0</v>
      </c>
      <c r="IG6" s="675">
        <v>11.458</v>
      </c>
      <c r="IH6" s="675">
        <v>68.900000000000006</v>
      </c>
      <c r="II6" s="675">
        <v>393.03900000000004</v>
      </c>
      <c r="IJ6" s="675">
        <v>12.305</v>
      </c>
      <c r="IK6" s="675">
        <v>94.76</v>
      </c>
      <c r="IL6" s="675">
        <v>0</v>
      </c>
      <c r="IM6" s="675">
        <v>0</v>
      </c>
      <c r="IN6" s="675">
        <v>0</v>
      </c>
      <c r="IO6" s="675">
        <v>0</v>
      </c>
      <c r="IP6" s="675">
        <v>487.79900000000004</v>
      </c>
      <c r="IQ6" s="675">
        <v>12.305</v>
      </c>
      <c r="IR6" s="675">
        <v>7580</v>
      </c>
      <c r="IS6" s="675">
        <v>26059</v>
      </c>
      <c r="IT6" s="675">
        <v>0</v>
      </c>
      <c r="IU6" s="675">
        <v>0</v>
      </c>
      <c r="IV6" s="675">
        <v>0</v>
      </c>
      <c r="IW6" s="675">
        <v>6160</v>
      </c>
      <c r="IX6" s="675">
        <v>0</v>
      </c>
      <c r="IY6" s="675">
        <v>0</v>
      </c>
      <c r="IZ6" s="675">
        <v>134145</v>
      </c>
      <c r="JA6" s="675">
        <v>0</v>
      </c>
      <c r="JB6" s="675">
        <v>0</v>
      </c>
      <c r="JC6" s="675">
        <v>0</v>
      </c>
      <c r="JD6" s="675">
        <v>0</v>
      </c>
      <c r="JE6" s="675">
        <v>0</v>
      </c>
      <c r="JF6" s="675">
        <v>0</v>
      </c>
      <c r="JG6" s="675">
        <v>0</v>
      </c>
      <c r="JH6" s="675">
        <v>0</v>
      </c>
      <c r="JI6" s="675">
        <v>0</v>
      </c>
      <c r="JJ6" s="675">
        <v>0</v>
      </c>
      <c r="JK6" s="675">
        <v>0</v>
      </c>
      <c r="JL6" s="675">
        <v>0</v>
      </c>
      <c r="JM6" s="675">
        <v>0</v>
      </c>
      <c r="JN6" s="675">
        <v>32469</v>
      </c>
      <c r="JO6" s="675">
        <v>0</v>
      </c>
      <c r="JP6" s="675">
        <v>19.752000000000002</v>
      </c>
      <c r="JQ6" s="675">
        <v>12.624000000000001</v>
      </c>
      <c r="JR6" s="675">
        <v>0</v>
      </c>
      <c r="JS6" s="675">
        <v>183551</v>
      </c>
      <c r="JT6" s="675">
        <v>134726</v>
      </c>
      <c r="JU6" s="675">
        <v>0</v>
      </c>
      <c r="JV6" s="675">
        <v>178938</v>
      </c>
      <c r="JW6" s="675">
        <v>0</v>
      </c>
      <c r="JX6" s="675">
        <v>0</v>
      </c>
      <c r="JY6" s="675">
        <v>0</v>
      </c>
      <c r="JZ6" s="675">
        <v>0</v>
      </c>
      <c r="KA6" s="675">
        <v>0</v>
      </c>
      <c r="KB6" s="675">
        <v>0</v>
      </c>
      <c r="KC6" s="675">
        <v>0</v>
      </c>
      <c r="KD6" s="675">
        <v>0</v>
      </c>
      <c r="KE6" s="675">
        <v>7260</v>
      </c>
      <c r="KF6" s="675">
        <v>0</v>
      </c>
      <c r="KG6" s="675">
        <v>0</v>
      </c>
      <c r="KH6" s="675">
        <v>0</v>
      </c>
      <c r="KI6" s="675">
        <v>0</v>
      </c>
    </row>
    <row r="7" spans="1:295" ht="12.5" x14ac:dyDescent="0.25">
      <c r="A7" s="675">
        <v>35795</v>
      </c>
      <c r="B7" s="675">
        <v>123803</v>
      </c>
      <c r="C7" s="675">
        <v>9</v>
      </c>
      <c r="D7" s="675">
        <v>2022</v>
      </c>
      <c r="E7" s="675">
        <v>6160</v>
      </c>
      <c r="F7" s="675">
        <v>0</v>
      </c>
      <c r="G7" s="675">
        <v>375.04700000000003</v>
      </c>
      <c r="H7" s="675">
        <v>367.78300000000002</v>
      </c>
      <c r="I7" s="675">
        <v>367.78300000000002</v>
      </c>
      <c r="J7" s="675">
        <v>375.04700000000003</v>
      </c>
      <c r="K7" s="675">
        <v>0</v>
      </c>
      <c r="L7" s="675">
        <v>6160</v>
      </c>
      <c r="M7" s="675">
        <v>0</v>
      </c>
      <c r="N7" s="675">
        <v>0</v>
      </c>
      <c r="O7" s="675">
        <v>0</v>
      </c>
      <c r="P7" s="675">
        <v>355.07300000000004</v>
      </c>
      <c r="Q7" s="675">
        <v>0</v>
      </c>
      <c r="R7" s="675">
        <v>142891</v>
      </c>
      <c r="S7" s="675">
        <v>402.428</v>
      </c>
      <c r="T7" s="675">
        <v>0</v>
      </c>
      <c r="U7" s="675">
        <v>75986</v>
      </c>
      <c r="V7" s="675">
        <v>0</v>
      </c>
      <c r="W7" s="675">
        <v>0</v>
      </c>
      <c r="X7" s="675">
        <v>0</v>
      </c>
      <c r="Y7" s="675">
        <v>0</v>
      </c>
      <c r="Z7" s="675">
        <v>0</v>
      </c>
      <c r="AA7" s="675">
        <v>0</v>
      </c>
      <c r="AB7" s="675">
        <v>0</v>
      </c>
      <c r="AC7" s="675">
        <v>0</v>
      </c>
      <c r="AD7" s="675" t="s">
        <v>316</v>
      </c>
      <c r="AE7" s="675">
        <v>0</v>
      </c>
      <c r="AF7" s="675">
        <v>0</v>
      </c>
      <c r="AG7" s="675">
        <v>0</v>
      </c>
      <c r="AH7" s="675">
        <v>0</v>
      </c>
      <c r="AI7" s="675">
        <v>0</v>
      </c>
      <c r="AJ7" s="675">
        <v>6160</v>
      </c>
      <c r="AK7" s="675" t="s">
        <v>671</v>
      </c>
      <c r="AL7" s="675" t="s">
        <v>356</v>
      </c>
      <c r="AM7" s="675">
        <v>0</v>
      </c>
      <c r="AN7" s="675">
        <v>0</v>
      </c>
      <c r="AO7" s="675">
        <v>0</v>
      </c>
      <c r="AP7" s="675">
        <v>0</v>
      </c>
      <c r="AQ7" s="675">
        <v>0</v>
      </c>
      <c r="AR7" s="675">
        <v>0</v>
      </c>
      <c r="AS7" s="675">
        <v>0</v>
      </c>
      <c r="AT7" s="675">
        <v>0</v>
      </c>
      <c r="AU7" s="675">
        <v>0</v>
      </c>
      <c r="AV7" s="675">
        <v>-48891</v>
      </c>
      <c r="AW7" s="675">
        <v>3959887</v>
      </c>
      <c r="AX7" s="675">
        <v>3642022</v>
      </c>
      <c r="AY7" s="675">
        <v>2668635</v>
      </c>
      <c r="AZ7" s="675">
        <v>142891</v>
      </c>
      <c r="BA7" s="675">
        <v>0</v>
      </c>
      <c r="BB7" s="675">
        <v>0</v>
      </c>
      <c r="BC7" s="675">
        <v>0</v>
      </c>
      <c r="BD7" s="675">
        <v>0</v>
      </c>
      <c r="BE7" s="675">
        <v>0</v>
      </c>
      <c r="BF7" s="675">
        <v>3352574</v>
      </c>
      <c r="BG7" s="675">
        <v>0</v>
      </c>
      <c r="BH7" s="675">
        <v>0</v>
      </c>
      <c r="BI7" s="675">
        <v>0</v>
      </c>
      <c r="BJ7" s="675">
        <v>12</v>
      </c>
      <c r="BK7" s="675">
        <v>0</v>
      </c>
      <c r="BL7" s="675">
        <v>0</v>
      </c>
      <c r="BM7" s="675">
        <v>0</v>
      </c>
      <c r="BN7" s="675">
        <v>0</v>
      </c>
      <c r="BO7" s="675">
        <v>0</v>
      </c>
      <c r="BP7" s="675">
        <v>0</v>
      </c>
      <c r="BQ7" s="675">
        <v>713</v>
      </c>
      <c r="BR7" s="675">
        <v>0</v>
      </c>
      <c r="BS7" s="675">
        <v>0</v>
      </c>
      <c r="BT7" s="675">
        <v>0</v>
      </c>
      <c r="BU7" s="675">
        <v>0</v>
      </c>
      <c r="BV7" s="675">
        <v>0</v>
      </c>
      <c r="BW7" s="675">
        <v>0</v>
      </c>
      <c r="BX7" s="675">
        <v>0</v>
      </c>
      <c r="BY7" s="675">
        <v>0</v>
      </c>
      <c r="BZ7" s="675">
        <v>0</v>
      </c>
      <c r="CA7" s="675">
        <v>0</v>
      </c>
      <c r="CB7" s="675">
        <v>0</v>
      </c>
      <c r="CC7" s="675">
        <v>0</v>
      </c>
      <c r="CD7" s="675">
        <v>0</v>
      </c>
      <c r="CE7" s="675">
        <v>0</v>
      </c>
      <c r="CF7" s="675">
        <v>0</v>
      </c>
      <c r="CG7" s="675">
        <v>0</v>
      </c>
      <c r="CH7" s="675">
        <v>317951</v>
      </c>
      <c r="CI7" s="675">
        <v>0</v>
      </c>
      <c r="CJ7" s="675">
        <v>4</v>
      </c>
      <c r="CK7" s="675">
        <v>0</v>
      </c>
      <c r="CL7" s="675">
        <v>0</v>
      </c>
      <c r="CM7" s="675">
        <v>0</v>
      </c>
      <c r="CN7" s="675">
        <v>0</v>
      </c>
      <c r="CO7" s="675">
        <v>1</v>
      </c>
      <c r="CP7" s="675">
        <v>0</v>
      </c>
      <c r="CQ7" s="675">
        <v>0</v>
      </c>
      <c r="CR7" s="675">
        <v>377.7</v>
      </c>
      <c r="CS7" s="675">
        <v>0</v>
      </c>
      <c r="CT7" s="675">
        <v>0</v>
      </c>
      <c r="CU7" s="675">
        <v>0</v>
      </c>
      <c r="CV7" s="675">
        <v>0</v>
      </c>
      <c r="CW7" s="675">
        <v>0</v>
      </c>
      <c r="CX7" s="675">
        <v>0</v>
      </c>
      <c r="CY7" s="675">
        <v>0</v>
      </c>
      <c r="CZ7" s="675">
        <v>0</v>
      </c>
      <c r="DA7" s="675">
        <v>0</v>
      </c>
      <c r="DB7" s="675">
        <v>2218861</v>
      </c>
      <c r="DC7" s="675">
        <v>0</v>
      </c>
      <c r="DD7" s="675">
        <v>0</v>
      </c>
      <c r="DE7" s="675">
        <v>531452</v>
      </c>
      <c r="DF7" s="675">
        <v>531452</v>
      </c>
      <c r="DG7" s="675">
        <v>86.275000000000006</v>
      </c>
      <c r="DH7" s="675">
        <v>0</v>
      </c>
      <c r="DI7" s="675">
        <v>0</v>
      </c>
      <c r="DJ7" s="675">
        <v>0</v>
      </c>
      <c r="DK7" s="675">
        <v>3036</v>
      </c>
      <c r="DL7" s="675">
        <v>0</v>
      </c>
      <c r="DM7" s="675">
        <v>69383</v>
      </c>
      <c r="DN7" s="675">
        <v>87</v>
      </c>
      <c r="DO7" s="675">
        <v>0</v>
      </c>
      <c r="DP7" s="675">
        <v>0</v>
      </c>
      <c r="DQ7" s="675">
        <v>0</v>
      </c>
      <c r="DR7" s="675">
        <v>0</v>
      </c>
      <c r="DS7" s="675">
        <v>0</v>
      </c>
      <c r="DT7" s="675">
        <v>0</v>
      </c>
      <c r="DU7" s="675">
        <v>0</v>
      </c>
      <c r="DV7" s="675">
        <v>0</v>
      </c>
      <c r="DW7" s="675">
        <v>0</v>
      </c>
      <c r="DX7" s="675">
        <v>0</v>
      </c>
      <c r="DY7" s="675">
        <v>0</v>
      </c>
      <c r="DZ7" s="675">
        <v>0</v>
      </c>
      <c r="EA7" s="675">
        <v>0</v>
      </c>
      <c r="EB7" s="675">
        <v>0</v>
      </c>
      <c r="EC7" s="675">
        <v>2.7530000000000001</v>
      </c>
      <c r="ED7" s="675">
        <v>19502</v>
      </c>
      <c r="EE7" s="675">
        <v>0</v>
      </c>
      <c r="EF7" s="675">
        <v>0</v>
      </c>
      <c r="EG7" s="675">
        <v>0</v>
      </c>
      <c r="EH7" s="675">
        <v>3296</v>
      </c>
      <c r="EI7" s="675">
        <v>0</v>
      </c>
      <c r="EJ7" s="675">
        <v>0</v>
      </c>
      <c r="EK7" s="675">
        <v>0</v>
      </c>
      <c r="EL7" s="675">
        <v>0</v>
      </c>
      <c r="EM7" s="675">
        <v>0</v>
      </c>
      <c r="EN7" s="675">
        <v>0.10700000000000001</v>
      </c>
      <c r="EO7" s="675">
        <v>0</v>
      </c>
      <c r="EP7" s="675">
        <v>0</v>
      </c>
      <c r="EQ7" s="675">
        <v>0.10700000000000001</v>
      </c>
      <c r="ER7" s="675">
        <v>0</v>
      </c>
      <c r="ES7" s="675">
        <v>0.53500000000000003</v>
      </c>
      <c r="ET7" s="675">
        <v>0</v>
      </c>
      <c r="EU7" s="675">
        <v>0</v>
      </c>
      <c r="EV7" s="675">
        <v>0</v>
      </c>
      <c r="EW7" s="675">
        <v>0</v>
      </c>
      <c r="EX7" s="675">
        <v>0</v>
      </c>
      <c r="EY7" s="675">
        <v>0</v>
      </c>
      <c r="EZ7" s="675">
        <v>3230460</v>
      </c>
      <c r="FA7" s="675">
        <v>0</v>
      </c>
      <c r="FB7" s="675">
        <v>3373264</v>
      </c>
      <c r="FC7" s="675">
        <v>0</v>
      </c>
      <c r="FD7" s="675">
        <v>0</v>
      </c>
      <c r="FE7" s="675">
        <v>341026</v>
      </c>
      <c r="FF7" s="675">
        <v>70536</v>
      </c>
      <c r="FG7" s="675">
        <v>6.3574999999999993E-2</v>
      </c>
      <c r="FH7" s="675">
        <v>2.6298999999999999E-2</v>
      </c>
      <c r="FI7" s="675">
        <v>0</v>
      </c>
      <c r="FJ7" s="675">
        <v>0</v>
      </c>
      <c r="FK7" s="675">
        <v>544.25200000000007</v>
      </c>
      <c r="FL7" s="675">
        <v>4102778</v>
      </c>
      <c r="FM7" s="675">
        <v>0</v>
      </c>
      <c r="FN7" s="675">
        <v>0</v>
      </c>
      <c r="FO7" s="675">
        <v>20047</v>
      </c>
      <c r="FP7" s="675">
        <v>0</v>
      </c>
      <c r="FQ7" s="675">
        <v>20047</v>
      </c>
      <c r="FR7" s="675">
        <v>20047</v>
      </c>
      <c r="FS7" s="675">
        <v>0</v>
      </c>
      <c r="FT7" s="675">
        <v>0</v>
      </c>
      <c r="FU7" s="675">
        <v>0</v>
      </c>
      <c r="FV7" s="675">
        <v>0</v>
      </c>
      <c r="FW7" s="675">
        <v>0</v>
      </c>
      <c r="FX7" s="675">
        <v>0</v>
      </c>
      <c r="FY7" s="675">
        <v>0</v>
      </c>
      <c r="FZ7" s="675">
        <v>0</v>
      </c>
      <c r="GA7" s="675">
        <v>0</v>
      </c>
      <c r="GB7" s="675">
        <v>61773</v>
      </c>
      <c r="GC7" s="675">
        <v>61773</v>
      </c>
      <c r="GD7" s="675">
        <v>7.157</v>
      </c>
      <c r="GE7" s="675">
        <v>0</v>
      </c>
      <c r="GF7" s="675">
        <v>0</v>
      </c>
      <c r="GG7" s="675">
        <v>0</v>
      </c>
      <c r="GH7" s="675">
        <v>0</v>
      </c>
      <c r="GI7" s="675">
        <v>0</v>
      </c>
      <c r="GJ7" s="675">
        <v>0</v>
      </c>
      <c r="GK7" s="675">
        <v>0</v>
      </c>
      <c r="GL7" s="675">
        <v>0</v>
      </c>
      <c r="GM7" s="675">
        <v>0</v>
      </c>
      <c r="GN7" s="675">
        <v>0</v>
      </c>
      <c r="GO7" s="675">
        <v>0</v>
      </c>
      <c r="GP7" s="675">
        <v>0</v>
      </c>
      <c r="GQ7" s="675">
        <v>0</v>
      </c>
      <c r="GR7" s="675">
        <v>0</v>
      </c>
      <c r="GS7" s="675">
        <v>0</v>
      </c>
      <c r="GT7" s="675">
        <v>0</v>
      </c>
      <c r="GU7" s="675">
        <v>0</v>
      </c>
      <c r="GV7" s="675">
        <v>0</v>
      </c>
      <c r="GW7" s="675">
        <v>0</v>
      </c>
      <c r="GX7" s="675">
        <v>0</v>
      </c>
      <c r="GY7" s="675">
        <v>0</v>
      </c>
      <c r="GZ7" s="675">
        <v>0</v>
      </c>
      <c r="HA7" s="675">
        <v>0</v>
      </c>
      <c r="HB7" s="675">
        <v>298386780</v>
      </c>
      <c r="HC7" s="675">
        <v>4.5690999999999996E-2</v>
      </c>
      <c r="HD7" s="675">
        <v>68545</v>
      </c>
      <c r="HE7" s="675">
        <v>0</v>
      </c>
      <c r="HF7" s="675">
        <v>404561</v>
      </c>
      <c r="HG7" s="675">
        <v>0</v>
      </c>
      <c r="HH7" s="675">
        <v>62812</v>
      </c>
      <c r="HI7" s="675">
        <v>0</v>
      </c>
      <c r="HJ7" s="675">
        <v>3645</v>
      </c>
      <c r="HK7" s="675">
        <v>666</v>
      </c>
      <c r="HL7" s="675">
        <v>64</v>
      </c>
      <c r="HM7" s="675">
        <v>0</v>
      </c>
      <c r="HN7" s="675">
        <v>0</v>
      </c>
      <c r="HO7" s="675">
        <v>0</v>
      </c>
      <c r="HP7" s="675">
        <v>0</v>
      </c>
      <c r="HQ7" s="675">
        <v>0</v>
      </c>
      <c r="HR7" s="675">
        <v>0</v>
      </c>
      <c r="HS7" s="675">
        <v>3230373</v>
      </c>
      <c r="HT7" s="675">
        <v>70536</v>
      </c>
      <c r="HU7" s="675">
        <v>154387</v>
      </c>
      <c r="HV7" s="675">
        <v>0</v>
      </c>
      <c r="HW7" s="675">
        <v>0</v>
      </c>
      <c r="HX7" s="675">
        <v>28</v>
      </c>
      <c r="HY7" s="675">
        <v>7</v>
      </c>
      <c r="HZ7" s="675">
        <v>68</v>
      </c>
      <c r="IA7" s="675">
        <v>111</v>
      </c>
      <c r="IB7" s="675">
        <v>117</v>
      </c>
      <c r="IC7" s="675">
        <v>331</v>
      </c>
      <c r="ID7" s="675">
        <v>0</v>
      </c>
      <c r="IE7" s="675">
        <v>0</v>
      </c>
      <c r="IF7" s="675">
        <v>0</v>
      </c>
      <c r="IG7" s="675">
        <v>0</v>
      </c>
      <c r="IH7" s="675">
        <v>101.968</v>
      </c>
      <c r="II7" s="675">
        <v>0</v>
      </c>
      <c r="IJ7" s="675">
        <v>0</v>
      </c>
      <c r="IK7" s="675">
        <v>0</v>
      </c>
      <c r="IL7" s="675">
        <v>0</v>
      </c>
      <c r="IM7" s="675">
        <v>0</v>
      </c>
      <c r="IN7" s="675">
        <v>0</v>
      </c>
      <c r="IO7" s="675">
        <v>0</v>
      </c>
      <c r="IP7" s="675">
        <v>0</v>
      </c>
      <c r="IQ7" s="675">
        <v>0</v>
      </c>
      <c r="IR7" s="675">
        <v>0</v>
      </c>
      <c r="IS7" s="675">
        <v>0</v>
      </c>
      <c r="IT7" s="675">
        <v>0</v>
      </c>
      <c r="IU7" s="675">
        <v>0</v>
      </c>
      <c r="IV7" s="675">
        <v>0</v>
      </c>
      <c r="IW7" s="675">
        <v>6160</v>
      </c>
      <c r="IX7" s="675">
        <v>0</v>
      </c>
      <c r="IY7" s="675">
        <v>0</v>
      </c>
      <c r="IZ7" s="675">
        <v>0</v>
      </c>
      <c r="JA7" s="675">
        <v>0</v>
      </c>
      <c r="JB7" s="675">
        <v>0</v>
      </c>
      <c r="JC7" s="675">
        <v>0</v>
      </c>
      <c r="JD7" s="675">
        <v>0</v>
      </c>
      <c r="JE7" s="675">
        <v>0</v>
      </c>
      <c r="JF7" s="675">
        <v>0</v>
      </c>
      <c r="JG7" s="675">
        <v>0</v>
      </c>
      <c r="JH7" s="675">
        <v>0</v>
      </c>
      <c r="JI7" s="675">
        <v>0</v>
      </c>
      <c r="JJ7" s="675">
        <v>0</v>
      </c>
      <c r="JK7" s="675">
        <v>0</v>
      </c>
      <c r="JL7" s="675">
        <v>0</v>
      </c>
      <c r="JM7" s="675">
        <v>0</v>
      </c>
      <c r="JN7" s="675">
        <v>32469</v>
      </c>
      <c r="JO7" s="675">
        <v>4.6269999999999998</v>
      </c>
      <c r="JP7" s="675">
        <v>1.58</v>
      </c>
      <c r="JQ7" s="675">
        <v>0.95000000000000007</v>
      </c>
      <c r="JR7" s="675">
        <v>36951</v>
      </c>
      <c r="JS7" s="675">
        <v>14683</v>
      </c>
      <c r="JT7" s="675">
        <v>10139</v>
      </c>
      <c r="JU7" s="675">
        <v>0</v>
      </c>
      <c r="JV7" s="675">
        <v>154387</v>
      </c>
      <c r="JW7" s="675">
        <v>0</v>
      </c>
      <c r="JX7" s="675">
        <v>0</v>
      </c>
      <c r="JY7" s="675">
        <v>0</v>
      </c>
      <c r="JZ7" s="675">
        <v>0</v>
      </c>
      <c r="KA7" s="675">
        <v>0</v>
      </c>
      <c r="KB7" s="675">
        <v>0</v>
      </c>
      <c r="KC7" s="675">
        <v>0</v>
      </c>
      <c r="KD7" s="675">
        <v>0</v>
      </c>
      <c r="KE7" s="675">
        <v>7260</v>
      </c>
      <c r="KF7" s="675">
        <v>95019</v>
      </c>
      <c r="KG7" s="675">
        <v>0</v>
      </c>
      <c r="KH7" s="675">
        <v>0</v>
      </c>
      <c r="KI7" s="675">
        <v>0</v>
      </c>
    </row>
    <row r="8" spans="1:295" ht="12.5" x14ac:dyDescent="0.25">
      <c r="A8" s="675">
        <v>35795</v>
      </c>
      <c r="B8" s="675">
        <v>227805</v>
      </c>
      <c r="C8" s="675">
        <v>9</v>
      </c>
      <c r="D8" s="675">
        <v>2022</v>
      </c>
      <c r="E8" s="675">
        <v>6160</v>
      </c>
      <c r="F8" s="675">
        <v>0</v>
      </c>
      <c r="G8" s="675">
        <v>349.05799999999999</v>
      </c>
      <c r="H8" s="675">
        <v>336.99200000000002</v>
      </c>
      <c r="I8" s="675">
        <v>336.99200000000002</v>
      </c>
      <c r="J8" s="675">
        <v>349.05799999999999</v>
      </c>
      <c r="K8" s="675">
        <v>0</v>
      </c>
      <c r="L8" s="675">
        <v>6160</v>
      </c>
      <c r="M8" s="675">
        <v>0</v>
      </c>
      <c r="N8" s="675">
        <v>0</v>
      </c>
      <c r="O8" s="675">
        <v>0</v>
      </c>
      <c r="P8" s="675">
        <v>326.86900000000003</v>
      </c>
      <c r="Q8" s="675">
        <v>0</v>
      </c>
      <c r="R8" s="675">
        <v>131541</v>
      </c>
      <c r="S8" s="675">
        <v>402.428</v>
      </c>
      <c r="T8" s="675">
        <v>0</v>
      </c>
      <c r="U8" s="675">
        <v>69949</v>
      </c>
      <c r="V8" s="675">
        <v>0</v>
      </c>
      <c r="W8" s="675">
        <v>0</v>
      </c>
      <c r="X8" s="675">
        <v>0</v>
      </c>
      <c r="Y8" s="675">
        <v>0</v>
      </c>
      <c r="Z8" s="675">
        <v>0</v>
      </c>
      <c r="AA8" s="675">
        <v>0</v>
      </c>
      <c r="AB8" s="675">
        <v>0</v>
      </c>
      <c r="AC8" s="675">
        <v>0</v>
      </c>
      <c r="AD8" s="675" t="s">
        <v>316</v>
      </c>
      <c r="AE8" s="675">
        <v>0</v>
      </c>
      <c r="AF8" s="675">
        <v>0</v>
      </c>
      <c r="AG8" s="675">
        <v>0</v>
      </c>
      <c r="AH8" s="675">
        <v>0</v>
      </c>
      <c r="AI8" s="675">
        <v>0</v>
      </c>
      <c r="AJ8" s="675">
        <v>6160</v>
      </c>
      <c r="AK8" s="675" t="s">
        <v>671</v>
      </c>
      <c r="AL8" s="675" t="s">
        <v>80</v>
      </c>
      <c r="AM8" s="675">
        <v>0</v>
      </c>
      <c r="AN8" s="675">
        <v>0</v>
      </c>
      <c r="AO8" s="675">
        <v>0</v>
      </c>
      <c r="AP8" s="675">
        <v>0</v>
      </c>
      <c r="AQ8" s="675">
        <v>0</v>
      </c>
      <c r="AR8" s="675">
        <v>0</v>
      </c>
      <c r="AS8" s="675">
        <v>0</v>
      </c>
      <c r="AT8" s="675">
        <v>0</v>
      </c>
      <c r="AU8" s="675">
        <v>0</v>
      </c>
      <c r="AV8" s="675">
        <v>-9878</v>
      </c>
      <c r="AW8" s="675">
        <v>3526844</v>
      </c>
      <c r="AX8" s="675">
        <v>3342542</v>
      </c>
      <c r="AY8" s="675">
        <v>2340588</v>
      </c>
      <c r="AZ8" s="675">
        <v>131541</v>
      </c>
      <c r="BA8" s="675">
        <v>0</v>
      </c>
      <c r="BB8" s="675">
        <v>0</v>
      </c>
      <c r="BC8" s="675">
        <v>0</v>
      </c>
      <c r="BD8" s="675">
        <v>0</v>
      </c>
      <c r="BE8" s="675">
        <v>0</v>
      </c>
      <c r="BF8" s="675">
        <v>3093707</v>
      </c>
      <c r="BG8" s="675">
        <v>0</v>
      </c>
      <c r="BH8" s="675">
        <v>0</v>
      </c>
      <c r="BI8" s="675">
        <v>0</v>
      </c>
      <c r="BJ8" s="675">
        <v>12</v>
      </c>
      <c r="BK8" s="675">
        <v>0</v>
      </c>
      <c r="BL8" s="675">
        <v>0</v>
      </c>
      <c r="BM8" s="675">
        <v>0</v>
      </c>
      <c r="BN8" s="675">
        <v>0</v>
      </c>
      <c r="BO8" s="675">
        <v>0</v>
      </c>
      <c r="BP8" s="675">
        <v>0</v>
      </c>
      <c r="BQ8" s="675">
        <v>718</v>
      </c>
      <c r="BR8" s="675">
        <v>0</v>
      </c>
      <c r="BS8" s="675">
        <v>0</v>
      </c>
      <c r="BT8" s="675">
        <v>0</v>
      </c>
      <c r="BU8" s="675">
        <v>0</v>
      </c>
      <c r="BV8" s="675">
        <v>0</v>
      </c>
      <c r="BW8" s="675">
        <v>0</v>
      </c>
      <c r="BX8" s="675">
        <v>0</v>
      </c>
      <c r="BY8" s="675">
        <v>0</v>
      </c>
      <c r="BZ8" s="675">
        <v>0</v>
      </c>
      <c r="CA8" s="675">
        <v>0</v>
      </c>
      <c r="CB8" s="675">
        <v>0</v>
      </c>
      <c r="CC8" s="675">
        <v>0</v>
      </c>
      <c r="CD8" s="675">
        <v>0</v>
      </c>
      <c r="CE8" s="675">
        <v>0</v>
      </c>
      <c r="CF8" s="675">
        <v>0</v>
      </c>
      <c r="CG8" s="675">
        <v>0</v>
      </c>
      <c r="CH8" s="675">
        <v>185328</v>
      </c>
      <c r="CI8" s="675">
        <v>0</v>
      </c>
      <c r="CJ8" s="675">
        <v>4</v>
      </c>
      <c r="CK8" s="675">
        <v>0</v>
      </c>
      <c r="CL8" s="675">
        <v>0</v>
      </c>
      <c r="CM8" s="675">
        <v>0</v>
      </c>
      <c r="CN8" s="675">
        <v>0</v>
      </c>
      <c r="CO8" s="675">
        <v>1</v>
      </c>
      <c r="CP8" s="675">
        <v>0</v>
      </c>
      <c r="CQ8" s="675">
        <v>0</v>
      </c>
      <c r="CR8" s="675">
        <v>329.30099999999999</v>
      </c>
      <c r="CS8" s="675">
        <v>0</v>
      </c>
      <c r="CT8" s="675">
        <v>0</v>
      </c>
      <c r="CU8" s="675">
        <v>0</v>
      </c>
      <c r="CV8" s="675">
        <v>0</v>
      </c>
      <c r="CW8" s="675">
        <v>0</v>
      </c>
      <c r="CX8" s="675">
        <v>0</v>
      </c>
      <c r="CY8" s="675">
        <v>0</v>
      </c>
      <c r="CZ8" s="675">
        <v>0</v>
      </c>
      <c r="DA8" s="675">
        <v>0</v>
      </c>
      <c r="DB8" s="675">
        <v>2075861</v>
      </c>
      <c r="DC8" s="675">
        <v>0</v>
      </c>
      <c r="DD8" s="675">
        <v>0</v>
      </c>
      <c r="DE8" s="675">
        <v>353659</v>
      </c>
      <c r="DF8" s="675">
        <v>353659</v>
      </c>
      <c r="DG8" s="675">
        <v>57.413000000000004</v>
      </c>
      <c r="DH8" s="675">
        <v>0</v>
      </c>
      <c r="DI8" s="675">
        <v>0</v>
      </c>
      <c r="DJ8" s="675">
        <v>0</v>
      </c>
      <c r="DK8" s="675">
        <v>3112</v>
      </c>
      <c r="DL8" s="675">
        <v>0</v>
      </c>
      <c r="DM8" s="675">
        <v>269475</v>
      </c>
      <c r="DN8" s="675">
        <v>1026</v>
      </c>
      <c r="DO8" s="675">
        <v>0</v>
      </c>
      <c r="DP8" s="675">
        <v>0</v>
      </c>
      <c r="DQ8" s="675">
        <v>0</v>
      </c>
      <c r="DR8" s="675">
        <v>0</v>
      </c>
      <c r="DS8" s="675">
        <v>0</v>
      </c>
      <c r="DT8" s="675">
        <v>0</v>
      </c>
      <c r="DU8" s="675">
        <v>0</v>
      </c>
      <c r="DV8" s="675">
        <v>0</v>
      </c>
      <c r="DW8" s="675">
        <v>0</v>
      </c>
      <c r="DX8" s="675">
        <v>0</v>
      </c>
      <c r="DY8" s="675">
        <v>0</v>
      </c>
      <c r="DZ8" s="675">
        <v>0</v>
      </c>
      <c r="EA8" s="675">
        <v>0</v>
      </c>
      <c r="EB8" s="675">
        <v>0</v>
      </c>
      <c r="EC8" s="675">
        <v>6.0250000000000004</v>
      </c>
      <c r="ED8" s="675">
        <v>42681</v>
      </c>
      <c r="EE8" s="675">
        <v>0</v>
      </c>
      <c r="EF8" s="675">
        <v>0</v>
      </c>
      <c r="EG8" s="675">
        <v>0</v>
      </c>
      <c r="EH8" s="675">
        <v>227820</v>
      </c>
      <c r="EI8" s="675">
        <v>0</v>
      </c>
      <c r="EJ8" s="675">
        <v>0</v>
      </c>
      <c r="EK8" s="675">
        <v>11.258000000000001</v>
      </c>
      <c r="EL8" s="675">
        <v>0</v>
      </c>
      <c r="EM8" s="675">
        <v>0.41500000000000004</v>
      </c>
      <c r="EN8" s="675">
        <v>0.39300000000000002</v>
      </c>
      <c r="EO8" s="675">
        <v>0</v>
      </c>
      <c r="EP8" s="675">
        <v>0</v>
      </c>
      <c r="EQ8" s="675">
        <v>12.066000000000001</v>
      </c>
      <c r="ER8" s="675">
        <v>0</v>
      </c>
      <c r="ES8" s="675">
        <v>36.984000000000002</v>
      </c>
      <c r="ET8" s="675">
        <v>0</v>
      </c>
      <c r="EU8" s="675">
        <v>0</v>
      </c>
      <c r="EV8" s="675">
        <v>0</v>
      </c>
      <c r="EW8" s="675">
        <v>0</v>
      </c>
      <c r="EX8" s="675">
        <v>0</v>
      </c>
      <c r="EY8" s="675">
        <v>0</v>
      </c>
      <c r="EZ8" s="675">
        <v>2962760</v>
      </c>
      <c r="FA8" s="675">
        <v>0</v>
      </c>
      <c r="FB8" s="675">
        <v>3093275</v>
      </c>
      <c r="FC8" s="675">
        <v>0</v>
      </c>
      <c r="FD8" s="675">
        <v>0</v>
      </c>
      <c r="FE8" s="675">
        <v>314693</v>
      </c>
      <c r="FF8" s="675">
        <v>65089</v>
      </c>
      <c r="FG8" s="675">
        <v>6.3574999999999993E-2</v>
      </c>
      <c r="FH8" s="675">
        <v>2.6298999999999999E-2</v>
      </c>
      <c r="FI8" s="675">
        <v>0</v>
      </c>
      <c r="FJ8" s="675">
        <v>0</v>
      </c>
      <c r="FK8" s="675">
        <v>502.22700000000003</v>
      </c>
      <c r="FL8" s="675">
        <v>3658385</v>
      </c>
      <c r="FM8" s="675">
        <v>0</v>
      </c>
      <c r="FN8" s="675">
        <v>0</v>
      </c>
      <c r="FO8" s="675">
        <v>0</v>
      </c>
      <c r="FP8" s="675">
        <v>0</v>
      </c>
      <c r="FQ8" s="675">
        <v>0</v>
      </c>
      <c r="FR8" s="675">
        <v>0</v>
      </c>
      <c r="FS8" s="675">
        <v>0</v>
      </c>
      <c r="FT8" s="675">
        <v>0</v>
      </c>
      <c r="FU8" s="675">
        <v>0</v>
      </c>
      <c r="FV8" s="675">
        <v>0</v>
      </c>
      <c r="FW8" s="675">
        <v>0</v>
      </c>
      <c r="FX8" s="675">
        <v>0</v>
      </c>
      <c r="FY8" s="675">
        <v>0</v>
      </c>
      <c r="FZ8" s="675">
        <v>0</v>
      </c>
      <c r="GA8" s="675">
        <v>0</v>
      </c>
      <c r="GB8" s="675">
        <v>0</v>
      </c>
      <c r="GC8" s="675">
        <v>0</v>
      </c>
      <c r="GD8" s="675">
        <v>0</v>
      </c>
      <c r="GE8" s="675">
        <v>0</v>
      </c>
      <c r="GF8" s="675">
        <v>0</v>
      </c>
      <c r="GG8" s="675">
        <v>0</v>
      </c>
      <c r="GH8" s="675">
        <v>0</v>
      </c>
      <c r="GI8" s="675">
        <v>0</v>
      </c>
      <c r="GJ8" s="675">
        <v>0</v>
      </c>
      <c r="GK8" s="675">
        <v>0</v>
      </c>
      <c r="GL8" s="675">
        <v>0</v>
      </c>
      <c r="GM8" s="675">
        <v>0</v>
      </c>
      <c r="GN8" s="675">
        <v>0</v>
      </c>
      <c r="GO8" s="675">
        <v>0</v>
      </c>
      <c r="GP8" s="675">
        <v>0</v>
      </c>
      <c r="GQ8" s="675">
        <v>0</v>
      </c>
      <c r="GR8" s="675">
        <v>0</v>
      </c>
      <c r="GS8" s="675">
        <v>0</v>
      </c>
      <c r="GT8" s="675">
        <v>0</v>
      </c>
      <c r="GU8" s="675">
        <v>0</v>
      </c>
      <c r="GV8" s="675">
        <v>0</v>
      </c>
      <c r="GW8" s="675">
        <v>0</v>
      </c>
      <c r="GX8" s="675">
        <v>0</v>
      </c>
      <c r="GY8" s="675">
        <v>0</v>
      </c>
      <c r="GZ8" s="675">
        <v>0</v>
      </c>
      <c r="HA8" s="675">
        <v>0</v>
      </c>
      <c r="HB8" s="675">
        <v>298386780</v>
      </c>
      <c r="HC8" s="675">
        <v>4.5690999999999996E-2</v>
      </c>
      <c r="HD8" s="675">
        <v>63795</v>
      </c>
      <c r="HE8" s="675">
        <v>0</v>
      </c>
      <c r="HF8" s="675">
        <v>370691</v>
      </c>
      <c r="HG8" s="675">
        <v>642</v>
      </c>
      <c r="HH8" s="675">
        <v>18960</v>
      </c>
      <c r="HI8" s="675">
        <v>0</v>
      </c>
      <c r="HJ8" s="675">
        <v>3393</v>
      </c>
      <c r="HK8" s="675">
        <v>594</v>
      </c>
      <c r="HL8" s="675">
        <v>0</v>
      </c>
      <c r="HM8" s="675">
        <v>0</v>
      </c>
      <c r="HN8" s="675">
        <v>0</v>
      </c>
      <c r="HO8" s="675">
        <v>0</v>
      </c>
      <c r="HP8" s="675">
        <v>0</v>
      </c>
      <c r="HQ8" s="675">
        <v>0</v>
      </c>
      <c r="HR8" s="675">
        <v>0</v>
      </c>
      <c r="HS8" s="675">
        <v>2961734</v>
      </c>
      <c r="HT8" s="675">
        <v>65089</v>
      </c>
      <c r="HU8" s="675">
        <v>121533</v>
      </c>
      <c r="HV8" s="675">
        <v>0</v>
      </c>
      <c r="HW8" s="675">
        <v>0</v>
      </c>
      <c r="HX8" s="675">
        <v>32</v>
      </c>
      <c r="HY8" s="675">
        <v>54</v>
      </c>
      <c r="HZ8" s="675">
        <v>56</v>
      </c>
      <c r="IA8" s="675">
        <v>43</v>
      </c>
      <c r="IB8" s="675">
        <v>44</v>
      </c>
      <c r="IC8" s="675">
        <v>229</v>
      </c>
      <c r="ID8" s="675">
        <v>0</v>
      </c>
      <c r="IE8" s="675">
        <v>0</v>
      </c>
      <c r="IF8" s="675">
        <v>0</v>
      </c>
      <c r="IG8" s="675">
        <v>1.042</v>
      </c>
      <c r="IH8" s="675">
        <v>30.779</v>
      </c>
      <c r="II8" s="675">
        <v>0</v>
      </c>
      <c r="IJ8" s="675">
        <v>0</v>
      </c>
      <c r="IK8" s="675">
        <v>0</v>
      </c>
      <c r="IL8" s="675">
        <v>0</v>
      </c>
      <c r="IM8" s="675">
        <v>0</v>
      </c>
      <c r="IN8" s="675">
        <v>0</v>
      </c>
      <c r="IO8" s="675">
        <v>0</v>
      </c>
      <c r="IP8" s="675">
        <v>0</v>
      </c>
      <c r="IQ8" s="675">
        <v>0</v>
      </c>
      <c r="IR8" s="675">
        <v>0</v>
      </c>
      <c r="IS8" s="675">
        <v>0</v>
      </c>
      <c r="IT8" s="675">
        <v>0</v>
      </c>
      <c r="IU8" s="675">
        <v>0</v>
      </c>
      <c r="IV8" s="675">
        <v>0</v>
      </c>
      <c r="IW8" s="675">
        <v>6160</v>
      </c>
      <c r="IX8" s="675">
        <v>0</v>
      </c>
      <c r="IY8" s="675">
        <v>0</v>
      </c>
      <c r="IZ8" s="675">
        <v>0</v>
      </c>
      <c r="JA8" s="675">
        <v>0</v>
      </c>
      <c r="JB8" s="675">
        <v>0</v>
      </c>
      <c r="JC8" s="675">
        <v>0</v>
      </c>
      <c r="JD8" s="675">
        <v>0</v>
      </c>
      <c r="JE8" s="675">
        <v>0</v>
      </c>
      <c r="JF8" s="675">
        <v>0</v>
      </c>
      <c r="JG8" s="675">
        <v>0</v>
      </c>
      <c r="JH8" s="675">
        <v>0</v>
      </c>
      <c r="JI8" s="675">
        <v>0</v>
      </c>
      <c r="JJ8" s="675">
        <v>0</v>
      </c>
      <c r="JK8" s="675">
        <v>0</v>
      </c>
      <c r="JL8" s="675">
        <v>0</v>
      </c>
      <c r="JM8" s="675">
        <v>0</v>
      </c>
      <c r="JN8" s="675">
        <v>32469</v>
      </c>
      <c r="JO8" s="675">
        <v>0</v>
      </c>
      <c r="JP8" s="675">
        <v>0</v>
      </c>
      <c r="JQ8" s="675">
        <v>0</v>
      </c>
      <c r="JR8" s="675">
        <v>0</v>
      </c>
      <c r="JS8" s="675">
        <v>0</v>
      </c>
      <c r="JT8" s="675">
        <v>0</v>
      </c>
      <c r="JU8" s="675">
        <v>0</v>
      </c>
      <c r="JV8" s="675">
        <v>121533</v>
      </c>
      <c r="JW8" s="675">
        <v>0</v>
      </c>
      <c r="JX8" s="675">
        <v>0</v>
      </c>
      <c r="JY8" s="675">
        <v>0</v>
      </c>
      <c r="JZ8" s="675">
        <v>0</v>
      </c>
      <c r="KA8" s="675">
        <v>0</v>
      </c>
      <c r="KB8" s="675">
        <v>0</v>
      </c>
      <c r="KC8" s="675">
        <v>0</v>
      </c>
      <c r="KD8" s="675">
        <v>0</v>
      </c>
      <c r="KE8" s="675">
        <v>7260</v>
      </c>
      <c r="KF8" s="675">
        <v>0</v>
      </c>
      <c r="KG8" s="675">
        <v>0</v>
      </c>
      <c r="KH8" s="675">
        <v>0</v>
      </c>
      <c r="KI8" s="675">
        <v>0</v>
      </c>
    </row>
    <row r="9" spans="1:295" ht="12.5" x14ac:dyDescent="0.25">
      <c r="A9" s="675">
        <v>35795</v>
      </c>
      <c r="B9" s="675">
        <v>101821</v>
      </c>
      <c r="C9" s="675">
        <v>9</v>
      </c>
      <c r="D9" s="675">
        <v>2022</v>
      </c>
      <c r="E9" s="675">
        <v>6160</v>
      </c>
      <c r="F9" s="675">
        <v>0</v>
      </c>
      <c r="G9" s="675">
        <v>153.29300000000001</v>
      </c>
      <c r="H9" s="675">
        <v>139.29300000000001</v>
      </c>
      <c r="I9" s="675">
        <v>139.29300000000001</v>
      </c>
      <c r="J9" s="675">
        <v>153.29300000000001</v>
      </c>
      <c r="K9" s="675">
        <v>0</v>
      </c>
      <c r="L9" s="675">
        <v>6160</v>
      </c>
      <c r="M9" s="675">
        <v>0</v>
      </c>
      <c r="N9" s="675">
        <v>0</v>
      </c>
      <c r="O9" s="675">
        <v>0</v>
      </c>
      <c r="P9" s="675">
        <v>177.81800000000001</v>
      </c>
      <c r="Q9" s="675">
        <v>0</v>
      </c>
      <c r="R9" s="675">
        <v>71559</v>
      </c>
      <c r="S9" s="675">
        <v>402.428</v>
      </c>
      <c r="T9" s="675">
        <v>0</v>
      </c>
      <c r="U9" s="675">
        <v>38053</v>
      </c>
      <c r="V9" s="675">
        <v>0</v>
      </c>
      <c r="W9" s="675">
        <v>0</v>
      </c>
      <c r="X9" s="675">
        <v>0</v>
      </c>
      <c r="Y9" s="675">
        <v>0</v>
      </c>
      <c r="Z9" s="675">
        <v>0</v>
      </c>
      <c r="AA9" s="675">
        <v>0</v>
      </c>
      <c r="AB9" s="675">
        <v>0</v>
      </c>
      <c r="AC9" s="675">
        <v>0</v>
      </c>
      <c r="AD9" s="675" t="s">
        <v>316</v>
      </c>
      <c r="AE9" s="675">
        <v>0</v>
      </c>
      <c r="AF9" s="675">
        <v>0</v>
      </c>
      <c r="AG9" s="675">
        <v>0</v>
      </c>
      <c r="AH9" s="675">
        <v>0</v>
      </c>
      <c r="AI9" s="675">
        <v>0</v>
      </c>
      <c r="AJ9" s="675">
        <v>6160</v>
      </c>
      <c r="AK9" s="675" t="s">
        <v>671</v>
      </c>
      <c r="AL9" s="675" t="s">
        <v>9</v>
      </c>
      <c r="AM9" s="675">
        <v>0</v>
      </c>
      <c r="AN9" s="675">
        <v>0</v>
      </c>
      <c r="AO9" s="675">
        <v>0</v>
      </c>
      <c r="AP9" s="675">
        <v>0</v>
      </c>
      <c r="AQ9" s="675">
        <v>0</v>
      </c>
      <c r="AR9" s="675">
        <v>0</v>
      </c>
      <c r="AS9" s="675">
        <v>0</v>
      </c>
      <c r="AT9" s="675">
        <v>0</v>
      </c>
      <c r="AU9" s="675">
        <v>0</v>
      </c>
      <c r="AV9" s="675">
        <v>0</v>
      </c>
      <c r="AW9" s="675">
        <v>1743811</v>
      </c>
      <c r="AX9" s="675">
        <v>1620776</v>
      </c>
      <c r="AY9" s="675">
        <v>1182524</v>
      </c>
      <c r="AZ9" s="675">
        <v>71559</v>
      </c>
      <c r="BA9" s="675">
        <v>0</v>
      </c>
      <c r="BB9" s="675">
        <v>0</v>
      </c>
      <c r="BC9" s="675">
        <v>0</v>
      </c>
      <c r="BD9" s="675">
        <v>0</v>
      </c>
      <c r="BE9" s="675">
        <v>0</v>
      </c>
      <c r="BF9" s="675">
        <v>1458539</v>
      </c>
      <c r="BG9" s="675">
        <v>0</v>
      </c>
      <c r="BH9" s="675">
        <v>0</v>
      </c>
      <c r="BI9" s="675">
        <v>0</v>
      </c>
      <c r="BJ9" s="675">
        <v>12</v>
      </c>
      <c r="BK9" s="675">
        <v>0</v>
      </c>
      <c r="BL9" s="675">
        <v>0</v>
      </c>
      <c r="BM9" s="675">
        <v>0</v>
      </c>
      <c r="BN9" s="675">
        <v>0</v>
      </c>
      <c r="BO9" s="675">
        <v>0</v>
      </c>
      <c r="BP9" s="675">
        <v>0</v>
      </c>
      <c r="BQ9" s="675">
        <v>749</v>
      </c>
      <c r="BR9" s="675">
        <v>0</v>
      </c>
      <c r="BS9" s="675">
        <v>0</v>
      </c>
      <c r="BT9" s="675">
        <v>0</v>
      </c>
      <c r="BU9" s="675">
        <v>0</v>
      </c>
      <c r="BV9" s="675">
        <v>0</v>
      </c>
      <c r="BW9" s="675">
        <v>0</v>
      </c>
      <c r="BX9" s="675">
        <v>0</v>
      </c>
      <c r="BY9" s="675">
        <v>0</v>
      </c>
      <c r="BZ9" s="675">
        <v>0</v>
      </c>
      <c r="CA9" s="675">
        <v>0</v>
      </c>
      <c r="CB9" s="675">
        <v>0</v>
      </c>
      <c r="CC9" s="675">
        <v>0</v>
      </c>
      <c r="CD9" s="675">
        <v>0</v>
      </c>
      <c r="CE9" s="675">
        <v>0</v>
      </c>
      <c r="CF9" s="675">
        <v>0</v>
      </c>
      <c r="CG9" s="675">
        <v>0</v>
      </c>
      <c r="CH9" s="675">
        <v>123581</v>
      </c>
      <c r="CI9" s="675">
        <v>0</v>
      </c>
      <c r="CJ9" s="675">
        <v>4</v>
      </c>
      <c r="CK9" s="675">
        <v>0</v>
      </c>
      <c r="CL9" s="675">
        <v>0</v>
      </c>
      <c r="CM9" s="675">
        <v>0</v>
      </c>
      <c r="CN9" s="675">
        <v>0</v>
      </c>
      <c r="CO9" s="675">
        <v>1</v>
      </c>
      <c r="CP9" s="675">
        <v>0.33700000000000002</v>
      </c>
      <c r="CQ9" s="675">
        <v>0</v>
      </c>
      <c r="CR9" s="675">
        <v>165.40900000000002</v>
      </c>
      <c r="CS9" s="675">
        <v>0</v>
      </c>
      <c r="CT9" s="675">
        <v>0</v>
      </c>
      <c r="CU9" s="675">
        <v>0</v>
      </c>
      <c r="CV9" s="675">
        <v>0</v>
      </c>
      <c r="CW9" s="675">
        <v>0</v>
      </c>
      <c r="CX9" s="675">
        <v>0</v>
      </c>
      <c r="CY9" s="675">
        <v>0</v>
      </c>
      <c r="CZ9" s="675">
        <v>0</v>
      </c>
      <c r="DA9" s="675">
        <v>0</v>
      </c>
      <c r="DB9" s="675">
        <v>809780</v>
      </c>
      <c r="DC9" s="675">
        <v>0</v>
      </c>
      <c r="DD9" s="675">
        <v>0</v>
      </c>
      <c r="DE9" s="675">
        <v>219141</v>
      </c>
      <c r="DF9" s="675">
        <v>224144</v>
      </c>
      <c r="DG9" s="675">
        <v>35.575000000000003</v>
      </c>
      <c r="DH9" s="675">
        <v>0</v>
      </c>
      <c r="DI9" s="675">
        <v>5003</v>
      </c>
      <c r="DJ9" s="675">
        <v>0</v>
      </c>
      <c r="DK9" s="675">
        <v>3599</v>
      </c>
      <c r="DL9" s="675">
        <v>0</v>
      </c>
      <c r="DM9" s="675">
        <v>191454</v>
      </c>
      <c r="DN9" s="675">
        <v>545</v>
      </c>
      <c r="DO9" s="675">
        <v>0</v>
      </c>
      <c r="DP9" s="675">
        <v>0</v>
      </c>
      <c r="DQ9" s="675">
        <v>0</v>
      </c>
      <c r="DR9" s="675">
        <v>0</v>
      </c>
      <c r="DS9" s="675">
        <v>0</v>
      </c>
      <c r="DT9" s="675">
        <v>0</v>
      </c>
      <c r="DU9" s="675">
        <v>0</v>
      </c>
      <c r="DV9" s="675">
        <v>0</v>
      </c>
      <c r="DW9" s="675">
        <v>0</v>
      </c>
      <c r="DX9" s="675">
        <v>0</v>
      </c>
      <c r="DY9" s="675">
        <v>0</v>
      </c>
      <c r="DZ9" s="675">
        <v>0</v>
      </c>
      <c r="EA9" s="675">
        <v>0</v>
      </c>
      <c r="EB9" s="675">
        <v>0</v>
      </c>
      <c r="EC9" s="675">
        <v>7.9550000000000001</v>
      </c>
      <c r="ED9" s="675">
        <v>56353</v>
      </c>
      <c r="EE9" s="675">
        <v>0</v>
      </c>
      <c r="EF9" s="675">
        <v>0</v>
      </c>
      <c r="EG9" s="675">
        <v>0</v>
      </c>
      <c r="EH9" s="675">
        <v>87385</v>
      </c>
      <c r="EI9" s="675">
        <v>0</v>
      </c>
      <c r="EJ9" s="675">
        <v>0</v>
      </c>
      <c r="EK9" s="675">
        <v>4.6619999999999999</v>
      </c>
      <c r="EL9" s="675">
        <v>0</v>
      </c>
      <c r="EM9" s="675">
        <v>0</v>
      </c>
      <c r="EN9" s="675">
        <v>0.04</v>
      </c>
      <c r="EO9" s="675">
        <v>0</v>
      </c>
      <c r="EP9" s="675">
        <v>0</v>
      </c>
      <c r="EQ9" s="675">
        <v>4.702</v>
      </c>
      <c r="ER9" s="675">
        <v>0</v>
      </c>
      <c r="ES9" s="675">
        <v>14.186</v>
      </c>
      <c r="ET9" s="675">
        <v>0</v>
      </c>
      <c r="EU9" s="675">
        <v>0</v>
      </c>
      <c r="EV9" s="675">
        <v>0</v>
      </c>
      <c r="EW9" s="675">
        <v>0</v>
      </c>
      <c r="EX9" s="675">
        <v>0</v>
      </c>
      <c r="EY9" s="675">
        <v>0</v>
      </c>
      <c r="EZ9" s="675">
        <v>1441726</v>
      </c>
      <c r="FA9" s="675">
        <v>0</v>
      </c>
      <c r="FB9" s="675">
        <v>1512739</v>
      </c>
      <c r="FC9" s="675">
        <v>0</v>
      </c>
      <c r="FD9" s="675">
        <v>0</v>
      </c>
      <c r="FE9" s="675">
        <v>148363</v>
      </c>
      <c r="FF9" s="675">
        <v>30687</v>
      </c>
      <c r="FG9" s="675">
        <v>6.3574999999999993E-2</v>
      </c>
      <c r="FH9" s="675">
        <v>2.6298999999999999E-2</v>
      </c>
      <c r="FI9" s="675">
        <v>0</v>
      </c>
      <c r="FJ9" s="675">
        <v>0</v>
      </c>
      <c r="FK9" s="675">
        <v>236.77700000000002</v>
      </c>
      <c r="FL9" s="675">
        <v>1815370</v>
      </c>
      <c r="FM9" s="675">
        <v>0</v>
      </c>
      <c r="FN9" s="675">
        <v>0</v>
      </c>
      <c r="FO9" s="675">
        <v>0</v>
      </c>
      <c r="FP9" s="675">
        <v>0</v>
      </c>
      <c r="FQ9" s="675">
        <v>0</v>
      </c>
      <c r="FR9" s="675">
        <v>0</v>
      </c>
      <c r="FS9" s="675">
        <v>0</v>
      </c>
      <c r="FT9" s="675">
        <v>0</v>
      </c>
      <c r="FU9" s="675">
        <v>0</v>
      </c>
      <c r="FV9" s="675">
        <v>0</v>
      </c>
      <c r="FW9" s="675">
        <v>0</v>
      </c>
      <c r="FX9" s="675">
        <v>0</v>
      </c>
      <c r="FY9" s="675">
        <v>0</v>
      </c>
      <c r="FZ9" s="675">
        <v>0</v>
      </c>
      <c r="GA9" s="675">
        <v>0</v>
      </c>
      <c r="GB9" s="675">
        <v>77904</v>
      </c>
      <c r="GC9" s="675">
        <v>77904</v>
      </c>
      <c r="GD9" s="675">
        <v>9.298</v>
      </c>
      <c r="GE9" s="675">
        <v>0</v>
      </c>
      <c r="GF9" s="675">
        <v>0</v>
      </c>
      <c r="GG9" s="675">
        <v>0</v>
      </c>
      <c r="GH9" s="675">
        <v>0</v>
      </c>
      <c r="GI9" s="675">
        <v>0</v>
      </c>
      <c r="GJ9" s="675">
        <v>0</v>
      </c>
      <c r="GK9" s="675">
        <v>0</v>
      </c>
      <c r="GL9" s="675">
        <v>0</v>
      </c>
      <c r="GM9" s="675">
        <v>0</v>
      </c>
      <c r="GN9" s="675">
        <v>0</v>
      </c>
      <c r="GO9" s="675">
        <v>0</v>
      </c>
      <c r="GP9" s="675">
        <v>0</v>
      </c>
      <c r="GQ9" s="675">
        <v>0</v>
      </c>
      <c r="GR9" s="675">
        <v>0</v>
      </c>
      <c r="GS9" s="675">
        <v>0</v>
      </c>
      <c r="GT9" s="675">
        <v>0</v>
      </c>
      <c r="GU9" s="675">
        <v>0</v>
      </c>
      <c r="GV9" s="675">
        <v>0</v>
      </c>
      <c r="GW9" s="675">
        <v>0</v>
      </c>
      <c r="GX9" s="675">
        <v>0</v>
      </c>
      <c r="GY9" s="675">
        <v>0</v>
      </c>
      <c r="GZ9" s="675">
        <v>0</v>
      </c>
      <c r="HA9" s="675">
        <v>0</v>
      </c>
      <c r="HB9" s="675">
        <v>298386780</v>
      </c>
      <c r="HC9" s="675">
        <v>4.5690999999999996E-2</v>
      </c>
      <c r="HD9" s="675">
        <v>28016</v>
      </c>
      <c r="HE9" s="675">
        <v>0</v>
      </c>
      <c r="HF9" s="675">
        <v>153222</v>
      </c>
      <c r="HG9" s="675">
        <v>0</v>
      </c>
      <c r="HH9" s="675">
        <v>0</v>
      </c>
      <c r="HI9" s="675">
        <v>0</v>
      </c>
      <c r="HJ9" s="675">
        <v>1490</v>
      </c>
      <c r="HK9" s="675">
        <v>1485</v>
      </c>
      <c r="HL9" s="675">
        <v>0</v>
      </c>
      <c r="HM9" s="675">
        <v>0</v>
      </c>
      <c r="HN9" s="675">
        <v>0</v>
      </c>
      <c r="HO9" s="675">
        <v>0</v>
      </c>
      <c r="HP9" s="675">
        <v>53261</v>
      </c>
      <c r="HQ9" s="675">
        <v>0</v>
      </c>
      <c r="HR9" s="675">
        <v>0</v>
      </c>
      <c r="HS9" s="675">
        <v>1441180</v>
      </c>
      <c r="HT9" s="675">
        <v>30687</v>
      </c>
      <c r="HU9" s="675">
        <v>95565</v>
      </c>
      <c r="HV9" s="675">
        <v>0</v>
      </c>
      <c r="HW9" s="675">
        <v>0</v>
      </c>
      <c r="HX9" s="675">
        <v>19</v>
      </c>
      <c r="HY9" s="675">
        <v>14</v>
      </c>
      <c r="HZ9" s="675">
        <v>20</v>
      </c>
      <c r="IA9" s="675">
        <v>32</v>
      </c>
      <c r="IB9" s="675">
        <v>53</v>
      </c>
      <c r="IC9" s="675">
        <v>138</v>
      </c>
      <c r="ID9" s="675">
        <v>0</v>
      </c>
      <c r="IE9" s="675">
        <v>0</v>
      </c>
      <c r="IF9" s="675">
        <v>0</v>
      </c>
      <c r="IG9" s="675">
        <v>0</v>
      </c>
      <c r="IH9" s="675">
        <v>0</v>
      </c>
      <c r="II9" s="675">
        <v>193.67500000000001</v>
      </c>
      <c r="IJ9" s="675">
        <v>0</v>
      </c>
      <c r="IK9" s="675">
        <v>0</v>
      </c>
      <c r="IL9" s="675">
        <v>0</v>
      </c>
      <c r="IM9" s="675">
        <v>0</v>
      </c>
      <c r="IN9" s="675">
        <v>0</v>
      </c>
      <c r="IO9" s="675">
        <v>0</v>
      </c>
      <c r="IP9" s="675">
        <v>193.67500000000001</v>
      </c>
      <c r="IQ9" s="675">
        <v>0</v>
      </c>
      <c r="IR9" s="675">
        <v>0</v>
      </c>
      <c r="IS9" s="675">
        <v>0</v>
      </c>
      <c r="IT9" s="675">
        <v>0</v>
      </c>
      <c r="IU9" s="675">
        <v>0</v>
      </c>
      <c r="IV9" s="675">
        <v>0</v>
      </c>
      <c r="IW9" s="675">
        <v>6160</v>
      </c>
      <c r="IX9" s="675">
        <v>0</v>
      </c>
      <c r="IY9" s="675">
        <v>0</v>
      </c>
      <c r="IZ9" s="675">
        <v>53261</v>
      </c>
      <c r="JA9" s="675">
        <v>0</v>
      </c>
      <c r="JB9" s="675">
        <v>0</v>
      </c>
      <c r="JC9" s="675">
        <v>0</v>
      </c>
      <c r="JD9" s="675">
        <v>0</v>
      </c>
      <c r="JE9" s="675">
        <v>0</v>
      </c>
      <c r="JF9" s="675">
        <v>0</v>
      </c>
      <c r="JG9" s="675">
        <v>0</v>
      </c>
      <c r="JH9" s="675">
        <v>0</v>
      </c>
      <c r="JI9" s="675">
        <v>0</v>
      </c>
      <c r="JJ9" s="675">
        <v>0</v>
      </c>
      <c r="JK9" s="675">
        <v>0</v>
      </c>
      <c r="JL9" s="675">
        <v>0</v>
      </c>
      <c r="JM9" s="675">
        <v>0</v>
      </c>
      <c r="JN9" s="675">
        <v>32469</v>
      </c>
      <c r="JO9" s="675">
        <v>6.99</v>
      </c>
      <c r="JP9" s="675">
        <v>1.8480000000000001</v>
      </c>
      <c r="JQ9" s="675">
        <v>0.46</v>
      </c>
      <c r="JR9" s="675">
        <v>55822</v>
      </c>
      <c r="JS9" s="675">
        <v>17173</v>
      </c>
      <c r="JT9" s="675">
        <v>4909</v>
      </c>
      <c r="JU9" s="675">
        <v>0</v>
      </c>
      <c r="JV9" s="675">
        <v>95565</v>
      </c>
      <c r="JW9" s="675">
        <v>0</v>
      </c>
      <c r="JX9" s="675">
        <v>0</v>
      </c>
      <c r="JY9" s="675">
        <v>0</v>
      </c>
      <c r="JZ9" s="675">
        <v>0</v>
      </c>
      <c r="KA9" s="675">
        <v>0</v>
      </c>
      <c r="KB9" s="675">
        <v>0</v>
      </c>
      <c r="KC9" s="675">
        <v>0</v>
      </c>
      <c r="KD9" s="675">
        <v>0</v>
      </c>
      <c r="KE9" s="675">
        <v>7260</v>
      </c>
      <c r="KF9" s="675">
        <v>0</v>
      </c>
      <c r="KG9" s="675">
        <v>0</v>
      </c>
      <c r="KH9" s="675">
        <v>0</v>
      </c>
      <c r="KI9" s="675">
        <v>0</v>
      </c>
    </row>
    <row r="10" spans="1:295" ht="12.5" x14ac:dyDescent="0.25">
      <c r="A10" s="675">
        <v>35795</v>
      </c>
      <c r="B10" s="675">
        <v>183801</v>
      </c>
      <c r="C10" s="675">
        <v>9</v>
      </c>
      <c r="D10" s="675">
        <v>2022</v>
      </c>
      <c r="E10" s="675">
        <v>6160</v>
      </c>
      <c r="F10" s="675">
        <v>0</v>
      </c>
      <c r="G10" s="675">
        <v>190.982</v>
      </c>
      <c r="H10" s="675">
        <v>161.553</v>
      </c>
      <c r="I10" s="675">
        <v>161.553</v>
      </c>
      <c r="J10" s="675">
        <v>190.982</v>
      </c>
      <c r="K10" s="675">
        <v>0</v>
      </c>
      <c r="L10" s="675">
        <v>6160</v>
      </c>
      <c r="M10" s="675">
        <v>0</v>
      </c>
      <c r="N10" s="675">
        <v>0</v>
      </c>
      <c r="O10" s="675">
        <v>0</v>
      </c>
      <c r="P10" s="675">
        <v>184.76500000000001</v>
      </c>
      <c r="Q10" s="675">
        <v>0</v>
      </c>
      <c r="R10" s="675">
        <v>74355</v>
      </c>
      <c r="S10" s="675">
        <v>402.428</v>
      </c>
      <c r="T10" s="675">
        <v>0</v>
      </c>
      <c r="U10" s="675">
        <v>39541</v>
      </c>
      <c r="V10" s="675">
        <v>0.24200000000000002</v>
      </c>
      <c r="W10" s="675">
        <v>1073</v>
      </c>
      <c r="X10" s="675">
        <v>1073</v>
      </c>
      <c r="Y10" s="675">
        <v>0</v>
      </c>
      <c r="Z10" s="675">
        <v>0</v>
      </c>
      <c r="AA10" s="675">
        <v>0</v>
      </c>
      <c r="AB10" s="675">
        <v>0</v>
      </c>
      <c r="AC10" s="675">
        <v>0</v>
      </c>
      <c r="AD10" s="675" t="s">
        <v>316</v>
      </c>
      <c r="AE10" s="675">
        <v>0</v>
      </c>
      <c r="AF10" s="675">
        <v>0</v>
      </c>
      <c r="AG10" s="675">
        <v>0</v>
      </c>
      <c r="AH10" s="675">
        <v>0</v>
      </c>
      <c r="AI10" s="675">
        <v>0</v>
      </c>
      <c r="AJ10" s="675">
        <v>6160</v>
      </c>
      <c r="AK10" s="675" t="s">
        <v>671</v>
      </c>
      <c r="AL10" s="675" t="s">
        <v>72</v>
      </c>
      <c r="AM10" s="675">
        <v>0</v>
      </c>
      <c r="AN10" s="675">
        <v>0</v>
      </c>
      <c r="AO10" s="675">
        <v>0</v>
      </c>
      <c r="AP10" s="675">
        <v>0</v>
      </c>
      <c r="AQ10" s="675">
        <v>0</v>
      </c>
      <c r="AR10" s="675">
        <v>0</v>
      </c>
      <c r="AS10" s="675">
        <v>0</v>
      </c>
      <c r="AT10" s="675">
        <v>0</v>
      </c>
      <c r="AU10" s="675">
        <v>0</v>
      </c>
      <c r="AV10" s="675">
        <v>-35836</v>
      </c>
      <c r="AW10" s="675">
        <v>1922214</v>
      </c>
      <c r="AX10" s="675">
        <v>1792757</v>
      </c>
      <c r="AY10" s="675">
        <v>1245762</v>
      </c>
      <c r="AZ10" s="675">
        <v>74355</v>
      </c>
      <c r="BA10" s="675">
        <v>0</v>
      </c>
      <c r="BB10" s="675">
        <v>4118</v>
      </c>
      <c r="BC10" s="675">
        <v>4091</v>
      </c>
      <c r="BD10" s="675">
        <v>9.5490000000000013</v>
      </c>
      <c r="BE10" s="675">
        <v>27</v>
      </c>
      <c r="BF10" s="675">
        <v>1660123</v>
      </c>
      <c r="BG10" s="675">
        <v>0</v>
      </c>
      <c r="BH10" s="675">
        <v>0</v>
      </c>
      <c r="BI10" s="675">
        <v>0</v>
      </c>
      <c r="BJ10" s="675">
        <v>12</v>
      </c>
      <c r="BK10" s="675">
        <v>0</v>
      </c>
      <c r="BL10" s="675">
        <v>0</v>
      </c>
      <c r="BM10" s="675">
        <v>0</v>
      </c>
      <c r="BN10" s="675">
        <v>0</v>
      </c>
      <c r="BO10" s="675">
        <v>0</v>
      </c>
      <c r="BP10" s="675">
        <v>0</v>
      </c>
      <c r="BQ10" s="675">
        <v>745</v>
      </c>
      <c r="BR10" s="675">
        <v>0</v>
      </c>
      <c r="BS10" s="675">
        <v>0</v>
      </c>
      <c r="BT10" s="675">
        <v>0</v>
      </c>
      <c r="BU10" s="675">
        <v>0</v>
      </c>
      <c r="BV10" s="675">
        <v>0</v>
      </c>
      <c r="BW10" s="675">
        <v>0</v>
      </c>
      <c r="BX10" s="675">
        <v>0</v>
      </c>
      <c r="BY10" s="675">
        <v>0</v>
      </c>
      <c r="BZ10" s="675">
        <v>0</v>
      </c>
      <c r="CA10" s="675">
        <v>0</v>
      </c>
      <c r="CB10" s="675">
        <v>0</v>
      </c>
      <c r="CC10" s="675">
        <v>0</v>
      </c>
      <c r="CD10" s="675">
        <v>0</v>
      </c>
      <c r="CE10" s="675">
        <v>0</v>
      </c>
      <c r="CF10" s="675">
        <v>0</v>
      </c>
      <c r="CG10" s="675">
        <v>0</v>
      </c>
      <c r="CH10" s="675">
        <v>129798</v>
      </c>
      <c r="CI10" s="675">
        <v>0</v>
      </c>
      <c r="CJ10" s="675">
        <v>4</v>
      </c>
      <c r="CK10" s="675">
        <v>0</v>
      </c>
      <c r="CL10" s="675">
        <v>0</v>
      </c>
      <c r="CM10" s="675">
        <v>0</v>
      </c>
      <c r="CN10" s="675">
        <v>0</v>
      </c>
      <c r="CO10" s="675">
        <v>1</v>
      </c>
      <c r="CP10" s="675">
        <v>9.5000000000000001E-2</v>
      </c>
      <c r="CQ10" s="675">
        <v>0</v>
      </c>
      <c r="CR10" s="675">
        <v>182.94500000000002</v>
      </c>
      <c r="CS10" s="675">
        <v>0</v>
      </c>
      <c r="CT10" s="675">
        <v>0</v>
      </c>
      <c r="CU10" s="675">
        <v>0</v>
      </c>
      <c r="CV10" s="675">
        <v>0</v>
      </c>
      <c r="CW10" s="675">
        <v>0</v>
      </c>
      <c r="CX10" s="675">
        <v>0</v>
      </c>
      <c r="CY10" s="675">
        <v>0</v>
      </c>
      <c r="CZ10" s="675">
        <v>0</v>
      </c>
      <c r="DA10" s="675">
        <v>0</v>
      </c>
      <c r="DB10" s="675">
        <v>980721</v>
      </c>
      <c r="DC10" s="675">
        <v>0</v>
      </c>
      <c r="DD10" s="675">
        <v>0</v>
      </c>
      <c r="DE10" s="675">
        <v>94402</v>
      </c>
      <c r="DF10" s="675">
        <v>95812</v>
      </c>
      <c r="DG10" s="675">
        <v>15.325000000000001</v>
      </c>
      <c r="DH10" s="675">
        <v>0</v>
      </c>
      <c r="DI10" s="675">
        <v>1410</v>
      </c>
      <c r="DJ10" s="675">
        <v>0</v>
      </c>
      <c r="DK10" s="675">
        <v>3544</v>
      </c>
      <c r="DL10" s="675">
        <v>0</v>
      </c>
      <c r="DM10" s="675">
        <v>96965</v>
      </c>
      <c r="DN10" s="675">
        <v>314</v>
      </c>
      <c r="DO10" s="675">
        <v>0</v>
      </c>
      <c r="DP10" s="675">
        <v>0</v>
      </c>
      <c r="DQ10" s="675">
        <v>0</v>
      </c>
      <c r="DR10" s="675">
        <v>0</v>
      </c>
      <c r="DS10" s="675">
        <v>0</v>
      </c>
      <c r="DT10" s="675">
        <v>0</v>
      </c>
      <c r="DU10" s="675">
        <v>0</v>
      </c>
      <c r="DV10" s="675">
        <v>0</v>
      </c>
      <c r="DW10" s="675">
        <v>0</v>
      </c>
      <c r="DX10" s="675">
        <v>0</v>
      </c>
      <c r="DY10" s="675">
        <v>0</v>
      </c>
      <c r="DZ10" s="675">
        <v>0</v>
      </c>
      <c r="EA10" s="675">
        <v>0</v>
      </c>
      <c r="EB10" s="675">
        <v>0</v>
      </c>
      <c r="EC10" s="675">
        <v>9.298</v>
      </c>
      <c r="ED10" s="675">
        <v>65867</v>
      </c>
      <c r="EE10" s="675">
        <v>0</v>
      </c>
      <c r="EF10" s="675">
        <v>0</v>
      </c>
      <c r="EG10" s="675">
        <v>0</v>
      </c>
      <c r="EH10" s="675">
        <v>16971</v>
      </c>
      <c r="EI10" s="675">
        <v>0</v>
      </c>
      <c r="EJ10" s="675">
        <v>0</v>
      </c>
      <c r="EK10" s="675">
        <v>0.85500000000000009</v>
      </c>
      <c r="EL10" s="675">
        <v>0</v>
      </c>
      <c r="EM10" s="675">
        <v>0</v>
      </c>
      <c r="EN10" s="675">
        <v>3.7999999999999999E-2</v>
      </c>
      <c r="EO10" s="675">
        <v>0</v>
      </c>
      <c r="EP10" s="675">
        <v>0</v>
      </c>
      <c r="EQ10" s="675">
        <v>0.89300000000000002</v>
      </c>
      <c r="ER10" s="675">
        <v>0</v>
      </c>
      <c r="ES10" s="675">
        <v>2.7550000000000003</v>
      </c>
      <c r="ET10" s="675">
        <v>0</v>
      </c>
      <c r="EU10" s="675">
        <v>0</v>
      </c>
      <c r="EV10" s="675">
        <v>0</v>
      </c>
      <c r="EW10" s="675">
        <v>0</v>
      </c>
      <c r="EX10" s="675">
        <v>0</v>
      </c>
      <c r="EY10" s="675">
        <v>0</v>
      </c>
      <c r="EZ10" s="675">
        <v>1588960</v>
      </c>
      <c r="FA10" s="675">
        <v>0</v>
      </c>
      <c r="FB10" s="675">
        <v>1662974</v>
      </c>
      <c r="FC10" s="675">
        <v>0</v>
      </c>
      <c r="FD10" s="675">
        <v>0</v>
      </c>
      <c r="FE10" s="675">
        <v>168869</v>
      </c>
      <c r="FF10" s="675">
        <v>34928</v>
      </c>
      <c r="FG10" s="675">
        <v>6.3574999999999993E-2</v>
      </c>
      <c r="FH10" s="675">
        <v>2.6298999999999999E-2</v>
      </c>
      <c r="FI10" s="675">
        <v>0</v>
      </c>
      <c r="FJ10" s="675">
        <v>0</v>
      </c>
      <c r="FK10" s="675">
        <v>269.50200000000001</v>
      </c>
      <c r="FL10" s="675">
        <v>1996569</v>
      </c>
      <c r="FM10" s="675">
        <v>0</v>
      </c>
      <c r="FN10" s="675">
        <v>0</v>
      </c>
      <c r="FO10" s="675">
        <v>0</v>
      </c>
      <c r="FP10" s="675">
        <v>0</v>
      </c>
      <c r="FQ10" s="675">
        <v>0</v>
      </c>
      <c r="FR10" s="675">
        <v>0</v>
      </c>
      <c r="FS10" s="675">
        <v>0</v>
      </c>
      <c r="FT10" s="675">
        <v>0</v>
      </c>
      <c r="FU10" s="675">
        <v>0</v>
      </c>
      <c r="FV10" s="675">
        <v>0</v>
      </c>
      <c r="FW10" s="675">
        <v>0</v>
      </c>
      <c r="FX10" s="675">
        <v>0</v>
      </c>
      <c r="FY10" s="675">
        <v>0</v>
      </c>
      <c r="FZ10" s="675">
        <v>0</v>
      </c>
      <c r="GA10" s="675">
        <v>0</v>
      </c>
      <c r="GB10" s="675">
        <v>263476</v>
      </c>
      <c r="GC10" s="675">
        <v>263476</v>
      </c>
      <c r="GD10" s="675">
        <v>28.536000000000001</v>
      </c>
      <c r="GE10" s="675">
        <v>0</v>
      </c>
      <c r="GF10" s="675">
        <v>0</v>
      </c>
      <c r="GG10" s="675">
        <v>0</v>
      </c>
      <c r="GH10" s="675">
        <v>0</v>
      </c>
      <c r="GI10" s="675">
        <v>0</v>
      </c>
      <c r="GJ10" s="675">
        <v>0</v>
      </c>
      <c r="GK10" s="675">
        <v>0</v>
      </c>
      <c r="GL10" s="675">
        <v>0</v>
      </c>
      <c r="GM10" s="675">
        <v>0</v>
      </c>
      <c r="GN10" s="675">
        <v>0</v>
      </c>
      <c r="GO10" s="675">
        <v>0</v>
      </c>
      <c r="GP10" s="675">
        <v>0</v>
      </c>
      <c r="GQ10" s="675">
        <v>0</v>
      </c>
      <c r="GR10" s="675">
        <v>0</v>
      </c>
      <c r="GS10" s="675">
        <v>0</v>
      </c>
      <c r="GT10" s="675">
        <v>0</v>
      </c>
      <c r="GU10" s="675">
        <v>0</v>
      </c>
      <c r="GV10" s="675">
        <v>0</v>
      </c>
      <c r="GW10" s="675">
        <v>0</v>
      </c>
      <c r="GX10" s="675">
        <v>0</v>
      </c>
      <c r="GY10" s="675">
        <v>0</v>
      </c>
      <c r="GZ10" s="675">
        <v>0</v>
      </c>
      <c r="HA10" s="675">
        <v>0</v>
      </c>
      <c r="HB10" s="675">
        <v>298386780</v>
      </c>
      <c r="HC10" s="675">
        <v>4.5690999999999996E-2</v>
      </c>
      <c r="HD10" s="675">
        <v>34904</v>
      </c>
      <c r="HE10" s="675">
        <v>0</v>
      </c>
      <c r="HF10" s="675">
        <v>177708</v>
      </c>
      <c r="HG10" s="675">
        <v>3080</v>
      </c>
      <c r="HH10" s="675">
        <v>0</v>
      </c>
      <c r="HI10" s="675">
        <v>0</v>
      </c>
      <c r="HJ10" s="675">
        <v>1856</v>
      </c>
      <c r="HK10" s="675">
        <v>1737</v>
      </c>
      <c r="HL10" s="675">
        <v>1455</v>
      </c>
      <c r="HM10" s="675">
        <v>35000</v>
      </c>
      <c r="HN10" s="675">
        <v>0</v>
      </c>
      <c r="HO10" s="675">
        <v>0</v>
      </c>
      <c r="HP10" s="675">
        <v>0</v>
      </c>
      <c r="HQ10" s="675">
        <v>0</v>
      </c>
      <c r="HR10" s="675">
        <v>0</v>
      </c>
      <c r="HS10" s="675">
        <v>1588619</v>
      </c>
      <c r="HT10" s="675">
        <v>34928</v>
      </c>
      <c r="HU10" s="675">
        <v>94894</v>
      </c>
      <c r="HV10" s="675">
        <v>0</v>
      </c>
      <c r="HW10" s="675">
        <v>0</v>
      </c>
      <c r="HX10" s="675">
        <v>11</v>
      </c>
      <c r="HY10" s="675">
        <v>25</v>
      </c>
      <c r="HZ10" s="675">
        <v>4</v>
      </c>
      <c r="IA10" s="675">
        <v>11</v>
      </c>
      <c r="IB10" s="675">
        <v>11</v>
      </c>
      <c r="IC10" s="675">
        <v>62</v>
      </c>
      <c r="ID10" s="675">
        <v>0</v>
      </c>
      <c r="IE10" s="675">
        <v>1</v>
      </c>
      <c r="IF10" s="675">
        <v>0</v>
      </c>
      <c r="IG10" s="675">
        <v>5</v>
      </c>
      <c r="IH10" s="675">
        <v>0</v>
      </c>
      <c r="II10" s="675">
        <v>0</v>
      </c>
      <c r="IJ10" s="675">
        <v>1.242</v>
      </c>
      <c r="IK10" s="675">
        <v>0</v>
      </c>
      <c r="IL10" s="675">
        <v>4</v>
      </c>
      <c r="IM10" s="675">
        <v>5</v>
      </c>
      <c r="IN10" s="675">
        <v>0</v>
      </c>
      <c r="IO10" s="675">
        <v>9</v>
      </c>
      <c r="IP10" s="675">
        <v>0</v>
      </c>
      <c r="IQ10" s="675">
        <v>0.24200000000000002</v>
      </c>
      <c r="IR10" s="675">
        <v>149</v>
      </c>
      <c r="IS10" s="675">
        <v>0</v>
      </c>
      <c r="IT10" s="675">
        <v>20000</v>
      </c>
      <c r="IU10" s="675">
        <v>15000</v>
      </c>
      <c r="IV10" s="675">
        <v>0</v>
      </c>
      <c r="IW10" s="675">
        <v>6160</v>
      </c>
      <c r="IX10" s="675">
        <v>924</v>
      </c>
      <c r="IY10" s="675">
        <v>0</v>
      </c>
      <c r="IZ10" s="675">
        <v>0</v>
      </c>
      <c r="JA10" s="675">
        <v>0</v>
      </c>
      <c r="JB10" s="675">
        <v>0</v>
      </c>
      <c r="JC10" s="675">
        <v>0</v>
      </c>
      <c r="JD10" s="675">
        <v>0</v>
      </c>
      <c r="JE10" s="675">
        <v>0</v>
      </c>
      <c r="JF10" s="675">
        <v>0</v>
      </c>
      <c r="JG10" s="675">
        <v>0</v>
      </c>
      <c r="JH10" s="675">
        <v>0</v>
      </c>
      <c r="JI10" s="675">
        <v>0</v>
      </c>
      <c r="JJ10" s="675">
        <v>0</v>
      </c>
      <c r="JK10" s="675">
        <v>0</v>
      </c>
      <c r="JL10" s="675">
        <v>0</v>
      </c>
      <c r="JM10" s="675">
        <v>0</v>
      </c>
      <c r="JN10" s="675">
        <v>32469</v>
      </c>
      <c r="JO10" s="675">
        <v>3.7470000000000003</v>
      </c>
      <c r="JP10" s="675">
        <v>22.474</v>
      </c>
      <c r="JQ10" s="675">
        <v>2.3149999999999999</v>
      </c>
      <c r="JR10" s="675">
        <v>29924</v>
      </c>
      <c r="JS10" s="675">
        <v>208846</v>
      </c>
      <c r="JT10" s="675">
        <v>24706</v>
      </c>
      <c r="JU10" s="675">
        <v>4118</v>
      </c>
      <c r="JV10" s="675">
        <v>94894</v>
      </c>
      <c r="JW10" s="675">
        <v>0</v>
      </c>
      <c r="JX10" s="675">
        <v>0</v>
      </c>
      <c r="JY10" s="675">
        <v>0</v>
      </c>
      <c r="JZ10" s="675">
        <v>0</v>
      </c>
      <c r="KA10" s="675">
        <v>0</v>
      </c>
      <c r="KB10" s="675">
        <v>0</v>
      </c>
      <c r="KC10" s="675">
        <v>0</v>
      </c>
      <c r="KD10" s="675">
        <v>4118</v>
      </c>
      <c r="KE10" s="675">
        <v>7260</v>
      </c>
      <c r="KF10" s="675">
        <v>0</v>
      </c>
      <c r="KG10" s="675">
        <v>0</v>
      </c>
      <c r="KH10" s="675">
        <v>0</v>
      </c>
      <c r="KI10" s="675">
        <v>0</v>
      </c>
    </row>
    <row r="11" spans="1:295" ht="12.5" x14ac:dyDescent="0.25">
      <c r="A11" s="675">
        <v>35795</v>
      </c>
      <c r="B11" s="675">
        <v>105802</v>
      </c>
      <c r="C11" s="675">
        <v>9</v>
      </c>
      <c r="D11" s="675">
        <v>2022</v>
      </c>
      <c r="E11" s="675">
        <v>6160</v>
      </c>
      <c r="F11" s="675">
        <v>0</v>
      </c>
      <c r="G11" s="675">
        <v>103.71000000000001</v>
      </c>
      <c r="H11" s="675">
        <v>103.60000000000001</v>
      </c>
      <c r="I11" s="675">
        <v>103.60000000000001</v>
      </c>
      <c r="J11" s="675">
        <v>103.71000000000001</v>
      </c>
      <c r="K11" s="675">
        <v>0</v>
      </c>
      <c r="L11" s="675">
        <v>6160</v>
      </c>
      <c r="M11" s="675">
        <v>0</v>
      </c>
      <c r="N11" s="675">
        <v>0</v>
      </c>
      <c r="O11" s="675">
        <v>0</v>
      </c>
      <c r="P11" s="675">
        <v>150.48699999999999</v>
      </c>
      <c r="Q11" s="675">
        <v>0</v>
      </c>
      <c r="R11" s="675">
        <v>60560</v>
      </c>
      <c r="S11" s="675">
        <v>402.428</v>
      </c>
      <c r="T11" s="675">
        <v>0</v>
      </c>
      <c r="U11" s="675">
        <v>32204</v>
      </c>
      <c r="V11" s="675">
        <v>0</v>
      </c>
      <c r="W11" s="675">
        <v>0</v>
      </c>
      <c r="X11" s="675">
        <v>0</v>
      </c>
      <c r="Y11" s="675">
        <v>0</v>
      </c>
      <c r="Z11" s="675">
        <v>0</v>
      </c>
      <c r="AA11" s="675">
        <v>0</v>
      </c>
      <c r="AB11" s="675">
        <v>0</v>
      </c>
      <c r="AC11" s="675">
        <v>0</v>
      </c>
      <c r="AD11" s="675" t="s">
        <v>316</v>
      </c>
      <c r="AE11" s="675">
        <v>0</v>
      </c>
      <c r="AF11" s="675">
        <v>0</v>
      </c>
      <c r="AG11" s="675">
        <v>0</v>
      </c>
      <c r="AH11" s="675">
        <v>0</v>
      </c>
      <c r="AI11" s="675">
        <v>0</v>
      </c>
      <c r="AJ11" s="675">
        <v>6160</v>
      </c>
      <c r="AK11" s="675" t="s">
        <v>671</v>
      </c>
      <c r="AL11" s="675" t="s">
        <v>3</v>
      </c>
      <c r="AM11" s="675">
        <v>0</v>
      </c>
      <c r="AN11" s="675">
        <v>0</v>
      </c>
      <c r="AO11" s="675">
        <v>0</v>
      </c>
      <c r="AP11" s="675">
        <v>0</v>
      </c>
      <c r="AQ11" s="675">
        <v>0</v>
      </c>
      <c r="AR11" s="675">
        <v>0</v>
      </c>
      <c r="AS11" s="675">
        <v>0</v>
      </c>
      <c r="AT11" s="675">
        <v>0</v>
      </c>
      <c r="AU11" s="675">
        <v>0</v>
      </c>
      <c r="AV11" s="675">
        <v>-26329</v>
      </c>
      <c r="AW11" s="675">
        <v>1071329</v>
      </c>
      <c r="AX11" s="675">
        <v>977952</v>
      </c>
      <c r="AY11" s="675">
        <v>765058</v>
      </c>
      <c r="AZ11" s="675">
        <v>60560</v>
      </c>
      <c r="BA11" s="675">
        <v>0</v>
      </c>
      <c r="BB11" s="675">
        <v>0</v>
      </c>
      <c r="BC11" s="675">
        <v>0</v>
      </c>
      <c r="BD11" s="675">
        <v>0</v>
      </c>
      <c r="BE11" s="675">
        <v>0</v>
      </c>
      <c r="BF11" s="675">
        <v>902679</v>
      </c>
      <c r="BG11" s="675">
        <v>0</v>
      </c>
      <c r="BH11" s="675">
        <v>0</v>
      </c>
      <c r="BI11" s="675">
        <v>0</v>
      </c>
      <c r="BJ11" s="675">
        <v>12</v>
      </c>
      <c r="BK11" s="675">
        <v>0</v>
      </c>
      <c r="BL11" s="675">
        <v>0</v>
      </c>
      <c r="BM11" s="675">
        <v>0</v>
      </c>
      <c r="BN11" s="675">
        <v>0</v>
      </c>
      <c r="BO11" s="675">
        <v>0</v>
      </c>
      <c r="BP11" s="675">
        <v>0</v>
      </c>
      <c r="BQ11" s="675">
        <v>754</v>
      </c>
      <c r="BR11" s="675">
        <v>0</v>
      </c>
      <c r="BS11" s="675">
        <v>0</v>
      </c>
      <c r="BT11" s="675">
        <v>0</v>
      </c>
      <c r="BU11" s="675">
        <v>0</v>
      </c>
      <c r="BV11" s="675">
        <v>0</v>
      </c>
      <c r="BW11" s="675">
        <v>0</v>
      </c>
      <c r="BX11" s="675">
        <v>0</v>
      </c>
      <c r="BY11" s="675">
        <v>0</v>
      </c>
      <c r="BZ11" s="675">
        <v>0</v>
      </c>
      <c r="CA11" s="675">
        <v>0</v>
      </c>
      <c r="CB11" s="675">
        <v>0</v>
      </c>
      <c r="CC11" s="675">
        <v>0</v>
      </c>
      <c r="CD11" s="675">
        <v>0</v>
      </c>
      <c r="CE11" s="675">
        <v>0</v>
      </c>
      <c r="CF11" s="675">
        <v>0</v>
      </c>
      <c r="CG11" s="675">
        <v>0</v>
      </c>
      <c r="CH11" s="675">
        <v>93443</v>
      </c>
      <c r="CI11" s="675">
        <v>0</v>
      </c>
      <c r="CJ11" s="675">
        <v>4</v>
      </c>
      <c r="CK11" s="675">
        <v>0</v>
      </c>
      <c r="CL11" s="675">
        <v>0</v>
      </c>
      <c r="CM11" s="675">
        <v>0</v>
      </c>
      <c r="CN11" s="675">
        <v>0</v>
      </c>
      <c r="CO11" s="675">
        <v>1</v>
      </c>
      <c r="CP11" s="675">
        <v>0</v>
      </c>
      <c r="CQ11" s="675">
        <v>0</v>
      </c>
      <c r="CR11" s="675">
        <v>143.65700000000001</v>
      </c>
      <c r="CS11" s="675">
        <v>0</v>
      </c>
      <c r="CT11" s="675">
        <v>0</v>
      </c>
      <c r="CU11" s="675">
        <v>0</v>
      </c>
      <c r="CV11" s="675">
        <v>0</v>
      </c>
      <c r="CW11" s="675">
        <v>0</v>
      </c>
      <c r="CX11" s="675">
        <v>0</v>
      </c>
      <c r="CY11" s="675">
        <v>0</v>
      </c>
      <c r="CZ11" s="675">
        <v>0</v>
      </c>
      <c r="DA11" s="675">
        <v>0</v>
      </c>
      <c r="DB11" s="675">
        <v>551476</v>
      </c>
      <c r="DC11" s="675">
        <v>0</v>
      </c>
      <c r="DD11" s="675">
        <v>0</v>
      </c>
      <c r="DE11" s="675">
        <v>110263</v>
      </c>
      <c r="DF11" s="675">
        <v>110263</v>
      </c>
      <c r="DG11" s="675">
        <v>17.900000000000002</v>
      </c>
      <c r="DH11" s="675">
        <v>0</v>
      </c>
      <c r="DI11" s="675">
        <v>0</v>
      </c>
      <c r="DJ11" s="675">
        <v>0</v>
      </c>
      <c r="DK11" s="675">
        <v>3687</v>
      </c>
      <c r="DL11" s="675">
        <v>0</v>
      </c>
      <c r="DM11" s="675">
        <v>103876</v>
      </c>
      <c r="DN11" s="675">
        <v>65</v>
      </c>
      <c r="DO11" s="675">
        <v>0</v>
      </c>
      <c r="DP11" s="675">
        <v>0</v>
      </c>
      <c r="DQ11" s="675">
        <v>0</v>
      </c>
      <c r="DR11" s="675">
        <v>0</v>
      </c>
      <c r="DS11" s="675">
        <v>0</v>
      </c>
      <c r="DT11" s="675">
        <v>0</v>
      </c>
      <c r="DU11" s="675">
        <v>0</v>
      </c>
      <c r="DV11" s="675">
        <v>0</v>
      </c>
      <c r="DW11" s="675">
        <v>0</v>
      </c>
      <c r="DX11" s="675">
        <v>0</v>
      </c>
      <c r="DY11" s="675">
        <v>0</v>
      </c>
      <c r="DZ11" s="675">
        <v>0</v>
      </c>
      <c r="EA11" s="675">
        <v>0</v>
      </c>
      <c r="EB11" s="675">
        <v>0</v>
      </c>
      <c r="EC11" s="675">
        <v>1.9560000000000002</v>
      </c>
      <c r="ED11" s="675">
        <v>13856</v>
      </c>
      <c r="EE11" s="675">
        <v>0</v>
      </c>
      <c r="EF11" s="675">
        <v>0</v>
      </c>
      <c r="EG11" s="675">
        <v>0</v>
      </c>
      <c r="EH11" s="675">
        <v>3388</v>
      </c>
      <c r="EI11" s="675">
        <v>0</v>
      </c>
      <c r="EJ11" s="675">
        <v>0</v>
      </c>
      <c r="EK11" s="675">
        <v>0</v>
      </c>
      <c r="EL11" s="675">
        <v>0</v>
      </c>
      <c r="EM11" s="675">
        <v>0</v>
      </c>
      <c r="EN11" s="675">
        <v>0.11</v>
      </c>
      <c r="EO11" s="675">
        <v>0</v>
      </c>
      <c r="EP11" s="675">
        <v>0</v>
      </c>
      <c r="EQ11" s="675">
        <v>0.11</v>
      </c>
      <c r="ER11" s="675">
        <v>0</v>
      </c>
      <c r="ES11" s="675">
        <v>0.55000000000000004</v>
      </c>
      <c r="ET11" s="675">
        <v>0</v>
      </c>
      <c r="EU11" s="675">
        <v>0</v>
      </c>
      <c r="EV11" s="675">
        <v>0</v>
      </c>
      <c r="EW11" s="675">
        <v>0</v>
      </c>
      <c r="EX11" s="675">
        <v>0</v>
      </c>
      <c r="EY11" s="675">
        <v>0</v>
      </c>
      <c r="EZ11" s="675">
        <v>867139</v>
      </c>
      <c r="FA11" s="675">
        <v>0</v>
      </c>
      <c r="FB11" s="675">
        <v>927634</v>
      </c>
      <c r="FC11" s="675">
        <v>0</v>
      </c>
      <c r="FD11" s="675">
        <v>0</v>
      </c>
      <c r="FE11" s="675">
        <v>91821</v>
      </c>
      <c r="FF11" s="675">
        <v>18992</v>
      </c>
      <c r="FG11" s="675">
        <v>6.3574999999999993E-2</v>
      </c>
      <c r="FH11" s="675">
        <v>2.6298999999999999E-2</v>
      </c>
      <c r="FI11" s="675">
        <v>0</v>
      </c>
      <c r="FJ11" s="675">
        <v>0</v>
      </c>
      <c r="FK11" s="675">
        <v>146.53900000000002</v>
      </c>
      <c r="FL11" s="675">
        <v>1131889</v>
      </c>
      <c r="FM11" s="675">
        <v>0</v>
      </c>
      <c r="FN11" s="675">
        <v>0</v>
      </c>
      <c r="FO11" s="675">
        <v>25020</v>
      </c>
      <c r="FP11" s="675">
        <v>0</v>
      </c>
      <c r="FQ11" s="675">
        <v>25020</v>
      </c>
      <c r="FR11" s="675">
        <v>25020</v>
      </c>
      <c r="FS11" s="675">
        <v>0</v>
      </c>
      <c r="FT11" s="675">
        <v>0</v>
      </c>
      <c r="FU11" s="675">
        <v>0</v>
      </c>
      <c r="FV11" s="675">
        <v>0</v>
      </c>
      <c r="FW11" s="675">
        <v>0</v>
      </c>
      <c r="FX11" s="675">
        <v>0</v>
      </c>
      <c r="FY11" s="675">
        <v>0</v>
      </c>
      <c r="FZ11" s="675">
        <v>0</v>
      </c>
      <c r="GA11" s="675">
        <v>0</v>
      </c>
      <c r="GB11" s="675">
        <v>0</v>
      </c>
      <c r="GC11" s="675">
        <v>0</v>
      </c>
      <c r="GD11" s="675">
        <v>0</v>
      </c>
      <c r="GE11" s="675">
        <v>0</v>
      </c>
      <c r="GF11" s="675">
        <v>0</v>
      </c>
      <c r="GG11" s="675">
        <v>0</v>
      </c>
      <c r="GH11" s="675">
        <v>0</v>
      </c>
      <c r="GI11" s="675">
        <v>0</v>
      </c>
      <c r="GJ11" s="675">
        <v>0</v>
      </c>
      <c r="GK11" s="675">
        <v>0</v>
      </c>
      <c r="GL11" s="675">
        <v>0</v>
      </c>
      <c r="GM11" s="675">
        <v>0</v>
      </c>
      <c r="GN11" s="675">
        <v>0</v>
      </c>
      <c r="GO11" s="675">
        <v>0</v>
      </c>
      <c r="GP11" s="675">
        <v>0</v>
      </c>
      <c r="GQ11" s="675">
        <v>0</v>
      </c>
      <c r="GR11" s="675">
        <v>0</v>
      </c>
      <c r="GS11" s="675">
        <v>0</v>
      </c>
      <c r="GT11" s="675">
        <v>0</v>
      </c>
      <c r="GU11" s="675">
        <v>0</v>
      </c>
      <c r="GV11" s="675">
        <v>0</v>
      </c>
      <c r="GW11" s="675">
        <v>0</v>
      </c>
      <c r="GX11" s="675">
        <v>0</v>
      </c>
      <c r="GY11" s="675">
        <v>0</v>
      </c>
      <c r="GZ11" s="675">
        <v>0</v>
      </c>
      <c r="HA11" s="675">
        <v>0</v>
      </c>
      <c r="HB11" s="675">
        <v>0</v>
      </c>
      <c r="HC11" s="675">
        <v>4.5690999999999996E-2</v>
      </c>
      <c r="HD11" s="675">
        <v>0</v>
      </c>
      <c r="HE11" s="675">
        <v>0</v>
      </c>
      <c r="HF11" s="675">
        <v>113960</v>
      </c>
      <c r="HG11" s="675">
        <v>1232</v>
      </c>
      <c r="HH11" s="675">
        <v>20799</v>
      </c>
      <c r="HI11" s="675">
        <v>0</v>
      </c>
      <c r="HJ11" s="675">
        <v>1008</v>
      </c>
      <c r="HK11" s="675">
        <v>0</v>
      </c>
      <c r="HL11" s="675">
        <v>0</v>
      </c>
      <c r="HM11" s="675">
        <v>0</v>
      </c>
      <c r="HN11" s="675">
        <v>0</v>
      </c>
      <c r="HO11" s="675">
        <v>0</v>
      </c>
      <c r="HP11" s="675">
        <v>0</v>
      </c>
      <c r="HQ11" s="675">
        <v>0</v>
      </c>
      <c r="HR11" s="675">
        <v>0</v>
      </c>
      <c r="HS11" s="675">
        <v>867074</v>
      </c>
      <c r="HT11" s="675">
        <v>18992</v>
      </c>
      <c r="HU11" s="675">
        <v>93443</v>
      </c>
      <c r="HV11" s="675">
        <v>0</v>
      </c>
      <c r="HW11" s="675">
        <v>0</v>
      </c>
      <c r="HX11" s="675">
        <v>9</v>
      </c>
      <c r="HY11" s="675">
        <v>2</v>
      </c>
      <c r="HZ11" s="675">
        <v>15</v>
      </c>
      <c r="IA11" s="675">
        <v>14</v>
      </c>
      <c r="IB11" s="675">
        <v>29</v>
      </c>
      <c r="IC11" s="675">
        <v>69</v>
      </c>
      <c r="ID11" s="675">
        <v>0</v>
      </c>
      <c r="IE11" s="675">
        <v>0</v>
      </c>
      <c r="IF11" s="675">
        <v>0</v>
      </c>
      <c r="IG11" s="675">
        <v>2</v>
      </c>
      <c r="IH11" s="675">
        <v>33.764000000000003</v>
      </c>
      <c r="II11" s="675">
        <v>0</v>
      </c>
      <c r="IJ11" s="675">
        <v>0</v>
      </c>
      <c r="IK11" s="675">
        <v>0</v>
      </c>
      <c r="IL11" s="675">
        <v>0</v>
      </c>
      <c r="IM11" s="675">
        <v>0</v>
      </c>
      <c r="IN11" s="675">
        <v>0</v>
      </c>
      <c r="IO11" s="675">
        <v>0</v>
      </c>
      <c r="IP11" s="675">
        <v>0</v>
      </c>
      <c r="IQ11" s="675">
        <v>0</v>
      </c>
      <c r="IR11" s="675">
        <v>0</v>
      </c>
      <c r="IS11" s="675">
        <v>0</v>
      </c>
      <c r="IT11" s="675">
        <v>0</v>
      </c>
      <c r="IU11" s="675">
        <v>0</v>
      </c>
      <c r="IV11" s="675">
        <v>0</v>
      </c>
      <c r="IW11" s="675">
        <v>6160</v>
      </c>
      <c r="IX11" s="675">
        <v>0</v>
      </c>
      <c r="IY11" s="675">
        <v>0</v>
      </c>
      <c r="IZ11" s="675">
        <v>0</v>
      </c>
      <c r="JA11" s="675">
        <v>0</v>
      </c>
      <c r="JB11" s="675">
        <v>0</v>
      </c>
      <c r="JC11" s="675">
        <v>0</v>
      </c>
      <c r="JD11" s="675">
        <v>0</v>
      </c>
      <c r="JE11" s="675">
        <v>0</v>
      </c>
      <c r="JF11" s="675">
        <v>0</v>
      </c>
      <c r="JG11" s="675">
        <v>0</v>
      </c>
      <c r="JH11" s="675">
        <v>0</v>
      </c>
      <c r="JI11" s="675">
        <v>0</v>
      </c>
      <c r="JJ11" s="675">
        <v>0</v>
      </c>
      <c r="JK11" s="675">
        <v>0</v>
      </c>
      <c r="JL11" s="675">
        <v>0</v>
      </c>
      <c r="JM11" s="675">
        <v>0</v>
      </c>
      <c r="JN11" s="675">
        <v>32469</v>
      </c>
      <c r="JO11" s="675">
        <v>0</v>
      </c>
      <c r="JP11" s="675">
        <v>0</v>
      </c>
      <c r="JQ11" s="675">
        <v>0</v>
      </c>
      <c r="JR11" s="675">
        <v>0</v>
      </c>
      <c r="JS11" s="675">
        <v>0</v>
      </c>
      <c r="JT11" s="675">
        <v>0</v>
      </c>
      <c r="JU11" s="675">
        <v>0</v>
      </c>
      <c r="JV11" s="675">
        <v>93443</v>
      </c>
      <c r="JW11" s="675">
        <v>0</v>
      </c>
      <c r="JX11" s="675">
        <v>0</v>
      </c>
      <c r="JY11" s="675">
        <v>0</v>
      </c>
      <c r="JZ11" s="675">
        <v>0</v>
      </c>
      <c r="KA11" s="675">
        <v>0</v>
      </c>
      <c r="KB11" s="675">
        <v>0</v>
      </c>
      <c r="KC11" s="675">
        <v>0</v>
      </c>
      <c r="KD11" s="675">
        <v>0</v>
      </c>
      <c r="KE11" s="675">
        <v>7260</v>
      </c>
      <c r="KF11" s="675">
        <v>0</v>
      </c>
      <c r="KG11" s="675">
        <v>0</v>
      </c>
      <c r="KH11" s="675">
        <v>0</v>
      </c>
      <c r="KI11" s="675">
        <v>0</v>
      </c>
    </row>
    <row r="12" spans="1:295" ht="12.5" x14ac:dyDescent="0.25">
      <c r="A12" s="675">
        <v>35795</v>
      </c>
      <c r="B12" s="675">
        <v>68802</v>
      </c>
      <c r="C12" s="675">
        <v>9</v>
      </c>
      <c r="D12" s="675">
        <v>2022</v>
      </c>
      <c r="E12" s="675">
        <v>6160</v>
      </c>
      <c r="F12" s="675">
        <v>0</v>
      </c>
      <c r="G12" s="675">
        <v>1293.3920000000001</v>
      </c>
      <c r="H12" s="675">
        <v>1262.8800000000001</v>
      </c>
      <c r="I12" s="675">
        <v>1262.8800000000001</v>
      </c>
      <c r="J12" s="675">
        <v>1293.3920000000001</v>
      </c>
      <c r="K12" s="675">
        <v>0</v>
      </c>
      <c r="L12" s="675">
        <v>6160</v>
      </c>
      <c r="M12" s="675">
        <v>0</v>
      </c>
      <c r="N12" s="675">
        <v>0</v>
      </c>
      <c r="O12" s="675">
        <v>0</v>
      </c>
      <c r="P12" s="675">
        <v>1266.675</v>
      </c>
      <c r="Q12" s="675">
        <v>0</v>
      </c>
      <c r="R12" s="675">
        <v>509745</v>
      </c>
      <c r="S12" s="675">
        <v>402.428</v>
      </c>
      <c r="T12" s="675">
        <v>0</v>
      </c>
      <c r="U12" s="675">
        <v>271071</v>
      </c>
      <c r="V12" s="675">
        <v>1.415</v>
      </c>
      <c r="W12" s="675">
        <v>872</v>
      </c>
      <c r="X12" s="675">
        <v>872</v>
      </c>
      <c r="Y12" s="675">
        <v>0</v>
      </c>
      <c r="Z12" s="675">
        <v>0</v>
      </c>
      <c r="AA12" s="675">
        <v>0</v>
      </c>
      <c r="AB12" s="675">
        <v>0</v>
      </c>
      <c r="AC12" s="675">
        <v>0</v>
      </c>
      <c r="AD12" s="675" t="s">
        <v>316</v>
      </c>
      <c r="AE12" s="675">
        <v>0</v>
      </c>
      <c r="AF12" s="675">
        <v>0</v>
      </c>
      <c r="AG12" s="675">
        <v>0</v>
      </c>
      <c r="AH12" s="675">
        <v>0</v>
      </c>
      <c r="AI12" s="675">
        <v>0</v>
      </c>
      <c r="AJ12" s="675">
        <v>6160</v>
      </c>
      <c r="AK12" s="675" t="s">
        <v>671</v>
      </c>
      <c r="AL12" s="675" t="s">
        <v>337</v>
      </c>
      <c r="AM12" s="675">
        <v>0</v>
      </c>
      <c r="AN12" s="675">
        <v>0</v>
      </c>
      <c r="AO12" s="675">
        <v>0</v>
      </c>
      <c r="AP12" s="675">
        <v>0</v>
      </c>
      <c r="AQ12" s="675">
        <v>0</v>
      </c>
      <c r="AR12" s="675">
        <v>0</v>
      </c>
      <c r="AS12" s="675">
        <v>0</v>
      </c>
      <c r="AT12" s="675">
        <v>0</v>
      </c>
      <c r="AU12" s="675">
        <v>0</v>
      </c>
      <c r="AV12" s="675">
        <v>0</v>
      </c>
      <c r="AW12" s="675">
        <v>11231816</v>
      </c>
      <c r="AX12" s="675">
        <v>10922601</v>
      </c>
      <c r="AY12" s="675">
        <v>8142125</v>
      </c>
      <c r="AZ12" s="675">
        <v>509745</v>
      </c>
      <c r="BA12" s="675">
        <v>0</v>
      </c>
      <c r="BB12" s="675">
        <v>3665</v>
      </c>
      <c r="BC12" s="675">
        <v>3641</v>
      </c>
      <c r="BD12" s="675">
        <v>8.5</v>
      </c>
      <c r="BE12" s="675">
        <v>24</v>
      </c>
      <c r="BF12" s="675">
        <v>10179139</v>
      </c>
      <c r="BG12" s="675">
        <v>0</v>
      </c>
      <c r="BH12" s="675">
        <v>0</v>
      </c>
      <c r="BI12" s="675">
        <v>0</v>
      </c>
      <c r="BJ12" s="675">
        <v>12</v>
      </c>
      <c r="BK12" s="675">
        <v>0</v>
      </c>
      <c r="BL12" s="675">
        <v>0</v>
      </c>
      <c r="BM12" s="675">
        <v>0</v>
      </c>
      <c r="BN12" s="675">
        <v>0</v>
      </c>
      <c r="BO12" s="675">
        <v>0</v>
      </c>
      <c r="BP12" s="675">
        <v>0</v>
      </c>
      <c r="BQ12" s="675">
        <v>576</v>
      </c>
      <c r="BR12" s="675">
        <v>0</v>
      </c>
      <c r="BS12" s="675">
        <v>0</v>
      </c>
      <c r="BT12" s="675">
        <v>0</v>
      </c>
      <c r="BU12" s="675">
        <v>0</v>
      </c>
      <c r="BV12" s="675">
        <v>0</v>
      </c>
      <c r="BW12" s="675">
        <v>0</v>
      </c>
      <c r="BX12" s="675">
        <v>0</v>
      </c>
      <c r="BY12" s="675">
        <v>0</v>
      </c>
      <c r="BZ12" s="675">
        <v>0</v>
      </c>
      <c r="CA12" s="675">
        <v>0</v>
      </c>
      <c r="CB12" s="675">
        <v>0</v>
      </c>
      <c r="CC12" s="675">
        <v>0</v>
      </c>
      <c r="CD12" s="675">
        <v>0</v>
      </c>
      <c r="CE12" s="675">
        <v>0</v>
      </c>
      <c r="CF12" s="675">
        <v>0</v>
      </c>
      <c r="CG12" s="675">
        <v>0</v>
      </c>
      <c r="CH12" s="675">
        <v>312284</v>
      </c>
      <c r="CI12" s="675">
        <v>0</v>
      </c>
      <c r="CJ12" s="675">
        <v>5</v>
      </c>
      <c r="CK12" s="675">
        <v>0</v>
      </c>
      <c r="CL12" s="675">
        <v>0</v>
      </c>
      <c r="CM12" s="675">
        <v>0</v>
      </c>
      <c r="CN12" s="675">
        <v>0</v>
      </c>
      <c r="CO12" s="675">
        <v>1</v>
      </c>
      <c r="CP12" s="675">
        <v>0</v>
      </c>
      <c r="CQ12" s="675">
        <v>0</v>
      </c>
      <c r="CR12" s="675">
        <v>1278.3980000000001</v>
      </c>
      <c r="CS12" s="675">
        <v>0</v>
      </c>
      <c r="CT12" s="675">
        <v>0</v>
      </c>
      <c r="CU12" s="675">
        <v>0</v>
      </c>
      <c r="CV12" s="675">
        <v>0</v>
      </c>
      <c r="CW12" s="675">
        <v>0</v>
      </c>
      <c r="CX12" s="675">
        <v>0</v>
      </c>
      <c r="CY12" s="675">
        <v>0</v>
      </c>
      <c r="CZ12" s="675">
        <v>0</v>
      </c>
      <c r="DA12" s="675">
        <v>0</v>
      </c>
      <c r="DB12" s="675">
        <v>7779305</v>
      </c>
      <c r="DC12" s="675">
        <v>0</v>
      </c>
      <c r="DD12" s="675">
        <v>0</v>
      </c>
      <c r="DE12" s="675">
        <v>172094</v>
      </c>
      <c r="DF12" s="675">
        <v>172094</v>
      </c>
      <c r="DG12" s="675">
        <v>27.938000000000002</v>
      </c>
      <c r="DH12" s="675">
        <v>0</v>
      </c>
      <c r="DI12" s="675">
        <v>0</v>
      </c>
      <c r="DJ12" s="675">
        <v>0</v>
      </c>
      <c r="DK12" s="675">
        <v>831</v>
      </c>
      <c r="DL12" s="675">
        <v>0</v>
      </c>
      <c r="DM12" s="675">
        <v>799560</v>
      </c>
      <c r="DN12" s="675">
        <v>3046</v>
      </c>
      <c r="DO12" s="675">
        <v>0</v>
      </c>
      <c r="DP12" s="675">
        <v>0</v>
      </c>
      <c r="DQ12" s="675">
        <v>0</v>
      </c>
      <c r="DR12" s="675">
        <v>0</v>
      </c>
      <c r="DS12" s="675">
        <v>0</v>
      </c>
      <c r="DT12" s="675">
        <v>0</v>
      </c>
      <c r="DU12" s="675">
        <v>0</v>
      </c>
      <c r="DV12" s="675">
        <v>0</v>
      </c>
      <c r="DW12" s="675">
        <v>0</v>
      </c>
      <c r="DX12" s="675">
        <v>0</v>
      </c>
      <c r="DY12" s="675">
        <v>0</v>
      </c>
      <c r="DZ12" s="675">
        <v>0</v>
      </c>
      <c r="EA12" s="675">
        <v>0</v>
      </c>
      <c r="EB12" s="675">
        <v>0</v>
      </c>
      <c r="EC12" s="675">
        <v>30.125</v>
      </c>
      <c r="ED12" s="675">
        <v>213405</v>
      </c>
      <c r="EE12" s="675">
        <v>0</v>
      </c>
      <c r="EF12" s="675">
        <v>0</v>
      </c>
      <c r="EG12" s="675">
        <v>0</v>
      </c>
      <c r="EH12" s="675">
        <v>589201</v>
      </c>
      <c r="EI12" s="675">
        <v>0</v>
      </c>
      <c r="EJ12" s="675">
        <v>0</v>
      </c>
      <c r="EK12" s="675">
        <v>28.455000000000002</v>
      </c>
      <c r="EL12" s="675">
        <v>0</v>
      </c>
      <c r="EM12" s="675">
        <v>0</v>
      </c>
      <c r="EN12" s="675">
        <v>2.0569999999999999</v>
      </c>
      <c r="EO12" s="675">
        <v>0</v>
      </c>
      <c r="EP12" s="675">
        <v>0</v>
      </c>
      <c r="EQ12" s="675">
        <v>30.512</v>
      </c>
      <c r="ER12" s="675">
        <v>0</v>
      </c>
      <c r="ES12" s="675">
        <v>95.65</v>
      </c>
      <c r="ET12" s="675">
        <v>0</v>
      </c>
      <c r="EU12" s="675">
        <v>0</v>
      </c>
      <c r="EV12" s="675">
        <v>0</v>
      </c>
      <c r="EW12" s="675">
        <v>0</v>
      </c>
      <c r="EX12" s="675">
        <v>0</v>
      </c>
      <c r="EY12" s="675">
        <v>0</v>
      </c>
      <c r="EZ12" s="675">
        <v>9673012</v>
      </c>
      <c r="FA12" s="675">
        <v>0</v>
      </c>
      <c r="FB12" s="675">
        <v>10179688</v>
      </c>
      <c r="FC12" s="675">
        <v>0</v>
      </c>
      <c r="FD12" s="675">
        <v>0</v>
      </c>
      <c r="FE12" s="675">
        <v>1035427</v>
      </c>
      <c r="FF12" s="675">
        <v>214162</v>
      </c>
      <c r="FG12" s="675">
        <v>6.3574999999999993E-2</v>
      </c>
      <c r="FH12" s="675">
        <v>2.6298999999999999E-2</v>
      </c>
      <c r="FI12" s="675">
        <v>0</v>
      </c>
      <c r="FJ12" s="675">
        <v>0</v>
      </c>
      <c r="FK12" s="675">
        <v>1652.4650000000001</v>
      </c>
      <c r="FL12" s="675">
        <v>11741561</v>
      </c>
      <c r="FM12" s="675">
        <v>0</v>
      </c>
      <c r="FN12" s="675">
        <v>0</v>
      </c>
      <c r="FO12" s="675">
        <v>0</v>
      </c>
      <c r="FP12" s="675">
        <v>0</v>
      </c>
      <c r="FQ12" s="675">
        <v>0</v>
      </c>
      <c r="FR12" s="675">
        <v>0</v>
      </c>
      <c r="FS12" s="675">
        <v>0</v>
      </c>
      <c r="FT12" s="675">
        <v>0</v>
      </c>
      <c r="FU12" s="675">
        <v>0</v>
      </c>
      <c r="FV12" s="675">
        <v>0</v>
      </c>
      <c r="FW12" s="675">
        <v>0</v>
      </c>
      <c r="FX12" s="675">
        <v>0</v>
      </c>
      <c r="FY12" s="675">
        <v>0</v>
      </c>
      <c r="FZ12" s="675">
        <v>0</v>
      </c>
      <c r="GA12" s="675">
        <v>0</v>
      </c>
      <c r="GB12" s="675">
        <v>0</v>
      </c>
      <c r="GC12" s="675">
        <v>0</v>
      </c>
      <c r="GD12" s="675">
        <v>0</v>
      </c>
      <c r="GE12" s="675">
        <v>0</v>
      </c>
      <c r="GF12" s="675">
        <v>0</v>
      </c>
      <c r="GG12" s="675">
        <v>0</v>
      </c>
      <c r="GH12" s="675">
        <v>0</v>
      </c>
      <c r="GI12" s="675">
        <v>0</v>
      </c>
      <c r="GJ12" s="675">
        <v>0</v>
      </c>
      <c r="GK12" s="675">
        <v>0</v>
      </c>
      <c r="GL12" s="675">
        <v>0</v>
      </c>
      <c r="GM12" s="675">
        <v>0</v>
      </c>
      <c r="GN12" s="675">
        <v>0</v>
      </c>
      <c r="GO12" s="675">
        <v>0</v>
      </c>
      <c r="GP12" s="675">
        <v>0</v>
      </c>
      <c r="GQ12" s="675">
        <v>0</v>
      </c>
      <c r="GR12" s="675">
        <v>0</v>
      </c>
      <c r="GS12" s="675">
        <v>0</v>
      </c>
      <c r="GT12" s="675">
        <v>0</v>
      </c>
      <c r="GU12" s="675">
        <v>0</v>
      </c>
      <c r="GV12" s="675">
        <v>0</v>
      </c>
      <c r="GW12" s="675">
        <v>0</v>
      </c>
      <c r="GX12" s="675">
        <v>0</v>
      </c>
      <c r="GY12" s="675">
        <v>0</v>
      </c>
      <c r="GZ12" s="675">
        <v>0</v>
      </c>
      <c r="HA12" s="675">
        <v>0</v>
      </c>
      <c r="HB12" s="675">
        <v>298386780</v>
      </c>
      <c r="HC12" s="675">
        <v>4.5690999999999996E-2</v>
      </c>
      <c r="HD12" s="675">
        <v>236384</v>
      </c>
      <c r="HE12" s="675">
        <v>0</v>
      </c>
      <c r="HF12" s="675">
        <v>1389168</v>
      </c>
      <c r="HG12" s="675">
        <v>15400</v>
      </c>
      <c r="HH12" s="675">
        <v>3457</v>
      </c>
      <c r="HI12" s="675">
        <v>0</v>
      </c>
      <c r="HJ12" s="675">
        <v>12572</v>
      </c>
      <c r="HK12" s="675">
        <v>3618</v>
      </c>
      <c r="HL12" s="675">
        <v>0</v>
      </c>
      <c r="HM12" s="675">
        <v>0</v>
      </c>
      <c r="HN12" s="675">
        <v>0</v>
      </c>
      <c r="HO12" s="675">
        <v>0</v>
      </c>
      <c r="HP12" s="675">
        <v>0</v>
      </c>
      <c r="HQ12" s="675">
        <v>0</v>
      </c>
      <c r="HR12" s="675">
        <v>0</v>
      </c>
      <c r="HS12" s="675">
        <v>9669943</v>
      </c>
      <c r="HT12" s="675">
        <v>214162</v>
      </c>
      <c r="HU12" s="675">
        <v>75900</v>
      </c>
      <c r="HV12" s="675">
        <v>0</v>
      </c>
      <c r="HW12" s="675">
        <v>0</v>
      </c>
      <c r="HX12" s="675">
        <v>32</v>
      </c>
      <c r="HY12" s="675">
        <v>45</v>
      </c>
      <c r="HZ12" s="675">
        <v>20</v>
      </c>
      <c r="IA12" s="675">
        <v>14</v>
      </c>
      <c r="IB12" s="675">
        <v>5</v>
      </c>
      <c r="IC12" s="675">
        <v>116</v>
      </c>
      <c r="ID12" s="675">
        <v>0</v>
      </c>
      <c r="IE12" s="675">
        <v>0</v>
      </c>
      <c r="IF12" s="675">
        <v>0</v>
      </c>
      <c r="IG12" s="675">
        <v>25</v>
      </c>
      <c r="IH12" s="675">
        <v>5.6120000000000001</v>
      </c>
      <c r="II12" s="675">
        <v>0</v>
      </c>
      <c r="IJ12" s="675">
        <v>1.415</v>
      </c>
      <c r="IK12" s="675">
        <v>0</v>
      </c>
      <c r="IL12" s="675">
        <v>0</v>
      </c>
      <c r="IM12" s="675">
        <v>0</v>
      </c>
      <c r="IN12" s="675">
        <v>0</v>
      </c>
      <c r="IO12" s="675">
        <v>0</v>
      </c>
      <c r="IP12" s="675">
        <v>0</v>
      </c>
      <c r="IQ12" s="675">
        <v>1.415</v>
      </c>
      <c r="IR12" s="675">
        <v>872</v>
      </c>
      <c r="IS12" s="675">
        <v>0</v>
      </c>
      <c r="IT12" s="675">
        <v>0</v>
      </c>
      <c r="IU12" s="675">
        <v>0</v>
      </c>
      <c r="IV12" s="675">
        <v>0</v>
      </c>
      <c r="IW12" s="675">
        <v>6160</v>
      </c>
      <c r="IX12" s="675">
        <v>0</v>
      </c>
      <c r="IY12" s="675">
        <v>0</v>
      </c>
      <c r="IZ12" s="675">
        <v>0</v>
      </c>
      <c r="JA12" s="675">
        <v>0</v>
      </c>
      <c r="JB12" s="675">
        <v>0</v>
      </c>
      <c r="JC12" s="675">
        <v>0</v>
      </c>
      <c r="JD12" s="675">
        <v>0</v>
      </c>
      <c r="JE12" s="675">
        <v>0</v>
      </c>
      <c r="JF12" s="675">
        <v>0</v>
      </c>
      <c r="JG12" s="675">
        <v>0</v>
      </c>
      <c r="JH12" s="675">
        <v>0</v>
      </c>
      <c r="JI12" s="675">
        <v>0</v>
      </c>
      <c r="JJ12" s="675">
        <v>0</v>
      </c>
      <c r="JK12" s="675">
        <v>0</v>
      </c>
      <c r="JL12" s="675">
        <v>0</v>
      </c>
      <c r="JM12" s="675">
        <v>0</v>
      </c>
      <c r="JN12" s="675">
        <v>32469</v>
      </c>
      <c r="JO12" s="675">
        <v>0</v>
      </c>
      <c r="JP12" s="675">
        <v>0</v>
      </c>
      <c r="JQ12" s="675">
        <v>0</v>
      </c>
      <c r="JR12" s="675">
        <v>0</v>
      </c>
      <c r="JS12" s="675">
        <v>0</v>
      </c>
      <c r="JT12" s="675">
        <v>0</v>
      </c>
      <c r="JU12" s="675">
        <v>3665</v>
      </c>
      <c r="JV12" s="675">
        <v>75900</v>
      </c>
      <c r="JW12" s="675">
        <v>0</v>
      </c>
      <c r="JX12" s="675">
        <v>0</v>
      </c>
      <c r="JY12" s="675">
        <v>0</v>
      </c>
      <c r="JZ12" s="675">
        <v>0</v>
      </c>
      <c r="KA12" s="675">
        <v>0</v>
      </c>
      <c r="KB12" s="675">
        <v>0</v>
      </c>
      <c r="KC12" s="675">
        <v>0</v>
      </c>
      <c r="KD12" s="675">
        <v>3665</v>
      </c>
      <c r="KE12" s="675">
        <v>7260</v>
      </c>
      <c r="KF12" s="675">
        <v>0</v>
      </c>
      <c r="KG12" s="675">
        <v>0</v>
      </c>
      <c r="KH12" s="675">
        <v>0</v>
      </c>
      <c r="KI12" s="675">
        <v>0</v>
      </c>
    </row>
    <row r="13" spans="1:295" ht="12.5" x14ac:dyDescent="0.25">
      <c r="A13" s="675">
        <v>35795</v>
      </c>
      <c r="B13" s="675">
        <v>108802</v>
      </c>
      <c r="C13" s="675">
        <v>9</v>
      </c>
      <c r="D13" s="675">
        <v>2022</v>
      </c>
      <c r="E13" s="675">
        <v>6160</v>
      </c>
      <c r="F13" s="675">
        <v>0</v>
      </c>
      <c r="G13" s="675">
        <v>1120.8980000000001</v>
      </c>
      <c r="H13" s="675">
        <v>1097.6770000000001</v>
      </c>
      <c r="I13" s="675">
        <v>1097.6770000000001</v>
      </c>
      <c r="J13" s="675">
        <v>1120.8980000000001</v>
      </c>
      <c r="K13" s="675">
        <v>0</v>
      </c>
      <c r="L13" s="675">
        <v>6160</v>
      </c>
      <c r="M13" s="675">
        <v>0</v>
      </c>
      <c r="N13" s="675">
        <v>0</v>
      </c>
      <c r="O13" s="675">
        <v>0</v>
      </c>
      <c r="P13" s="675">
        <v>1094.1970000000001</v>
      </c>
      <c r="Q13" s="675">
        <v>0</v>
      </c>
      <c r="R13" s="675">
        <v>440336</v>
      </c>
      <c r="S13" s="675">
        <v>402.428</v>
      </c>
      <c r="T13" s="675">
        <v>0</v>
      </c>
      <c r="U13" s="675">
        <v>234160</v>
      </c>
      <c r="V13" s="675">
        <v>350.71</v>
      </c>
      <c r="W13" s="675">
        <v>216036</v>
      </c>
      <c r="X13" s="675">
        <v>216036</v>
      </c>
      <c r="Y13" s="675">
        <v>0</v>
      </c>
      <c r="Z13" s="675">
        <v>0</v>
      </c>
      <c r="AA13" s="675">
        <v>0</v>
      </c>
      <c r="AB13" s="675">
        <v>0</v>
      </c>
      <c r="AC13" s="675">
        <v>0</v>
      </c>
      <c r="AD13" s="675" t="s">
        <v>316</v>
      </c>
      <c r="AE13" s="675">
        <v>0</v>
      </c>
      <c r="AF13" s="675">
        <v>0</v>
      </c>
      <c r="AG13" s="675">
        <v>0</v>
      </c>
      <c r="AH13" s="675">
        <v>0</v>
      </c>
      <c r="AI13" s="675">
        <v>0</v>
      </c>
      <c r="AJ13" s="675">
        <v>6160</v>
      </c>
      <c r="AK13" s="675" t="s">
        <v>671</v>
      </c>
      <c r="AL13" s="675" t="s">
        <v>354</v>
      </c>
      <c r="AM13" s="675">
        <v>0</v>
      </c>
      <c r="AN13" s="675">
        <v>0</v>
      </c>
      <c r="AO13" s="675">
        <v>0</v>
      </c>
      <c r="AP13" s="675">
        <v>0</v>
      </c>
      <c r="AQ13" s="675">
        <v>0</v>
      </c>
      <c r="AR13" s="675">
        <v>0</v>
      </c>
      <c r="AS13" s="675">
        <v>0</v>
      </c>
      <c r="AT13" s="675">
        <v>0</v>
      </c>
      <c r="AU13" s="675">
        <v>0</v>
      </c>
      <c r="AV13" s="675">
        <v>-13731</v>
      </c>
      <c r="AW13" s="675">
        <v>11809652</v>
      </c>
      <c r="AX13" s="675">
        <v>11506174</v>
      </c>
      <c r="AY13" s="675">
        <v>7693395</v>
      </c>
      <c r="AZ13" s="675">
        <v>440336</v>
      </c>
      <c r="BA13" s="675">
        <v>0</v>
      </c>
      <c r="BB13" s="675">
        <v>18110</v>
      </c>
      <c r="BC13" s="675">
        <v>17993</v>
      </c>
      <c r="BD13" s="675">
        <v>42</v>
      </c>
      <c r="BE13" s="675">
        <v>117</v>
      </c>
      <c r="BF13" s="675">
        <v>10640308</v>
      </c>
      <c r="BG13" s="675">
        <v>0</v>
      </c>
      <c r="BH13" s="675">
        <v>0</v>
      </c>
      <c r="BI13" s="675">
        <v>0</v>
      </c>
      <c r="BJ13" s="675">
        <v>12</v>
      </c>
      <c r="BK13" s="675">
        <v>0</v>
      </c>
      <c r="BL13" s="675">
        <v>0</v>
      </c>
      <c r="BM13" s="675">
        <v>0</v>
      </c>
      <c r="BN13" s="675">
        <v>0</v>
      </c>
      <c r="BO13" s="675">
        <v>0</v>
      </c>
      <c r="BP13" s="675">
        <v>0</v>
      </c>
      <c r="BQ13" s="675">
        <v>601</v>
      </c>
      <c r="BR13" s="675">
        <v>0</v>
      </c>
      <c r="BS13" s="675">
        <v>0</v>
      </c>
      <c r="BT13" s="675">
        <v>0</v>
      </c>
      <c r="BU13" s="675">
        <v>0</v>
      </c>
      <c r="BV13" s="675">
        <v>0</v>
      </c>
      <c r="BW13" s="675">
        <v>0</v>
      </c>
      <c r="BX13" s="675">
        <v>0</v>
      </c>
      <c r="BY13" s="675">
        <v>0</v>
      </c>
      <c r="BZ13" s="675">
        <v>0</v>
      </c>
      <c r="CA13" s="675">
        <v>0</v>
      </c>
      <c r="CB13" s="675">
        <v>0</v>
      </c>
      <c r="CC13" s="675">
        <v>0</v>
      </c>
      <c r="CD13" s="675">
        <v>0</v>
      </c>
      <c r="CE13" s="675">
        <v>0</v>
      </c>
      <c r="CF13" s="675">
        <v>0</v>
      </c>
      <c r="CG13" s="675">
        <v>0</v>
      </c>
      <c r="CH13" s="675">
        <v>305424</v>
      </c>
      <c r="CI13" s="675">
        <v>0</v>
      </c>
      <c r="CJ13" s="675">
        <v>4</v>
      </c>
      <c r="CK13" s="675">
        <v>0</v>
      </c>
      <c r="CL13" s="675">
        <v>0</v>
      </c>
      <c r="CM13" s="675">
        <v>0</v>
      </c>
      <c r="CN13" s="675">
        <v>0</v>
      </c>
      <c r="CO13" s="675">
        <v>1</v>
      </c>
      <c r="CP13" s="675">
        <v>0</v>
      </c>
      <c r="CQ13" s="675">
        <v>0</v>
      </c>
      <c r="CR13" s="675">
        <v>1045.7150000000001</v>
      </c>
      <c r="CS13" s="675">
        <v>0</v>
      </c>
      <c r="CT13" s="675">
        <v>0</v>
      </c>
      <c r="CU13" s="675">
        <v>0</v>
      </c>
      <c r="CV13" s="675">
        <v>0</v>
      </c>
      <c r="CW13" s="675">
        <v>0</v>
      </c>
      <c r="CX13" s="675">
        <v>0</v>
      </c>
      <c r="CY13" s="675">
        <v>0</v>
      </c>
      <c r="CZ13" s="675">
        <v>0</v>
      </c>
      <c r="DA13" s="675">
        <v>0</v>
      </c>
      <c r="DB13" s="675">
        <v>6761659</v>
      </c>
      <c r="DC13" s="675">
        <v>0</v>
      </c>
      <c r="DD13" s="675">
        <v>0</v>
      </c>
      <c r="DE13" s="675">
        <v>1521205</v>
      </c>
      <c r="DF13" s="675">
        <v>1521205</v>
      </c>
      <c r="DG13" s="675">
        <v>246.95000000000002</v>
      </c>
      <c r="DH13" s="675">
        <v>0</v>
      </c>
      <c r="DI13" s="675">
        <v>0</v>
      </c>
      <c r="DJ13" s="675">
        <v>0</v>
      </c>
      <c r="DK13" s="675">
        <v>1238</v>
      </c>
      <c r="DL13" s="675">
        <v>0</v>
      </c>
      <c r="DM13" s="675">
        <v>480124</v>
      </c>
      <c r="DN13" s="675">
        <v>1829</v>
      </c>
      <c r="DO13" s="675">
        <v>0</v>
      </c>
      <c r="DP13" s="675">
        <v>0</v>
      </c>
      <c r="DQ13" s="675">
        <v>0</v>
      </c>
      <c r="DR13" s="675">
        <v>0</v>
      </c>
      <c r="DS13" s="675">
        <v>0</v>
      </c>
      <c r="DT13" s="675">
        <v>0</v>
      </c>
      <c r="DU13" s="675">
        <v>0</v>
      </c>
      <c r="DV13" s="675">
        <v>0</v>
      </c>
      <c r="DW13" s="675">
        <v>0</v>
      </c>
      <c r="DX13" s="675">
        <v>0</v>
      </c>
      <c r="DY13" s="675">
        <v>0</v>
      </c>
      <c r="DZ13" s="675">
        <v>0</v>
      </c>
      <c r="EA13" s="675">
        <v>0</v>
      </c>
      <c r="EB13" s="675">
        <v>0</v>
      </c>
      <c r="EC13" s="675">
        <v>18.877000000000002</v>
      </c>
      <c r="ED13" s="675">
        <v>133724</v>
      </c>
      <c r="EE13" s="675">
        <v>0</v>
      </c>
      <c r="EF13" s="675">
        <v>0</v>
      </c>
      <c r="EG13" s="675">
        <v>0</v>
      </c>
      <c r="EH13" s="675">
        <v>348229</v>
      </c>
      <c r="EI13" s="675">
        <v>0</v>
      </c>
      <c r="EJ13" s="675">
        <v>0</v>
      </c>
      <c r="EK13" s="675">
        <v>15.625</v>
      </c>
      <c r="EL13" s="675">
        <v>0</v>
      </c>
      <c r="EM13" s="675">
        <v>0.35700000000000004</v>
      </c>
      <c r="EN13" s="675">
        <v>1.7170000000000001</v>
      </c>
      <c r="EO13" s="675">
        <v>0</v>
      </c>
      <c r="EP13" s="675">
        <v>0</v>
      </c>
      <c r="EQ13" s="675">
        <v>17.699000000000002</v>
      </c>
      <c r="ER13" s="675">
        <v>0</v>
      </c>
      <c r="ES13" s="675">
        <v>56.531000000000006</v>
      </c>
      <c r="ET13" s="675">
        <v>0</v>
      </c>
      <c r="EU13" s="675">
        <v>0</v>
      </c>
      <c r="EV13" s="675">
        <v>0</v>
      </c>
      <c r="EW13" s="675">
        <v>0</v>
      </c>
      <c r="EX13" s="675">
        <v>0</v>
      </c>
      <c r="EY13" s="675">
        <v>0</v>
      </c>
      <c r="EZ13" s="675">
        <v>10199972</v>
      </c>
      <c r="FA13" s="675">
        <v>0</v>
      </c>
      <c r="FB13" s="675">
        <v>10638362</v>
      </c>
      <c r="FC13" s="675">
        <v>0</v>
      </c>
      <c r="FD13" s="675">
        <v>0</v>
      </c>
      <c r="FE13" s="675">
        <v>1082337</v>
      </c>
      <c r="FF13" s="675">
        <v>223865</v>
      </c>
      <c r="FG13" s="675">
        <v>6.3574999999999993E-2</v>
      </c>
      <c r="FH13" s="675">
        <v>2.6298999999999999E-2</v>
      </c>
      <c r="FI13" s="675">
        <v>0</v>
      </c>
      <c r="FJ13" s="675">
        <v>0</v>
      </c>
      <c r="FK13" s="675">
        <v>1727.3310000000001</v>
      </c>
      <c r="FL13" s="675">
        <v>12249988</v>
      </c>
      <c r="FM13" s="675">
        <v>0</v>
      </c>
      <c r="FN13" s="675">
        <v>0</v>
      </c>
      <c r="FO13" s="675">
        <v>0</v>
      </c>
      <c r="FP13" s="675">
        <v>0</v>
      </c>
      <c r="FQ13" s="675">
        <v>0</v>
      </c>
      <c r="FR13" s="675">
        <v>0</v>
      </c>
      <c r="FS13" s="675">
        <v>0</v>
      </c>
      <c r="FT13" s="675">
        <v>0</v>
      </c>
      <c r="FU13" s="675">
        <v>0</v>
      </c>
      <c r="FV13" s="675">
        <v>0</v>
      </c>
      <c r="FW13" s="675">
        <v>0</v>
      </c>
      <c r="FX13" s="675">
        <v>0</v>
      </c>
      <c r="FY13" s="675">
        <v>0</v>
      </c>
      <c r="FZ13" s="675">
        <v>0</v>
      </c>
      <c r="GA13" s="675">
        <v>0</v>
      </c>
      <c r="GB13" s="675">
        <v>44099</v>
      </c>
      <c r="GC13" s="675">
        <v>44099</v>
      </c>
      <c r="GD13" s="675">
        <v>5.5220000000000002</v>
      </c>
      <c r="GE13" s="675">
        <v>0</v>
      </c>
      <c r="GF13" s="675">
        <v>0</v>
      </c>
      <c r="GG13" s="675">
        <v>0</v>
      </c>
      <c r="GH13" s="675">
        <v>0</v>
      </c>
      <c r="GI13" s="675">
        <v>0</v>
      </c>
      <c r="GJ13" s="675">
        <v>0</v>
      </c>
      <c r="GK13" s="675">
        <v>0</v>
      </c>
      <c r="GL13" s="675">
        <v>0</v>
      </c>
      <c r="GM13" s="675">
        <v>0</v>
      </c>
      <c r="GN13" s="675">
        <v>0</v>
      </c>
      <c r="GO13" s="675">
        <v>0</v>
      </c>
      <c r="GP13" s="675">
        <v>0</v>
      </c>
      <c r="GQ13" s="675">
        <v>0</v>
      </c>
      <c r="GR13" s="675">
        <v>0</v>
      </c>
      <c r="GS13" s="675">
        <v>0</v>
      </c>
      <c r="GT13" s="675">
        <v>0</v>
      </c>
      <c r="GU13" s="675">
        <v>0</v>
      </c>
      <c r="GV13" s="675">
        <v>0</v>
      </c>
      <c r="GW13" s="675">
        <v>0</v>
      </c>
      <c r="GX13" s="675">
        <v>0</v>
      </c>
      <c r="GY13" s="675">
        <v>0</v>
      </c>
      <c r="GZ13" s="675">
        <v>0</v>
      </c>
      <c r="HA13" s="675">
        <v>0</v>
      </c>
      <c r="HB13" s="675">
        <v>298386780</v>
      </c>
      <c r="HC13" s="675">
        <v>4.5690999999999996E-2</v>
      </c>
      <c r="HD13" s="675">
        <v>204858</v>
      </c>
      <c r="HE13" s="675">
        <v>0</v>
      </c>
      <c r="HF13" s="675">
        <v>1207445</v>
      </c>
      <c r="HG13" s="675">
        <v>4928</v>
      </c>
      <c r="HH13" s="675">
        <v>373978</v>
      </c>
      <c r="HI13" s="675">
        <v>0</v>
      </c>
      <c r="HJ13" s="675">
        <v>10895</v>
      </c>
      <c r="HK13" s="675">
        <v>0</v>
      </c>
      <c r="HL13" s="675">
        <v>0</v>
      </c>
      <c r="HM13" s="675">
        <v>0</v>
      </c>
      <c r="HN13" s="675">
        <v>0</v>
      </c>
      <c r="HO13" s="675">
        <v>0</v>
      </c>
      <c r="HP13" s="675">
        <v>0</v>
      </c>
      <c r="HQ13" s="675">
        <v>0</v>
      </c>
      <c r="HR13" s="675">
        <v>0</v>
      </c>
      <c r="HS13" s="675">
        <v>10198026</v>
      </c>
      <c r="HT13" s="675">
        <v>223865</v>
      </c>
      <c r="HU13" s="675">
        <v>75187</v>
      </c>
      <c r="HV13" s="675">
        <v>0</v>
      </c>
      <c r="HW13" s="675">
        <v>0</v>
      </c>
      <c r="HX13" s="675">
        <v>188</v>
      </c>
      <c r="HY13" s="675">
        <v>160</v>
      </c>
      <c r="HZ13" s="675">
        <v>247</v>
      </c>
      <c r="IA13" s="675">
        <v>210</v>
      </c>
      <c r="IB13" s="675">
        <v>181</v>
      </c>
      <c r="IC13" s="675">
        <v>986</v>
      </c>
      <c r="ID13" s="675">
        <v>0</v>
      </c>
      <c r="IE13" s="675">
        <v>0</v>
      </c>
      <c r="IF13" s="675">
        <v>0</v>
      </c>
      <c r="IG13" s="675">
        <v>8</v>
      </c>
      <c r="IH13" s="675">
        <v>607.11</v>
      </c>
      <c r="II13" s="675">
        <v>0</v>
      </c>
      <c r="IJ13" s="675">
        <v>350.71</v>
      </c>
      <c r="IK13" s="675">
        <v>0</v>
      </c>
      <c r="IL13" s="675">
        <v>0</v>
      </c>
      <c r="IM13" s="675">
        <v>0</v>
      </c>
      <c r="IN13" s="675">
        <v>0</v>
      </c>
      <c r="IO13" s="675">
        <v>0</v>
      </c>
      <c r="IP13" s="675">
        <v>0</v>
      </c>
      <c r="IQ13" s="675">
        <v>350.71</v>
      </c>
      <c r="IR13" s="675">
        <v>216036</v>
      </c>
      <c r="IS13" s="675">
        <v>0</v>
      </c>
      <c r="IT13" s="675">
        <v>0</v>
      </c>
      <c r="IU13" s="675">
        <v>0</v>
      </c>
      <c r="IV13" s="675">
        <v>0</v>
      </c>
      <c r="IW13" s="675">
        <v>6160</v>
      </c>
      <c r="IX13" s="675">
        <v>0</v>
      </c>
      <c r="IY13" s="675">
        <v>0</v>
      </c>
      <c r="IZ13" s="675">
        <v>0</v>
      </c>
      <c r="JA13" s="675">
        <v>0</v>
      </c>
      <c r="JB13" s="675">
        <v>0</v>
      </c>
      <c r="JC13" s="675">
        <v>0</v>
      </c>
      <c r="JD13" s="675">
        <v>0</v>
      </c>
      <c r="JE13" s="675">
        <v>0</v>
      </c>
      <c r="JF13" s="675">
        <v>0</v>
      </c>
      <c r="JG13" s="675">
        <v>0</v>
      </c>
      <c r="JH13" s="675">
        <v>0</v>
      </c>
      <c r="JI13" s="675">
        <v>0</v>
      </c>
      <c r="JJ13" s="675">
        <v>0</v>
      </c>
      <c r="JK13" s="675">
        <v>0</v>
      </c>
      <c r="JL13" s="675">
        <v>0</v>
      </c>
      <c r="JM13" s="675">
        <v>0</v>
      </c>
      <c r="JN13" s="675">
        <v>32469</v>
      </c>
      <c r="JO13" s="675">
        <v>5.5220000000000002</v>
      </c>
      <c r="JP13" s="675">
        <v>0</v>
      </c>
      <c r="JQ13" s="675">
        <v>0</v>
      </c>
      <c r="JR13" s="675">
        <v>44099</v>
      </c>
      <c r="JS13" s="675">
        <v>0</v>
      </c>
      <c r="JT13" s="675">
        <v>0</v>
      </c>
      <c r="JU13" s="675">
        <v>18110</v>
      </c>
      <c r="JV13" s="675">
        <v>75187</v>
      </c>
      <c r="JW13" s="675">
        <v>0</v>
      </c>
      <c r="JX13" s="675">
        <v>0</v>
      </c>
      <c r="JY13" s="675">
        <v>0</v>
      </c>
      <c r="JZ13" s="675">
        <v>0</v>
      </c>
      <c r="KA13" s="675">
        <v>0</v>
      </c>
      <c r="KB13" s="675">
        <v>0</v>
      </c>
      <c r="KC13" s="675">
        <v>0</v>
      </c>
      <c r="KD13" s="675">
        <v>18110</v>
      </c>
      <c r="KE13" s="675">
        <v>7260</v>
      </c>
      <c r="KF13" s="675">
        <v>25379</v>
      </c>
      <c r="KG13" s="675">
        <v>0</v>
      </c>
      <c r="KH13" s="675">
        <v>0</v>
      </c>
      <c r="KI13" s="675">
        <v>0</v>
      </c>
    </row>
    <row r="14" spans="1:295" ht="12.5" x14ac:dyDescent="0.25">
      <c r="A14" s="675">
        <v>35795</v>
      </c>
      <c r="B14" s="675">
        <v>213801</v>
      </c>
      <c r="C14" s="675">
        <v>9</v>
      </c>
      <c r="D14" s="675">
        <v>2022</v>
      </c>
      <c r="E14" s="675">
        <v>6160</v>
      </c>
      <c r="F14" s="675">
        <v>0</v>
      </c>
      <c r="G14" s="675">
        <v>184.43800000000002</v>
      </c>
      <c r="H14" s="675">
        <v>152.161</v>
      </c>
      <c r="I14" s="675">
        <v>152.161</v>
      </c>
      <c r="J14" s="675">
        <v>184.43800000000002</v>
      </c>
      <c r="K14" s="675">
        <v>0</v>
      </c>
      <c r="L14" s="675">
        <v>6160</v>
      </c>
      <c r="M14" s="675">
        <v>0</v>
      </c>
      <c r="N14" s="675">
        <v>0</v>
      </c>
      <c r="O14" s="675">
        <v>0</v>
      </c>
      <c r="P14" s="675">
        <v>178.59700000000001</v>
      </c>
      <c r="Q14" s="675">
        <v>0</v>
      </c>
      <c r="R14" s="675">
        <v>71872</v>
      </c>
      <c r="S14" s="675">
        <v>402.428</v>
      </c>
      <c r="T14" s="675">
        <v>0</v>
      </c>
      <c r="U14" s="675">
        <v>38221</v>
      </c>
      <c r="V14" s="675">
        <v>6.5000000000000002E-2</v>
      </c>
      <c r="W14" s="675">
        <v>40</v>
      </c>
      <c r="X14" s="675">
        <v>40</v>
      </c>
      <c r="Y14" s="675">
        <v>0</v>
      </c>
      <c r="Z14" s="675">
        <v>0</v>
      </c>
      <c r="AA14" s="675">
        <v>0</v>
      </c>
      <c r="AB14" s="675">
        <v>0</v>
      </c>
      <c r="AC14" s="675">
        <v>0</v>
      </c>
      <c r="AD14" s="675" t="s">
        <v>316</v>
      </c>
      <c r="AE14" s="675">
        <v>0</v>
      </c>
      <c r="AF14" s="675">
        <v>0</v>
      </c>
      <c r="AG14" s="675">
        <v>0</v>
      </c>
      <c r="AH14" s="675">
        <v>0</v>
      </c>
      <c r="AI14" s="675">
        <v>0</v>
      </c>
      <c r="AJ14" s="675">
        <v>6160</v>
      </c>
      <c r="AK14" s="675" t="s">
        <v>671</v>
      </c>
      <c r="AL14" s="675" t="s">
        <v>75</v>
      </c>
      <c r="AM14" s="675">
        <v>0</v>
      </c>
      <c r="AN14" s="675">
        <v>0</v>
      </c>
      <c r="AO14" s="675">
        <v>0</v>
      </c>
      <c r="AP14" s="675">
        <v>0</v>
      </c>
      <c r="AQ14" s="675">
        <v>0</v>
      </c>
      <c r="AR14" s="675">
        <v>0</v>
      </c>
      <c r="AS14" s="675">
        <v>0</v>
      </c>
      <c r="AT14" s="675">
        <v>0</v>
      </c>
      <c r="AU14" s="675">
        <v>0</v>
      </c>
      <c r="AV14" s="675">
        <v>-1002</v>
      </c>
      <c r="AW14" s="675">
        <v>2114084</v>
      </c>
      <c r="AX14" s="675">
        <v>2020570</v>
      </c>
      <c r="AY14" s="675">
        <v>1362056</v>
      </c>
      <c r="AZ14" s="675">
        <v>71872</v>
      </c>
      <c r="BA14" s="675">
        <v>0</v>
      </c>
      <c r="BB14" s="675">
        <v>0</v>
      </c>
      <c r="BC14" s="675">
        <v>0</v>
      </c>
      <c r="BD14" s="675">
        <v>0</v>
      </c>
      <c r="BE14" s="675">
        <v>0</v>
      </c>
      <c r="BF14" s="675">
        <v>1862153</v>
      </c>
      <c r="BG14" s="675">
        <v>0</v>
      </c>
      <c r="BH14" s="675">
        <v>0</v>
      </c>
      <c r="BI14" s="675">
        <v>0</v>
      </c>
      <c r="BJ14" s="675">
        <v>12</v>
      </c>
      <c r="BK14" s="675">
        <v>0</v>
      </c>
      <c r="BL14" s="675">
        <v>0</v>
      </c>
      <c r="BM14" s="675">
        <v>0</v>
      </c>
      <c r="BN14" s="675">
        <v>0</v>
      </c>
      <c r="BO14" s="675">
        <v>0</v>
      </c>
      <c r="BP14" s="675">
        <v>0</v>
      </c>
      <c r="BQ14" s="675">
        <v>747</v>
      </c>
      <c r="BR14" s="675">
        <v>0</v>
      </c>
      <c r="BS14" s="675">
        <v>0</v>
      </c>
      <c r="BT14" s="675">
        <v>0</v>
      </c>
      <c r="BU14" s="675">
        <v>0</v>
      </c>
      <c r="BV14" s="675">
        <v>0</v>
      </c>
      <c r="BW14" s="675">
        <v>0</v>
      </c>
      <c r="BX14" s="675">
        <v>0</v>
      </c>
      <c r="BY14" s="675">
        <v>0</v>
      </c>
      <c r="BZ14" s="675">
        <v>0</v>
      </c>
      <c r="CA14" s="675">
        <v>0</v>
      </c>
      <c r="CB14" s="675">
        <v>0</v>
      </c>
      <c r="CC14" s="675">
        <v>0</v>
      </c>
      <c r="CD14" s="675">
        <v>0</v>
      </c>
      <c r="CE14" s="675">
        <v>0</v>
      </c>
      <c r="CF14" s="675">
        <v>0</v>
      </c>
      <c r="CG14" s="675">
        <v>0</v>
      </c>
      <c r="CH14" s="675">
        <v>94891</v>
      </c>
      <c r="CI14" s="675">
        <v>0</v>
      </c>
      <c r="CJ14" s="675">
        <v>4</v>
      </c>
      <c r="CK14" s="675">
        <v>0</v>
      </c>
      <c r="CL14" s="675">
        <v>0</v>
      </c>
      <c r="CM14" s="675">
        <v>0</v>
      </c>
      <c r="CN14" s="675">
        <v>0</v>
      </c>
      <c r="CO14" s="675">
        <v>1</v>
      </c>
      <c r="CP14" s="675">
        <v>0</v>
      </c>
      <c r="CQ14" s="675">
        <v>0</v>
      </c>
      <c r="CR14" s="675">
        <v>199.32</v>
      </c>
      <c r="CS14" s="675">
        <v>0</v>
      </c>
      <c r="CT14" s="675">
        <v>0</v>
      </c>
      <c r="CU14" s="675">
        <v>0</v>
      </c>
      <c r="CV14" s="675">
        <v>0</v>
      </c>
      <c r="CW14" s="675">
        <v>0</v>
      </c>
      <c r="CX14" s="675">
        <v>0</v>
      </c>
      <c r="CY14" s="675">
        <v>0</v>
      </c>
      <c r="CZ14" s="675">
        <v>0</v>
      </c>
      <c r="DA14" s="675">
        <v>0</v>
      </c>
      <c r="DB14" s="675">
        <v>854734</v>
      </c>
      <c r="DC14" s="675">
        <v>0</v>
      </c>
      <c r="DD14" s="675">
        <v>0</v>
      </c>
      <c r="DE14" s="675">
        <v>151920</v>
      </c>
      <c r="DF14" s="675">
        <v>167936</v>
      </c>
      <c r="DG14" s="675">
        <v>24.663</v>
      </c>
      <c r="DH14" s="675">
        <v>0</v>
      </c>
      <c r="DI14" s="675">
        <v>0</v>
      </c>
      <c r="DJ14" s="675">
        <v>0</v>
      </c>
      <c r="DK14" s="675">
        <v>3567</v>
      </c>
      <c r="DL14" s="675">
        <v>0</v>
      </c>
      <c r="DM14" s="675">
        <v>444068</v>
      </c>
      <c r="DN14" s="675">
        <v>1377</v>
      </c>
      <c r="DO14" s="675">
        <v>0</v>
      </c>
      <c r="DP14" s="675">
        <v>0</v>
      </c>
      <c r="DQ14" s="675">
        <v>0</v>
      </c>
      <c r="DR14" s="675">
        <v>0</v>
      </c>
      <c r="DS14" s="675">
        <v>0</v>
      </c>
      <c r="DT14" s="675">
        <v>0</v>
      </c>
      <c r="DU14" s="675">
        <v>0</v>
      </c>
      <c r="DV14" s="675">
        <v>0</v>
      </c>
      <c r="DW14" s="675">
        <v>0</v>
      </c>
      <c r="DX14" s="675">
        <v>0</v>
      </c>
      <c r="DY14" s="675">
        <v>0</v>
      </c>
      <c r="DZ14" s="675">
        <v>0</v>
      </c>
      <c r="EA14" s="675">
        <v>0</v>
      </c>
      <c r="EB14" s="675">
        <v>9.202</v>
      </c>
      <c r="EC14" s="675">
        <v>26.053000000000001</v>
      </c>
      <c r="ED14" s="675">
        <v>184559</v>
      </c>
      <c r="EE14" s="675">
        <v>0</v>
      </c>
      <c r="EF14" s="675">
        <v>0</v>
      </c>
      <c r="EG14" s="675">
        <v>0</v>
      </c>
      <c r="EH14" s="675">
        <v>178313</v>
      </c>
      <c r="EI14" s="675">
        <v>0</v>
      </c>
      <c r="EJ14" s="675">
        <v>0</v>
      </c>
      <c r="EK14" s="675">
        <v>0.29700000000000004</v>
      </c>
      <c r="EL14" s="675">
        <v>0</v>
      </c>
      <c r="EM14" s="675">
        <v>0</v>
      </c>
      <c r="EN14" s="675">
        <v>0.09</v>
      </c>
      <c r="EO14" s="675">
        <v>0</v>
      </c>
      <c r="EP14" s="675">
        <v>0</v>
      </c>
      <c r="EQ14" s="675">
        <v>9.5890000000000004</v>
      </c>
      <c r="ER14" s="675">
        <v>0</v>
      </c>
      <c r="ES14" s="675">
        <v>28.947000000000003</v>
      </c>
      <c r="ET14" s="675">
        <v>0</v>
      </c>
      <c r="EU14" s="675">
        <v>0</v>
      </c>
      <c r="EV14" s="675">
        <v>0</v>
      </c>
      <c r="EW14" s="675">
        <v>0</v>
      </c>
      <c r="EX14" s="675">
        <v>0</v>
      </c>
      <c r="EY14" s="675">
        <v>0</v>
      </c>
      <c r="EZ14" s="675">
        <v>1791973</v>
      </c>
      <c r="FA14" s="675">
        <v>0</v>
      </c>
      <c r="FB14" s="675">
        <v>1862468</v>
      </c>
      <c r="FC14" s="675">
        <v>0</v>
      </c>
      <c r="FD14" s="675">
        <v>0</v>
      </c>
      <c r="FE14" s="675">
        <v>189419</v>
      </c>
      <c r="FF14" s="675">
        <v>39178</v>
      </c>
      <c r="FG14" s="675">
        <v>6.3574999999999993E-2</v>
      </c>
      <c r="FH14" s="675">
        <v>2.6298999999999999E-2</v>
      </c>
      <c r="FI14" s="675">
        <v>0</v>
      </c>
      <c r="FJ14" s="675">
        <v>0</v>
      </c>
      <c r="FK14" s="675">
        <v>302.29900000000004</v>
      </c>
      <c r="FL14" s="675">
        <v>2185956</v>
      </c>
      <c r="FM14" s="675">
        <v>0</v>
      </c>
      <c r="FN14" s="675">
        <v>0</v>
      </c>
      <c r="FO14" s="675">
        <v>0</v>
      </c>
      <c r="FP14" s="675">
        <v>0</v>
      </c>
      <c r="FQ14" s="675">
        <v>0</v>
      </c>
      <c r="FR14" s="675">
        <v>0</v>
      </c>
      <c r="FS14" s="675">
        <v>0</v>
      </c>
      <c r="FT14" s="675">
        <v>0</v>
      </c>
      <c r="FU14" s="675">
        <v>0</v>
      </c>
      <c r="FV14" s="675">
        <v>0</v>
      </c>
      <c r="FW14" s="675">
        <v>0</v>
      </c>
      <c r="FX14" s="675">
        <v>0</v>
      </c>
      <c r="FY14" s="675">
        <v>0</v>
      </c>
      <c r="FZ14" s="675">
        <v>0</v>
      </c>
      <c r="GA14" s="675">
        <v>0</v>
      </c>
      <c r="GB14" s="675">
        <v>211719</v>
      </c>
      <c r="GC14" s="675">
        <v>211719</v>
      </c>
      <c r="GD14" s="675">
        <v>22.688000000000002</v>
      </c>
      <c r="GE14" s="675">
        <v>0</v>
      </c>
      <c r="GF14" s="675">
        <v>0</v>
      </c>
      <c r="GG14" s="675">
        <v>0</v>
      </c>
      <c r="GH14" s="675">
        <v>0</v>
      </c>
      <c r="GI14" s="675">
        <v>0</v>
      </c>
      <c r="GJ14" s="675">
        <v>0</v>
      </c>
      <c r="GK14" s="675">
        <v>0</v>
      </c>
      <c r="GL14" s="675">
        <v>0</v>
      </c>
      <c r="GM14" s="675">
        <v>0</v>
      </c>
      <c r="GN14" s="675">
        <v>0</v>
      </c>
      <c r="GO14" s="675">
        <v>0</v>
      </c>
      <c r="GP14" s="675">
        <v>0</v>
      </c>
      <c r="GQ14" s="675">
        <v>0</v>
      </c>
      <c r="GR14" s="675">
        <v>0</v>
      </c>
      <c r="GS14" s="675">
        <v>0</v>
      </c>
      <c r="GT14" s="675">
        <v>0</v>
      </c>
      <c r="GU14" s="675">
        <v>0</v>
      </c>
      <c r="GV14" s="675">
        <v>0</v>
      </c>
      <c r="GW14" s="675">
        <v>0</v>
      </c>
      <c r="GX14" s="675">
        <v>0</v>
      </c>
      <c r="GY14" s="675">
        <v>0</v>
      </c>
      <c r="GZ14" s="675">
        <v>0</v>
      </c>
      <c r="HA14" s="675">
        <v>0</v>
      </c>
      <c r="HB14" s="675">
        <v>298386780</v>
      </c>
      <c r="HC14" s="675">
        <v>4.5690999999999996E-2</v>
      </c>
      <c r="HD14" s="675">
        <v>33708</v>
      </c>
      <c r="HE14" s="675">
        <v>0</v>
      </c>
      <c r="HF14" s="675">
        <v>167377</v>
      </c>
      <c r="HG14" s="675">
        <v>9624</v>
      </c>
      <c r="HH14" s="675">
        <v>3485</v>
      </c>
      <c r="HI14" s="675">
        <v>0</v>
      </c>
      <c r="HJ14" s="675">
        <v>1793</v>
      </c>
      <c r="HK14" s="675">
        <v>1692</v>
      </c>
      <c r="HL14" s="675">
        <v>0</v>
      </c>
      <c r="HM14" s="675">
        <v>0</v>
      </c>
      <c r="HN14" s="675">
        <v>0</v>
      </c>
      <c r="HO14" s="675">
        <v>0</v>
      </c>
      <c r="HP14" s="675">
        <v>0</v>
      </c>
      <c r="HQ14" s="675">
        <v>0</v>
      </c>
      <c r="HR14" s="675">
        <v>0</v>
      </c>
      <c r="HS14" s="675">
        <v>1790596</v>
      </c>
      <c r="HT14" s="675">
        <v>39178</v>
      </c>
      <c r="HU14" s="675">
        <v>61183</v>
      </c>
      <c r="HV14" s="675">
        <v>0</v>
      </c>
      <c r="HW14" s="675">
        <v>0</v>
      </c>
      <c r="HX14" s="675">
        <v>25</v>
      </c>
      <c r="HY14" s="675">
        <v>21</v>
      </c>
      <c r="HZ14" s="675">
        <v>15</v>
      </c>
      <c r="IA14" s="675">
        <v>12</v>
      </c>
      <c r="IB14" s="675">
        <v>26</v>
      </c>
      <c r="IC14" s="675">
        <v>99</v>
      </c>
      <c r="ID14" s="675">
        <v>13</v>
      </c>
      <c r="IE14" s="675">
        <v>0</v>
      </c>
      <c r="IF14" s="675">
        <v>0</v>
      </c>
      <c r="IG14" s="675">
        <v>15.624000000000001</v>
      </c>
      <c r="IH14" s="675">
        <v>5.657</v>
      </c>
      <c r="II14" s="675">
        <v>0</v>
      </c>
      <c r="IJ14" s="675">
        <v>6.5000000000000002E-2</v>
      </c>
      <c r="IK14" s="675">
        <v>0</v>
      </c>
      <c r="IL14" s="675">
        <v>0</v>
      </c>
      <c r="IM14" s="675">
        <v>0</v>
      </c>
      <c r="IN14" s="675">
        <v>0</v>
      </c>
      <c r="IO14" s="675">
        <v>0</v>
      </c>
      <c r="IP14" s="675">
        <v>0</v>
      </c>
      <c r="IQ14" s="675">
        <v>6.5000000000000002E-2</v>
      </c>
      <c r="IR14" s="675">
        <v>40</v>
      </c>
      <c r="IS14" s="675">
        <v>0</v>
      </c>
      <c r="IT14" s="675">
        <v>0</v>
      </c>
      <c r="IU14" s="675">
        <v>0</v>
      </c>
      <c r="IV14" s="675">
        <v>0</v>
      </c>
      <c r="IW14" s="675">
        <v>6160</v>
      </c>
      <c r="IX14" s="675">
        <v>0</v>
      </c>
      <c r="IY14" s="675">
        <v>0</v>
      </c>
      <c r="IZ14" s="675">
        <v>0</v>
      </c>
      <c r="JA14" s="675">
        <v>16016</v>
      </c>
      <c r="JB14" s="675">
        <v>0</v>
      </c>
      <c r="JC14" s="675">
        <v>0</v>
      </c>
      <c r="JD14" s="675">
        <v>0</v>
      </c>
      <c r="JE14" s="675">
        <v>0</v>
      </c>
      <c r="JF14" s="675">
        <v>0</v>
      </c>
      <c r="JG14" s="675">
        <v>0</v>
      </c>
      <c r="JH14" s="675">
        <v>0</v>
      </c>
      <c r="JI14" s="675">
        <v>0</v>
      </c>
      <c r="JJ14" s="675">
        <v>0</v>
      </c>
      <c r="JK14" s="675">
        <v>0</v>
      </c>
      <c r="JL14" s="675">
        <v>0</v>
      </c>
      <c r="JM14" s="675">
        <v>0</v>
      </c>
      <c r="JN14" s="675">
        <v>32469</v>
      </c>
      <c r="JO14" s="675">
        <v>3.7800000000000002</v>
      </c>
      <c r="JP14" s="675">
        <v>14.686</v>
      </c>
      <c r="JQ14" s="675">
        <v>4.2220000000000004</v>
      </c>
      <c r="JR14" s="675">
        <v>30187</v>
      </c>
      <c r="JS14" s="675">
        <v>136474</v>
      </c>
      <c r="JT14" s="675">
        <v>45058</v>
      </c>
      <c r="JU14" s="675">
        <v>0</v>
      </c>
      <c r="JV14" s="675">
        <v>61183</v>
      </c>
      <c r="JW14" s="675">
        <v>0</v>
      </c>
      <c r="JX14" s="675">
        <v>0</v>
      </c>
      <c r="JY14" s="675">
        <v>0</v>
      </c>
      <c r="JZ14" s="675">
        <v>0</v>
      </c>
      <c r="KA14" s="675">
        <v>0</v>
      </c>
      <c r="KB14" s="675">
        <v>0</v>
      </c>
      <c r="KC14" s="675">
        <v>0</v>
      </c>
      <c r="KD14" s="675">
        <v>0</v>
      </c>
      <c r="KE14" s="675">
        <v>7260</v>
      </c>
      <c r="KF14" s="675">
        <v>0</v>
      </c>
      <c r="KG14" s="675">
        <v>0</v>
      </c>
      <c r="KH14" s="675">
        <v>0</v>
      </c>
      <c r="KI14" s="675">
        <v>0</v>
      </c>
    </row>
    <row r="15" spans="1:295" ht="12.5" x14ac:dyDescent="0.25">
      <c r="A15" s="675">
        <v>35795</v>
      </c>
      <c r="B15" s="675">
        <v>15833</v>
      </c>
      <c r="C15" s="675">
        <v>9</v>
      </c>
      <c r="D15" s="675">
        <v>2022</v>
      </c>
      <c r="E15" s="675">
        <v>6160</v>
      </c>
      <c r="F15" s="675">
        <v>0</v>
      </c>
      <c r="G15" s="675">
        <v>70.522000000000006</v>
      </c>
      <c r="H15" s="675">
        <v>69.674999999999997</v>
      </c>
      <c r="I15" s="675">
        <v>69.674999999999997</v>
      </c>
      <c r="J15" s="675">
        <v>70.522000000000006</v>
      </c>
      <c r="K15" s="675">
        <v>0</v>
      </c>
      <c r="L15" s="675">
        <v>6160</v>
      </c>
      <c r="M15" s="675">
        <v>0</v>
      </c>
      <c r="N15" s="675">
        <v>0</v>
      </c>
      <c r="O15" s="675">
        <v>0</v>
      </c>
      <c r="P15" s="675">
        <v>94.284000000000006</v>
      </c>
      <c r="Q15" s="675">
        <v>0</v>
      </c>
      <c r="R15" s="675">
        <v>37943</v>
      </c>
      <c r="S15" s="675">
        <v>402.428</v>
      </c>
      <c r="T15" s="675">
        <v>0</v>
      </c>
      <c r="U15" s="675">
        <v>20178</v>
      </c>
      <c r="V15" s="675">
        <v>0</v>
      </c>
      <c r="W15" s="675">
        <v>0</v>
      </c>
      <c r="X15" s="675">
        <v>0</v>
      </c>
      <c r="Y15" s="675">
        <v>0</v>
      </c>
      <c r="Z15" s="675">
        <v>0</v>
      </c>
      <c r="AA15" s="675">
        <v>0</v>
      </c>
      <c r="AB15" s="675">
        <v>0</v>
      </c>
      <c r="AC15" s="675">
        <v>0</v>
      </c>
      <c r="AD15" s="675" t="s">
        <v>316</v>
      </c>
      <c r="AE15" s="675">
        <v>0</v>
      </c>
      <c r="AF15" s="675">
        <v>0</v>
      </c>
      <c r="AG15" s="675">
        <v>0</v>
      </c>
      <c r="AH15" s="675">
        <v>0</v>
      </c>
      <c r="AI15" s="675">
        <v>0</v>
      </c>
      <c r="AJ15" s="675">
        <v>6160</v>
      </c>
      <c r="AK15" s="675" t="s">
        <v>671</v>
      </c>
      <c r="AL15" s="675" t="s">
        <v>95</v>
      </c>
      <c r="AM15" s="675">
        <v>0</v>
      </c>
      <c r="AN15" s="675">
        <v>0</v>
      </c>
      <c r="AO15" s="675">
        <v>0</v>
      </c>
      <c r="AP15" s="675">
        <v>0</v>
      </c>
      <c r="AQ15" s="675">
        <v>0</v>
      </c>
      <c r="AR15" s="675">
        <v>0</v>
      </c>
      <c r="AS15" s="675">
        <v>0</v>
      </c>
      <c r="AT15" s="675">
        <v>0</v>
      </c>
      <c r="AU15" s="675">
        <v>0</v>
      </c>
      <c r="AV15" s="675">
        <v>0</v>
      </c>
      <c r="AW15" s="675">
        <v>708944</v>
      </c>
      <c r="AX15" s="675">
        <v>639990</v>
      </c>
      <c r="AY15" s="675">
        <v>495616</v>
      </c>
      <c r="AZ15" s="675">
        <v>37943</v>
      </c>
      <c r="BA15" s="675">
        <v>0</v>
      </c>
      <c r="BB15" s="675">
        <v>0</v>
      </c>
      <c r="BC15" s="675">
        <v>0</v>
      </c>
      <c r="BD15" s="675">
        <v>0</v>
      </c>
      <c r="BE15" s="675">
        <v>0</v>
      </c>
      <c r="BF15" s="675">
        <v>595146</v>
      </c>
      <c r="BG15" s="675">
        <v>0</v>
      </c>
      <c r="BH15" s="675">
        <v>0</v>
      </c>
      <c r="BI15" s="675">
        <v>0</v>
      </c>
      <c r="BJ15" s="675">
        <v>12</v>
      </c>
      <c r="BK15" s="675">
        <v>0</v>
      </c>
      <c r="BL15" s="675">
        <v>0</v>
      </c>
      <c r="BM15" s="675">
        <v>0</v>
      </c>
      <c r="BN15" s="675">
        <v>0</v>
      </c>
      <c r="BO15" s="675">
        <v>0</v>
      </c>
      <c r="BP15" s="675">
        <v>0</v>
      </c>
      <c r="BQ15" s="675">
        <v>759</v>
      </c>
      <c r="BR15" s="675">
        <v>0</v>
      </c>
      <c r="BS15" s="675">
        <v>0</v>
      </c>
      <c r="BT15" s="675">
        <v>0</v>
      </c>
      <c r="BU15" s="675">
        <v>0</v>
      </c>
      <c r="BV15" s="675">
        <v>0</v>
      </c>
      <c r="BW15" s="675">
        <v>0</v>
      </c>
      <c r="BX15" s="675">
        <v>0</v>
      </c>
      <c r="BY15" s="675">
        <v>0</v>
      </c>
      <c r="BZ15" s="675">
        <v>0</v>
      </c>
      <c r="CA15" s="675">
        <v>0</v>
      </c>
      <c r="CB15" s="675">
        <v>0</v>
      </c>
      <c r="CC15" s="675">
        <v>0</v>
      </c>
      <c r="CD15" s="675">
        <v>0</v>
      </c>
      <c r="CE15" s="675">
        <v>0</v>
      </c>
      <c r="CF15" s="675">
        <v>0</v>
      </c>
      <c r="CG15" s="675">
        <v>0</v>
      </c>
      <c r="CH15" s="675">
        <v>69032</v>
      </c>
      <c r="CI15" s="675">
        <v>0</v>
      </c>
      <c r="CJ15" s="675">
        <v>4</v>
      </c>
      <c r="CK15" s="675">
        <v>0</v>
      </c>
      <c r="CL15" s="675">
        <v>0</v>
      </c>
      <c r="CM15" s="675">
        <v>0</v>
      </c>
      <c r="CN15" s="675">
        <v>0</v>
      </c>
      <c r="CO15" s="675">
        <v>1</v>
      </c>
      <c r="CP15" s="675">
        <v>0</v>
      </c>
      <c r="CQ15" s="675">
        <v>0</v>
      </c>
      <c r="CR15" s="675">
        <v>86.968000000000004</v>
      </c>
      <c r="CS15" s="675">
        <v>0</v>
      </c>
      <c r="CT15" s="675">
        <v>0</v>
      </c>
      <c r="CU15" s="675">
        <v>0</v>
      </c>
      <c r="CV15" s="675">
        <v>0</v>
      </c>
      <c r="CW15" s="675">
        <v>0</v>
      </c>
      <c r="CX15" s="675">
        <v>0</v>
      </c>
      <c r="CY15" s="675">
        <v>0</v>
      </c>
      <c r="CZ15" s="675">
        <v>0</v>
      </c>
      <c r="DA15" s="675">
        <v>0</v>
      </c>
      <c r="DB15" s="675">
        <v>367876</v>
      </c>
      <c r="DC15" s="675">
        <v>0</v>
      </c>
      <c r="DD15" s="675">
        <v>0</v>
      </c>
      <c r="DE15" s="675">
        <v>68068</v>
      </c>
      <c r="DF15" s="675">
        <v>68068</v>
      </c>
      <c r="DG15" s="675">
        <v>11.05</v>
      </c>
      <c r="DH15" s="675">
        <v>0</v>
      </c>
      <c r="DI15" s="675">
        <v>0</v>
      </c>
      <c r="DJ15" s="675">
        <v>0</v>
      </c>
      <c r="DK15" s="675">
        <v>3771</v>
      </c>
      <c r="DL15" s="675">
        <v>0</v>
      </c>
      <c r="DM15" s="675">
        <v>81796</v>
      </c>
      <c r="DN15" s="675">
        <v>78</v>
      </c>
      <c r="DO15" s="675">
        <v>0</v>
      </c>
      <c r="DP15" s="675">
        <v>0</v>
      </c>
      <c r="DQ15" s="675">
        <v>0</v>
      </c>
      <c r="DR15" s="675">
        <v>0</v>
      </c>
      <c r="DS15" s="675">
        <v>0</v>
      </c>
      <c r="DT15" s="675">
        <v>0</v>
      </c>
      <c r="DU15" s="675">
        <v>0</v>
      </c>
      <c r="DV15" s="675">
        <v>0</v>
      </c>
      <c r="DW15" s="675">
        <v>0</v>
      </c>
      <c r="DX15" s="675">
        <v>0</v>
      </c>
      <c r="DY15" s="675">
        <v>0</v>
      </c>
      <c r="DZ15" s="675">
        <v>0</v>
      </c>
      <c r="EA15" s="675">
        <v>0</v>
      </c>
      <c r="EB15" s="675">
        <v>0</v>
      </c>
      <c r="EC15" s="675">
        <v>0.69200000000000006</v>
      </c>
      <c r="ED15" s="675">
        <v>4902</v>
      </c>
      <c r="EE15" s="675">
        <v>0</v>
      </c>
      <c r="EF15" s="675">
        <v>0</v>
      </c>
      <c r="EG15" s="675">
        <v>0</v>
      </c>
      <c r="EH15" s="675">
        <v>15652</v>
      </c>
      <c r="EI15" s="675">
        <v>0</v>
      </c>
      <c r="EJ15" s="675">
        <v>0</v>
      </c>
      <c r="EK15" s="675">
        <v>0.84700000000000009</v>
      </c>
      <c r="EL15" s="675">
        <v>0</v>
      </c>
      <c r="EM15" s="675">
        <v>0</v>
      </c>
      <c r="EN15" s="675">
        <v>0</v>
      </c>
      <c r="EO15" s="675">
        <v>0</v>
      </c>
      <c r="EP15" s="675">
        <v>0</v>
      </c>
      <c r="EQ15" s="675">
        <v>0.84700000000000009</v>
      </c>
      <c r="ER15" s="675">
        <v>0</v>
      </c>
      <c r="ES15" s="675">
        <v>2.5409999999999999</v>
      </c>
      <c r="ET15" s="675">
        <v>0</v>
      </c>
      <c r="EU15" s="675">
        <v>0</v>
      </c>
      <c r="EV15" s="675">
        <v>0</v>
      </c>
      <c r="EW15" s="675">
        <v>0</v>
      </c>
      <c r="EX15" s="675">
        <v>0</v>
      </c>
      <c r="EY15" s="675">
        <v>0</v>
      </c>
      <c r="EZ15" s="675">
        <v>566931</v>
      </c>
      <c r="FA15" s="675">
        <v>0</v>
      </c>
      <c r="FB15" s="675">
        <v>604796</v>
      </c>
      <c r="FC15" s="675">
        <v>0</v>
      </c>
      <c r="FD15" s="675">
        <v>0</v>
      </c>
      <c r="FE15" s="675">
        <v>60538</v>
      </c>
      <c r="FF15" s="675">
        <v>12521</v>
      </c>
      <c r="FG15" s="675">
        <v>6.3574999999999993E-2</v>
      </c>
      <c r="FH15" s="675">
        <v>2.6298999999999999E-2</v>
      </c>
      <c r="FI15" s="675">
        <v>0</v>
      </c>
      <c r="FJ15" s="675">
        <v>0</v>
      </c>
      <c r="FK15" s="675">
        <v>96.615000000000009</v>
      </c>
      <c r="FL15" s="675">
        <v>746887</v>
      </c>
      <c r="FM15" s="675">
        <v>0</v>
      </c>
      <c r="FN15" s="675">
        <v>0</v>
      </c>
      <c r="FO15" s="675">
        <v>8360</v>
      </c>
      <c r="FP15" s="675">
        <v>0</v>
      </c>
      <c r="FQ15" s="675">
        <v>8360</v>
      </c>
      <c r="FR15" s="675">
        <v>8360</v>
      </c>
      <c r="FS15" s="675">
        <v>0</v>
      </c>
      <c r="FT15" s="675">
        <v>0</v>
      </c>
      <c r="FU15" s="675">
        <v>0</v>
      </c>
      <c r="FV15" s="675">
        <v>0</v>
      </c>
      <c r="FW15" s="675">
        <v>0</v>
      </c>
      <c r="FX15" s="675">
        <v>0</v>
      </c>
      <c r="FY15" s="675">
        <v>0</v>
      </c>
      <c r="FZ15" s="675">
        <v>0</v>
      </c>
      <c r="GA15" s="675">
        <v>0</v>
      </c>
      <c r="GB15" s="675">
        <v>0</v>
      </c>
      <c r="GC15" s="675">
        <v>0</v>
      </c>
      <c r="GD15" s="675">
        <v>0</v>
      </c>
      <c r="GE15" s="675">
        <v>0</v>
      </c>
      <c r="GF15" s="675">
        <v>0</v>
      </c>
      <c r="GG15" s="675">
        <v>0</v>
      </c>
      <c r="GH15" s="675">
        <v>0</v>
      </c>
      <c r="GI15" s="675">
        <v>0</v>
      </c>
      <c r="GJ15" s="675">
        <v>0</v>
      </c>
      <c r="GK15" s="675">
        <v>0</v>
      </c>
      <c r="GL15" s="675">
        <v>0</v>
      </c>
      <c r="GM15" s="675">
        <v>0</v>
      </c>
      <c r="GN15" s="675">
        <v>0</v>
      </c>
      <c r="GO15" s="675">
        <v>0</v>
      </c>
      <c r="GP15" s="675">
        <v>0</v>
      </c>
      <c r="GQ15" s="675">
        <v>0</v>
      </c>
      <c r="GR15" s="675">
        <v>0</v>
      </c>
      <c r="GS15" s="675">
        <v>0</v>
      </c>
      <c r="GT15" s="675">
        <v>0</v>
      </c>
      <c r="GU15" s="675">
        <v>0</v>
      </c>
      <c r="GV15" s="675">
        <v>0</v>
      </c>
      <c r="GW15" s="675">
        <v>0</v>
      </c>
      <c r="GX15" s="675">
        <v>0</v>
      </c>
      <c r="GY15" s="675">
        <v>0</v>
      </c>
      <c r="GZ15" s="675">
        <v>0</v>
      </c>
      <c r="HA15" s="675">
        <v>0</v>
      </c>
      <c r="HB15" s="675">
        <v>298386780</v>
      </c>
      <c r="HC15" s="675">
        <v>4.5690999999999996E-2</v>
      </c>
      <c r="HD15" s="675">
        <v>12889</v>
      </c>
      <c r="HE15" s="675">
        <v>0</v>
      </c>
      <c r="HF15" s="675">
        <v>76643</v>
      </c>
      <c r="HG15" s="675">
        <v>0</v>
      </c>
      <c r="HH15" s="675">
        <v>0</v>
      </c>
      <c r="HI15" s="675">
        <v>0</v>
      </c>
      <c r="HJ15" s="675">
        <v>685</v>
      </c>
      <c r="HK15" s="675">
        <v>1368</v>
      </c>
      <c r="HL15" s="675">
        <v>0</v>
      </c>
      <c r="HM15" s="675">
        <v>0</v>
      </c>
      <c r="HN15" s="675">
        <v>0</v>
      </c>
      <c r="HO15" s="675">
        <v>0</v>
      </c>
      <c r="HP15" s="675">
        <v>0</v>
      </c>
      <c r="HQ15" s="675">
        <v>0</v>
      </c>
      <c r="HR15" s="675">
        <v>0</v>
      </c>
      <c r="HS15" s="675">
        <v>566853</v>
      </c>
      <c r="HT15" s="675">
        <v>12521</v>
      </c>
      <c r="HU15" s="675">
        <v>56143</v>
      </c>
      <c r="HV15" s="675">
        <v>0</v>
      </c>
      <c r="HW15" s="675">
        <v>0</v>
      </c>
      <c r="HX15" s="675">
        <v>3</v>
      </c>
      <c r="HY15" s="675">
        <v>5</v>
      </c>
      <c r="HZ15" s="675">
        <v>8</v>
      </c>
      <c r="IA15" s="675">
        <v>19</v>
      </c>
      <c r="IB15" s="675">
        <v>8</v>
      </c>
      <c r="IC15" s="675">
        <v>43</v>
      </c>
      <c r="ID15" s="675">
        <v>0</v>
      </c>
      <c r="IE15" s="675">
        <v>0</v>
      </c>
      <c r="IF15" s="675">
        <v>0</v>
      </c>
      <c r="IG15" s="675">
        <v>0</v>
      </c>
      <c r="IH15" s="675">
        <v>0</v>
      </c>
      <c r="II15" s="675">
        <v>0</v>
      </c>
      <c r="IJ15" s="675">
        <v>0</v>
      </c>
      <c r="IK15" s="675">
        <v>0</v>
      </c>
      <c r="IL15" s="675">
        <v>0</v>
      </c>
      <c r="IM15" s="675">
        <v>0</v>
      </c>
      <c r="IN15" s="675">
        <v>0</v>
      </c>
      <c r="IO15" s="675">
        <v>0</v>
      </c>
      <c r="IP15" s="675">
        <v>0</v>
      </c>
      <c r="IQ15" s="675">
        <v>0</v>
      </c>
      <c r="IR15" s="675">
        <v>0</v>
      </c>
      <c r="IS15" s="675">
        <v>0</v>
      </c>
      <c r="IT15" s="675">
        <v>0</v>
      </c>
      <c r="IU15" s="675">
        <v>0</v>
      </c>
      <c r="IV15" s="675">
        <v>0</v>
      </c>
      <c r="IW15" s="675">
        <v>6160</v>
      </c>
      <c r="IX15" s="675">
        <v>0</v>
      </c>
      <c r="IY15" s="675">
        <v>0</v>
      </c>
      <c r="IZ15" s="675">
        <v>0</v>
      </c>
      <c r="JA15" s="675">
        <v>0</v>
      </c>
      <c r="JB15" s="675">
        <v>0</v>
      </c>
      <c r="JC15" s="675">
        <v>0</v>
      </c>
      <c r="JD15" s="675">
        <v>0</v>
      </c>
      <c r="JE15" s="675">
        <v>0</v>
      </c>
      <c r="JF15" s="675">
        <v>0</v>
      </c>
      <c r="JG15" s="675">
        <v>0</v>
      </c>
      <c r="JH15" s="675">
        <v>0</v>
      </c>
      <c r="JI15" s="675">
        <v>0</v>
      </c>
      <c r="JJ15" s="675">
        <v>0</v>
      </c>
      <c r="JK15" s="675">
        <v>0</v>
      </c>
      <c r="JL15" s="675">
        <v>0</v>
      </c>
      <c r="JM15" s="675">
        <v>0</v>
      </c>
      <c r="JN15" s="675">
        <v>32469</v>
      </c>
      <c r="JO15" s="675">
        <v>0</v>
      </c>
      <c r="JP15" s="675">
        <v>0</v>
      </c>
      <c r="JQ15" s="675">
        <v>0</v>
      </c>
      <c r="JR15" s="675">
        <v>0</v>
      </c>
      <c r="JS15" s="675">
        <v>0</v>
      </c>
      <c r="JT15" s="675">
        <v>0</v>
      </c>
      <c r="JU15" s="675">
        <v>0</v>
      </c>
      <c r="JV15" s="675">
        <v>56143</v>
      </c>
      <c r="JW15" s="675">
        <v>0</v>
      </c>
      <c r="JX15" s="675">
        <v>0</v>
      </c>
      <c r="JY15" s="675">
        <v>0</v>
      </c>
      <c r="JZ15" s="675">
        <v>0</v>
      </c>
      <c r="KA15" s="675">
        <v>0</v>
      </c>
      <c r="KB15" s="675">
        <v>0</v>
      </c>
      <c r="KC15" s="675">
        <v>0</v>
      </c>
      <c r="KD15" s="675">
        <v>0</v>
      </c>
      <c r="KE15" s="675">
        <v>7260</v>
      </c>
      <c r="KF15" s="675">
        <v>0</v>
      </c>
      <c r="KG15" s="675">
        <v>0</v>
      </c>
      <c r="KH15" s="675">
        <v>0</v>
      </c>
      <c r="KI15" s="675">
        <v>0</v>
      </c>
    </row>
    <row r="16" spans="1:295" ht="12.5" x14ac:dyDescent="0.25">
      <c r="A16" s="675">
        <v>35795</v>
      </c>
      <c r="B16" s="675">
        <v>220811</v>
      </c>
      <c r="C16" s="675">
        <v>9</v>
      </c>
      <c r="D16" s="675">
        <v>2022</v>
      </c>
      <c r="E16" s="675">
        <v>6160</v>
      </c>
      <c r="F16" s="675">
        <v>0</v>
      </c>
      <c r="G16" s="675">
        <v>165.46800000000002</v>
      </c>
      <c r="H16" s="675">
        <v>163.33000000000001</v>
      </c>
      <c r="I16" s="675">
        <v>163.33000000000001</v>
      </c>
      <c r="J16" s="675">
        <v>165.46800000000002</v>
      </c>
      <c r="K16" s="675">
        <v>0</v>
      </c>
      <c r="L16" s="675">
        <v>6160</v>
      </c>
      <c r="M16" s="675">
        <v>0</v>
      </c>
      <c r="N16" s="675">
        <v>0</v>
      </c>
      <c r="O16" s="675">
        <v>0</v>
      </c>
      <c r="P16" s="675">
        <v>185.80200000000002</v>
      </c>
      <c r="Q16" s="675">
        <v>0</v>
      </c>
      <c r="R16" s="675">
        <v>74772</v>
      </c>
      <c r="S16" s="675">
        <v>402.428</v>
      </c>
      <c r="T16" s="675">
        <v>0</v>
      </c>
      <c r="U16" s="675">
        <v>39762</v>
      </c>
      <c r="V16" s="675">
        <v>51.164999999999999</v>
      </c>
      <c r="W16" s="675">
        <v>31517</v>
      </c>
      <c r="X16" s="675">
        <v>31517</v>
      </c>
      <c r="Y16" s="675">
        <v>0</v>
      </c>
      <c r="Z16" s="675">
        <v>0</v>
      </c>
      <c r="AA16" s="675">
        <v>0</v>
      </c>
      <c r="AB16" s="675">
        <v>0</v>
      </c>
      <c r="AC16" s="675">
        <v>0</v>
      </c>
      <c r="AD16" s="675" t="s">
        <v>316</v>
      </c>
      <c r="AE16" s="675">
        <v>0</v>
      </c>
      <c r="AF16" s="675">
        <v>0</v>
      </c>
      <c r="AG16" s="675">
        <v>0</v>
      </c>
      <c r="AH16" s="675">
        <v>0</v>
      </c>
      <c r="AI16" s="675">
        <v>0</v>
      </c>
      <c r="AJ16" s="675">
        <v>6160</v>
      </c>
      <c r="AK16" s="675" t="s">
        <v>671</v>
      </c>
      <c r="AL16" s="675" t="s">
        <v>63</v>
      </c>
      <c r="AM16" s="675">
        <v>0</v>
      </c>
      <c r="AN16" s="675">
        <v>0</v>
      </c>
      <c r="AO16" s="675">
        <v>0</v>
      </c>
      <c r="AP16" s="675">
        <v>0</v>
      </c>
      <c r="AQ16" s="675">
        <v>0</v>
      </c>
      <c r="AR16" s="675">
        <v>0</v>
      </c>
      <c r="AS16" s="675">
        <v>0</v>
      </c>
      <c r="AT16" s="675">
        <v>0</v>
      </c>
      <c r="AU16" s="675">
        <v>0</v>
      </c>
      <c r="AV16" s="675">
        <v>-38077</v>
      </c>
      <c r="AW16" s="675">
        <v>1715967</v>
      </c>
      <c r="AX16" s="675">
        <v>1647156</v>
      </c>
      <c r="AY16" s="675">
        <v>1181172</v>
      </c>
      <c r="AZ16" s="675">
        <v>74772</v>
      </c>
      <c r="BA16" s="675">
        <v>0</v>
      </c>
      <c r="BB16" s="675">
        <v>3450</v>
      </c>
      <c r="BC16" s="675">
        <v>3428</v>
      </c>
      <c r="BD16" s="675">
        <v>8.0020000000000007</v>
      </c>
      <c r="BE16" s="675">
        <v>22</v>
      </c>
      <c r="BF16" s="675">
        <v>1533657</v>
      </c>
      <c r="BG16" s="675">
        <v>0</v>
      </c>
      <c r="BH16" s="675">
        <v>0</v>
      </c>
      <c r="BI16" s="675">
        <v>0</v>
      </c>
      <c r="BJ16" s="675">
        <v>12</v>
      </c>
      <c r="BK16" s="675">
        <v>0</v>
      </c>
      <c r="BL16" s="675">
        <v>0</v>
      </c>
      <c r="BM16" s="675">
        <v>0</v>
      </c>
      <c r="BN16" s="675">
        <v>0</v>
      </c>
      <c r="BO16" s="675">
        <v>0</v>
      </c>
      <c r="BP16" s="675">
        <v>0</v>
      </c>
      <c r="BQ16" s="675">
        <v>745</v>
      </c>
      <c r="BR16" s="675">
        <v>0</v>
      </c>
      <c r="BS16" s="675">
        <v>0</v>
      </c>
      <c r="BT16" s="675">
        <v>0</v>
      </c>
      <c r="BU16" s="675">
        <v>0</v>
      </c>
      <c r="BV16" s="675">
        <v>0</v>
      </c>
      <c r="BW16" s="675">
        <v>0</v>
      </c>
      <c r="BX16" s="675">
        <v>0</v>
      </c>
      <c r="BY16" s="675">
        <v>0</v>
      </c>
      <c r="BZ16" s="675">
        <v>0</v>
      </c>
      <c r="CA16" s="675">
        <v>0</v>
      </c>
      <c r="CB16" s="675">
        <v>0</v>
      </c>
      <c r="CC16" s="675">
        <v>0</v>
      </c>
      <c r="CD16" s="675">
        <v>0</v>
      </c>
      <c r="CE16" s="675">
        <v>0</v>
      </c>
      <c r="CF16" s="675">
        <v>0</v>
      </c>
      <c r="CG16" s="675">
        <v>0</v>
      </c>
      <c r="CH16" s="675">
        <v>68996</v>
      </c>
      <c r="CI16" s="675">
        <v>0</v>
      </c>
      <c r="CJ16" s="675">
        <v>4</v>
      </c>
      <c r="CK16" s="675">
        <v>0</v>
      </c>
      <c r="CL16" s="675">
        <v>0</v>
      </c>
      <c r="CM16" s="675">
        <v>0</v>
      </c>
      <c r="CN16" s="675">
        <v>0</v>
      </c>
      <c r="CO16" s="675">
        <v>1</v>
      </c>
      <c r="CP16" s="675">
        <v>0</v>
      </c>
      <c r="CQ16" s="675">
        <v>0</v>
      </c>
      <c r="CR16" s="675">
        <v>198.64400000000001</v>
      </c>
      <c r="CS16" s="675">
        <v>0</v>
      </c>
      <c r="CT16" s="675">
        <v>0</v>
      </c>
      <c r="CU16" s="675">
        <v>0</v>
      </c>
      <c r="CV16" s="675">
        <v>0</v>
      </c>
      <c r="CW16" s="675">
        <v>0</v>
      </c>
      <c r="CX16" s="675">
        <v>0</v>
      </c>
      <c r="CY16" s="675">
        <v>0</v>
      </c>
      <c r="CZ16" s="675">
        <v>0</v>
      </c>
      <c r="DA16" s="675">
        <v>0</v>
      </c>
      <c r="DB16" s="675">
        <v>977640</v>
      </c>
      <c r="DC16" s="675">
        <v>0</v>
      </c>
      <c r="DD16" s="675">
        <v>0</v>
      </c>
      <c r="DE16" s="675">
        <v>229921</v>
      </c>
      <c r="DF16" s="675">
        <v>229921</v>
      </c>
      <c r="DG16" s="675">
        <v>37.325000000000003</v>
      </c>
      <c r="DH16" s="675">
        <v>0</v>
      </c>
      <c r="DI16" s="675">
        <v>0</v>
      </c>
      <c r="DJ16" s="675">
        <v>0</v>
      </c>
      <c r="DK16" s="675">
        <v>3540</v>
      </c>
      <c r="DL16" s="675">
        <v>0</v>
      </c>
      <c r="DM16" s="675">
        <v>71130</v>
      </c>
      <c r="DN16" s="675">
        <v>162</v>
      </c>
      <c r="DO16" s="675">
        <v>0</v>
      </c>
      <c r="DP16" s="675">
        <v>0</v>
      </c>
      <c r="DQ16" s="675">
        <v>0</v>
      </c>
      <c r="DR16" s="675">
        <v>0</v>
      </c>
      <c r="DS16" s="675">
        <v>0</v>
      </c>
      <c r="DT16" s="675">
        <v>0</v>
      </c>
      <c r="DU16" s="675">
        <v>0</v>
      </c>
      <c r="DV16" s="675">
        <v>0</v>
      </c>
      <c r="DW16" s="675">
        <v>0</v>
      </c>
      <c r="DX16" s="675">
        <v>0</v>
      </c>
      <c r="DY16" s="675">
        <v>0</v>
      </c>
      <c r="DZ16" s="675">
        <v>0</v>
      </c>
      <c r="EA16" s="675">
        <v>0</v>
      </c>
      <c r="EB16" s="675">
        <v>0</v>
      </c>
      <c r="EC16" s="675">
        <v>0</v>
      </c>
      <c r="ED16" s="675">
        <v>0</v>
      </c>
      <c r="EE16" s="675">
        <v>0</v>
      </c>
      <c r="EF16" s="675">
        <v>0</v>
      </c>
      <c r="EG16" s="675">
        <v>0</v>
      </c>
      <c r="EH16" s="675">
        <v>42824</v>
      </c>
      <c r="EI16" s="675">
        <v>0</v>
      </c>
      <c r="EJ16" s="675">
        <v>0</v>
      </c>
      <c r="EK16" s="675">
        <v>1.53</v>
      </c>
      <c r="EL16" s="675">
        <v>0.159</v>
      </c>
      <c r="EM16" s="675">
        <v>0.33900000000000002</v>
      </c>
      <c r="EN16" s="675">
        <v>0.26900000000000002</v>
      </c>
      <c r="EO16" s="675">
        <v>0</v>
      </c>
      <c r="EP16" s="675">
        <v>0</v>
      </c>
      <c r="EQ16" s="675">
        <v>2.1379999999999999</v>
      </c>
      <c r="ER16" s="675">
        <v>0</v>
      </c>
      <c r="ES16" s="675">
        <v>6.952</v>
      </c>
      <c r="ET16" s="675">
        <v>0</v>
      </c>
      <c r="EU16" s="675">
        <v>0</v>
      </c>
      <c r="EV16" s="675">
        <v>0</v>
      </c>
      <c r="EW16" s="675">
        <v>0</v>
      </c>
      <c r="EX16" s="675">
        <v>0</v>
      </c>
      <c r="EY16" s="675">
        <v>0</v>
      </c>
      <c r="EZ16" s="675">
        <v>1458885</v>
      </c>
      <c r="FA16" s="675">
        <v>0</v>
      </c>
      <c r="FB16" s="675">
        <v>1533472</v>
      </c>
      <c r="FC16" s="675">
        <v>0</v>
      </c>
      <c r="FD16" s="675">
        <v>0</v>
      </c>
      <c r="FE16" s="675">
        <v>156004</v>
      </c>
      <c r="FF16" s="675">
        <v>32267</v>
      </c>
      <c r="FG16" s="675">
        <v>6.3574999999999993E-2</v>
      </c>
      <c r="FH16" s="675">
        <v>2.6298999999999999E-2</v>
      </c>
      <c r="FI16" s="675">
        <v>0</v>
      </c>
      <c r="FJ16" s="675">
        <v>0</v>
      </c>
      <c r="FK16" s="675">
        <v>248.971</v>
      </c>
      <c r="FL16" s="675">
        <v>1790739</v>
      </c>
      <c r="FM16" s="675">
        <v>0</v>
      </c>
      <c r="FN16" s="675">
        <v>0</v>
      </c>
      <c r="FO16" s="675">
        <v>0</v>
      </c>
      <c r="FP16" s="675">
        <v>0</v>
      </c>
      <c r="FQ16" s="675">
        <v>0</v>
      </c>
      <c r="FR16" s="675">
        <v>0</v>
      </c>
      <c r="FS16" s="675">
        <v>0</v>
      </c>
      <c r="FT16" s="675">
        <v>0</v>
      </c>
      <c r="FU16" s="675">
        <v>0</v>
      </c>
      <c r="FV16" s="675">
        <v>0</v>
      </c>
      <c r="FW16" s="675">
        <v>0</v>
      </c>
      <c r="FX16" s="675">
        <v>0</v>
      </c>
      <c r="FY16" s="675">
        <v>0</v>
      </c>
      <c r="FZ16" s="675">
        <v>0</v>
      </c>
      <c r="GA16" s="675">
        <v>0</v>
      </c>
      <c r="GB16" s="675">
        <v>0</v>
      </c>
      <c r="GC16" s="675">
        <v>0</v>
      </c>
      <c r="GD16" s="675">
        <v>0</v>
      </c>
      <c r="GE16" s="675">
        <v>0</v>
      </c>
      <c r="GF16" s="675">
        <v>0</v>
      </c>
      <c r="GG16" s="675">
        <v>0</v>
      </c>
      <c r="GH16" s="675">
        <v>0</v>
      </c>
      <c r="GI16" s="675">
        <v>0</v>
      </c>
      <c r="GJ16" s="675">
        <v>0</v>
      </c>
      <c r="GK16" s="675">
        <v>0</v>
      </c>
      <c r="GL16" s="675">
        <v>0</v>
      </c>
      <c r="GM16" s="675">
        <v>0</v>
      </c>
      <c r="GN16" s="675">
        <v>0</v>
      </c>
      <c r="GO16" s="675">
        <v>0</v>
      </c>
      <c r="GP16" s="675">
        <v>0</v>
      </c>
      <c r="GQ16" s="675">
        <v>0</v>
      </c>
      <c r="GR16" s="675">
        <v>0</v>
      </c>
      <c r="GS16" s="675">
        <v>0</v>
      </c>
      <c r="GT16" s="675">
        <v>0</v>
      </c>
      <c r="GU16" s="675">
        <v>0</v>
      </c>
      <c r="GV16" s="675">
        <v>0</v>
      </c>
      <c r="GW16" s="675">
        <v>0</v>
      </c>
      <c r="GX16" s="675">
        <v>0</v>
      </c>
      <c r="GY16" s="675">
        <v>0</v>
      </c>
      <c r="GZ16" s="675">
        <v>0</v>
      </c>
      <c r="HA16" s="675">
        <v>0</v>
      </c>
      <c r="HB16" s="675">
        <v>298386780</v>
      </c>
      <c r="HC16" s="675">
        <v>4.5690999999999996E-2</v>
      </c>
      <c r="HD16" s="675">
        <v>30241</v>
      </c>
      <c r="HE16" s="675">
        <v>0</v>
      </c>
      <c r="HF16" s="675">
        <v>179663</v>
      </c>
      <c r="HG16" s="675">
        <v>0</v>
      </c>
      <c r="HH16" s="675">
        <v>38566</v>
      </c>
      <c r="HI16" s="675">
        <v>0</v>
      </c>
      <c r="HJ16" s="675">
        <v>1608</v>
      </c>
      <c r="HK16" s="675">
        <v>0</v>
      </c>
      <c r="HL16" s="675">
        <v>0</v>
      </c>
      <c r="HM16" s="675">
        <v>0</v>
      </c>
      <c r="HN16" s="675">
        <v>0</v>
      </c>
      <c r="HO16" s="675">
        <v>0</v>
      </c>
      <c r="HP16" s="675">
        <v>0</v>
      </c>
      <c r="HQ16" s="675">
        <v>0</v>
      </c>
      <c r="HR16" s="675">
        <v>0</v>
      </c>
      <c r="HS16" s="675">
        <v>1458700</v>
      </c>
      <c r="HT16" s="675">
        <v>32267</v>
      </c>
      <c r="HU16" s="675">
        <v>38755</v>
      </c>
      <c r="HV16" s="675">
        <v>0</v>
      </c>
      <c r="HW16" s="675">
        <v>0</v>
      </c>
      <c r="HX16" s="675">
        <v>16</v>
      </c>
      <c r="HY16" s="675">
        <v>22</v>
      </c>
      <c r="HZ16" s="675">
        <v>31</v>
      </c>
      <c r="IA16" s="675">
        <v>34</v>
      </c>
      <c r="IB16" s="675">
        <v>43</v>
      </c>
      <c r="IC16" s="675">
        <v>146</v>
      </c>
      <c r="ID16" s="675">
        <v>0</v>
      </c>
      <c r="IE16" s="675">
        <v>0</v>
      </c>
      <c r="IF16" s="675">
        <v>0</v>
      </c>
      <c r="IG16" s="675">
        <v>0</v>
      </c>
      <c r="IH16" s="675">
        <v>62.608000000000004</v>
      </c>
      <c r="II16" s="675">
        <v>0</v>
      </c>
      <c r="IJ16" s="675">
        <v>51.164999999999999</v>
      </c>
      <c r="IK16" s="675">
        <v>0</v>
      </c>
      <c r="IL16" s="675">
        <v>0</v>
      </c>
      <c r="IM16" s="675">
        <v>0</v>
      </c>
      <c r="IN16" s="675">
        <v>0</v>
      </c>
      <c r="IO16" s="675">
        <v>0</v>
      </c>
      <c r="IP16" s="675">
        <v>0</v>
      </c>
      <c r="IQ16" s="675">
        <v>51.164999999999999</v>
      </c>
      <c r="IR16" s="675">
        <v>31517</v>
      </c>
      <c r="IS16" s="675">
        <v>0</v>
      </c>
      <c r="IT16" s="675">
        <v>0</v>
      </c>
      <c r="IU16" s="675">
        <v>0</v>
      </c>
      <c r="IV16" s="675">
        <v>0</v>
      </c>
      <c r="IW16" s="675">
        <v>6160</v>
      </c>
      <c r="IX16" s="675">
        <v>0</v>
      </c>
      <c r="IY16" s="675">
        <v>0</v>
      </c>
      <c r="IZ16" s="675">
        <v>0</v>
      </c>
      <c r="JA16" s="675">
        <v>0</v>
      </c>
      <c r="JB16" s="675">
        <v>0</v>
      </c>
      <c r="JC16" s="675">
        <v>0</v>
      </c>
      <c r="JD16" s="675">
        <v>0</v>
      </c>
      <c r="JE16" s="675">
        <v>0</v>
      </c>
      <c r="JF16" s="675">
        <v>0</v>
      </c>
      <c r="JG16" s="675">
        <v>0</v>
      </c>
      <c r="JH16" s="675">
        <v>0</v>
      </c>
      <c r="JI16" s="675">
        <v>0</v>
      </c>
      <c r="JJ16" s="675">
        <v>0</v>
      </c>
      <c r="JK16" s="675">
        <v>0</v>
      </c>
      <c r="JL16" s="675">
        <v>0</v>
      </c>
      <c r="JM16" s="675">
        <v>0</v>
      </c>
      <c r="JN16" s="675">
        <v>32469</v>
      </c>
      <c r="JO16" s="675">
        <v>0</v>
      </c>
      <c r="JP16" s="675">
        <v>0</v>
      </c>
      <c r="JQ16" s="675">
        <v>0</v>
      </c>
      <c r="JR16" s="675">
        <v>0</v>
      </c>
      <c r="JS16" s="675">
        <v>0</v>
      </c>
      <c r="JT16" s="675">
        <v>0</v>
      </c>
      <c r="JU16" s="675">
        <v>3450</v>
      </c>
      <c r="JV16" s="675">
        <v>38755</v>
      </c>
      <c r="JW16" s="675">
        <v>0</v>
      </c>
      <c r="JX16" s="675">
        <v>0</v>
      </c>
      <c r="JY16" s="675">
        <v>0</v>
      </c>
      <c r="JZ16" s="675">
        <v>0</v>
      </c>
      <c r="KA16" s="675">
        <v>0</v>
      </c>
      <c r="KB16" s="675">
        <v>0</v>
      </c>
      <c r="KC16" s="675">
        <v>0</v>
      </c>
      <c r="KD16" s="675">
        <v>3450</v>
      </c>
      <c r="KE16" s="675">
        <v>7260</v>
      </c>
      <c r="KF16" s="675">
        <v>0</v>
      </c>
      <c r="KG16" s="675">
        <v>0</v>
      </c>
      <c r="KH16" s="675">
        <v>0</v>
      </c>
      <c r="KI16" s="675">
        <v>0</v>
      </c>
    </row>
    <row r="17" spans="1:295" ht="12.5" x14ac:dyDescent="0.25">
      <c r="A17" s="675">
        <v>35795</v>
      </c>
      <c r="B17" s="675">
        <v>15806</v>
      </c>
      <c r="C17" s="675">
        <v>9</v>
      </c>
      <c r="D17" s="675">
        <v>2022</v>
      </c>
      <c r="E17" s="675">
        <v>6160</v>
      </c>
      <c r="F17" s="675">
        <v>0</v>
      </c>
      <c r="G17" s="675">
        <v>299.55700000000002</v>
      </c>
      <c r="H17" s="675">
        <v>255.262</v>
      </c>
      <c r="I17" s="675">
        <v>255.262</v>
      </c>
      <c r="J17" s="675">
        <v>299.55700000000002</v>
      </c>
      <c r="K17" s="675">
        <v>0</v>
      </c>
      <c r="L17" s="675">
        <v>6160</v>
      </c>
      <c r="M17" s="675">
        <v>0</v>
      </c>
      <c r="N17" s="675">
        <v>0</v>
      </c>
      <c r="O17" s="675">
        <v>0</v>
      </c>
      <c r="P17" s="675">
        <v>303.73099999999999</v>
      </c>
      <c r="Q17" s="675">
        <v>0</v>
      </c>
      <c r="R17" s="675">
        <v>122230</v>
      </c>
      <c r="S17" s="675">
        <v>402.428</v>
      </c>
      <c r="T17" s="675">
        <v>0</v>
      </c>
      <c r="U17" s="675">
        <v>64998</v>
      </c>
      <c r="V17" s="675">
        <v>73.26400000000001</v>
      </c>
      <c r="W17" s="675">
        <v>45130</v>
      </c>
      <c r="X17" s="675">
        <v>45130</v>
      </c>
      <c r="Y17" s="675">
        <v>0</v>
      </c>
      <c r="Z17" s="675">
        <v>0</v>
      </c>
      <c r="AA17" s="675">
        <v>0</v>
      </c>
      <c r="AB17" s="675">
        <v>0</v>
      </c>
      <c r="AC17" s="675">
        <v>0</v>
      </c>
      <c r="AD17" s="675" t="s">
        <v>316</v>
      </c>
      <c r="AE17" s="675">
        <v>0</v>
      </c>
      <c r="AF17" s="675">
        <v>0</v>
      </c>
      <c r="AG17" s="675">
        <v>0</v>
      </c>
      <c r="AH17" s="675">
        <v>0</v>
      </c>
      <c r="AI17" s="675">
        <v>0</v>
      </c>
      <c r="AJ17" s="675">
        <v>6160</v>
      </c>
      <c r="AK17" s="675" t="s">
        <v>671</v>
      </c>
      <c r="AL17" s="675" t="s">
        <v>789</v>
      </c>
      <c r="AM17" s="675">
        <v>0</v>
      </c>
      <c r="AN17" s="675">
        <v>0</v>
      </c>
      <c r="AO17" s="675">
        <v>0</v>
      </c>
      <c r="AP17" s="675">
        <v>0</v>
      </c>
      <c r="AQ17" s="675">
        <v>0</v>
      </c>
      <c r="AR17" s="675">
        <v>0</v>
      </c>
      <c r="AS17" s="675">
        <v>0</v>
      </c>
      <c r="AT17" s="675">
        <v>0</v>
      </c>
      <c r="AU17" s="675">
        <v>0</v>
      </c>
      <c r="AV17" s="675">
        <v>-134336</v>
      </c>
      <c r="AW17" s="675">
        <v>3428114</v>
      </c>
      <c r="AX17" s="675">
        <v>3350789</v>
      </c>
      <c r="AY17" s="675">
        <v>2269149</v>
      </c>
      <c r="AZ17" s="675">
        <v>122230</v>
      </c>
      <c r="BA17" s="675">
        <v>0</v>
      </c>
      <c r="BB17" s="675">
        <v>0</v>
      </c>
      <c r="BC17" s="675">
        <v>0</v>
      </c>
      <c r="BD17" s="675">
        <v>0</v>
      </c>
      <c r="BE17" s="675">
        <v>0</v>
      </c>
      <c r="BF17" s="675">
        <v>3054630</v>
      </c>
      <c r="BG17" s="675">
        <v>0</v>
      </c>
      <c r="BH17" s="675">
        <v>0</v>
      </c>
      <c r="BI17" s="675">
        <v>0</v>
      </c>
      <c r="BJ17" s="675">
        <v>12</v>
      </c>
      <c r="BK17" s="675">
        <v>0</v>
      </c>
      <c r="BL17" s="675">
        <v>0</v>
      </c>
      <c r="BM17" s="675">
        <v>0</v>
      </c>
      <c r="BN17" s="675">
        <v>0</v>
      </c>
      <c r="BO17" s="675">
        <v>0</v>
      </c>
      <c r="BP17" s="675">
        <v>0</v>
      </c>
      <c r="BQ17" s="675">
        <v>731</v>
      </c>
      <c r="BR17" s="675">
        <v>0</v>
      </c>
      <c r="BS17" s="675">
        <v>0</v>
      </c>
      <c r="BT17" s="675">
        <v>0</v>
      </c>
      <c r="BU17" s="675">
        <v>0</v>
      </c>
      <c r="BV17" s="675">
        <v>0</v>
      </c>
      <c r="BW17" s="675">
        <v>0</v>
      </c>
      <c r="BX17" s="675">
        <v>0</v>
      </c>
      <c r="BY17" s="675">
        <v>0</v>
      </c>
      <c r="BZ17" s="675">
        <v>0</v>
      </c>
      <c r="CA17" s="675">
        <v>0</v>
      </c>
      <c r="CB17" s="675">
        <v>0</v>
      </c>
      <c r="CC17" s="675">
        <v>0</v>
      </c>
      <c r="CD17" s="675">
        <v>0</v>
      </c>
      <c r="CE17" s="675">
        <v>0</v>
      </c>
      <c r="CF17" s="675">
        <v>0</v>
      </c>
      <c r="CG17" s="675">
        <v>0</v>
      </c>
      <c r="CH17" s="675">
        <v>78103</v>
      </c>
      <c r="CI17" s="675">
        <v>0</v>
      </c>
      <c r="CJ17" s="675">
        <v>4</v>
      </c>
      <c r="CK17" s="675">
        <v>0</v>
      </c>
      <c r="CL17" s="675">
        <v>0</v>
      </c>
      <c r="CM17" s="675">
        <v>0</v>
      </c>
      <c r="CN17" s="675">
        <v>0</v>
      </c>
      <c r="CO17" s="675">
        <v>1</v>
      </c>
      <c r="CP17" s="675">
        <v>0</v>
      </c>
      <c r="CQ17" s="675">
        <v>0</v>
      </c>
      <c r="CR17" s="675">
        <v>298.04300000000001</v>
      </c>
      <c r="CS17" s="675">
        <v>0</v>
      </c>
      <c r="CT17" s="675">
        <v>0</v>
      </c>
      <c r="CU17" s="675">
        <v>0</v>
      </c>
      <c r="CV17" s="675">
        <v>0</v>
      </c>
      <c r="CW17" s="675">
        <v>0</v>
      </c>
      <c r="CX17" s="675">
        <v>0</v>
      </c>
      <c r="CY17" s="675">
        <v>0</v>
      </c>
      <c r="CZ17" s="675">
        <v>0</v>
      </c>
      <c r="DA17" s="675">
        <v>0</v>
      </c>
      <c r="DB17" s="675">
        <v>1505159</v>
      </c>
      <c r="DC17" s="675">
        <v>0</v>
      </c>
      <c r="DD17" s="675">
        <v>0</v>
      </c>
      <c r="DE17" s="675">
        <v>507351</v>
      </c>
      <c r="DF17" s="675">
        <v>507351</v>
      </c>
      <c r="DG17" s="675">
        <v>82.363</v>
      </c>
      <c r="DH17" s="675">
        <v>0</v>
      </c>
      <c r="DI17" s="675">
        <v>0</v>
      </c>
      <c r="DJ17" s="675">
        <v>0</v>
      </c>
      <c r="DK17" s="675">
        <v>3313</v>
      </c>
      <c r="DL17" s="675">
        <v>0</v>
      </c>
      <c r="DM17" s="675">
        <v>271627</v>
      </c>
      <c r="DN17" s="675">
        <v>778</v>
      </c>
      <c r="DO17" s="675">
        <v>0</v>
      </c>
      <c r="DP17" s="675">
        <v>0</v>
      </c>
      <c r="DQ17" s="675">
        <v>0</v>
      </c>
      <c r="DR17" s="675">
        <v>0</v>
      </c>
      <c r="DS17" s="675">
        <v>0</v>
      </c>
      <c r="DT17" s="675">
        <v>0</v>
      </c>
      <c r="DU17" s="675">
        <v>0</v>
      </c>
      <c r="DV17" s="675">
        <v>0</v>
      </c>
      <c r="DW17" s="675">
        <v>0</v>
      </c>
      <c r="DX17" s="675">
        <v>0</v>
      </c>
      <c r="DY17" s="675">
        <v>0</v>
      </c>
      <c r="DZ17" s="675">
        <v>0</v>
      </c>
      <c r="EA17" s="675">
        <v>0</v>
      </c>
      <c r="EB17" s="675">
        <v>0</v>
      </c>
      <c r="EC17" s="675">
        <v>8.4990000000000006</v>
      </c>
      <c r="ED17" s="675">
        <v>60207</v>
      </c>
      <c r="EE17" s="675">
        <v>0</v>
      </c>
      <c r="EF17" s="675">
        <v>0</v>
      </c>
      <c r="EG17" s="675">
        <v>0</v>
      </c>
      <c r="EH17" s="675">
        <v>144950</v>
      </c>
      <c r="EI17" s="675">
        <v>0</v>
      </c>
      <c r="EJ17" s="675">
        <v>0</v>
      </c>
      <c r="EK17" s="675">
        <v>6.1050000000000004</v>
      </c>
      <c r="EL17" s="675">
        <v>0</v>
      </c>
      <c r="EM17" s="675">
        <v>0.84200000000000008</v>
      </c>
      <c r="EN17" s="675">
        <v>0.53800000000000003</v>
      </c>
      <c r="EO17" s="675">
        <v>0</v>
      </c>
      <c r="EP17" s="675">
        <v>0</v>
      </c>
      <c r="EQ17" s="675">
        <v>7.4850000000000003</v>
      </c>
      <c r="ER17" s="675">
        <v>0</v>
      </c>
      <c r="ES17" s="675">
        <v>23.531000000000002</v>
      </c>
      <c r="ET17" s="675">
        <v>0</v>
      </c>
      <c r="EU17" s="675">
        <v>0</v>
      </c>
      <c r="EV17" s="675">
        <v>0</v>
      </c>
      <c r="EW17" s="675">
        <v>0</v>
      </c>
      <c r="EX17" s="675">
        <v>0</v>
      </c>
      <c r="EY17" s="675">
        <v>0</v>
      </c>
      <c r="EZ17" s="675">
        <v>2975803</v>
      </c>
      <c r="FA17" s="675">
        <v>0</v>
      </c>
      <c r="FB17" s="675">
        <v>3097255</v>
      </c>
      <c r="FC17" s="675">
        <v>0</v>
      </c>
      <c r="FD17" s="675">
        <v>0</v>
      </c>
      <c r="FE17" s="675">
        <v>310719</v>
      </c>
      <c r="FF17" s="675">
        <v>64267</v>
      </c>
      <c r="FG17" s="675">
        <v>6.3574999999999993E-2</v>
      </c>
      <c r="FH17" s="675">
        <v>2.6298999999999999E-2</v>
      </c>
      <c r="FI17" s="675">
        <v>0</v>
      </c>
      <c r="FJ17" s="675">
        <v>0</v>
      </c>
      <c r="FK17" s="675">
        <v>495.88400000000001</v>
      </c>
      <c r="FL17" s="675">
        <v>3550344</v>
      </c>
      <c r="FM17" s="675">
        <v>0</v>
      </c>
      <c r="FN17" s="675">
        <v>0</v>
      </c>
      <c r="FO17" s="675">
        <v>41883</v>
      </c>
      <c r="FP17" s="675">
        <v>0</v>
      </c>
      <c r="FQ17" s="675">
        <v>41883</v>
      </c>
      <c r="FR17" s="675">
        <v>41883</v>
      </c>
      <c r="FS17" s="675">
        <v>0</v>
      </c>
      <c r="FT17" s="675">
        <v>0</v>
      </c>
      <c r="FU17" s="675">
        <v>0</v>
      </c>
      <c r="FV17" s="675">
        <v>0</v>
      </c>
      <c r="FW17" s="675">
        <v>0</v>
      </c>
      <c r="FX17" s="675">
        <v>0</v>
      </c>
      <c r="FY17" s="675">
        <v>0</v>
      </c>
      <c r="FZ17" s="675">
        <v>0</v>
      </c>
      <c r="GA17" s="675">
        <v>0</v>
      </c>
      <c r="GB17" s="675">
        <v>358647</v>
      </c>
      <c r="GC17" s="675">
        <v>358647</v>
      </c>
      <c r="GD17" s="675">
        <v>36.81</v>
      </c>
      <c r="GE17" s="675">
        <v>0</v>
      </c>
      <c r="GF17" s="675">
        <v>0</v>
      </c>
      <c r="GG17" s="675">
        <v>0</v>
      </c>
      <c r="GH17" s="675">
        <v>0</v>
      </c>
      <c r="GI17" s="675">
        <v>0</v>
      </c>
      <c r="GJ17" s="675">
        <v>0</v>
      </c>
      <c r="GK17" s="675">
        <v>0</v>
      </c>
      <c r="GL17" s="675">
        <v>0</v>
      </c>
      <c r="GM17" s="675">
        <v>0</v>
      </c>
      <c r="GN17" s="675">
        <v>0</v>
      </c>
      <c r="GO17" s="675">
        <v>0</v>
      </c>
      <c r="GP17" s="675">
        <v>0</v>
      </c>
      <c r="GQ17" s="675">
        <v>0</v>
      </c>
      <c r="GR17" s="675">
        <v>0</v>
      </c>
      <c r="GS17" s="675">
        <v>0</v>
      </c>
      <c r="GT17" s="675">
        <v>0</v>
      </c>
      <c r="GU17" s="675">
        <v>0</v>
      </c>
      <c r="GV17" s="675">
        <v>0</v>
      </c>
      <c r="GW17" s="675">
        <v>0</v>
      </c>
      <c r="GX17" s="675">
        <v>0</v>
      </c>
      <c r="GY17" s="675">
        <v>0</v>
      </c>
      <c r="GZ17" s="675">
        <v>0</v>
      </c>
      <c r="HA17" s="675">
        <v>0</v>
      </c>
      <c r="HB17" s="675">
        <v>298386780</v>
      </c>
      <c r="HC17" s="675">
        <v>4.5690999999999996E-2</v>
      </c>
      <c r="HD17" s="675">
        <v>54748</v>
      </c>
      <c r="HE17" s="675">
        <v>0</v>
      </c>
      <c r="HF17" s="675">
        <v>280788</v>
      </c>
      <c r="HG17" s="675">
        <v>16016</v>
      </c>
      <c r="HH17" s="675">
        <v>61222</v>
      </c>
      <c r="HI17" s="675">
        <v>0</v>
      </c>
      <c r="HJ17" s="675">
        <v>2912</v>
      </c>
      <c r="HK17" s="675">
        <v>1017</v>
      </c>
      <c r="HL17" s="675">
        <v>503</v>
      </c>
      <c r="HM17" s="675">
        <v>5000</v>
      </c>
      <c r="HN17" s="675">
        <v>0</v>
      </c>
      <c r="HO17" s="675">
        <v>0</v>
      </c>
      <c r="HP17" s="675">
        <v>0</v>
      </c>
      <c r="HQ17" s="675">
        <v>0</v>
      </c>
      <c r="HR17" s="675">
        <v>0</v>
      </c>
      <c r="HS17" s="675">
        <v>2975025</v>
      </c>
      <c r="HT17" s="675">
        <v>64267</v>
      </c>
      <c r="HU17" s="675">
        <v>23355</v>
      </c>
      <c r="HV17" s="675">
        <v>0</v>
      </c>
      <c r="HW17" s="675">
        <v>0</v>
      </c>
      <c r="HX17" s="675">
        <v>24</v>
      </c>
      <c r="HY17" s="675">
        <v>38</v>
      </c>
      <c r="HZ17" s="675">
        <v>57</v>
      </c>
      <c r="IA17" s="675">
        <v>83</v>
      </c>
      <c r="IB17" s="675">
        <v>116</v>
      </c>
      <c r="IC17" s="675">
        <v>318</v>
      </c>
      <c r="ID17" s="675">
        <v>0</v>
      </c>
      <c r="IE17" s="675">
        <v>0</v>
      </c>
      <c r="IF17" s="675">
        <v>0</v>
      </c>
      <c r="IG17" s="675">
        <v>26</v>
      </c>
      <c r="IH17" s="675">
        <v>99.387</v>
      </c>
      <c r="II17" s="675">
        <v>0</v>
      </c>
      <c r="IJ17" s="675">
        <v>73.26400000000001</v>
      </c>
      <c r="IK17" s="675">
        <v>0</v>
      </c>
      <c r="IL17" s="675">
        <v>1</v>
      </c>
      <c r="IM17" s="675">
        <v>0</v>
      </c>
      <c r="IN17" s="675">
        <v>0</v>
      </c>
      <c r="IO17" s="675">
        <v>1</v>
      </c>
      <c r="IP17" s="675">
        <v>0</v>
      </c>
      <c r="IQ17" s="675">
        <v>73.26400000000001</v>
      </c>
      <c r="IR17" s="675">
        <v>45130</v>
      </c>
      <c r="IS17" s="675">
        <v>0</v>
      </c>
      <c r="IT17" s="675">
        <v>5000</v>
      </c>
      <c r="IU17" s="675">
        <v>0</v>
      </c>
      <c r="IV17" s="675">
        <v>0</v>
      </c>
      <c r="IW17" s="675">
        <v>6160</v>
      </c>
      <c r="IX17" s="675">
        <v>0</v>
      </c>
      <c r="IY17" s="675">
        <v>0</v>
      </c>
      <c r="IZ17" s="675">
        <v>0</v>
      </c>
      <c r="JA17" s="675">
        <v>0</v>
      </c>
      <c r="JB17" s="675">
        <v>0</v>
      </c>
      <c r="JC17" s="675">
        <v>0</v>
      </c>
      <c r="JD17" s="675">
        <v>0</v>
      </c>
      <c r="JE17" s="675">
        <v>0</v>
      </c>
      <c r="JF17" s="675">
        <v>0</v>
      </c>
      <c r="JG17" s="675">
        <v>0</v>
      </c>
      <c r="JH17" s="675">
        <v>0</v>
      </c>
      <c r="JI17" s="675">
        <v>0</v>
      </c>
      <c r="JJ17" s="675">
        <v>0</v>
      </c>
      <c r="JK17" s="675">
        <v>0</v>
      </c>
      <c r="JL17" s="675">
        <v>0</v>
      </c>
      <c r="JM17" s="675">
        <v>0</v>
      </c>
      <c r="JN17" s="675">
        <v>32469</v>
      </c>
      <c r="JO17" s="675">
        <v>0.42</v>
      </c>
      <c r="JP17" s="675">
        <v>23.973000000000003</v>
      </c>
      <c r="JQ17" s="675">
        <v>12.417</v>
      </c>
      <c r="JR17" s="675">
        <v>3354</v>
      </c>
      <c r="JS17" s="675">
        <v>222776</v>
      </c>
      <c r="JT17" s="675">
        <v>132517</v>
      </c>
      <c r="JU17" s="675">
        <v>0</v>
      </c>
      <c r="JV17" s="675">
        <v>23355</v>
      </c>
      <c r="JW17" s="675">
        <v>0</v>
      </c>
      <c r="JX17" s="675">
        <v>0</v>
      </c>
      <c r="JY17" s="675">
        <v>0</v>
      </c>
      <c r="JZ17" s="675">
        <v>0</v>
      </c>
      <c r="KA17" s="675">
        <v>0</v>
      </c>
      <c r="KB17" s="675">
        <v>0</v>
      </c>
      <c r="KC17" s="675">
        <v>0</v>
      </c>
      <c r="KD17" s="675">
        <v>0</v>
      </c>
      <c r="KE17" s="675">
        <v>7260</v>
      </c>
      <c r="KF17" s="675">
        <v>0</v>
      </c>
      <c r="KG17" s="675">
        <v>0</v>
      </c>
      <c r="KH17" s="675">
        <v>0</v>
      </c>
      <c r="KI17" s="675">
        <v>0</v>
      </c>
    </row>
    <row r="18" spans="1:295" ht="12.5" x14ac:dyDescent="0.25">
      <c r="A18" s="675">
        <v>35795</v>
      </c>
      <c r="B18" s="675">
        <v>92801</v>
      </c>
      <c r="C18" s="675">
        <v>9</v>
      </c>
      <c r="D18" s="675">
        <v>2022</v>
      </c>
      <c r="E18" s="675">
        <v>6160</v>
      </c>
      <c r="F18" s="675">
        <v>0</v>
      </c>
      <c r="G18" s="675">
        <v>134.49299999999999</v>
      </c>
      <c r="H18" s="675">
        <v>96.493000000000009</v>
      </c>
      <c r="I18" s="675">
        <v>96.493000000000009</v>
      </c>
      <c r="J18" s="675">
        <v>134.49299999999999</v>
      </c>
      <c r="K18" s="675">
        <v>0</v>
      </c>
      <c r="L18" s="675">
        <v>6160</v>
      </c>
      <c r="M18" s="675">
        <v>0</v>
      </c>
      <c r="N18" s="675">
        <v>0</v>
      </c>
      <c r="O18" s="675">
        <v>0</v>
      </c>
      <c r="P18" s="675">
        <v>125.072</v>
      </c>
      <c r="Q18" s="675">
        <v>0</v>
      </c>
      <c r="R18" s="675">
        <v>50332</v>
      </c>
      <c r="S18" s="675">
        <v>402.428</v>
      </c>
      <c r="T18" s="675">
        <v>0</v>
      </c>
      <c r="U18" s="675">
        <v>26766</v>
      </c>
      <c r="V18" s="675">
        <v>0</v>
      </c>
      <c r="W18" s="675">
        <v>0</v>
      </c>
      <c r="X18" s="675">
        <v>0</v>
      </c>
      <c r="Y18" s="675">
        <v>0</v>
      </c>
      <c r="Z18" s="675">
        <v>0</v>
      </c>
      <c r="AA18" s="675">
        <v>0</v>
      </c>
      <c r="AB18" s="675">
        <v>0</v>
      </c>
      <c r="AC18" s="675">
        <v>0</v>
      </c>
      <c r="AD18" s="675" t="s">
        <v>316</v>
      </c>
      <c r="AE18" s="675">
        <v>0</v>
      </c>
      <c r="AF18" s="675">
        <v>0</v>
      </c>
      <c r="AG18" s="675">
        <v>0</v>
      </c>
      <c r="AH18" s="675">
        <v>0</v>
      </c>
      <c r="AI18" s="675">
        <v>0</v>
      </c>
      <c r="AJ18" s="675">
        <v>6160</v>
      </c>
      <c r="AK18" s="675" t="s">
        <v>671</v>
      </c>
      <c r="AL18" s="675" t="s">
        <v>28</v>
      </c>
      <c r="AM18" s="675">
        <v>0</v>
      </c>
      <c r="AN18" s="675">
        <v>0</v>
      </c>
      <c r="AO18" s="675">
        <v>0</v>
      </c>
      <c r="AP18" s="675">
        <v>0</v>
      </c>
      <c r="AQ18" s="675">
        <v>0</v>
      </c>
      <c r="AR18" s="675">
        <v>0</v>
      </c>
      <c r="AS18" s="675">
        <v>0</v>
      </c>
      <c r="AT18" s="675">
        <v>0</v>
      </c>
      <c r="AU18" s="675">
        <v>0</v>
      </c>
      <c r="AV18" s="675">
        <v>0</v>
      </c>
      <c r="AW18" s="675">
        <v>1365724</v>
      </c>
      <c r="AX18" s="675">
        <v>1323258</v>
      </c>
      <c r="AY18" s="675">
        <v>906293</v>
      </c>
      <c r="AZ18" s="675">
        <v>50332</v>
      </c>
      <c r="BA18" s="675">
        <v>0</v>
      </c>
      <c r="BB18" s="675">
        <v>0</v>
      </c>
      <c r="BC18" s="675">
        <v>0</v>
      </c>
      <c r="BD18" s="675">
        <v>0</v>
      </c>
      <c r="BE18" s="675">
        <v>0</v>
      </c>
      <c r="BF18" s="675">
        <v>1221770</v>
      </c>
      <c r="BG18" s="675">
        <v>0</v>
      </c>
      <c r="BH18" s="675">
        <v>0</v>
      </c>
      <c r="BI18" s="675">
        <v>0</v>
      </c>
      <c r="BJ18" s="675">
        <v>12</v>
      </c>
      <c r="BK18" s="675">
        <v>0</v>
      </c>
      <c r="BL18" s="675">
        <v>0</v>
      </c>
      <c r="BM18" s="675">
        <v>0</v>
      </c>
      <c r="BN18" s="675">
        <v>0</v>
      </c>
      <c r="BO18" s="675">
        <v>0</v>
      </c>
      <c r="BP18" s="675">
        <v>0</v>
      </c>
      <c r="BQ18" s="675">
        <v>755</v>
      </c>
      <c r="BR18" s="675">
        <v>0</v>
      </c>
      <c r="BS18" s="675">
        <v>0</v>
      </c>
      <c r="BT18" s="675">
        <v>0</v>
      </c>
      <c r="BU18" s="675">
        <v>0</v>
      </c>
      <c r="BV18" s="675">
        <v>0</v>
      </c>
      <c r="BW18" s="675">
        <v>0</v>
      </c>
      <c r="BX18" s="675">
        <v>0</v>
      </c>
      <c r="BY18" s="675">
        <v>0</v>
      </c>
      <c r="BZ18" s="675">
        <v>0</v>
      </c>
      <c r="CA18" s="675">
        <v>0</v>
      </c>
      <c r="CB18" s="675">
        <v>0</v>
      </c>
      <c r="CC18" s="675">
        <v>0</v>
      </c>
      <c r="CD18" s="675">
        <v>0</v>
      </c>
      <c r="CE18" s="675">
        <v>0</v>
      </c>
      <c r="CF18" s="675">
        <v>0</v>
      </c>
      <c r="CG18" s="675">
        <v>0</v>
      </c>
      <c r="CH18" s="675">
        <v>42766</v>
      </c>
      <c r="CI18" s="675">
        <v>0</v>
      </c>
      <c r="CJ18" s="675">
        <v>4</v>
      </c>
      <c r="CK18" s="675">
        <v>0</v>
      </c>
      <c r="CL18" s="675">
        <v>0</v>
      </c>
      <c r="CM18" s="675">
        <v>0</v>
      </c>
      <c r="CN18" s="675">
        <v>0</v>
      </c>
      <c r="CO18" s="675">
        <v>1</v>
      </c>
      <c r="CP18" s="675">
        <v>0</v>
      </c>
      <c r="CQ18" s="675">
        <v>0</v>
      </c>
      <c r="CR18" s="675">
        <v>131.12900000000002</v>
      </c>
      <c r="CS18" s="675">
        <v>0</v>
      </c>
      <c r="CT18" s="675">
        <v>0</v>
      </c>
      <c r="CU18" s="675">
        <v>0</v>
      </c>
      <c r="CV18" s="675">
        <v>0</v>
      </c>
      <c r="CW18" s="675">
        <v>0</v>
      </c>
      <c r="CX18" s="675">
        <v>0</v>
      </c>
      <c r="CY18" s="675">
        <v>0</v>
      </c>
      <c r="CZ18" s="675">
        <v>0</v>
      </c>
      <c r="DA18" s="675">
        <v>0</v>
      </c>
      <c r="DB18" s="675">
        <v>594394</v>
      </c>
      <c r="DC18" s="675">
        <v>0</v>
      </c>
      <c r="DD18" s="675">
        <v>0</v>
      </c>
      <c r="DE18" s="675">
        <v>58366</v>
      </c>
      <c r="DF18" s="675">
        <v>58366</v>
      </c>
      <c r="DG18" s="675">
        <v>9.4749999999999996</v>
      </c>
      <c r="DH18" s="675">
        <v>0</v>
      </c>
      <c r="DI18" s="675">
        <v>0</v>
      </c>
      <c r="DJ18" s="675">
        <v>0</v>
      </c>
      <c r="DK18" s="675">
        <v>3705</v>
      </c>
      <c r="DL18" s="675">
        <v>0</v>
      </c>
      <c r="DM18" s="675">
        <v>78581</v>
      </c>
      <c r="DN18" s="675">
        <v>299</v>
      </c>
      <c r="DO18" s="675">
        <v>0</v>
      </c>
      <c r="DP18" s="675">
        <v>0</v>
      </c>
      <c r="DQ18" s="675">
        <v>0</v>
      </c>
      <c r="DR18" s="675">
        <v>0</v>
      </c>
      <c r="DS18" s="675">
        <v>0</v>
      </c>
      <c r="DT18" s="675">
        <v>0</v>
      </c>
      <c r="DU18" s="675">
        <v>0</v>
      </c>
      <c r="DV18" s="675">
        <v>0</v>
      </c>
      <c r="DW18" s="675">
        <v>0</v>
      </c>
      <c r="DX18" s="675">
        <v>0</v>
      </c>
      <c r="DY18" s="675">
        <v>0</v>
      </c>
      <c r="DZ18" s="675">
        <v>0</v>
      </c>
      <c r="EA18" s="675">
        <v>0</v>
      </c>
      <c r="EB18" s="675">
        <v>0</v>
      </c>
      <c r="EC18" s="675">
        <v>11.135</v>
      </c>
      <c r="ED18" s="675">
        <v>78880</v>
      </c>
      <c r="EE18" s="675">
        <v>0</v>
      </c>
      <c r="EF18" s="675">
        <v>0</v>
      </c>
      <c r="EG18" s="675">
        <v>0</v>
      </c>
      <c r="EH18" s="675">
        <v>0</v>
      </c>
      <c r="EI18" s="675">
        <v>0</v>
      </c>
      <c r="EJ18" s="675">
        <v>0</v>
      </c>
      <c r="EK18" s="675">
        <v>0</v>
      </c>
      <c r="EL18" s="675">
        <v>0</v>
      </c>
      <c r="EM18" s="675">
        <v>0</v>
      </c>
      <c r="EN18" s="675">
        <v>0</v>
      </c>
      <c r="EO18" s="675">
        <v>0</v>
      </c>
      <c r="EP18" s="675">
        <v>0</v>
      </c>
      <c r="EQ18" s="675">
        <v>0</v>
      </c>
      <c r="ER18" s="675">
        <v>0</v>
      </c>
      <c r="ES18" s="675">
        <v>0</v>
      </c>
      <c r="ET18" s="675">
        <v>0</v>
      </c>
      <c r="EU18" s="675">
        <v>0</v>
      </c>
      <c r="EV18" s="675">
        <v>0</v>
      </c>
      <c r="EW18" s="675">
        <v>0</v>
      </c>
      <c r="EX18" s="675">
        <v>0</v>
      </c>
      <c r="EY18" s="675">
        <v>0</v>
      </c>
      <c r="EZ18" s="675">
        <v>1173274</v>
      </c>
      <c r="FA18" s="675">
        <v>0</v>
      </c>
      <c r="FB18" s="675">
        <v>1223307</v>
      </c>
      <c r="FC18" s="675">
        <v>0</v>
      </c>
      <c r="FD18" s="675">
        <v>0</v>
      </c>
      <c r="FE18" s="675">
        <v>124279</v>
      </c>
      <c r="FF18" s="675">
        <v>25705</v>
      </c>
      <c r="FG18" s="675">
        <v>6.3574999999999993E-2</v>
      </c>
      <c r="FH18" s="675">
        <v>2.6298999999999999E-2</v>
      </c>
      <c r="FI18" s="675">
        <v>0</v>
      </c>
      <c r="FJ18" s="675">
        <v>0</v>
      </c>
      <c r="FK18" s="675">
        <v>198.34</v>
      </c>
      <c r="FL18" s="675">
        <v>1416056</v>
      </c>
      <c r="FM18" s="675">
        <v>0</v>
      </c>
      <c r="FN18" s="675">
        <v>0</v>
      </c>
      <c r="FO18" s="675">
        <v>0</v>
      </c>
      <c r="FP18" s="675">
        <v>0</v>
      </c>
      <c r="FQ18" s="675">
        <v>0</v>
      </c>
      <c r="FR18" s="675">
        <v>0</v>
      </c>
      <c r="FS18" s="675">
        <v>0</v>
      </c>
      <c r="FT18" s="675">
        <v>0</v>
      </c>
      <c r="FU18" s="675">
        <v>0</v>
      </c>
      <c r="FV18" s="675">
        <v>0</v>
      </c>
      <c r="FW18" s="675">
        <v>0</v>
      </c>
      <c r="FX18" s="675">
        <v>0</v>
      </c>
      <c r="FY18" s="675">
        <v>0</v>
      </c>
      <c r="FZ18" s="675">
        <v>0</v>
      </c>
      <c r="GA18" s="675">
        <v>0</v>
      </c>
      <c r="GB18" s="675">
        <v>369982</v>
      </c>
      <c r="GC18" s="675">
        <v>369982</v>
      </c>
      <c r="GD18" s="675">
        <v>38</v>
      </c>
      <c r="GE18" s="675">
        <v>0</v>
      </c>
      <c r="GF18" s="675">
        <v>0</v>
      </c>
      <c r="GG18" s="675">
        <v>0</v>
      </c>
      <c r="GH18" s="675">
        <v>0</v>
      </c>
      <c r="GI18" s="675">
        <v>0</v>
      </c>
      <c r="GJ18" s="675">
        <v>0</v>
      </c>
      <c r="GK18" s="675">
        <v>0</v>
      </c>
      <c r="GL18" s="675">
        <v>0</v>
      </c>
      <c r="GM18" s="675">
        <v>0</v>
      </c>
      <c r="GN18" s="675">
        <v>0</v>
      </c>
      <c r="GO18" s="675">
        <v>0</v>
      </c>
      <c r="GP18" s="675">
        <v>0</v>
      </c>
      <c r="GQ18" s="675">
        <v>0</v>
      </c>
      <c r="GR18" s="675">
        <v>0</v>
      </c>
      <c r="GS18" s="675">
        <v>0</v>
      </c>
      <c r="GT18" s="675">
        <v>0</v>
      </c>
      <c r="GU18" s="675">
        <v>0</v>
      </c>
      <c r="GV18" s="675">
        <v>0</v>
      </c>
      <c r="GW18" s="675">
        <v>0</v>
      </c>
      <c r="GX18" s="675">
        <v>0</v>
      </c>
      <c r="GY18" s="675">
        <v>0</v>
      </c>
      <c r="GZ18" s="675">
        <v>0</v>
      </c>
      <c r="HA18" s="675">
        <v>0</v>
      </c>
      <c r="HB18" s="675">
        <v>298386780</v>
      </c>
      <c r="HC18" s="675">
        <v>4.5690999999999996E-2</v>
      </c>
      <c r="HD18" s="675">
        <v>24580</v>
      </c>
      <c r="HE18" s="675">
        <v>0</v>
      </c>
      <c r="HF18" s="675">
        <v>106142</v>
      </c>
      <c r="HG18" s="675">
        <v>7699</v>
      </c>
      <c r="HH18" s="675">
        <v>0</v>
      </c>
      <c r="HI18" s="675">
        <v>0</v>
      </c>
      <c r="HJ18" s="675">
        <v>1307</v>
      </c>
      <c r="HK18" s="675">
        <v>1836</v>
      </c>
      <c r="HL18" s="675">
        <v>0</v>
      </c>
      <c r="HM18" s="675">
        <v>5000</v>
      </c>
      <c r="HN18" s="675">
        <v>0</v>
      </c>
      <c r="HO18" s="675">
        <v>0</v>
      </c>
      <c r="HP18" s="675">
        <v>0</v>
      </c>
      <c r="HQ18" s="675">
        <v>0</v>
      </c>
      <c r="HR18" s="675">
        <v>0</v>
      </c>
      <c r="HS18" s="675">
        <v>1172975</v>
      </c>
      <c r="HT18" s="675">
        <v>25705</v>
      </c>
      <c r="HU18" s="675">
        <v>18186</v>
      </c>
      <c r="HV18" s="675">
        <v>0</v>
      </c>
      <c r="HW18" s="675">
        <v>0</v>
      </c>
      <c r="HX18" s="675">
        <v>7</v>
      </c>
      <c r="HY18" s="675">
        <v>11</v>
      </c>
      <c r="HZ18" s="675">
        <v>6</v>
      </c>
      <c r="IA18" s="675">
        <v>5</v>
      </c>
      <c r="IB18" s="675">
        <v>9</v>
      </c>
      <c r="IC18" s="675">
        <v>38</v>
      </c>
      <c r="ID18" s="675">
        <v>0</v>
      </c>
      <c r="IE18" s="675">
        <v>0</v>
      </c>
      <c r="IF18" s="675">
        <v>0</v>
      </c>
      <c r="IG18" s="675">
        <v>12.499000000000001</v>
      </c>
      <c r="IH18" s="675">
        <v>0</v>
      </c>
      <c r="II18" s="675">
        <v>0</v>
      </c>
      <c r="IJ18" s="675">
        <v>0</v>
      </c>
      <c r="IK18" s="675">
        <v>0</v>
      </c>
      <c r="IL18" s="675">
        <v>1</v>
      </c>
      <c r="IM18" s="675">
        <v>0</v>
      </c>
      <c r="IN18" s="675">
        <v>0</v>
      </c>
      <c r="IO18" s="675">
        <v>1</v>
      </c>
      <c r="IP18" s="675">
        <v>0</v>
      </c>
      <c r="IQ18" s="675">
        <v>0</v>
      </c>
      <c r="IR18" s="675">
        <v>0</v>
      </c>
      <c r="IS18" s="675">
        <v>0</v>
      </c>
      <c r="IT18" s="675">
        <v>5000</v>
      </c>
      <c r="IU18" s="675">
        <v>0</v>
      </c>
      <c r="IV18" s="675">
        <v>0</v>
      </c>
      <c r="IW18" s="675">
        <v>6160</v>
      </c>
      <c r="IX18" s="675">
        <v>0</v>
      </c>
      <c r="IY18" s="675">
        <v>0</v>
      </c>
      <c r="IZ18" s="675">
        <v>0</v>
      </c>
      <c r="JA18" s="675">
        <v>0</v>
      </c>
      <c r="JB18" s="675">
        <v>0</v>
      </c>
      <c r="JC18" s="675">
        <v>0</v>
      </c>
      <c r="JD18" s="675">
        <v>0</v>
      </c>
      <c r="JE18" s="675">
        <v>0</v>
      </c>
      <c r="JF18" s="675">
        <v>0</v>
      </c>
      <c r="JG18" s="675">
        <v>0</v>
      </c>
      <c r="JH18" s="675">
        <v>0</v>
      </c>
      <c r="JI18" s="675">
        <v>0</v>
      </c>
      <c r="JJ18" s="675">
        <v>0</v>
      </c>
      <c r="JK18" s="675">
        <v>0</v>
      </c>
      <c r="JL18" s="675">
        <v>0</v>
      </c>
      <c r="JM18" s="675">
        <v>0</v>
      </c>
      <c r="JN18" s="675">
        <v>32469</v>
      </c>
      <c r="JO18" s="675">
        <v>4.6420000000000003</v>
      </c>
      <c r="JP18" s="675">
        <v>16.741</v>
      </c>
      <c r="JQ18" s="675">
        <v>16.617000000000001</v>
      </c>
      <c r="JR18" s="675">
        <v>37071</v>
      </c>
      <c r="JS18" s="675">
        <v>155571</v>
      </c>
      <c r="JT18" s="675">
        <v>177340</v>
      </c>
      <c r="JU18" s="675">
        <v>0</v>
      </c>
      <c r="JV18" s="675">
        <v>18186</v>
      </c>
      <c r="JW18" s="675">
        <v>0</v>
      </c>
      <c r="JX18" s="675">
        <v>0</v>
      </c>
      <c r="JY18" s="675">
        <v>0</v>
      </c>
      <c r="JZ18" s="675">
        <v>0</v>
      </c>
      <c r="KA18" s="675">
        <v>0</v>
      </c>
      <c r="KB18" s="675">
        <v>0</v>
      </c>
      <c r="KC18" s="675">
        <v>0</v>
      </c>
      <c r="KD18" s="675">
        <v>0</v>
      </c>
      <c r="KE18" s="675">
        <v>7260</v>
      </c>
      <c r="KF18" s="675">
        <v>0</v>
      </c>
      <c r="KG18" s="675">
        <v>0</v>
      </c>
      <c r="KH18" s="675">
        <v>0</v>
      </c>
      <c r="KI18" s="675">
        <v>0</v>
      </c>
    </row>
    <row r="19" spans="1:295" ht="12.5" x14ac:dyDescent="0.25">
      <c r="A19" s="675">
        <v>35795</v>
      </c>
      <c r="B19" s="675">
        <v>71804</v>
      </c>
      <c r="C19" s="675">
        <v>9</v>
      </c>
      <c r="D19" s="675">
        <v>2022</v>
      </c>
      <c r="E19" s="675">
        <v>6160</v>
      </c>
      <c r="F19" s="675">
        <v>0</v>
      </c>
      <c r="G19" s="675">
        <v>231.107</v>
      </c>
      <c r="H19" s="675">
        <v>219.13400000000001</v>
      </c>
      <c r="I19" s="675">
        <v>219.13400000000001</v>
      </c>
      <c r="J19" s="675">
        <v>231.107</v>
      </c>
      <c r="K19" s="675">
        <v>0</v>
      </c>
      <c r="L19" s="675">
        <v>6160</v>
      </c>
      <c r="M19" s="675">
        <v>0</v>
      </c>
      <c r="N19" s="675">
        <v>0</v>
      </c>
      <c r="O19" s="675">
        <v>0</v>
      </c>
      <c r="P19" s="675">
        <v>254.96800000000002</v>
      </c>
      <c r="Q19" s="675">
        <v>0</v>
      </c>
      <c r="R19" s="675">
        <v>102606</v>
      </c>
      <c r="S19" s="675">
        <v>402.428</v>
      </c>
      <c r="T19" s="675">
        <v>0</v>
      </c>
      <c r="U19" s="675">
        <v>54565</v>
      </c>
      <c r="V19" s="675">
        <v>30.98</v>
      </c>
      <c r="W19" s="675">
        <v>19084</v>
      </c>
      <c r="X19" s="675">
        <v>19084</v>
      </c>
      <c r="Y19" s="675">
        <v>0</v>
      </c>
      <c r="Z19" s="675">
        <v>0</v>
      </c>
      <c r="AA19" s="675">
        <v>0</v>
      </c>
      <c r="AB19" s="675">
        <v>0</v>
      </c>
      <c r="AC19" s="675">
        <v>0</v>
      </c>
      <c r="AD19" s="675" t="s">
        <v>316</v>
      </c>
      <c r="AE19" s="675">
        <v>0</v>
      </c>
      <c r="AF19" s="675">
        <v>0</v>
      </c>
      <c r="AG19" s="675">
        <v>0</v>
      </c>
      <c r="AH19" s="675">
        <v>0</v>
      </c>
      <c r="AI19" s="675">
        <v>0</v>
      </c>
      <c r="AJ19" s="675">
        <v>6160</v>
      </c>
      <c r="AK19" s="675" t="s">
        <v>671</v>
      </c>
      <c r="AL19" s="675" t="s">
        <v>25</v>
      </c>
      <c r="AM19" s="675">
        <v>0</v>
      </c>
      <c r="AN19" s="675">
        <v>0</v>
      </c>
      <c r="AO19" s="675">
        <v>0</v>
      </c>
      <c r="AP19" s="675">
        <v>0</v>
      </c>
      <c r="AQ19" s="675">
        <v>0</v>
      </c>
      <c r="AR19" s="675">
        <v>0</v>
      </c>
      <c r="AS19" s="675">
        <v>0</v>
      </c>
      <c r="AT19" s="675">
        <v>0</v>
      </c>
      <c r="AU19" s="675">
        <v>0</v>
      </c>
      <c r="AV19" s="675">
        <v>-4100</v>
      </c>
      <c r="AW19" s="675">
        <v>2510528</v>
      </c>
      <c r="AX19" s="675">
        <v>2395425</v>
      </c>
      <c r="AY19" s="675">
        <v>1636054</v>
      </c>
      <c r="AZ19" s="675">
        <v>102606</v>
      </c>
      <c r="BA19" s="675">
        <v>0</v>
      </c>
      <c r="BB19" s="675">
        <v>0</v>
      </c>
      <c r="BC19" s="675">
        <v>0</v>
      </c>
      <c r="BD19" s="675">
        <v>0</v>
      </c>
      <c r="BE19" s="675">
        <v>0</v>
      </c>
      <c r="BF19" s="675">
        <v>2150476</v>
      </c>
      <c r="BG19" s="675">
        <v>0</v>
      </c>
      <c r="BH19" s="675">
        <v>0</v>
      </c>
      <c r="BI19" s="675">
        <v>0</v>
      </c>
      <c r="BJ19" s="675">
        <v>12</v>
      </c>
      <c r="BK19" s="675">
        <v>0</v>
      </c>
      <c r="BL19" s="675">
        <v>0</v>
      </c>
      <c r="BM19" s="675">
        <v>0</v>
      </c>
      <c r="BN19" s="675">
        <v>0</v>
      </c>
      <c r="BO19" s="675">
        <v>0</v>
      </c>
      <c r="BP19" s="675">
        <v>0</v>
      </c>
      <c r="BQ19" s="675">
        <v>736</v>
      </c>
      <c r="BR19" s="675">
        <v>0</v>
      </c>
      <c r="BS19" s="675">
        <v>0</v>
      </c>
      <c r="BT19" s="675">
        <v>0</v>
      </c>
      <c r="BU19" s="675">
        <v>0</v>
      </c>
      <c r="BV19" s="675">
        <v>0</v>
      </c>
      <c r="BW19" s="675">
        <v>0</v>
      </c>
      <c r="BX19" s="675">
        <v>0</v>
      </c>
      <c r="BY19" s="675">
        <v>0</v>
      </c>
      <c r="BZ19" s="675">
        <v>0</v>
      </c>
      <c r="CA19" s="675">
        <v>0</v>
      </c>
      <c r="CB19" s="675">
        <v>0</v>
      </c>
      <c r="CC19" s="675">
        <v>0</v>
      </c>
      <c r="CD19" s="675">
        <v>0</v>
      </c>
      <c r="CE19" s="675">
        <v>0</v>
      </c>
      <c r="CF19" s="675">
        <v>0</v>
      </c>
      <c r="CG19" s="675">
        <v>0</v>
      </c>
      <c r="CH19" s="675">
        <v>115680</v>
      </c>
      <c r="CI19" s="675">
        <v>0</v>
      </c>
      <c r="CJ19" s="675">
        <v>4</v>
      </c>
      <c r="CK19" s="675">
        <v>0</v>
      </c>
      <c r="CL19" s="675">
        <v>0</v>
      </c>
      <c r="CM19" s="675">
        <v>0</v>
      </c>
      <c r="CN19" s="675">
        <v>0</v>
      </c>
      <c r="CO19" s="675">
        <v>1</v>
      </c>
      <c r="CP19" s="675">
        <v>0.73299999999999998</v>
      </c>
      <c r="CQ19" s="675">
        <v>0</v>
      </c>
      <c r="CR19" s="675">
        <v>247.13900000000001</v>
      </c>
      <c r="CS19" s="675">
        <v>0</v>
      </c>
      <c r="CT19" s="675">
        <v>0</v>
      </c>
      <c r="CU19" s="675">
        <v>0</v>
      </c>
      <c r="CV19" s="675">
        <v>0</v>
      </c>
      <c r="CW19" s="675">
        <v>0</v>
      </c>
      <c r="CX19" s="675">
        <v>0</v>
      </c>
      <c r="CY19" s="675">
        <v>0</v>
      </c>
      <c r="CZ19" s="675">
        <v>0</v>
      </c>
      <c r="DA19" s="675">
        <v>0</v>
      </c>
      <c r="DB19" s="675">
        <v>1324014</v>
      </c>
      <c r="DC19" s="675">
        <v>0</v>
      </c>
      <c r="DD19" s="675">
        <v>0</v>
      </c>
      <c r="DE19" s="675">
        <v>301454</v>
      </c>
      <c r="DF19" s="675">
        <v>312336</v>
      </c>
      <c r="DG19" s="675">
        <v>48.938000000000002</v>
      </c>
      <c r="DH19" s="675">
        <v>0</v>
      </c>
      <c r="DI19" s="675">
        <v>10882</v>
      </c>
      <c r="DJ19" s="675">
        <v>0</v>
      </c>
      <c r="DK19" s="675">
        <v>3402</v>
      </c>
      <c r="DL19" s="675">
        <v>0</v>
      </c>
      <c r="DM19" s="675">
        <v>177339</v>
      </c>
      <c r="DN19" s="675">
        <v>577</v>
      </c>
      <c r="DO19" s="675">
        <v>0</v>
      </c>
      <c r="DP19" s="675">
        <v>0</v>
      </c>
      <c r="DQ19" s="675">
        <v>0</v>
      </c>
      <c r="DR19" s="675">
        <v>0</v>
      </c>
      <c r="DS19" s="675">
        <v>0</v>
      </c>
      <c r="DT19" s="675">
        <v>0</v>
      </c>
      <c r="DU19" s="675">
        <v>0</v>
      </c>
      <c r="DV19" s="675">
        <v>0</v>
      </c>
      <c r="DW19" s="675">
        <v>0</v>
      </c>
      <c r="DX19" s="675">
        <v>0</v>
      </c>
      <c r="DY19" s="675">
        <v>0</v>
      </c>
      <c r="DZ19" s="675">
        <v>0</v>
      </c>
      <c r="EA19" s="675">
        <v>0.23600000000000002</v>
      </c>
      <c r="EB19" s="675">
        <v>0</v>
      </c>
      <c r="EC19" s="675">
        <v>13.127000000000001</v>
      </c>
      <c r="ED19" s="675">
        <v>92991</v>
      </c>
      <c r="EE19" s="675">
        <v>0</v>
      </c>
      <c r="EF19" s="675">
        <v>0</v>
      </c>
      <c r="EG19" s="675">
        <v>0</v>
      </c>
      <c r="EH19" s="675">
        <v>59080</v>
      </c>
      <c r="EI19" s="675">
        <v>0</v>
      </c>
      <c r="EJ19" s="675">
        <v>0</v>
      </c>
      <c r="EK19" s="675">
        <v>2.5720000000000001</v>
      </c>
      <c r="EL19" s="675">
        <v>0</v>
      </c>
      <c r="EM19" s="675">
        <v>0</v>
      </c>
      <c r="EN19" s="675">
        <v>0.13900000000000001</v>
      </c>
      <c r="EO19" s="675">
        <v>0</v>
      </c>
      <c r="EP19" s="675">
        <v>0</v>
      </c>
      <c r="EQ19" s="675">
        <v>2.9470000000000001</v>
      </c>
      <c r="ER19" s="675">
        <v>0</v>
      </c>
      <c r="ES19" s="675">
        <v>9.5910000000000011</v>
      </c>
      <c r="ET19" s="675">
        <v>0</v>
      </c>
      <c r="EU19" s="675">
        <v>0</v>
      </c>
      <c r="EV19" s="675">
        <v>0</v>
      </c>
      <c r="EW19" s="675">
        <v>0</v>
      </c>
      <c r="EX19" s="675">
        <v>0</v>
      </c>
      <c r="EY19" s="675">
        <v>0</v>
      </c>
      <c r="EZ19" s="675">
        <v>2131432</v>
      </c>
      <c r="FA19" s="675">
        <v>0</v>
      </c>
      <c r="FB19" s="675">
        <v>2233461</v>
      </c>
      <c r="FC19" s="675">
        <v>0</v>
      </c>
      <c r="FD19" s="675">
        <v>0</v>
      </c>
      <c r="FE19" s="675">
        <v>218748</v>
      </c>
      <c r="FF19" s="675">
        <v>45245</v>
      </c>
      <c r="FG19" s="675">
        <v>6.3574999999999993E-2</v>
      </c>
      <c r="FH19" s="675">
        <v>2.6298999999999999E-2</v>
      </c>
      <c r="FI19" s="675">
        <v>0</v>
      </c>
      <c r="FJ19" s="675">
        <v>0</v>
      </c>
      <c r="FK19" s="675">
        <v>349.10500000000002</v>
      </c>
      <c r="FL19" s="675">
        <v>2613134</v>
      </c>
      <c r="FM19" s="675">
        <v>0</v>
      </c>
      <c r="FN19" s="675">
        <v>0</v>
      </c>
      <c r="FO19" s="675">
        <v>0</v>
      </c>
      <c r="FP19" s="675">
        <v>0</v>
      </c>
      <c r="FQ19" s="675">
        <v>0</v>
      </c>
      <c r="FR19" s="675">
        <v>0</v>
      </c>
      <c r="FS19" s="675">
        <v>0</v>
      </c>
      <c r="FT19" s="675">
        <v>0</v>
      </c>
      <c r="FU19" s="675">
        <v>0</v>
      </c>
      <c r="FV19" s="675">
        <v>0</v>
      </c>
      <c r="FW19" s="675">
        <v>0</v>
      </c>
      <c r="FX19" s="675">
        <v>0</v>
      </c>
      <c r="FY19" s="675">
        <v>0</v>
      </c>
      <c r="FZ19" s="675">
        <v>0</v>
      </c>
      <c r="GA19" s="675">
        <v>0</v>
      </c>
      <c r="GB19" s="675">
        <v>72550</v>
      </c>
      <c r="GC19" s="675">
        <v>72550</v>
      </c>
      <c r="GD19" s="675">
        <v>9.0259999999999998</v>
      </c>
      <c r="GE19" s="675">
        <v>0</v>
      </c>
      <c r="GF19" s="675">
        <v>0</v>
      </c>
      <c r="GG19" s="675">
        <v>0</v>
      </c>
      <c r="GH19" s="675">
        <v>0</v>
      </c>
      <c r="GI19" s="675">
        <v>0</v>
      </c>
      <c r="GJ19" s="675">
        <v>0</v>
      </c>
      <c r="GK19" s="675">
        <v>0</v>
      </c>
      <c r="GL19" s="675">
        <v>0</v>
      </c>
      <c r="GM19" s="675">
        <v>0</v>
      </c>
      <c r="GN19" s="675">
        <v>0</v>
      </c>
      <c r="GO19" s="675">
        <v>0</v>
      </c>
      <c r="GP19" s="675">
        <v>0</v>
      </c>
      <c r="GQ19" s="675">
        <v>0</v>
      </c>
      <c r="GR19" s="675">
        <v>0</v>
      </c>
      <c r="GS19" s="675">
        <v>0</v>
      </c>
      <c r="GT19" s="675">
        <v>0</v>
      </c>
      <c r="GU19" s="675">
        <v>0</v>
      </c>
      <c r="GV19" s="675">
        <v>0</v>
      </c>
      <c r="GW19" s="675">
        <v>0</v>
      </c>
      <c r="GX19" s="675">
        <v>0</v>
      </c>
      <c r="GY19" s="675">
        <v>0</v>
      </c>
      <c r="GZ19" s="675">
        <v>0</v>
      </c>
      <c r="HA19" s="675">
        <v>0</v>
      </c>
      <c r="HB19" s="675">
        <v>298386780</v>
      </c>
      <c r="HC19" s="675">
        <v>4.5690999999999996E-2</v>
      </c>
      <c r="HD19" s="675">
        <v>42238</v>
      </c>
      <c r="HE19" s="675">
        <v>0</v>
      </c>
      <c r="HF19" s="675">
        <v>241047</v>
      </c>
      <c r="HG19" s="675">
        <v>1283</v>
      </c>
      <c r="HH19" s="675">
        <v>0</v>
      </c>
      <c r="HI19" s="675">
        <v>0</v>
      </c>
      <c r="HJ19" s="675">
        <v>2246</v>
      </c>
      <c r="HK19" s="675">
        <v>4905</v>
      </c>
      <c r="HL19" s="675">
        <v>0</v>
      </c>
      <c r="HM19" s="675">
        <v>0</v>
      </c>
      <c r="HN19" s="675">
        <v>0</v>
      </c>
      <c r="HO19" s="675">
        <v>0</v>
      </c>
      <c r="HP19" s="675">
        <v>78657</v>
      </c>
      <c r="HQ19" s="675">
        <v>0</v>
      </c>
      <c r="HR19" s="675">
        <v>0</v>
      </c>
      <c r="HS19" s="675">
        <v>2130855</v>
      </c>
      <c r="HT19" s="675">
        <v>45245</v>
      </c>
      <c r="HU19" s="675">
        <v>12050</v>
      </c>
      <c r="HV19" s="675">
        <v>0</v>
      </c>
      <c r="HW19" s="675">
        <v>0</v>
      </c>
      <c r="HX19" s="675">
        <v>35</v>
      </c>
      <c r="HY19" s="675">
        <v>31</v>
      </c>
      <c r="HZ19" s="675">
        <v>34</v>
      </c>
      <c r="IA19" s="675">
        <v>52</v>
      </c>
      <c r="IB19" s="675">
        <v>42</v>
      </c>
      <c r="IC19" s="675">
        <v>194</v>
      </c>
      <c r="ID19" s="675">
        <v>0</v>
      </c>
      <c r="IE19" s="675">
        <v>0</v>
      </c>
      <c r="IF19" s="675">
        <v>0</v>
      </c>
      <c r="IG19" s="675">
        <v>2.0830000000000002</v>
      </c>
      <c r="IH19" s="675">
        <v>0</v>
      </c>
      <c r="II19" s="675">
        <v>286.024</v>
      </c>
      <c r="IJ19" s="675">
        <v>30.98</v>
      </c>
      <c r="IK19" s="675">
        <v>0</v>
      </c>
      <c r="IL19" s="675">
        <v>0</v>
      </c>
      <c r="IM19" s="675">
        <v>0</v>
      </c>
      <c r="IN19" s="675">
        <v>0</v>
      </c>
      <c r="IO19" s="675">
        <v>0</v>
      </c>
      <c r="IP19" s="675">
        <v>286.024</v>
      </c>
      <c r="IQ19" s="675">
        <v>30.98</v>
      </c>
      <c r="IR19" s="675">
        <v>19084</v>
      </c>
      <c r="IS19" s="675">
        <v>0</v>
      </c>
      <c r="IT19" s="675">
        <v>0</v>
      </c>
      <c r="IU19" s="675">
        <v>0</v>
      </c>
      <c r="IV19" s="675">
        <v>0</v>
      </c>
      <c r="IW19" s="675">
        <v>6160</v>
      </c>
      <c r="IX19" s="675">
        <v>0</v>
      </c>
      <c r="IY19" s="675">
        <v>0</v>
      </c>
      <c r="IZ19" s="675">
        <v>78657</v>
      </c>
      <c r="JA19" s="675">
        <v>0</v>
      </c>
      <c r="JB19" s="675">
        <v>0</v>
      </c>
      <c r="JC19" s="675">
        <v>0</v>
      </c>
      <c r="JD19" s="675">
        <v>0</v>
      </c>
      <c r="JE19" s="675">
        <v>0</v>
      </c>
      <c r="JF19" s="675">
        <v>0</v>
      </c>
      <c r="JG19" s="675">
        <v>0</v>
      </c>
      <c r="JH19" s="675">
        <v>0</v>
      </c>
      <c r="JI19" s="675">
        <v>0</v>
      </c>
      <c r="JJ19" s="675">
        <v>0</v>
      </c>
      <c r="JK19" s="675">
        <v>0</v>
      </c>
      <c r="JL19" s="675">
        <v>0</v>
      </c>
      <c r="JM19" s="675">
        <v>0</v>
      </c>
      <c r="JN19" s="675">
        <v>32469</v>
      </c>
      <c r="JO19" s="675">
        <v>8.668000000000001</v>
      </c>
      <c r="JP19" s="675">
        <v>0.35800000000000004</v>
      </c>
      <c r="JQ19" s="675">
        <v>0</v>
      </c>
      <c r="JR19" s="675">
        <v>69223</v>
      </c>
      <c r="JS19" s="675">
        <v>3327</v>
      </c>
      <c r="JT19" s="675">
        <v>0</v>
      </c>
      <c r="JU19" s="675">
        <v>0</v>
      </c>
      <c r="JV19" s="675">
        <v>12050</v>
      </c>
      <c r="JW19" s="675">
        <v>0</v>
      </c>
      <c r="JX19" s="675">
        <v>0</v>
      </c>
      <c r="JY19" s="675">
        <v>0</v>
      </c>
      <c r="JZ19" s="675">
        <v>0</v>
      </c>
      <c r="KA19" s="675">
        <v>0</v>
      </c>
      <c r="KB19" s="675">
        <v>0</v>
      </c>
      <c r="KC19" s="675">
        <v>0</v>
      </c>
      <c r="KD19" s="675">
        <v>0</v>
      </c>
      <c r="KE19" s="675">
        <v>7260</v>
      </c>
      <c r="KF19" s="675">
        <v>61392</v>
      </c>
      <c r="KG19" s="675">
        <v>0</v>
      </c>
      <c r="KH19" s="675">
        <v>0</v>
      </c>
      <c r="KI19" s="675">
        <v>0</v>
      </c>
    </row>
    <row r="20" spans="1:295" ht="12.5" x14ac:dyDescent="0.25">
      <c r="A20" s="675">
        <v>35795</v>
      </c>
      <c r="B20" s="675">
        <v>227821</v>
      </c>
      <c r="C20" s="675">
        <v>9</v>
      </c>
      <c r="D20" s="675">
        <v>2022</v>
      </c>
      <c r="E20" s="675">
        <v>6160</v>
      </c>
      <c r="F20" s="675">
        <v>0</v>
      </c>
      <c r="G20" s="675">
        <v>388.80200000000002</v>
      </c>
      <c r="H20" s="675">
        <v>371.23400000000004</v>
      </c>
      <c r="I20" s="675">
        <v>371.23400000000004</v>
      </c>
      <c r="J20" s="675">
        <v>388.80200000000002</v>
      </c>
      <c r="K20" s="675">
        <v>0</v>
      </c>
      <c r="L20" s="675">
        <v>6160</v>
      </c>
      <c r="M20" s="675">
        <v>0</v>
      </c>
      <c r="N20" s="675">
        <v>0</v>
      </c>
      <c r="O20" s="675">
        <v>0</v>
      </c>
      <c r="P20" s="675">
        <v>399.81900000000002</v>
      </c>
      <c r="Q20" s="675">
        <v>0</v>
      </c>
      <c r="R20" s="675">
        <v>160898</v>
      </c>
      <c r="S20" s="675">
        <v>402.428</v>
      </c>
      <c r="T20" s="675">
        <v>0</v>
      </c>
      <c r="U20" s="675">
        <v>85560</v>
      </c>
      <c r="V20" s="675">
        <v>2.4420000000000002</v>
      </c>
      <c r="W20" s="675">
        <v>1504</v>
      </c>
      <c r="X20" s="675">
        <v>1504</v>
      </c>
      <c r="Y20" s="675">
        <v>0</v>
      </c>
      <c r="Z20" s="675">
        <v>0</v>
      </c>
      <c r="AA20" s="675">
        <v>0</v>
      </c>
      <c r="AB20" s="675">
        <v>0</v>
      </c>
      <c r="AC20" s="675">
        <v>0</v>
      </c>
      <c r="AD20" s="675" t="s">
        <v>316</v>
      </c>
      <c r="AE20" s="675">
        <v>0</v>
      </c>
      <c r="AF20" s="675">
        <v>0</v>
      </c>
      <c r="AG20" s="675">
        <v>0</v>
      </c>
      <c r="AH20" s="675">
        <v>0</v>
      </c>
      <c r="AI20" s="675">
        <v>0</v>
      </c>
      <c r="AJ20" s="675">
        <v>6160</v>
      </c>
      <c r="AK20" s="675" t="s">
        <v>671</v>
      </c>
      <c r="AL20" s="675" t="s">
        <v>68</v>
      </c>
      <c r="AM20" s="675">
        <v>0</v>
      </c>
      <c r="AN20" s="675">
        <v>0</v>
      </c>
      <c r="AO20" s="675">
        <v>0</v>
      </c>
      <c r="AP20" s="675">
        <v>0</v>
      </c>
      <c r="AQ20" s="675">
        <v>0</v>
      </c>
      <c r="AR20" s="675">
        <v>0</v>
      </c>
      <c r="AS20" s="675">
        <v>0</v>
      </c>
      <c r="AT20" s="675">
        <v>0</v>
      </c>
      <c r="AU20" s="675">
        <v>0</v>
      </c>
      <c r="AV20" s="675">
        <v>-26914</v>
      </c>
      <c r="AW20" s="675">
        <v>3492257</v>
      </c>
      <c r="AX20" s="675">
        <v>3413841</v>
      </c>
      <c r="AY20" s="675">
        <v>2365527</v>
      </c>
      <c r="AZ20" s="675">
        <v>160898</v>
      </c>
      <c r="BA20" s="675">
        <v>0</v>
      </c>
      <c r="BB20" s="675">
        <v>0</v>
      </c>
      <c r="BC20" s="675">
        <v>0</v>
      </c>
      <c r="BD20" s="675">
        <v>0</v>
      </c>
      <c r="BE20" s="675">
        <v>0</v>
      </c>
      <c r="BF20" s="675">
        <v>3183886</v>
      </c>
      <c r="BG20" s="675">
        <v>0</v>
      </c>
      <c r="BH20" s="675">
        <v>0</v>
      </c>
      <c r="BI20" s="675">
        <v>0</v>
      </c>
      <c r="BJ20" s="675">
        <v>12</v>
      </c>
      <c r="BK20" s="675">
        <v>0</v>
      </c>
      <c r="BL20" s="675">
        <v>0</v>
      </c>
      <c r="BM20" s="675">
        <v>0</v>
      </c>
      <c r="BN20" s="675">
        <v>0</v>
      </c>
      <c r="BO20" s="675">
        <v>0</v>
      </c>
      <c r="BP20" s="675">
        <v>0</v>
      </c>
      <c r="BQ20" s="675">
        <v>713</v>
      </c>
      <c r="BR20" s="675">
        <v>0</v>
      </c>
      <c r="BS20" s="675">
        <v>0</v>
      </c>
      <c r="BT20" s="675">
        <v>0</v>
      </c>
      <c r="BU20" s="675">
        <v>0</v>
      </c>
      <c r="BV20" s="675">
        <v>0</v>
      </c>
      <c r="BW20" s="675">
        <v>0</v>
      </c>
      <c r="BX20" s="675">
        <v>0</v>
      </c>
      <c r="BY20" s="675">
        <v>0</v>
      </c>
      <c r="BZ20" s="675">
        <v>0</v>
      </c>
      <c r="CA20" s="675">
        <v>0</v>
      </c>
      <c r="CB20" s="675">
        <v>0</v>
      </c>
      <c r="CC20" s="675">
        <v>0</v>
      </c>
      <c r="CD20" s="675">
        <v>0</v>
      </c>
      <c r="CE20" s="675">
        <v>0</v>
      </c>
      <c r="CF20" s="675">
        <v>0</v>
      </c>
      <c r="CG20" s="675">
        <v>0</v>
      </c>
      <c r="CH20" s="675">
        <v>79819</v>
      </c>
      <c r="CI20" s="675">
        <v>0</v>
      </c>
      <c r="CJ20" s="675">
        <v>4</v>
      </c>
      <c r="CK20" s="675">
        <v>0</v>
      </c>
      <c r="CL20" s="675">
        <v>0</v>
      </c>
      <c r="CM20" s="675">
        <v>0</v>
      </c>
      <c r="CN20" s="675">
        <v>0</v>
      </c>
      <c r="CO20" s="675">
        <v>1</v>
      </c>
      <c r="CP20" s="675">
        <v>0</v>
      </c>
      <c r="CQ20" s="675">
        <v>0</v>
      </c>
      <c r="CR20" s="675">
        <v>406</v>
      </c>
      <c r="CS20" s="675">
        <v>0</v>
      </c>
      <c r="CT20" s="675">
        <v>0</v>
      </c>
      <c r="CU20" s="675">
        <v>0</v>
      </c>
      <c r="CV20" s="675">
        <v>0</v>
      </c>
      <c r="CW20" s="675">
        <v>0</v>
      </c>
      <c r="CX20" s="675">
        <v>0</v>
      </c>
      <c r="CY20" s="675">
        <v>0</v>
      </c>
      <c r="CZ20" s="675">
        <v>0</v>
      </c>
      <c r="DA20" s="675">
        <v>0</v>
      </c>
      <c r="DB20" s="675">
        <v>2253663</v>
      </c>
      <c r="DC20" s="675">
        <v>0</v>
      </c>
      <c r="DD20" s="675">
        <v>0</v>
      </c>
      <c r="DE20" s="675">
        <v>72303</v>
      </c>
      <c r="DF20" s="675">
        <v>72303</v>
      </c>
      <c r="DG20" s="675">
        <v>11.738000000000001</v>
      </c>
      <c r="DH20" s="675">
        <v>0</v>
      </c>
      <c r="DI20" s="675">
        <v>0</v>
      </c>
      <c r="DJ20" s="675">
        <v>0</v>
      </c>
      <c r="DK20" s="675">
        <v>3028</v>
      </c>
      <c r="DL20" s="675">
        <v>0</v>
      </c>
      <c r="DM20" s="675">
        <v>401554</v>
      </c>
      <c r="DN20" s="675">
        <v>1403</v>
      </c>
      <c r="DO20" s="675">
        <v>0</v>
      </c>
      <c r="DP20" s="675">
        <v>0</v>
      </c>
      <c r="DQ20" s="675">
        <v>0</v>
      </c>
      <c r="DR20" s="675">
        <v>0</v>
      </c>
      <c r="DS20" s="675">
        <v>0</v>
      </c>
      <c r="DT20" s="675">
        <v>0</v>
      </c>
      <c r="DU20" s="675">
        <v>0</v>
      </c>
      <c r="DV20" s="675">
        <v>0</v>
      </c>
      <c r="DW20" s="675">
        <v>0</v>
      </c>
      <c r="DX20" s="675">
        <v>0</v>
      </c>
      <c r="DY20" s="675">
        <v>0</v>
      </c>
      <c r="DZ20" s="675">
        <v>0</v>
      </c>
      <c r="EA20" s="675">
        <v>0</v>
      </c>
      <c r="EB20" s="675">
        <v>0</v>
      </c>
      <c r="EC20" s="675">
        <v>5.3370000000000006</v>
      </c>
      <c r="ED20" s="675">
        <v>37807</v>
      </c>
      <c r="EE20" s="675">
        <v>0</v>
      </c>
      <c r="EF20" s="675">
        <v>0</v>
      </c>
      <c r="EG20" s="675">
        <v>0</v>
      </c>
      <c r="EH20" s="675">
        <v>332022</v>
      </c>
      <c r="EI20" s="675">
        <v>0</v>
      </c>
      <c r="EJ20" s="675">
        <v>0</v>
      </c>
      <c r="EK20" s="675">
        <v>15.57</v>
      </c>
      <c r="EL20" s="675">
        <v>0</v>
      </c>
      <c r="EM20" s="675">
        <v>1.4000000000000001</v>
      </c>
      <c r="EN20" s="675">
        <v>0.59799999999999998</v>
      </c>
      <c r="EO20" s="675">
        <v>0</v>
      </c>
      <c r="EP20" s="675">
        <v>0</v>
      </c>
      <c r="EQ20" s="675">
        <v>17.568000000000001</v>
      </c>
      <c r="ER20" s="675">
        <v>0</v>
      </c>
      <c r="ES20" s="675">
        <v>53.9</v>
      </c>
      <c r="ET20" s="675">
        <v>0</v>
      </c>
      <c r="EU20" s="675">
        <v>0</v>
      </c>
      <c r="EV20" s="675">
        <v>0</v>
      </c>
      <c r="EW20" s="675">
        <v>0</v>
      </c>
      <c r="EX20" s="675">
        <v>0</v>
      </c>
      <c r="EY20" s="675">
        <v>0</v>
      </c>
      <c r="EZ20" s="675">
        <v>3022988</v>
      </c>
      <c r="FA20" s="675">
        <v>0</v>
      </c>
      <c r="FB20" s="675">
        <v>3182483</v>
      </c>
      <c r="FC20" s="675">
        <v>0</v>
      </c>
      <c r="FD20" s="675">
        <v>0</v>
      </c>
      <c r="FE20" s="675">
        <v>323866</v>
      </c>
      <c r="FF20" s="675">
        <v>66987</v>
      </c>
      <c r="FG20" s="675">
        <v>6.3574999999999993E-2</v>
      </c>
      <c r="FH20" s="675">
        <v>2.6298999999999999E-2</v>
      </c>
      <c r="FI20" s="675">
        <v>0</v>
      </c>
      <c r="FJ20" s="675">
        <v>0</v>
      </c>
      <c r="FK20" s="675">
        <v>516.86700000000008</v>
      </c>
      <c r="FL20" s="675">
        <v>3653155</v>
      </c>
      <c r="FM20" s="675">
        <v>0</v>
      </c>
      <c r="FN20" s="675">
        <v>0</v>
      </c>
      <c r="FO20" s="675">
        <v>0</v>
      </c>
      <c r="FP20" s="675">
        <v>0</v>
      </c>
      <c r="FQ20" s="675">
        <v>0</v>
      </c>
      <c r="FR20" s="675">
        <v>0</v>
      </c>
      <c r="FS20" s="675">
        <v>0</v>
      </c>
      <c r="FT20" s="675">
        <v>0</v>
      </c>
      <c r="FU20" s="675">
        <v>0</v>
      </c>
      <c r="FV20" s="675">
        <v>0</v>
      </c>
      <c r="FW20" s="675">
        <v>0</v>
      </c>
      <c r="FX20" s="675">
        <v>0</v>
      </c>
      <c r="FY20" s="675">
        <v>0</v>
      </c>
      <c r="FZ20" s="675">
        <v>0</v>
      </c>
      <c r="GA20" s="675">
        <v>0</v>
      </c>
      <c r="GB20" s="675">
        <v>0</v>
      </c>
      <c r="GC20" s="675">
        <v>0</v>
      </c>
      <c r="GD20" s="675">
        <v>0</v>
      </c>
      <c r="GE20" s="675">
        <v>0</v>
      </c>
      <c r="GF20" s="675">
        <v>0</v>
      </c>
      <c r="GG20" s="675">
        <v>0</v>
      </c>
      <c r="GH20" s="675">
        <v>0</v>
      </c>
      <c r="GI20" s="675">
        <v>0</v>
      </c>
      <c r="GJ20" s="675">
        <v>0</v>
      </c>
      <c r="GK20" s="675">
        <v>0</v>
      </c>
      <c r="GL20" s="675">
        <v>0</v>
      </c>
      <c r="GM20" s="675">
        <v>0</v>
      </c>
      <c r="GN20" s="675">
        <v>0</v>
      </c>
      <c r="GO20" s="675">
        <v>0</v>
      </c>
      <c r="GP20" s="675">
        <v>0</v>
      </c>
      <c r="GQ20" s="675">
        <v>0</v>
      </c>
      <c r="GR20" s="675">
        <v>0</v>
      </c>
      <c r="GS20" s="675">
        <v>0</v>
      </c>
      <c r="GT20" s="675">
        <v>0</v>
      </c>
      <c r="GU20" s="675">
        <v>0</v>
      </c>
      <c r="GV20" s="675">
        <v>0</v>
      </c>
      <c r="GW20" s="675">
        <v>0</v>
      </c>
      <c r="GX20" s="675">
        <v>0</v>
      </c>
      <c r="GY20" s="675">
        <v>0</v>
      </c>
      <c r="GZ20" s="675">
        <v>0</v>
      </c>
      <c r="HA20" s="675">
        <v>0</v>
      </c>
      <c r="HB20" s="675">
        <v>298386780</v>
      </c>
      <c r="HC20" s="675">
        <v>4.5690999999999996E-2</v>
      </c>
      <c r="HD20" s="675">
        <v>71059</v>
      </c>
      <c r="HE20" s="675">
        <v>0</v>
      </c>
      <c r="HF20" s="675">
        <v>408357</v>
      </c>
      <c r="HG20" s="675">
        <v>28231</v>
      </c>
      <c r="HH20" s="675">
        <v>13092</v>
      </c>
      <c r="HI20" s="675">
        <v>0</v>
      </c>
      <c r="HJ20" s="675">
        <v>3779</v>
      </c>
      <c r="HK20" s="675">
        <v>0</v>
      </c>
      <c r="HL20" s="675">
        <v>0</v>
      </c>
      <c r="HM20" s="675">
        <v>0</v>
      </c>
      <c r="HN20" s="675">
        <v>0</v>
      </c>
      <c r="HO20" s="675">
        <v>0</v>
      </c>
      <c r="HP20" s="675">
        <v>0</v>
      </c>
      <c r="HQ20" s="675">
        <v>0</v>
      </c>
      <c r="HR20" s="675">
        <v>0</v>
      </c>
      <c r="HS20" s="675">
        <v>3021585</v>
      </c>
      <c r="HT20" s="675">
        <v>66987</v>
      </c>
      <c r="HU20" s="675">
        <v>8760</v>
      </c>
      <c r="HV20" s="675">
        <v>0</v>
      </c>
      <c r="HW20" s="675">
        <v>0</v>
      </c>
      <c r="HX20" s="675">
        <v>10</v>
      </c>
      <c r="HY20" s="675">
        <v>12</v>
      </c>
      <c r="HZ20" s="675">
        <v>19</v>
      </c>
      <c r="IA20" s="675">
        <v>3</v>
      </c>
      <c r="IB20" s="675">
        <v>4</v>
      </c>
      <c r="IC20" s="675">
        <v>48</v>
      </c>
      <c r="ID20" s="675">
        <v>0</v>
      </c>
      <c r="IE20" s="675">
        <v>0</v>
      </c>
      <c r="IF20" s="675">
        <v>0</v>
      </c>
      <c r="IG20" s="675">
        <v>45.83</v>
      </c>
      <c r="IH20" s="675">
        <v>21.254000000000001</v>
      </c>
      <c r="II20" s="675">
        <v>0</v>
      </c>
      <c r="IJ20" s="675">
        <v>2.4420000000000002</v>
      </c>
      <c r="IK20" s="675">
        <v>0</v>
      </c>
      <c r="IL20" s="675">
        <v>0</v>
      </c>
      <c r="IM20" s="675">
        <v>0</v>
      </c>
      <c r="IN20" s="675">
        <v>0</v>
      </c>
      <c r="IO20" s="675">
        <v>0</v>
      </c>
      <c r="IP20" s="675">
        <v>0</v>
      </c>
      <c r="IQ20" s="675">
        <v>2.4420000000000002</v>
      </c>
      <c r="IR20" s="675">
        <v>1504</v>
      </c>
      <c r="IS20" s="675">
        <v>0</v>
      </c>
      <c r="IT20" s="675">
        <v>0</v>
      </c>
      <c r="IU20" s="675">
        <v>0</v>
      </c>
      <c r="IV20" s="675">
        <v>0</v>
      </c>
      <c r="IW20" s="675">
        <v>6160</v>
      </c>
      <c r="IX20" s="675">
        <v>0</v>
      </c>
      <c r="IY20" s="675">
        <v>0</v>
      </c>
      <c r="IZ20" s="675">
        <v>0</v>
      </c>
      <c r="JA20" s="675">
        <v>0</v>
      </c>
      <c r="JB20" s="675">
        <v>0</v>
      </c>
      <c r="JC20" s="675">
        <v>0</v>
      </c>
      <c r="JD20" s="675">
        <v>0</v>
      </c>
      <c r="JE20" s="675">
        <v>0</v>
      </c>
      <c r="JF20" s="675">
        <v>0</v>
      </c>
      <c r="JG20" s="675">
        <v>0</v>
      </c>
      <c r="JH20" s="675">
        <v>0</v>
      </c>
      <c r="JI20" s="675">
        <v>0</v>
      </c>
      <c r="JJ20" s="675">
        <v>0</v>
      </c>
      <c r="JK20" s="675">
        <v>0</v>
      </c>
      <c r="JL20" s="675">
        <v>0</v>
      </c>
      <c r="JM20" s="675">
        <v>0</v>
      </c>
      <c r="JN20" s="675">
        <v>32469</v>
      </c>
      <c r="JO20" s="675">
        <v>0</v>
      </c>
      <c r="JP20" s="675">
        <v>0</v>
      </c>
      <c r="JQ20" s="675">
        <v>0</v>
      </c>
      <c r="JR20" s="675">
        <v>0</v>
      </c>
      <c r="JS20" s="675">
        <v>0</v>
      </c>
      <c r="JT20" s="675">
        <v>0</v>
      </c>
      <c r="JU20" s="675">
        <v>0</v>
      </c>
      <c r="JV20" s="675">
        <v>8760</v>
      </c>
      <c r="JW20" s="675">
        <v>0</v>
      </c>
      <c r="JX20" s="675">
        <v>0</v>
      </c>
      <c r="JY20" s="675">
        <v>0</v>
      </c>
      <c r="JZ20" s="675">
        <v>0</v>
      </c>
      <c r="KA20" s="675">
        <v>0</v>
      </c>
      <c r="KB20" s="675">
        <v>0</v>
      </c>
      <c r="KC20" s="675">
        <v>0</v>
      </c>
      <c r="KD20" s="675">
        <v>0</v>
      </c>
      <c r="KE20" s="675">
        <v>7260</v>
      </c>
      <c r="KF20" s="675">
        <v>0</v>
      </c>
      <c r="KG20" s="675">
        <v>0</v>
      </c>
      <c r="KH20" s="675">
        <v>0</v>
      </c>
      <c r="KI20" s="675">
        <v>0</v>
      </c>
    </row>
    <row r="21" spans="1:295" ht="12.5" x14ac:dyDescent="0.25">
      <c r="A21" s="675">
        <v>35795</v>
      </c>
      <c r="B21" s="675">
        <v>3801</v>
      </c>
      <c r="C21" s="675">
        <v>9</v>
      </c>
      <c r="D21" s="675">
        <v>2022</v>
      </c>
      <c r="E21" s="675">
        <v>6160</v>
      </c>
      <c r="F21" s="675">
        <v>0</v>
      </c>
      <c r="G21" s="675">
        <v>821.70500000000004</v>
      </c>
      <c r="H21" s="675">
        <v>783.18500000000006</v>
      </c>
      <c r="I21" s="675">
        <v>783.18500000000006</v>
      </c>
      <c r="J21" s="675">
        <v>821.70500000000004</v>
      </c>
      <c r="K21" s="675">
        <v>0</v>
      </c>
      <c r="L21" s="675">
        <v>6160</v>
      </c>
      <c r="M21" s="675">
        <v>0</v>
      </c>
      <c r="N21" s="675">
        <v>0</v>
      </c>
      <c r="O21" s="675">
        <v>0</v>
      </c>
      <c r="P21" s="675">
        <v>934.72500000000002</v>
      </c>
      <c r="Q21" s="675">
        <v>0</v>
      </c>
      <c r="R21" s="675">
        <v>376160</v>
      </c>
      <c r="S21" s="675">
        <v>402.428</v>
      </c>
      <c r="T21" s="675">
        <v>0</v>
      </c>
      <c r="U21" s="675">
        <v>200033</v>
      </c>
      <c r="V21" s="675">
        <v>36.628</v>
      </c>
      <c r="W21" s="675">
        <v>22563</v>
      </c>
      <c r="X21" s="675">
        <v>22563</v>
      </c>
      <c r="Y21" s="675">
        <v>0</v>
      </c>
      <c r="Z21" s="675">
        <v>0</v>
      </c>
      <c r="AA21" s="675">
        <v>0</v>
      </c>
      <c r="AB21" s="675">
        <v>0</v>
      </c>
      <c r="AC21" s="675">
        <v>0</v>
      </c>
      <c r="AD21" s="675" t="s">
        <v>316</v>
      </c>
      <c r="AE21" s="675">
        <v>0</v>
      </c>
      <c r="AF21" s="675">
        <v>0</v>
      </c>
      <c r="AG21" s="675">
        <v>0</v>
      </c>
      <c r="AH21" s="675">
        <v>0</v>
      </c>
      <c r="AI21" s="675">
        <v>0</v>
      </c>
      <c r="AJ21" s="675">
        <v>6160</v>
      </c>
      <c r="AK21" s="675" t="s">
        <v>671</v>
      </c>
      <c r="AL21" s="675" t="s">
        <v>54</v>
      </c>
      <c r="AM21" s="675">
        <v>0</v>
      </c>
      <c r="AN21" s="675">
        <v>0</v>
      </c>
      <c r="AO21" s="675">
        <v>0</v>
      </c>
      <c r="AP21" s="675">
        <v>0</v>
      </c>
      <c r="AQ21" s="675">
        <v>0</v>
      </c>
      <c r="AR21" s="675">
        <v>0</v>
      </c>
      <c r="AS21" s="675">
        <v>0</v>
      </c>
      <c r="AT21" s="675">
        <v>0</v>
      </c>
      <c r="AU21" s="675">
        <v>0</v>
      </c>
      <c r="AV21" s="675">
        <v>-1097</v>
      </c>
      <c r="AW21" s="675">
        <v>8373597</v>
      </c>
      <c r="AX21" s="675">
        <v>8226230</v>
      </c>
      <c r="AY21" s="675">
        <v>5714592</v>
      </c>
      <c r="AZ21" s="675">
        <v>376160</v>
      </c>
      <c r="BA21" s="675">
        <v>0</v>
      </c>
      <c r="BB21" s="675">
        <v>17716</v>
      </c>
      <c r="BC21" s="675">
        <v>17602</v>
      </c>
      <c r="BD21" s="675">
        <v>41.085000000000001</v>
      </c>
      <c r="BE21" s="675">
        <v>114</v>
      </c>
      <c r="BF21" s="675">
        <v>7652202</v>
      </c>
      <c r="BG21" s="675">
        <v>0</v>
      </c>
      <c r="BH21" s="675">
        <v>0</v>
      </c>
      <c r="BI21" s="675">
        <v>0</v>
      </c>
      <c r="BJ21" s="675">
        <v>12</v>
      </c>
      <c r="BK21" s="675">
        <v>0</v>
      </c>
      <c r="BL21" s="675">
        <v>0</v>
      </c>
      <c r="BM21" s="675">
        <v>0</v>
      </c>
      <c r="BN21" s="675">
        <v>0</v>
      </c>
      <c r="BO21" s="675">
        <v>0</v>
      </c>
      <c r="BP21" s="675">
        <v>0</v>
      </c>
      <c r="BQ21" s="675">
        <v>649</v>
      </c>
      <c r="BR21" s="675">
        <v>0</v>
      </c>
      <c r="BS21" s="675">
        <v>0</v>
      </c>
      <c r="BT21" s="675">
        <v>0</v>
      </c>
      <c r="BU21" s="675">
        <v>0</v>
      </c>
      <c r="BV21" s="675">
        <v>0</v>
      </c>
      <c r="BW21" s="675">
        <v>0</v>
      </c>
      <c r="BX21" s="675">
        <v>0</v>
      </c>
      <c r="BY21" s="675">
        <v>0</v>
      </c>
      <c r="BZ21" s="675">
        <v>0</v>
      </c>
      <c r="CA21" s="675">
        <v>0</v>
      </c>
      <c r="CB21" s="675">
        <v>0</v>
      </c>
      <c r="CC21" s="675">
        <v>0</v>
      </c>
      <c r="CD21" s="675">
        <v>0</v>
      </c>
      <c r="CE21" s="675">
        <v>0</v>
      </c>
      <c r="CF21" s="675">
        <v>0</v>
      </c>
      <c r="CG21" s="675">
        <v>0</v>
      </c>
      <c r="CH21" s="675">
        <v>150177</v>
      </c>
      <c r="CI21" s="675">
        <v>0</v>
      </c>
      <c r="CJ21" s="675">
        <v>4</v>
      </c>
      <c r="CK21" s="675">
        <v>0</v>
      </c>
      <c r="CL21" s="675">
        <v>0</v>
      </c>
      <c r="CM21" s="675">
        <v>0</v>
      </c>
      <c r="CN21" s="675">
        <v>0</v>
      </c>
      <c r="CO21" s="675">
        <v>1</v>
      </c>
      <c r="CP21" s="675">
        <v>0.06</v>
      </c>
      <c r="CQ21" s="675">
        <v>0</v>
      </c>
      <c r="CR21" s="675">
        <v>925.48300000000006</v>
      </c>
      <c r="CS21" s="675">
        <v>0</v>
      </c>
      <c r="CT21" s="675">
        <v>0</v>
      </c>
      <c r="CU21" s="675">
        <v>0</v>
      </c>
      <c r="CV21" s="675">
        <v>0</v>
      </c>
      <c r="CW21" s="675">
        <v>0</v>
      </c>
      <c r="CX21" s="675">
        <v>0</v>
      </c>
      <c r="CY21" s="675">
        <v>0</v>
      </c>
      <c r="CZ21" s="675">
        <v>0</v>
      </c>
      <c r="DA21" s="675">
        <v>0</v>
      </c>
      <c r="DB21" s="675">
        <v>4824397</v>
      </c>
      <c r="DC21" s="675">
        <v>0</v>
      </c>
      <c r="DD21" s="675">
        <v>0</v>
      </c>
      <c r="DE21" s="675">
        <v>874254</v>
      </c>
      <c r="DF21" s="675">
        <v>875145</v>
      </c>
      <c r="DG21" s="675">
        <v>141.92500000000001</v>
      </c>
      <c r="DH21" s="675">
        <v>0</v>
      </c>
      <c r="DI21" s="675">
        <v>891</v>
      </c>
      <c r="DJ21" s="675">
        <v>0</v>
      </c>
      <c r="DK21" s="675">
        <v>2013</v>
      </c>
      <c r="DL21" s="675">
        <v>0</v>
      </c>
      <c r="DM21" s="675">
        <v>707648</v>
      </c>
      <c r="DN21" s="675">
        <v>2695</v>
      </c>
      <c r="DO21" s="675">
        <v>0</v>
      </c>
      <c r="DP21" s="675">
        <v>0</v>
      </c>
      <c r="DQ21" s="675">
        <v>0</v>
      </c>
      <c r="DR21" s="675">
        <v>0</v>
      </c>
      <c r="DS21" s="675">
        <v>0</v>
      </c>
      <c r="DT21" s="675">
        <v>0</v>
      </c>
      <c r="DU21" s="675">
        <v>0</v>
      </c>
      <c r="DV21" s="675">
        <v>0</v>
      </c>
      <c r="DW21" s="675">
        <v>0</v>
      </c>
      <c r="DX21" s="675">
        <v>0</v>
      </c>
      <c r="DY21" s="675">
        <v>0</v>
      </c>
      <c r="DZ21" s="675">
        <v>0</v>
      </c>
      <c r="EA21" s="675">
        <v>0</v>
      </c>
      <c r="EB21" s="675">
        <v>0</v>
      </c>
      <c r="EC21" s="675">
        <v>40.073</v>
      </c>
      <c r="ED21" s="675">
        <v>283876</v>
      </c>
      <c r="EE21" s="675">
        <v>0</v>
      </c>
      <c r="EF21" s="675">
        <v>0</v>
      </c>
      <c r="EG21" s="675">
        <v>0</v>
      </c>
      <c r="EH21" s="675">
        <v>426467</v>
      </c>
      <c r="EI21" s="675">
        <v>0</v>
      </c>
      <c r="EJ21" s="675">
        <v>0</v>
      </c>
      <c r="EK21" s="675">
        <v>21.134</v>
      </c>
      <c r="EL21" s="675">
        <v>0</v>
      </c>
      <c r="EM21" s="675">
        <v>0</v>
      </c>
      <c r="EN21" s="675">
        <v>1.1660000000000001</v>
      </c>
      <c r="EO21" s="675">
        <v>0</v>
      </c>
      <c r="EP21" s="675">
        <v>0</v>
      </c>
      <c r="EQ21" s="675">
        <v>22.3</v>
      </c>
      <c r="ER21" s="675">
        <v>0</v>
      </c>
      <c r="ES21" s="675">
        <v>69.231999999999999</v>
      </c>
      <c r="ET21" s="675">
        <v>0</v>
      </c>
      <c r="EU21" s="675">
        <v>0</v>
      </c>
      <c r="EV21" s="675">
        <v>0</v>
      </c>
      <c r="EW21" s="675">
        <v>0</v>
      </c>
      <c r="EX21" s="675">
        <v>0</v>
      </c>
      <c r="EY21" s="675">
        <v>0</v>
      </c>
      <c r="EZ21" s="675">
        <v>7286848</v>
      </c>
      <c r="FA21" s="675">
        <v>0</v>
      </c>
      <c r="FB21" s="675">
        <v>7660198</v>
      </c>
      <c r="FC21" s="675">
        <v>0</v>
      </c>
      <c r="FD21" s="675">
        <v>0</v>
      </c>
      <c r="FE21" s="675">
        <v>778385</v>
      </c>
      <c r="FF21" s="675">
        <v>160997</v>
      </c>
      <c r="FG21" s="675">
        <v>6.3574999999999993E-2</v>
      </c>
      <c r="FH21" s="675">
        <v>2.6298999999999999E-2</v>
      </c>
      <c r="FI21" s="675">
        <v>0</v>
      </c>
      <c r="FJ21" s="675">
        <v>0</v>
      </c>
      <c r="FK21" s="675">
        <v>1242.2460000000001</v>
      </c>
      <c r="FL21" s="675">
        <v>8749757</v>
      </c>
      <c r="FM21" s="675">
        <v>0</v>
      </c>
      <c r="FN21" s="675">
        <v>0</v>
      </c>
      <c r="FO21" s="675">
        <v>5460</v>
      </c>
      <c r="FP21" s="675">
        <v>0</v>
      </c>
      <c r="FQ21" s="675">
        <v>6957</v>
      </c>
      <c r="FR21" s="675">
        <v>5460</v>
      </c>
      <c r="FS21" s="675">
        <v>1497</v>
      </c>
      <c r="FT21" s="675">
        <v>0</v>
      </c>
      <c r="FU21" s="675">
        <v>0</v>
      </c>
      <c r="FV21" s="675">
        <v>0</v>
      </c>
      <c r="FW21" s="675">
        <v>0</v>
      </c>
      <c r="FX21" s="675">
        <v>0</v>
      </c>
      <c r="FY21" s="675">
        <v>0</v>
      </c>
      <c r="FZ21" s="675">
        <v>0</v>
      </c>
      <c r="GA21" s="675">
        <v>0</v>
      </c>
      <c r="GB21" s="675">
        <v>133837</v>
      </c>
      <c r="GC21" s="675">
        <v>133837</v>
      </c>
      <c r="GD21" s="675">
        <v>16.22</v>
      </c>
      <c r="GE21" s="675">
        <v>0</v>
      </c>
      <c r="GF21" s="675">
        <v>0</v>
      </c>
      <c r="GG21" s="675">
        <v>0</v>
      </c>
      <c r="GH21" s="675">
        <v>0</v>
      </c>
      <c r="GI21" s="675">
        <v>0</v>
      </c>
      <c r="GJ21" s="675">
        <v>0</v>
      </c>
      <c r="GK21" s="675">
        <v>0</v>
      </c>
      <c r="GL21" s="675">
        <v>0</v>
      </c>
      <c r="GM21" s="675">
        <v>0</v>
      </c>
      <c r="GN21" s="675">
        <v>0</v>
      </c>
      <c r="GO21" s="675">
        <v>0</v>
      </c>
      <c r="GP21" s="675">
        <v>0</v>
      </c>
      <c r="GQ21" s="675">
        <v>0</v>
      </c>
      <c r="GR21" s="675">
        <v>0</v>
      </c>
      <c r="GS21" s="675">
        <v>0</v>
      </c>
      <c r="GT21" s="675">
        <v>0</v>
      </c>
      <c r="GU21" s="675">
        <v>0</v>
      </c>
      <c r="GV21" s="675">
        <v>0</v>
      </c>
      <c r="GW21" s="675">
        <v>0</v>
      </c>
      <c r="GX21" s="675">
        <v>0</v>
      </c>
      <c r="GY21" s="675">
        <v>0</v>
      </c>
      <c r="GZ21" s="675">
        <v>0</v>
      </c>
      <c r="HA21" s="675">
        <v>0</v>
      </c>
      <c r="HB21" s="675">
        <v>298386780</v>
      </c>
      <c r="HC21" s="675">
        <v>4.5690999999999996E-2</v>
      </c>
      <c r="HD21" s="675">
        <v>150177</v>
      </c>
      <c r="HE21" s="675">
        <v>0</v>
      </c>
      <c r="HF21" s="675">
        <v>861504</v>
      </c>
      <c r="HG21" s="675">
        <v>28952</v>
      </c>
      <c r="HH21" s="675">
        <v>115558</v>
      </c>
      <c r="HI21" s="675">
        <v>0</v>
      </c>
      <c r="HJ21" s="675">
        <v>7987</v>
      </c>
      <c r="HK21" s="675">
        <v>3303</v>
      </c>
      <c r="HL21" s="675">
        <v>546</v>
      </c>
      <c r="HM21" s="675">
        <v>29000</v>
      </c>
      <c r="HN21" s="675">
        <v>0</v>
      </c>
      <c r="HO21" s="675">
        <v>25200</v>
      </c>
      <c r="HP21" s="675">
        <v>0</v>
      </c>
      <c r="HQ21" s="675">
        <v>0</v>
      </c>
      <c r="HR21" s="675">
        <v>0</v>
      </c>
      <c r="HS21" s="675">
        <v>7284038</v>
      </c>
      <c r="HT21" s="675">
        <v>160997</v>
      </c>
      <c r="HU21" s="675">
        <v>0</v>
      </c>
      <c r="HV21" s="675">
        <v>0</v>
      </c>
      <c r="HW21" s="675">
        <v>0</v>
      </c>
      <c r="HX21" s="675">
        <v>123</v>
      </c>
      <c r="HY21" s="675">
        <v>173</v>
      </c>
      <c r="HZ21" s="675">
        <v>92</v>
      </c>
      <c r="IA21" s="675">
        <v>101</v>
      </c>
      <c r="IB21" s="675">
        <v>86</v>
      </c>
      <c r="IC21" s="675">
        <v>575</v>
      </c>
      <c r="ID21" s="675">
        <v>0</v>
      </c>
      <c r="IE21" s="675">
        <v>0</v>
      </c>
      <c r="IF21" s="675">
        <v>0</v>
      </c>
      <c r="IG21" s="675">
        <v>47</v>
      </c>
      <c r="IH21" s="675">
        <v>187.595</v>
      </c>
      <c r="II21" s="675">
        <v>0</v>
      </c>
      <c r="IJ21" s="675">
        <v>36.628</v>
      </c>
      <c r="IK21" s="675">
        <v>0</v>
      </c>
      <c r="IL21" s="675">
        <v>1</v>
      </c>
      <c r="IM21" s="675">
        <v>8</v>
      </c>
      <c r="IN21" s="675">
        <v>0</v>
      </c>
      <c r="IO21" s="675">
        <v>9</v>
      </c>
      <c r="IP21" s="675">
        <v>0</v>
      </c>
      <c r="IQ21" s="675">
        <v>36.628</v>
      </c>
      <c r="IR21" s="675">
        <v>22563</v>
      </c>
      <c r="IS21" s="675">
        <v>0</v>
      </c>
      <c r="IT21" s="675">
        <v>5000</v>
      </c>
      <c r="IU21" s="675">
        <v>24000</v>
      </c>
      <c r="IV21" s="675">
        <v>0</v>
      </c>
      <c r="IW21" s="675">
        <v>6160</v>
      </c>
      <c r="IX21" s="675">
        <v>0</v>
      </c>
      <c r="IY21" s="675">
        <v>0</v>
      </c>
      <c r="IZ21" s="675">
        <v>0</v>
      </c>
      <c r="JA21" s="675">
        <v>0</v>
      </c>
      <c r="JB21" s="675">
        <v>0</v>
      </c>
      <c r="JC21" s="675">
        <v>0</v>
      </c>
      <c r="JD21" s="675">
        <v>0</v>
      </c>
      <c r="JE21" s="675">
        <v>0</v>
      </c>
      <c r="JF21" s="675">
        <v>0</v>
      </c>
      <c r="JG21" s="675">
        <v>0</v>
      </c>
      <c r="JH21" s="675">
        <v>0</v>
      </c>
      <c r="JI21" s="675">
        <v>0</v>
      </c>
      <c r="JJ21" s="675">
        <v>0</v>
      </c>
      <c r="JK21" s="675">
        <v>0</v>
      </c>
      <c r="JL21" s="675">
        <v>0</v>
      </c>
      <c r="JM21" s="675">
        <v>0</v>
      </c>
      <c r="JN21" s="675">
        <v>32469</v>
      </c>
      <c r="JO21" s="675">
        <v>13.450000000000001</v>
      </c>
      <c r="JP21" s="675">
        <v>2.274</v>
      </c>
      <c r="JQ21" s="675">
        <v>0.496</v>
      </c>
      <c r="JR21" s="675">
        <v>107412</v>
      </c>
      <c r="JS21" s="675">
        <v>21132</v>
      </c>
      <c r="JT21" s="675">
        <v>5293</v>
      </c>
      <c r="JU21" s="675">
        <v>17716</v>
      </c>
      <c r="JV21" s="675">
        <v>0</v>
      </c>
      <c r="JW21" s="675">
        <v>0</v>
      </c>
      <c r="JX21" s="675">
        <v>0</v>
      </c>
      <c r="JY21" s="675">
        <v>0</v>
      </c>
      <c r="JZ21" s="675">
        <v>0</v>
      </c>
      <c r="KA21" s="675">
        <v>0</v>
      </c>
      <c r="KB21" s="675">
        <v>0</v>
      </c>
      <c r="KC21" s="675">
        <v>0</v>
      </c>
      <c r="KD21" s="675">
        <v>17716</v>
      </c>
      <c r="KE21" s="675">
        <v>7260</v>
      </c>
      <c r="KF21" s="675">
        <v>0</v>
      </c>
      <c r="KG21" s="675">
        <v>0</v>
      </c>
      <c r="KH21" s="675">
        <v>0</v>
      </c>
      <c r="KI21" s="675">
        <v>0</v>
      </c>
    </row>
    <row r="22" spans="1:295" ht="12.5" x14ac:dyDescent="0.25">
      <c r="A22" s="675">
        <v>35795</v>
      </c>
      <c r="B22" s="675">
        <v>13801</v>
      </c>
      <c r="C22" s="675">
        <v>9</v>
      </c>
      <c r="D22" s="675">
        <v>2022</v>
      </c>
      <c r="E22" s="675">
        <v>6160</v>
      </c>
      <c r="F22" s="675">
        <v>0</v>
      </c>
      <c r="G22" s="675">
        <v>372.928</v>
      </c>
      <c r="H22" s="675">
        <v>363.75700000000001</v>
      </c>
      <c r="I22" s="675">
        <v>363.75700000000001</v>
      </c>
      <c r="J22" s="675">
        <v>372.928</v>
      </c>
      <c r="K22" s="675">
        <v>0</v>
      </c>
      <c r="L22" s="675">
        <v>6160</v>
      </c>
      <c r="M22" s="675">
        <v>0</v>
      </c>
      <c r="N22" s="675">
        <v>0</v>
      </c>
      <c r="O22" s="675">
        <v>0</v>
      </c>
      <c r="P22" s="675">
        <v>368.73200000000003</v>
      </c>
      <c r="Q22" s="675">
        <v>0</v>
      </c>
      <c r="R22" s="675">
        <v>148388</v>
      </c>
      <c r="S22" s="675">
        <v>402.428</v>
      </c>
      <c r="T22" s="675">
        <v>0</v>
      </c>
      <c r="U22" s="675">
        <v>78910</v>
      </c>
      <c r="V22" s="675">
        <v>4.76</v>
      </c>
      <c r="W22" s="675">
        <v>2932</v>
      </c>
      <c r="X22" s="675">
        <v>2932</v>
      </c>
      <c r="Y22" s="675">
        <v>0</v>
      </c>
      <c r="Z22" s="675">
        <v>0</v>
      </c>
      <c r="AA22" s="675">
        <v>0</v>
      </c>
      <c r="AB22" s="675">
        <v>0</v>
      </c>
      <c r="AC22" s="675">
        <v>0</v>
      </c>
      <c r="AD22" s="675" t="s">
        <v>316</v>
      </c>
      <c r="AE22" s="675">
        <v>0</v>
      </c>
      <c r="AF22" s="675">
        <v>0</v>
      </c>
      <c r="AG22" s="675">
        <v>0</v>
      </c>
      <c r="AH22" s="675">
        <v>0</v>
      </c>
      <c r="AI22" s="675">
        <v>0</v>
      </c>
      <c r="AJ22" s="675">
        <v>6160</v>
      </c>
      <c r="AK22" s="675" t="s">
        <v>671</v>
      </c>
      <c r="AL22" s="675" t="s">
        <v>55</v>
      </c>
      <c r="AM22" s="675">
        <v>0</v>
      </c>
      <c r="AN22" s="675">
        <v>0</v>
      </c>
      <c r="AO22" s="675">
        <v>0</v>
      </c>
      <c r="AP22" s="675">
        <v>0</v>
      </c>
      <c r="AQ22" s="675">
        <v>0</v>
      </c>
      <c r="AR22" s="675">
        <v>0</v>
      </c>
      <c r="AS22" s="675">
        <v>0</v>
      </c>
      <c r="AT22" s="675">
        <v>0</v>
      </c>
      <c r="AU22" s="675">
        <v>0</v>
      </c>
      <c r="AV22" s="675">
        <v>-26763</v>
      </c>
      <c r="AW22" s="675">
        <v>3868092</v>
      </c>
      <c r="AX22" s="675">
        <v>3800804</v>
      </c>
      <c r="AY22" s="675">
        <v>2578643</v>
      </c>
      <c r="AZ22" s="675">
        <v>148388</v>
      </c>
      <c r="BA22" s="675">
        <v>0</v>
      </c>
      <c r="BB22" s="675">
        <v>8040</v>
      </c>
      <c r="BC22" s="675">
        <v>7988</v>
      </c>
      <c r="BD22" s="675">
        <v>18.646000000000001</v>
      </c>
      <c r="BE22" s="675">
        <v>52</v>
      </c>
      <c r="BF22" s="675">
        <v>3517397</v>
      </c>
      <c r="BG22" s="675">
        <v>0</v>
      </c>
      <c r="BH22" s="675">
        <v>0</v>
      </c>
      <c r="BI22" s="675">
        <v>0</v>
      </c>
      <c r="BJ22" s="675">
        <v>12</v>
      </c>
      <c r="BK22" s="675">
        <v>0</v>
      </c>
      <c r="BL22" s="675">
        <v>0</v>
      </c>
      <c r="BM22" s="675">
        <v>0</v>
      </c>
      <c r="BN22" s="675">
        <v>0</v>
      </c>
      <c r="BO22" s="675">
        <v>0</v>
      </c>
      <c r="BP22" s="675">
        <v>0</v>
      </c>
      <c r="BQ22" s="675">
        <v>714</v>
      </c>
      <c r="BR22" s="675">
        <v>0</v>
      </c>
      <c r="BS22" s="675">
        <v>0</v>
      </c>
      <c r="BT22" s="675">
        <v>0</v>
      </c>
      <c r="BU22" s="675">
        <v>0</v>
      </c>
      <c r="BV22" s="675">
        <v>0</v>
      </c>
      <c r="BW22" s="675">
        <v>0</v>
      </c>
      <c r="BX22" s="675">
        <v>0</v>
      </c>
      <c r="BY22" s="675">
        <v>0</v>
      </c>
      <c r="BZ22" s="675">
        <v>0</v>
      </c>
      <c r="CA22" s="675">
        <v>0</v>
      </c>
      <c r="CB22" s="675">
        <v>0</v>
      </c>
      <c r="CC22" s="675">
        <v>0</v>
      </c>
      <c r="CD22" s="675">
        <v>0</v>
      </c>
      <c r="CE22" s="675">
        <v>0</v>
      </c>
      <c r="CF22" s="675">
        <v>0</v>
      </c>
      <c r="CG22" s="675">
        <v>0</v>
      </c>
      <c r="CH22" s="675">
        <v>68157</v>
      </c>
      <c r="CI22" s="675">
        <v>0</v>
      </c>
      <c r="CJ22" s="675">
        <v>4</v>
      </c>
      <c r="CK22" s="675">
        <v>0</v>
      </c>
      <c r="CL22" s="675">
        <v>0</v>
      </c>
      <c r="CM22" s="675">
        <v>0</v>
      </c>
      <c r="CN22" s="675">
        <v>0</v>
      </c>
      <c r="CO22" s="675">
        <v>1</v>
      </c>
      <c r="CP22" s="675">
        <v>0</v>
      </c>
      <c r="CQ22" s="675">
        <v>0</v>
      </c>
      <c r="CR22" s="675">
        <v>365.19600000000003</v>
      </c>
      <c r="CS22" s="675">
        <v>0</v>
      </c>
      <c r="CT22" s="675">
        <v>0</v>
      </c>
      <c r="CU22" s="675">
        <v>0</v>
      </c>
      <c r="CV22" s="675">
        <v>0</v>
      </c>
      <c r="CW22" s="675">
        <v>0</v>
      </c>
      <c r="CX22" s="675">
        <v>0</v>
      </c>
      <c r="CY22" s="675">
        <v>0</v>
      </c>
      <c r="CZ22" s="675">
        <v>0</v>
      </c>
      <c r="DA22" s="675">
        <v>0</v>
      </c>
      <c r="DB22" s="675">
        <v>2240733</v>
      </c>
      <c r="DC22" s="675">
        <v>0</v>
      </c>
      <c r="DD22" s="675">
        <v>0</v>
      </c>
      <c r="DE22" s="675">
        <v>511201</v>
      </c>
      <c r="DF22" s="675">
        <v>511201</v>
      </c>
      <c r="DG22" s="675">
        <v>82.988</v>
      </c>
      <c r="DH22" s="675">
        <v>0</v>
      </c>
      <c r="DI22" s="675">
        <v>0</v>
      </c>
      <c r="DJ22" s="675">
        <v>0</v>
      </c>
      <c r="DK22" s="675">
        <v>3046</v>
      </c>
      <c r="DL22" s="675">
        <v>0</v>
      </c>
      <c r="DM22" s="675">
        <v>214543</v>
      </c>
      <c r="DN22" s="675">
        <v>817</v>
      </c>
      <c r="DO22" s="675">
        <v>0</v>
      </c>
      <c r="DP22" s="675">
        <v>0</v>
      </c>
      <c r="DQ22" s="675">
        <v>0</v>
      </c>
      <c r="DR22" s="675">
        <v>0</v>
      </c>
      <c r="DS22" s="675">
        <v>0</v>
      </c>
      <c r="DT22" s="675">
        <v>0</v>
      </c>
      <c r="DU22" s="675">
        <v>0</v>
      </c>
      <c r="DV22" s="675">
        <v>0</v>
      </c>
      <c r="DW22" s="675">
        <v>0</v>
      </c>
      <c r="DX22" s="675">
        <v>0</v>
      </c>
      <c r="DY22" s="675">
        <v>0</v>
      </c>
      <c r="DZ22" s="675">
        <v>0</v>
      </c>
      <c r="EA22" s="675">
        <v>0</v>
      </c>
      <c r="EB22" s="675">
        <v>0</v>
      </c>
      <c r="EC22" s="675">
        <v>3.6680000000000001</v>
      </c>
      <c r="ED22" s="675">
        <v>25984</v>
      </c>
      <c r="EE22" s="675">
        <v>0</v>
      </c>
      <c r="EF22" s="675">
        <v>0</v>
      </c>
      <c r="EG22" s="675">
        <v>0</v>
      </c>
      <c r="EH22" s="675">
        <v>189376</v>
      </c>
      <c r="EI22" s="675">
        <v>0</v>
      </c>
      <c r="EJ22" s="675">
        <v>0</v>
      </c>
      <c r="EK22" s="675">
        <v>7.5250000000000004</v>
      </c>
      <c r="EL22" s="675">
        <v>0</v>
      </c>
      <c r="EM22" s="675">
        <v>3.1E-2</v>
      </c>
      <c r="EN22" s="675">
        <v>1.615</v>
      </c>
      <c r="EO22" s="675">
        <v>0</v>
      </c>
      <c r="EP22" s="675">
        <v>0</v>
      </c>
      <c r="EQ22" s="675">
        <v>9.1710000000000012</v>
      </c>
      <c r="ER22" s="675">
        <v>0</v>
      </c>
      <c r="ES22" s="675">
        <v>30.743000000000002</v>
      </c>
      <c r="ET22" s="675">
        <v>0</v>
      </c>
      <c r="EU22" s="675">
        <v>0</v>
      </c>
      <c r="EV22" s="675">
        <v>0</v>
      </c>
      <c r="EW22" s="675">
        <v>0</v>
      </c>
      <c r="EX22" s="675">
        <v>0</v>
      </c>
      <c r="EY22" s="675">
        <v>0</v>
      </c>
      <c r="EZ22" s="675">
        <v>3369009</v>
      </c>
      <c r="FA22" s="675">
        <v>0</v>
      </c>
      <c r="FB22" s="675">
        <v>3516528</v>
      </c>
      <c r="FC22" s="675">
        <v>0</v>
      </c>
      <c r="FD22" s="675">
        <v>0</v>
      </c>
      <c r="FE22" s="675">
        <v>357791</v>
      </c>
      <c r="FF22" s="675">
        <v>74004</v>
      </c>
      <c r="FG22" s="675">
        <v>6.3574999999999993E-2</v>
      </c>
      <c r="FH22" s="675">
        <v>2.6298999999999999E-2</v>
      </c>
      <c r="FI22" s="675">
        <v>0</v>
      </c>
      <c r="FJ22" s="675">
        <v>0</v>
      </c>
      <c r="FK22" s="675">
        <v>571.00900000000001</v>
      </c>
      <c r="FL22" s="675">
        <v>4016480</v>
      </c>
      <c r="FM22" s="675">
        <v>0</v>
      </c>
      <c r="FN22" s="675">
        <v>0</v>
      </c>
      <c r="FO22" s="675">
        <v>0</v>
      </c>
      <c r="FP22" s="675">
        <v>0</v>
      </c>
      <c r="FQ22" s="675">
        <v>0</v>
      </c>
      <c r="FR22" s="675">
        <v>0</v>
      </c>
      <c r="FS22" s="675">
        <v>0</v>
      </c>
      <c r="FT22" s="675">
        <v>0</v>
      </c>
      <c r="FU22" s="675">
        <v>0</v>
      </c>
      <c r="FV22" s="675">
        <v>0</v>
      </c>
      <c r="FW22" s="675">
        <v>0</v>
      </c>
      <c r="FX22" s="675">
        <v>0</v>
      </c>
      <c r="FY22" s="675">
        <v>0</v>
      </c>
      <c r="FZ22" s="675">
        <v>0</v>
      </c>
      <c r="GA22" s="675">
        <v>0</v>
      </c>
      <c r="GB22" s="675">
        <v>0</v>
      </c>
      <c r="GC22" s="675">
        <v>0</v>
      </c>
      <c r="GD22" s="675">
        <v>0</v>
      </c>
      <c r="GE22" s="675">
        <v>0</v>
      </c>
      <c r="GF22" s="675">
        <v>0</v>
      </c>
      <c r="GG22" s="675">
        <v>0</v>
      </c>
      <c r="GH22" s="675">
        <v>0</v>
      </c>
      <c r="GI22" s="675">
        <v>0</v>
      </c>
      <c r="GJ22" s="675">
        <v>0</v>
      </c>
      <c r="GK22" s="675">
        <v>0</v>
      </c>
      <c r="GL22" s="675">
        <v>0</v>
      </c>
      <c r="GM22" s="675">
        <v>0</v>
      </c>
      <c r="GN22" s="675">
        <v>0</v>
      </c>
      <c r="GO22" s="675">
        <v>0</v>
      </c>
      <c r="GP22" s="675">
        <v>0</v>
      </c>
      <c r="GQ22" s="675">
        <v>0</v>
      </c>
      <c r="GR22" s="675">
        <v>0</v>
      </c>
      <c r="GS22" s="675">
        <v>0</v>
      </c>
      <c r="GT22" s="675">
        <v>0</v>
      </c>
      <c r="GU22" s="675">
        <v>0</v>
      </c>
      <c r="GV22" s="675">
        <v>0</v>
      </c>
      <c r="GW22" s="675">
        <v>0</v>
      </c>
      <c r="GX22" s="675">
        <v>0</v>
      </c>
      <c r="GY22" s="675">
        <v>0</v>
      </c>
      <c r="GZ22" s="675">
        <v>0</v>
      </c>
      <c r="HA22" s="675">
        <v>0</v>
      </c>
      <c r="HB22" s="675">
        <v>298386780</v>
      </c>
      <c r="HC22" s="675">
        <v>4.5690999999999996E-2</v>
      </c>
      <c r="HD22" s="675">
        <v>68157</v>
      </c>
      <c r="HE22" s="675">
        <v>0</v>
      </c>
      <c r="HF22" s="675">
        <v>400133</v>
      </c>
      <c r="HG22" s="675">
        <v>3696</v>
      </c>
      <c r="HH22" s="675">
        <v>131677</v>
      </c>
      <c r="HI22" s="675">
        <v>0</v>
      </c>
      <c r="HJ22" s="675">
        <v>3625</v>
      </c>
      <c r="HK22" s="675">
        <v>0</v>
      </c>
      <c r="HL22" s="675">
        <v>0</v>
      </c>
      <c r="HM22" s="675">
        <v>0</v>
      </c>
      <c r="HN22" s="675">
        <v>0</v>
      </c>
      <c r="HO22" s="675">
        <v>0</v>
      </c>
      <c r="HP22" s="675">
        <v>0</v>
      </c>
      <c r="HQ22" s="675">
        <v>0</v>
      </c>
      <c r="HR22" s="675">
        <v>0</v>
      </c>
      <c r="HS22" s="675">
        <v>3368140</v>
      </c>
      <c r="HT22" s="675">
        <v>74004</v>
      </c>
      <c r="HU22" s="675">
        <v>0</v>
      </c>
      <c r="HV22" s="675">
        <v>0</v>
      </c>
      <c r="HW22" s="675">
        <v>0</v>
      </c>
      <c r="HX22" s="675">
        <v>94</v>
      </c>
      <c r="HY22" s="675">
        <v>46</v>
      </c>
      <c r="HZ22" s="675">
        <v>65</v>
      </c>
      <c r="IA22" s="675">
        <v>87</v>
      </c>
      <c r="IB22" s="675">
        <v>43</v>
      </c>
      <c r="IC22" s="675">
        <v>335</v>
      </c>
      <c r="ID22" s="675">
        <v>0</v>
      </c>
      <c r="IE22" s="675">
        <v>0</v>
      </c>
      <c r="IF22" s="675">
        <v>0</v>
      </c>
      <c r="IG22" s="675">
        <v>6</v>
      </c>
      <c r="IH22" s="675">
        <v>213.762</v>
      </c>
      <c r="II22" s="675">
        <v>0</v>
      </c>
      <c r="IJ22" s="675">
        <v>4.76</v>
      </c>
      <c r="IK22" s="675">
        <v>0</v>
      </c>
      <c r="IL22" s="675">
        <v>0</v>
      </c>
      <c r="IM22" s="675">
        <v>0</v>
      </c>
      <c r="IN22" s="675">
        <v>0</v>
      </c>
      <c r="IO22" s="675">
        <v>0</v>
      </c>
      <c r="IP22" s="675">
        <v>0</v>
      </c>
      <c r="IQ22" s="675">
        <v>4.76</v>
      </c>
      <c r="IR22" s="675">
        <v>2932</v>
      </c>
      <c r="IS22" s="675">
        <v>0</v>
      </c>
      <c r="IT22" s="675">
        <v>0</v>
      </c>
      <c r="IU22" s="675">
        <v>0</v>
      </c>
      <c r="IV22" s="675">
        <v>0</v>
      </c>
      <c r="IW22" s="675">
        <v>6160</v>
      </c>
      <c r="IX22" s="675">
        <v>0</v>
      </c>
      <c r="IY22" s="675">
        <v>0</v>
      </c>
      <c r="IZ22" s="675">
        <v>0</v>
      </c>
      <c r="JA22" s="675">
        <v>0</v>
      </c>
      <c r="JB22" s="675">
        <v>0</v>
      </c>
      <c r="JC22" s="675">
        <v>0</v>
      </c>
      <c r="JD22" s="675">
        <v>0</v>
      </c>
      <c r="JE22" s="675">
        <v>0</v>
      </c>
      <c r="JF22" s="675">
        <v>0</v>
      </c>
      <c r="JG22" s="675">
        <v>0</v>
      </c>
      <c r="JH22" s="675">
        <v>0</v>
      </c>
      <c r="JI22" s="675">
        <v>0</v>
      </c>
      <c r="JJ22" s="675">
        <v>0</v>
      </c>
      <c r="JK22" s="675">
        <v>0</v>
      </c>
      <c r="JL22" s="675">
        <v>0</v>
      </c>
      <c r="JM22" s="675">
        <v>0</v>
      </c>
      <c r="JN22" s="675">
        <v>32469</v>
      </c>
      <c r="JO22" s="675">
        <v>0</v>
      </c>
      <c r="JP22" s="675">
        <v>0</v>
      </c>
      <c r="JQ22" s="675">
        <v>0</v>
      </c>
      <c r="JR22" s="675">
        <v>0</v>
      </c>
      <c r="JS22" s="675">
        <v>0</v>
      </c>
      <c r="JT22" s="675">
        <v>0</v>
      </c>
      <c r="JU22" s="675">
        <v>8040</v>
      </c>
      <c r="JV22" s="675">
        <v>0</v>
      </c>
      <c r="JW22" s="675">
        <v>0</v>
      </c>
      <c r="JX22" s="675">
        <v>0</v>
      </c>
      <c r="JY22" s="675">
        <v>0</v>
      </c>
      <c r="JZ22" s="675">
        <v>0</v>
      </c>
      <c r="KA22" s="675">
        <v>0</v>
      </c>
      <c r="KB22" s="675">
        <v>0</v>
      </c>
      <c r="KC22" s="675">
        <v>0</v>
      </c>
      <c r="KD22" s="675">
        <v>8041</v>
      </c>
      <c r="KE22" s="675">
        <v>7260</v>
      </c>
      <c r="KF22" s="675">
        <v>0</v>
      </c>
      <c r="KG22" s="675">
        <v>0</v>
      </c>
      <c r="KH22" s="675">
        <v>0</v>
      </c>
      <c r="KI22" s="675">
        <v>0</v>
      </c>
    </row>
    <row r="23" spans="1:295" ht="12.5" x14ac:dyDescent="0.25">
      <c r="A23" s="675">
        <v>35795</v>
      </c>
      <c r="B23" s="675">
        <v>14801</v>
      </c>
      <c r="C23" s="675">
        <v>9</v>
      </c>
      <c r="D23" s="675">
        <v>2022</v>
      </c>
      <c r="E23" s="675">
        <v>6160</v>
      </c>
      <c r="F23" s="675">
        <v>0</v>
      </c>
      <c r="G23" s="675">
        <v>1157.0450000000001</v>
      </c>
      <c r="H23" s="675">
        <v>984.09500000000003</v>
      </c>
      <c r="I23" s="675">
        <v>984.09500000000003</v>
      </c>
      <c r="J23" s="675">
        <v>1157.0450000000001</v>
      </c>
      <c r="K23" s="675">
        <v>0</v>
      </c>
      <c r="L23" s="675">
        <v>6160</v>
      </c>
      <c r="M23" s="675">
        <v>0</v>
      </c>
      <c r="N23" s="675">
        <v>0</v>
      </c>
      <c r="O23" s="675">
        <v>0</v>
      </c>
      <c r="P23" s="675">
        <v>1494.288</v>
      </c>
      <c r="Q23" s="675">
        <v>0</v>
      </c>
      <c r="R23" s="675">
        <v>601343</v>
      </c>
      <c r="S23" s="675">
        <v>402.428</v>
      </c>
      <c r="T23" s="675">
        <v>0</v>
      </c>
      <c r="U23" s="675">
        <v>319781</v>
      </c>
      <c r="V23" s="675">
        <v>102.863</v>
      </c>
      <c r="W23" s="675">
        <v>63363</v>
      </c>
      <c r="X23" s="675">
        <v>63363</v>
      </c>
      <c r="Y23" s="675">
        <v>0</v>
      </c>
      <c r="Z23" s="675">
        <v>0</v>
      </c>
      <c r="AA23" s="675">
        <v>0</v>
      </c>
      <c r="AB23" s="675">
        <v>0</v>
      </c>
      <c r="AC23" s="675">
        <v>0</v>
      </c>
      <c r="AD23" s="675" t="s">
        <v>316</v>
      </c>
      <c r="AE23" s="675">
        <v>0</v>
      </c>
      <c r="AF23" s="675">
        <v>0</v>
      </c>
      <c r="AG23" s="675">
        <v>0</v>
      </c>
      <c r="AH23" s="675">
        <v>0</v>
      </c>
      <c r="AI23" s="675">
        <v>0</v>
      </c>
      <c r="AJ23" s="675">
        <v>6160</v>
      </c>
      <c r="AK23" s="675" t="s">
        <v>671</v>
      </c>
      <c r="AL23" s="675" t="s">
        <v>899</v>
      </c>
      <c r="AM23" s="675">
        <v>0</v>
      </c>
      <c r="AN23" s="675">
        <v>0</v>
      </c>
      <c r="AO23" s="675">
        <v>0</v>
      </c>
      <c r="AP23" s="675">
        <v>0</v>
      </c>
      <c r="AQ23" s="675">
        <v>0</v>
      </c>
      <c r="AR23" s="675">
        <v>0</v>
      </c>
      <c r="AS23" s="675">
        <v>0</v>
      </c>
      <c r="AT23" s="675">
        <v>0</v>
      </c>
      <c r="AU23" s="675">
        <v>0</v>
      </c>
      <c r="AV23" s="675">
        <v>-50894</v>
      </c>
      <c r="AW23" s="675">
        <v>13695704</v>
      </c>
      <c r="AX23" s="675">
        <v>13488144</v>
      </c>
      <c r="AY23" s="675">
        <v>9050860</v>
      </c>
      <c r="AZ23" s="675">
        <v>601343</v>
      </c>
      <c r="BA23" s="675">
        <v>0</v>
      </c>
      <c r="BB23" s="675">
        <v>0</v>
      </c>
      <c r="BC23" s="675">
        <v>0</v>
      </c>
      <c r="BD23" s="675">
        <v>0</v>
      </c>
      <c r="BE23" s="675">
        <v>0</v>
      </c>
      <c r="BF23" s="675">
        <v>12229058</v>
      </c>
      <c r="BG23" s="675">
        <v>0</v>
      </c>
      <c r="BH23" s="675">
        <v>0</v>
      </c>
      <c r="BI23" s="675">
        <v>0</v>
      </c>
      <c r="BJ23" s="675">
        <v>12</v>
      </c>
      <c r="BK23" s="675">
        <v>0</v>
      </c>
      <c r="BL23" s="675">
        <v>0</v>
      </c>
      <c r="BM23" s="675">
        <v>0</v>
      </c>
      <c r="BN23" s="675">
        <v>0</v>
      </c>
      <c r="BO23" s="675">
        <v>0</v>
      </c>
      <c r="BP23" s="675">
        <v>0</v>
      </c>
      <c r="BQ23" s="675">
        <v>618</v>
      </c>
      <c r="BR23" s="675">
        <v>0</v>
      </c>
      <c r="BS23" s="675">
        <v>0</v>
      </c>
      <c r="BT23" s="675">
        <v>0</v>
      </c>
      <c r="BU23" s="675">
        <v>0</v>
      </c>
      <c r="BV23" s="675">
        <v>0</v>
      </c>
      <c r="BW23" s="675">
        <v>0</v>
      </c>
      <c r="BX23" s="675">
        <v>0</v>
      </c>
      <c r="BY23" s="675">
        <v>0</v>
      </c>
      <c r="BZ23" s="675">
        <v>0</v>
      </c>
      <c r="CA23" s="675">
        <v>0</v>
      </c>
      <c r="CB23" s="675">
        <v>0</v>
      </c>
      <c r="CC23" s="675">
        <v>0</v>
      </c>
      <c r="CD23" s="675">
        <v>0</v>
      </c>
      <c r="CE23" s="675">
        <v>0</v>
      </c>
      <c r="CF23" s="675">
        <v>0</v>
      </c>
      <c r="CG23" s="675">
        <v>0</v>
      </c>
      <c r="CH23" s="675">
        <v>211465</v>
      </c>
      <c r="CI23" s="675">
        <v>0</v>
      </c>
      <c r="CJ23" s="675">
        <v>4</v>
      </c>
      <c r="CK23" s="675">
        <v>0</v>
      </c>
      <c r="CL23" s="675">
        <v>0</v>
      </c>
      <c r="CM23" s="675">
        <v>0</v>
      </c>
      <c r="CN23" s="675">
        <v>0</v>
      </c>
      <c r="CO23" s="675">
        <v>1</v>
      </c>
      <c r="CP23" s="675">
        <v>3.141</v>
      </c>
      <c r="CQ23" s="675">
        <v>0</v>
      </c>
      <c r="CR23" s="675">
        <v>1226.53</v>
      </c>
      <c r="CS23" s="675">
        <v>0</v>
      </c>
      <c r="CT23" s="675">
        <v>0</v>
      </c>
      <c r="CU23" s="675">
        <v>0</v>
      </c>
      <c r="CV23" s="675">
        <v>0</v>
      </c>
      <c r="CW23" s="675">
        <v>0</v>
      </c>
      <c r="CX23" s="675">
        <v>0</v>
      </c>
      <c r="CY23" s="675">
        <v>0</v>
      </c>
      <c r="CZ23" s="675">
        <v>0</v>
      </c>
      <c r="DA23" s="675">
        <v>0</v>
      </c>
      <c r="DB23" s="675">
        <v>5653925</v>
      </c>
      <c r="DC23" s="675">
        <v>0</v>
      </c>
      <c r="DD23" s="675">
        <v>0</v>
      </c>
      <c r="DE23" s="675">
        <v>2390377</v>
      </c>
      <c r="DF23" s="675">
        <v>2437007</v>
      </c>
      <c r="DG23" s="675">
        <v>388.05</v>
      </c>
      <c r="DH23" s="675">
        <v>0</v>
      </c>
      <c r="DI23" s="675">
        <v>46630</v>
      </c>
      <c r="DJ23" s="675">
        <v>0</v>
      </c>
      <c r="DK23" s="675">
        <v>1518</v>
      </c>
      <c r="DL23" s="675">
        <v>0</v>
      </c>
      <c r="DM23" s="675">
        <v>1433170</v>
      </c>
      <c r="DN23" s="675">
        <v>3905</v>
      </c>
      <c r="DO23" s="675">
        <v>0</v>
      </c>
      <c r="DP23" s="675">
        <v>0</v>
      </c>
      <c r="DQ23" s="675">
        <v>0</v>
      </c>
      <c r="DR23" s="675">
        <v>0</v>
      </c>
      <c r="DS23" s="675">
        <v>0</v>
      </c>
      <c r="DT23" s="675">
        <v>0</v>
      </c>
      <c r="DU23" s="675">
        <v>0</v>
      </c>
      <c r="DV23" s="675">
        <v>0</v>
      </c>
      <c r="DW23" s="675">
        <v>0</v>
      </c>
      <c r="DX23" s="675">
        <v>0</v>
      </c>
      <c r="DY23" s="675">
        <v>0</v>
      </c>
      <c r="DZ23" s="675">
        <v>0</v>
      </c>
      <c r="EA23" s="675">
        <v>0.05</v>
      </c>
      <c r="EB23" s="675">
        <v>0</v>
      </c>
      <c r="EC23" s="675">
        <v>111.105</v>
      </c>
      <c r="ED23" s="675">
        <v>787064</v>
      </c>
      <c r="EE23" s="675">
        <v>0</v>
      </c>
      <c r="EF23" s="675">
        <v>0</v>
      </c>
      <c r="EG23" s="675">
        <v>0</v>
      </c>
      <c r="EH23" s="675">
        <v>241939</v>
      </c>
      <c r="EI23" s="675">
        <v>0</v>
      </c>
      <c r="EJ23" s="675">
        <v>0</v>
      </c>
      <c r="EK23" s="675">
        <v>12.19</v>
      </c>
      <c r="EL23" s="675">
        <v>0</v>
      </c>
      <c r="EM23" s="675">
        <v>0.54700000000000004</v>
      </c>
      <c r="EN23" s="675">
        <v>0.16300000000000001</v>
      </c>
      <c r="EO23" s="675">
        <v>0</v>
      </c>
      <c r="EP23" s="675">
        <v>0</v>
      </c>
      <c r="EQ23" s="675">
        <v>12.950000000000001</v>
      </c>
      <c r="ER23" s="675">
        <v>0</v>
      </c>
      <c r="ES23" s="675">
        <v>39.276000000000003</v>
      </c>
      <c r="ET23" s="675">
        <v>0</v>
      </c>
      <c r="EU23" s="675">
        <v>0</v>
      </c>
      <c r="EV23" s="675">
        <v>0</v>
      </c>
      <c r="EW23" s="675">
        <v>0</v>
      </c>
      <c r="EX23" s="675">
        <v>0</v>
      </c>
      <c r="EY23" s="675">
        <v>0</v>
      </c>
      <c r="EZ23" s="675">
        <v>11986907</v>
      </c>
      <c r="FA23" s="675">
        <v>0</v>
      </c>
      <c r="FB23" s="675">
        <v>12584345</v>
      </c>
      <c r="FC23" s="675">
        <v>0</v>
      </c>
      <c r="FD23" s="675">
        <v>0</v>
      </c>
      <c r="FE23" s="675">
        <v>1243946</v>
      </c>
      <c r="FF23" s="675">
        <v>257291</v>
      </c>
      <c r="FG23" s="675">
        <v>6.3574999999999993E-2</v>
      </c>
      <c r="FH23" s="675">
        <v>2.6298999999999999E-2</v>
      </c>
      <c r="FI23" s="675">
        <v>0</v>
      </c>
      <c r="FJ23" s="675">
        <v>0</v>
      </c>
      <c r="FK23" s="675">
        <v>1985.2460000000001</v>
      </c>
      <c r="FL23" s="675">
        <v>14297047</v>
      </c>
      <c r="FM23" s="675">
        <v>0</v>
      </c>
      <c r="FN23" s="675">
        <v>0</v>
      </c>
      <c r="FO23" s="675">
        <v>0</v>
      </c>
      <c r="FP23" s="675">
        <v>0</v>
      </c>
      <c r="FQ23" s="675">
        <v>0</v>
      </c>
      <c r="FR23" s="675">
        <v>0</v>
      </c>
      <c r="FS23" s="675">
        <v>0</v>
      </c>
      <c r="FT23" s="675">
        <v>0</v>
      </c>
      <c r="FU23" s="675">
        <v>0</v>
      </c>
      <c r="FV23" s="675">
        <v>0</v>
      </c>
      <c r="FW23" s="675">
        <v>0</v>
      </c>
      <c r="FX23" s="675">
        <v>0</v>
      </c>
      <c r="FY23" s="675">
        <v>0</v>
      </c>
      <c r="FZ23" s="675">
        <v>0</v>
      </c>
      <c r="GA23" s="675">
        <v>0</v>
      </c>
      <c r="GB23" s="675">
        <v>1505745</v>
      </c>
      <c r="GC23" s="675">
        <v>1505745</v>
      </c>
      <c r="GD23" s="675">
        <v>160</v>
      </c>
      <c r="GE23" s="675">
        <v>0</v>
      </c>
      <c r="GF23" s="675">
        <v>0</v>
      </c>
      <c r="GG23" s="675">
        <v>0</v>
      </c>
      <c r="GH23" s="675">
        <v>0</v>
      </c>
      <c r="GI23" s="675">
        <v>0</v>
      </c>
      <c r="GJ23" s="675">
        <v>0</v>
      </c>
      <c r="GK23" s="675">
        <v>0</v>
      </c>
      <c r="GL23" s="675">
        <v>0</v>
      </c>
      <c r="GM23" s="675">
        <v>0</v>
      </c>
      <c r="GN23" s="675">
        <v>0</v>
      </c>
      <c r="GO23" s="675">
        <v>0</v>
      </c>
      <c r="GP23" s="675">
        <v>0</v>
      </c>
      <c r="GQ23" s="675">
        <v>0</v>
      </c>
      <c r="GR23" s="675">
        <v>0</v>
      </c>
      <c r="GS23" s="675">
        <v>0</v>
      </c>
      <c r="GT23" s="675">
        <v>0</v>
      </c>
      <c r="GU23" s="675">
        <v>0</v>
      </c>
      <c r="GV23" s="675">
        <v>0</v>
      </c>
      <c r="GW23" s="675">
        <v>0</v>
      </c>
      <c r="GX23" s="675">
        <v>0</v>
      </c>
      <c r="GY23" s="675">
        <v>0</v>
      </c>
      <c r="GZ23" s="675">
        <v>0</v>
      </c>
      <c r="HA23" s="675">
        <v>0</v>
      </c>
      <c r="HB23" s="675">
        <v>298386780</v>
      </c>
      <c r="HC23" s="675">
        <v>4.5690999999999996E-2</v>
      </c>
      <c r="HD23" s="675">
        <v>211465</v>
      </c>
      <c r="HE23" s="675">
        <v>0</v>
      </c>
      <c r="HF23" s="675">
        <v>1082505</v>
      </c>
      <c r="HG23" s="675">
        <v>38192</v>
      </c>
      <c r="HH23" s="675">
        <v>0</v>
      </c>
      <c r="HI23" s="675">
        <v>0</v>
      </c>
      <c r="HJ23" s="675">
        <v>11246</v>
      </c>
      <c r="HK23" s="675">
        <v>24624</v>
      </c>
      <c r="HL23" s="675">
        <v>2450</v>
      </c>
      <c r="HM23" s="675">
        <v>0</v>
      </c>
      <c r="HN23" s="675">
        <v>0</v>
      </c>
      <c r="HO23" s="675">
        <v>0</v>
      </c>
      <c r="HP23" s="675">
        <v>332118</v>
      </c>
      <c r="HQ23" s="675">
        <v>0</v>
      </c>
      <c r="HR23" s="675">
        <v>0</v>
      </c>
      <c r="HS23" s="675">
        <v>11983002</v>
      </c>
      <c r="HT23" s="675">
        <v>257291</v>
      </c>
      <c r="HU23" s="675">
        <v>0</v>
      </c>
      <c r="HV23" s="675">
        <v>0</v>
      </c>
      <c r="HW23" s="675">
        <v>0</v>
      </c>
      <c r="HX23" s="675">
        <v>250</v>
      </c>
      <c r="HY23" s="675">
        <v>305</v>
      </c>
      <c r="HZ23" s="675">
        <v>334</v>
      </c>
      <c r="IA23" s="675">
        <v>319</v>
      </c>
      <c r="IB23" s="675">
        <v>335</v>
      </c>
      <c r="IC23" s="675">
        <v>1543</v>
      </c>
      <c r="ID23" s="675">
        <v>0</v>
      </c>
      <c r="IE23" s="675">
        <v>0</v>
      </c>
      <c r="IF23" s="675">
        <v>0</v>
      </c>
      <c r="IG23" s="675">
        <v>62</v>
      </c>
      <c r="IH23" s="675">
        <v>0</v>
      </c>
      <c r="II23" s="675">
        <v>1207.7</v>
      </c>
      <c r="IJ23" s="675">
        <v>102.863</v>
      </c>
      <c r="IK23" s="675">
        <v>0</v>
      </c>
      <c r="IL23" s="675">
        <v>0</v>
      </c>
      <c r="IM23" s="675">
        <v>0</v>
      </c>
      <c r="IN23" s="675">
        <v>0</v>
      </c>
      <c r="IO23" s="675">
        <v>0</v>
      </c>
      <c r="IP23" s="675">
        <v>1207.7</v>
      </c>
      <c r="IQ23" s="675">
        <v>102.863</v>
      </c>
      <c r="IR23" s="675">
        <v>63363</v>
      </c>
      <c r="IS23" s="675">
        <v>0</v>
      </c>
      <c r="IT23" s="675">
        <v>0</v>
      </c>
      <c r="IU23" s="675">
        <v>0</v>
      </c>
      <c r="IV23" s="675">
        <v>0</v>
      </c>
      <c r="IW23" s="675">
        <v>6160</v>
      </c>
      <c r="IX23" s="675">
        <v>0</v>
      </c>
      <c r="IY23" s="675">
        <v>0</v>
      </c>
      <c r="IZ23" s="675">
        <v>332118</v>
      </c>
      <c r="JA23" s="675">
        <v>0</v>
      </c>
      <c r="JB23" s="675">
        <v>0</v>
      </c>
      <c r="JC23" s="675">
        <v>0</v>
      </c>
      <c r="JD23" s="675">
        <v>0</v>
      </c>
      <c r="JE23" s="675">
        <v>0</v>
      </c>
      <c r="JF23" s="675">
        <v>0</v>
      </c>
      <c r="JG23" s="675">
        <v>0</v>
      </c>
      <c r="JH23" s="675">
        <v>0</v>
      </c>
      <c r="JI23" s="675">
        <v>0</v>
      </c>
      <c r="JJ23" s="675">
        <v>0</v>
      </c>
      <c r="JK23" s="675">
        <v>0</v>
      </c>
      <c r="JL23" s="675">
        <v>0</v>
      </c>
      <c r="JM23" s="675">
        <v>0</v>
      </c>
      <c r="JN23" s="675">
        <v>32469</v>
      </c>
      <c r="JO23" s="675">
        <v>2.8330000000000002</v>
      </c>
      <c r="JP23" s="675">
        <v>140.78300000000002</v>
      </c>
      <c r="JQ23" s="675">
        <v>16.384</v>
      </c>
      <c r="JR23" s="675">
        <v>22624</v>
      </c>
      <c r="JS23" s="675">
        <v>1308268</v>
      </c>
      <c r="JT23" s="675">
        <v>174853</v>
      </c>
      <c r="JU23" s="675">
        <v>0</v>
      </c>
      <c r="JV23" s="675">
        <v>0</v>
      </c>
      <c r="JW23" s="675">
        <v>0</v>
      </c>
      <c r="JX23" s="675">
        <v>0</v>
      </c>
      <c r="JY23" s="675">
        <v>0</v>
      </c>
      <c r="JZ23" s="675">
        <v>0</v>
      </c>
      <c r="KA23" s="675">
        <v>0</v>
      </c>
      <c r="KB23" s="675">
        <v>0</v>
      </c>
      <c r="KC23" s="675">
        <v>0</v>
      </c>
      <c r="KD23" s="675">
        <v>0</v>
      </c>
      <c r="KE23" s="675">
        <v>7260</v>
      </c>
      <c r="KF23" s="675">
        <v>0</v>
      </c>
      <c r="KG23" s="675">
        <v>0</v>
      </c>
      <c r="KH23" s="675">
        <v>0</v>
      </c>
      <c r="KI23" s="675">
        <v>0</v>
      </c>
    </row>
    <row r="24" spans="1:295" ht="12.5" x14ac:dyDescent="0.25">
      <c r="A24" s="675">
        <v>35795</v>
      </c>
      <c r="B24" s="675">
        <v>15801</v>
      </c>
      <c r="C24" s="675">
        <v>9</v>
      </c>
      <c r="D24" s="675">
        <v>2022</v>
      </c>
      <c r="E24" s="675">
        <v>6160</v>
      </c>
      <c r="F24" s="675">
        <v>0</v>
      </c>
      <c r="G24" s="675">
        <v>105.81700000000001</v>
      </c>
      <c r="H24" s="675">
        <v>45.142000000000003</v>
      </c>
      <c r="I24" s="675">
        <v>45.142000000000003</v>
      </c>
      <c r="J24" s="675">
        <v>105.81700000000001</v>
      </c>
      <c r="K24" s="675">
        <v>0</v>
      </c>
      <c r="L24" s="675">
        <v>6160</v>
      </c>
      <c r="M24" s="675">
        <v>0</v>
      </c>
      <c r="N24" s="675">
        <v>0</v>
      </c>
      <c r="O24" s="675">
        <v>0</v>
      </c>
      <c r="P24" s="675">
        <v>109.084</v>
      </c>
      <c r="Q24" s="675">
        <v>0</v>
      </c>
      <c r="R24" s="675">
        <v>43898</v>
      </c>
      <c r="S24" s="675">
        <v>402.428</v>
      </c>
      <c r="T24" s="675">
        <v>0</v>
      </c>
      <c r="U24" s="675">
        <v>23344</v>
      </c>
      <c r="V24" s="675">
        <v>0</v>
      </c>
      <c r="W24" s="675">
        <v>0</v>
      </c>
      <c r="X24" s="675">
        <v>0</v>
      </c>
      <c r="Y24" s="675">
        <v>0</v>
      </c>
      <c r="Z24" s="675">
        <v>0</v>
      </c>
      <c r="AA24" s="675">
        <v>0</v>
      </c>
      <c r="AB24" s="675">
        <v>0</v>
      </c>
      <c r="AC24" s="675">
        <v>0</v>
      </c>
      <c r="AD24" s="675" t="s">
        <v>316</v>
      </c>
      <c r="AE24" s="675">
        <v>0</v>
      </c>
      <c r="AF24" s="675">
        <v>0</v>
      </c>
      <c r="AG24" s="675">
        <v>0</v>
      </c>
      <c r="AH24" s="675">
        <v>0</v>
      </c>
      <c r="AI24" s="675">
        <v>0</v>
      </c>
      <c r="AJ24" s="675">
        <v>6160</v>
      </c>
      <c r="AK24" s="675" t="s">
        <v>671</v>
      </c>
      <c r="AL24" s="675" t="s">
        <v>37</v>
      </c>
      <c r="AM24" s="675">
        <v>0</v>
      </c>
      <c r="AN24" s="675">
        <v>0</v>
      </c>
      <c r="AO24" s="675">
        <v>0</v>
      </c>
      <c r="AP24" s="675">
        <v>0</v>
      </c>
      <c r="AQ24" s="675">
        <v>0</v>
      </c>
      <c r="AR24" s="675">
        <v>0</v>
      </c>
      <c r="AS24" s="675">
        <v>0</v>
      </c>
      <c r="AT24" s="675">
        <v>0</v>
      </c>
      <c r="AU24" s="675">
        <v>0</v>
      </c>
      <c r="AV24" s="675">
        <v>-3000</v>
      </c>
      <c r="AW24" s="675">
        <v>1316969</v>
      </c>
      <c r="AX24" s="675">
        <v>1297869</v>
      </c>
      <c r="AY24" s="675">
        <v>912123</v>
      </c>
      <c r="AZ24" s="675">
        <v>43898</v>
      </c>
      <c r="BA24" s="675">
        <v>0</v>
      </c>
      <c r="BB24" s="675">
        <v>0</v>
      </c>
      <c r="BC24" s="675">
        <v>0</v>
      </c>
      <c r="BD24" s="675">
        <v>0</v>
      </c>
      <c r="BE24" s="675">
        <v>0</v>
      </c>
      <c r="BF24" s="675">
        <v>1152111</v>
      </c>
      <c r="BG24" s="675">
        <v>0</v>
      </c>
      <c r="BH24" s="675">
        <v>0</v>
      </c>
      <c r="BI24" s="675">
        <v>0</v>
      </c>
      <c r="BJ24" s="675">
        <v>12</v>
      </c>
      <c r="BK24" s="675">
        <v>0</v>
      </c>
      <c r="BL24" s="675">
        <v>0</v>
      </c>
      <c r="BM24" s="675">
        <v>0</v>
      </c>
      <c r="BN24" s="675">
        <v>0</v>
      </c>
      <c r="BO24" s="675">
        <v>0</v>
      </c>
      <c r="BP24" s="675">
        <v>0</v>
      </c>
      <c r="BQ24" s="675">
        <v>763</v>
      </c>
      <c r="BR24" s="675">
        <v>0</v>
      </c>
      <c r="BS24" s="675">
        <v>0</v>
      </c>
      <c r="BT24" s="675">
        <v>0</v>
      </c>
      <c r="BU24" s="675">
        <v>0</v>
      </c>
      <c r="BV24" s="675">
        <v>0</v>
      </c>
      <c r="BW24" s="675">
        <v>0</v>
      </c>
      <c r="BX24" s="675">
        <v>0</v>
      </c>
      <c r="BY24" s="675">
        <v>0</v>
      </c>
      <c r="BZ24" s="675">
        <v>0</v>
      </c>
      <c r="CA24" s="675">
        <v>0</v>
      </c>
      <c r="CB24" s="675">
        <v>0</v>
      </c>
      <c r="CC24" s="675">
        <v>0</v>
      </c>
      <c r="CD24" s="675">
        <v>0</v>
      </c>
      <c r="CE24" s="675">
        <v>0</v>
      </c>
      <c r="CF24" s="675">
        <v>0</v>
      </c>
      <c r="CG24" s="675">
        <v>0</v>
      </c>
      <c r="CH24" s="675">
        <v>19339</v>
      </c>
      <c r="CI24" s="675">
        <v>0</v>
      </c>
      <c r="CJ24" s="675">
        <v>4</v>
      </c>
      <c r="CK24" s="675">
        <v>0</v>
      </c>
      <c r="CL24" s="675">
        <v>0</v>
      </c>
      <c r="CM24" s="675">
        <v>0</v>
      </c>
      <c r="CN24" s="675">
        <v>0</v>
      </c>
      <c r="CO24" s="675">
        <v>1</v>
      </c>
      <c r="CP24" s="675">
        <v>0.161</v>
      </c>
      <c r="CQ24" s="675">
        <v>0</v>
      </c>
      <c r="CR24" s="675">
        <v>126.90700000000001</v>
      </c>
      <c r="CS24" s="675">
        <v>0</v>
      </c>
      <c r="CT24" s="675">
        <v>0</v>
      </c>
      <c r="CU24" s="675">
        <v>0</v>
      </c>
      <c r="CV24" s="675">
        <v>0</v>
      </c>
      <c r="CW24" s="675">
        <v>0</v>
      </c>
      <c r="CX24" s="675">
        <v>0</v>
      </c>
      <c r="CY24" s="675">
        <v>0</v>
      </c>
      <c r="CZ24" s="675">
        <v>0</v>
      </c>
      <c r="DA24" s="675">
        <v>0</v>
      </c>
      <c r="DB24" s="675">
        <v>202824</v>
      </c>
      <c r="DC24" s="675">
        <v>0</v>
      </c>
      <c r="DD24" s="675">
        <v>0</v>
      </c>
      <c r="DE24" s="675">
        <v>180641</v>
      </c>
      <c r="DF24" s="675">
        <v>183031</v>
      </c>
      <c r="DG24" s="675">
        <v>29.325000000000003</v>
      </c>
      <c r="DH24" s="675">
        <v>0</v>
      </c>
      <c r="DI24" s="675">
        <v>2390</v>
      </c>
      <c r="DJ24" s="675">
        <v>0</v>
      </c>
      <c r="DK24" s="675">
        <v>3831</v>
      </c>
      <c r="DL24" s="675">
        <v>0</v>
      </c>
      <c r="DM24" s="675">
        <v>137781</v>
      </c>
      <c r="DN24" s="675">
        <v>238</v>
      </c>
      <c r="DO24" s="675">
        <v>0</v>
      </c>
      <c r="DP24" s="675">
        <v>0</v>
      </c>
      <c r="DQ24" s="675">
        <v>0</v>
      </c>
      <c r="DR24" s="675">
        <v>0</v>
      </c>
      <c r="DS24" s="675">
        <v>0</v>
      </c>
      <c r="DT24" s="675">
        <v>0</v>
      </c>
      <c r="DU24" s="675">
        <v>0</v>
      </c>
      <c r="DV24" s="675">
        <v>0</v>
      </c>
      <c r="DW24" s="675">
        <v>0</v>
      </c>
      <c r="DX24" s="675">
        <v>0</v>
      </c>
      <c r="DY24" s="675">
        <v>0</v>
      </c>
      <c r="DZ24" s="675">
        <v>0</v>
      </c>
      <c r="EA24" s="675">
        <v>0</v>
      </c>
      <c r="EB24" s="675">
        <v>0</v>
      </c>
      <c r="EC24" s="675">
        <v>7.1000000000000005</v>
      </c>
      <c r="ED24" s="675">
        <v>50296</v>
      </c>
      <c r="EE24" s="675">
        <v>0</v>
      </c>
      <c r="EF24" s="675">
        <v>0</v>
      </c>
      <c r="EG24" s="675">
        <v>0</v>
      </c>
      <c r="EH24" s="675">
        <v>12474</v>
      </c>
      <c r="EI24" s="675">
        <v>0</v>
      </c>
      <c r="EJ24" s="675">
        <v>0</v>
      </c>
      <c r="EK24" s="675">
        <v>0.67500000000000004</v>
      </c>
      <c r="EL24" s="675">
        <v>0</v>
      </c>
      <c r="EM24" s="675">
        <v>0</v>
      </c>
      <c r="EN24" s="675">
        <v>0</v>
      </c>
      <c r="EO24" s="675">
        <v>0</v>
      </c>
      <c r="EP24" s="675">
        <v>0</v>
      </c>
      <c r="EQ24" s="675">
        <v>0.67500000000000004</v>
      </c>
      <c r="ER24" s="675">
        <v>0</v>
      </c>
      <c r="ES24" s="675">
        <v>2.0249999999999999</v>
      </c>
      <c r="ET24" s="675">
        <v>0</v>
      </c>
      <c r="EU24" s="675">
        <v>0</v>
      </c>
      <c r="EV24" s="675">
        <v>0</v>
      </c>
      <c r="EW24" s="675">
        <v>0</v>
      </c>
      <c r="EX24" s="675">
        <v>0</v>
      </c>
      <c r="EY24" s="675">
        <v>0</v>
      </c>
      <c r="EZ24" s="675">
        <v>1156436</v>
      </c>
      <c r="FA24" s="675">
        <v>0</v>
      </c>
      <c r="FB24" s="675">
        <v>1200095</v>
      </c>
      <c r="FC24" s="675">
        <v>0</v>
      </c>
      <c r="FD24" s="675">
        <v>0</v>
      </c>
      <c r="FE24" s="675">
        <v>117193</v>
      </c>
      <c r="FF24" s="675">
        <v>24240</v>
      </c>
      <c r="FG24" s="675">
        <v>6.3574999999999993E-2</v>
      </c>
      <c r="FH24" s="675">
        <v>2.6298999999999999E-2</v>
      </c>
      <c r="FI24" s="675">
        <v>0</v>
      </c>
      <c r="FJ24" s="675">
        <v>0</v>
      </c>
      <c r="FK24" s="675">
        <v>187.03200000000001</v>
      </c>
      <c r="FL24" s="675">
        <v>1360867</v>
      </c>
      <c r="FM24" s="675">
        <v>0</v>
      </c>
      <c r="FN24" s="675">
        <v>0</v>
      </c>
      <c r="FO24" s="675">
        <v>0</v>
      </c>
      <c r="FP24" s="675">
        <v>0</v>
      </c>
      <c r="FQ24" s="675">
        <v>0</v>
      </c>
      <c r="FR24" s="675">
        <v>0</v>
      </c>
      <c r="FS24" s="675">
        <v>0</v>
      </c>
      <c r="FT24" s="675">
        <v>0</v>
      </c>
      <c r="FU24" s="675">
        <v>0</v>
      </c>
      <c r="FV24" s="675">
        <v>0</v>
      </c>
      <c r="FW24" s="675">
        <v>0</v>
      </c>
      <c r="FX24" s="675">
        <v>0</v>
      </c>
      <c r="FY24" s="675">
        <v>0</v>
      </c>
      <c r="FZ24" s="675">
        <v>0</v>
      </c>
      <c r="GA24" s="675">
        <v>0</v>
      </c>
      <c r="GB24" s="675">
        <v>577552</v>
      </c>
      <c r="GC24" s="675">
        <v>577552</v>
      </c>
      <c r="GD24" s="675">
        <v>60</v>
      </c>
      <c r="GE24" s="675">
        <v>0</v>
      </c>
      <c r="GF24" s="675">
        <v>0</v>
      </c>
      <c r="GG24" s="675">
        <v>0</v>
      </c>
      <c r="GH24" s="675">
        <v>0</v>
      </c>
      <c r="GI24" s="675">
        <v>0</v>
      </c>
      <c r="GJ24" s="675">
        <v>0</v>
      </c>
      <c r="GK24" s="675">
        <v>0</v>
      </c>
      <c r="GL24" s="675">
        <v>0</v>
      </c>
      <c r="GM24" s="675">
        <v>0</v>
      </c>
      <c r="GN24" s="675">
        <v>0</v>
      </c>
      <c r="GO24" s="675">
        <v>0</v>
      </c>
      <c r="GP24" s="675">
        <v>0</v>
      </c>
      <c r="GQ24" s="675">
        <v>0</v>
      </c>
      <c r="GR24" s="675">
        <v>0</v>
      </c>
      <c r="GS24" s="675">
        <v>0</v>
      </c>
      <c r="GT24" s="675">
        <v>0</v>
      </c>
      <c r="GU24" s="675">
        <v>0</v>
      </c>
      <c r="GV24" s="675">
        <v>0</v>
      </c>
      <c r="GW24" s="675">
        <v>0</v>
      </c>
      <c r="GX24" s="675">
        <v>0</v>
      </c>
      <c r="GY24" s="675">
        <v>0</v>
      </c>
      <c r="GZ24" s="675">
        <v>0</v>
      </c>
      <c r="HA24" s="675">
        <v>0</v>
      </c>
      <c r="HB24" s="675">
        <v>298386780</v>
      </c>
      <c r="HC24" s="675">
        <v>4.5690999999999996E-2</v>
      </c>
      <c r="HD24" s="675">
        <v>19339</v>
      </c>
      <c r="HE24" s="675">
        <v>0</v>
      </c>
      <c r="HF24" s="675">
        <v>49656</v>
      </c>
      <c r="HG24" s="675">
        <v>0</v>
      </c>
      <c r="HH24" s="675">
        <v>0</v>
      </c>
      <c r="HI24" s="675">
        <v>0</v>
      </c>
      <c r="HJ24" s="675">
        <v>1029</v>
      </c>
      <c r="HK24" s="675">
        <v>1476</v>
      </c>
      <c r="HL24" s="675">
        <v>1648</v>
      </c>
      <c r="HM24" s="675">
        <v>0</v>
      </c>
      <c r="HN24" s="675">
        <v>0</v>
      </c>
      <c r="HO24" s="675">
        <v>0</v>
      </c>
      <c r="HP24" s="675">
        <v>45099</v>
      </c>
      <c r="HQ24" s="675">
        <v>0</v>
      </c>
      <c r="HR24" s="675">
        <v>0</v>
      </c>
      <c r="HS24" s="675">
        <v>1156197</v>
      </c>
      <c r="HT24" s="675">
        <v>24240</v>
      </c>
      <c r="HU24" s="675">
        <v>0</v>
      </c>
      <c r="HV24" s="675">
        <v>0</v>
      </c>
      <c r="HW24" s="675">
        <v>0</v>
      </c>
      <c r="HX24" s="675">
        <v>17</v>
      </c>
      <c r="HY24" s="675">
        <v>12</v>
      </c>
      <c r="HZ24" s="675">
        <v>19</v>
      </c>
      <c r="IA24" s="675">
        <v>20</v>
      </c>
      <c r="IB24" s="675">
        <v>46</v>
      </c>
      <c r="IC24" s="675">
        <v>114</v>
      </c>
      <c r="ID24" s="675">
        <v>0</v>
      </c>
      <c r="IE24" s="675">
        <v>0</v>
      </c>
      <c r="IF24" s="675">
        <v>0</v>
      </c>
      <c r="IG24" s="675">
        <v>0</v>
      </c>
      <c r="IH24" s="675">
        <v>0</v>
      </c>
      <c r="II24" s="675">
        <v>163.995</v>
      </c>
      <c r="IJ24" s="675">
        <v>0</v>
      </c>
      <c r="IK24" s="675">
        <v>0</v>
      </c>
      <c r="IL24" s="675">
        <v>0</v>
      </c>
      <c r="IM24" s="675">
        <v>0</v>
      </c>
      <c r="IN24" s="675">
        <v>0</v>
      </c>
      <c r="IO24" s="675">
        <v>0</v>
      </c>
      <c r="IP24" s="675">
        <v>163.995</v>
      </c>
      <c r="IQ24" s="675">
        <v>0</v>
      </c>
      <c r="IR24" s="675">
        <v>0</v>
      </c>
      <c r="IS24" s="675">
        <v>0</v>
      </c>
      <c r="IT24" s="675">
        <v>0</v>
      </c>
      <c r="IU24" s="675">
        <v>0</v>
      </c>
      <c r="IV24" s="675">
        <v>0</v>
      </c>
      <c r="IW24" s="675">
        <v>6160</v>
      </c>
      <c r="IX24" s="675">
        <v>0</v>
      </c>
      <c r="IY24" s="675">
        <v>0</v>
      </c>
      <c r="IZ24" s="675">
        <v>45099</v>
      </c>
      <c r="JA24" s="675">
        <v>0</v>
      </c>
      <c r="JB24" s="675">
        <v>0</v>
      </c>
      <c r="JC24" s="675">
        <v>0</v>
      </c>
      <c r="JD24" s="675">
        <v>0</v>
      </c>
      <c r="JE24" s="675">
        <v>0</v>
      </c>
      <c r="JF24" s="675">
        <v>0</v>
      </c>
      <c r="JG24" s="675">
        <v>0</v>
      </c>
      <c r="JH24" s="675">
        <v>0</v>
      </c>
      <c r="JI24" s="675">
        <v>0</v>
      </c>
      <c r="JJ24" s="675">
        <v>0</v>
      </c>
      <c r="JK24" s="675">
        <v>0</v>
      </c>
      <c r="JL24" s="675">
        <v>0</v>
      </c>
      <c r="JM24" s="675">
        <v>0</v>
      </c>
      <c r="JN24" s="675">
        <v>32469</v>
      </c>
      <c r="JO24" s="675">
        <v>10.113000000000001</v>
      </c>
      <c r="JP24" s="675">
        <v>25.819000000000003</v>
      </c>
      <c r="JQ24" s="675">
        <v>24.068000000000001</v>
      </c>
      <c r="JR24" s="675">
        <v>80762</v>
      </c>
      <c r="JS24" s="675">
        <v>239931</v>
      </c>
      <c r="JT24" s="675">
        <v>256859</v>
      </c>
      <c r="JU24" s="675">
        <v>0</v>
      </c>
      <c r="JV24" s="675">
        <v>0</v>
      </c>
      <c r="JW24" s="675">
        <v>0</v>
      </c>
      <c r="JX24" s="675">
        <v>0</v>
      </c>
      <c r="JY24" s="675">
        <v>0</v>
      </c>
      <c r="JZ24" s="675">
        <v>0</v>
      </c>
      <c r="KA24" s="675">
        <v>0</v>
      </c>
      <c r="KB24" s="675">
        <v>0</v>
      </c>
      <c r="KC24" s="675">
        <v>0</v>
      </c>
      <c r="KD24" s="675">
        <v>0</v>
      </c>
      <c r="KE24" s="675">
        <v>7260</v>
      </c>
      <c r="KF24" s="675">
        <v>0</v>
      </c>
      <c r="KG24" s="675">
        <v>0</v>
      </c>
      <c r="KH24" s="675">
        <v>0</v>
      </c>
      <c r="KI24" s="675">
        <v>0</v>
      </c>
    </row>
    <row r="25" spans="1:295" ht="12.5" x14ac:dyDescent="0.25">
      <c r="A25" s="675">
        <v>35795</v>
      </c>
      <c r="B25" s="675">
        <v>43801</v>
      </c>
      <c r="C25" s="675">
        <v>9</v>
      </c>
      <c r="D25" s="675">
        <v>2022</v>
      </c>
      <c r="E25" s="675">
        <v>6160</v>
      </c>
      <c r="F25" s="675">
        <v>0</v>
      </c>
      <c r="G25" s="675">
        <v>1310.8530000000001</v>
      </c>
      <c r="H25" s="675">
        <v>1298.126</v>
      </c>
      <c r="I25" s="675">
        <v>1298.126</v>
      </c>
      <c r="J25" s="675">
        <v>1310.8530000000001</v>
      </c>
      <c r="K25" s="675">
        <v>0</v>
      </c>
      <c r="L25" s="675">
        <v>6160</v>
      </c>
      <c r="M25" s="675">
        <v>0</v>
      </c>
      <c r="N25" s="675">
        <v>0</v>
      </c>
      <c r="O25" s="675">
        <v>0</v>
      </c>
      <c r="P25" s="675">
        <v>1384.9950000000001</v>
      </c>
      <c r="Q25" s="675">
        <v>0</v>
      </c>
      <c r="R25" s="675">
        <v>557361</v>
      </c>
      <c r="S25" s="675">
        <v>402.428</v>
      </c>
      <c r="T25" s="675">
        <v>0</v>
      </c>
      <c r="U25" s="675">
        <v>296390</v>
      </c>
      <c r="V25" s="675">
        <v>134.19499999999999</v>
      </c>
      <c r="W25" s="675">
        <v>82664</v>
      </c>
      <c r="X25" s="675">
        <v>82664</v>
      </c>
      <c r="Y25" s="675">
        <v>0</v>
      </c>
      <c r="Z25" s="675">
        <v>0</v>
      </c>
      <c r="AA25" s="675">
        <v>0</v>
      </c>
      <c r="AB25" s="675">
        <v>0</v>
      </c>
      <c r="AC25" s="675">
        <v>0</v>
      </c>
      <c r="AD25" s="675" t="s">
        <v>316</v>
      </c>
      <c r="AE25" s="675">
        <v>0</v>
      </c>
      <c r="AF25" s="675">
        <v>0</v>
      </c>
      <c r="AG25" s="675">
        <v>0</v>
      </c>
      <c r="AH25" s="675">
        <v>0</v>
      </c>
      <c r="AI25" s="675">
        <v>0</v>
      </c>
      <c r="AJ25" s="675">
        <v>6160</v>
      </c>
      <c r="AK25" s="675" t="s">
        <v>671</v>
      </c>
      <c r="AL25" s="675" t="s">
        <v>323</v>
      </c>
      <c r="AM25" s="675">
        <v>0</v>
      </c>
      <c r="AN25" s="675">
        <v>0</v>
      </c>
      <c r="AO25" s="675">
        <v>0</v>
      </c>
      <c r="AP25" s="675">
        <v>0</v>
      </c>
      <c r="AQ25" s="675">
        <v>0</v>
      </c>
      <c r="AR25" s="675">
        <v>0</v>
      </c>
      <c r="AS25" s="675">
        <v>0</v>
      </c>
      <c r="AT25" s="675">
        <v>0</v>
      </c>
      <c r="AU25" s="675">
        <v>0</v>
      </c>
      <c r="AV25" s="675">
        <v>0</v>
      </c>
      <c r="AW25" s="675">
        <v>11232016</v>
      </c>
      <c r="AX25" s="675">
        <v>10994004</v>
      </c>
      <c r="AY25" s="675">
        <v>7514737</v>
      </c>
      <c r="AZ25" s="675">
        <v>557361</v>
      </c>
      <c r="BA25" s="675">
        <v>0</v>
      </c>
      <c r="BB25" s="675">
        <v>0</v>
      </c>
      <c r="BC25" s="675">
        <v>0</v>
      </c>
      <c r="BD25" s="675">
        <v>0</v>
      </c>
      <c r="BE25" s="675">
        <v>0</v>
      </c>
      <c r="BF25" s="675">
        <v>10285530</v>
      </c>
      <c r="BG25" s="675">
        <v>0</v>
      </c>
      <c r="BH25" s="675">
        <v>0</v>
      </c>
      <c r="BI25" s="675">
        <v>0</v>
      </c>
      <c r="BJ25" s="675">
        <v>12</v>
      </c>
      <c r="BK25" s="675">
        <v>0</v>
      </c>
      <c r="BL25" s="675">
        <v>0</v>
      </c>
      <c r="BM25" s="675">
        <v>0</v>
      </c>
      <c r="BN25" s="675">
        <v>0</v>
      </c>
      <c r="BO25" s="675">
        <v>0</v>
      </c>
      <c r="BP25" s="675">
        <v>0</v>
      </c>
      <c r="BQ25" s="675">
        <v>570</v>
      </c>
      <c r="BR25" s="675">
        <v>0</v>
      </c>
      <c r="BS25" s="675">
        <v>0</v>
      </c>
      <c r="BT25" s="675">
        <v>0</v>
      </c>
      <c r="BU25" s="675">
        <v>0</v>
      </c>
      <c r="BV25" s="675">
        <v>0</v>
      </c>
      <c r="BW25" s="675">
        <v>0</v>
      </c>
      <c r="BX25" s="675">
        <v>0</v>
      </c>
      <c r="BY25" s="675">
        <v>0</v>
      </c>
      <c r="BZ25" s="675">
        <v>0</v>
      </c>
      <c r="CA25" s="675">
        <v>0</v>
      </c>
      <c r="CB25" s="675">
        <v>0</v>
      </c>
      <c r="CC25" s="675">
        <v>0</v>
      </c>
      <c r="CD25" s="675">
        <v>0</v>
      </c>
      <c r="CE25" s="675">
        <v>0</v>
      </c>
      <c r="CF25" s="675">
        <v>0</v>
      </c>
      <c r="CG25" s="675">
        <v>0</v>
      </c>
      <c r="CH25" s="675">
        <v>239575</v>
      </c>
      <c r="CI25" s="675">
        <v>0</v>
      </c>
      <c r="CJ25" s="675">
        <v>4</v>
      </c>
      <c r="CK25" s="675">
        <v>0</v>
      </c>
      <c r="CL25" s="675">
        <v>0</v>
      </c>
      <c r="CM25" s="675">
        <v>0</v>
      </c>
      <c r="CN25" s="675">
        <v>0</v>
      </c>
      <c r="CO25" s="675">
        <v>1</v>
      </c>
      <c r="CP25" s="675">
        <v>0</v>
      </c>
      <c r="CQ25" s="675">
        <v>0</v>
      </c>
      <c r="CR25" s="675">
        <v>1387.7910000000002</v>
      </c>
      <c r="CS25" s="675">
        <v>0</v>
      </c>
      <c r="CT25" s="675">
        <v>0</v>
      </c>
      <c r="CU25" s="675">
        <v>0</v>
      </c>
      <c r="CV25" s="675">
        <v>0</v>
      </c>
      <c r="CW25" s="675">
        <v>0</v>
      </c>
      <c r="CX25" s="675">
        <v>0</v>
      </c>
      <c r="CY25" s="675">
        <v>0</v>
      </c>
      <c r="CZ25" s="675">
        <v>0</v>
      </c>
      <c r="DA25" s="675">
        <v>0</v>
      </c>
      <c r="DB25" s="675">
        <v>7996419</v>
      </c>
      <c r="DC25" s="675">
        <v>0</v>
      </c>
      <c r="DD25" s="675">
        <v>0</v>
      </c>
      <c r="DE25" s="675">
        <v>177407</v>
      </c>
      <c r="DF25" s="675">
        <v>177407</v>
      </c>
      <c r="DG25" s="675">
        <v>28.8</v>
      </c>
      <c r="DH25" s="675">
        <v>0</v>
      </c>
      <c r="DI25" s="675">
        <v>0</v>
      </c>
      <c r="DJ25" s="675">
        <v>0</v>
      </c>
      <c r="DK25" s="675">
        <v>744</v>
      </c>
      <c r="DL25" s="675">
        <v>0</v>
      </c>
      <c r="DM25" s="675">
        <v>410256</v>
      </c>
      <c r="DN25" s="675">
        <v>1563</v>
      </c>
      <c r="DO25" s="675">
        <v>0</v>
      </c>
      <c r="DP25" s="675">
        <v>0</v>
      </c>
      <c r="DQ25" s="675">
        <v>0</v>
      </c>
      <c r="DR25" s="675">
        <v>0</v>
      </c>
      <c r="DS25" s="675">
        <v>0</v>
      </c>
      <c r="DT25" s="675">
        <v>0</v>
      </c>
      <c r="DU25" s="675">
        <v>0</v>
      </c>
      <c r="DV25" s="675">
        <v>0</v>
      </c>
      <c r="DW25" s="675">
        <v>0</v>
      </c>
      <c r="DX25" s="675">
        <v>0</v>
      </c>
      <c r="DY25" s="675">
        <v>0</v>
      </c>
      <c r="DZ25" s="675">
        <v>0</v>
      </c>
      <c r="EA25" s="675">
        <v>0</v>
      </c>
      <c r="EB25" s="675">
        <v>0</v>
      </c>
      <c r="EC25" s="675">
        <v>22.22</v>
      </c>
      <c r="ED25" s="675">
        <v>157406</v>
      </c>
      <c r="EE25" s="675">
        <v>0</v>
      </c>
      <c r="EF25" s="675">
        <v>0</v>
      </c>
      <c r="EG25" s="675">
        <v>0</v>
      </c>
      <c r="EH25" s="675">
        <v>254413</v>
      </c>
      <c r="EI25" s="675">
        <v>0</v>
      </c>
      <c r="EJ25" s="675">
        <v>0</v>
      </c>
      <c r="EK25" s="675">
        <v>9.6430000000000007</v>
      </c>
      <c r="EL25" s="675">
        <v>0</v>
      </c>
      <c r="EM25" s="675">
        <v>1.524</v>
      </c>
      <c r="EN25" s="675">
        <v>1.56</v>
      </c>
      <c r="EO25" s="675">
        <v>0</v>
      </c>
      <c r="EP25" s="675">
        <v>0</v>
      </c>
      <c r="EQ25" s="675">
        <v>12.727</v>
      </c>
      <c r="ER25" s="675">
        <v>0</v>
      </c>
      <c r="ES25" s="675">
        <v>41.301000000000002</v>
      </c>
      <c r="ET25" s="675">
        <v>0</v>
      </c>
      <c r="EU25" s="675">
        <v>0</v>
      </c>
      <c r="EV25" s="675">
        <v>0</v>
      </c>
      <c r="EW25" s="675">
        <v>0</v>
      </c>
      <c r="EX25" s="675">
        <v>0</v>
      </c>
      <c r="EY25" s="675">
        <v>0</v>
      </c>
      <c r="EZ25" s="675">
        <v>9731355</v>
      </c>
      <c r="FA25" s="675">
        <v>0</v>
      </c>
      <c r="FB25" s="675">
        <v>10287153</v>
      </c>
      <c r="FC25" s="675">
        <v>0</v>
      </c>
      <c r="FD25" s="675">
        <v>0</v>
      </c>
      <c r="FE25" s="675">
        <v>1046249</v>
      </c>
      <c r="FF25" s="675">
        <v>216400</v>
      </c>
      <c r="FG25" s="675">
        <v>6.3574999999999993E-2</v>
      </c>
      <c r="FH25" s="675">
        <v>2.6298999999999999E-2</v>
      </c>
      <c r="FI25" s="675">
        <v>0</v>
      </c>
      <c r="FJ25" s="675">
        <v>0</v>
      </c>
      <c r="FK25" s="675">
        <v>1669.7370000000001</v>
      </c>
      <c r="FL25" s="675">
        <v>11789377</v>
      </c>
      <c r="FM25" s="675">
        <v>0</v>
      </c>
      <c r="FN25" s="675">
        <v>0</v>
      </c>
      <c r="FO25" s="675">
        <v>0</v>
      </c>
      <c r="FP25" s="675">
        <v>0</v>
      </c>
      <c r="FQ25" s="675">
        <v>0</v>
      </c>
      <c r="FR25" s="675">
        <v>0</v>
      </c>
      <c r="FS25" s="675">
        <v>0</v>
      </c>
      <c r="FT25" s="675">
        <v>0</v>
      </c>
      <c r="FU25" s="675">
        <v>0</v>
      </c>
      <c r="FV25" s="675">
        <v>0</v>
      </c>
      <c r="FW25" s="675">
        <v>0</v>
      </c>
      <c r="FX25" s="675">
        <v>0</v>
      </c>
      <c r="FY25" s="675">
        <v>0</v>
      </c>
      <c r="FZ25" s="675">
        <v>0</v>
      </c>
      <c r="GA25" s="675">
        <v>0</v>
      </c>
      <c r="GB25" s="675">
        <v>0</v>
      </c>
      <c r="GC25" s="675">
        <v>0</v>
      </c>
      <c r="GD25" s="675">
        <v>0</v>
      </c>
      <c r="GE25" s="675">
        <v>0</v>
      </c>
      <c r="GF25" s="675">
        <v>0</v>
      </c>
      <c r="GG25" s="675">
        <v>0</v>
      </c>
      <c r="GH25" s="675">
        <v>0</v>
      </c>
      <c r="GI25" s="675">
        <v>0</v>
      </c>
      <c r="GJ25" s="675">
        <v>0</v>
      </c>
      <c r="GK25" s="675">
        <v>0</v>
      </c>
      <c r="GL25" s="675">
        <v>0</v>
      </c>
      <c r="GM25" s="675">
        <v>0</v>
      </c>
      <c r="GN25" s="675">
        <v>0</v>
      </c>
      <c r="GO25" s="675">
        <v>0</v>
      </c>
      <c r="GP25" s="675">
        <v>0</v>
      </c>
      <c r="GQ25" s="675">
        <v>0</v>
      </c>
      <c r="GR25" s="675">
        <v>0</v>
      </c>
      <c r="GS25" s="675">
        <v>0</v>
      </c>
      <c r="GT25" s="675">
        <v>0</v>
      </c>
      <c r="GU25" s="675">
        <v>0</v>
      </c>
      <c r="GV25" s="675">
        <v>0</v>
      </c>
      <c r="GW25" s="675">
        <v>0</v>
      </c>
      <c r="GX25" s="675">
        <v>0</v>
      </c>
      <c r="GY25" s="675">
        <v>0</v>
      </c>
      <c r="GZ25" s="675">
        <v>0</v>
      </c>
      <c r="HA25" s="675">
        <v>0</v>
      </c>
      <c r="HB25" s="675">
        <v>298386780</v>
      </c>
      <c r="HC25" s="675">
        <v>4.5690999999999996E-2</v>
      </c>
      <c r="HD25" s="675">
        <v>239575</v>
      </c>
      <c r="HE25" s="675">
        <v>0</v>
      </c>
      <c r="HF25" s="675">
        <v>1427939</v>
      </c>
      <c r="HG25" s="675">
        <v>17324</v>
      </c>
      <c r="HH25" s="675">
        <v>77217</v>
      </c>
      <c r="HI25" s="675">
        <v>0</v>
      </c>
      <c r="HJ25" s="675">
        <v>12741</v>
      </c>
      <c r="HK25" s="675">
        <v>3186</v>
      </c>
      <c r="HL25" s="675">
        <v>0</v>
      </c>
      <c r="HM25" s="675">
        <v>82000</v>
      </c>
      <c r="HN25" s="675">
        <v>0</v>
      </c>
      <c r="HO25" s="675">
        <v>0</v>
      </c>
      <c r="HP25" s="675">
        <v>0</v>
      </c>
      <c r="HQ25" s="675">
        <v>0</v>
      </c>
      <c r="HR25" s="675">
        <v>0</v>
      </c>
      <c r="HS25" s="675">
        <v>9729792</v>
      </c>
      <c r="HT25" s="675">
        <v>216400</v>
      </c>
      <c r="HU25" s="675">
        <v>0</v>
      </c>
      <c r="HV25" s="675">
        <v>0</v>
      </c>
      <c r="HW25" s="675">
        <v>0</v>
      </c>
      <c r="HX25" s="675">
        <v>86</v>
      </c>
      <c r="HY25" s="675">
        <v>31</v>
      </c>
      <c r="HZ25" s="675">
        <v>4</v>
      </c>
      <c r="IA25" s="675">
        <v>1</v>
      </c>
      <c r="IB25" s="675">
        <v>3</v>
      </c>
      <c r="IC25" s="675">
        <v>125</v>
      </c>
      <c r="ID25" s="675">
        <v>0</v>
      </c>
      <c r="IE25" s="675">
        <v>0</v>
      </c>
      <c r="IF25" s="675">
        <v>0</v>
      </c>
      <c r="IG25" s="675">
        <v>28.123000000000001</v>
      </c>
      <c r="IH25" s="675">
        <v>125.35300000000001</v>
      </c>
      <c r="II25" s="675">
        <v>0</v>
      </c>
      <c r="IJ25" s="675">
        <v>134.19499999999999</v>
      </c>
      <c r="IK25" s="675">
        <v>0</v>
      </c>
      <c r="IL25" s="675">
        <v>2</v>
      </c>
      <c r="IM25" s="675">
        <v>24</v>
      </c>
      <c r="IN25" s="675">
        <v>0</v>
      </c>
      <c r="IO25" s="675">
        <v>26</v>
      </c>
      <c r="IP25" s="675">
        <v>0</v>
      </c>
      <c r="IQ25" s="675">
        <v>134.19499999999999</v>
      </c>
      <c r="IR25" s="675">
        <v>82664</v>
      </c>
      <c r="IS25" s="675">
        <v>0</v>
      </c>
      <c r="IT25" s="675">
        <v>10000</v>
      </c>
      <c r="IU25" s="675">
        <v>72000</v>
      </c>
      <c r="IV25" s="675">
        <v>0</v>
      </c>
      <c r="IW25" s="675">
        <v>6160</v>
      </c>
      <c r="IX25" s="675">
        <v>0</v>
      </c>
      <c r="IY25" s="675">
        <v>0</v>
      </c>
      <c r="IZ25" s="675">
        <v>0</v>
      </c>
      <c r="JA25" s="675">
        <v>0</v>
      </c>
      <c r="JB25" s="675">
        <v>0</v>
      </c>
      <c r="JC25" s="675">
        <v>0</v>
      </c>
      <c r="JD25" s="675">
        <v>0</v>
      </c>
      <c r="JE25" s="675">
        <v>0</v>
      </c>
      <c r="JF25" s="675">
        <v>0</v>
      </c>
      <c r="JG25" s="675">
        <v>0</v>
      </c>
      <c r="JH25" s="675">
        <v>0</v>
      </c>
      <c r="JI25" s="675">
        <v>0</v>
      </c>
      <c r="JJ25" s="675">
        <v>0</v>
      </c>
      <c r="JK25" s="675">
        <v>0</v>
      </c>
      <c r="JL25" s="675">
        <v>0</v>
      </c>
      <c r="JM25" s="675">
        <v>0</v>
      </c>
      <c r="JN25" s="675">
        <v>32469</v>
      </c>
      <c r="JO25" s="675">
        <v>0</v>
      </c>
      <c r="JP25" s="675">
        <v>0</v>
      </c>
      <c r="JQ25" s="675">
        <v>0</v>
      </c>
      <c r="JR25" s="675">
        <v>0</v>
      </c>
      <c r="JS25" s="675">
        <v>0</v>
      </c>
      <c r="JT25" s="675">
        <v>0</v>
      </c>
      <c r="JU25" s="675">
        <v>0</v>
      </c>
      <c r="JV25" s="675">
        <v>0</v>
      </c>
      <c r="JW25" s="675">
        <v>0</v>
      </c>
      <c r="JX25" s="675">
        <v>0</v>
      </c>
      <c r="JY25" s="675">
        <v>0</v>
      </c>
      <c r="JZ25" s="675">
        <v>0</v>
      </c>
      <c r="KA25" s="675">
        <v>0</v>
      </c>
      <c r="KB25" s="675">
        <v>0</v>
      </c>
      <c r="KC25" s="675">
        <v>0</v>
      </c>
      <c r="KD25" s="675">
        <v>0</v>
      </c>
      <c r="KE25" s="675">
        <v>7260</v>
      </c>
      <c r="KF25" s="675">
        <v>0</v>
      </c>
      <c r="KG25" s="675">
        <v>0</v>
      </c>
      <c r="KH25" s="675">
        <v>0</v>
      </c>
      <c r="KI25" s="675">
        <v>0</v>
      </c>
    </row>
    <row r="26" spans="1:295" ht="12.5" x14ac:dyDescent="0.25">
      <c r="A26" s="675">
        <v>35795</v>
      </c>
      <c r="B26" s="675">
        <v>70801</v>
      </c>
      <c r="C26" s="675">
        <v>9</v>
      </c>
      <c r="D26" s="675">
        <v>2022</v>
      </c>
      <c r="E26" s="675">
        <v>6160</v>
      </c>
      <c r="F26" s="675">
        <v>0</v>
      </c>
      <c r="G26" s="675">
        <v>2345.2600000000002</v>
      </c>
      <c r="H26" s="675">
        <v>2195.2460000000001</v>
      </c>
      <c r="I26" s="675">
        <v>2195.2460000000001</v>
      </c>
      <c r="J26" s="675">
        <v>2345.2600000000002</v>
      </c>
      <c r="K26" s="675">
        <v>0</v>
      </c>
      <c r="L26" s="675">
        <v>6160</v>
      </c>
      <c r="M26" s="675">
        <v>0</v>
      </c>
      <c r="N26" s="675">
        <v>0</v>
      </c>
      <c r="O26" s="675">
        <v>0</v>
      </c>
      <c r="P26" s="675">
        <v>2389.4</v>
      </c>
      <c r="Q26" s="675">
        <v>0</v>
      </c>
      <c r="R26" s="675">
        <v>961561</v>
      </c>
      <c r="S26" s="675">
        <v>402.428</v>
      </c>
      <c r="T26" s="675">
        <v>0</v>
      </c>
      <c r="U26" s="675">
        <v>511333</v>
      </c>
      <c r="V26" s="675">
        <v>786.93000000000006</v>
      </c>
      <c r="W26" s="675">
        <v>975216</v>
      </c>
      <c r="X26" s="675">
        <v>975216</v>
      </c>
      <c r="Y26" s="675">
        <v>0</v>
      </c>
      <c r="Z26" s="675">
        <v>0</v>
      </c>
      <c r="AA26" s="675">
        <v>0</v>
      </c>
      <c r="AB26" s="675">
        <v>0</v>
      </c>
      <c r="AC26" s="675">
        <v>0</v>
      </c>
      <c r="AD26" s="675" t="s">
        <v>316</v>
      </c>
      <c r="AE26" s="675">
        <v>0</v>
      </c>
      <c r="AF26" s="675">
        <v>0</v>
      </c>
      <c r="AG26" s="675">
        <v>0</v>
      </c>
      <c r="AH26" s="675">
        <v>0</v>
      </c>
      <c r="AI26" s="675">
        <v>0</v>
      </c>
      <c r="AJ26" s="675">
        <v>6160</v>
      </c>
      <c r="AK26" s="675" t="s">
        <v>671</v>
      </c>
      <c r="AL26" s="675" t="s">
        <v>50</v>
      </c>
      <c r="AM26" s="675">
        <v>0</v>
      </c>
      <c r="AN26" s="675">
        <v>0</v>
      </c>
      <c r="AO26" s="675">
        <v>0</v>
      </c>
      <c r="AP26" s="675">
        <v>0</v>
      </c>
      <c r="AQ26" s="675">
        <v>0</v>
      </c>
      <c r="AR26" s="675">
        <v>0</v>
      </c>
      <c r="AS26" s="675">
        <v>0</v>
      </c>
      <c r="AT26" s="675">
        <v>0</v>
      </c>
      <c r="AU26" s="675">
        <v>0</v>
      </c>
      <c r="AV26" s="675">
        <v>-35018</v>
      </c>
      <c r="AW26" s="675">
        <v>26628351</v>
      </c>
      <c r="AX26" s="675">
        <v>26206738</v>
      </c>
      <c r="AY26" s="675">
        <v>17889212</v>
      </c>
      <c r="AZ26" s="675">
        <v>961561</v>
      </c>
      <c r="BA26" s="675">
        <v>0</v>
      </c>
      <c r="BB26" s="675">
        <v>30831</v>
      </c>
      <c r="BC26" s="675">
        <v>30632</v>
      </c>
      <c r="BD26" s="675">
        <v>71.5</v>
      </c>
      <c r="BE26" s="675">
        <v>199</v>
      </c>
      <c r="BF26" s="675">
        <v>24190381</v>
      </c>
      <c r="BG26" s="675">
        <v>0</v>
      </c>
      <c r="BH26" s="675">
        <v>0</v>
      </c>
      <c r="BI26" s="675">
        <v>0</v>
      </c>
      <c r="BJ26" s="675">
        <v>12</v>
      </c>
      <c r="BK26" s="675">
        <v>0</v>
      </c>
      <c r="BL26" s="675">
        <v>0</v>
      </c>
      <c r="BM26" s="675">
        <v>0</v>
      </c>
      <c r="BN26" s="675">
        <v>0</v>
      </c>
      <c r="BO26" s="675">
        <v>0</v>
      </c>
      <c r="BP26" s="675">
        <v>0</v>
      </c>
      <c r="BQ26" s="675">
        <v>432</v>
      </c>
      <c r="BR26" s="675">
        <v>0</v>
      </c>
      <c r="BS26" s="675">
        <v>0</v>
      </c>
      <c r="BT26" s="675">
        <v>0</v>
      </c>
      <c r="BU26" s="675">
        <v>0</v>
      </c>
      <c r="BV26" s="675">
        <v>0</v>
      </c>
      <c r="BW26" s="675">
        <v>0</v>
      </c>
      <c r="BX26" s="675">
        <v>0</v>
      </c>
      <c r="BY26" s="675">
        <v>0</v>
      </c>
      <c r="BZ26" s="675">
        <v>0</v>
      </c>
      <c r="CA26" s="675">
        <v>0</v>
      </c>
      <c r="CB26" s="675">
        <v>0</v>
      </c>
      <c r="CC26" s="675">
        <v>0</v>
      </c>
      <c r="CD26" s="675">
        <v>0</v>
      </c>
      <c r="CE26" s="675">
        <v>0</v>
      </c>
      <c r="CF26" s="675">
        <v>0</v>
      </c>
      <c r="CG26" s="675">
        <v>0</v>
      </c>
      <c r="CH26" s="675">
        <v>428626</v>
      </c>
      <c r="CI26" s="675">
        <v>0</v>
      </c>
      <c r="CJ26" s="675">
        <v>4</v>
      </c>
      <c r="CK26" s="675">
        <v>0</v>
      </c>
      <c r="CL26" s="675">
        <v>0</v>
      </c>
      <c r="CM26" s="675">
        <v>0</v>
      </c>
      <c r="CN26" s="675">
        <v>0</v>
      </c>
      <c r="CO26" s="675">
        <v>1</v>
      </c>
      <c r="CP26" s="675">
        <v>0</v>
      </c>
      <c r="CQ26" s="675">
        <v>0</v>
      </c>
      <c r="CR26" s="675">
        <v>2460.123</v>
      </c>
      <c r="CS26" s="675">
        <v>0</v>
      </c>
      <c r="CT26" s="675">
        <v>0</v>
      </c>
      <c r="CU26" s="675">
        <v>0</v>
      </c>
      <c r="CV26" s="675">
        <v>0</v>
      </c>
      <c r="CW26" s="675">
        <v>0</v>
      </c>
      <c r="CX26" s="675">
        <v>0</v>
      </c>
      <c r="CY26" s="675">
        <v>0</v>
      </c>
      <c r="CZ26" s="675">
        <v>0</v>
      </c>
      <c r="DA26" s="675">
        <v>0</v>
      </c>
      <c r="DB26" s="675">
        <v>13522653</v>
      </c>
      <c r="DC26" s="675">
        <v>0</v>
      </c>
      <c r="DD26" s="675">
        <v>0</v>
      </c>
      <c r="DE26" s="675">
        <v>4112551</v>
      </c>
      <c r="DF26" s="675">
        <v>4112551</v>
      </c>
      <c r="DG26" s="675">
        <v>667.625</v>
      </c>
      <c r="DH26" s="675">
        <v>0</v>
      </c>
      <c r="DI26" s="675">
        <v>0</v>
      </c>
      <c r="DJ26" s="675">
        <v>0</v>
      </c>
      <c r="DK26" s="675">
        <v>0</v>
      </c>
      <c r="DL26" s="675">
        <v>0</v>
      </c>
      <c r="DM26" s="675">
        <v>1789045</v>
      </c>
      <c r="DN26" s="675">
        <v>6814</v>
      </c>
      <c r="DO26" s="675">
        <v>0</v>
      </c>
      <c r="DP26" s="675">
        <v>0</v>
      </c>
      <c r="DQ26" s="675">
        <v>0</v>
      </c>
      <c r="DR26" s="675">
        <v>0</v>
      </c>
      <c r="DS26" s="675">
        <v>0</v>
      </c>
      <c r="DT26" s="675">
        <v>0</v>
      </c>
      <c r="DU26" s="675">
        <v>0</v>
      </c>
      <c r="DV26" s="675">
        <v>0</v>
      </c>
      <c r="DW26" s="675">
        <v>0</v>
      </c>
      <c r="DX26" s="675">
        <v>0</v>
      </c>
      <c r="DY26" s="675">
        <v>0</v>
      </c>
      <c r="DZ26" s="675">
        <v>0</v>
      </c>
      <c r="EA26" s="675">
        <v>0</v>
      </c>
      <c r="EB26" s="675">
        <v>0</v>
      </c>
      <c r="EC26" s="675">
        <v>47.273000000000003</v>
      </c>
      <c r="ED26" s="675">
        <v>334880</v>
      </c>
      <c r="EE26" s="675">
        <v>0</v>
      </c>
      <c r="EF26" s="675">
        <v>0</v>
      </c>
      <c r="EG26" s="675">
        <v>0</v>
      </c>
      <c r="EH26" s="675">
        <v>1460979</v>
      </c>
      <c r="EI26" s="675">
        <v>0</v>
      </c>
      <c r="EJ26" s="675">
        <v>0</v>
      </c>
      <c r="EK26" s="675">
        <v>71.692999999999998</v>
      </c>
      <c r="EL26" s="675">
        <v>0</v>
      </c>
      <c r="EM26" s="675">
        <v>1.0030000000000001</v>
      </c>
      <c r="EN26" s="675">
        <v>3.8170000000000002</v>
      </c>
      <c r="EO26" s="675">
        <v>0</v>
      </c>
      <c r="EP26" s="675">
        <v>0</v>
      </c>
      <c r="EQ26" s="675">
        <v>76.513000000000005</v>
      </c>
      <c r="ER26" s="675">
        <v>0</v>
      </c>
      <c r="ES26" s="675">
        <v>237.173</v>
      </c>
      <c r="ET26" s="675">
        <v>0</v>
      </c>
      <c r="EU26" s="675">
        <v>0</v>
      </c>
      <c r="EV26" s="675">
        <v>0</v>
      </c>
      <c r="EW26" s="675">
        <v>0</v>
      </c>
      <c r="EX26" s="675">
        <v>0</v>
      </c>
      <c r="EY26" s="675">
        <v>0</v>
      </c>
      <c r="EZ26" s="675">
        <v>23237132</v>
      </c>
      <c r="FA26" s="675">
        <v>0</v>
      </c>
      <c r="FB26" s="675">
        <v>24191680</v>
      </c>
      <c r="FC26" s="675">
        <v>0</v>
      </c>
      <c r="FD26" s="675">
        <v>0</v>
      </c>
      <c r="FE26" s="675">
        <v>2460657</v>
      </c>
      <c r="FF26" s="675">
        <v>508949</v>
      </c>
      <c r="FG26" s="675">
        <v>6.3574999999999993E-2</v>
      </c>
      <c r="FH26" s="675">
        <v>2.6298999999999999E-2</v>
      </c>
      <c r="FI26" s="675">
        <v>0</v>
      </c>
      <c r="FJ26" s="675">
        <v>0</v>
      </c>
      <c r="FK26" s="675">
        <v>3927.0280000000002</v>
      </c>
      <c r="FL26" s="675">
        <v>27589912</v>
      </c>
      <c r="FM26" s="675">
        <v>0</v>
      </c>
      <c r="FN26" s="675">
        <v>0</v>
      </c>
      <c r="FO26" s="675">
        <v>0</v>
      </c>
      <c r="FP26" s="675">
        <v>0</v>
      </c>
      <c r="FQ26" s="675">
        <v>0</v>
      </c>
      <c r="FR26" s="675">
        <v>0</v>
      </c>
      <c r="FS26" s="675">
        <v>0</v>
      </c>
      <c r="FT26" s="675">
        <v>0</v>
      </c>
      <c r="FU26" s="675">
        <v>0</v>
      </c>
      <c r="FV26" s="675">
        <v>0</v>
      </c>
      <c r="FW26" s="675">
        <v>0</v>
      </c>
      <c r="FX26" s="675">
        <v>0</v>
      </c>
      <c r="FY26" s="675">
        <v>0</v>
      </c>
      <c r="FZ26" s="675">
        <v>0</v>
      </c>
      <c r="GA26" s="675">
        <v>0</v>
      </c>
      <c r="GB26" s="675">
        <v>715586</v>
      </c>
      <c r="GC26" s="675">
        <v>715586</v>
      </c>
      <c r="GD26" s="675">
        <v>73.501000000000005</v>
      </c>
      <c r="GE26" s="675">
        <v>0</v>
      </c>
      <c r="GF26" s="675">
        <v>0</v>
      </c>
      <c r="GG26" s="675">
        <v>0</v>
      </c>
      <c r="GH26" s="675">
        <v>0</v>
      </c>
      <c r="GI26" s="675">
        <v>0</v>
      </c>
      <c r="GJ26" s="675">
        <v>0</v>
      </c>
      <c r="GK26" s="675">
        <v>0</v>
      </c>
      <c r="GL26" s="675">
        <v>0</v>
      </c>
      <c r="GM26" s="675">
        <v>0</v>
      </c>
      <c r="GN26" s="675">
        <v>0</v>
      </c>
      <c r="GO26" s="675">
        <v>0</v>
      </c>
      <c r="GP26" s="675">
        <v>0</v>
      </c>
      <c r="GQ26" s="675">
        <v>0</v>
      </c>
      <c r="GR26" s="675">
        <v>0</v>
      </c>
      <c r="GS26" s="675">
        <v>0</v>
      </c>
      <c r="GT26" s="675">
        <v>0</v>
      </c>
      <c r="GU26" s="675">
        <v>0</v>
      </c>
      <c r="GV26" s="675">
        <v>0</v>
      </c>
      <c r="GW26" s="675">
        <v>0</v>
      </c>
      <c r="GX26" s="675">
        <v>0</v>
      </c>
      <c r="GY26" s="675">
        <v>0</v>
      </c>
      <c r="GZ26" s="675">
        <v>0</v>
      </c>
      <c r="HA26" s="675">
        <v>0</v>
      </c>
      <c r="HB26" s="675">
        <v>298386780</v>
      </c>
      <c r="HC26" s="675">
        <v>4.5690999999999996E-2</v>
      </c>
      <c r="HD26" s="675">
        <v>428626</v>
      </c>
      <c r="HE26" s="675">
        <v>0</v>
      </c>
      <c r="HF26" s="675">
        <v>2414771</v>
      </c>
      <c r="HG26" s="675">
        <v>15400</v>
      </c>
      <c r="HH26" s="675">
        <v>574718</v>
      </c>
      <c r="HI26" s="675">
        <v>0</v>
      </c>
      <c r="HJ26" s="675">
        <v>22796</v>
      </c>
      <c r="HK26" s="675">
        <v>7488</v>
      </c>
      <c r="HL26" s="675">
        <v>824</v>
      </c>
      <c r="HM26" s="675">
        <v>10000</v>
      </c>
      <c r="HN26" s="675">
        <v>0</v>
      </c>
      <c r="HO26" s="675">
        <v>0</v>
      </c>
      <c r="HP26" s="675">
        <v>0</v>
      </c>
      <c r="HQ26" s="675">
        <v>0</v>
      </c>
      <c r="HR26" s="675">
        <v>0</v>
      </c>
      <c r="HS26" s="675">
        <v>23230119</v>
      </c>
      <c r="HT26" s="675">
        <v>508949</v>
      </c>
      <c r="HU26" s="675">
        <v>0</v>
      </c>
      <c r="HV26" s="675">
        <v>0</v>
      </c>
      <c r="HW26" s="675">
        <v>0</v>
      </c>
      <c r="HX26" s="675">
        <v>254</v>
      </c>
      <c r="HY26" s="675">
        <v>214</v>
      </c>
      <c r="HZ26" s="675">
        <v>277</v>
      </c>
      <c r="IA26" s="675">
        <v>544</v>
      </c>
      <c r="IB26" s="675">
        <v>1264</v>
      </c>
      <c r="IC26" s="675">
        <v>2553</v>
      </c>
      <c r="ID26" s="675">
        <v>0</v>
      </c>
      <c r="IE26" s="675">
        <v>515.84800000000007</v>
      </c>
      <c r="IF26" s="675">
        <v>44.895000000000003</v>
      </c>
      <c r="IG26" s="675">
        <v>25</v>
      </c>
      <c r="IH26" s="675">
        <v>932.98800000000006</v>
      </c>
      <c r="II26" s="675">
        <v>0</v>
      </c>
      <c r="IJ26" s="675">
        <v>1347.673</v>
      </c>
      <c r="IK26" s="675">
        <v>0</v>
      </c>
      <c r="IL26" s="675">
        <v>2</v>
      </c>
      <c r="IM26" s="675">
        <v>0</v>
      </c>
      <c r="IN26" s="675">
        <v>0</v>
      </c>
      <c r="IO26" s="675">
        <v>2</v>
      </c>
      <c r="IP26" s="675">
        <v>0</v>
      </c>
      <c r="IQ26" s="675">
        <v>786.93000000000006</v>
      </c>
      <c r="IR26" s="675">
        <v>484747</v>
      </c>
      <c r="IS26" s="675">
        <v>0</v>
      </c>
      <c r="IT26" s="675">
        <v>10000</v>
      </c>
      <c r="IU26" s="675">
        <v>0</v>
      </c>
      <c r="IV26" s="675">
        <v>0</v>
      </c>
      <c r="IW26" s="675">
        <v>6160</v>
      </c>
      <c r="IX26" s="675">
        <v>476641</v>
      </c>
      <c r="IY26" s="675">
        <v>13828</v>
      </c>
      <c r="IZ26" s="675">
        <v>0</v>
      </c>
      <c r="JA26" s="675">
        <v>0</v>
      </c>
      <c r="JB26" s="675">
        <v>0</v>
      </c>
      <c r="JC26" s="675">
        <v>0</v>
      </c>
      <c r="JD26" s="675">
        <v>0</v>
      </c>
      <c r="JE26" s="675">
        <v>0</v>
      </c>
      <c r="JF26" s="675">
        <v>0</v>
      </c>
      <c r="JG26" s="675">
        <v>0</v>
      </c>
      <c r="JH26" s="675">
        <v>0</v>
      </c>
      <c r="JI26" s="675">
        <v>0</v>
      </c>
      <c r="JJ26" s="675">
        <v>0</v>
      </c>
      <c r="JK26" s="675">
        <v>0</v>
      </c>
      <c r="JL26" s="675">
        <v>0</v>
      </c>
      <c r="JM26" s="675">
        <v>0</v>
      </c>
      <c r="JN26" s="675">
        <v>32469</v>
      </c>
      <c r="JO26" s="675">
        <v>1.69</v>
      </c>
      <c r="JP26" s="675">
        <v>46.6</v>
      </c>
      <c r="JQ26" s="675">
        <v>25.21</v>
      </c>
      <c r="JR26" s="675">
        <v>13496</v>
      </c>
      <c r="JS26" s="675">
        <v>433044</v>
      </c>
      <c r="JT26" s="675">
        <v>269046</v>
      </c>
      <c r="JU26" s="675">
        <v>30831</v>
      </c>
      <c r="JV26" s="675">
        <v>0</v>
      </c>
      <c r="JW26" s="675">
        <v>0</v>
      </c>
      <c r="JX26" s="675">
        <v>0</v>
      </c>
      <c r="JY26" s="675">
        <v>0</v>
      </c>
      <c r="JZ26" s="675">
        <v>0</v>
      </c>
      <c r="KA26" s="675">
        <v>0</v>
      </c>
      <c r="KB26" s="675">
        <v>0</v>
      </c>
      <c r="KC26" s="675">
        <v>0</v>
      </c>
      <c r="KD26" s="675">
        <v>30831</v>
      </c>
      <c r="KE26" s="675">
        <v>7260</v>
      </c>
      <c r="KF26" s="675">
        <v>0</v>
      </c>
      <c r="KG26" s="675">
        <v>0</v>
      </c>
      <c r="KH26" s="675">
        <v>0</v>
      </c>
      <c r="KI26" s="675">
        <v>0</v>
      </c>
    </row>
    <row r="27" spans="1:295" ht="12.5" x14ac:dyDescent="0.25">
      <c r="A27" s="675">
        <v>35795</v>
      </c>
      <c r="B27" s="675">
        <v>71801</v>
      </c>
      <c r="C27" s="675">
        <v>9</v>
      </c>
      <c r="D27" s="675">
        <v>2022</v>
      </c>
      <c r="E27" s="675">
        <v>6160</v>
      </c>
      <c r="F27" s="675">
        <v>0</v>
      </c>
      <c r="G27" s="675">
        <v>1179.6870000000001</v>
      </c>
      <c r="H27" s="675">
        <v>1109.3820000000001</v>
      </c>
      <c r="I27" s="675">
        <v>1109.3820000000001</v>
      </c>
      <c r="J27" s="675">
        <v>1179.6870000000001</v>
      </c>
      <c r="K27" s="675">
        <v>0</v>
      </c>
      <c r="L27" s="675">
        <v>6160</v>
      </c>
      <c r="M27" s="675">
        <v>0</v>
      </c>
      <c r="N27" s="675">
        <v>0</v>
      </c>
      <c r="O27" s="675">
        <v>0</v>
      </c>
      <c r="P27" s="675">
        <v>1149.5050000000001</v>
      </c>
      <c r="Q27" s="675">
        <v>0</v>
      </c>
      <c r="R27" s="675">
        <v>462593</v>
      </c>
      <c r="S27" s="675">
        <v>402.428</v>
      </c>
      <c r="T27" s="675">
        <v>0</v>
      </c>
      <c r="U27" s="675">
        <v>245995</v>
      </c>
      <c r="V27" s="675">
        <v>395.93200000000002</v>
      </c>
      <c r="W27" s="675">
        <v>369373</v>
      </c>
      <c r="X27" s="675">
        <v>369373</v>
      </c>
      <c r="Y27" s="675">
        <v>0</v>
      </c>
      <c r="Z27" s="675">
        <v>0</v>
      </c>
      <c r="AA27" s="675">
        <v>0</v>
      </c>
      <c r="AB27" s="675">
        <v>0</v>
      </c>
      <c r="AC27" s="675">
        <v>0</v>
      </c>
      <c r="AD27" s="675" t="s">
        <v>316</v>
      </c>
      <c r="AE27" s="675">
        <v>0</v>
      </c>
      <c r="AF27" s="675">
        <v>0</v>
      </c>
      <c r="AG27" s="675">
        <v>0</v>
      </c>
      <c r="AH27" s="675">
        <v>0</v>
      </c>
      <c r="AI27" s="675">
        <v>0</v>
      </c>
      <c r="AJ27" s="675">
        <v>6160</v>
      </c>
      <c r="AK27" s="675" t="s">
        <v>671</v>
      </c>
      <c r="AL27" s="675" t="s">
        <v>85</v>
      </c>
      <c r="AM27" s="675">
        <v>0</v>
      </c>
      <c r="AN27" s="675">
        <v>0</v>
      </c>
      <c r="AO27" s="675">
        <v>0</v>
      </c>
      <c r="AP27" s="675">
        <v>0</v>
      </c>
      <c r="AQ27" s="675">
        <v>0</v>
      </c>
      <c r="AR27" s="675">
        <v>0</v>
      </c>
      <c r="AS27" s="675">
        <v>0</v>
      </c>
      <c r="AT27" s="675">
        <v>0</v>
      </c>
      <c r="AU27" s="675">
        <v>0</v>
      </c>
      <c r="AV27" s="675">
        <v>-8115</v>
      </c>
      <c r="AW27" s="675">
        <v>11651776</v>
      </c>
      <c r="AX27" s="675">
        <v>11437007</v>
      </c>
      <c r="AY27" s="675">
        <v>7664599</v>
      </c>
      <c r="AZ27" s="675">
        <v>462593</v>
      </c>
      <c r="BA27" s="675">
        <v>0</v>
      </c>
      <c r="BB27" s="675">
        <v>0</v>
      </c>
      <c r="BC27" s="675">
        <v>0</v>
      </c>
      <c r="BD27" s="675">
        <v>0</v>
      </c>
      <c r="BE27" s="675">
        <v>0</v>
      </c>
      <c r="BF27" s="675">
        <v>10594660</v>
      </c>
      <c r="BG27" s="675">
        <v>0</v>
      </c>
      <c r="BH27" s="675">
        <v>0</v>
      </c>
      <c r="BI27" s="675">
        <v>0</v>
      </c>
      <c r="BJ27" s="675">
        <v>12</v>
      </c>
      <c r="BK27" s="675">
        <v>0</v>
      </c>
      <c r="BL27" s="675">
        <v>0</v>
      </c>
      <c r="BM27" s="675">
        <v>0</v>
      </c>
      <c r="BN27" s="675">
        <v>0</v>
      </c>
      <c r="BO27" s="675">
        <v>0</v>
      </c>
      <c r="BP27" s="675">
        <v>0</v>
      </c>
      <c r="BQ27" s="675">
        <v>599</v>
      </c>
      <c r="BR27" s="675">
        <v>0</v>
      </c>
      <c r="BS27" s="675">
        <v>0</v>
      </c>
      <c r="BT27" s="675">
        <v>0</v>
      </c>
      <c r="BU27" s="675">
        <v>0</v>
      </c>
      <c r="BV27" s="675">
        <v>0</v>
      </c>
      <c r="BW27" s="675">
        <v>0</v>
      </c>
      <c r="BX27" s="675">
        <v>0</v>
      </c>
      <c r="BY27" s="675">
        <v>0</v>
      </c>
      <c r="BZ27" s="675">
        <v>0</v>
      </c>
      <c r="CA27" s="675">
        <v>0</v>
      </c>
      <c r="CB27" s="675">
        <v>0</v>
      </c>
      <c r="CC27" s="675">
        <v>0</v>
      </c>
      <c r="CD27" s="675">
        <v>0</v>
      </c>
      <c r="CE27" s="675">
        <v>0</v>
      </c>
      <c r="CF27" s="675">
        <v>0</v>
      </c>
      <c r="CG27" s="675">
        <v>0</v>
      </c>
      <c r="CH27" s="675">
        <v>215603</v>
      </c>
      <c r="CI27" s="675">
        <v>0</v>
      </c>
      <c r="CJ27" s="675">
        <v>4</v>
      </c>
      <c r="CK27" s="675">
        <v>0</v>
      </c>
      <c r="CL27" s="675">
        <v>0</v>
      </c>
      <c r="CM27" s="675">
        <v>0</v>
      </c>
      <c r="CN27" s="675">
        <v>0</v>
      </c>
      <c r="CO27" s="675">
        <v>1</v>
      </c>
      <c r="CP27" s="675">
        <v>0</v>
      </c>
      <c r="CQ27" s="675">
        <v>0</v>
      </c>
      <c r="CR27" s="675">
        <v>1131.7160000000001</v>
      </c>
      <c r="CS27" s="675">
        <v>0</v>
      </c>
      <c r="CT27" s="675">
        <v>0</v>
      </c>
      <c r="CU27" s="675">
        <v>0</v>
      </c>
      <c r="CV27" s="675">
        <v>0</v>
      </c>
      <c r="CW27" s="675">
        <v>0</v>
      </c>
      <c r="CX27" s="675">
        <v>0</v>
      </c>
      <c r="CY27" s="675">
        <v>0</v>
      </c>
      <c r="CZ27" s="675">
        <v>0</v>
      </c>
      <c r="DA27" s="675">
        <v>0</v>
      </c>
      <c r="DB27" s="675">
        <v>6721216</v>
      </c>
      <c r="DC27" s="675">
        <v>0</v>
      </c>
      <c r="DD27" s="675">
        <v>0</v>
      </c>
      <c r="DE27" s="675">
        <v>1004922</v>
      </c>
      <c r="DF27" s="675">
        <v>1004922</v>
      </c>
      <c r="DG27" s="675">
        <v>163.13800000000001</v>
      </c>
      <c r="DH27" s="675">
        <v>0</v>
      </c>
      <c r="DI27" s="675">
        <v>0</v>
      </c>
      <c r="DJ27" s="675">
        <v>0</v>
      </c>
      <c r="DK27" s="675">
        <v>1209</v>
      </c>
      <c r="DL27" s="675">
        <v>0</v>
      </c>
      <c r="DM27" s="675">
        <v>331380</v>
      </c>
      <c r="DN27" s="675">
        <v>834</v>
      </c>
      <c r="DO27" s="675">
        <v>0</v>
      </c>
      <c r="DP27" s="675">
        <v>0</v>
      </c>
      <c r="DQ27" s="675">
        <v>0</v>
      </c>
      <c r="DR27" s="675">
        <v>0</v>
      </c>
      <c r="DS27" s="675">
        <v>0</v>
      </c>
      <c r="DT27" s="675">
        <v>0</v>
      </c>
      <c r="DU27" s="675">
        <v>0</v>
      </c>
      <c r="DV27" s="675">
        <v>0</v>
      </c>
      <c r="DW27" s="675">
        <v>0</v>
      </c>
      <c r="DX27" s="675">
        <v>0</v>
      </c>
      <c r="DY27" s="675">
        <v>0</v>
      </c>
      <c r="DZ27" s="675">
        <v>0</v>
      </c>
      <c r="EA27" s="675">
        <v>0</v>
      </c>
      <c r="EB27" s="675">
        <v>0</v>
      </c>
      <c r="EC27" s="675">
        <v>24.798000000000002</v>
      </c>
      <c r="ED27" s="675">
        <v>175668</v>
      </c>
      <c r="EE27" s="675">
        <v>0</v>
      </c>
      <c r="EF27" s="675">
        <v>0</v>
      </c>
      <c r="EG27" s="675">
        <v>0</v>
      </c>
      <c r="EH27" s="675">
        <v>44001</v>
      </c>
      <c r="EI27" s="675">
        <v>0</v>
      </c>
      <c r="EJ27" s="675">
        <v>0</v>
      </c>
      <c r="EK27" s="675">
        <v>1.2210000000000001</v>
      </c>
      <c r="EL27" s="675">
        <v>0</v>
      </c>
      <c r="EM27" s="675">
        <v>0</v>
      </c>
      <c r="EN27" s="675">
        <v>0.69600000000000006</v>
      </c>
      <c r="EO27" s="675">
        <v>0</v>
      </c>
      <c r="EP27" s="675">
        <v>0</v>
      </c>
      <c r="EQ27" s="675">
        <v>1.917</v>
      </c>
      <c r="ER27" s="675">
        <v>0</v>
      </c>
      <c r="ES27" s="675">
        <v>7.1430000000000007</v>
      </c>
      <c r="ET27" s="675">
        <v>0</v>
      </c>
      <c r="EU27" s="675">
        <v>0</v>
      </c>
      <c r="EV27" s="675">
        <v>0</v>
      </c>
      <c r="EW27" s="675">
        <v>0</v>
      </c>
      <c r="EX27" s="675">
        <v>0</v>
      </c>
      <c r="EY27" s="675">
        <v>0</v>
      </c>
      <c r="EZ27" s="675">
        <v>10136409</v>
      </c>
      <c r="FA27" s="675">
        <v>0</v>
      </c>
      <c r="FB27" s="675">
        <v>10598168</v>
      </c>
      <c r="FC27" s="675">
        <v>0</v>
      </c>
      <c r="FD27" s="675">
        <v>0</v>
      </c>
      <c r="FE27" s="675">
        <v>1077694</v>
      </c>
      <c r="FF27" s="675">
        <v>222904</v>
      </c>
      <c r="FG27" s="675">
        <v>6.3574999999999993E-2</v>
      </c>
      <c r="FH27" s="675">
        <v>2.6298999999999999E-2</v>
      </c>
      <c r="FI27" s="675">
        <v>0</v>
      </c>
      <c r="FJ27" s="675">
        <v>0</v>
      </c>
      <c r="FK27" s="675">
        <v>1719.92</v>
      </c>
      <c r="FL27" s="675">
        <v>12114369</v>
      </c>
      <c r="FM27" s="675">
        <v>0</v>
      </c>
      <c r="FN27" s="675">
        <v>0</v>
      </c>
      <c r="FO27" s="675">
        <v>0</v>
      </c>
      <c r="FP27" s="675">
        <v>0</v>
      </c>
      <c r="FQ27" s="675">
        <v>0</v>
      </c>
      <c r="FR27" s="675">
        <v>0</v>
      </c>
      <c r="FS27" s="675">
        <v>0</v>
      </c>
      <c r="FT27" s="675">
        <v>0</v>
      </c>
      <c r="FU27" s="675">
        <v>0</v>
      </c>
      <c r="FV27" s="675">
        <v>0</v>
      </c>
      <c r="FW27" s="675">
        <v>0</v>
      </c>
      <c r="FX27" s="675">
        <v>0</v>
      </c>
      <c r="FY27" s="675">
        <v>0</v>
      </c>
      <c r="FZ27" s="675">
        <v>0</v>
      </c>
      <c r="GA27" s="675">
        <v>0</v>
      </c>
      <c r="GB27" s="675">
        <v>671247</v>
      </c>
      <c r="GC27" s="675">
        <v>671247</v>
      </c>
      <c r="GD27" s="675">
        <v>68.388000000000005</v>
      </c>
      <c r="GE27" s="675">
        <v>0</v>
      </c>
      <c r="GF27" s="675">
        <v>0</v>
      </c>
      <c r="GG27" s="675">
        <v>0</v>
      </c>
      <c r="GH27" s="675">
        <v>0</v>
      </c>
      <c r="GI27" s="675">
        <v>0</v>
      </c>
      <c r="GJ27" s="675">
        <v>0</v>
      </c>
      <c r="GK27" s="675">
        <v>0</v>
      </c>
      <c r="GL27" s="675">
        <v>0</v>
      </c>
      <c r="GM27" s="675">
        <v>0</v>
      </c>
      <c r="GN27" s="675">
        <v>0</v>
      </c>
      <c r="GO27" s="675">
        <v>0</v>
      </c>
      <c r="GP27" s="675">
        <v>0</v>
      </c>
      <c r="GQ27" s="675">
        <v>0</v>
      </c>
      <c r="GR27" s="675">
        <v>0</v>
      </c>
      <c r="GS27" s="675">
        <v>0</v>
      </c>
      <c r="GT27" s="675">
        <v>0</v>
      </c>
      <c r="GU27" s="675">
        <v>0</v>
      </c>
      <c r="GV27" s="675">
        <v>0</v>
      </c>
      <c r="GW27" s="675">
        <v>0</v>
      </c>
      <c r="GX27" s="675">
        <v>0</v>
      </c>
      <c r="GY27" s="675">
        <v>0</v>
      </c>
      <c r="GZ27" s="675">
        <v>0</v>
      </c>
      <c r="HA27" s="675">
        <v>0</v>
      </c>
      <c r="HB27" s="675">
        <v>298386780</v>
      </c>
      <c r="HC27" s="675">
        <v>4.5690999999999996E-2</v>
      </c>
      <c r="HD27" s="675">
        <v>215603</v>
      </c>
      <c r="HE27" s="675">
        <v>0</v>
      </c>
      <c r="HF27" s="675">
        <v>1220320</v>
      </c>
      <c r="HG27" s="675">
        <v>14168</v>
      </c>
      <c r="HH27" s="675">
        <v>169733</v>
      </c>
      <c r="HI27" s="675">
        <v>0</v>
      </c>
      <c r="HJ27" s="675">
        <v>11467</v>
      </c>
      <c r="HK27" s="675">
        <v>2448</v>
      </c>
      <c r="HL27" s="675">
        <v>1894</v>
      </c>
      <c r="HM27" s="675">
        <v>26000</v>
      </c>
      <c r="HN27" s="675">
        <v>0</v>
      </c>
      <c r="HO27" s="675">
        <v>54000</v>
      </c>
      <c r="HP27" s="675">
        <v>0</v>
      </c>
      <c r="HQ27" s="675">
        <v>0</v>
      </c>
      <c r="HR27" s="675">
        <v>0</v>
      </c>
      <c r="HS27" s="675">
        <v>10135575</v>
      </c>
      <c r="HT27" s="675">
        <v>222904</v>
      </c>
      <c r="HU27" s="675">
        <v>0</v>
      </c>
      <c r="HV27" s="675">
        <v>0</v>
      </c>
      <c r="HW27" s="675">
        <v>0</v>
      </c>
      <c r="HX27" s="675">
        <v>199</v>
      </c>
      <c r="HY27" s="675">
        <v>160</v>
      </c>
      <c r="HZ27" s="675">
        <v>142</v>
      </c>
      <c r="IA27" s="675">
        <v>85</v>
      </c>
      <c r="IB27" s="675">
        <v>82</v>
      </c>
      <c r="IC27" s="675">
        <v>668</v>
      </c>
      <c r="ID27" s="675">
        <v>0</v>
      </c>
      <c r="IE27" s="675">
        <v>100.22500000000001</v>
      </c>
      <c r="IF27" s="675">
        <v>106.73</v>
      </c>
      <c r="IG27" s="675">
        <v>23</v>
      </c>
      <c r="IH27" s="675">
        <v>275.54200000000003</v>
      </c>
      <c r="II27" s="675">
        <v>0</v>
      </c>
      <c r="IJ27" s="675">
        <v>602.88700000000006</v>
      </c>
      <c r="IK27" s="675">
        <v>0</v>
      </c>
      <c r="IL27" s="675">
        <v>4</v>
      </c>
      <c r="IM27" s="675">
        <v>2</v>
      </c>
      <c r="IN27" s="675">
        <v>0</v>
      </c>
      <c r="IO27" s="675">
        <v>6</v>
      </c>
      <c r="IP27" s="675">
        <v>0</v>
      </c>
      <c r="IQ27" s="675">
        <v>395.93200000000002</v>
      </c>
      <c r="IR27" s="675">
        <v>243893</v>
      </c>
      <c r="IS27" s="675">
        <v>0</v>
      </c>
      <c r="IT27" s="675">
        <v>20000</v>
      </c>
      <c r="IU27" s="675">
        <v>6000</v>
      </c>
      <c r="IV27" s="675">
        <v>0</v>
      </c>
      <c r="IW27" s="675">
        <v>6160</v>
      </c>
      <c r="IX27" s="675">
        <v>92607</v>
      </c>
      <c r="IY27" s="675">
        <v>32873</v>
      </c>
      <c r="IZ27" s="675">
        <v>0</v>
      </c>
      <c r="JA27" s="675">
        <v>0</v>
      </c>
      <c r="JB27" s="675">
        <v>0</v>
      </c>
      <c r="JC27" s="675">
        <v>0</v>
      </c>
      <c r="JD27" s="675">
        <v>0</v>
      </c>
      <c r="JE27" s="675">
        <v>0</v>
      </c>
      <c r="JF27" s="675">
        <v>0</v>
      </c>
      <c r="JG27" s="675">
        <v>0</v>
      </c>
      <c r="JH27" s="675">
        <v>0</v>
      </c>
      <c r="JI27" s="675">
        <v>0</v>
      </c>
      <c r="JJ27" s="675">
        <v>0</v>
      </c>
      <c r="JK27" s="675">
        <v>0</v>
      </c>
      <c r="JL27" s="675">
        <v>0</v>
      </c>
      <c r="JM27" s="675">
        <v>0</v>
      </c>
      <c r="JN27" s="675">
        <v>32469</v>
      </c>
      <c r="JO27" s="675">
        <v>0</v>
      </c>
      <c r="JP27" s="675">
        <v>42.484999999999999</v>
      </c>
      <c r="JQ27" s="675">
        <v>25.903000000000002</v>
      </c>
      <c r="JR27" s="675">
        <v>0</v>
      </c>
      <c r="JS27" s="675">
        <v>394805</v>
      </c>
      <c r="JT27" s="675">
        <v>276442</v>
      </c>
      <c r="JU27" s="675">
        <v>0</v>
      </c>
      <c r="JV27" s="675">
        <v>0</v>
      </c>
      <c r="JW27" s="675">
        <v>0</v>
      </c>
      <c r="JX27" s="675">
        <v>0</v>
      </c>
      <c r="JY27" s="675">
        <v>0</v>
      </c>
      <c r="JZ27" s="675">
        <v>0</v>
      </c>
      <c r="KA27" s="675">
        <v>0</v>
      </c>
      <c r="KB27" s="675">
        <v>0</v>
      </c>
      <c r="KC27" s="675">
        <v>0</v>
      </c>
      <c r="KD27" s="675">
        <v>0</v>
      </c>
      <c r="KE27" s="675">
        <v>7260</v>
      </c>
      <c r="KF27" s="675">
        <v>0</v>
      </c>
      <c r="KG27" s="675">
        <v>0</v>
      </c>
      <c r="KH27" s="675">
        <v>0</v>
      </c>
      <c r="KI27" s="675">
        <v>0</v>
      </c>
    </row>
    <row r="28" spans="1:295" ht="12.5" x14ac:dyDescent="0.25">
      <c r="A28" s="675">
        <v>35795</v>
      </c>
      <c r="B28" s="675">
        <v>72801</v>
      </c>
      <c r="C28" s="675">
        <v>9</v>
      </c>
      <c r="D28" s="675">
        <v>2022</v>
      </c>
      <c r="E28" s="675">
        <v>6160</v>
      </c>
      <c r="F28" s="675">
        <v>0</v>
      </c>
      <c r="G28" s="675">
        <v>5249.8330000000005</v>
      </c>
      <c r="H28" s="675">
        <v>4754.97</v>
      </c>
      <c r="I28" s="675">
        <v>4754.97</v>
      </c>
      <c r="J28" s="675">
        <v>5249.8330000000005</v>
      </c>
      <c r="K28" s="675">
        <v>0</v>
      </c>
      <c r="L28" s="675">
        <v>6160</v>
      </c>
      <c r="M28" s="675">
        <v>0</v>
      </c>
      <c r="N28" s="675">
        <v>0</v>
      </c>
      <c r="O28" s="675">
        <v>0</v>
      </c>
      <c r="P28" s="675">
        <v>5570.098</v>
      </c>
      <c r="Q28" s="675">
        <v>0</v>
      </c>
      <c r="R28" s="675">
        <v>2241563</v>
      </c>
      <c r="S28" s="675">
        <v>402.428</v>
      </c>
      <c r="T28" s="675">
        <v>0</v>
      </c>
      <c r="U28" s="675">
        <v>1192007</v>
      </c>
      <c r="V28" s="675">
        <v>446.05</v>
      </c>
      <c r="W28" s="675">
        <v>274766</v>
      </c>
      <c r="X28" s="675">
        <v>274766</v>
      </c>
      <c r="Y28" s="675">
        <v>0</v>
      </c>
      <c r="Z28" s="675">
        <v>0</v>
      </c>
      <c r="AA28" s="675">
        <v>0</v>
      </c>
      <c r="AB28" s="675">
        <v>0</v>
      </c>
      <c r="AC28" s="675">
        <v>0</v>
      </c>
      <c r="AD28" s="675" t="s">
        <v>316</v>
      </c>
      <c r="AE28" s="675">
        <v>0</v>
      </c>
      <c r="AF28" s="675">
        <v>0</v>
      </c>
      <c r="AG28" s="675">
        <v>0</v>
      </c>
      <c r="AH28" s="675">
        <v>0</v>
      </c>
      <c r="AI28" s="675">
        <v>0</v>
      </c>
      <c r="AJ28" s="675">
        <v>6160</v>
      </c>
      <c r="AK28" s="675" t="s">
        <v>671</v>
      </c>
      <c r="AL28" s="675" t="s">
        <v>98</v>
      </c>
      <c r="AM28" s="675">
        <v>0</v>
      </c>
      <c r="AN28" s="675">
        <v>0</v>
      </c>
      <c r="AO28" s="675">
        <v>0</v>
      </c>
      <c r="AP28" s="675">
        <v>0</v>
      </c>
      <c r="AQ28" s="675">
        <v>0</v>
      </c>
      <c r="AR28" s="675">
        <v>0</v>
      </c>
      <c r="AS28" s="675">
        <v>0</v>
      </c>
      <c r="AT28" s="675">
        <v>0</v>
      </c>
      <c r="AU28" s="675">
        <v>0</v>
      </c>
      <c r="AV28" s="675">
        <v>-5132419</v>
      </c>
      <c r="AW28" s="675">
        <v>57419658</v>
      </c>
      <c r="AX28" s="675">
        <v>56485699</v>
      </c>
      <c r="AY28" s="675">
        <v>34181304</v>
      </c>
      <c r="AZ28" s="675">
        <v>2241563</v>
      </c>
      <c r="BA28" s="675">
        <v>0</v>
      </c>
      <c r="BB28" s="675">
        <v>0</v>
      </c>
      <c r="BC28" s="675">
        <v>0</v>
      </c>
      <c r="BD28" s="675">
        <v>0</v>
      </c>
      <c r="BE28" s="675">
        <v>0</v>
      </c>
      <c r="BF28" s="675">
        <v>51034632</v>
      </c>
      <c r="BG28" s="675">
        <v>0</v>
      </c>
      <c r="BH28" s="675">
        <v>0</v>
      </c>
      <c r="BI28" s="675">
        <v>0</v>
      </c>
      <c r="BJ28" s="675">
        <v>12</v>
      </c>
      <c r="BK28" s="675">
        <v>0</v>
      </c>
      <c r="BL28" s="675">
        <v>0</v>
      </c>
      <c r="BM28" s="675">
        <v>0</v>
      </c>
      <c r="BN28" s="675">
        <v>0</v>
      </c>
      <c r="BO28" s="675">
        <v>0</v>
      </c>
      <c r="BP28" s="675">
        <v>0</v>
      </c>
      <c r="BQ28" s="675">
        <v>38</v>
      </c>
      <c r="BR28" s="675">
        <v>0</v>
      </c>
      <c r="BS28" s="675">
        <v>0</v>
      </c>
      <c r="BT28" s="675">
        <v>0</v>
      </c>
      <c r="BU28" s="675">
        <v>0</v>
      </c>
      <c r="BV28" s="675">
        <v>0</v>
      </c>
      <c r="BW28" s="675">
        <v>0</v>
      </c>
      <c r="BX28" s="675">
        <v>0</v>
      </c>
      <c r="BY28" s="675">
        <v>0</v>
      </c>
      <c r="BZ28" s="675">
        <v>0</v>
      </c>
      <c r="CA28" s="675">
        <v>161.55100000000002</v>
      </c>
      <c r="CB28" s="675">
        <v>137766</v>
      </c>
      <c r="CC28" s="675">
        <v>0</v>
      </c>
      <c r="CD28" s="675">
        <v>0</v>
      </c>
      <c r="CE28" s="675">
        <v>0</v>
      </c>
      <c r="CF28" s="675">
        <v>0</v>
      </c>
      <c r="CG28" s="675">
        <v>0</v>
      </c>
      <c r="CH28" s="675">
        <v>959474</v>
      </c>
      <c r="CI28" s="675">
        <v>0</v>
      </c>
      <c r="CJ28" s="675">
        <v>4</v>
      </c>
      <c r="CK28" s="675">
        <v>0</v>
      </c>
      <c r="CL28" s="675">
        <v>0</v>
      </c>
      <c r="CM28" s="675">
        <v>0</v>
      </c>
      <c r="CN28" s="675">
        <v>0</v>
      </c>
      <c r="CO28" s="675">
        <v>1</v>
      </c>
      <c r="CP28" s="675">
        <v>0</v>
      </c>
      <c r="CQ28" s="675">
        <v>0</v>
      </c>
      <c r="CR28" s="675">
        <v>4958.6540000000005</v>
      </c>
      <c r="CS28" s="675">
        <v>0</v>
      </c>
      <c r="CT28" s="675">
        <v>0</v>
      </c>
      <c r="CU28" s="675">
        <v>0</v>
      </c>
      <c r="CV28" s="675">
        <v>0</v>
      </c>
      <c r="CW28" s="675">
        <v>0</v>
      </c>
      <c r="CX28" s="675">
        <v>0</v>
      </c>
      <c r="CY28" s="675">
        <v>0</v>
      </c>
      <c r="CZ28" s="675">
        <v>0</v>
      </c>
      <c r="DA28" s="675">
        <v>0</v>
      </c>
      <c r="DB28" s="675">
        <v>29290479</v>
      </c>
      <c r="DC28" s="675">
        <v>0</v>
      </c>
      <c r="DD28" s="675">
        <v>0</v>
      </c>
      <c r="DE28" s="675">
        <v>6308581</v>
      </c>
      <c r="DF28" s="675">
        <v>6308581</v>
      </c>
      <c r="DG28" s="675">
        <v>1024.125</v>
      </c>
      <c r="DH28" s="675">
        <v>0</v>
      </c>
      <c r="DI28" s="675">
        <v>0</v>
      </c>
      <c r="DJ28" s="675">
        <v>0</v>
      </c>
      <c r="DK28" s="675">
        <v>0</v>
      </c>
      <c r="DL28" s="675">
        <v>0</v>
      </c>
      <c r="DM28" s="675">
        <v>6698783</v>
      </c>
      <c r="DN28" s="675">
        <v>25515</v>
      </c>
      <c r="DO28" s="675">
        <v>0</v>
      </c>
      <c r="DP28" s="675">
        <v>0</v>
      </c>
      <c r="DQ28" s="675">
        <v>0</v>
      </c>
      <c r="DR28" s="675">
        <v>0</v>
      </c>
      <c r="DS28" s="675">
        <v>0</v>
      </c>
      <c r="DT28" s="675">
        <v>0</v>
      </c>
      <c r="DU28" s="675">
        <v>0</v>
      </c>
      <c r="DV28" s="675">
        <v>0</v>
      </c>
      <c r="DW28" s="675">
        <v>0</v>
      </c>
      <c r="DX28" s="675">
        <v>0</v>
      </c>
      <c r="DY28" s="675">
        <v>0</v>
      </c>
      <c r="DZ28" s="675">
        <v>0</v>
      </c>
      <c r="EA28" s="675">
        <v>0</v>
      </c>
      <c r="EB28" s="675">
        <v>3.0670000000000002</v>
      </c>
      <c r="EC28" s="675">
        <v>465.6</v>
      </c>
      <c r="ED28" s="675">
        <v>3298295</v>
      </c>
      <c r="EE28" s="675">
        <v>0</v>
      </c>
      <c r="EF28" s="675">
        <v>0</v>
      </c>
      <c r="EG28" s="675">
        <v>0</v>
      </c>
      <c r="EH28" s="675">
        <v>3387984</v>
      </c>
      <c r="EI28" s="675">
        <v>38019</v>
      </c>
      <c r="EJ28" s="675">
        <v>1.5430000000000001</v>
      </c>
      <c r="EK28" s="675">
        <v>161.20500000000001</v>
      </c>
      <c r="EL28" s="675">
        <v>10.515000000000001</v>
      </c>
      <c r="EM28" s="675">
        <v>18.788</v>
      </c>
      <c r="EN28" s="675">
        <v>0.16400000000000001</v>
      </c>
      <c r="EO28" s="675">
        <v>0</v>
      </c>
      <c r="EP28" s="675">
        <v>0</v>
      </c>
      <c r="EQ28" s="675">
        <v>184.767</v>
      </c>
      <c r="ER28" s="675">
        <v>0</v>
      </c>
      <c r="ES28" s="675">
        <v>550</v>
      </c>
      <c r="ET28" s="675">
        <v>0</v>
      </c>
      <c r="EU28" s="675">
        <v>0</v>
      </c>
      <c r="EV28" s="675">
        <v>0</v>
      </c>
      <c r="EW28" s="675">
        <v>0</v>
      </c>
      <c r="EX28" s="675">
        <v>0</v>
      </c>
      <c r="EY28" s="675">
        <v>0</v>
      </c>
      <c r="EZ28" s="675">
        <v>50220699</v>
      </c>
      <c r="FA28" s="675">
        <v>0</v>
      </c>
      <c r="FB28" s="675">
        <v>52436747</v>
      </c>
      <c r="FC28" s="675">
        <v>0</v>
      </c>
      <c r="FD28" s="675">
        <v>0</v>
      </c>
      <c r="FE28" s="675">
        <v>5191267</v>
      </c>
      <c r="FF28" s="675">
        <v>1073733</v>
      </c>
      <c r="FG28" s="675">
        <v>6.3574999999999993E-2</v>
      </c>
      <c r="FH28" s="675">
        <v>2.6298999999999999E-2</v>
      </c>
      <c r="FI28" s="675">
        <v>0</v>
      </c>
      <c r="FJ28" s="675">
        <v>0</v>
      </c>
      <c r="FK28" s="675">
        <v>8284.8810000000012</v>
      </c>
      <c r="FL28" s="675">
        <v>59661221</v>
      </c>
      <c r="FM28" s="675">
        <v>0</v>
      </c>
      <c r="FN28" s="675">
        <v>0</v>
      </c>
      <c r="FO28" s="675">
        <v>44196</v>
      </c>
      <c r="FP28" s="675">
        <v>0</v>
      </c>
      <c r="FQ28" s="675">
        <v>44196</v>
      </c>
      <c r="FR28" s="675">
        <v>44196</v>
      </c>
      <c r="FS28" s="675">
        <v>0</v>
      </c>
      <c r="FT28" s="675">
        <v>0</v>
      </c>
      <c r="FU28" s="675">
        <v>0</v>
      </c>
      <c r="FV28" s="675">
        <v>0</v>
      </c>
      <c r="FW28" s="675">
        <v>0</v>
      </c>
      <c r="FX28" s="675">
        <v>0</v>
      </c>
      <c r="FY28" s="675">
        <v>0</v>
      </c>
      <c r="FZ28" s="675">
        <v>0</v>
      </c>
      <c r="GA28" s="675">
        <v>0</v>
      </c>
      <c r="GB28" s="675">
        <v>2988367</v>
      </c>
      <c r="GC28" s="675">
        <v>2988367</v>
      </c>
      <c r="GD28" s="675">
        <v>310.096</v>
      </c>
      <c r="GE28" s="675">
        <v>0</v>
      </c>
      <c r="GF28" s="675">
        <v>0</v>
      </c>
      <c r="GG28" s="675">
        <v>0</v>
      </c>
      <c r="GH28" s="675">
        <v>0</v>
      </c>
      <c r="GI28" s="675">
        <v>0</v>
      </c>
      <c r="GJ28" s="675">
        <v>0</v>
      </c>
      <c r="GK28" s="675">
        <v>0</v>
      </c>
      <c r="GL28" s="675">
        <v>0</v>
      </c>
      <c r="GM28" s="675">
        <v>0</v>
      </c>
      <c r="GN28" s="675">
        <v>0</v>
      </c>
      <c r="GO28" s="675">
        <v>0</v>
      </c>
      <c r="GP28" s="675">
        <v>0</v>
      </c>
      <c r="GQ28" s="675">
        <v>0</v>
      </c>
      <c r="GR28" s="675">
        <v>0</v>
      </c>
      <c r="GS28" s="675">
        <v>0</v>
      </c>
      <c r="GT28" s="675">
        <v>0</v>
      </c>
      <c r="GU28" s="675">
        <v>0</v>
      </c>
      <c r="GV28" s="675">
        <v>0</v>
      </c>
      <c r="GW28" s="675">
        <v>0</v>
      </c>
      <c r="GX28" s="675">
        <v>0</v>
      </c>
      <c r="GY28" s="675">
        <v>0</v>
      </c>
      <c r="GZ28" s="675">
        <v>0</v>
      </c>
      <c r="HA28" s="675">
        <v>0</v>
      </c>
      <c r="HB28" s="675">
        <v>298386780</v>
      </c>
      <c r="HC28" s="675">
        <v>4.5690999999999996E-2</v>
      </c>
      <c r="HD28" s="675">
        <v>959474</v>
      </c>
      <c r="HE28" s="675">
        <v>0</v>
      </c>
      <c r="HF28" s="675">
        <v>5230467</v>
      </c>
      <c r="HG28" s="675">
        <v>158311</v>
      </c>
      <c r="HH28" s="675">
        <v>4335</v>
      </c>
      <c r="HI28" s="675">
        <v>0</v>
      </c>
      <c r="HJ28" s="675">
        <v>51028</v>
      </c>
      <c r="HK28" s="675">
        <v>73521</v>
      </c>
      <c r="HL28" s="675">
        <v>1231</v>
      </c>
      <c r="HM28" s="675">
        <v>4000</v>
      </c>
      <c r="HN28" s="675">
        <v>0</v>
      </c>
      <c r="HO28" s="675">
        <v>0</v>
      </c>
      <c r="HP28" s="675">
        <v>1169175</v>
      </c>
      <c r="HQ28" s="675">
        <v>0</v>
      </c>
      <c r="HR28" s="675">
        <v>0</v>
      </c>
      <c r="HS28" s="675">
        <v>50195184</v>
      </c>
      <c r="HT28" s="675">
        <v>1073733</v>
      </c>
      <c r="HU28" s="675">
        <v>0</v>
      </c>
      <c r="HV28" s="675">
        <v>0</v>
      </c>
      <c r="HW28" s="675">
        <v>0</v>
      </c>
      <c r="HX28" s="675">
        <v>771</v>
      </c>
      <c r="HY28" s="675">
        <v>777</v>
      </c>
      <c r="HZ28" s="675">
        <v>927</v>
      </c>
      <c r="IA28" s="675">
        <v>847</v>
      </c>
      <c r="IB28" s="675">
        <v>771</v>
      </c>
      <c r="IC28" s="675">
        <v>4093</v>
      </c>
      <c r="ID28" s="675">
        <v>0</v>
      </c>
      <c r="IE28" s="675">
        <v>0</v>
      </c>
      <c r="IF28" s="675">
        <v>0</v>
      </c>
      <c r="IG28" s="675">
        <v>257</v>
      </c>
      <c r="IH28" s="675">
        <v>7.0369999999999999</v>
      </c>
      <c r="II28" s="675">
        <v>4251.5439999999999</v>
      </c>
      <c r="IJ28" s="675">
        <v>446.05</v>
      </c>
      <c r="IK28" s="675">
        <v>6.3330000000000002</v>
      </c>
      <c r="IL28" s="675">
        <v>0</v>
      </c>
      <c r="IM28" s="675">
        <v>0</v>
      </c>
      <c r="IN28" s="675">
        <v>2</v>
      </c>
      <c r="IO28" s="675">
        <v>2</v>
      </c>
      <c r="IP28" s="675">
        <v>4257.8770000000004</v>
      </c>
      <c r="IQ28" s="675">
        <v>446.05</v>
      </c>
      <c r="IR28" s="675">
        <v>274766</v>
      </c>
      <c r="IS28" s="675">
        <v>1742</v>
      </c>
      <c r="IT28" s="675">
        <v>0</v>
      </c>
      <c r="IU28" s="675">
        <v>0</v>
      </c>
      <c r="IV28" s="675">
        <v>4000</v>
      </c>
      <c r="IW28" s="675">
        <v>6160</v>
      </c>
      <c r="IX28" s="675">
        <v>0</v>
      </c>
      <c r="IY28" s="675">
        <v>0</v>
      </c>
      <c r="IZ28" s="675">
        <v>1170916</v>
      </c>
      <c r="JA28" s="675">
        <v>0</v>
      </c>
      <c r="JB28" s="675">
        <v>0</v>
      </c>
      <c r="JC28" s="675">
        <v>0</v>
      </c>
      <c r="JD28" s="675">
        <v>0</v>
      </c>
      <c r="JE28" s="675">
        <v>0</v>
      </c>
      <c r="JF28" s="675">
        <v>0</v>
      </c>
      <c r="JG28" s="675">
        <v>0</v>
      </c>
      <c r="JH28" s="675">
        <v>0</v>
      </c>
      <c r="JI28" s="675">
        <v>0</v>
      </c>
      <c r="JJ28" s="675">
        <v>0</v>
      </c>
      <c r="JK28" s="675">
        <v>0</v>
      </c>
      <c r="JL28" s="675">
        <v>0</v>
      </c>
      <c r="JM28" s="675">
        <v>0</v>
      </c>
      <c r="JN28" s="675">
        <v>32469</v>
      </c>
      <c r="JO28" s="675">
        <v>3.8760000000000003</v>
      </c>
      <c r="JP28" s="675">
        <v>225.191</v>
      </c>
      <c r="JQ28" s="675">
        <v>81.029000000000011</v>
      </c>
      <c r="JR28" s="675">
        <v>30954</v>
      </c>
      <c r="JS28" s="675">
        <v>2092655</v>
      </c>
      <c r="JT28" s="675">
        <v>864758</v>
      </c>
      <c r="JU28" s="675">
        <v>0</v>
      </c>
      <c r="JV28" s="675">
        <v>0</v>
      </c>
      <c r="JW28" s="675">
        <v>0</v>
      </c>
      <c r="JX28" s="675">
        <v>0</v>
      </c>
      <c r="JY28" s="675">
        <v>0</v>
      </c>
      <c r="JZ28" s="675">
        <v>0</v>
      </c>
      <c r="KA28" s="675">
        <v>0</v>
      </c>
      <c r="KB28" s="675">
        <v>0</v>
      </c>
      <c r="KC28" s="675">
        <v>0</v>
      </c>
      <c r="KD28" s="675">
        <v>0</v>
      </c>
      <c r="KE28" s="675">
        <v>7260</v>
      </c>
      <c r="KF28" s="675">
        <v>0</v>
      </c>
      <c r="KG28" s="675">
        <v>0</v>
      </c>
      <c r="KH28" s="675">
        <v>0</v>
      </c>
      <c r="KI28" s="675">
        <v>0</v>
      </c>
    </row>
    <row r="29" spans="1:295" ht="12.5" x14ac:dyDescent="0.25">
      <c r="A29" s="675">
        <v>35795</v>
      </c>
      <c r="B29" s="675">
        <v>111801</v>
      </c>
      <c r="C29" s="675">
        <v>9</v>
      </c>
      <c r="D29" s="675">
        <v>2022</v>
      </c>
      <c r="E29" s="675">
        <v>6160</v>
      </c>
      <c r="F29" s="675">
        <v>0</v>
      </c>
      <c r="G29" s="675">
        <v>46.363</v>
      </c>
      <c r="H29" s="675">
        <v>37.106000000000002</v>
      </c>
      <c r="I29" s="675">
        <v>37.106000000000002</v>
      </c>
      <c r="J29" s="675">
        <v>46.363</v>
      </c>
      <c r="K29" s="675">
        <v>0</v>
      </c>
      <c r="L29" s="675">
        <v>6160</v>
      </c>
      <c r="M29" s="675">
        <v>0</v>
      </c>
      <c r="N29" s="675">
        <v>0</v>
      </c>
      <c r="O29" s="675">
        <v>0</v>
      </c>
      <c r="P29" s="675">
        <v>66.177000000000007</v>
      </c>
      <c r="Q29" s="675">
        <v>0</v>
      </c>
      <c r="R29" s="675">
        <v>26631</v>
      </c>
      <c r="S29" s="675">
        <v>402.428</v>
      </c>
      <c r="T29" s="675">
        <v>0</v>
      </c>
      <c r="U29" s="675">
        <v>14162</v>
      </c>
      <c r="V29" s="675">
        <v>2.8220000000000001</v>
      </c>
      <c r="W29" s="675">
        <v>1738</v>
      </c>
      <c r="X29" s="675">
        <v>1738</v>
      </c>
      <c r="Y29" s="675">
        <v>0</v>
      </c>
      <c r="Z29" s="675">
        <v>0</v>
      </c>
      <c r="AA29" s="675">
        <v>0</v>
      </c>
      <c r="AB29" s="675">
        <v>0</v>
      </c>
      <c r="AC29" s="675">
        <v>0</v>
      </c>
      <c r="AD29" s="675" t="s">
        <v>316</v>
      </c>
      <c r="AE29" s="675">
        <v>0</v>
      </c>
      <c r="AF29" s="675">
        <v>0</v>
      </c>
      <c r="AG29" s="675">
        <v>0</v>
      </c>
      <c r="AH29" s="675">
        <v>0</v>
      </c>
      <c r="AI29" s="675">
        <v>0</v>
      </c>
      <c r="AJ29" s="675">
        <v>6160</v>
      </c>
      <c r="AK29" s="675" t="s">
        <v>671</v>
      </c>
      <c r="AL29" s="675" t="s">
        <v>468</v>
      </c>
      <c r="AM29" s="675">
        <v>0</v>
      </c>
      <c r="AN29" s="675">
        <v>0</v>
      </c>
      <c r="AO29" s="675">
        <v>0</v>
      </c>
      <c r="AP29" s="675">
        <v>0</v>
      </c>
      <c r="AQ29" s="675">
        <v>0</v>
      </c>
      <c r="AR29" s="675">
        <v>0</v>
      </c>
      <c r="AS29" s="675">
        <v>0</v>
      </c>
      <c r="AT29" s="675">
        <v>0</v>
      </c>
      <c r="AU29" s="675">
        <v>0</v>
      </c>
      <c r="AV29" s="675">
        <v>-23679</v>
      </c>
      <c r="AW29" s="675">
        <v>594796</v>
      </c>
      <c r="AX29" s="675">
        <v>586943</v>
      </c>
      <c r="AY29" s="675">
        <v>426699</v>
      </c>
      <c r="AZ29" s="675">
        <v>26631</v>
      </c>
      <c r="BA29" s="675">
        <v>0</v>
      </c>
      <c r="BB29" s="675">
        <v>0</v>
      </c>
      <c r="BC29" s="675">
        <v>0</v>
      </c>
      <c r="BD29" s="675">
        <v>0</v>
      </c>
      <c r="BE29" s="675">
        <v>0</v>
      </c>
      <c r="BF29" s="675">
        <v>534685</v>
      </c>
      <c r="BG29" s="675">
        <v>0</v>
      </c>
      <c r="BH29" s="675">
        <v>0</v>
      </c>
      <c r="BI29" s="675">
        <v>0</v>
      </c>
      <c r="BJ29" s="675">
        <v>12</v>
      </c>
      <c r="BK29" s="675">
        <v>0</v>
      </c>
      <c r="BL29" s="675">
        <v>0</v>
      </c>
      <c r="BM29" s="675">
        <v>0</v>
      </c>
      <c r="BN29" s="675">
        <v>0</v>
      </c>
      <c r="BO29" s="675">
        <v>0</v>
      </c>
      <c r="BP29" s="675">
        <v>0</v>
      </c>
      <c r="BQ29" s="675">
        <v>764</v>
      </c>
      <c r="BR29" s="675">
        <v>0</v>
      </c>
      <c r="BS29" s="675">
        <v>0</v>
      </c>
      <c r="BT29" s="675">
        <v>0</v>
      </c>
      <c r="BU29" s="675">
        <v>0</v>
      </c>
      <c r="BV29" s="675">
        <v>0</v>
      </c>
      <c r="BW29" s="675">
        <v>0</v>
      </c>
      <c r="BX29" s="675">
        <v>0</v>
      </c>
      <c r="BY29" s="675">
        <v>0</v>
      </c>
      <c r="BZ29" s="675">
        <v>0</v>
      </c>
      <c r="CA29" s="675">
        <v>0</v>
      </c>
      <c r="CB29" s="675">
        <v>0</v>
      </c>
      <c r="CC29" s="675">
        <v>0</v>
      </c>
      <c r="CD29" s="675">
        <v>0</v>
      </c>
      <c r="CE29" s="675">
        <v>0</v>
      </c>
      <c r="CF29" s="675">
        <v>0</v>
      </c>
      <c r="CG29" s="675">
        <v>0</v>
      </c>
      <c r="CH29" s="675">
        <v>8473</v>
      </c>
      <c r="CI29" s="675">
        <v>0</v>
      </c>
      <c r="CJ29" s="675">
        <v>4</v>
      </c>
      <c r="CK29" s="675">
        <v>0</v>
      </c>
      <c r="CL29" s="675">
        <v>0</v>
      </c>
      <c r="CM29" s="675">
        <v>0</v>
      </c>
      <c r="CN29" s="675">
        <v>0</v>
      </c>
      <c r="CO29" s="675">
        <v>1</v>
      </c>
      <c r="CP29" s="675">
        <v>0</v>
      </c>
      <c r="CQ29" s="675">
        <v>0</v>
      </c>
      <c r="CR29" s="675">
        <v>64.802999999999997</v>
      </c>
      <c r="CS29" s="675">
        <v>0</v>
      </c>
      <c r="CT29" s="675">
        <v>0</v>
      </c>
      <c r="CU29" s="675">
        <v>0</v>
      </c>
      <c r="CV29" s="675">
        <v>0</v>
      </c>
      <c r="CW29" s="675">
        <v>0</v>
      </c>
      <c r="CX29" s="675">
        <v>0</v>
      </c>
      <c r="CY29" s="675">
        <v>0</v>
      </c>
      <c r="CZ29" s="675">
        <v>0</v>
      </c>
      <c r="DA29" s="675">
        <v>0</v>
      </c>
      <c r="DB29" s="675">
        <v>107892</v>
      </c>
      <c r="DC29" s="675">
        <v>0</v>
      </c>
      <c r="DD29" s="675">
        <v>0</v>
      </c>
      <c r="DE29" s="675">
        <v>77539</v>
      </c>
      <c r="DF29" s="675">
        <v>77539</v>
      </c>
      <c r="DG29" s="675">
        <v>12.588000000000001</v>
      </c>
      <c r="DH29" s="675">
        <v>0</v>
      </c>
      <c r="DI29" s="675">
        <v>0</v>
      </c>
      <c r="DJ29" s="675">
        <v>0</v>
      </c>
      <c r="DK29" s="675">
        <v>3851</v>
      </c>
      <c r="DL29" s="675">
        <v>0</v>
      </c>
      <c r="DM29" s="675">
        <v>283300</v>
      </c>
      <c r="DN29" s="675">
        <v>619</v>
      </c>
      <c r="DO29" s="675">
        <v>0</v>
      </c>
      <c r="DP29" s="675">
        <v>0</v>
      </c>
      <c r="DQ29" s="675">
        <v>0</v>
      </c>
      <c r="DR29" s="675">
        <v>0</v>
      </c>
      <c r="DS29" s="675">
        <v>0</v>
      </c>
      <c r="DT29" s="675">
        <v>0</v>
      </c>
      <c r="DU29" s="675">
        <v>0</v>
      </c>
      <c r="DV29" s="675">
        <v>0</v>
      </c>
      <c r="DW29" s="675">
        <v>0</v>
      </c>
      <c r="DX29" s="675">
        <v>0</v>
      </c>
      <c r="DY29" s="675">
        <v>0</v>
      </c>
      <c r="DZ29" s="675">
        <v>0</v>
      </c>
      <c r="EA29" s="675">
        <v>0</v>
      </c>
      <c r="EB29" s="675">
        <v>0</v>
      </c>
      <c r="EC29" s="675">
        <v>0</v>
      </c>
      <c r="ED29" s="675">
        <v>0</v>
      </c>
      <c r="EE29" s="675">
        <v>0</v>
      </c>
      <c r="EF29" s="675">
        <v>0</v>
      </c>
      <c r="EG29" s="675">
        <v>0</v>
      </c>
      <c r="EH29" s="675">
        <v>0</v>
      </c>
      <c r="EI29" s="675">
        <v>163239</v>
      </c>
      <c r="EJ29" s="675">
        <v>6.625</v>
      </c>
      <c r="EK29" s="675">
        <v>0</v>
      </c>
      <c r="EL29" s="675">
        <v>0</v>
      </c>
      <c r="EM29" s="675">
        <v>0</v>
      </c>
      <c r="EN29" s="675">
        <v>0</v>
      </c>
      <c r="EO29" s="675">
        <v>0</v>
      </c>
      <c r="EP29" s="675">
        <v>0</v>
      </c>
      <c r="EQ29" s="675">
        <v>6.625</v>
      </c>
      <c r="ER29" s="675">
        <v>0</v>
      </c>
      <c r="ES29" s="675">
        <v>0</v>
      </c>
      <c r="ET29" s="675">
        <v>0</v>
      </c>
      <c r="EU29" s="675">
        <v>0</v>
      </c>
      <c r="EV29" s="675">
        <v>0</v>
      </c>
      <c r="EW29" s="675">
        <v>0</v>
      </c>
      <c r="EX29" s="675">
        <v>0</v>
      </c>
      <c r="EY29" s="675">
        <v>0</v>
      </c>
      <c r="EZ29" s="675">
        <v>521306</v>
      </c>
      <c r="FA29" s="675">
        <v>0</v>
      </c>
      <c r="FB29" s="675">
        <v>547317</v>
      </c>
      <c r="FC29" s="675">
        <v>0</v>
      </c>
      <c r="FD29" s="675">
        <v>0</v>
      </c>
      <c r="FE29" s="675">
        <v>54388</v>
      </c>
      <c r="FF29" s="675">
        <v>11249</v>
      </c>
      <c r="FG29" s="675">
        <v>6.3574999999999993E-2</v>
      </c>
      <c r="FH29" s="675">
        <v>2.6298999999999999E-2</v>
      </c>
      <c r="FI29" s="675">
        <v>0</v>
      </c>
      <c r="FJ29" s="675">
        <v>0</v>
      </c>
      <c r="FK29" s="675">
        <v>86.8</v>
      </c>
      <c r="FL29" s="675">
        <v>621427</v>
      </c>
      <c r="FM29" s="675">
        <v>0</v>
      </c>
      <c r="FN29" s="675">
        <v>0</v>
      </c>
      <c r="FO29" s="675">
        <v>0</v>
      </c>
      <c r="FP29" s="675">
        <v>0</v>
      </c>
      <c r="FQ29" s="675">
        <v>0</v>
      </c>
      <c r="FR29" s="675">
        <v>0</v>
      </c>
      <c r="FS29" s="675">
        <v>0</v>
      </c>
      <c r="FT29" s="675">
        <v>0</v>
      </c>
      <c r="FU29" s="675">
        <v>0</v>
      </c>
      <c r="FV29" s="675">
        <v>0</v>
      </c>
      <c r="FW29" s="675">
        <v>0</v>
      </c>
      <c r="FX29" s="675">
        <v>0</v>
      </c>
      <c r="FY29" s="675">
        <v>0</v>
      </c>
      <c r="FZ29" s="675">
        <v>0</v>
      </c>
      <c r="GA29" s="675">
        <v>0</v>
      </c>
      <c r="GB29" s="675">
        <v>22329</v>
      </c>
      <c r="GC29" s="675">
        <v>22329</v>
      </c>
      <c r="GD29" s="675">
        <v>2.6320000000000001</v>
      </c>
      <c r="GE29" s="675">
        <v>0</v>
      </c>
      <c r="GF29" s="675">
        <v>0</v>
      </c>
      <c r="GG29" s="675">
        <v>0</v>
      </c>
      <c r="GH29" s="675">
        <v>0</v>
      </c>
      <c r="GI29" s="675">
        <v>0</v>
      </c>
      <c r="GJ29" s="675">
        <v>0</v>
      </c>
      <c r="GK29" s="675">
        <v>0</v>
      </c>
      <c r="GL29" s="675">
        <v>0</v>
      </c>
      <c r="GM29" s="675">
        <v>0</v>
      </c>
      <c r="GN29" s="675">
        <v>0</v>
      </c>
      <c r="GO29" s="675">
        <v>0</v>
      </c>
      <c r="GP29" s="675">
        <v>0</v>
      </c>
      <c r="GQ29" s="675">
        <v>0</v>
      </c>
      <c r="GR29" s="675">
        <v>0</v>
      </c>
      <c r="GS29" s="675">
        <v>0</v>
      </c>
      <c r="GT29" s="675">
        <v>0</v>
      </c>
      <c r="GU29" s="675">
        <v>0</v>
      </c>
      <c r="GV29" s="675">
        <v>0</v>
      </c>
      <c r="GW29" s="675">
        <v>0</v>
      </c>
      <c r="GX29" s="675">
        <v>0</v>
      </c>
      <c r="GY29" s="675">
        <v>0</v>
      </c>
      <c r="GZ29" s="675">
        <v>0</v>
      </c>
      <c r="HA29" s="675">
        <v>0</v>
      </c>
      <c r="HB29" s="675">
        <v>298386780</v>
      </c>
      <c r="HC29" s="675">
        <v>4.5690999999999996E-2</v>
      </c>
      <c r="HD29" s="675">
        <v>8473</v>
      </c>
      <c r="HE29" s="675">
        <v>0</v>
      </c>
      <c r="HF29" s="675">
        <v>40817</v>
      </c>
      <c r="HG29" s="675">
        <v>0</v>
      </c>
      <c r="HH29" s="675">
        <v>0</v>
      </c>
      <c r="HI29" s="675">
        <v>0</v>
      </c>
      <c r="HJ29" s="675">
        <v>451</v>
      </c>
      <c r="HK29" s="675">
        <v>810</v>
      </c>
      <c r="HL29" s="675">
        <v>0</v>
      </c>
      <c r="HM29" s="675">
        <v>0</v>
      </c>
      <c r="HN29" s="675">
        <v>0</v>
      </c>
      <c r="HO29" s="675">
        <v>0</v>
      </c>
      <c r="HP29" s="675">
        <v>0</v>
      </c>
      <c r="HQ29" s="675">
        <v>0</v>
      </c>
      <c r="HR29" s="675">
        <v>0</v>
      </c>
      <c r="HS29" s="675">
        <v>520686</v>
      </c>
      <c r="HT29" s="675">
        <v>11249</v>
      </c>
      <c r="HU29" s="675">
        <v>0</v>
      </c>
      <c r="HV29" s="675">
        <v>0</v>
      </c>
      <c r="HW29" s="675">
        <v>0</v>
      </c>
      <c r="HX29" s="675">
        <v>12</v>
      </c>
      <c r="HY29" s="675">
        <v>13</v>
      </c>
      <c r="HZ29" s="675">
        <v>9</v>
      </c>
      <c r="IA29" s="675">
        <v>10</v>
      </c>
      <c r="IB29" s="675">
        <v>7</v>
      </c>
      <c r="IC29" s="675">
        <v>51</v>
      </c>
      <c r="ID29" s="675">
        <v>0</v>
      </c>
      <c r="IE29" s="675">
        <v>0</v>
      </c>
      <c r="IF29" s="675">
        <v>0</v>
      </c>
      <c r="IG29" s="675">
        <v>0</v>
      </c>
      <c r="IH29" s="675">
        <v>0</v>
      </c>
      <c r="II29" s="675">
        <v>0</v>
      </c>
      <c r="IJ29" s="675">
        <v>2.8220000000000001</v>
      </c>
      <c r="IK29" s="675">
        <v>45.243000000000002</v>
      </c>
      <c r="IL29" s="675">
        <v>0</v>
      </c>
      <c r="IM29" s="675">
        <v>0</v>
      </c>
      <c r="IN29" s="675">
        <v>0</v>
      </c>
      <c r="IO29" s="675">
        <v>0</v>
      </c>
      <c r="IP29" s="675">
        <v>45.243000000000002</v>
      </c>
      <c r="IQ29" s="675">
        <v>2.8220000000000001</v>
      </c>
      <c r="IR29" s="675">
        <v>1738</v>
      </c>
      <c r="IS29" s="675">
        <v>12442</v>
      </c>
      <c r="IT29" s="675">
        <v>0</v>
      </c>
      <c r="IU29" s="675">
        <v>0</v>
      </c>
      <c r="IV29" s="675">
        <v>0</v>
      </c>
      <c r="IW29" s="675">
        <v>6160</v>
      </c>
      <c r="IX29" s="675">
        <v>0</v>
      </c>
      <c r="IY29" s="675">
        <v>0</v>
      </c>
      <c r="IZ29" s="675">
        <v>12442</v>
      </c>
      <c r="JA29" s="675">
        <v>0</v>
      </c>
      <c r="JB29" s="675">
        <v>0</v>
      </c>
      <c r="JC29" s="675">
        <v>0</v>
      </c>
      <c r="JD29" s="675">
        <v>0</v>
      </c>
      <c r="JE29" s="675">
        <v>0</v>
      </c>
      <c r="JF29" s="675">
        <v>0</v>
      </c>
      <c r="JG29" s="675">
        <v>0</v>
      </c>
      <c r="JH29" s="675">
        <v>0</v>
      </c>
      <c r="JI29" s="675">
        <v>0</v>
      </c>
      <c r="JJ29" s="675">
        <v>0</v>
      </c>
      <c r="JK29" s="675">
        <v>0</v>
      </c>
      <c r="JL29" s="675">
        <v>0</v>
      </c>
      <c r="JM29" s="675">
        <v>0</v>
      </c>
      <c r="JN29" s="675">
        <v>32469</v>
      </c>
      <c r="JO29" s="675">
        <v>1.724</v>
      </c>
      <c r="JP29" s="675">
        <v>0.81900000000000006</v>
      </c>
      <c r="JQ29" s="675">
        <v>8.900000000000001E-2</v>
      </c>
      <c r="JR29" s="675">
        <v>13768</v>
      </c>
      <c r="JS29" s="675">
        <v>7611</v>
      </c>
      <c r="JT29" s="675">
        <v>950</v>
      </c>
      <c r="JU29" s="675">
        <v>0</v>
      </c>
      <c r="JV29" s="675">
        <v>0</v>
      </c>
      <c r="JW29" s="675">
        <v>0</v>
      </c>
      <c r="JX29" s="675">
        <v>0</v>
      </c>
      <c r="JY29" s="675">
        <v>0</v>
      </c>
      <c r="JZ29" s="675">
        <v>0</v>
      </c>
      <c r="KA29" s="675">
        <v>0</v>
      </c>
      <c r="KB29" s="675">
        <v>0</v>
      </c>
      <c r="KC29" s="675">
        <v>0</v>
      </c>
      <c r="KD29" s="675">
        <v>0</v>
      </c>
      <c r="KE29" s="675">
        <v>7260</v>
      </c>
      <c r="KF29" s="675">
        <v>0</v>
      </c>
      <c r="KG29" s="675">
        <v>0</v>
      </c>
      <c r="KH29" s="675">
        <v>0</v>
      </c>
      <c r="KI29" s="675">
        <v>0</v>
      </c>
    </row>
    <row r="30" spans="1:295" ht="12.5" x14ac:dyDescent="0.25">
      <c r="A30" s="675">
        <v>35795</v>
      </c>
      <c r="B30" s="675">
        <v>130801</v>
      </c>
      <c r="C30" s="675">
        <v>9</v>
      </c>
      <c r="D30" s="675">
        <v>2022</v>
      </c>
      <c r="E30" s="675">
        <v>6160</v>
      </c>
      <c r="F30" s="675">
        <v>0</v>
      </c>
      <c r="G30" s="675">
        <v>67.48</v>
      </c>
      <c r="H30" s="675">
        <v>41.01</v>
      </c>
      <c r="I30" s="675">
        <v>41.01</v>
      </c>
      <c r="J30" s="675">
        <v>67.48</v>
      </c>
      <c r="K30" s="675">
        <v>0</v>
      </c>
      <c r="L30" s="675">
        <v>6160</v>
      </c>
      <c r="M30" s="675">
        <v>0</v>
      </c>
      <c r="N30" s="675">
        <v>0</v>
      </c>
      <c r="O30" s="675">
        <v>0</v>
      </c>
      <c r="P30" s="675">
        <v>78.606000000000009</v>
      </c>
      <c r="Q30" s="675">
        <v>0</v>
      </c>
      <c r="R30" s="675">
        <v>31633</v>
      </c>
      <c r="S30" s="675">
        <v>402.428</v>
      </c>
      <c r="T30" s="675">
        <v>0</v>
      </c>
      <c r="U30" s="675">
        <v>16821</v>
      </c>
      <c r="V30" s="675">
        <v>0.39700000000000002</v>
      </c>
      <c r="W30" s="675">
        <v>245</v>
      </c>
      <c r="X30" s="675">
        <v>245</v>
      </c>
      <c r="Y30" s="675">
        <v>0</v>
      </c>
      <c r="Z30" s="675">
        <v>0</v>
      </c>
      <c r="AA30" s="675">
        <v>0</v>
      </c>
      <c r="AB30" s="675">
        <v>0</v>
      </c>
      <c r="AC30" s="675">
        <v>0</v>
      </c>
      <c r="AD30" s="675" t="s">
        <v>316</v>
      </c>
      <c r="AE30" s="675">
        <v>0</v>
      </c>
      <c r="AF30" s="675">
        <v>0</v>
      </c>
      <c r="AG30" s="675">
        <v>0</v>
      </c>
      <c r="AH30" s="675">
        <v>0</v>
      </c>
      <c r="AI30" s="675">
        <v>0</v>
      </c>
      <c r="AJ30" s="675">
        <v>6160</v>
      </c>
      <c r="AK30" s="675" t="s">
        <v>671</v>
      </c>
      <c r="AL30" s="675" t="s">
        <v>447</v>
      </c>
      <c r="AM30" s="675">
        <v>0</v>
      </c>
      <c r="AN30" s="675">
        <v>0</v>
      </c>
      <c r="AO30" s="675">
        <v>0</v>
      </c>
      <c r="AP30" s="675">
        <v>0</v>
      </c>
      <c r="AQ30" s="675">
        <v>0</v>
      </c>
      <c r="AR30" s="675">
        <v>0</v>
      </c>
      <c r="AS30" s="675">
        <v>0</v>
      </c>
      <c r="AT30" s="675">
        <v>0</v>
      </c>
      <c r="AU30" s="675">
        <v>0</v>
      </c>
      <c r="AV30" s="675">
        <v>-244</v>
      </c>
      <c r="AW30" s="675">
        <v>1205163</v>
      </c>
      <c r="AX30" s="675">
        <v>1195311</v>
      </c>
      <c r="AY30" s="675">
        <v>838489</v>
      </c>
      <c r="AZ30" s="675">
        <v>31633</v>
      </c>
      <c r="BA30" s="675">
        <v>0</v>
      </c>
      <c r="BB30" s="675">
        <v>72</v>
      </c>
      <c r="BC30" s="675">
        <v>72</v>
      </c>
      <c r="BD30" s="675">
        <v>0.16700000000000001</v>
      </c>
      <c r="BE30" s="675">
        <v>0</v>
      </c>
      <c r="BF30" s="675">
        <v>1084698</v>
      </c>
      <c r="BG30" s="675">
        <v>0</v>
      </c>
      <c r="BH30" s="675">
        <v>0</v>
      </c>
      <c r="BI30" s="675">
        <v>0</v>
      </c>
      <c r="BJ30" s="675">
        <v>12</v>
      </c>
      <c r="BK30" s="675">
        <v>0</v>
      </c>
      <c r="BL30" s="675">
        <v>0</v>
      </c>
      <c r="BM30" s="675">
        <v>0</v>
      </c>
      <c r="BN30" s="675">
        <v>0</v>
      </c>
      <c r="BO30" s="675">
        <v>0</v>
      </c>
      <c r="BP30" s="675">
        <v>0</v>
      </c>
      <c r="BQ30" s="675">
        <v>764</v>
      </c>
      <c r="BR30" s="675">
        <v>0</v>
      </c>
      <c r="BS30" s="675">
        <v>0</v>
      </c>
      <c r="BT30" s="675">
        <v>0</v>
      </c>
      <c r="BU30" s="675">
        <v>0</v>
      </c>
      <c r="BV30" s="675">
        <v>0</v>
      </c>
      <c r="BW30" s="675">
        <v>0</v>
      </c>
      <c r="BX30" s="675">
        <v>0</v>
      </c>
      <c r="BY30" s="675">
        <v>0</v>
      </c>
      <c r="BZ30" s="675">
        <v>0</v>
      </c>
      <c r="CA30" s="675">
        <v>0</v>
      </c>
      <c r="CB30" s="675">
        <v>0</v>
      </c>
      <c r="CC30" s="675">
        <v>0</v>
      </c>
      <c r="CD30" s="675">
        <v>0</v>
      </c>
      <c r="CE30" s="675">
        <v>0</v>
      </c>
      <c r="CF30" s="675">
        <v>0</v>
      </c>
      <c r="CG30" s="675">
        <v>0</v>
      </c>
      <c r="CH30" s="675">
        <v>12333</v>
      </c>
      <c r="CI30" s="675">
        <v>0</v>
      </c>
      <c r="CJ30" s="675">
        <v>4</v>
      </c>
      <c r="CK30" s="675">
        <v>0</v>
      </c>
      <c r="CL30" s="675">
        <v>0</v>
      </c>
      <c r="CM30" s="675">
        <v>0</v>
      </c>
      <c r="CN30" s="675">
        <v>0</v>
      </c>
      <c r="CO30" s="675">
        <v>1</v>
      </c>
      <c r="CP30" s="675">
        <v>0</v>
      </c>
      <c r="CQ30" s="675">
        <v>0</v>
      </c>
      <c r="CR30" s="675">
        <v>77.87700000000001</v>
      </c>
      <c r="CS30" s="675">
        <v>0</v>
      </c>
      <c r="CT30" s="675">
        <v>0</v>
      </c>
      <c r="CU30" s="675">
        <v>0</v>
      </c>
      <c r="CV30" s="675">
        <v>0</v>
      </c>
      <c r="CW30" s="675">
        <v>0</v>
      </c>
      <c r="CX30" s="675">
        <v>0</v>
      </c>
      <c r="CY30" s="675">
        <v>0</v>
      </c>
      <c r="CZ30" s="675">
        <v>0</v>
      </c>
      <c r="DA30" s="675">
        <v>0</v>
      </c>
      <c r="DB30" s="675">
        <v>157796</v>
      </c>
      <c r="DC30" s="675">
        <v>0</v>
      </c>
      <c r="DD30" s="675">
        <v>0</v>
      </c>
      <c r="DE30" s="675">
        <v>116192</v>
      </c>
      <c r="DF30" s="675">
        <v>117424</v>
      </c>
      <c r="DG30" s="675">
        <v>18.863</v>
      </c>
      <c r="DH30" s="675">
        <v>0</v>
      </c>
      <c r="DI30" s="675">
        <v>0</v>
      </c>
      <c r="DJ30" s="675">
        <v>0</v>
      </c>
      <c r="DK30" s="675">
        <v>3841</v>
      </c>
      <c r="DL30" s="675">
        <v>0</v>
      </c>
      <c r="DM30" s="675">
        <v>745963</v>
      </c>
      <c r="DN30" s="675">
        <v>2480</v>
      </c>
      <c r="DO30" s="675">
        <v>0</v>
      </c>
      <c r="DP30" s="675">
        <v>0</v>
      </c>
      <c r="DQ30" s="675">
        <v>0</v>
      </c>
      <c r="DR30" s="675">
        <v>0</v>
      </c>
      <c r="DS30" s="675">
        <v>0</v>
      </c>
      <c r="DT30" s="675">
        <v>0</v>
      </c>
      <c r="DU30" s="675">
        <v>0</v>
      </c>
      <c r="DV30" s="675">
        <v>0</v>
      </c>
      <c r="DW30" s="675">
        <v>0</v>
      </c>
      <c r="DX30" s="675">
        <v>0</v>
      </c>
      <c r="DY30" s="675">
        <v>0</v>
      </c>
      <c r="DZ30" s="675">
        <v>0</v>
      </c>
      <c r="EA30" s="675">
        <v>0</v>
      </c>
      <c r="EB30" s="675">
        <v>0</v>
      </c>
      <c r="EC30" s="675">
        <v>3.79</v>
      </c>
      <c r="ED30" s="675">
        <v>26848</v>
      </c>
      <c r="EE30" s="675">
        <v>0</v>
      </c>
      <c r="EF30" s="675">
        <v>0</v>
      </c>
      <c r="EG30" s="675">
        <v>0</v>
      </c>
      <c r="EH30" s="675">
        <v>17353</v>
      </c>
      <c r="EI30" s="675">
        <v>609418</v>
      </c>
      <c r="EJ30" s="675">
        <v>24.733000000000001</v>
      </c>
      <c r="EK30" s="675">
        <v>0.45</v>
      </c>
      <c r="EL30" s="675">
        <v>0</v>
      </c>
      <c r="EM30" s="675">
        <v>0.434</v>
      </c>
      <c r="EN30" s="675">
        <v>3.3000000000000002E-2</v>
      </c>
      <c r="EO30" s="675">
        <v>0</v>
      </c>
      <c r="EP30" s="675">
        <v>0</v>
      </c>
      <c r="EQ30" s="675">
        <v>25.650000000000002</v>
      </c>
      <c r="ER30" s="675">
        <v>0</v>
      </c>
      <c r="ES30" s="675">
        <v>2.8170000000000002</v>
      </c>
      <c r="ET30" s="675">
        <v>0</v>
      </c>
      <c r="EU30" s="675">
        <v>0</v>
      </c>
      <c r="EV30" s="675">
        <v>0</v>
      </c>
      <c r="EW30" s="675">
        <v>0</v>
      </c>
      <c r="EX30" s="675">
        <v>0</v>
      </c>
      <c r="EY30" s="675">
        <v>0</v>
      </c>
      <c r="EZ30" s="675">
        <v>1062154</v>
      </c>
      <c r="FA30" s="675">
        <v>0</v>
      </c>
      <c r="FB30" s="675">
        <v>1091306</v>
      </c>
      <c r="FC30" s="675">
        <v>0</v>
      </c>
      <c r="FD30" s="675">
        <v>0</v>
      </c>
      <c r="FE30" s="675">
        <v>110336</v>
      </c>
      <c r="FF30" s="675">
        <v>22821</v>
      </c>
      <c r="FG30" s="675">
        <v>6.3574999999999993E-2</v>
      </c>
      <c r="FH30" s="675">
        <v>2.6298999999999999E-2</v>
      </c>
      <c r="FI30" s="675">
        <v>0</v>
      </c>
      <c r="FJ30" s="675">
        <v>0</v>
      </c>
      <c r="FK30" s="675">
        <v>176.08800000000002</v>
      </c>
      <c r="FL30" s="675">
        <v>1236796</v>
      </c>
      <c r="FM30" s="675">
        <v>0</v>
      </c>
      <c r="FN30" s="675">
        <v>0</v>
      </c>
      <c r="FO30" s="675">
        <v>0</v>
      </c>
      <c r="FP30" s="675">
        <v>0</v>
      </c>
      <c r="FQ30" s="675">
        <v>0</v>
      </c>
      <c r="FR30" s="675">
        <v>0</v>
      </c>
      <c r="FS30" s="675">
        <v>0</v>
      </c>
      <c r="FT30" s="675">
        <v>0</v>
      </c>
      <c r="FU30" s="675">
        <v>0</v>
      </c>
      <c r="FV30" s="675">
        <v>0</v>
      </c>
      <c r="FW30" s="675">
        <v>0</v>
      </c>
      <c r="FX30" s="675">
        <v>0</v>
      </c>
      <c r="FY30" s="675">
        <v>0</v>
      </c>
      <c r="FZ30" s="675">
        <v>0</v>
      </c>
      <c r="GA30" s="675">
        <v>0</v>
      </c>
      <c r="GB30" s="675">
        <v>6549</v>
      </c>
      <c r="GC30" s="675">
        <v>6549</v>
      </c>
      <c r="GD30" s="675">
        <v>0.82000000000000006</v>
      </c>
      <c r="GE30" s="675">
        <v>0</v>
      </c>
      <c r="GF30" s="675">
        <v>0</v>
      </c>
      <c r="GG30" s="675">
        <v>0</v>
      </c>
      <c r="GH30" s="675">
        <v>0</v>
      </c>
      <c r="GI30" s="675">
        <v>0</v>
      </c>
      <c r="GJ30" s="675">
        <v>0</v>
      </c>
      <c r="GK30" s="675">
        <v>0</v>
      </c>
      <c r="GL30" s="675">
        <v>0</v>
      </c>
      <c r="GM30" s="675">
        <v>0</v>
      </c>
      <c r="GN30" s="675">
        <v>0</v>
      </c>
      <c r="GO30" s="675">
        <v>0</v>
      </c>
      <c r="GP30" s="675">
        <v>0</v>
      </c>
      <c r="GQ30" s="675">
        <v>0</v>
      </c>
      <c r="GR30" s="675">
        <v>0</v>
      </c>
      <c r="GS30" s="675">
        <v>0</v>
      </c>
      <c r="GT30" s="675">
        <v>0</v>
      </c>
      <c r="GU30" s="675">
        <v>0</v>
      </c>
      <c r="GV30" s="675">
        <v>0</v>
      </c>
      <c r="GW30" s="675">
        <v>0</v>
      </c>
      <c r="GX30" s="675">
        <v>0</v>
      </c>
      <c r="GY30" s="675">
        <v>0</v>
      </c>
      <c r="GZ30" s="675">
        <v>0</v>
      </c>
      <c r="HA30" s="675">
        <v>0</v>
      </c>
      <c r="HB30" s="675">
        <v>298386780</v>
      </c>
      <c r="HC30" s="675">
        <v>4.5690999999999996E-2</v>
      </c>
      <c r="HD30" s="675">
        <v>12333</v>
      </c>
      <c r="HE30" s="675">
        <v>0</v>
      </c>
      <c r="HF30" s="675">
        <v>45111</v>
      </c>
      <c r="HG30" s="675">
        <v>0</v>
      </c>
      <c r="HH30" s="675">
        <v>5402</v>
      </c>
      <c r="HI30" s="675">
        <v>0</v>
      </c>
      <c r="HJ30" s="675">
        <v>656</v>
      </c>
      <c r="HK30" s="675">
        <v>522</v>
      </c>
      <c r="HL30" s="675">
        <v>0</v>
      </c>
      <c r="HM30" s="675">
        <v>3000</v>
      </c>
      <c r="HN30" s="675">
        <v>0</v>
      </c>
      <c r="HO30" s="675">
        <v>0</v>
      </c>
      <c r="HP30" s="675">
        <v>0</v>
      </c>
      <c r="HQ30" s="675">
        <v>0</v>
      </c>
      <c r="HR30" s="675">
        <v>0</v>
      </c>
      <c r="HS30" s="675">
        <v>1059673</v>
      </c>
      <c r="HT30" s="675">
        <v>22821</v>
      </c>
      <c r="HU30" s="675">
        <v>0</v>
      </c>
      <c r="HV30" s="675">
        <v>0</v>
      </c>
      <c r="HW30" s="675">
        <v>0</v>
      </c>
      <c r="HX30" s="675">
        <v>1</v>
      </c>
      <c r="HY30" s="675">
        <v>1</v>
      </c>
      <c r="HZ30" s="675">
        <v>1</v>
      </c>
      <c r="IA30" s="675">
        <v>0</v>
      </c>
      <c r="IB30" s="675">
        <v>66</v>
      </c>
      <c r="IC30" s="675">
        <v>69</v>
      </c>
      <c r="ID30" s="675">
        <v>1</v>
      </c>
      <c r="IE30" s="675">
        <v>0</v>
      </c>
      <c r="IF30" s="675">
        <v>0</v>
      </c>
      <c r="IG30" s="675">
        <v>0</v>
      </c>
      <c r="IH30" s="675">
        <v>8.77</v>
      </c>
      <c r="II30" s="675">
        <v>0</v>
      </c>
      <c r="IJ30" s="675">
        <v>0.39700000000000002</v>
      </c>
      <c r="IK30" s="675">
        <v>31.152000000000001</v>
      </c>
      <c r="IL30" s="675">
        <v>0</v>
      </c>
      <c r="IM30" s="675">
        <v>1</v>
      </c>
      <c r="IN30" s="675">
        <v>0</v>
      </c>
      <c r="IO30" s="675">
        <v>1</v>
      </c>
      <c r="IP30" s="675">
        <v>31.152000000000001</v>
      </c>
      <c r="IQ30" s="675">
        <v>0.39700000000000002</v>
      </c>
      <c r="IR30" s="675">
        <v>245</v>
      </c>
      <c r="IS30" s="675">
        <v>8567</v>
      </c>
      <c r="IT30" s="675">
        <v>0</v>
      </c>
      <c r="IU30" s="675">
        <v>3000</v>
      </c>
      <c r="IV30" s="675">
        <v>0</v>
      </c>
      <c r="IW30" s="675">
        <v>6160</v>
      </c>
      <c r="IX30" s="675">
        <v>0</v>
      </c>
      <c r="IY30" s="675">
        <v>0</v>
      </c>
      <c r="IZ30" s="675">
        <v>8567</v>
      </c>
      <c r="JA30" s="675">
        <v>1232</v>
      </c>
      <c r="JB30" s="675">
        <v>0</v>
      </c>
      <c r="JC30" s="675">
        <v>0</v>
      </c>
      <c r="JD30" s="675">
        <v>0</v>
      </c>
      <c r="JE30" s="675">
        <v>0</v>
      </c>
      <c r="JF30" s="675">
        <v>0</v>
      </c>
      <c r="JG30" s="675">
        <v>0</v>
      </c>
      <c r="JH30" s="675">
        <v>0</v>
      </c>
      <c r="JI30" s="675">
        <v>0</v>
      </c>
      <c r="JJ30" s="675">
        <v>0</v>
      </c>
      <c r="JK30" s="675">
        <v>0</v>
      </c>
      <c r="JL30" s="675">
        <v>0</v>
      </c>
      <c r="JM30" s="675">
        <v>0</v>
      </c>
      <c r="JN30" s="675">
        <v>32469</v>
      </c>
      <c r="JO30" s="675">
        <v>0.82000000000000006</v>
      </c>
      <c r="JP30" s="675">
        <v>0</v>
      </c>
      <c r="JQ30" s="675">
        <v>0</v>
      </c>
      <c r="JR30" s="675">
        <v>6549</v>
      </c>
      <c r="JS30" s="675">
        <v>0</v>
      </c>
      <c r="JT30" s="675">
        <v>0</v>
      </c>
      <c r="JU30" s="675">
        <v>72</v>
      </c>
      <c r="JV30" s="675">
        <v>0</v>
      </c>
      <c r="JW30" s="675">
        <v>0</v>
      </c>
      <c r="JX30" s="675">
        <v>0</v>
      </c>
      <c r="JY30" s="675">
        <v>0</v>
      </c>
      <c r="JZ30" s="675">
        <v>0</v>
      </c>
      <c r="KA30" s="675">
        <v>0</v>
      </c>
      <c r="KB30" s="675">
        <v>0</v>
      </c>
      <c r="KC30" s="675">
        <v>0</v>
      </c>
      <c r="KD30" s="675">
        <v>72</v>
      </c>
      <c r="KE30" s="675">
        <v>7260</v>
      </c>
      <c r="KF30" s="675">
        <v>0</v>
      </c>
      <c r="KG30" s="675">
        <v>0</v>
      </c>
      <c r="KH30" s="675">
        <v>0</v>
      </c>
      <c r="KI30" s="675">
        <v>0</v>
      </c>
    </row>
    <row r="31" spans="1:295" ht="12.5" x14ac:dyDescent="0.25">
      <c r="A31" s="675">
        <v>35795</v>
      </c>
      <c r="B31" s="675">
        <v>161801</v>
      </c>
      <c r="C31" s="675">
        <v>9</v>
      </c>
      <c r="D31" s="675">
        <v>2022</v>
      </c>
      <c r="E31" s="675">
        <v>6160</v>
      </c>
      <c r="F31" s="675">
        <v>0</v>
      </c>
      <c r="G31" s="675">
        <v>170.04500000000002</v>
      </c>
      <c r="H31" s="675">
        <v>155.18</v>
      </c>
      <c r="I31" s="675">
        <v>155.18</v>
      </c>
      <c r="J31" s="675">
        <v>170.04500000000002</v>
      </c>
      <c r="K31" s="675">
        <v>0</v>
      </c>
      <c r="L31" s="675">
        <v>6160</v>
      </c>
      <c r="M31" s="675">
        <v>0</v>
      </c>
      <c r="N31" s="675">
        <v>0</v>
      </c>
      <c r="O31" s="675">
        <v>0</v>
      </c>
      <c r="P31" s="675">
        <v>192.99600000000001</v>
      </c>
      <c r="Q31" s="675">
        <v>0</v>
      </c>
      <c r="R31" s="675">
        <v>77667</v>
      </c>
      <c r="S31" s="675">
        <v>402.428</v>
      </c>
      <c r="T31" s="675">
        <v>0</v>
      </c>
      <c r="U31" s="675">
        <v>41300</v>
      </c>
      <c r="V31" s="675">
        <v>50.983000000000004</v>
      </c>
      <c r="W31" s="675">
        <v>31405</v>
      </c>
      <c r="X31" s="675">
        <v>31405</v>
      </c>
      <c r="Y31" s="675">
        <v>0</v>
      </c>
      <c r="Z31" s="675">
        <v>0</v>
      </c>
      <c r="AA31" s="675">
        <v>0</v>
      </c>
      <c r="AB31" s="675">
        <v>0</v>
      </c>
      <c r="AC31" s="675">
        <v>0</v>
      </c>
      <c r="AD31" s="675" t="s">
        <v>316</v>
      </c>
      <c r="AE31" s="675">
        <v>0</v>
      </c>
      <c r="AF31" s="675">
        <v>0</v>
      </c>
      <c r="AG31" s="675">
        <v>0</v>
      </c>
      <c r="AH31" s="675">
        <v>0</v>
      </c>
      <c r="AI31" s="675">
        <v>0</v>
      </c>
      <c r="AJ31" s="675">
        <v>6160</v>
      </c>
      <c r="AK31" s="675" t="s">
        <v>671</v>
      </c>
      <c r="AL31" s="675" t="s">
        <v>5</v>
      </c>
      <c r="AM31" s="675">
        <v>0</v>
      </c>
      <c r="AN31" s="675">
        <v>0</v>
      </c>
      <c r="AO31" s="675">
        <v>0</v>
      </c>
      <c r="AP31" s="675">
        <v>0</v>
      </c>
      <c r="AQ31" s="675">
        <v>0</v>
      </c>
      <c r="AR31" s="675">
        <v>0</v>
      </c>
      <c r="AS31" s="675">
        <v>0</v>
      </c>
      <c r="AT31" s="675">
        <v>0</v>
      </c>
      <c r="AU31" s="675">
        <v>0</v>
      </c>
      <c r="AV31" s="675">
        <v>0</v>
      </c>
      <c r="AW31" s="675">
        <v>2006067</v>
      </c>
      <c r="AX31" s="675">
        <v>1976167</v>
      </c>
      <c r="AY31" s="675">
        <v>1386921</v>
      </c>
      <c r="AZ31" s="675">
        <v>77667</v>
      </c>
      <c r="BA31" s="675">
        <v>0</v>
      </c>
      <c r="BB31" s="675">
        <v>2587</v>
      </c>
      <c r="BC31" s="675">
        <v>2570</v>
      </c>
      <c r="BD31" s="675">
        <v>6</v>
      </c>
      <c r="BE31" s="675">
        <v>17</v>
      </c>
      <c r="BF31" s="675">
        <v>1829273</v>
      </c>
      <c r="BG31" s="675">
        <v>0</v>
      </c>
      <c r="BH31" s="675">
        <v>0</v>
      </c>
      <c r="BI31" s="675">
        <v>0</v>
      </c>
      <c r="BJ31" s="675">
        <v>12</v>
      </c>
      <c r="BK31" s="675">
        <v>0</v>
      </c>
      <c r="BL31" s="675">
        <v>0</v>
      </c>
      <c r="BM31" s="675">
        <v>0</v>
      </c>
      <c r="BN31" s="675">
        <v>0</v>
      </c>
      <c r="BO31" s="675">
        <v>0</v>
      </c>
      <c r="BP31" s="675">
        <v>0</v>
      </c>
      <c r="BQ31" s="675">
        <v>746</v>
      </c>
      <c r="BR31" s="675">
        <v>0</v>
      </c>
      <c r="BS31" s="675">
        <v>0</v>
      </c>
      <c r="BT31" s="675">
        <v>0</v>
      </c>
      <c r="BU31" s="675">
        <v>0</v>
      </c>
      <c r="BV31" s="675">
        <v>0</v>
      </c>
      <c r="BW31" s="675">
        <v>0</v>
      </c>
      <c r="BX31" s="675">
        <v>0</v>
      </c>
      <c r="BY31" s="675">
        <v>0</v>
      </c>
      <c r="BZ31" s="675">
        <v>0</v>
      </c>
      <c r="CA31" s="675">
        <v>0</v>
      </c>
      <c r="CB31" s="675">
        <v>0</v>
      </c>
      <c r="CC31" s="675">
        <v>0</v>
      </c>
      <c r="CD31" s="675">
        <v>0</v>
      </c>
      <c r="CE31" s="675">
        <v>0</v>
      </c>
      <c r="CF31" s="675">
        <v>0</v>
      </c>
      <c r="CG31" s="675">
        <v>0</v>
      </c>
      <c r="CH31" s="675">
        <v>31078</v>
      </c>
      <c r="CI31" s="675">
        <v>0</v>
      </c>
      <c r="CJ31" s="675">
        <v>4</v>
      </c>
      <c r="CK31" s="675">
        <v>0</v>
      </c>
      <c r="CL31" s="675">
        <v>0</v>
      </c>
      <c r="CM31" s="675">
        <v>0</v>
      </c>
      <c r="CN31" s="675">
        <v>0</v>
      </c>
      <c r="CO31" s="675">
        <v>1</v>
      </c>
      <c r="CP31" s="675">
        <v>0</v>
      </c>
      <c r="CQ31" s="675">
        <v>0</v>
      </c>
      <c r="CR31" s="675">
        <v>196.101</v>
      </c>
      <c r="CS31" s="675">
        <v>0</v>
      </c>
      <c r="CT31" s="675">
        <v>0</v>
      </c>
      <c r="CU31" s="675">
        <v>0</v>
      </c>
      <c r="CV31" s="675">
        <v>0</v>
      </c>
      <c r="CW31" s="675">
        <v>0</v>
      </c>
      <c r="CX31" s="675">
        <v>0</v>
      </c>
      <c r="CY31" s="675">
        <v>0</v>
      </c>
      <c r="CZ31" s="675">
        <v>0</v>
      </c>
      <c r="DA31" s="675">
        <v>0</v>
      </c>
      <c r="DB31" s="675">
        <v>955904</v>
      </c>
      <c r="DC31" s="675">
        <v>0</v>
      </c>
      <c r="DD31" s="675">
        <v>0</v>
      </c>
      <c r="DE31" s="675">
        <v>274119</v>
      </c>
      <c r="DF31" s="675">
        <v>274119</v>
      </c>
      <c r="DG31" s="675">
        <v>44.5</v>
      </c>
      <c r="DH31" s="675">
        <v>0</v>
      </c>
      <c r="DI31" s="675">
        <v>0</v>
      </c>
      <c r="DJ31" s="675">
        <v>0</v>
      </c>
      <c r="DK31" s="675">
        <v>3560</v>
      </c>
      <c r="DL31" s="675">
        <v>0</v>
      </c>
      <c r="DM31" s="675">
        <v>304832</v>
      </c>
      <c r="DN31" s="675">
        <v>1161</v>
      </c>
      <c r="DO31" s="675">
        <v>0</v>
      </c>
      <c r="DP31" s="675">
        <v>0</v>
      </c>
      <c r="DQ31" s="675">
        <v>0</v>
      </c>
      <c r="DR31" s="675">
        <v>0</v>
      </c>
      <c r="DS31" s="675">
        <v>0</v>
      </c>
      <c r="DT31" s="675">
        <v>0</v>
      </c>
      <c r="DU31" s="675">
        <v>0</v>
      </c>
      <c r="DV31" s="675">
        <v>0</v>
      </c>
      <c r="DW31" s="675">
        <v>0</v>
      </c>
      <c r="DX31" s="675">
        <v>0</v>
      </c>
      <c r="DY31" s="675">
        <v>0</v>
      </c>
      <c r="DZ31" s="675">
        <v>0</v>
      </c>
      <c r="EA31" s="675">
        <v>0</v>
      </c>
      <c r="EB31" s="675">
        <v>0</v>
      </c>
      <c r="EC31" s="675">
        <v>2.843</v>
      </c>
      <c r="ED31" s="675">
        <v>20140</v>
      </c>
      <c r="EE31" s="675">
        <v>0</v>
      </c>
      <c r="EF31" s="675">
        <v>0</v>
      </c>
      <c r="EG31" s="675">
        <v>0</v>
      </c>
      <c r="EH31" s="675">
        <v>285853</v>
      </c>
      <c r="EI31" s="675">
        <v>0</v>
      </c>
      <c r="EJ31" s="675">
        <v>0</v>
      </c>
      <c r="EK31" s="675">
        <v>13.96</v>
      </c>
      <c r="EL31" s="675">
        <v>0</v>
      </c>
      <c r="EM31" s="675">
        <v>0</v>
      </c>
      <c r="EN31" s="675">
        <v>0.90500000000000003</v>
      </c>
      <c r="EO31" s="675">
        <v>0</v>
      </c>
      <c r="EP31" s="675">
        <v>0</v>
      </c>
      <c r="EQ31" s="675">
        <v>14.865</v>
      </c>
      <c r="ER31" s="675">
        <v>0</v>
      </c>
      <c r="ES31" s="675">
        <v>46.405000000000001</v>
      </c>
      <c r="ET31" s="675">
        <v>0</v>
      </c>
      <c r="EU31" s="675">
        <v>0</v>
      </c>
      <c r="EV31" s="675">
        <v>0</v>
      </c>
      <c r="EW31" s="675">
        <v>0</v>
      </c>
      <c r="EX31" s="675">
        <v>0</v>
      </c>
      <c r="EY31" s="675">
        <v>0</v>
      </c>
      <c r="EZ31" s="675">
        <v>1751606</v>
      </c>
      <c r="FA31" s="675">
        <v>0</v>
      </c>
      <c r="FB31" s="675">
        <v>1828095</v>
      </c>
      <c r="FC31" s="675">
        <v>0</v>
      </c>
      <c r="FD31" s="675">
        <v>0</v>
      </c>
      <c r="FE31" s="675">
        <v>186074</v>
      </c>
      <c r="FF31" s="675">
        <v>38487</v>
      </c>
      <c r="FG31" s="675">
        <v>6.3574999999999993E-2</v>
      </c>
      <c r="FH31" s="675">
        <v>2.6298999999999999E-2</v>
      </c>
      <c r="FI31" s="675">
        <v>0</v>
      </c>
      <c r="FJ31" s="675">
        <v>0</v>
      </c>
      <c r="FK31" s="675">
        <v>296.96100000000001</v>
      </c>
      <c r="FL31" s="675">
        <v>2083734</v>
      </c>
      <c r="FM31" s="675">
        <v>0</v>
      </c>
      <c r="FN31" s="675">
        <v>0</v>
      </c>
      <c r="FO31" s="675">
        <v>0</v>
      </c>
      <c r="FP31" s="675">
        <v>0</v>
      </c>
      <c r="FQ31" s="675">
        <v>0</v>
      </c>
      <c r="FR31" s="675">
        <v>0</v>
      </c>
      <c r="FS31" s="675">
        <v>0</v>
      </c>
      <c r="FT31" s="675">
        <v>0</v>
      </c>
      <c r="FU31" s="675">
        <v>0</v>
      </c>
      <c r="FV31" s="675">
        <v>0</v>
      </c>
      <c r="FW31" s="675">
        <v>0</v>
      </c>
      <c r="FX31" s="675">
        <v>0</v>
      </c>
      <c r="FY31" s="675">
        <v>0</v>
      </c>
      <c r="FZ31" s="675">
        <v>0</v>
      </c>
      <c r="GA31" s="675">
        <v>0</v>
      </c>
      <c r="GB31" s="675">
        <v>0</v>
      </c>
      <c r="GC31" s="675">
        <v>0</v>
      </c>
      <c r="GD31" s="675">
        <v>0</v>
      </c>
      <c r="GE31" s="675">
        <v>0</v>
      </c>
      <c r="GF31" s="675">
        <v>0</v>
      </c>
      <c r="GG31" s="675">
        <v>0</v>
      </c>
      <c r="GH31" s="675">
        <v>0</v>
      </c>
      <c r="GI31" s="675">
        <v>0</v>
      </c>
      <c r="GJ31" s="675">
        <v>0</v>
      </c>
      <c r="GK31" s="675">
        <v>0</v>
      </c>
      <c r="GL31" s="675">
        <v>0</v>
      </c>
      <c r="GM31" s="675">
        <v>0</v>
      </c>
      <c r="GN31" s="675">
        <v>0</v>
      </c>
      <c r="GO31" s="675">
        <v>0</v>
      </c>
      <c r="GP31" s="675">
        <v>0</v>
      </c>
      <c r="GQ31" s="675">
        <v>0</v>
      </c>
      <c r="GR31" s="675">
        <v>0</v>
      </c>
      <c r="GS31" s="675">
        <v>0</v>
      </c>
      <c r="GT31" s="675">
        <v>0</v>
      </c>
      <c r="GU31" s="675">
        <v>0</v>
      </c>
      <c r="GV31" s="675">
        <v>0</v>
      </c>
      <c r="GW31" s="675">
        <v>0</v>
      </c>
      <c r="GX31" s="675">
        <v>0</v>
      </c>
      <c r="GY31" s="675">
        <v>0</v>
      </c>
      <c r="GZ31" s="675">
        <v>0</v>
      </c>
      <c r="HA31" s="675">
        <v>0</v>
      </c>
      <c r="HB31" s="675">
        <v>298386780</v>
      </c>
      <c r="HC31" s="675">
        <v>4.5690999999999996E-2</v>
      </c>
      <c r="HD31" s="675">
        <v>31078</v>
      </c>
      <c r="HE31" s="675">
        <v>0</v>
      </c>
      <c r="HF31" s="675">
        <v>170698</v>
      </c>
      <c r="HG31" s="675">
        <v>1925</v>
      </c>
      <c r="HH31" s="675">
        <v>84989</v>
      </c>
      <c r="HI31" s="675">
        <v>0</v>
      </c>
      <c r="HJ31" s="675">
        <v>1653</v>
      </c>
      <c r="HK31" s="675">
        <v>0</v>
      </c>
      <c r="HL31" s="675">
        <v>0</v>
      </c>
      <c r="HM31" s="675">
        <v>0</v>
      </c>
      <c r="HN31" s="675">
        <v>0</v>
      </c>
      <c r="HO31" s="675">
        <v>0</v>
      </c>
      <c r="HP31" s="675">
        <v>0</v>
      </c>
      <c r="HQ31" s="675">
        <v>0</v>
      </c>
      <c r="HR31" s="675">
        <v>0</v>
      </c>
      <c r="HS31" s="675">
        <v>1750428</v>
      </c>
      <c r="HT31" s="675">
        <v>38487</v>
      </c>
      <c r="HU31" s="675">
        <v>0</v>
      </c>
      <c r="HV31" s="675">
        <v>0</v>
      </c>
      <c r="HW31" s="675">
        <v>0</v>
      </c>
      <c r="HX31" s="675">
        <v>3</v>
      </c>
      <c r="HY31" s="675">
        <v>5</v>
      </c>
      <c r="HZ31" s="675">
        <v>5</v>
      </c>
      <c r="IA31" s="675">
        <v>77</v>
      </c>
      <c r="IB31" s="675">
        <v>77</v>
      </c>
      <c r="IC31" s="675">
        <v>167</v>
      </c>
      <c r="ID31" s="675">
        <v>0</v>
      </c>
      <c r="IE31" s="675">
        <v>0</v>
      </c>
      <c r="IF31" s="675">
        <v>0</v>
      </c>
      <c r="IG31" s="675">
        <v>3.125</v>
      </c>
      <c r="IH31" s="675">
        <v>137.97</v>
      </c>
      <c r="II31" s="675">
        <v>0</v>
      </c>
      <c r="IJ31" s="675">
        <v>50.983000000000004</v>
      </c>
      <c r="IK31" s="675">
        <v>0</v>
      </c>
      <c r="IL31" s="675">
        <v>0</v>
      </c>
      <c r="IM31" s="675">
        <v>0</v>
      </c>
      <c r="IN31" s="675">
        <v>0</v>
      </c>
      <c r="IO31" s="675">
        <v>0</v>
      </c>
      <c r="IP31" s="675">
        <v>0</v>
      </c>
      <c r="IQ31" s="675">
        <v>50.983000000000004</v>
      </c>
      <c r="IR31" s="675">
        <v>31405</v>
      </c>
      <c r="IS31" s="675">
        <v>0</v>
      </c>
      <c r="IT31" s="675">
        <v>0</v>
      </c>
      <c r="IU31" s="675">
        <v>0</v>
      </c>
      <c r="IV31" s="675">
        <v>0</v>
      </c>
      <c r="IW31" s="675">
        <v>6160</v>
      </c>
      <c r="IX31" s="675">
        <v>0</v>
      </c>
      <c r="IY31" s="675">
        <v>0</v>
      </c>
      <c r="IZ31" s="675">
        <v>0</v>
      </c>
      <c r="JA31" s="675">
        <v>0</v>
      </c>
      <c r="JB31" s="675">
        <v>0</v>
      </c>
      <c r="JC31" s="675">
        <v>0</v>
      </c>
      <c r="JD31" s="675">
        <v>0</v>
      </c>
      <c r="JE31" s="675">
        <v>0</v>
      </c>
      <c r="JF31" s="675">
        <v>0</v>
      </c>
      <c r="JG31" s="675">
        <v>0</v>
      </c>
      <c r="JH31" s="675">
        <v>0</v>
      </c>
      <c r="JI31" s="675">
        <v>0</v>
      </c>
      <c r="JJ31" s="675">
        <v>0</v>
      </c>
      <c r="JK31" s="675">
        <v>0</v>
      </c>
      <c r="JL31" s="675">
        <v>0</v>
      </c>
      <c r="JM31" s="675">
        <v>0</v>
      </c>
      <c r="JN31" s="675">
        <v>32469</v>
      </c>
      <c r="JO31" s="675">
        <v>0</v>
      </c>
      <c r="JP31" s="675">
        <v>0</v>
      </c>
      <c r="JQ31" s="675">
        <v>0</v>
      </c>
      <c r="JR31" s="675">
        <v>0</v>
      </c>
      <c r="JS31" s="675">
        <v>0</v>
      </c>
      <c r="JT31" s="675">
        <v>0</v>
      </c>
      <c r="JU31" s="675">
        <v>2587</v>
      </c>
      <c r="JV31" s="675">
        <v>0</v>
      </c>
      <c r="JW31" s="675">
        <v>0</v>
      </c>
      <c r="JX31" s="675">
        <v>0</v>
      </c>
      <c r="JY31" s="675">
        <v>0</v>
      </c>
      <c r="JZ31" s="675">
        <v>0</v>
      </c>
      <c r="KA31" s="675">
        <v>0</v>
      </c>
      <c r="KB31" s="675">
        <v>0</v>
      </c>
      <c r="KC31" s="675">
        <v>0</v>
      </c>
      <c r="KD31" s="675">
        <v>2587</v>
      </c>
      <c r="KE31" s="675">
        <v>7260</v>
      </c>
      <c r="KF31" s="675">
        <v>0</v>
      </c>
      <c r="KG31" s="675">
        <v>0</v>
      </c>
      <c r="KH31" s="675">
        <v>0</v>
      </c>
      <c r="KI31" s="675">
        <v>0</v>
      </c>
    </row>
    <row r="32" spans="1:295" ht="12.5" x14ac:dyDescent="0.25">
      <c r="A32" s="675">
        <v>35795</v>
      </c>
      <c r="B32" s="675">
        <v>170801</v>
      </c>
      <c r="C32" s="675">
        <v>9</v>
      </c>
      <c r="D32" s="675">
        <v>2022</v>
      </c>
      <c r="E32" s="675">
        <v>6160</v>
      </c>
      <c r="F32" s="675">
        <v>0</v>
      </c>
      <c r="G32" s="675">
        <v>285.98700000000002</v>
      </c>
      <c r="H32" s="675">
        <v>280.50100000000003</v>
      </c>
      <c r="I32" s="675">
        <v>280.50100000000003</v>
      </c>
      <c r="J32" s="675">
        <v>285.98700000000002</v>
      </c>
      <c r="K32" s="675">
        <v>0</v>
      </c>
      <c r="L32" s="675">
        <v>6160</v>
      </c>
      <c r="M32" s="675">
        <v>0</v>
      </c>
      <c r="N32" s="675">
        <v>0</v>
      </c>
      <c r="O32" s="675">
        <v>0</v>
      </c>
      <c r="P32" s="675">
        <v>379.791</v>
      </c>
      <c r="Q32" s="675">
        <v>0</v>
      </c>
      <c r="R32" s="675">
        <v>152839</v>
      </c>
      <c r="S32" s="675">
        <v>402.428</v>
      </c>
      <c r="T32" s="675">
        <v>0</v>
      </c>
      <c r="U32" s="675">
        <v>81276</v>
      </c>
      <c r="V32" s="675">
        <v>74.923000000000002</v>
      </c>
      <c r="W32" s="675">
        <v>51537</v>
      </c>
      <c r="X32" s="675">
        <v>51537</v>
      </c>
      <c r="Y32" s="675">
        <v>0</v>
      </c>
      <c r="Z32" s="675">
        <v>0</v>
      </c>
      <c r="AA32" s="675">
        <v>0</v>
      </c>
      <c r="AB32" s="675">
        <v>0</v>
      </c>
      <c r="AC32" s="675">
        <v>0</v>
      </c>
      <c r="AD32" s="675" t="s">
        <v>316</v>
      </c>
      <c r="AE32" s="675">
        <v>0</v>
      </c>
      <c r="AF32" s="675">
        <v>0</v>
      </c>
      <c r="AG32" s="675">
        <v>0</v>
      </c>
      <c r="AH32" s="675">
        <v>0</v>
      </c>
      <c r="AI32" s="675">
        <v>0</v>
      </c>
      <c r="AJ32" s="675">
        <v>6160</v>
      </c>
      <c r="AK32" s="675" t="s">
        <v>671</v>
      </c>
      <c r="AL32" s="675" t="s">
        <v>71</v>
      </c>
      <c r="AM32" s="675">
        <v>0</v>
      </c>
      <c r="AN32" s="675">
        <v>0</v>
      </c>
      <c r="AO32" s="675">
        <v>0</v>
      </c>
      <c r="AP32" s="675">
        <v>0</v>
      </c>
      <c r="AQ32" s="675">
        <v>0</v>
      </c>
      <c r="AR32" s="675">
        <v>0</v>
      </c>
      <c r="AS32" s="675">
        <v>0</v>
      </c>
      <c r="AT32" s="675">
        <v>0</v>
      </c>
      <c r="AU32" s="675">
        <v>0</v>
      </c>
      <c r="AV32" s="675">
        <v>-606354</v>
      </c>
      <c r="AW32" s="675">
        <v>3166808</v>
      </c>
      <c r="AX32" s="675">
        <v>3029692</v>
      </c>
      <c r="AY32" s="675">
        <v>1968220</v>
      </c>
      <c r="AZ32" s="675">
        <v>152839</v>
      </c>
      <c r="BA32" s="675">
        <v>0</v>
      </c>
      <c r="BB32" s="675">
        <v>0</v>
      </c>
      <c r="BC32" s="675">
        <v>0</v>
      </c>
      <c r="BD32" s="675">
        <v>0</v>
      </c>
      <c r="BE32" s="675">
        <v>0</v>
      </c>
      <c r="BF32" s="675">
        <v>2724849</v>
      </c>
      <c r="BG32" s="675">
        <v>0</v>
      </c>
      <c r="BH32" s="675">
        <v>0</v>
      </c>
      <c r="BI32" s="675">
        <v>0</v>
      </c>
      <c r="BJ32" s="675">
        <v>12</v>
      </c>
      <c r="BK32" s="675">
        <v>0</v>
      </c>
      <c r="BL32" s="675">
        <v>0</v>
      </c>
      <c r="BM32" s="675">
        <v>0</v>
      </c>
      <c r="BN32" s="675">
        <v>0</v>
      </c>
      <c r="BO32" s="675">
        <v>0</v>
      </c>
      <c r="BP32" s="675">
        <v>0</v>
      </c>
      <c r="BQ32" s="675">
        <v>727</v>
      </c>
      <c r="BR32" s="675">
        <v>0</v>
      </c>
      <c r="BS32" s="675">
        <v>0</v>
      </c>
      <c r="BT32" s="675">
        <v>0</v>
      </c>
      <c r="BU32" s="675">
        <v>0</v>
      </c>
      <c r="BV32" s="675">
        <v>0</v>
      </c>
      <c r="BW32" s="675">
        <v>0</v>
      </c>
      <c r="BX32" s="675">
        <v>0</v>
      </c>
      <c r="BY32" s="675">
        <v>0</v>
      </c>
      <c r="BZ32" s="675">
        <v>0</v>
      </c>
      <c r="CA32" s="675">
        <v>0</v>
      </c>
      <c r="CB32" s="675">
        <v>0</v>
      </c>
      <c r="CC32" s="675">
        <v>0</v>
      </c>
      <c r="CD32" s="675">
        <v>0</v>
      </c>
      <c r="CE32" s="675">
        <v>0</v>
      </c>
      <c r="CF32" s="675">
        <v>0</v>
      </c>
      <c r="CG32" s="675">
        <v>0</v>
      </c>
      <c r="CH32" s="675">
        <v>137785</v>
      </c>
      <c r="CI32" s="675">
        <v>0</v>
      </c>
      <c r="CJ32" s="675">
        <v>4</v>
      </c>
      <c r="CK32" s="675">
        <v>0</v>
      </c>
      <c r="CL32" s="675">
        <v>0</v>
      </c>
      <c r="CM32" s="675">
        <v>0</v>
      </c>
      <c r="CN32" s="675">
        <v>0</v>
      </c>
      <c r="CO32" s="675">
        <v>1</v>
      </c>
      <c r="CP32" s="675">
        <v>0</v>
      </c>
      <c r="CQ32" s="675">
        <v>0</v>
      </c>
      <c r="CR32" s="675">
        <v>382.19400000000002</v>
      </c>
      <c r="CS32" s="675">
        <v>0</v>
      </c>
      <c r="CT32" s="675">
        <v>0</v>
      </c>
      <c r="CU32" s="675">
        <v>0</v>
      </c>
      <c r="CV32" s="675">
        <v>0</v>
      </c>
      <c r="CW32" s="675">
        <v>0</v>
      </c>
      <c r="CX32" s="675">
        <v>0</v>
      </c>
      <c r="CY32" s="675">
        <v>0</v>
      </c>
      <c r="CZ32" s="675">
        <v>0</v>
      </c>
      <c r="DA32" s="675">
        <v>0</v>
      </c>
      <c r="DB32" s="675">
        <v>1618358</v>
      </c>
      <c r="DC32" s="675">
        <v>0</v>
      </c>
      <c r="DD32" s="675">
        <v>0</v>
      </c>
      <c r="DE32" s="675">
        <v>439052</v>
      </c>
      <c r="DF32" s="675">
        <v>439052</v>
      </c>
      <c r="DG32" s="675">
        <v>71.275000000000006</v>
      </c>
      <c r="DH32" s="675">
        <v>0</v>
      </c>
      <c r="DI32" s="675">
        <v>0</v>
      </c>
      <c r="DJ32" s="675">
        <v>0</v>
      </c>
      <c r="DK32" s="675">
        <v>3251</v>
      </c>
      <c r="DL32" s="675">
        <v>0</v>
      </c>
      <c r="DM32" s="675">
        <v>285071</v>
      </c>
      <c r="DN32" s="675">
        <v>669</v>
      </c>
      <c r="DO32" s="675">
        <v>0</v>
      </c>
      <c r="DP32" s="675">
        <v>0</v>
      </c>
      <c r="DQ32" s="675">
        <v>0</v>
      </c>
      <c r="DR32" s="675">
        <v>0</v>
      </c>
      <c r="DS32" s="675">
        <v>0</v>
      </c>
      <c r="DT32" s="675">
        <v>0</v>
      </c>
      <c r="DU32" s="675">
        <v>0</v>
      </c>
      <c r="DV32" s="675">
        <v>0</v>
      </c>
      <c r="DW32" s="675">
        <v>0</v>
      </c>
      <c r="DX32" s="675">
        <v>0</v>
      </c>
      <c r="DY32" s="675">
        <v>0</v>
      </c>
      <c r="DZ32" s="675">
        <v>0</v>
      </c>
      <c r="EA32" s="675">
        <v>0</v>
      </c>
      <c r="EB32" s="675">
        <v>0</v>
      </c>
      <c r="EC32" s="675">
        <v>10.102</v>
      </c>
      <c r="ED32" s="675">
        <v>71562</v>
      </c>
      <c r="EE32" s="675">
        <v>0</v>
      </c>
      <c r="EF32" s="675">
        <v>0</v>
      </c>
      <c r="EG32" s="675">
        <v>0</v>
      </c>
      <c r="EH32" s="675">
        <v>104658</v>
      </c>
      <c r="EI32" s="675">
        <v>0</v>
      </c>
      <c r="EJ32" s="675">
        <v>0</v>
      </c>
      <c r="EK32" s="675">
        <v>5.22</v>
      </c>
      <c r="EL32" s="675">
        <v>0</v>
      </c>
      <c r="EM32" s="675">
        <v>0</v>
      </c>
      <c r="EN32" s="675">
        <v>0.26600000000000001</v>
      </c>
      <c r="EO32" s="675">
        <v>0</v>
      </c>
      <c r="EP32" s="675">
        <v>0</v>
      </c>
      <c r="EQ32" s="675">
        <v>5.4860000000000007</v>
      </c>
      <c r="ER32" s="675">
        <v>0</v>
      </c>
      <c r="ES32" s="675">
        <v>16.990000000000002</v>
      </c>
      <c r="ET32" s="675">
        <v>0</v>
      </c>
      <c r="EU32" s="675">
        <v>0</v>
      </c>
      <c r="EV32" s="675">
        <v>0</v>
      </c>
      <c r="EW32" s="675">
        <v>0</v>
      </c>
      <c r="EX32" s="675">
        <v>0</v>
      </c>
      <c r="EY32" s="675">
        <v>0</v>
      </c>
      <c r="EZ32" s="675">
        <v>2695190</v>
      </c>
      <c r="FA32" s="675">
        <v>0</v>
      </c>
      <c r="FB32" s="675">
        <v>2847360</v>
      </c>
      <c r="FC32" s="675">
        <v>0</v>
      </c>
      <c r="FD32" s="675">
        <v>0</v>
      </c>
      <c r="FE32" s="675">
        <v>277173</v>
      </c>
      <c r="FF32" s="675">
        <v>57329</v>
      </c>
      <c r="FG32" s="675">
        <v>6.3574999999999993E-2</v>
      </c>
      <c r="FH32" s="675">
        <v>2.6298999999999999E-2</v>
      </c>
      <c r="FI32" s="675">
        <v>0</v>
      </c>
      <c r="FJ32" s="675">
        <v>0</v>
      </c>
      <c r="FK32" s="675">
        <v>442.34800000000001</v>
      </c>
      <c r="FL32" s="675">
        <v>3319647</v>
      </c>
      <c r="FM32" s="675">
        <v>0</v>
      </c>
      <c r="FN32" s="675">
        <v>0</v>
      </c>
      <c r="FO32" s="675">
        <v>123180</v>
      </c>
      <c r="FP32" s="675">
        <v>0</v>
      </c>
      <c r="FQ32" s="675">
        <v>123180</v>
      </c>
      <c r="FR32" s="675">
        <v>123180</v>
      </c>
      <c r="FS32" s="675">
        <v>0</v>
      </c>
      <c r="FT32" s="675">
        <v>0</v>
      </c>
      <c r="FU32" s="675">
        <v>0</v>
      </c>
      <c r="FV32" s="675">
        <v>0</v>
      </c>
      <c r="FW32" s="675">
        <v>0</v>
      </c>
      <c r="FX32" s="675">
        <v>0</v>
      </c>
      <c r="FY32" s="675">
        <v>0</v>
      </c>
      <c r="FZ32" s="675">
        <v>0</v>
      </c>
      <c r="GA32" s="675">
        <v>0</v>
      </c>
      <c r="GB32" s="675">
        <v>0</v>
      </c>
      <c r="GC32" s="675">
        <v>0</v>
      </c>
      <c r="GD32" s="675">
        <v>0</v>
      </c>
      <c r="GE32" s="675">
        <v>0</v>
      </c>
      <c r="GF32" s="675">
        <v>0</v>
      </c>
      <c r="GG32" s="675">
        <v>0</v>
      </c>
      <c r="GH32" s="675">
        <v>0</v>
      </c>
      <c r="GI32" s="675">
        <v>0</v>
      </c>
      <c r="GJ32" s="675">
        <v>0</v>
      </c>
      <c r="GK32" s="675">
        <v>0</v>
      </c>
      <c r="GL32" s="675">
        <v>0</v>
      </c>
      <c r="GM32" s="675">
        <v>0</v>
      </c>
      <c r="GN32" s="675">
        <v>0</v>
      </c>
      <c r="GO32" s="675">
        <v>0</v>
      </c>
      <c r="GP32" s="675">
        <v>0</v>
      </c>
      <c r="GQ32" s="675">
        <v>0</v>
      </c>
      <c r="GR32" s="675">
        <v>0</v>
      </c>
      <c r="GS32" s="675">
        <v>0</v>
      </c>
      <c r="GT32" s="675">
        <v>0</v>
      </c>
      <c r="GU32" s="675">
        <v>0</v>
      </c>
      <c r="GV32" s="675">
        <v>0</v>
      </c>
      <c r="GW32" s="675">
        <v>0</v>
      </c>
      <c r="GX32" s="675">
        <v>0</v>
      </c>
      <c r="GY32" s="675">
        <v>0</v>
      </c>
      <c r="GZ32" s="675">
        <v>0</v>
      </c>
      <c r="HA32" s="675">
        <v>0</v>
      </c>
      <c r="HB32" s="675">
        <v>298386780</v>
      </c>
      <c r="HC32" s="675">
        <v>4.5690999999999996E-2</v>
      </c>
      <c r="HD32" s="675">
        <v>52268</v>
      </c>
      <c r="HE32" s="675">
        <v>0</v>
      </c>
      <c r="HF32" s="675">
        <v>308551</v>
      </c>
      <c r="HG32" s="675">
        <v>5133</v>
      </c>
      <c r="HH32" s="675">
        <v>13698</v>
      </c>
      <c r="HI32" s="675">
        <v>0</v>
      </c>
      <c r="HJ32" s="675">
        <v>2780</v>
      </c>
      <c r="HK32" s="675">
        <v>0</v>
      </c>
      <c r="HL32" s="675">
        <v>0</v>
      </c>
      <c r="HM32" s="675">
        <v>0</v>
      </c>
      <c r="HN32" s="675">
        <v>0</v>
      </c>
      <c r="HO32" s="675">
        <v>0</v>
      </c>
      <c r="HP32" s="675">
        <v>0</v>
      </c>
      <c r="HQ32" s="675">
        <v>0</v>
      </c>
      <c r="HR32" s="675">
        <v>0</v>
      </c>
      <c r="HS32" s="675">
        <v>2694521</v>
      </c>
      <c r="HT32" s="675">
        <v>57329</v>
      </c>
      <c r="HU32" s="675">
        <v>0</v>
      </c>
      <c r="HV32" s="675">
        <v>0</v>
      </c>
      <c r="HW32" s="675">
        <v>0</v>
      </c>
      <c r="HX32" s="675">
        <v>15</v>
      </c>
      <c r="HY32" s="675">
        <v>15</v>
      </c>
      <c r="HZ32" s="675">
        <v>35</v>
      </c>
      <c r="IA32" s="675">
        <v>63</v>
      </c>
      <c r="IB32" s="675">
        <v>142</v>
      </c>
      <c r="IC32" s="675">
        <v>270</v>
      </c>
      <c r="ID32" s="675">
        <v>0</v>
      </c>
      <c r="IE32" s="675">
        <v>5.2930000000000001</v>
      </c>
      <c r="IF32" s="675">
        <v>1.603</v>
      </c>
      <c r="IG32" s="675">
        <v>8.3330000000000002</v>
      </c>
      <c r="IH32" s="675">
        <v>22.237000000000002</v>
      </c>
      <c r="II32" s="675">
        <v>0</v>
      </c>
      <c r="IJ32" s="675">
        <v>81.819000000000003</v>
      </c>
      <c r="IK32" s="675">
        <v>0</v>
      </c>
      <c r="IL32" s="675">
        <v>0</v>
      </c>
      <c r="IM32" s="675">
        <v>0</v>
      </c>
      <c r="IN32" s="675">
        <v>0</v>
      </c>
      <c r="IO32" s="675">
        <v>0</v>
      </c>
      <c r="IP32" s="675">
        <v>0</v>
      </c>
      <c r="IQ32" s="675">
        <v>74.923000000000002</v>
      </c>
      <c r="IR32" s="675">
        <v>46152</v>
      </c>
      <c r="IS32" s="675">
        <v>0</v>
      </c>
      <c r="IT32" s="675">
        <v>0</v>
      </c>
      <c r="IU32" s="675">
        <v>0</v>
      </c>
      <c r="IV32" s="675">
        <v>0</v>
      </c>
      <c r="IW32" s="675">
        <v>6160</v>
      </c>
      <c r="IX32" s="675">
        <v>4891</v>
      </c>
      <c r="IY32" s="675">
        <v>494</v>
      </c>
      <c r="IZ32" s="675">
        <v>0</v>
      </c>
      <c r="JA32" s="675">
        <v>0</v>
      </c>
      <c r="JB32" s="675">
        <v>0</v>
      </c>
      <c r="JC32" s="675">
        <v>0</v>
      </c>
      <c r="JD32" s="675">
        <v>0</v>
      </c>
      <c r="JE32" s="675">
        <v>0</v>
      </c>
      <c r="JF32" s="675">
        <v>0</v>
      </c>
      <c r="JG32" s="675">
        <v>0</v>
      </c>
      <c r="JH32" s="675">
        <v>0</v>
      </c>
      <c r="JI32" s="675">
        <v>0</v>
      </c>
      <c r="JJ32" s="675">
        <v>0</v>
      </c>
      <c r="JK32" s="675">
        <v>0</v>
      </c>
      <c r="JL32" s="675">
        <v>0</v>
      </c>
      <c r="JM32" s="675">
        <v>0</v>
      </c>
      <c r="JN32" s="675">
        <v>32469</v>
      </c>
      <c r="JO32" s="675">
        <v>0</v>
      </c>
      <c r="JP32" s="675">
        <v>0</v>
      </c>
      <c r="JQ32" s="675">
        <v>0</v>
      </c>
      <c r="JR32" s="675">
        <v>0</v>
      </c>
      <c r="JS32" s="675">
        <v>0</v>
      </c>
      <c r="JT32" s="675">
        <v>0</v>
      </c>
      <c r="JU32" s="675">
        <v>0</v>
      </c>
      <c r="JV32" s="675">
        <v>0</v>
      </c>
      <c r="JW32" s="675">
        <v>0</v>
      </c>
      <c r="JX32" s="675">
        <v>0</v>
      </c>
      <c r="JY32" s="675">
        <v>0</v>
      </c>
      <c r="JZ32" s="675">
        <v>0</v>
      </c>
      <c r="KA32" s="675">
        <v>0</v>
      </c>
      <c r="KB32" s="675">
        <v>0</v>
      </c>
      <c r="KC32" s="675">
        <v>0</v>
      </c>
      <c r="KD32" s="675">
        <v>0</v>
      </c>
      <c r="KE32" s="675">
        <v>7260</v>
      </c>
      <c r="KF32" s="675">
        <v>85517</v>
      </c>
      <c r="KG32" s="675">
        <v>0</v>
      </c>
      <c r="KH32" s="675">
        <v>0</v>
      </c>
      <c r="KI32" s="675">
        <v>0</v>
      </c>
    </row>
    <row r="33" spans="1:295" ht="12.5" x14ac:dyDescent="0.25">
      <c r="A33" s="675">
        <v>35795</v>
      </c>
      <c r="B33" s="675">
        <v>174801</v>
      </c>
      <c r="C33" s="675">
        <v>9</v>
      </c>
      <c r="D33" s="675">
        <v>2022</v>
      </c>
      <c r="E33" s="675">
        <v>6160</v>
      </c>
      <c r="F33" s="675">
        <v>0</v>
      </c>
      <c r="G33" s="675">
        <v>248.26000000000002</v>
      </c>
      <c r="H33" s="675">
        <v>244.595</v>
      </c>
      <c r="I33" s="675">
        <v>244.595</v>
      </c>
      <c r="J33" s="675">
        <v>248.26000000000002</v>
      </c>
      <c r="K33" s="675">
        <v>0</v>
      </c>
      <c r="L33" s="675">
        <v>6160</v>
      </c>
      <c r="M33" s="675">
        <v>0</v>
      </c>
      <c r="N33" s="675">
        <v>0</v>
      </c>
      <c r="O33" s="675">
        <v>0</v>
      </c>
      <c r="P33" s="675">
        <v>249.56300000000002</v>
      </c>
      <c r="Q33" s="675">
        <v>0</v>
      </c>
      <c r="R33" s="675">
        <v>100431</v>
      </c>
      <c r="S33" s="675">
        <v>402.428</v>
      </c>
      <c r="T33" s="675">
        <v>0</v>
      </c>
      <c r="U33" s="675">
        <v>53407</v>
      </c>
      <c r="V33" s="675">
        <v>5.6550000000000002</v>
      </c>
      <c r="W33" s="675">
        <v>3483</v>
      </c>
      <c r="X33" s="675">
        <v>3483</v>
      </c>
      <c r="Y33" s="675">
        <v>0</v>
      </c>
      <c r="Z33" s="675">
        <v>0</v>
      </c>
      <c r="AA33" s="675">
        <v>0</v>
      </c>
      <c r="AB33" s="675">
        <v>0</v>
      </c>
      <c r="AC33" s="675">
        <v>0</v>
      </c>
      <c r="AD33" s="675" t="s">
        <v>316</v>
      </c>
      <c r="AE33" s="675">
        <v>0</v>
      </c>
      <c r="AF33" s="675">
        <v>0</v>
      </c>
      <c r="AG33" s="675">
        <v>0</v>
      </c>
      <c r="AH33" s="675">
        <v>0</v>
      </c>
      <c r="AI33" s="675">
        <v>0</v>
      </c>
      <c r="AJ33" s="675">
        <v>6160</v>
      </c>
      <c r="AK33" s="675" t="s">
        <v>671</v>
      </c>
      <c r="AL33" s="675" t="s">
        <v>361</v>
      </c>
      <c r="AM33" s="675">
        <v>0</v>
      </c>
      <c r="AN33" s="675">
        <v>0</v>
      </c>
      <c r="AO33" s="675">
        <v>0</v>
      </c>
      <c r="AP33" s="675">
        <v>0</v>
      </c>
      <c r="AQ33" s="675">
        <v>0</v>
      </c>
      <c r="AR33" s="675">
        <v>0</v>
      </c>
      <c r="AS33" s="675">
        <v>0</v>
      </c>
      <c r="AT33" s="675">
        <v>0</v>
      </c>
      <c r="AU33" s="675">
        <v>0</v>
      </c>
      <c r="AV33" s="675">
        <v>0</v>
      </c>
      <c r="AW33" s="675">
        <v>2123201</v>
      </c>
      <c r="AX33" s="675">
        <v>2078227</v>
      </c>
      <c r="AY33" s="675">
        <v>1409018</v>
      </c>
      <c r="AZ33" s="675">
        <v>100431</v>
      </c>
      <c r="BA33" s="675">
        <v>0</v>
      </c>
      <c r="BB33" s="675">
        <v>0</v>
      </c>
      <c r="BC33" s="675">
        <v>0</v>
      </c>
      <c r="BD33" s="675">
        <v>0</v>
      </c>
      <c r="BE33" s="675">
        <v>0</v>
      </c>
      <c r="BF33" s="675">
        <v>1940449</v>
      </c>
      <c r="BG33" s="675">
        <v>0</v>
      </c>
      <c r="BH33" s="675">
        <v>0</v>
      </c>
      <c r="BI33" s="675">
        <v>0</v>
      </c>
      <c r="BJ33" s="675">
        <v>12</v>
      </c>
      <c r="BK33" s="675">
        <v>0</v>
      </c>
      <c r="BL33" s="675">
        <v>0</v>
      </c>
      <c r="BM33" s="675">
        <v>0</v>
      </c>
      <c r="BN33" s="675">
        <v>0</v>
      </c>
      <c r="BO33" s="675">
        <v>0</v>
      </c>
      <c r="BP33" s="675">
        <v>0</v>
      </c>
      <c r="BQ33" s="675">
        <v>732</v>
      </c>
      <c r="BR33" s="675">
        <v>0</v>
      </c>
      <c r="BS33" s="675">
        <v>0</v>
      </c>
      <c r="BT33" s="675">
        <v>0</v>
      </c>
      <c r="BU33" s="675">
        <v>0</v>
      </c>
      <c r="BV33" s="675">
        <v>0</v>
      </c>
      <c r="BW33" s="675">
        <v>0</v>
      </c>
      <c r="BX33" s="675">
        <v>0</v>
      </c>
      <c r="BY33" s="675">
        <v>0</v>
      </c>
      <c r="BZ33" s="675">
        <v>0</v>
      </c>
      <c r="CA33" s="675">
        <v>0</v>
      </c>
      <c r="CB33" s="675">
        <v>0</v>
      </c>
      <c r="CC33" s="675">
        <v>0</v>
      </c>
      <c r="CD33" s="675">
        <v>0</v>
      </c>
      <c r="CE33" s="675">
        <v>0</v>
      </c>
      <c r="CF33" s="675">
        <v>0</v>
      </c>
      <c r="CG33" s="675">
        <v>0</v>
      </c>
      <c r="CH33" s="675">
        <v>45373</v>
      </c>
      <c r="CI33" s="675">
        <v>0</v>
      </c>
      <c r="CJ33" s="675">
        <v>4</v>
      </c>
      <c r="CK33" s="675">
        <v>0</v>
      </c>
      <c r="CL33" s="675">
        <v>0</v>
      </c>
      <c r="CM33" s="675">
        <v>0</v>
      </c>
      <c r="CN33" s="675">
        <v>0</v>
      </c>
      <c r="CO33" s="675">
        <v>1</v>
      </c>
      <c r="CP33" s="675">
        <v>0</v>
      </c>
      <c r="CQ33" s="675">
        <v>0</v>
      </c>
      <c r="CR33" s="675">
        <v>250.74200000000002</v>
      </c>
      <c r="CS33" s="675">
        <v>0</v>
      </c>
      <c r="CT33" s="675">
        <v>0</v>
      </c>
      <c r="CU33" s="675">
        <v>0</v>
      </c>
      <c r="CV33" s="675">
        <v>0</v>
      </c>
      <c r="CW33" s="675">
        <v>0</v>
      </c>
      <c r="CX33" s="675">
        <v>0</v>
      </c>
      <c r="CY33" s="675">
        <v>0</v>
      </c>
      <c r="CZ33" s="675">
        <v>0</v>
      </c>
      <c r="DA33" s="675">
        <v>0</v>
      </c>
      <c r="DB33" s="675">
        <v>1506698</v>
      </c>
      <c r="DC33" s="675">
        <v>0</v>
      </c>
      <c r="DD33" s="675">
        <v>0</v>
      </c>
      <c r="DE33" s="675">
        <v>36960</v>
      </c>
      <c r="DF33" s="675">
        <v>36960</v>
      </c>
      <c r="DG33" s="675">
        <v>6</v>
      </c>
      <c r="DH33" s="675">
        <v>0</v>
      </c>
      <c r="DI33" s="675">
        <v>0</v>
      </c>
      <c r="DJ33" s="675">
        <v>0</v>
      </c>
      <c r="DK33" s="675">
        <v>3340</v>
      </c>
      <c r="DL33" s="675">
        <v>0</v>
      </c>
      <c r="DM33" s="675">
        <v>104746</v>
      </c>
      <c r="DN33" s="675">
        <v>399</v>
      </c>
      <c r="DO33" s="675">
        <v>0</v>
      </c>
      <c r="DP33" s="675">
        <v>0</v>
      </c>
      <c r="DQ33" s="675">
        <v>0</v>
      </c>
      <c r="DR33" s="675">
        <v>0</v>
      </c>
      <c r="DS33" s="675">
        <v>0</v>
      </c>
      <c r="DT33" s="675">
        <v>0</v>
      </c>
      <c r="DU33" s="675">
        <v>0</v>
      </c>
      <c r="DV33" s="675">
        <v>0</v>
      </c>
      <c r="DW33" s="675">
        <v>0</v>
      </c>
      <c r="DX33" s="675">
        <v>0</v>
      </c>
      <c r="DY33" s="675">
        <v>0</v>
      </c>
      <c r="DZ33" s="675">
        <v>0</v>
      </c>
      <c r="EA33" s="675">
        <v>0</v>
      </c>
      <c r="EB33" s="675">
        <v>0</v>
      </c>
      <c r="EC33" s="675">
        <v>4.32</v>
      </c>
      <c r="ED33" s="675">
        <v>30603</v>
      </c>
      <c r="EE33" s="675">
        <v>0</v>
      </c>
      <c r="EF33" s="675">
        <v>0</v>
      </c>
      <c r="EG33" s="675">
        <v>0</v>
      </c>
      <c r="EH33" s="675">
        <v>74542</v>
      </c>
      <c r="EI33" s="675">
        <v>0</v>
      </c>
      <c r="EJ33" s="675">
        <v>0</v>
      </c>
      <c r="EK33" s="675">
        <v>3.1120000000000001</v>
      </c>
      <c r="EL33" s="675">
        <v>0</v>
      </c>
      <c r="EM33" s="675">
        <v>0</v>
      </c>
      <c r="EN33" s="675">
        <v>0.55300000000000005</v>
      </c>
      <c r="EO33" s="675">
        <v>0</v>
      </c>
      <c r="EP33" s="675">
        <v>0</v>
      </c>
      <c r="EQ33" s="675">
        <v>3.665</v>
      </c>
      <c r="ER33" s="675">
        <v>0</v>
      </c>
      <c r="ES33" s="675">
        <v>12.101000000000001</v>
      </c>
      <c r="ET33" s="675">
        <v>0</v>
      </c>
      <c r="EU33" s="675">
        <v>0</v>
      </c>
      <c r="EV33" s="675">
        <v>0</v>
      </c>
      <c r="EW33" s="675">
        <v>0</v>
      </c>
      <c r="EX33" s="675">
        <v>0</v>
      </c>
      <c r="EY33" s="675">
        <v>0</v>
      </c>
      <c r="EZ33" s="675">
        <v>1840018</v>
      </c>
      <c r="FA33" s="675">
        <v>0</v>
      </c>
      <c r="FB33" s="675">
        <v>1940050</v>
      </c>
      <c r="FC33" s="675">
        <v>0</v>
      </c>
      <c r="FD33" s="675">
        <v>0</v>
      </c>
      <c r="FE33" s="675">
        <v>197383</v>
      </c>
      <c r="FF33" s="675">
        <v>40826</v>
      </c>
      <c r="FG33" s="675">
        <v>6.3574999999999993E-2</v>
      </c>
      <c r="FH33" s="675">
        <v>2.6298999999999999E-2</v>
      </c>
      <c r="FI33" s="675">
        <v>0</v>
      </c>
      <c r="FJ33" s="675">
        <v>0</v>
      </c>
      <c r="FK33" s="675">
        <v>315.00900000000001</v>
      </c>
      <c r="FL33" s="675">
        <v>2223632</v>
      </c>
      <c r="FM33" s="675">
        <v>0</v>
      </c>
      <c r="FN33" s="675">
        <v>0</v>
      </c>
      <c r="FO33" s="675">
        <v>0</v>
      </c>
      <c r="FP33" s="675">
        <v>0</v>
      </c>
      <c r="FQ33" s="675">
        <v>0</v>
      </c>
      <c r="FR33" s="675">
        <v>0</v>
      </c>
      <c r="FS33" s="675">
        <v>0</v>
      </c>
      <c r="FT33" s="675">
        <v>0</v>
      </c>
      <c r="FU33" s="675">
        <v>0</v>
      </c>
      <c r="FV33" s="675">
        <v>0</v>
      </c>
      <c r="FW33" s="675">
        <v>0</v>
      </c>
      <c r="FX33" s="675">
        <v>0</v>
      </c>
      <c r="FY33" s="675">
        <v>0</v>
      </c>
      <c r="FZ33" s="675">
        <v>0</v>
      </c>
      <c r="GA33" s="675">
        <v>0</v>
      </c>
      <c r="GB33" s="675">
        <v>0</v>
      </c>
      <c r="GC33" s="675">
        <v>0</v>
      </c>
      <c r="GD33" s="675">
        <v>0</v>
      </c>
      <c r="GE33" s="675">
        <v>0</v>
      </c>
      <c r="GF33" s="675">
        <v>0</v>
      </c>
      <c r="GG33" s="675">
        <v>0</v>
      </c>
      <c r="GH33" s="675">
        <v>0</v>
      </c>
      <c r="GI33" s="675">
        <v>0</v>
      </c>
      <c r="GJ33" s="675">
        <v>0</v>
      </c>
      <c r="GK33" s="675">
        <v>0</v>
      </c>
      <c r="GL33" s="675">
        <v>0</v>
      </c>
      <c r="GM33" s="675">
        <v>0</v>
      </c>
      <c r="GN33" s="675">
        <v>0</v>
      </c>
      <c r="GO33" s="675">
        <v>0</v>
      </c>
      <c r="GP33" s="675">
        <v>0</v>
      </c>
      <c r="GQ33" s="675">
        <v>0</v>
      </c>
      <c r="GR33" s="675">
        <v>0</v>
      </c>
      <c r="GS33" s="675">
        <v>0</v>
      </c>
      <c r="GT33" s="675">
        <v>0</v>
      </c>
      <c r="GU33" s="675">
        <v>0</v>
      </c>
      <c r="GV33" s="675">
        <v>0</v>
      </c>
      <c r="GW33" s="675">
        <v>0</v>
      </c>
      <c r="GX33" s="675">
        <v>0</v>
      </c>
      <c r="GY33" s="675">
        <v>0</v>
      </c>
      <c r="GZ33" s="675">
        <v>0</v>
      </c>
      <c r="HA33" s="675">
        <v>0</v>
      </c>
      <c r="HB33" s="675">
        <v>298386780</v>
      </c>
      <c r="HC33" s="675">
        <v>4.5690999999999996E-2</v>
      </c>
      <c r="HD33" s="675">
        <v>45373</v>
      </c>
      <c r="HE33" s="675">
        <v>0</v>
      </c>
      <c r="HF33" s="675">
        <v>269055</v>
      </c>
      <c r="HG33" s="675">
        <v>3850</v>
      </c>
      <c r="HH33" s="675">
        <v>12845</v>
      </c>
      <c r="HI33" s="675">
        <v>0</v>
      </c>
      <c r="HJ33" s="675">
        <v>2413</v>
      </c>
      <c r="HK33" s="675">
        <v>0</v>
      </c>
      <c r="HL33" s="675">
        <v>0</v>
      </c>
      <c r="HM33" s="675">
        <v>0</v>
      </c>
      <c r="HN33" s="675">
        <v>0</v>
      </c>
      <c r="HO33" s="675">
        <v>0</v>
      </c>
      <c r="HP33" s="675">
        <v>0</v>
      </c>
      <c r="HQ33" s="675">
        <v>0</v>
      </c>
      <c r="HR33" s="675">
        <v>0</v>
      </c>
      <c r="HS33" s="675">
        <v>1839619</v>
      </c>
      <c r="HT33" s="675">
        <v>40826</v>
      </c>
      <c r="HU33" s="675">
        <v>0</v>
      </c>
      <c r="HV33" s="675">
        <v>0</v>
      </c>
      <c r="HW33" s="675">
        <v>0</v>
      </c>
      <c r="HX33" s="675">
        <v>3</v>
      </c>
      <c r="HY33" s="675">
        <v>6</v>
      </c>
      <c r="HZ33" s="675">
        <v>7</v>
      </c>
      <c r="IA33" s="675">
        <v>4</v>
      </c>
      <c r="IB33" s="675">
        <v>4</v>
      </c>
      <c r="IC33" s="675">
        <v>24</v>
      </c>
      <c r="ID33" s="675">
        <v>0</v>
      </c>
      <c r="IE33" s="675">
        <v>0</v>
      </c>
      <c r="IF33" s="675">
        <v>0</v>
      </c>
      <c r="IG33" s="675">
        <v>6.25</v>
      </c>
      <c r="IH33" s="675">
        <v>20.853000000000002</v>
      </c>
      <c r="II33" s="675">
        <v>0</v>
      </c>
      <c r="IJ33" s="675">
        <v>5.6550000000000002</v>
      </c>
      <c r="IK33" s="675">
        <v>0</v>
      </c>
      <c r="IL33" s="675">
        <v>0</v>
      </c>
      <c r="IM33" s="675">
        <v>0</v>
      </c>
      <c r="IN33" s="675">
        <v>0</v>
      </c>
      <c r="IO33" s="675">
        <v>0</v>
      </c>
      <c r="IP33" s="675">
        <v>0</v>
      </c>
      <c r="IQ33" s="675">
        <v>5.6550000000000002</v>
      </c>
      <c r="IR33" s="675">
        <v>3483</v>
      </c>
      <c r="IS33" s="675">
        <v>0</v>
      </c>
      <c r="IT33" s="675">
        <v>0</v>
      </c>
      <c r="IU33" s="675">
        <v>0</v>
      </c>
      <c r="IV33" s="675">
        <v>0</v>
      </c>
      <c r="IW33" s="675">
        <v>6160</v>
      </c>
      <c r="IX33" s="675">
        <v>0</v>
      </c>
      <c r="IY33" s="675">
        <v>0</v>
      </c>
      <c r="IZ33" s="675">
        <v>0</v>
      </c>
      <c r="JA33" s="675">
        <v>0</v>
      </c>
      <c r="JB33" s="675">
        <v>0</v>
      </c>
      <c r="JC33" s="675">
        <v>0</v>
      </c>
      <c r="JD33" s="675">
        <v>0</v>
      </c>
      <c r="JE33" s="675">
        <v>0</v>
      </c>
      <c r="JF33" s="675">
        <v>0</v>
      </c>
      <c r="JG33" s="675">
        <v>0</v>
      </c>
      <c r="JH33" s="675">
        <v>0</v>
      </c>
      <c r="JI33" s="675">
        <v>0</v>
      </c>
      <c r="JJ33" s="675">
        <v>0</v>
      </c>
      <c r="JK33" s="675">
        <v>0</v>
      </c>
      <c r="JL33" s="675">
        <v>0</v>
      </c>
      <c r="JM33" s="675">
        <v>0</v>
      </c>
      <c r="JN33" s="675">
        <v>32469</v>
      </c>
      <c r="JO33" s="675">
        <v>0</v>
      </c>
      <c r="JP33" s="675">
        <v>0</v>
      </c>
      <c r="JQ33" s="675">
        <v>0</v>
      </c>
      <c r="JR33" s="675">
        <v>0</v>
      </c>
      <c r="JS33" s="675">
        <v>0</v>
      </c>
      <c r="JT33" s="675">
        <v>0</v>
      </c>
      <c r="JU33" s="675">
        <v>0</v>
      </c>
      <c r="JV33" s="675">
        <v>0</v>
      </c>
      <c r="JW33" s="675">
        <v>0</v>
      </c>
      <c r="JX33" s="675">
        <v>0</v>
      </c>
      <c r="JY33" s="675">
        <v>0</v>
      </c>
      <c r="JZ33" s="675">
        <v>0</v>
      </c>
      <c r="KA33" s="675">
        <v>0</v>
      </c>
      <c r="KB33" s="675">
        <v>0</v>
      </c>
      <c r="KC33" s="675">
        <v>0</v>
      </c>
      <c r="KD33" s="675">
        <v>0</v>
      </c>
      <c r="KE33" s="675">
        <v>7260</v>
      </c>
      <c r="KF33" s="675">
        <v>0</v>
      </c>
      <c r="KG33" s="675">
        <v>0</v>
      </c>
      <c r="KH33" s="675">
        <v>0</v>
      </c>
      <c r="KI33" s="675">
        <v>0</v>
      </c>
    </row>
    <row r="34" spans="1:295" ht="12.5" x14ac:dyDescent="0.25">
      <c r="A34" s="675">
        <v>35795</v>
      </c>
      <c r="B34" s="675">
        <v>178801</v>
      </c>
      <c r="C34" s="675">
        <v>9</v>
      </c>
      <c r="D34" s="675">
        <v>2022</v>
      </c>
      <c r="E34" s="675">
        <v>6160</v>
      </c>
      <c r="F34" s="675">
        <v>0</v>
      </c>
      <c r="G34" s="675">
        <v>149.82300000000001</v>
      </c>
      <c r="H34" s="675">
        <v>149.435</v>
      </c>
      <c r="I34" s="675">
        <v>149.435</v>
      </c>
      <c r="J34" s="675">
        <v>149.82300000000001</v>
      </c>
      <c r="K34" s="675">
        <v>0</v>
      </c>
      <c r="L34" s="675">
        <v>6160</v>
      </c>
      <c r="M34" s="675">
        <v>0</v>
      </c>
      <c r="N34" s="675">
        <v>0</v>
      </c>
      <c r="O34" s="675">
        <v>0</v>
      </c>
      <c r="P34" s="675">
        <v>194.13400000000001</v>
      </c>
      <c r="Q34" s="675">
        <v>0</v>
      </c>
      <c r="R34" s="675">
        <v>78125</v>
      </c>
      <c r="S34" s="675">
        <v>402.428</v>
      </c>
      <c r="T34" s="675">
        <v>0</v>
      </c>
      <c r="U34" s="675">
        <v>41545</v>
      </c>
      <c r="V34" s="675">
        <v>23.575000000000003</v>
      </c>
      <c r="W34" s="675">
        <v>14522</v>
      </c>
      <c r="X34" s="675">
        <v>14522</v>
      </c>
      <c r="Y34" s="675">
        <v>0</v>
      </c>
      <c r="Z34" s="675">
        <v>0</v>
      </c>
      <c r="AA34" s="675">
        <v>0</v>
      </c>
      <c r="AB34" s="675">
        <v>0</v>
      </c>
      <c r="AC34" s="675">
        <v>0</v>
      </c>
      <c r="AD34" s="675" t="s">
        <v>316</v>
      </c>
      <c r="AE34" s="675">
        <v>0</v>
      </c>
      <c r="AF34" s="675">
        <v>0</v>
      </c>
      <c r="AG34" s="675">
        <v>0</v>
      </c>
      <c r="AH34" s="675">
        <v>0</v>
      </c>
      <c r="AI34" s="675">
        <v>0</v>
      </c>
      <c r="AJ34" s="675">
        <v>6160</v>
      </c>
      <c r="AK34" s="675" t="s">
        <v>671</v>
      </c>
      <c r="AL34" s="675" t="s">
        <v>94</v>
      </c>
      <c r="AM34" s="675">
        <v>0</v>
      </c>
      <c r="AN34" s="675">
        <v>0</v>
      </c>
      <c r="AO34" s="675">
        <v>0</v>
      </c>
      <c r="AP34" s="675">
        <v>0</v>
      </c>
      <c r="AQ34" s="675">
        <v>0</v>
      </c>
      <c r="AR34" s="675">
        <v>0</v>
      </c>
      <c r="AS34" s="675">
        <v>0</v>
      </c>
      <c r="AT34" s="675">
        <v>0</v>
      </c>
      <c r="AU34" s="675">
        <v>0</v>
      </c>
      <c r="AV34" s="675">
        <v>0</v>
      </c>
      <c r="AW34" s="675">
        <v>1614050</v>
      </c>
      <c r="AX34" s="675">
        <v>1583060</v>
      </c>
      <c r="AY34" s="675">
        <v>1146157</v>
      </c>
      <c r="AZ34" s="675">
        <v>78125</v>
      </c>
      <c r="BA34" s="675">
        <v>0</v>
      </c>
      <c r="BB34" s="675">
        <v>0</v>
      </c>
      <c r="BC34" s="675">
        <v>0</v>
      </c>
      <c r="BD34" s="675">
        <v>0</v>
      </c>
      <c r="BE34" s="675">
        <v>0</v>
      </c>
      <c r="BF34" s="675">
        <v>1479555</v>
      </c>
      <c r="BG34" s="675">
        <v>0</v>
      </c>
      <c r="BH34" s="675">
        <v>0</v>
      </c>
      <c r="BI34" s="675">
        <v>0</v>
      </c>
      <c r="BJ34" s="675">
        <v>12</v>
      </c>
      <c r="BK34" s="675">
        <v>0</v>
      </c>
      <c r="BL34" s="675">
        <v>0</v>
      </c>
      <c r="BM34" s="675">
        <v>0</v>
      </c>
      <c r="BN34" s="675">
        <v>0</v>
      </c>
      <c r="BO34" s="675">
        <v>0</v>
      </c>
      <c r="BP34" s="675">
        <v>0</v>
      </c>
      <c r="BQ34" s="675">
        <v>747</v>
      </c>
      <c r="BR34" s="675">
        <v>0</v>
      </c>
      <c r="BS34" s="675">
        <v>0</v>
      </c>
      <c r="BT34" s="675">
        <v>0</v>
      </c>
      <c r="BU34" s="675">
        <v>0</v>
      </c>
      <c r="BV34" s="675">
        <v>0</v>
      </c>
      <c r="BW34" s="675">
        <v>0</v>
      </c>
      <c r="BX34" s="675">
        <v>0</v>
      </c>
      <c r="BY34" s="675">
        <v>0</v>
      </c>
      <c r="BZ34" s="675">
        <v>0</v>
      </c>
      <c r="CA34" s="675">
        <v>0</v>
      </c>
      <c r="CB34" s="675">
        <v>0</v>
      </c>
      <c r="CC34" s="675">
        <v>0</v>
      </c>
      <c r="CD34" s="675">
        <v>0</v>
      </c>
      <c r="CE34" s="675">
        <v>0</v>
      </c>
      <c r="CF34" s="675">
        <v>0</v>
      </c>
      <c r="CG34" s="675">
        <v>0</v>
      </c>
      <c r="CH34" s="675">
        <v>31292</v>
      </c>
      <c r="CI34" s="675">
        <v>0</v>
      </c>
      <c r="CJ34" s="675">
        <v>4</v>
      </c>
      <c r="CK34" s="675">
        <v>0</v>
      </c>
      <c r="CL34" s="675">
        <v>0</v>
      </c>
      <c r="CM34" s="675">
        <v>0</v>
      </c>
      <c r="CN34" s="675">
        <v>0</v>
      </c>
      <c r="CO34" s="675">
        <v>1</v>
      </c>
      <c r="CP34" s="675">
        <v>0</v>
      </c>
      <c r="CQ34" s="675">
        <v>0</v>
      </c>
      <c r="CR34" s="675">
        <v>198.52800000000002</v>
      </c>
      <c r="CS34" s="675">
        <v>0</v>
      </c>
      <c r="CT34" s="675">
        <v>0</v>
      </c>
      <c r="CU34" s="675">
        <v>0</v>
      </c>
      <c r="CV34" s="675">
        <v>0</v>
      </c>
      <c r="CW34" s="675">
        <v>0</v>
      </c>
      <c r="CX34" s="675">
        <v>0</v>
      </c>
      <c r="CY34" s="675">
        <v>0</v>
      </c>
      <c r="CZ34" s="675">
        <v>0</v>
      </c>
      <c r="DA34" s="675">
        <v>0</v>
      </c>
      <c r="DB34" s="675">
        <v>920515</v>
      </c>
      <c r="DC34" s="675">
        <v>0</v>
      </c>
      <c r="DD34" s="675">
        <v>0</v>
      </c>
      <c r="DE34" s="675">
        <v>253945</v>
      </c>
      <c r="DF34" s="675">
        <v>253945</v>
      </c>
      <c r="DG34" s="675">
        <v>41.225000000000001</v>
      </c>
      <c r="DH34" s="675">
        <v>0</v>
      </c>
      <c r="DI34" s="675">
        <v>0</v>
      </c>
      <c r="DJ34" s="675">
        <v>0</v>
      </c>
      <c r="DK34" s="675">
        <v>3574</v>
      </c>
      <c r="DL34" s="675">
        <v>0</v>
      </c>
      <c r="DM34" s="675">
        <v>79229</v>
      </c>
      <c r="DN34" s="675">
        <v>302</v>
      </c>
      <c r="DO34" s="675">
        <v>0</v>
      </c>
      <c r="DP34" s="675">
        <v>0</v>
      </c>
      <c r="DQ34" s="675">
        <v>0</v>
      </c>
      <c r="DR34" s="675">
        <v>0</v>
      </c>
      <c r="DS34" s="675">
        <v>0</v>
      </c>
      <c r="DT34" s="675">
        <v>0</v>
      </c>
      <c r="DU34" s="675">
        <v>0</v>
      </c>
      <c r="DV34" s="675">
        <v>0</v>
      </c>
      <c r="DW34" s="675">
        <v>0</v>
      </c>
      <c r="DX34" s="675">
        <v>0</v>
      </c>
      <c r="DY34" s="675">
        <v>0</v>
      </c>
      <c r="DZ34" s="675">
        <v>0</v>
      </c>
      <c r="EA34" s="675">
        <v>0</v>
      </c>
      <c r="EB34" s="675">
        <v>0</v>
      </c>
      <c r="EC34" s="675">
        <v>9.5400000000000009</v>
      </c>
      <c r="ED34" s="675">
        <v>67581</v>
      </c>
      <c r="EE34" s="675">
        <v>0</v>
      </c>
      <c r="EF34" s="675">
        <v>0</v>
      </c>
      <c r="EG34" s="675">
        <v>0</v>
      </c>
      <c r="EH34" s="675">
        <v>11950</v>
      </c>
      <c r="EI34" s="675">
        <v>0</v>
      </c>
      <c r="EJ34" s="675">
        <v>0</v>
      </c>
      <c r="EK34" s="675">
        <v>0</v>
      </c>
      <c r="EL34" s="675">
        <v>0</v>
      </c>
      <c r="EM34" s="675">
        <v>0</v>
      </c>
      <c r="EN34" s="675">
        <v>0.38800000000000001</v>
      </c>
      <c r="EO34" s="675">
        <v>0</v>
      </c>
      <c r="EP34" s="675">
        <v>0</v>
      </c>
      <c r="EQ34" s="675">
        <v>0.38800000000000001</v>
      </c>
      <c r="ER34" s="675">
        <v>0</v>
      </c>
      <c r="ES34" s="675">
        <v>1.94</v>
      </c>
      <c r="ET34" s="675">
        <v>0</v>
      </c>
      <c r="EU34" s="675">
        <v>0</v>
      </c>
      <c r="EV34" s="675">
        <v>0</v>
      </c>
      <c r="EW34" s="675">
        <v>0</v>
      </c>
      <c r="EX34" s="675">
        <v>0</v>
      </c>
      <c r="EY34" s="675">
        <v>0</v>
      </c>
      <c r="EZ34" s="675">
        <v>1401430</v>
      </c>
      <c r="FA34" s="675">
        <v>0</v>
      </c>
      <c r="FB34" s="675">
        <v>1479253</v>
      </c>
      <c r="FC34" s="675">
        <v>0</v>
      </c>
      <c r="FD34" s="675">
        <v>0</v>
      </c>
      <c r="FE34" s="675">
        <v>150501</v>
      </c>
      <c r="FF34" s="675">
        <v>31129</v>
      </c>
      <c r="FG34" s="675">
        <v>6.3574999999999993E-2</v>
      </c>
      <c r="FH34" s="675">
        <v>2.6298999999999999E-2</v>
      </c>
      <c r="FI34" s="675">
        <v>0</v>
      </c>
      <c r="FJ34" s="675">
        <v>0</v>
      </c>
      <c r="FK34" s="675">
        <v>240.18900000000002</v>
      </c>
      <c r="FL34" s="675">
        <v>1692175</v>
      </c>
      <c r="FM34" s="675">
        <v>0</v>
      </c>
      <c r="FN34" s="675">
        <v>0</v>
      </c>
      <c r="FO34" s="675">
        <v>0</v>
      </c>
      <c r="FP34" s="675">
        <v>0</v>
      </c>
      <c r="FQ34" s="675">
        <v>0</v>
      </c>
      <c r="FR34" s="675">
        <v>0</v>
      </c>
      <c r="FS34" s="675">
        <v>0</v>
      </c>
      <c r="FT34" s="675">
        <v>0</v>
      </c>
      <c r="FU34" s="675">
        <v>0</v>
      </c>
      <c r="FV34" s="675">
        <v>0</v>
      </c>
      <c r="FW34" s="675">
        <v>0</v>
      </c>
      <c r="FX34" s="675">
        <v>0</v>
      </c>
      <c r="FY34" s="675">
        <v>0</v>
      </c>
      <c r="FZ34" s="675">
        <v>0</v>
      </c>
      <c r="GA34" s="675">
        <v>0</v>
      </c>
      <c r="GB34" s="675">
        <v>0</v>
      </c>
      <c r="GC34" s="675">
        <v>0</v>
      </c>
      <c r="GD34" s="675">
        <v>0</v>
      </c>
      <c r="GE34" s="675">
        <v>0</v>
      </c>
      <c r="GF34" s="675">
        <v>0</v>
      </c>
      <c r="GG34" s="675">
        <v>0</v>
      </c>
      <c r="GH34" s="675">
        <v>0</v>
      </c>
      <c r="GI34" s="675">
        <v>0</v>
      </c>
      <c r="GJ34" s="675">
        <v>0</v>
      </c>
      <c r="GK34" s="675">
        <v>0</v>
      </c>
      <c r="GL34" s="675">
        <v>0</v>
      </c>
      <c r="GM34" s="675">
        <v>0</v>
      </c>
      <c r="GN34" s="675">
        <v>0</v>
      </c>
      <c r="GO34" s="675">
        <v>0</v>
      </c>
      <c r="GP34" s="675">
        <v>0</v>
      </c>
      <c r="GQ34" s="675">
        <v>0</v>
      </c>
      <c r="GR34" s="675">
        <v>0</v>
      </c>
      <c r="GS34" s="675">
        <v>0</v>
      </c>
      <c r="GT34" s="675">
        <v>0</v>
      </c>
      <c r="GU34" s="675">
        <v>0</v>
      </c>
      <c r="GV34" s="675">
        <v>0</v>
      </c>
      <c r="GW34" s="675">
        <v>0</v>
      </c>
      <c r="GX34" s="675">
        <v>0</v>
      </c>
      <c r="GY34" s="675">
        <v>0</v>
      </c>
      <c r="GZ34" s="675">
        <v>0</v>
      </c>
      <c r="HA34" s="675">
        <v>0</v>
      </c>
      <c r="HB34" s="675">
        <v>298386780</v>
      </c>
      <c r="HC34" s="675">
        <v>4.5690999999999996E-2</v>
      </c>
      <c r="HD34" s="675">
        <v>27382</v>
      </c>
      <c r="HE34" s="675">
        <v>0</v>
      </c>
      <c r="HF34" s="675">
        <v>164379</v>
      </c>
      <c r="HG34" s="675">
        <v>3080</v>
      </c>
      <c r="HH34" s="675">
        <v>42127</v>
      </c>
      <c r="HI34" s="675">
        <v>0</v>
      </c>
      <c r="HJ34" s="675">
        <v>1456</v>
      </c>
      <c r="HK34" s="675">
        <v>0</v>
      </c>
      <c r="HL34" s="675">
        <v>0</v>
      </c>
      <c r="HM34" s="675">
        <v>0</v>
      </c>
      <c r="HN34" s="675">
        <v>0</v>
      </c>
      <c r="HO34" s="675">
        <v>0</v>
      </c>
      <c r="HP34" s="675">
        <v>0</v>
      </c>
      <c r="HQ34" s="675">
        <v>0</v>
      </c>
      <c r="HR34" s="675">
        <v>0</v>
      </c>
      <c r="HS34" s="675">
        <v>1401128</v>
      </c>
      <c r="HT34" s="675">
        <v>31129</v>
      </c>
      <c r="HU34" s="675">
        <v>0</v>
      </c>
      <c r="HV34" s="675">
        <v>0</v>
      </c>
      <c r="HW34" s="675">
        <v>0</v>
      </c>
      <c r="HX34" s="675">
        <v>15</v>
      </c>
      <c r="HY34" s="675">
        <v>13</v>
      </c>
      <c r="HZ34" s="675">
        <v>17</v>
      </c>
      <c r="IA34" s="675">
        <v>45</v>
      </c>
      <c r="IB34" s="675">
        <v>68</v>
      </c>
      <c r="IC34" s="675">
        <v>158</v>
      </c>
      <c r="ID34" s="675">
        <v>0</v>
      </c>
      <c r="IE34" s="675">
        <v>0</v>
      </c>
      <c r="IF34" s="675">
        <v>0</v>
      </c>
      <c r="IG34" s="675">
        <v>5</v>
      </c>
      <c r="IH34" s="675">
        <v>68.388000000000005</v>
      </c>
      <c r="II34" s="675">
        <v>0</v>
      </c>
      <c r="IJ34" s="675">
        <v>23.575000000000003</v>
      </c>
      <c r="IK34" s="675">
        <v>0</v>
      </c>
      <c r="IL34" s="675">
        <v>0</v>
      </c>
      <c r="IM34" s="675">
        <v>0</v>
      </c>
      <c r="IN34" s="675">
        <v>0</v>
      </c>
      <c r="IO34" s="675">
        <v>0</v>
      </c>
      <c r="IP34" s="675">
        <v>0</v>
      </c>
      <c r="IQ34" s="675">
        <v>23.575000000000003</v>
      </c>
      <c r="IR34" s="675">
        <v>14522</v>
      </c>
      <c r="IS34" s="675">
        <v>0</v>
      </c>
      <c r="IT34" s="675">
        <v>0</v>
      </c>
      <c r="IU34" s="675">
        <v>0</v>
      </c>
      <c r="IV34" s="675">
        <v>0</v>
      </c>
      <c r="IW34" s="675">
        <v>6160</v>
      </c>
      <c r="IX34" s="675">
        <v>0</v>
      </c>
      <c r="IY34" s="675">
        <v>0</v>
      </c>
      <c r="IZ34" s="675">
        <v>0</v>
      </c>
      <c r="JA34" s="675">
        <v>0</v>
      </c>
      <c r="JB34" s="675">
        <v>0</v>
      </c>
      <c r="JC34" s="675">
        <v>0</v>
      </c>
      <c r="JD34" s="675">
        <v>0</v>
      </c>
      <c r="JE34" s="675">
        <v>0</v>
      </c>
      <c r="JF34" s="675">
        <v>0</v>
      </c>
      <c r="JG34" s="675">
        <v>0</v>
      </c>
      <c r="JH34" s="675">
        <v>0</v>
      </c>
      <c r="JI34" s="675">
        <v>0</v>
      </c>
      <c r="JJ34" s="675">
        <v>0</v>
      </c>
      <c r="JK34" s="675">
        <v>0</v>
      </c>
      <c r="JL34" s="675">
        <v>0</v>
      </c>
      <c r="JM34" s="675">
        <v>0</v>
      </c>
      <c r="JN34" s="675">
        <v>32469</v>
      </c>
      <c r="JO34" s="675">
        <v>0</v>
      </c>
      <c r="JP34" s="675">
        <v>0</v>
      </c>
      <c r="JQ34" s="675">
        <v>0</v>
      </c>
      <c r="JR34" s="675">
        <v>0</v>
      </c>
      <c r="JS34" s="675">
        <v>0</v>
      </c>
      <c r="JT34" s="675">
        <v>0</v>
      </c>
      <c r="JU34" s="675">
        <v>0</v>
      </c>
      <c r="JV34" s="675">
        <v>0</v>
      </c>
      <c r="JW34" s="675">
        <v>0</v>
      </c>
      <c r="JX34" s="675">
        <v>0</v>
      </c>
      <c r="JY34" s="675">
        <v>0</v>
      </c>
      <c r="JZ34" s="675">
        <v>0</v>
      </c>
      <c r="KA34" s="675">
        <v>0</v>
      </c>
      <c r="KB34" s="675">
        <v>0</v>
      </c>
      <c r="KC34" s="675">
        <v>0</v>
      </c>
      <c r="KD34" s="675">
        <v>0</v>
      </c>
      <c r="KE34" s="675">
        <v>7260</v>
      </c>
      <c r="KF34" s="675">
        <v>3910</v>
      </c>
      <c r="KG34" s="675">
        <v>0</v>
      </c>
      <c r="KH34" s="675">
        <v>0</v>
      </c>
      <c r="KI34" s="675">
        <v>0</v>
      </c>
    </row>
    <row r="35" spans="1:295" ht="12.5" x14ac:dyDescent="0.25">
      <c r="A35" s="675">
        <v>35795</v>
      </c>
      <c r="B35" s="675">
        <v>184801</v>
      </c>
      <c r="C35" s="675">
        <v>9</v>
      </c>
      <c r="D35" s="675">
        <v>2022</v>
      </c>
      <c r="E35" s="675">
        <v>6160</v>
      </c>
      <c r="F35" s="675">
        <v>0</v>
      </c>
      <c r="G35" s="675">
        <v>132.012</v>
      </c>
      <c r="H35" s="675">
        <v>80.652000000000001</v>
      </c>
      <c r="I35" s="675">
        <v>80.652000000000001</v>
      </c>
      <c r="J35" s="675">
        <v>132.012</v>
      </c>
      <c r="K35" s="675">
        <v>0</v>
      </c>
      <c r="L35" s="675">
        <v>6160</v>
      </c>
      <c r="M35" s="675">
        <v>0</v>
      </c>
      <c r="N35" s="675">
        <v>0</v>
      </c>
      <c r="O35" s="675">
        <v>0</v>
      </c>
      <c r="P35" s="675">
        <v>108.76900000000001</v>
      </c>
      <c r="Q35" s="675">
        <v>0</v>
      </c>
      <c r="R35" s="675">
        <v>43772</v>
      </c>
      <c r="S35" s="675">
        <v>402.428</v>
      </c>
      <c r="T35" s="675">
        <v>0</v>
      </c>
      <c r="U35" s="675">
        <v>23276</v>
      </c>
      <c r="V35" s="675">
        <v>0</v>
      </c>
      <c r="W35" s="675">
        <v>0</v>
      </c>
      <c r="X35" s="675">
        <v>0</v>
      </c>
      <c r="Y35" s="675">
        <v>0</v>
      </c>
      <c r="Z35" s="675">
        <v>0</v>
      </c>
      <c r="AA35" s="675">
        <v>0</v>
      </c>
      <c r="AB35" s="675">
        <v>0</v>
      </c>
      <c r="AC35" s="675">
        <v>0</v>
      </c>
      <c r="AD35" s="675" t="s">
        <v>316</v>
      </c>
      <c r="AE35" s="675">
        <v>0</v>
      </c>
      <c r="AF35" s="675">
        <v>0</v>
      </c>
      <c r="AG35" s="675">
        <v>0</v>
      </c>
      <c r="AH35" s="675">
        <v>0</v>
      </c>
      <c r="AI35" s="675">
        <v>0</v>
      </c>
      <c r="AJ35" s="675">
        <v>6160</v>
      </c>
      <c r="AK35" s="675" t="s">
        <v>671</v>
      </c>
      <c r="AL35" s="675" t="s">
        <v>6</v>
      </c>
      <c r="AM35" s="675">
        <v>0</v>
      </c>
      <c r="AN35" s="675">
        <v>0</v>
      </c>
      <c r="AO35" s="675">
        <v>0</v>
      </c>
      <c r="AP35" s="675">
        <v>0</v>
      </c>
      <c r="AQ35" s="675">
        <v>0</v>
      </c>
      <c r="AR35" s="675">
        <v>0</v>
      </c>
      <c r="AS35" s="675">
        <v>0</v>
      </c>
      <c r="AT35" s="675">
        <v>0</v>
      </c>
      <c r="AU35" s="675">
        <v>0</v>
      </c>
      <c r="AV35" s="675">
        <v>0</v>
      </c>
      <c r="AW35" s="675">
        <v>1444058</v>
      </c>
      <c r="AX35" s="675">
        <v>1420349</v>
      </c>
      <c r="AY35" s="675">
        <v>929852</v>
      </c>
      <c r="AZ35" s="675">
        <v>43772</v>
      </c>
      <c r="BA35" s="675">
        <v>0</v>
      </c>
      <c r="BB35" s="675">
        <v>0</v>
      </c>
      <c r="BC35" s="675">
        <v>0</v>
      </c>
      <c r="BD35" s="675">
        <v>0</v>
      </c>
      <c r="BE35" s="675">
        <v>0</v>
      </c>
      <c r="BF35" s="675">
        <v>1302843</v>
      </c>
      <c r="BG35" s="675">
        <v>0</v>
      </c>
      <c r="BH35" s="675">
        <v>0</v>
      </c>
      <c r="BI35" s="675">
        <v>0</v>
      </c>
      <c r="BJ35" s="675">
        <v>12</v>
      </c>
      <c r="BK35" s="675">
        <v>0</v>
      </c>
      <c r="BL35" s="675">
        <v>0</v>
      </c>
      <c r="BM35" s="675">
        <v>0</v>
      </c>
      <c r="BN35" s="675">
        <v>0</v>
      </c>
      <c r="BO35" s="675">
        <v>0</v>
      </c>
      <c r="BP35" s="675">
        <v>0</v>
      </c>
      <c r="BQ35" s="675">
        <v>758</v>
      </c>
      <c r="BR35" s="675">
        <v>0</v>
      </c>
      <c r="BS35" s="675">
        <v>0</v>
      </c>
      <c r="BT35" s="675">
        <v>0</v>
      </c>
      <c r="BU35" s="675">
        <v>0</v>
      </c>
      <c r="BV35" s="675">
        <v>0</v>
      </c>
      <c r="BW35" s="675">
        <v>0</v>
      </c>
      <c r="BX35" s="675">
        <v>0</v>
      </c>
      <c r="BY35" s="675">
        <v>0</v>
      </c>
      <c r="BZ35" s="675">
        <v>0</v>
      </c>
      <c r="CA35" s="675">
        <v>0</v>
      </c>
      <c r="CB35" s="675">
        <v>0</v>
      </c>
      <c r="CC35" s="675">
        <v>0</v>
      </c>
      <c r="CD35" s="675">
        <v>0</v>
      </c>
      <c r="CE35" s="675">
        <v>0</v>
      </c>
      <c r="CF35" s="675">
        <v>0</v>
      </c>
      <c r="CG35" s="675">
        <v>0</v>
      </c>
      <c r="CH35" s="675">
        <v>24127</v>
      </c>
      <c r="CI35" s="675">
        <v>0</v>
      </c>
      <c r="CJ35" s="675">
        <v>4</v>
      </c>
      <c r="CK35" s="675">
        <v>0</v>
      </c>
      <c r="CL35" s="675">
        <v>0</v>
      </c>
      <c r="CM35" s="675">
        <v>0</v>
      </c>
      <c r="CN35" s="675">
        <v>0</v>
      </c>
      <c r="CO35" s="675">
        <v>1</v>
      </c>
      <c r="CP35" s="675">
        <v>0.129</v>
      </c>
      <c r="CQ35" s="675">
        <v>0</v>
      </c>
      <c r="CR35" s="675">
        <v>133.685</v>
      </c>
      <c r="CS35" s="675">
        <v>0</v>
      </c>
      <c r="CT35" s="675">
        <v>0</v>
      </c>
      <c r="CU35" s="675">
        <v>0</v>
      </c>
      <c r="CV35" s="675">
        <v>0</v>
      </c>
      <c r="CW35" s="675">
        <v>0</v>
      </c>
      <c r="CX35" s="675">
        <v>0</v>
      </c>
      <c r="CY35" s="675">
        <v>0</v>
      </c>
      <c r="CZ35" s="675">
        <v>0</v>
      </c>
      <c r="DA35" s="675">
        <v>0</v>
      </c>
      <c r="DB35" s="675">
        <v>496814</v>
      </c>
      <c r="DC35" s="675">
        <v>0</v>
      </c>
      <c r="DD35" s="675">
        <v>0</v>
      </c>
      <c r="DE35" s="675">
        <v>104566</v>
      </c>
      <c r="DF35" s="675">
        <v>106481</v>
      </c>
      <c r="DG35" s="675">
        <v>16.975000000000001</v>
      </c>
      <c r="DH35" s="675">
        <v>0</v>
      </c>
      <c r="DI35" s="675">
        <v>1915</v>
      </c>
      <c r="DJ35" s="675">
        <v>0</v>
      </c>
      <c r="DK35" s="675">
        <v>3744</v>
      </c>
      <c r="DL35" s="675">
        <v>0</v>
      </c>
      <c r="DM35" s="675">
        <v>109652</v>
      </c>
      <c r="DN35" s="675">
        <v>418</v>
      </c>
      <c r="DO35" s="675">
        <v>0</v>
      </c>
      <c r="DP35" s="675">
        <v>0</v>
      </c>
      <c r="DQ35" s="675">
        <v>0</v>
      </c>
      <c r="DR35" s="675">
        <v>0</v>
      </c>
      <c r="DS35" s="675">
        <v>0</v>
      </c>
      <c r="DT35" s="675">
        <v>0</v>
      </c>
      <c r="DU35" s="675">
        <v>0</v>
      </c>
      <c r="DV35" s="675">
        <v>0</v>
      </c>
      <c r="DW35" s="675">
        <v>0</v>
      </c>
      <c r="DX35" s="675">
        <v>0</v>
      </c>
      <c r="DY35" s="675">
        <v>0</v>
      </c>
      <c r="DZ35" s="675">
        <v>0</v>
      </c>
      <c r="EA35" s="675">
        <v>0</v>
      </c>
      <c r="EB35" s="675">
        <v>0</v>
      </c>
      <c r="EC35" s="675">
        <v>15.277000000000001</v>
      </c>
      <c r="ED35" s="675">
        <v>108222</v>
      </c>
      <c r="EE35" s="675">
        <v>0</v>
      </c>
      <c r="EF35" s="675">
        <v>0</v>
      </c>
      <c r="EG35" s="675">
        <v>0</v>
      </c>
      <c r="EH35" s="675">
        <v>1848</v>
      </c>
      <c r="EI35" s="675">
        <v>0</v>
      </c>
      <c r="EJ35" s="675">
        <v>0</v>
      </c>
      <c r="EK35" s="675">
        <v>0</v>
      </c>
      <c r="EL35" s="675">
        <v>0</v>
      </c>
      <c r="EM35" s="675">
        <v>0</v>
      </c>
      <c r="EN35" s="675">
        <v>0.06</v>
      </c>
      <c r="EO35" s="675">
        <v>0</v>
      </c>
      <c r="EP35" s="675">
        <v>0</v>
      </c>
      <c r="EQ35" s="675">
        <v>0.06</v>
      </c>
      <c r="ER35" s="675">
        <v>0</v>
      </c>
      <c r="ES35" s="675">
        <v>0.3</v>
      </c>
      <c r="ET35" s="675">
        <v>0</v>
      </c>
      <c r="EU35" s="675">
        <v>0</v>
      </c>
      <c r="EV35" s="675">
        <v>0</v>
      </c>
      <c r="EW35" s="675">
        <v>0</v>
      </c>
      <c r="EX35" s="675">
        <v>0</v>
      </c>
      <c r="EY35" s="675">
        <v>0</v>
      </c>
      <c r="EZ35" s="675">
        <v>1260412</v>
      </c>
      <c r="FA35" s="675">
        <v>0</v>
      </c>
      <c r="FB35" s="675">
        <v>1303766</v>
      </c>
      <c r="FC35" s="675">
        <v>0</v>
      </c>
      <c r="FD35" s="675">
        <v>0</v>
      </c>
      <c r="FE35" s="675">
        <v>132526</v>
      </c>
      <c r="FF35" s="675">
        <v>27411</v>
      </c>
      <c r="FG35" s="675">
        <v>6.3574999999999993E-2</v>
      </c>
      <c r="FH35" s="675">
        <v>2.6298999999999999E-2</v>
      </c>
      <c r="FI35" s="675">
        <v>0</v>
      </c>
      <c r="FJ35" s="675">
        <v>0</v>
      </c>
      <c r="FK35" s="675">
        <v>211.501</v>
      </c>
      <c r="FL35" s="675">
        <v>1487830</v>
      </c>
      <c r="FM35" s="675">
        <v>0</v>
      </c>
      <c r="FN35" s="675">
        <v>0</v>
      </c>
      <c r="FO35" s="675">
        <v>0</v>
      </c>
      <c r="FP35" s="675">
        <v>0</v>
      </c>
      <c r="FQ35" s="675">
        <v>0</v>
      </c>
      <c r="FR35" s="675">
        <v>0</v>
      </c>
      <c r="FS35" s="675">
        <v>0</v>
      </c>
      <c r="FT35" s="675">
        <v>0</v>
      </c>
      <c r="FU35" s="675">
        <v>0</v>
      </c>
      <c r="FV35" s="675">
        <v>0</v>
      </c>
      <c r="FW35" s="675">
        <v>0</v>
      </c>
      <c r="FX35" s="675">
        <v>0</v>
      </c>
      <c r="FY35" s="675">
        <v>0</v>
      </c>
      <c r="FZ35" s="675">
        <v>0</v>
      </c>
      <c r="GA35" s="675">
        <v>0</v>
      </c>
      <c r="GB35" s="675">
        <v>490496</v>
      </c>
      <c r="GC35" s="675">
        <v>490496</v>
      </c>
      <c r="GD35" s="675">
        <v>51.300000000000004</v>
      </c>
      <c r="GE35" s="675">
        <v>0</v>
      </c>
      <c r="GF35" s="675">
        <v>0</v>
      </c>
      <c r="GG35" s="675">
        <v>0</v>
      </c>
      <c r="GH35" s="675">
        <v>0</v>
      </c>
      <c r="GI35" s="675">
        <v>0</v>
      </c>
      <c r="GJ35" s="675">
        <v>0</v>
      </c>
      <c r="GK35" s="675">
        <v>0</v>
      </c>
      <c r="GL35" s="675">
        <v>0</v>
      </c>
      <c r="GM35" s="675">
        <v>0</v>
      </c>
      <c r="GN35" s="675">
        <v>0</v>
      </c>
      <c r="GO35" s="675">
        <v>0</v>
      </c>
      <c r="GP35" s="675">
        <v>0</v>
      </c>
      <c r="GQ35" s="675">
        <v>0</v>
      </c>
      <c r="GR35" s="675">
        <v>0</v>
      </c>
      <c r="GS35" s="675">
        <v>0</v>
      </c>
      <c r="GT35" s="675">
        <v>0</v>
      </c>
      <c r="GU35" s="675">
        <v>0</v>
      </c>
      <c r="GV35" s="675">
        <v>0</v>
      </c>
      <c r="GW35" s="675">
        <v>0</v>
      </c>
      <c r="GX35" s="675">
        <v>0</v>
      </c>
      <c r="GY35" s="675">
        <v>0</v>
      </c>
      <c r="GZ35" s="675">
        <v>0</v>
      </c>
      <c r="HA35" s="675">
        <v>0</v>
      </c>
      <c r="HB35" s="675">
        <v>298386780</v>
      </c>
      <c r="HC35" s="675">
        <v>4.5690999999999996E-2</v>
      </c>
      <c r="HD35" s="675">
        <v>24127</v>
      </c>
      <c r="HE35" s="675">
        <v>0</v>
      </c>
      <c r="HF35" s="675">
        <v>88717</v>
      </c>
      <c r="HG35" s="675">
        <v>8982</v>
      </c>
      <c r="HH35" s="675">
        <v>0</v>
      </c>
      <c r="HI35" s="675">
        <v>0</v>
      </c>
      <c r="HJ35" s="675">
        <v>1283</v>
      </c>
      <c r="HK35" s="675">
        <v>1341</v>
      </c>
      <c r="HL35" s="675">
        <v>0</v>
      </c>
      <c r="HM35" s="675">
        <v>0</v>
      </c>
      <c r="HN35" s="675">
        <v>0</v>
      </c>
      <c r="HO35" s="675">
        <v>0</v>
      </c>
      <c r="HP35" s="675">
        <v>0</v>
      </c>
      <c r="HQ35" s="675">
        <v>0</v>
      </c>
      <c r="HR35" s="675">
        <v>0</v>
      </c>
      <c r="HS35" s="675">
        <v>1259994</v>
      </c>
      <c r="HT35" s="675">
        <v>27411</v>
      </c>
      <c r="HU35" s="675">
        <v>0</v>
      </c>
      <c r="HV35" s="675">
        <v>0</v>
      </c>
      <c r="HW35" s="675">
        <v>0</v>
      </c>
      <c r="HX35" s="675">
        <v>26</v>
      </c>
      <c r="HY35" s="675">
        <v>20</v>
      </c>
      <c r="HZ35" s="675">
        <v>19</v>
      </c>
      <c r="IA35" s="675">
        <v>2</v>
      </c>
      <c r="IB35" s="675">
        <v>4</v>
      </c>
      <c r="IC35" s="675">
        <v>71</v>
      </c>
      <c r="ID35" s="675">
        <v>0</v>
      </c>
      <c r="IE35" s="675">
        <v>0</v>
      </c>
      <c r="IF35" s="675">
        <v>0</v>
      </c>
      <c r="IG35" s="675">
        <v>14.582000000000001</v>
      </c>
      <c r="IH35" s="675">
        <v>0</v>
      </c>
      <c r="II35" s="675">
        <v>0</v>
      </c>
      <c r="IJ35" s="675">
        <v>0</v>
      </c>
      <c r="IK35" s="675">
        <v>0</v>
      </c>
      <c r="IL35" s="675">
        <v>0</v>
      </c>
      <c r="IM35" s="675">
        <v>0</v>
      </c>
      <c r="IN35" s="675">
        <v>0</v>
      </c>
      <c r="IO35" s="675">
        <v>0</v>
      </c>
      <c r="IP35" s="675">
        <v>0</v>
      </c>
      <c r="IQ35" s="675">
        <v>0</v>
      </c>
      <c r="IR35" s="675">
        <v>0</v>
      </c>
      <c r="IS35" s="675">
        <v>0</v>
      </c>
      <c r="IT35" s="675">
        <v>0</v>
      </c>
      <c r="IU35" s="675">
        <v>0</v>
      </c>
      <c r="IV35" s="675">
        <v>0</v>
      </c>
      <c r="IW35" s="675">
        <v>6160</v>
      </c>
      <c r="IX35" s="675">
        <v>0</v>
      </c>
      <c r="IY35" s="675">
        <v>0</v>
      </c>
      <c r="IZ35" s="675">
        <v>0</v>
      </c>
      <c r="JA35" s="675">
        <v>0</v>
      </c>
      <c r="JB35" s="675">
        <v>0</v>
      </c>
      <c r="JC35" s="675">
        <v>0</v>
      </c>
      <c r="JD35" s="675">
        <v>0</v>
      </c>
      <c r="JE35" s="675">
        <v>0</v>
      </c>
      <c r="JF35" s="675">
        <v>0</v>
      </c>
      <c r="JG35" s="675">
        <v>0</v>
      </c>
      <c r="JH35" s="675">
        <v>0</v>
      </c>
      <c r="JI35" s="675">
        <v>0</v>
      </c>
      <c r="JJ35" s="675">
        <v>0</v>
      </c>
      <c r="JK35" s="675">
        <v>0</v>
      </c>
      <c r="JL35" s="675">
        <v>0</v>
      </c>
      <c r="JM35" s="675">
        <v>0</v>
      </c>
      <c r="JN35" s="675">
        <v>32469</v>
      </c>
      <c r="JO35" s="675">
        <v>6.6020000000000003</v>
      </c>
      <c r="JP35" s="675">
        <v>28.457000000000001</v>
      </c>
      <c r="JQ35" s="675">
        <v>16.241</v>
      </c>
      <c r="JR35" s="675">
        <v>52724</v>
      </c>
      <c r="JS35" s="675">
        <v>264445</v>
      </c>
      <c r="JT35" s="675">
        <v>173327</v>
      </c>
      <c r="JU35" s="675">
        <v>0</v>
      </c>
      <c r="JV35" s="675">
        <v>0</v>
      </c>
      <c r="JW35" s="675">
        <v>0</v>
      </c>
      <c r="JX35" s="675">
        <v>0</v>
      </c>
      <c r="JY35" s="675">
        <v>0</v>
      </c>
      <c r="JZ35" s="675">
        <v>0</v>
      </c>
      <c r="KA35" s="675">
        <v>0</v>
      </c>
      <c r="KB35" s="675">
        <v>0</v>
      </c>
      <c r="KC35" s="675">
        <v>0</v>
      </c>
      <c r="KD35" s="675">
        <v>0</v>
      </c>
      <c r="KE35" s="675">
        <v>7260</v>
      </c>
      <c r="KF35" s="675">
        <v>0</v>
      </c>
      <c r="KG35" s="675">
        <v>0</v>
      </c>
      <c r="KH35" s="675">
        <v>0</v>
      </c>
      <c r="KI35" s="675">
        <v>0</v>
      </c>
    </row>
    <row r="36" spans="1:295" ht="12.5" x14ac:dyDescent="0.25">
      <c r="A36" s="675">
        <v>35795</v>
      </c>
      <c r="B36" s="675">
        <v>193801</v>
      </c>
      <c r="C36" s="675">
        <v>9</v>
      </c>
      <c r="D36" s="675">
        <v>2022</v>
      </c>
      <c r="E36" s="675">
        <v>6160</v>
      </c>
      <c r="F36" s="675">
        <v>0</v>
      </c>
      <c r="G36" s="675">
        <v>169.16300000000001</v>
      </c>
      <c r="H36" s="675">
        <v>110.179</v>
      </c>
      <c r="I36" s="675">
        <v>110.179</v>
      </c>
      <c r="J36" s="675">
        <v>169.16300000000001</v>
      </c>
      <c r="K36" s="675">
        <v>0</v>
      </c>
      <c r="L36" s="675">
        <v>6160</v>
      </c>
      <c r="M36" s="675">
        <v>0</v>
      </c>
      <c r="N36" s="675">
        <v>0</v>
      </c>
      <c r="O36" s="675">
        <v>0</v>
      </c>
      <c r="P36" s="675">
        <v>206.84700000000001</v>
      </c>
      <c r="Q36" s="675">
        <v>0</v>
      </c>
      <c r="R36" s="675">
        <v>83241</v>
      </c>
      <c r="S36" s="675">
        <v>402.428</v>
      </c>
      <c r="T36" s="675">
        <v>0</v>
      </c>
      <c r="U36" s="675">
        <v>44265</v>
      </c>
      <c r="V36" s="675">
        <v>0</v>
      </c>
      <c r="W36" s="675">
        <v>0</v>
      </c>
      <c r="X36" s="675">
        <v>0</v>
      </c>
      <c r="Y36" s="675">
        <v>0</v>
      </c>
      <c r="Z36" s="675">
        <v>0</v>
      </c>
      <c r="AA36" s="675">
        <v>0</v>
      </c>
      <c r="AB36" s="675">
        <v>0</v>
      </c>
      <c r="AC36" s="675">
        <v>0</v>
      </c>
      <c r="AD36" s="675" t="s">
        <v>316</v>
      </c>
      <c r="AE36" s="675">
        <v>0</v>
      </c>
      <c r="AF36" s="675">
        <v>0</v>
      </c>
      <c r="AG36" s="675">
        <v>0</v>
      </c>
      <c r="AH36" s="675">
        <v>0</v>
      </c>
      <c r="AI36" s="675">
        <v>0</v>
      </c>
      <c r="AJ36" s="675">
        <v>6160</v>
      </c>
      <c r="AK36" s="675" t="s">
        <v>671</v>
      </c>
      <c r="AL36" s="675" t="s">
        <v>73</v>
      </c>
      <c r="AM36" s="675">
        <v>0</v>
      </c>
      <c r="AN36" s="675">
        <v>0</v>
      </c>
      <c r="AO36" s="675">
        <v>0</v>
      </c>
      <c r="AP36" s="675">
        <v>0</v>
      </c>
      <c r="AQ36" s="675">
        <v>0</v>
      </c>
      <c r="AR36" s="675">
        <v>0</v>
      </c>
      <c r="AS36" s="675">
        <v>0</v>
      </c>
      <c r="AT36" s="675">
        <v>0</v>
      </c>
      <c r="AU36" s="675">
        <v>0</v>
      </c>
      <c r="AV36" s="675">
        <v>-16154</v>
      </c>
      <c r="AW36" s="675">
        <v>2910083</v>
      </c>
      <c r="AX36" s="675">
        <v>2878425</v>
      </c>
      <c r="AY36" s="675">
        <v>1978757</v>
      </c>
      <c r="AZ36" s="675">
        <v>83241</v>
      </c>
      <c r="BA36" s="675">
        <v>0</v>
      </c>
      <c r="BB36" s="675">
        <v>0</v>
      </c>
      <c r="BC36" s="675">
        <v>0</v>
      </c>
      <c r="BD36" s="675">
        <v>0</v>
      </c>
      <c r="BE36" s="675">
        <v>0</v>
      </c>
      <c r="BF36" s="675">
        <v>2543355</v>
      </c>
      <c r="BG36" s="675">
        <v>0</v>
      </c>
      <c r="BH36" s="675">
        <v>0</v>
      </c>
      <c r="BI36" s="675">
        <v>0</v>
      </c>
      <c r="BJ36" s="675">
        <v>12</v>
      </c>
      <c r="BK36" s="675">
        <v>0</v>
      </c>
      <c r="BL36" s="675">
        <v>0</v>
      </c>
      <c r="BM36" s="675">
        <v>0</v>
      </c>
      <c r="BN36" s="675">
        <v>0</v>
      </c>
      <c r="BO36" s="675">
        <v>0</v>
      </c>
      <c r="BP36" s="675">
        <v>0</v>
      </c>
      <c r="BQ36" s="675">
        <v>753</v>
      </c>
      <c r="BR36" s="675">
        <v>0</v>
      </c>
      <c r="BS36" s="675">
        <v>0</v>
      </c>
      <c r="BT36" s="675">
        <v>0</v>
      </c>
      <c r="BU36" s="675">
        <v>0</v>
      </c>
      <c r="BV36" s="675">
        <v>0</v>
      </c>
      <c r="BW36" s="675">
        <v>0</v>
      </c>
      <c r="BX36" s="675">
        <v>0</v>
      </c>
      <c r="BY36" s="675">
        <v>0</v>
      </c>
      <c r="BZ36" s="675">
        <v>0</v>
      </c>
      <c r="CA36" s="675">
        <v>0</v>
      </c>
      <c r="CB36" s="675">
        <v>0</v>
      </c>
      <c r="CC36" s="675">
        <v>0</v>
      </c>
      <c r="CD36" s="675">
        <v>0</v>
      </c>
      <c r="CE36" s="675">
        <v>0</v>
      </c>
      <c r="CF36" s="675">
        <v>0</v>
      </c>
      <c r="CG36" s="675">
        <v>0</v>
      </c>
      <c r="CH36" s="675">
        <v>37030</v>
      </c>
      <c r="CI36" s="675">
        <v>0</v>
      </c>
      <c r="CJ36" s="675">
        <v>4</v>
      </c>
      <c r="CK36" s="675">
        <v>0</v>
      </c>
      <c r="CL36" s="675">
        <v>0</v>
      </c>
      <c r="CM36" s="675">
        <v>0</v>
      </c>
      <c r="CN36" s="675">
        <v>0</v>
      </c>
      <c r="CO36" s="675">
        <v>1</v>
      </c>
      <c r="CP36" s="675">
        <v>0</v>
      </c>
      <c r="CQ36" s="675">
        <v>0</v>
      </c>
      <c r="CR36" s="675">
        <v>199.06200000000001</v>
      </c>
      <c r="CS36" s="675">
        <v>0</v>
      </c>
      <c r="CT36" s="675">
        <v>0</v>
      </c>
      <c r="CU36" s="675">
        <v>0</v>
      </c>
      <c r="CV36" s="675">
        <v>0</v>
      </c>
      <c r="CW36" s="675">
        <v>0</v>
      </c>
      <c r="CX36" s="675">
        <v>0</v>
      </c>
      <c r="CY36" s="675">
        <v>0</v>
      </c>
      <c r="CZ36" s="675">
        <v>0</v>
      </c>
      <c r="DA36" s="675">
        <v>0</v>
      </c>
      <c r="DB36" s="675">
        <v>385180</v>
      </c>
      <c r="DC36" s="675">
        <v>0</v>
      </c>
      <c r="DD36" s="675">
        <v>0</v>
      </c>
      <c r="DE36" s="675">
        <v>304226</v>
      </c>
      <c r="DF36" s="675">
        <v>305458</v>
      </c>
      <c r="DG36" s="675">
        <v>49.388000000000005</v>
      </c>
      <c r="DH36" s="675">
        <v>0</v>
      </c>
      <c r="DI36" s="675">
        <v>0</v>
      </c>
      <c r="DJ36" s="675">
        <v>0</v>
      </c>
      <c r="DK36" s="675">
        <v>3671</v>
      </c>
      <c r="DL36" s="675">
        <v>0</v>
      </c>
      <c r="DM36" s="675">
        <v>1703689</v>
      </c>
      <c r="DN36" s="675">
        <v>5371</v>
      </c>
      <c r="DO36" s="675">
        <v>0</v>
      </c>
      <c r="DP36" s="675">
        <v>0</v>
      </c>
      <c r="DQ36" s="675">
        <v>0</v>
      </c>
      <c r="DR36" s="675">
        <v>0</v>
      </c>
      <c r="DS36" s="675">
        <v>0</v>
      </c>
      <c r="DT36" s="675">
        <v>0</v>
      </c>
      <c r="DU36" s="675">
        <v>0</v>
      </c>
      <c r="DV36" s="675">
        <v>0</v>
      </c>
      <c r="DW36" s="675">
        <v>0</v>
      </c>
      <c r="DX36" s="675">
        <v>0</v>
      </c>
      <c r="DY36" s="675">
        <v>0</v>
      </c>
      <c r="DZ36" s="675">
        <v>0</v>
      </c>
      <c r="EA36" s="675">
        <v>0</v>
      </c>
      <c r="EB36" s="675">
        <v>0</v>
      </c>
      <c r="EC36" s="675">
        <v>7.0920000000000005</v>
      </c>
      <c r="ED36" s="675">
        <v>50239</v>
      </c>
      <c r="EE36" s="675">
        <v>0</v>
      </c>
      <c r="EF36" s="675">
        <v>0</v>
      </c>
      <c r="EG36" s="675">
        <v>0</v>
      </c>
      <c r="EH36" s="675">
        <v>292654</v>
      </c>
      <c r="EI36" s="675">
        <v>1072648</v>
      </c>
      <c r="EJ36" s="675">
        <v>43.533000000000001</v>
      </c>
      <c r="EK36" s="675">
        <v>14.318000000000001</v>
      </c>
      <c r="EL36" s="675">
        <v>0</v>
      </c>
      <c r="EM36" s="675">
        <v>0.55500000000000005</v>
      </c>
      <c r="EN36" s="675">
        <v>0.57800000000000007</v>
      </c>
      <c r="EO36" s="675">
        <v>0</v>
      </c>
      <c r="EP36" s="675">
        <v>0</v>
      </c>
      <c r="EQ36" s="675">
        <v>58.984000000000002</v>
      </c>
      <c r="ER36" s="675">
        <v>0</v>
      </c>
      <c r="ES36" s="675">
        <v>47.509</v>
      </c>
      <c r="ET36" s="675">
        <v>0</v>
      </c>
      <c r="EU36" s="675">
        <v>0</v>
      </c>
      <c r="EV36" s="675">
        <v>0</v>
      </c>
      <c r="EW36" s="675">
        <v>0</v>
      </c>
      <c r="EX36" s="675">
        <v>0</v>
      </c>
      <c r="EY36" s="675">
        <v>0</v>
      </c>
      <c r="EZ36" s="675">
        <v>2566204</v>
      </c>
      <c r="FA36" s="675">
        <v>0</v>
      </c>
      <c r="FB36" s="675">
        <v>2644073</v>
      </c>
      <c r="FC36" s="675">
        <v>0</v>
      </c>
      <c r="FD36" s="675">
        <v>0</v>
      </c>
      <c r="FE36" s="675">
        <v>258711</v>
      </c>
      <c r="FF36" s="675">
        <v>53510</v>
      </c>
      <c r="FG36" s="675">
        <v>6.3574999999999993E-2</v>
      </c>
      <c r="FH36" s="675">
        <v>2.6298999999999999E-2</v>
      </c>
      <c r="FI36" s="675">
        <v>0</v>
      </c>
      <c r="FJ36" s="675">
        <v>0</v>
      </c>
      <c r="FK36" s="675">
        <v>412.88400000000001</v>
      </c>
      <c r="FL36" s="675">
        <v>2993324</v>
      </c>
      <c r="FM36" s="675">
        <v>0</v>
      </c>
      <c r="FN36" s="675">
        <v>0</v>
      </c>
      <c r="FO36" s="675">
        <v>92812</v>
      </c>
      <c r="FP36" s="675">
        <v>0</v>
      </c>
      <c r="FQ36" s="675">
        <v>92812</v>
      </c>
      <c r="FR36" s="675">
        <v>92812</v>
      </c>
      <c r="FS36" s="675">
        <v>0</v>
      </c>
      <c r="FT36" s="675">
        <v>0</v>
      </c>
      <c r="FU36" s="675">
        <v>0</v>
      </c>
      <c r="FV36" s="675">
        <v>0</v>
      </c>
      <c r="FW36" s="675">
        <v>0</v>
      </c>
      <c r="FX36" s="675">
        <v>0</v>
      </c>
      <c r="FY36" s="675">
        <v>0</v>
      </c>
      <c r="FZ36" s="675">
        <v>0</v>
      </c>
      <c r="GA36" s="675">
        <v>0</v>
      </c>
      <c r="GB36" s="675">
        <v>0</v>
      </c>
      <c r="GC36" s="675">
        <v>0</v>
      </c>
      <c r="GD36" s="675">
        <v>0</v>
      </c>
      <c r="GE36" s="675">
        <v>0</v>
      </c>
      <c r="GF36" s="675">
        <v>0</v>
      </c>
      <c r="GG36" s="675">
        <v>0</v>
      </c>
      <c r="GH36" s="675">
        <v>0</v>
      </c>
      <c r="GI36" s="675">
        <v>0</v>
      </c>
      <c r="GJ36" s="675">
        <v>0</v>
      </c>
      <c r="GK36" s="675">
        <v>0</v>
      </c>
      <c r="GL36" s="675">
        <v>0</v>
      </c>
      <c r="GM36" s="675">
        <v>0</v>
      </c>
      <c r="GN36" s="675">
        <v>0</v>
      </c>
      <c r="GO36" s="675">
        <v>0</v>
      </c>
      <c r="GP36" s="675">
        <v>0</v>
      </c>
      <c r="GQ36" s="675">
        <v>0</v>
      </c>
      <c r="GR36" s="675">
        <v>0</v>
      </c>
      <c r="GS36" s="675">
        <v>0</v>
      </c>
      <c r="GT36" s="675">
        <v>0</v>
      </c>
      <c r="GU36" s="675">
        <v>0</v>
      </c>
      <c r="GV36" s="675">
        <v>0</v>
      </c>
      <c r="GW36" s="675">
        <v>0</v>
      </c>
      <c r="GX36" s="675">
        <v>0</v>
      </c>
      <c r="GY36" s="675">
        <v>0</v>
      </c>
      <c r="GZ36" s="675">
        <v>0</v>
      </c>
      <c r="HA36" s="675">
        <v>0</v>
      </c>
      <c r="HB36" s="675">
        <v>298386780</v>
      </c>
      <c r="HC36" s="675">
        <v>4.5690999999999996E-2</v>
      </c>
      <c r="HD36" s="675">
        <v>30917</v>
      </c>
      <c r="HE36" s="675">
        <v>0</v>
      </c>
      <c r="HF36" s="675">
        <v>121197</v>
      </c>
      <c r="HG36" s="675">
        <v>2464</v>
      </c>
      <c r="HH36" s="675">
        <v>15352</v>
      </c>
      <c r="HI36" s="675">
        <v>0</v>
      </c>
      <c r="HJ36" s="675">
        <v>1644</v>
      </c>
      <c r="HK36" s="675">
        <v>900</v>
      </c>
      <c r="HL36" s="675">
        <v>0</v>
      </c>
      <c r="HM36" s="675">
        <v>3000</v>
      </c>
      <c r="HN36" s="675">
        <v>0</v>
      </c>
      <c r="HO36" s="675">
        <v>0</v>
      </c>
      <c r="HP36" s="675">
        <v>2475</v>
      </c>
      <c r="HQ36" s="675">
        <v>0</v>
      </c>
      <c r="HR36" s="675">
        <v>0</v>
      </c>
      <c r="HS36" s="675">
        <v>2560832</v>
      </c>
      <c r="HT36" s="675">
        <v>53510</v>
      </c>
      <c r="HU36" s="675">
        <v>0</v>
      </c>
      <c r="HV36" s="675">
        <v>0</v>
      </c>
      <c r="HW36" s="675">
        <v>0</v>
      </c>
      <c r="HX36" s="675">
        <v>3</v>
      </c>
      <c r="HY36" s="675">
        <v>39</v>
      </c>
      <c r="HZ36" s="675">
        <v>16</v>
      </c>
      <c r="IA36" s="675">
        <v>24</v>
      </c>
      <c r="IB36" s="675">
        <v>106</v>
      </c>
      <c r="IC36" s="675">
        <v>188</v>
      </c>
      <c r="ID36" s="675">
        <v>1</v>
      </c>
      <c r="IE36" s="675">
        <v>0</v>
      </c>
      <c r="IF36" s="675">
        <v>0</v>
      </c>
      <c r="IG36" s="675">
        <v>4</v>
      </c>
      <c r="IH36" s="675">
        <v>24.922000000000001</v>
      </c>
      <c r="II36" s="675">
        <v>9</v>
      </c>
      <c r="IJ36" s="675">
        <v>0</v>
      </c>
      <c r="IK36" s="675">
        <v>36.01</v>
      </c>
      <c r="IL36" s="675">
        <v>0</v>
      </c>
      <c r="IM36" s="675">
        <v>1</v>
      </c>
      <c r="IN36" s="675">
        <v>0</v>
      </c>
      <c r="IO36" s="675">
        <v>1</v>
      </c>
      <c r="IP36" s="675">
        <v>45.01</v>
      </c>
      <c r="IQ36" s="675">
        <v>0</v>
      </c>
      <c r="IR36" s="675">
        <v>0</v>
      </c>
      <c r="IS36" s="675">
        <v>9903</v>
      </c>
      <c r="IT36" s="675">
        <v>0</v>
      </c>
      <c r="IU36" s="675">
        <v>3000</v>
      </c>
      <c r="IV36" s="675">
        <v>0</v>
      </c>
      <c r="IW36" s="675">
        <v>6160</v>
      </c>
      <c r="IX36" s="675">
        <v>0</v>
      </c>
      <c r="IY36" s="675">
        <v>0</v>
      </c>
      <c r="IZ36" s="675">
        <v>12378</v>
      </c>
      <c r="JA36" s="675">
        <v>1232</v>
      </c>
      <c r="JB36" s="675">
        <v>0</v>
      </c>
      <c r="JC36" s="675">
        <v>0</v>
      </c>
      <c r="JD36" s="675">
        <v>0</v>
      </c>
      <c r="JE36" s="675">
        <v>0</v>
      </c>
      <c r="JF36" s="675">
        <v>0</v>
      </c>
      <c r="JG36" s="675">
        <v>0</v>
      </c>
      <c r="JH36" s="675">
        <v>0</v>
      </c>
      <c r="JI36" s="675">
        <v>0</v>
      </c>
      <c r="JJ36" s="675">
        <v>0</v>
      </c>
      <c r="JK36" s="675">
        <v>0</v>
      </c>
      <c r="JL36" s="675">
        <v>0</v>
      </c>
      <c r="JM36" s="675">
        <v>0</v>
      </c>
      <c r="JN36" s="675">
        <v>32469</v>
      </c>
      <c r="JO36" s="675">
        <v>0</v>
      </c>
      <c r="JP36" s="675">
        <v>0</v>
      </c>
      <c r="JQ36" s="675">
        <v>0</v>
      </c>
      <c r="JR36" s="675">
        <v>0</v>
      </c>
      <c r="JS36" s="675">
        <v>0</v>
      </c>
      <c r="JT36" s="675">
        <v>0</v>
      </c>
      <c r="JU36" s="675">
        <v>0</v>
      </c>
      <c r="JV36" s="675">
        <v>0</v>
      </c>
      <c r="JW36" s="675">
        <v>0</v>
      </c>
      <c r="JX36" s="675">
        <v>0</v>
      </c>
      <c r="JY36" s="675">
        <v>0</v>
      </c>
      <c r="JZ36" s="675">
        <v>0</v>
      </c>
      <c r="KA36" s="675">
        <v>0</v>
      </c>
      <c r="KB36" s="675">
        <v>0</v>
      </c>
      <c r="KC36" s="675">
        <v>0</v>
      </c>
      <c r="KD36" s="675">
        <v>0</v>
      </c>
      <c r="KE36" s="675">
        <v>7260</v>
      </c>
      <c r="KF36" s="675">
        <v>6113</v>
      </c>
      <c r="KG36" s="675">
        <v>0</v>
      </c>
      <c r="KH36" s="675">
        <v>0</v>
      </c>
      <c r="KI36" s="675">
        <v>0</v>
      </c>
    </row>
    <row r="37" spans="1:295" ht="12.5" x14ac:dyDescent="0.25">
      <c r="A37" s="675">
        <v>35795</v>
      </c>
      <c r="B37" s="675">
        <v>212801</v>
      </c>
      <c r="C37" s="675">
        <v>9</v>
      </c>
      <c r="D37" s="675">
        <v>2022</v>
      </c>
      <c r="E37" s="675">
        <v>6160</v>
      </c>
      <c r="F37" s="675">
        <v>0</v>
      </c>
      <c r="G37" s="675">
        <v>1768.2250000000001</v>
      </c>
      <c r="H37" s="675">
        <v>1508.34</v>
      </c>
      <c r="I37" s="675">
        <v>1508.34</v>
      </c>
      <c r="J37" s="675">
        <v>1768.2250000000001</v>
      </c>
      <c r="K37" s="675">
        <v>0</v>
      </c>
      <c r="L37" s="675">
        <v>6160</v>
      </c>
      <c r="M37" s="675">
        <v>0</v>
      </c>
      <c r="N37" s="675">
        <v>0</v>
      </c>
      <c r="O37" s="675">
        <v>0</v>
      </c>
      <c r="P37" s="675">
        <v>1850.6370000000002</v>
      </c>
      <c r="Q37" s="675">
        <v>0</v>
      </c>
      <c r="R37" s="675">
        <v>744748</v>
      </c>
      <c r="S37" s="675">
        <v>402.428</v>
      </c>
      <c r="T37" s="675">
        <v>0</v>
      </c>
      <c r="U37" s="675">
        <v>396039</v>
      </c>
      <c r="V37" s="675">
        <v>109.73</v>
      </c>
      <c r="W37" s="675">
        <v>67593</v>
      </c>
      <c r="X37" s="675">
        <v>67593</v>
      </c>
      <c r="Y37" s="675">
        <v>0</v>
      </c>
      <c r="Z37" s="675">
        <v>0</v>
      </c>
      <c r="AA37" s="675">
        <v>0</v>
      </c>
      <c r="AB37" s="675">
        <v>0</v>
      </c>
      <c r="AC37" s="675">
        <v>0</v>
      </c>
      <c r="AD37" s="675" t="s">
        <v>316</v>
      </c>
      <c r="AE37" s="675">
        <v>0</v>
      </c>
      <c r="AF37" s="675">
        <v>0</v>
      </c>
      <c r="AG37" s="675">
        <v>0</v>
      </c>
      <c r="AH37" s="675">
        <v>0</v>
      </c>
      <c r="AI37" s="675">
        <v>0</v>
      </c>
      <c r="AJ37" s="675">
        <v>6160</v>
      </c>
      <c r="AK37" s="675" t="s">
        <v>671</v>
      </c>
      <c r="AL37" s="675" t="s">
        <v>74</v>
      </c>
      <c r="AM37" s="675">
        <v>0</v>
      </c>
      <c r="AN37" s="675">
        <v>0</v>
      </c>
      <c r="AO37" s="675">
        <v>0</v>
      </c>
      <c r="AP37" s="675">
        <v>0</v>
      </c>
      <c r="AQ37" s="675">
        <v>0</v>
      </c>
      <c r="AR37" s="675">
        <v>0</v>
      </c>
      <c r="AS37" s="675">
        <v>0</v>
      </c>
      <c r="AT37" s="675">
        <v>0</v>
      </c>
      <c r="AU37" s="675">
        <v>0</v>
      </c>
      <c r="AV37" s="675">
        <v>0</v>
      </c>
      <c r="AW37" s="675">
        <v>17572420</v>
      </c>
      <c r="AX37" s="675">
        <v>17254785</v>
      </c>
      <c r="AY37" s="675">
        <v>11793433</v>
      </c>
      <c r="AZ37" s="675">
        <v>744748</v>
      </c>
      <c r="BA37" s="675">
        <v>0</v>
      </c>
      <c r="BB37" s="675">
        <v>0</v>
      </c>
      <c r="BC37" s="675">
        <v>0</v>
      </c>
      <c r="BD37" s="675">
        <v>0</v>
      </c>
      <c r="BE37" s="675">
        <v>0</v>
      </c>
      <c r="BF37" s="675">
        <v>16022204</v>
      </c>
      <c r="BG37" s="675">
        <v>0</v>
      </c>
      <c r="BH37" s="675">
        <v>0</v>
      </c>
      <c r="BI37" s="675">
        <v>0</v>
      </c>
      <c r="BJ37" s="675">
        <v>12</v>
      </c>
      <c r="BK37" s="675">
        <v>0</v>
      </c>
      <c r="BL37" s="675">
        <v>0</v>
      </c>
      <c r="BM37" s="675">
        <v>0</v>
      </c>
      <c r="BN37" s="675">
        <v>0</v>
      </c>
      <c r="BO37" s="675">
        <v>0</v>
      </c>
      <c r="BP37" s="675">
        <v>0</v>
      </c>
      <c r="BQ37" s="675">
        <v>538</v>
      </c>
      <c r="BR37" s="675">
        <v>0</v>
      </c>
      <c r="BS37" s="675">
        <v>0</v>
      </c>
      <c r="BT37" s="675">
        <v>0</v>
      </c>
      <c r="BU37" s="675">
        <v>0</v>
      </c>
      <c r="BV37" s="675">
        <v>0</v>
      </c>
      <c r="BW37" s="675">
        <v>0</v>
      </c>
      <c r="BX37" s="675">
        <v>0</v>
      </c>
      <c r="BY37" s="675">
        <v>0</v>
      </c>
      <c r="BZ37" s="675">
        <v>0</v>
      </c>
      <c r="CA37" s="675">
        <v>0</v>
      </c>
      <c r="CB37" s="675">
        <v>0</v>
      </c>
      <c r="CC37" s="675">
        <v>0</v>
      </c>
      <c r="CD37" s="675">
        <v>0</v>
      </c>
      <c r="CE37" s="675">
        <v>0</v>
      </c>
      <c r="CF37" s="675">
        <v>0</v>
      </c>
      <c r="CG37" s="675">
        <v>0</v>
      </c>
      <c r="CH37" s="675">
        <v>323166</v>
      </c>
      <c r="CI37" s="675">
        <v>0</v>
      </c>
      <c r="CJ37" s="675">
        <v>4</v>
      </c>
      <c r="CK37" s="675">
        <v>0</v>
      </c>
      <c r="CL37" s="675">
        <v>0</v>
      </c>
      <c r="CM37" s="675">
        <v>0</v>
      </c>
      <c r="CN37" s="675">
        <v>0</v>
      </c>
      <c r="CO37" s="675">
        <v>1</v>
      </c>
      <c r="CP37" s="675">
        <v>0</v>
      </c>
      <c r="CQ37" s="675">
        <v>0</v>
      </c>
      <c r="CR37" s="675">
        <v>1883.413</v>
      </c>
      <c r="CS37" s="675">
        <v>0</v>
      </c>
      <c r="CT37" s="675">
        <v>0</v>
      </c>
      <c r="CU37" s="675">
        <v>0</v>
      </c>
      <c r="CV37" s="675">
        <v>0</v>
      </c>
      <c r="CW37" s="675">
        <v>0</v>
      </c>
      <c r="CX37" s="675">
        <v>0</v>
      </c>
      <c r="CY37" s="675">
        <v>0</v>
      </c>
      <c r="CZ37" s="675">
        <v>0</v>
      </c>
      <c r="DA37" s="675">
        <v>0</v>
      </c>
      <c r="DB37" s="675">
        <v>9291331</v>
      </c>
      <c r="DC37" s="675">
        <v>0</v>
      </c>
      <c r="DD37" s="675">
        <v>0</v>
      </c>
      <c r="DE37" s="675">
        <v>1337176</v>
      </c>
      <c r="DF37" s="675">
        <v>1337176</v>
      </c>
      <c r="DG37" s="675">
        <v>217.07500000000002</v>
      </c>
      <c r="DH37" s="675">
        <v>0</v>
      </c>
      <c r="DI37" s="675">
        <v>0</v>
      </c>
      <c r="DJ37" s="675">
        <v>0</v>
      </c>
      <c r="DK37" s="675">
        <v>226</v>
      </c>
      <c r="DL37" s="675">
        <v>0</v>
      </c>
      <c r="DM37" s="675">
        <v>1452117</v>
      </c>
      <c r="DN37" s="675">
        <v>5531</v>
      </c>
      <c r="DO37" s="675">
        <v>0</v>
      </c>
      <c r="DP37" s="675">
        <v>0</v>
      </c>
      <c r="DQ37" s="675">
        <v>0</v>
      </c>
      <c r="DR37" s="675">
        <v>0</v>
      </c>
      <c r="DS37" s="675">
        <v>0</v>
      </c>
      <c r="DT37" s="675">
        <v>0</v>
      </c>
      <c r="DU37" s="675">
        <v>0</v>
      </c>
      <c r="DV37" s="675">
        <v>0</v>
      </c>
      <c r="DW37" s="675">
        <v>0</v>
      </c>
      <c r="DX37" s="675">
        <v>0</v>
      </c>
      <c r="DY37" s="675">
        <v>0</v>
      </c>
      <c r="DZ37" s="675">
        <v>0</v>
      </c>
      <c r="EA37" s="675">
        <v>0.03</v>
      </c>
      <c r="EB37" s="675">
        <v>0</v>
      </c>
      <c r="EC37" s="675">
        <v>44.135000000000005</v>
      </c>
      <c r="ED37" s="675">
        <v>312651</v>
      </c>
      <c r="EE37" s="675">
        <v>0</v>
      </c>
      <c r="EF37" s="675">
        <v>0</v>
      </c>
      <c r="EG37" s="675">
        <v>0</v>
      </c>
      <c r="EH37" s="675">
        <v>1144997</v>
      </c>
      <c r="EI37" s="675">
        <v>0</v>
      </c>
      <c r="EJ37" s="675">
        <v>0</v>
      </c>
      <c r="EK37" s="675">
        <v>47.993000000000002</v>
      </c>
      <c r="EL37" s="675">
        <v>0</v>
      </c>
      <c r="EM37" s="675">
        <v>8.7810000000000006</v>
      </c>
      <c r="EN37" s="675">
        <v>3.081</v>
      </c>
      <c r="EO37" s="675">
        <v>0</v>
      </c>
      <c r="EP37" s="675">
        <v>0</v>
      </c>
      <c r="EQ37" s="675">
        <v>59.885000000000005</v>
      </c>
      <c r="ER37" s="675">
        <v>0</v>
      </c>
      <c r="ES37" s="675">
        <v>185.87700000000001</v>
      </c>
      <c r="ET37" s="675">
        <v>0</v>
      </c>
      <c r="EU37" s="675">
        <v>0</v>
      </c>
      <c r="EV37" s="675">
        <v>0</v>
      </c>
      <c r="EW37" s="675">
        <v>0</v>
      </c>
      <c r="EX37" s="675">
        <v>0</v>
      </c>
      <c r="EY37" s="675">
        <v>0</v>
      </c>
      <c r="EZ37" s="675">
        <v>15287903</v>
      </c>
      <c r="FA37" s="675">
        <v>0</v>
      </c>
      <c r="FB37" s="675">
        <v>16027120</v>
      </c>
      <c r="FC37" s="675">
        <v>0</v>
      </c>
      <c r="FD37" s="675">
        <v>0</v>
      </c>
      <c r="FE37" s="675">
        <v>1629786</v>
      </c>
      <c r="FF37" s="675">
        <v>337096</v>
      </c>
      <c r="FG37" s="675">
        <v>6.3574999999999993E-2</v>
      </c>
      <c r="FH37" s="675">
        <v>2.6298999999999999E-2</v>
      </c>
      <c r="FI37" s="675">
        <v>0</v>
      </c>
      <c r="FJ37" s="675">
        <v>0</v>
      </c>
      <c r="FK37" s="675">
        <v>2601.0190000000002</v>
      </c>
      <c r="FL37" s="675">
        <v>18317168</v>
      </c>
      <c r="FM37" s="675">
        <v>0</v>
      </c>
      <c r="FN37" s="675">
        <v>0</v>
      </c>
      <c r="FO37" s="675">
        <v>0</v>
      </c>
      <c r="FP37" s="675">
        <v>0</v>
      </c>
      <c r="FQ37" s="675">
        <v>0</v>
      </c>
      <c r="FR37" s="675">
        <v>0</v>
      </c>
      <c r="FS37" s="675">
        <v>0</v>
      </c>
      <c r="FT37" s="675">
        <v>0</v>
      </c>
      <c r="FU37" s="675">
        <v>0</v>
      </c>
      <c r="FV37" s="675">
        <v>0</v>
      </c>
      <c r="FW37" s="675">
        <v>0</v>
      </c>
      <c r="FX37" s="675">
        <v>0</v>
      </c>
      <c r="FY37" s="675">
        <v>0</v>
      </c>
      <c r="FZ37" s="675">
        <v>0</v>
      </c>
      <c r="GA37" s="675">
        <v>0</v>
      </c>
      <c r="GB37" s="675">
        <v>1902057</v>
      </c>
      <c r="GC37" s="675">
        <v>1902057</v>
      </c>
      <c r="GD37" s="675">
        <v>200</v>
      </c>
      <c r="GE37" s="675">
        <v>0</v>
      </c>
      <c r="GF37" s="675">
        <v>0</v>
      </c>
      <c r="GG37" s="675">
        <v>0</v>
      </c>
      <c r="GH37" s="675">
        <v>0</v>
      </c>
      <c r="GI37" s="675">
        <v>0</v>
      </c>
      <c r="GJ37" s="675">
        <v>0</v>
      </c>
      <c r="GK37" s="675">
        <v>0</v>
      </c>
      <c r="GL37" s="675">
        <v>0</v>
      </c>
      <c r="GM37" s="675">
        <v>0</v>
      </c>
      <c r="GN37" s="675">
        <v>0</v>
      </c>
      <c r="GO37" s="675">
        <v>0</v>
      </c>
      <c r="GP37" s="675">
        <v>0</v>
      </c>
      <c r="GQ37" s="675">
        <v>0</v>
      </c>
      <c r="GR37" s="675">
        <v>0</v>
      </c>
      <c r="GS37" s="675">
        <v>0</v>
      </c>
      <c r="GT37" s="675">
        <v>0</v>
      </c>
      <c r="GU37" s="675">
        <v>0</v>
      </c>
      <c r="GV37" s="675">
        <v>0</v>
      </c>
      <c r="GW37" s="675">
        <v>0</v>
      </c>
      <c r="GX37" s="675">
        <v>0</v>
      </c>
      <c r="GY37" s="675">
        <v>0</v>
      </c>
      <c r="GZ37" s="675">
        <v>0</v>
      </c>
      <c r="HA37" s="675">
        <v>0</v>
      </c>
      <c r="HB37" s="675">
        <v>298386780</v>
      </c>
      <c r="HC37" s="675">
        <v>4.5690999999999996E-2</v>
      </c>
      <c r="HD37" s="675">
        <v>323166</v>
      </c>
      <c r="HE37" s="675">
        <v>0</v>
      </c>
      <c r="HF37" s="675">
        <v>1659174</v>
      </c>
      <c r="HG37" s="675">
        <v>107800</v>
      </c>
      <c r="HH37" s="675">
        <v>172238</v>
      </c>
      <c r="HI37" s="675">
        <v>0</v>
      </c>
      <c r="HJ37" s="675">
        <v>17187</v>
      </c>
      <c r="HK37" s="675">
        <v>8082</v>
      </c>
      <c r="HL37" s="675">
        <v>2365</v>
      </c>
      <c r="HM37" s="675">
        <v>10000</v>
      </c>
      <c r="HN37" s="675">
        <v>0</v>
      </c>
      <c r="HO37" s="675">
        <v>0</v>
      </c>
      <c r="HP37" s="675">
        <v>0</v>
      </c>
      <c r="HQ37" s="675">
        <v>0</v>
      </c>
      <c r="HR37" s="675">
        <v>0</v>
      </c>
      <c r="HS37" s="675">
        <v>15282372</v>
      </c>
      <c r="HT37" s="675">
        <v>337096</v>
      </c>
      <c r="HU37" s="675">
        <v>0</v>
      </c>
      <c r="HV37" s="675">
        <v>0</v>
      </c>
      <c r="HW37" s="675">
        <v>0</v>
      </c>
      <c r="HX37" s="675">
        <v>291</v>
      </c>
      <c r="HY37" s="675">
        <v>202</v>
      </c>
      <c r="HZ37" s="675">
        <v>175</v>
      </c>
      <c r="IA37" s="675">
        <v>138</v>
      </c>
      <c r="IB37" s="675">
        <v>86</v>
      </c>
      <c r="IC37" s="675">
        <v>892</v>
      </c>
      <c r="ID37" s="675">
        <v>0</v>
      </c>
      <c r="IE37" s="675">
        <v>0</v>
      </c>
      <c r="IF37" s="675">
        <v>0</v>
      </c>
      <c r="IG37" s="675">
        <v>175</v>
      </c>
      <c r="IH37" s="675">
        <v>279.608</v>
      </c>
      <c r="II37" s="675">
        <v>0</v>
      </c>
      <c r="IJ37" s="675">
        <v>109.73</v>
      </c>
      <c r="IK37" s="675">
        <v>0</v>
      </c>
      <c r="IL37" s="675">
        <v>1</v>
      </c>
      <c r="IM37" s="675">
        <v>1</v>
      </c>
      <c r="IN37" s="675">
        <v>1</v>
      </c>
      <c r="IO37" s="675">
        <v>3</v>
      </c>
      <c r="IP37" s="675">
        <v>0</v>
      </c>
      <c r="IQ37" s="675">
        <v>109.73</v>
      </c>
      <c r="IR37" s="675">
        <v>67593</v>
      </c>
      <c r="IS37" s="675">
        <v>0</v>
      </c>
      <c r="IT37" s="675">
        <v>5000</v>
      </c>
      <c r="IU37" s="675">
        <v>3000</v>
      </c>
      <c r="IV37" s="675">
        <v>2000</v>
      </c>
      <c r="IW37" s="675">
        <v>6160</v>
      </c>
      <c r="IX37" s="675">
        <v>0</v>
      </c>
      <c r="IY37" s="675">
        <v>0</v>
      </c>
      <c r="IZ37" s="675">
        <v>0</v>
      </c>
      <c r="JA37" s="675">
        <v>0</v>
      </c>
      <c r="JB37" s="675">
        <v>0</v>
      </c>
      <c r="JC37" s="675">
        <v>0</v>
      </c>
      <c r="JD37" s="675">
        <v>0</v>
      </c>
      <c r="JE37" s="675">
        <v>0</v>
      </c>
      <c r="JF37" s="675">
        <v>0</v>
      </c>
      <c r="JG37" s="675">
        <v>0</v>
      </c>
      <c r="JH37" s="675">
        <v>0</v>
      </c>
      <c r="JI37" s="675">
        <v>0</v>
      </c>
      <c r="JJ37" s="675">
        <v>0</v>
      </c>
      <c r="JK37" s="675">
        <v>0</v>
      </c>
      <c r="JL37" s="675">
        <v>0</v>
      </c>
      <c r="JM37" s="675">
        <v>0</v>
      </c>
      <c r="JN37" s="675">
        <v>32469</v>
      </c>
      <c r="JO37" s="675">
        <v>19.345000000000002</v>
      </c>
      <c r="JP37" s="675">
        <v>130.79500000000002</v>
      </c>
      <c r="JQ37" s="675">
        <v>49.86</v>
      </c>
      <c r="JR37" s="675">
        <v>154489</v>
      </c>
      <c r="JS37" s="675">
        <v>1215452</v>
      </c>
      <c r="JT37" s="675">
        <v>532116</v>
      </c>
      <c r="JU37" s="675">
        <v>0</v>
      </c>
      <c r="JV37" s="675">
        <v>0</v>
      </c>
      <c r="JW37" s="675">
        <v>0</v>
      </c>
      <c r="JX37" s="675">
        <v>0</v>
      </c>
      <c r="JY37" s="675">
        <v>0</v>
      </c>
      <c r="JZ37" s="675">
        <v>0</v>
      </c>
      <c r="KA37" s="675">
        <v>0</v>
      </c>
      <c r="KB37" s="675">
        <v>0</v>
      </c>
      <c r="KC37" s="675">
        <v>0</v>
      </c>
      <c r="KD37" s="675">
        <v>0</v>
      </c>
      <c r="KE37" s="675">
        <v>7260</v>
      </c>
      <c r="KF37" s="675">
        <v>0</v>
      </c>
      <c r="KG37" s="675">
        <v>0</v>
      </c>
      <c r="KH37" s="675">
        <v>0</v>
      </c>
      <c r="KI37" s="675">
        <v>0</v>
      </c>
    </row>
    <row r="38" spans="1:295" ht="12.5" x14ac:dyDescent="0.25">
      <c r="A38" s="675">
        <v>35795</v>
      </c>
      <c r="B38" s="675">
        <v>220801</v>
      </c>
      <c r="C38" s="675">
        <v>9</v>
      </c>
      <c r="D38" s="675">
        <v>2022</v>
      </c>
      <c r="E38" s="675">
        <v>6160</v>
      </c>
      <c r="F38" s="675">
        <v>0</v>
      </c>
      <c r="G38" s="675">
        <v>303.84000000000003</v>
      </c>
      <c r="H38" s="675">
        <v>289.87200000000001</v>
      </c>
      <c r="I38" s="675">
        <v>289.87200000000001</v>
      </c>
      <c r="J38" s="675">
        <v>303.84000000000003</v>
      </c>
      <c r="K38" s="675">
        <v>0</v>
      </c>
      <c r="L38" s="675">
        <v>6160</v>
      </c>
      <c r="M38" s="675">
        <v>0</v>
      </c>
      <c r="N38" s="675">
        <v>0</v>
      </c>
      <c r="O38" s="675">
        <v>0</v>
      </c>
      <c r="P38" s="675">
        <v>373.32400000000001</v>
      </c>
      <c r="Q38" s="675">
        <v>0</v>
      </c>
      <c r="R38" s="675">
        <v>150236</v>
      </c>
      <c r="S38" s="675">
        <v>402.428</v>
      </c>
      <c r="T38" s="675">
        <v>0</v>
      </c>
      <c r="U38" s="675">
        <v>79891</v>
      </c>
      <c r="V38" s="675">
        <v>2.9550000000000001</v>
      </c>
      <c r="W38" s="675">
        <v>1820</v>
      </c>
      <c r="X38" s="675">
        <v>1820</v>
      </c>
      <c r="Y38" s="675">
        <v>0</v>
      </c>
      <c r="Z38" s="675">
        <v>0</v>
      </c>
      <c r="AA38" s="675">
        <v>0</v>
      </c>
      <c r="AB38" s="675">
        <v>0</v>
      </c>
      <c r="AC38" s="675">
        <v>0</v>
      </c>
      <c r="AD38" s="675" t="s">
        <v>316</v>
      </c>
      <c r="AE38" s="675">
        <v>0</v>
      </c>
      <c r="AF38" s="675">
        <v>0</v>
      </c>
      <c r="AG38" s="675">
        <v>0</v>
      </c>
      <c r="AH38" s="675">
        <v>0</v>
      </c>
      <c r="AI38" s="675">
        <v>0</v>
      </c>
      <c r="AJ38" s="675">
        <v>6160</v>
      </c>
      <c r="AK38" s="675" t="s">
        <v>671</v>
      </c>
      <c r="AL38" s="675" t="s">
        <v>76</v>
      </c>
      <c r="AM38" s="675">
        <v>0</v>
      </c>
      <c r="AN38" s="675">
        <v>0</v>
      </c>
      <c r="AO38" s="675">
        <v>0</v>
      </c>
      <c r="AP38" s="675">
        <v>0</v>
      </c>
      <c r="AQ38" s="675">
        <v>0</v>
      </c>
      <c r="AR38" s="675">
        <v>0</v>
      </c>
      <c r="AS38" s="675">
        <v>0</v>
      </c>
      <c r="AT38" s="675">
        <v>0</v>
      </c>
      <c r="AU38" s="675">
        <v>0</v>
      </c>
      <c r="AV38" s="675">
        <v>-50971</v>
      </c>
      <c r="AW38" s="675">
        <v>2647646</v>
      </c>
      <c r="AX38" s="675">
        <v>2592503</v>
      </c>
      <c r="AY38" s="675">
        <v>1835750</v>
      </c>
      <c r="AZ38" s="675">
        <v>150236</v>
      </c>
      <c r="BA38" s="675">
        <v>0</v>
      </c>
      <c r="BB38" s="675">
        <v>0</v>
      </c>
      <c r="BC38" s="675">
        <v>0</v>
      </c>
      <c r="BD38" s="675">
        <v>0</v>
      </c>
      <c r="BE38" s="675">
        <v>0</v>
      </c>
      <c r="BF38" s="675">
        <v>2442407</v>
      </c>
      <c r="BG38" s="675">
        <v>0</v>
      </c>
      <c r="BH38" s="675">
        <v>0</v>
      </c>
      <c r="BI38" s="675">
        <v>0</v>
      </c>
      <c r="BJ38" s="675">
        <v>12</v>
      </c>
      <c r="BK38" s="675">
        <v>0</v>
      </c>
      <c r="BL38" s="675">
        <v>0</v>
      </c>
      <c r="BM38" s="675">
        <v>0</v>
      </c>
      <c r="BN38" s="675">
        <v>0</v>
      </c>
      <c r="BO38" s="675">
        <v>0</v>
      </c>
      <c r="BP38" s="675">
        <v>0</v>
      </c>
      <c r="BQ38" s="675">
        <v>725</v>
      </c>
      <c r="BR38" s="675">
        <v>0</v>
      </c>
      <c r="BS38" s="675">
        <v>0</v>
      </c>
      <c r="BT38" s="675">
        <v>0</v>
      </c>
      <c r="BU38" s="675">
        <v>0</v>
      </c>
      <c r="BV38" s="675">
        <v>0</v>
      </c>
      <c r="BW38" s="675">
        <v>0</v>
      </c>
      <c r="BX38" s="675">
        <v>0</v>
      </c>
      <c r="BY38" s="675">
        <v>0</v>
      </c>
      <c r="BZ38" s="675">
        <v>0</v>
      </c>
      <c r="CA38" s="675">
        <v>0</v>
      </c>
      <c r="CB38" s="675">
        <v>0</v>
      </c>
      <c r="CC38" s="675">
        <v>0</v>
      </c>
      <c r="CD38" s="675">
        <v>0</v>
      </c>
      <c r="CE38" s="675">
        <v>0</v>
      </c>
      <c r="CF38" s="675">
        <v>0</v>
      </c>
      <c r="CG38" s="675">
        <v>0</v>
      </c>
      <c r="CH38" s="675">
        <v>55531</v>
      </c>
      <c r="CI38" s="675">
        <v>0</v>
      </c>
      <c r="CJ38" s="675">
        <v>4</v>
      </c>
      <c r="CK38" s="675">
        <v>0</v>
      </c>
      <c r="CL38" s="675">
        <v>0</v>
      </c>
      <c r="CM38" s="675">
        <v>0</v>
      </c>
      <c r="CN38" s="675">
        <v>0</v>
      </c>
      <c r="CO38" s="675">
        <v>1</v>
      </c>
      <c r="CP38" s="675">
        <v>0</v>
      </c>
      <c r="CQ38" s="675">
        <v>0</v>
      </c>
      <c r="CR38" s="675">
        <v>378.73099999999999</v>
      </c>
      <c r="CS38" s="675">
        <v>0</v>
      </c>
      <c r="CT38" s="675">
        <v>0</v>
      </c>
      <c r="CU38" s="675">
        <v>0</v>
      </c>
      <c r="CV38" s="675">
        <v>0</v>
      </c>
      <c r="CW38" s="675">
        <v>0</v>
      </c>
      <c r="CX38" s="675">
        <v>0</v>
      </c>
      <c r="CY38" s="675">
        <v>0</v>
      </c>
      <c r="CZ38" s="675">
        <v>0</v>
      </c>
      <c r="DA38" s="675">
        <v>0</v>
      </c>
      <c r="DB38" s="675">
        <v>1785603</v>
      </c>
      <c r="DC38" s="675">
        <v>0</v>
      </c>
      <c r="DD38" s="675">
        <v>0</v>
      </c>
      <c r="DE38" s="675">
        <v>99330</v>
      </c>
      <c r="DF38" s="675">
        <v>99330</v>
      </c>
      <c r="DG38" s="675">
        <v>16.125</v>
      </c>
      <c r="DH38" s="675">
        <v>0</v>
      </c>
      <c r="DI38" s="675">
        <v>0</v>
      </c>
      <c r="DJ38" s="675">
        <v>0</v>
      </c>
      <c r="DK38" s="675">
        <v>3228</v>
      </c>
      <c r="DL38" s="675">
        <v>0</v>
      </c>
      <c r="DM38" s="675">
        <v>101774</v>
      </c>
      <c r="DN38" s="675">
        <v>388</v>
      </c>
      <c r="DO38" s="675">
        <v>0</v>
      </c>
      <c r="DP38" s="675">
        <v>0</v>
      </c>
      <c r="DQ38" s="675">
        <v>0</v>
      </c>
      <c r="DR38" s="675">
        <v>0</v>
      </c>
      <c r="DS38" s="675">
        <v>0</v>
      </c>
      <c r="DT38" s="675">
        <v>0</v>
      </c>
      <c r="DU38" s="675">
        <v>0</v>
      </c>
      <c r="DV38" s="675">
        <v>0</v>
      </c>
      <c r="DW38" s="675">
        <v>0</v>
      </c>
      <c r="DX38" s="675">
        <v>0</v>
      </c>
      <c r="DY38" s="675">
        <v>0</v>
      </c>
      <c r="DZ38" s="675">
        <v>0</v>
      </c>
      <c r="EA38" s="675">
        <v>0</v>
      </c>
      <c r="EB38" s="675">
        <v>0</v>
      </c>
      <c r="EC38" s="675">
        <v>9.1319999999999997</v>
      </c>
      <c r="ED38" s="675">
        <v>64691</v>
      </c>
      <c r="EE38" s="675">
        <v>0</v>
      </c>
      <c r="EF38" s="675">
        <v>0</v>
      </c>
      <c r="EG38" s="675">
        <v>0</v>
      </c>
      <c r="EH38" s="675">
        <v>37471</v>
      </c>
      <c r="EI38" s="675">
        <v>0</v>
      </c>
      <c r="EJ38" s="675">
        <v>0</v>
      </c>
      <c r="EK38" s="675">
        <v>0.95100000000000007</v>
      </c>
      <c r="EL38" s="675">
        <v>0</v>
      </c>
      <c r="EM38" s="675">
        <v>0</v>
      </c>
      <c r="EN38" s="675">
        <v>0.64600000000000002</v>
      </c>
      <c r="EO38" s="675">
        <v>0</v>
      </c>
      <c r="EP38" s="675">
        <v>0</v>
      </c>
      <c r="EQ38" s="675">
        <v>1.597</v>
      </c>
      <c r="ER38" s="675">
        <v>0</v>
      </c>
      <c r="ES38" s="675">
        <v>6.0830000000000002</v>
      </c>
      <c r="ET38" s="675">
        <v>0</v>
      </c>
      <c r="EU38" s="675">
        <v>0</v>
      </c>
      <c r="EV38" s="675">
        <v>0</v>
      </c>
      <c r="EW38" s="675">
        <v>0</v>
      </c>
      <c r="EX38" s="675">
        <v>0</v>
      </c>
      <c r="EY38" s="675">
        <v>0</v>
      </c>
      <c r="EZ38" s="675">
        <v>2292675</v>
      </c>
      <c r="FA38" s="675">
        <v>0</v>
      </c>
      <c r="FB38" s="675">
        <v>2442523</v>
      </c>
      <c r="FC38" s="675">
        <v>0</v>
      </c>
      <c r="FD38" s="675">
        <v>0</v>
      </c>
      <c r="FE38" s="675">
        <v>248442</v>
      </c>
      <c r="FF38" s="675">
        <v>51386</v>
      </c>
      <c r="FG38" s="675">
        <v>6.3574999999999993E-2</v>
      </c>
      <c r="FH38" s="675">
        <v>2.6298999999999999E-2</v>
      </c>
      <c r="FI38" s="675">
        <v>0</v>
      </c>
      <c r="FJ38" s="675">
        <v>0</v>
      </c>
      <c r="FK38" s="675">
        <v>396.49600000000004</v>
      </c>
      <c r="FL38" s="675">
        <v>2797882</v>
      </c>
      <c r="FM38" s="675">
        <v>0</v>
      </c>
      <c r="FN38" s="675">
        <v>0</v>
      </c>
      <c r="FO38" s="675">
        <v>0</v>
      </c>
      <c r="FP38" s="675">
        <v>0</v>
      </c>
      <c r="FQ38" s="675">
        <v>0</v>
      </c>
      <c r="FR38" s="675">
        <v>0</v>
      </c>
      <c r="FS38" s="675">
        <v>0</v>
      </c>
      <c r="FT38" s="675">
        <v>0</v>
      </c>
      <c r="FU38" s="675">
        <v>0</v>
      </c>
      <c r="FV38" s="675">
        <v>0</v>
      </c>
      <c r="FW38" s="675">
        <v>0</v>
      </c>
      <c r="FX38" s="675">
        <v>0</v>
      </c>
      <c r="FY38" s="675">
        <v>0</v>
      </c>
      <c r="FZ38" s="675">
        <v>0</v>
      </c>
      <c r="GA38" s="675">
        <v>0</v>
      </c>
      <c r="GB38" s="675">
        <v>107663</v>
      </c>
      <c r="GC38" s="675">
        <v>107663</v>
      </c>
      <c r="GD38" s="675">
        <v>12.371</v>
      </c>
      <c r="GE38" s="675">
        <v>0</v>
      </c>
      <c r="GF38" s="675">
        <v>0</v>
      </c>
      <c r="GG38" s="675">
        <v>0</v>
      </c>
      <c r="GH38" s="675">
        <v>0</v>
      </c>
      <c r="GI38" s="675">
        <v>0</v>
      </c>
      <c r="GJ38" s="675">
        <v>0</v>
      </c>
      <c r="GK38" s="675">
        <v>0</v>
      </c>
      <c r="GL38" s="675">
        <v>0</v>
      </c>
      <c r="GM38" s="675">
        <v>0</v>
      </c>
      <c r="GN38" s="675">
        <v>0</v>
      </c>
      <c r="GO38" s="675">
        <v>0</v>
      </c>
      <c r="GP38" s="675">
        <v>0</v>
      </c>
      <c r="GQ38" s="675">
        <v>0</v>
      </c>
      <c r="GR38" s="675">
        <v>0</v>
      </c>
      <c r="GS38" s="675">
        <v>0</v>
      </c>
      <c r="GT38" s="675">
        <v>0</v>
      </c>
      <c r="GU38" s="675">
        <v>0</v>
      </c>
      <c r="GV38" s="675">
        <v>0</v>
      </c>
      <c r="GW38" s="675">
        <v>0</v>
      </c>
      <c r="GX38" s="675">
        <v>0</v>
      </c>
      <c r="GY38" s="675">
        <v>0</v>
      </c>
      <c r="GZ38" s="675">
        <v>0</v>
      </c>
      <c r="HA38" s="675">
        <v>0</v>
      </c>
      <c r="HB38" s="675">
        <v>298386780</v>
      </c>
      <c r="HC38" s="675">
        <v>4.5690999999999996E-2</v>
      </c>
      <c r="HD38" s="675">
        <v>55531</v>
      </c>
      <c r="HE38" s="675">
        <v>0</v>
      </c>
      <c r="HF38" s="675">
        <v>318859</v>
      </c>
      <c r="HG38" s="675">
        <v>0</v>
      </c>
      <c r="HH38" s="675">
        <v>12017</v>
      </c>
      <c r="HI38" s="675">
        <v>0</v>
      </c>
      <c r="HJ38" s="675">
        <v>2953</v>
      </c>
      <c r="HK38" s="675">
        <v>504</v>
      </c>
      <c r="HL38" s="675">
        <v>0</v>
      </c>
      <c r="HM38" s="675">
        <v>12000</v>
      </c>
      <c r="HN38" s="675">
        <v>0</v>
      </c>
      <c r="HO38" s="675">
        <v>0</v>
      </c>
      <c r="HP38" s="675">
        <v>0</v>
      </c>
      <c r="HQ38" s="675">
        <v>0</v>
      </c>
      <c r="HR38" s="675">
        <v>0</v>
      </c>
      <c r="HS38" s="675">
        <v>2292287</v>
      </c>
      <c r="HT38" s="675">
        <v>51386</v>
      </c>
      <c r="HU38" s="675">
        <v>0</v>
      </c>
      <c r="HV38" s="675">
        <v>0</v>
      </c>
      <c r="HW38" s="675">
        <v>0</v>
      </c>
      <c r="HX38" s="675">
        <v>24</v>
      </c>
      <c r="HY38" s="675">
        <v>11</v>
      </c>
      <c r="HZ38" s="675">
        <v>10</v>
      </c>
      <c r="IA38" s="675">
        <v>13</v>
      </c>
      <c r="IB38" s="675">
        <v>8</v>
      </c>
      <c r="IC38" s="675">
        <v>66</v>
      </c>
      <c r="ID38" s="675">
        <v>0</v>
      </c>
      <c r="IE38" s="675">
        <v>0</v>
      </c>
      <c r="IF38" s="675">
        <v>0</v>
      </c>
      <c r="IG38" s="675">
        <v>0</v>
      </c>
      <c r="IH38" s="675">
        <v>19.508000000000003</v>
      </c>
      <c r="II38" s="675">
        <v>0</v>
      </c>
      <c r="IJ38" s="675">
        <v>2.9550000000000001</v>
      </c>
      <c r="IK38" s="675">
        <v>0</v>
      </c>
      <c r="IL38" s="675">
        <v>0</v>
      </c>
      <c r="IM38" s="675">
        <v>4</v>
      </c>
      <c r="IN38" s="675">
        <v>0</v>
      </c>
      <c r="IO38" s="675">
        <v>4</v>
      </c>
      <c r="IP38" s="675">
        <v>0</v>
      </c>
      <c r="IQ38" s="675">
        <v>2.9550000000000001</v>
      </c>
      <c r="IR38" s="675">
        <v>1820</v>
      </c>
      <c r="IS38" s="675">
        <v>0</v>
      </c>
      <c r="IT38" s="675">
        <v>0</v>
      </c>
      <c r="IU38" s="675">
        <v>12000</v>
      </c>
      <c r="IV38" s="675">
        <v>0</v>
      </c>
      <c r="IW38" s="675">
        <v>6160</v>
      </c>
      <c r="IX38" s="675">
        <v>0</v>
      </c>
      <c r="IY38" s="675">
        <v>0</v>
      </c>
      <c r="IZ38" s="675">
        <v>0</v>
      </c>
      <c r="JA38" s="675">
        <v>0</v>
      </c>
      <c r="JB38" s="675">
        <v>0</v>
      </c>
      <c r="JC38" s="675">
        <v>0</v>
      </c>
      <c r="JD38" s="675">
        <v>0</v>
      </c>
      <c r="JE38" s="675">
        <v>0</v>
      </c>
      <c r="JF38" s="675">
        <v>0</v>
      </c>
      <c r="JG38" s="675">
        <v>0</v>
      </c>
      <c r="JH38" s="675">
        <v>0</v>
      </c>
      <c r="JI38" s="675">
        <v>0</v>
      </c>
      <c r="JJ38" s="675">
        <v>0</v>
      </c>
      <c r="JK38" s="675">
        <v>0</v>
      </c>
      <c r="JL38" s="675">
        <v>0</v>
      </c>
      <c r="JM38" s="675">
        <v>0</v>
      </c>
      <c r="JN38" s="675">
        <v>32469</v>
      </c>
      <c r="JO38" s="675">
        <v>6.5760000000000005</v>
      </c>
      <c r="JP38" s="675">
        <v>4.8559999999999999</v>
      </c>
      <c r="JQ38" s="675">
        <v>0.93900000000000006</v>
      </c>
      <c r="JR38" s="675">
        <v>52516</v>
      </c>
      <c r="JS38" s="675">
        <v>45126</v>
      </c>
      <c r="JT38" s="675">
        <v>10021</v>
      </c>
      <c r="JU38" s="675">
        <v>0</v>
      </c>
      <c r="JV38" s="675">
        <v>0</v>
      </c>
      <c r="JW38" s="675">
        <v>0</v>
      </c>
      <c r="JX38" s="675">
        <v>0</v>
      </c>
      <c r="JY38" s="675">
        <v>0</v>
      </c>
      <c r="JZ38" s="675">
        <v>0</v>
      </c>
      <c r="KA38" s="675">
        <v>0</v>
      </c>
      <c r="KB38" s="675">
        <v>0</v>
      </c>
      <c r="KC38" s="675">
        <v>0</v>
      </c>
      <c r="KD38" s="675">
        <v>0</v>
      </c>
      <c r="KE38" s="675">
        <v>7260</v>
      </c>
      <c r="KF38" s="675">
        <v>0</v>
      </c>
      <c r="KG38" s="675">
        <v>0</v>
      </c>
      <c r="KH38" s="675">
        <v>0</v>
      </c>
      <c r="KI38" s="675">
        <v>0</v>
      </c>
    </row>
    <row r="39" spans="1:295" ht="12.5" x14ac:dyDescent="0.25">
      <c r="A39" s="675">
        <v>35795</v>
      </c>
      <c r="B39" s="675">
        <v>221801</v>
      </c>
      <c r="C39" s="675">
        <v>9</v>
      </c>
      <c r="D39" s="675">
        <v>2022</v>
      </c>
      <c r="E39" s="675">
        <v>6160</v>
      </c>
      <c r="F39" s="675">
        <v>0</v>
      </c>
      <c r="G39" s="675">
        <v>14009.595000000001</v>
      </c>
      <c r="H39" s="675">
        <v>13690.837</v>
      </c>
      <c r="I39" s="675">
        <v>13690.837</v>
      </c>
      <c r="J39" s="675">
        <v>14009.595000000001</v>
      </c>
      <c r="K39" s="675">
        <v>0</v>
      </c>
      <c r="L39" s="675">
        <v>6160</v>
      </c>
      <c r="M39" s="675">
        <v>0</v>
      </c>
      <c r="N39" s="675">
        <v>0</v>
      </c>
      <c r="O39" s="675">
        <v>0</v>
      </c>
      <c r="P39" s="675">
        <v>14961.727999999999</v>
      </c>
      <c r="Q39" s="675">
        <v>0</v>
      </c>
      <c r="R39" s="675">
        <v>6021018</v>
      </c>
      <c r="S39" s="675">
        <v>402.428</v>
      </c>
      <c r="T39" s="675">
        <v>0</v>
      </c>
      <c r="U39" s="675">
        <v>3201831</v>
      </c>
      <c r="V39" s="675">
        <v>1461.2350000000001</v>
      </c>
      <c r="W39" s="675">
        <v>900117</v>
      </c>
      <c r="X39" s="675">
        <v>900117</v>
      </c>
      <c r="Y39" s="675">
        <v>0</v>
      </c>
      <c r="Z39" s="675">
        <v>0</v>
      </c>
      <c r="AA39" s="675">
        <v>0</v>
      </c>
      <c r="AB39" s="675">
        <v>0</v>
      </c>
      <c r="AC39" s="675">
        <v>0</v>
      </c>
      <c r="AD39" s="675" t="s">
        <v>316</v>
      </c>
      <c r="AE39" s="675">
        <v>0</v>
      </c>
      <c r="AF39" s="675">
        <v>0</v>
      </c>
      <c r="AG39" s="675">
        <v>0</v>
      </c>
      <c r="AH39" s="675">
        <v>0</v>
      </c>
      <c r="AI39" s="675">
        <v>0</v>
      </c>
      <c r="AJ39" s="675">
        <v>6160</v>
      </c>
      <c r="AK39" s="675" t="s">
        <v>671</v>
      </c>
      <c r="AL39" s="675" t="s">
        <v>365</v>
      </c>
      <c r="AM39" s="675">
        <v>0</v>
      </c>
      <c r="AN39" s="675">
        <v>0</v>
      </c>
      <c r="AO39" s="675">
        <v>0</v>
      </c>
      <c r="AP39" s="675">
        <v>0</v>
      </c>
      <c r="AQ39" s="675">
        <v>0</v>
      </c>
      <c r="AR39" s="675">
        <v>0</v>
      </c>
      <c r="AS39" s="675">
        <v>0</v>
      </c>
      <c r="AT39" s="675">
        <v>0</v>
      </c>
      <c r="AU39" s="675">
        <v>0</v>
      </c>
      <c r="AV39" s="675">
        <v>-1304078</v>
      </c>
      <c r="AW39" s="675">
        <v>131614652</v>
      </c>
      <c r="AX39" s="675">
        <v>129078522</v>
      </c>
      <c r="AY39" s="675">
        <v>88957121</v>
      </c>
      <c r="AZ39" s="675">
        <v>6021018</v>
      </c>
      <c r="BA39" s="675">
        <v>0</v>
      </c>
      <c r="BB39" s="675">
        <v>0</v>
      </c>
      <c r="BC39" s="675">
        <v>0</v>
      </c>
      <c r="BD39" s="675">
        <v>0</v>
      </c>
      <c r="BE39" s="675">
        <v>0</v>
      </c>
      <c r="BF39" s="675">
        <v>119440639</v>
      </c>
      <c r="BG39" s="675">
        <v>0</v>
      </c>
      <c r="BH39" s="675">
        <v>0</v>
      </c>
      <c r="BI39" s="675">
        <v>0</v>
      </c>
      <c r="BJ39" s="675">
        <v>12</v>
      </c>
      <c r="BK39" s="675">
        <v>0</v>
      </c>
      <c r="BL39" s="675">
        <v>0</v>
      </c>
      <c r="BM39" s="675">
        <v>0</v>
      </c>
      <c r="BN39" s="675">
        <v>0</v>
      </c>
      <c r="BO39" s="675">
        <v>0</v>
      </c>
      <c r="BP39" s="675">
        <v>0</v>
      </c>
      <c r="BQ39" s="675">
        <v>0</v>
      </c>
      <c r="BR39" s="675">
        <v>0</v>
      </c>
      <c r="BS39" s="675">
        <v>0</v>
      </c>
      <c r="BT39" s="675">
        <v>0</v>
      </c>
      <c r="BU39" s="675">
        <v>0</v>
      </c>
      <c r="BV39" s="675">
        <v>0</v>
      </c>
      <c r="BW39" s="675">
        <v>0</v>
      </c>
      <c r="BX39" s="675">
        <v>0</v>
      </c>
      <c r="BY39" s="675">
        <v>0</v>
      </c>
      <c r="BZ39" s="675">
        <v>0</v>
      </c>
      <c r="CA39" s="675">
        <v>1128.366</v>
      </c>
      <c r="CB39" s="675">
        <v>962241</v>
      </c>
      <c r="CC39" s="675">
        <v>0</v>
      </c>
      <c r="CD39" s="675">
        <v>0</v>
      </c>
      <c r="CE39" s="675">
        <v>0</v>
      </c>
      <c r="CF39" s="675">
        <v>0</v>
      </c>
      <c r="CG39" s="675">
        <v>0</v>
      </c>
      <c r="CH39" s="675">
        <v>2560432</v>
      </c>
      <c r="CI39" s="675">
        <v>0</v>
      </c>
      <c r="CJ39" s="675">
        <v>4</v>
      </c>
      <c r="CK39" s="675">
        <v>0</v>
      </c>
      <c r="CL39" s="675">
        <v>0</v>
      </c>
      <c r="CM39" s="675">
        <v>0</v>
      </c>
      <c r="CN39" s="675">
        <v>0</v>
      </c>
      <c r="CO39" s="675">
        <v>1</v>
      </c>
      <c r="CP39" s="675">
        <v>0</v>
      </c>
      <c r="CQ39" s="675">
        <v>0</v>
      </c>
      <c r="CR39" s="675">
        <v>14966.678</v>
      </c>
      <c r="CS39" s="675">
        <v>0</v>
      </c>
      <c r="CT39" s="675">
        <v>0</v>
      </c>
      <c r="CU39" s="675">
        <v>0</v>
      </c>
      <c r="CV39" s="675">
        <v>0</v>
      </c>
      <c r="CW39" s="675">
        <v>0</v>
      </c>
      <c r="CX39" s="675">
        <v>0</v>
      </c>
      <c r="CY39" s="675">
        <v>0</v>
      </c>
      <c r="CZ39" s="675">
        <v>0</v>
      </c>
      <c r="DA39" s="675">
        <v>0</v>
      </c>
      <c r="DB39" s="675">
        <v>84335165</v>
      </c>
      <c r="DC39" s="675">
        <v>0</v>
      </c>
      <c r="DD39" s="675">
        <v>0</v>
      </c>
      <c r="DE39" s="675">
        <v>9156413</v>
      </c>
      <c r="DF39" s="675">
        <v>9156413</v>
      </c>
      <c r="DG39" s="675">
        <v>1486.4380000000001</v>
      </c>
      <c r="DH39" s="675">
        <v>0</v>
      </c>
      <c r="DI39" s="675">
        <v>0</v>
      </c>
      <c r="DJ39" s="675">
        <v>0</v>
      </c>
      <c r="DK39" s="675">
        <v>0</v>
      </c>
      <c r="DL39" s="675">
        <v>0</v>
      </c>
      <c r="DM39" s="675">
        <v>6380134</v>
      </c>
      <c r="DN39" s="675">
        <v>24302</v>
      </c>
      <c r="DO39" s="675">
        <v>0</v>
      </c>
      <c r="DP39" s="675">
        <v>0</v>
      </c>
      <c r="DQ39" s="675">
        <v>0</v>
      </c>
      <c r="DR39" s="675">
        <v>0</v>
      </c>
      <c r="DS39" s="675">
        <v>0</v>
      </c>
      <c r="DT39" s="675">
        <v>0</v>
      </c>
      <c r="DU39" s="675">
        <v>0</v>
      </c>
      <c r="DV39" s="675">
        <v>0</v>
      </c>
      <c r="DW39" s="675">
        <v>0</v>
      </c>
      <c r="DX39" s="675">
        <v>0</v>
      </c>
      <c r="DY39" s="675">
        <v>0</v>
      </c>
      <c r="DZ39" s="675">
        <v>0</v>
      </c>
      <c r="EA39" s="675">
        <v>0</v>
      </c>
      <c r="EB39" s="675">
        <v>0</v>
      </c>
      <c r="EC39" s="675">
        <v>295.56700000000001</v>
      </c>
      <c r="ED39" s="675">
        <v>2093787</v>
      </c>
      <c r="EE39" s="675">
        <v>0</v>
      </c>
      <c r="EF39" s="675">
        <v>0</v>
      </c>
      <c r="EG39" s="675">
        <v>0</v>
      </c>
      <c r="EH39" s="675">
        <v>4310649</v>
      </c>
      <c r="EI39" s="675">
        <v>0</v>
      </c>
      <c r="EJ39" s="675">
        <v>0</v>
      </c>
      <c r="EK39" s="675">
        <v>200.35300000000001</v>
      </c>
      <c r="EL39" s="675">
        <v>0</v>
      </c>
      <c r="EM39" s="675">
        <v>18.440000000000001</v>
      </c>
      <c r="EN39" s="675">
        <v>8.6810000000000009</v>
      </c>
      <c r="EO39" s="675">
        <v>0</v>
      </c>
      <c r="EP39" s="675">
        <v>0</v>
      </c>
      <c r="EQ39" s="675">
        <v>227.47400000000002</v>
      </c>
      <c r="ER39" s="675">
        <v>0</v>
      </c>
      <c r="ES39" s="675">
        <v>699.78399999999999</v>
      </c>
      <c r="ET39" s="675">
        <v>0</v>
      </c>
      <c r="EU39" s="675">
        <v>0</v>
      </c>
      <c r="EV39" s="675">
        <v>0</v>
      </c>
      <c r="EW39" s="675">
        <v>0</v>
      </c>
      <c r="EX39" s="675">
        <v>0</v>
      </c>
      <c r="EY39" s="675">
        <v>0</v>
      </c>
      <c r="EZ39" s="675">
        <v>114416017</v>
      </c>
      <c r="FA39" s="675">
        <v>0</v>
      </c>
      <c r="FB39" s="675">
        <v>120412733</v>
      </c>
      <c r="FC39" s="675">
        <v>0</v>
      </c>
      <c r="FD39" s="675">
        <v>0</v>
      </c>
      <c r="FE39" s="675">
        <v>12149558</v>
      </c>
      <c r="FF39" s="675">
        <v>2512947</v>
      </c>
      <c r="FG39" s="675">
        <v>6.3574999999999993E-2</v>
      </c>
      <c r="FH39" s="675">
        <v>2.6298999999999999E-2</v>
      </c>
      <c r="FI39" s="675">
        <v>0</v>
      </c>
      <c r="FJ39" s="675">
        <v>0</v>
      </c>
      <c r="FK39" s="675">
        <v>19389.804</v>
      </c>
      <c r="FL39" s="675">
        <v>137635670</v>
      </c>
      <c r="FM39" s="675">
        <v>0</v>
      </c>
      <c r="FN39" s="675">
        <v>0</v>
      </c>
      <c r="FO39" s="675">
        <v>79</v>
      </c>
      <c r="FP39" s="675">
        <v>0</v>
      </c>
      <c r="FQ39" s="675">
        <v>79</v>
      </c>
      <c r="FR39" s="675">
        <v>79</v>
      </c>
      <c r="FS39" s="675">
        <v>0</v>
      </c>
      <c r="FT39" s="675">
        <v>0</v>
      </c>
      <c r="FU39" s="675">
        <v>0</v>
      </c>
      <c r="FV39" s="675">
        <v>0</v>
      </c>
      <c r="FW39" s="675">
        <v>0</v>
      </c>
      <c r="FX39" s="675">
        <v>0</v>
      </c>
      <c r="FY39" s="675">
        <v>0</v>
      </c>
      <c r="FZ39" s="675">
        <v>0</v>
      </c>
      <c r="GA39" s="675">
        <v>0</v>
      </c>
      <c r="GB39" s="675">
        <v>873457</v>
      </c>
      <c r="GC39" s="675">
        <v>873457</v>
      </c>
      <c r="GD39" s="675">
        <v>91.284000000000006</v>
      </c>
      <c r="GE39" s="675">
        <v>0</v>
      </c>
      <c r="GF39" s="675">
        <v>0</v>
      </c>
      <c r="GG39" s="675">
        <v>0</v>
      </c>
      <c r="GH39" s="675">
        <v>0</v>
      </c>
      <c r="GI39" s="675">
        <v>0</v>
      </c>
      <c r="GJ39" s="675">
        <v>0</v>
      </c>
      <c r="GK39" s="675">
        <v>0</v>
      </c>
      <c r="GL39" s="675">
        <v>0</v>
      </c>
      <c r="GM39" s="675">
        <v>0</v>
      </c>
      <c r="GN39" s="675">
        <v>0</v>
      </c>
      <c r="GO39" s="675">
        <v>0</v>
      </c>
      <c r="GP39" s="675">
        <v>0</v>
      </c>
      <c r="GQ39" s="675">
        <v>0</v>
      </c>
      <c r="GR39" s="675">
        <v>0</v>
      </c>
      <c r="GS39" s="675">
        <v>0</v>
      </c>
      <c r="GT39" s="675">
        <v>0</v>
      </c>
      <c r="GU39" s="675">
        <v>0</v>
      </c>
      <c r="GV39" s="675">
        <v>0</v>
      </c>
      <c r="GW39" s="675">
        <v>0</v>
      </c>
      <c r="GX39" s="675">
        <v>0</v>
      </c>
      <c r="GY39" s="675">
        <v>0</v>
      </c>
      <c r="GZ39" s="675">
        <v>0</v>
      </c>
      <c r="HA39" s="675">
        <v>0</v>
      </c>
      <c r="HB39" s="675">
        <v>298386780</v>
      </c>
      <c r="HC39" s="675">
        <v>4.5690999999999996E-2</v>
      </c>
      <c r="HD39" s="675">
        <v>2560432</v>
      </c>
      <c r="HE39" s="675">
        <v>0</v>
      </c>
      <c r="HF39" s="675">
        <v>15059921</v>
      </c>
      <c r="HG39" s="675">
        <v>530990</v>
      </c>
      <c r="HH39" s="675">
        <v>1694967</v>
      </c>
      <c r="HI39" s="675">
        <v>0</v>
      </c>
      <c r="HJ39" s="675">
        <v>136173</v>
      </c>
      <c r="HK39" s="675">
        <v>33669</v>
      </c>
      <c r="HL39" s="675">
        <v>407</v>
      </c>
      <c r="HM39" s="675">
        <v>313000</v>
      </c>
      <c r="HN39" s="675">
        <v>0</v>
      </c>
      <c r="HO39" s="675">
        <v>36000</v>
      </c>
      <c r="HP39" s="675">
        <v>0</v>
      </c>
      <c r="HQ39" s="675">
        <v>0</v>
      </c>
      <c r="HR39" s="675">
        <v>0</v>
      </c>
      <c r="HS39" s="675">
        <v>114391715</v>
      </c>
      <c r="HT39" s="675">
        <v>2512947</v>
      </c>
      <c r="HU39" s="675">
        <v>0</v>
      </c>
      <c r="HV39" s="675">
        <v>0</v>
      </c>
      <c r="HW39" s="675">
        <v>0</v>
      </c>
      <c r="HX39" s="675">
        <v>1573</v>
      </c>
      <c r="HY39" s="675">
        <v>1222</v>
      </c>
      <c r="HZ39" s="675">
        <v>1079</v>
      </c>
      <c r="IA39" s="675">
        <v>1255</v>
      </c>
      <c r="IB39" s="675">
        <v>884</v>
      </c>
      <c r="IC39" s="675">
        <v>6013</v>
      </c>
      <c r="ID39" s="675">
        <v>0</v>
      </c>
      <c r="IE39" s="675">
        <v>0</v>
      </c>
      <c r="IF39" s="675">
        <v>0</v>
      </c>
      <c r="IG39" s="675">
        <v>862</v>
      </c>
      <c r="IH39" s="675">
        <v>2751.5830000000001</v>
      </c>
      <c r="II39" s="675">
        <v>0</v>
      </c>
      <c r="IJ39" s="675">
        <v>1461.2350000000001</v>
      </c>
      <c r="IK39" s="675">
        <v>0</v>
      </c>
      <c r="IL39" s="675">
        <v>19</v>
      </c>
      <c r="IM39" s="675">
        <v>70</v>
      </c>
      <c r="IN39" s="675">
        <v>4</v>
      </c>
      <c r="IO39" s="675">
        <v>93</v>
      </c>
      <c r="IP39" s="675">
        <v>0</v>
      </c>
      <c r="IQ39" s="675">
        <v>1461.2350000000001</v>
      </c>
      <c r="IR39" s="675">
        <v>900117</v>
      </c>
      <c r="IS39" s="675">
        <v>0</v>
      </c>
      <c r="IT39" s="675">
        <v>95000</v>
      </c>
      <c r="IU39" s="675">
        <v>210000</v>
      </c>
      <c r="IV39" s="675">
        <v>8000</v>
      </c>
      <c r="IW39" s="675">
        <v>6160</v>
      </c>
      <c r="IX39" s="675">
        <v>0</v>
      </c>
      <c r="IY39" s="675">
        <v>0</v>
      </c>
      <c r="IZ39" s="675">
        <v>0</v>
      </c>
      <c r="JA39" s="675">
        <v>0</v>
      </c>
      <c r="JB39" s="675">
        <v>0</v>
      </c>
      <c r="JC39" s="675">
        <v>0</v>
      </c>
      <c r="JD39" s="675">
        <v>0</v>
      </c>
      <c r="JE39" s="675">
        <v>0</v>
      </c>
      <c r="JF39" s="675">
        <v>0</v>
      </c>
      <c r="JG39" s="675">
        <v>0</v>
      </c>
      <c r="JH39" s="675">
        <v>0</v>
      </c>
      <c r="JI39" s="675">
        <v>0</v>
      </c>
      <c r="JJ39" s="675">
        <v>0</v>
      </c>
      <c r="JK39" s="675">
        <v>0</v>
      </c>
      <c r="JL39" s="675">
        <v>0</v>
      </c>
      <c r="JM39" s="675">
        <v>0</v>
      </c>
      <c r="JN39" s="675">
        <v>32469</v>
      </c>
      <c r="JO39" s="675">
        <v>2.6110000000000002</v>
      </c>
      <c r="JP39" s="675">
        <v>67.95</v>
      </c>
      <c r="JQ39" s="675">
        <v>20.723000000000003</v>
      </c>
      <c r="JR39" s="675">
        <v>20851</v>
      </c>
      <c r="JS39" s="675">
        <v>631446</v>
      </c>
      <c r="JT39" s="675">
        <v>221160</v>
      </c>
      <c r="JU39" s="675">
        <v>0</v>
      </c>
      <c r="JV39" s="675">
        <v>0</v>
      </c>
      <c r="JW39" s="675">
        <v>0</v>
      </c>
      <c r="JX39" s="675">
        <v>0</v>
      </c>
      <c r="JY39" s="675">
        <v>0</v>
      </c>
      <c r="JZ39" s="675">
        <v>0</v>
      </c>
      <c r="KA39" s="675">
        <v>0</v>
      </c>
      <c r="KB39" s="675">
        <v>0</v>
      </c>
      <c r="KC39" s="675">
        <v>0</v>
      </c>
      <c r="KD39" s="675">
        <v>0</v>
      </c>
      <c r="KE39" s="675">
        <v>7260</v>
      </c>
      <c r="KF39" s="675">
        <v>0</v>
      </c>
      <c r="KG39" s="675">
        <v>0</v>
      </c>
      <c r="KH39" s="675">
        <v>0</v>
      </c>
      <c r="KI39" s="675">
        <v>0</v>
      </c>
    </row>
    <row r="40" spans="1:295" ht="12.5" x14ac:dyDescent="0.25">
      <c r="A40" s="675">
        <v>35795</v>
      </c>
      <c r="B40" s="675">
        <v>226801</v>
      </c>
      <c r="C40" s="675">
        <v>9</v>
      </c>
      <c r="D40" s="675">
        <v>2022</v>
      </c>
      <c r="E40" s="675">
        <v>6160</v>
      </c>
      <c r="F40" s="675">
        <v>0</v>
      </c>
      <c r="G40" s="675">
        <v>3220.1570000000002</v>
      </c>
      <c r="H40" s="675">
        <v>3062.7160000000003</v>
      </c>
      <c r="I40" s="675">
        <v>3062.7160000000003</v>
      </c>
      <c r="J40" s="675">
        <v>3220.1570000000002</v>
      </c>
      <c r="K40" s="675">
        <v>0</v>
      </c>
      <c r="L40" s="675">
        <v>6160</v>
      </c>
      <c r="M40" s="675">
        <v>0</v>
      </c>
      <c r="N40" s="675">
        <v>0</v>
      </c>
      <c r="O40" s="675">
        <v>0</v>
      </c>
      <c r="P40" s="675">
        <v>2703.2809999999999</v>
      </c>
      <c r="Q40" s="675">
        <v>0</v>
      </c>
      <c r="R40" s="675">
        <v>1087876</v>
      </c>
      <c r="S40" s="675">
        <v>402.428</v>
      </c>
      <c r="T40" s="675">
        <v>0</v>
      </c>
      <c r="U40" s="675">
        <v>578506</v>
      </c>
      <c r="V40" s="675">
        <v>88.733000000000004</v>
      </c>
      <c r="W40" s="675">
        <v>54659</v>
      </c>
      <c r="X40" s="675">
        <v>54659</v>
      </c>
      <c r="Y40" s="675">
        <v>0</v>
      </c>
      <c r="Z40" s="675">
        <v>0</v>
      </c>
      <c r="AA40" s="675">
        <v>0</v>
      </c>
      <c r="AB40" s="675">
        <v>0</v>
      </c>
      <c r="AC40" s="675">
        <v>0</v>
      </c>
      <c r="AD40" s="675" t="s">
        <v>316</v>
      </c>
      <c r="AE40" s="675">
        <v>0</v>
      </c>
      <c r="AF40" s="675">
        <v>0</v>
      </c>
      <c r="AG40" s="675">
        <v>0</v>
      </c>
      <c r="AH40" s="675">
        <v>0</v>
      </c>
      <c r="AI40" s="675">
        <v>0</v>
      </c>
      <c r="AJ40" s="675">
        <v>6160</v>
      </c>
      <c r="AK40" s="675" t="s">
        <v>671</v>
      </c>
      <c r="AL40" s="675" t="s">
        <v>659</v>
      </c>
      <c r="AM40" s="675">
        <v>0</v>
      </c>
      <c r="AN40" s="675">
        <v>0</v>
      </c>
      <c r="AO40" s="675">
        <v>0</v>
      </c>
      <c r="AP40" s="675">
        <v>0</v>
      </c>
      <c r="AQ40" s="675">
        <v>0</v>
      </c>
      <c r="AR40" s="675">
        <v>0</v>
      </c>
      <c r="AS40" s="675">
        <v>0</v>
      </c>
      <c r="AT40" s="675">
        <v>0</v>
      </c>
      <c r="AU40" s="675">
        <v>0</v>
      </c>
      <c r="AV40" s="675">
        <v>0</v>
      </c>
      <c r="AW40" s="675">
        <v>31380626</v>
      </c>
      <c r="AX40" s="675">
        <v>30798996</v>
      </c>
      <c r="AY40" s="675">
        <v>20888241</v>
      </c>
      <c r="AZ40" s="675">
        <v>1087876</v>
      </c>
      <c r="BA40" s="675">
        <v>0</v>
      </c>
      <c r="BB40" s="675">
        <v>0</v>
      </c>
      <c r="BC40" s="675">
        <v>0</v>
      </c>
      <c r="BD40" s="675">
        <v>0</v>
      </c>
      <c r="BE40" s="675">
        <v>0</v>
      </c>
      <c r="BF40" s="675">
        <v>28339468</v>
      </c>
      <c r="BG40" s="675">
        <v>0</v>
      </c>
      <c r="BH40" s="675">
        <v>0</v>
      </c>
      <c r="BI40" s="675">
        <v>0</v>
      </c>
      <c r="BJ40" s="675">
        <v>12</v>
      </c>
      <c r="BK40" s="675">
        <v>0</v>
      </c>
      <c r="BL40" s="675">
        <v>0</v>
      </c>
      <c r="BM40" s="675">
        <v>0</v>
      </c>
      <c r="BN40" s="675">
        <v>0</v>
      </c>
      <c r="BO40" s="675">
        <v>0</v>
      </c>
      <c r="BP40" s="675">
        <v>0</v>
      </c>
      <c r="BQ40" s="675">
        <v>298</v>
      </c>
      <c r="BR40" s="675">
        <v>0</v>
      </c>
      <c r="BS40" s="675">
        <v>0</v>
      </c>
      <c r="BT40" s="675">
        <v>0</v>
      </c>
      <c r="BU40" s="675">
        <v>0</v>
      </c>
      <c r="BV40" s="675">
        <v>0</v>
      </c>
      <c r="BW40" s="675">
        <v>0</v>
      </c>
      <c r="BX40" s="675">
        <v>0</v>
      </c>
      <c r="BY40" s="675">
        <v>0</v>
      </c>
      <c r="BZ40" s="675">
        <v>0</v>
      </c>
      <c r="CA40" s="675">
        <v>0</v>
      </c>
      <c r="CB40" s="675">
        <v>0</v>
      </c>
      <c r="CC40" s="675">
        <v>0</v>
      </c>
      <c r="CD40" s="675">
        <v>0</v>
      </c>
      <c r="CE40" s="675">
        <v>0</v>
      </c>
      <c r="CF40" s="675">
        <v>0</v>
      </c>
      <c r="CG40" s="675">
        <v>0</v>
      </c>
      <c r="CH40" s="675">
        <v>588525</v>
      </c>
      <c r="CI40" s="675">
        <v>0</v>
      </c>
      <c r="CJ40" s="675">
        <v>4</v>
      </c>
      <c r="CK40" s="675">
        <v>0</v>
      </c>
      <c r="CL40" s="675">
        <v>0</v>
      </c>
      <c r="CM40" s="675">
        <v>0</v>
      </c>
      <c r="CN40" s="675">
        <v>0</v>
      </c>
      <c r="CO40" s="675">
        <v>1</v>
      </c>
      <c r="CP40" s="675">
        <v>0</v>
      </c>
      <c r="CQ40" s="675">
        <v>0</v>
      </c>
      <c r="CR40" s="675">
        <v>2680.866</v>
      </c>
      <c r="CS40" s="675">
        <v>0</v>
      </c>
      <c r="CT40" s="675">
        <v>0</v>
      </c>
      <c r="CU40" s="675">
        <v>0</v>
      </c>
      <c r="CV40" s="675">
        <v>0</v>
      </c>
      <c r="CW40" s="675">
        <v>0</v>
      </c>
      <c r="CX40" s="675">
        <v>0</v>
      </c>
      <c r="CY40" s="675">
        <v>0</v>
      </c>
      <c r="CZ40" s="675">
        <v>0</v>
      </c>
      <c r="DA40" s="675">
        <v>0</v>
      </c>
      <c r="DB40" s="675">
        <v>18818770</v>
      </c>
      <c r="DC40" s="675">
        <v>0</v>
      </c>
      <c r="DD40" s="675">
        <v>0</v>
      </c>
      <c r="DE40" s="675">
        <v>2840979</v>
      </c>
      <c r="DF40" s="675">
        <v>2840979</v>
      </c>
      <c r="DG40" s="675">
        <v>461.2</v>
      </c>
      <c r="DH40" s="675">
        <v>0</v>
      </c>
      <c r="DI40" s="675">
        <v>0</v>
      </c>
      <c r="DJ40" s="675">
        <v>0</v>
      </c>
      <c r="DK40" s="675">
        <v>0</v>
      </c>
      <c r="DL40" s="675">
        <v>0</v>
      </c>
      <c r="DM40" s="675">
        <v>1857632</v>
      </c>
      <c r="DN40" s="675">
        <v>6895</v>
      </c>
      <c r="DO40" s="675">
        <v>0</v>
      </c>
      <c r="DP40" s="675">
        <v>0</v>
      </c>
      <c r="DQ40" s="675">
        <v>0</v>
      </c>
      <c r="DR40" s="675">
        <v>0</v>
      </c>
      <c r="DS40" s="675">
        <v>0</v>
      </c>
      <c r="DT40" s="675">
        <v>0</v>
      </c>
      <c r="DU40" s="675">
        <v>0</v>
      </c>
      <c r="DV40" s="675">
        <v>0</v>
      </c>
      <c r="DW40" s="675">
        <v>0</v>
      </c>
      <c r="DX40" s="675">
        <v>0</v>
      </c>
      <c r="DY40" s="675">
        <v>0</v>
      </c>
      <c r="DZ40" s="675">
        <v>0</v>
      </c>
      <c r="EA40" s="675">
        <v>0</v>
      </c>
      <c r="EB40" s="675">
        <v>0</v>
      </c>
      <c r="EC40" s="675">
        <v>83.444000000000003</v>
      </c>
      <c r="ED40" s="675">
        <v>591115</v>
      </c>
      <c r="EE40" s="675">
        <v>0</v>
      </c>
      <c r="EF40" s="675">
        <v>0</v>
      </c>
      <c r="EG40" s="675">
        <v>0</v>
      </c>
      <c r="EH40" s="675">
        <v>1145662</v>
      </c>
      <c r="EI40" s="675">
        <v>80277</v>
      </c>
      <c r="EJ40" s="675">
        <v>3.258</v>
      </c>
      <c r="EK40" s="675">
        <v>45.948</v>
      </c>
      <c r="EL40" s="675">
        <v>0</v>
      </c>
      <c r="EM40" s="675">
        <v>9.0170000000000012</v>
      </c>
      <c r="EN40" s="675">
        <v>4.218</v>
      </c>
      <c r="EO40" s="675">
        <v>0</v>
      </c>
      <c r="EP40" s="675">
        <v>0</v>
      </c>
      <c r="EQ40" s="675">
        <v>62.441000000000003</v>
      </c>
      <c r="ER40" s="675">
        <v>0</v>
      </c>
      <c r="ES40" s="675">
        <v>185.98500000000001</v>
      </c>
      <c r="ET40" s="675">
        <v>0</v>
      </c>
      <c r="EU40" s="675">
        <v>0</v>
      </c>
      <c r="EV40" s="675">
        <v>0</v>
      </c>
      <c r="EW40" s="675">
        <v>0</v>
      </c>
      <c r="EX40" s="675">
        <v>0</v>
      </c>
      <c r="EY40" s="675">
        <v>0</v>
      </c>
      <c r="EZ40" s="675">
        <v>27320050</v>
      </c>
      <c r="FA40" s="675">
        <v>0</v>
      </c>
      <c r="FB40" s="675">
        <v>28401031</v>
      </c>
      <c r="FC40" s="675">
        <v>0</v>
      </c>
      <c r="FD40" s="675">
        <v>0</v>
      </c>
      <c r="FE40" s="675">
        <v>2882704</v>
      </c>
      <c r="FF40" s="675">
        <v>596242</v>
      </c>
      <c r="FG40" s="675">
        <v>6.3574999999999993E-2</v>
      </c>
      <c r="FH40" s="675">
        <v>2.6298999999999999E-2</v>
      </c>
      <c r="FI40" s="675">
        <v>0</v>
      </c>
      <c r="FJ40" s="675">
        <v>0</v>
      </c>
      <c r="FK40" s="675">
        <v>4600.5839999999998</v>
      </c>
      <c r="FL40" s="675">
        <v>32468502</v>
      </c>
      <c r="FM40" s="675">
        <v>0</v>
      </c>
      <c r="FN40" s="675">
        <v>0</v>
      </c>
      <c r="FO40" s="675">
        <v>58275</v>
      </c>
      <c r="FP40" s="675">
        <v>0</v>
      </c>
      <c r="FQ40" s="675">
        <v>58275</v>
      </c>
      <c r="FR40" s="675">
        <v>58275</v>
      </c>
      <c r="FS40" s="675">
        <v>0</v>
      </c>
      <c r="FT40" s="675">
        <v>0</v>
      </c>
      <c r="FU40" s="675">
        <v>0</v>
      </c>
      <c r="FV40" s="675">
        <v>0</v>
      </c>
      <c r="FW40" s="675">
        <v>0</v>
      </c>
      <c r="FX40" s="675">
        <v>0</v>
      </c>
      <c r="FY40" s="675">
        <v>0</v>
      </c>
      <c r="FZ40" s="675">
        <v>0</v>
      </c>
      <c r="GA40" s="675">
        <v>0</v>
      </c>
      <c r="GB40" s="675">
        <v>890202</v>
      </c>
      <c r="GC40" s="675">
        <v>890202</v>
      </c>
      <c r="GD40" s="675">
        <v>95</v>
      </c>
      <c r="GE40" s="675">
        <v>0</v>
      </c>
      <c r="GF40" s="675">
        <v>0</v>
      </c>
      <c r="GG40" s="675">
        <v>0</v>
      </c>
      <c r="GH40" s="675">
        <v>0</v>
      </c>
      <c r="GI40" s="675">
        <v>0</v>
      </c>
      <c r="GJ40" s="675">
        <v>0</v>
      </c>
      <c r="GK40" s="675">
        <v>0</v>
      </c>
      <c r="GL40" s="675">
        <v>0</v>
      </c>
      <c r="GM40" s="675">
        <v>0</v>
      </c>
      <c r="GN40" s="675">
        <v>0</v>
      </c>
      <c r="GO40" s="675">
        <v>0</v>
      </c>
      <c r="GP40" s="675">
        <v>0</v>
      </c>
      <c r="GQ40" s="675">
        <v>0</v>
      </c>
      <c r="GR40" s="675">
        <v>0</v>
      </c>
      <c r="GS40" s="675">
        <v>0</v>
      </c>
      <c r="GT40" s="675">
        <v>0</v>
      </c>
      <c r="GU40" s="675">
        <v>0</v>
      </c>
      <c r="GV40" s="675">
        <v>0</v>
      </c>
      <c r="GW40" s="675">
        <v>0</v>
      </c>
      <c r="GX40" s="675">
        <v>0</v>
      </c>
      <c r="GY40" s="675">
        <v>0</v>
      </c>
      <c r="GZ40" s="675">
        <v>0</v>
      </c>
      <c r="HA40" s="675">
        <v>0</v>
      </c>
      <c r="HB40" s="675">
        <v>298386780</v>
      </c>
      <c r="HC40" s="675">
        <v>4.5690999999999996E-2</v>
      </c>
      <c r="HD40" s="675">
        <v>588525</v>
      </c>
      <c r="HE40" s="675">
        <v>0</v>
      </c>
      <c r="HF40" s="675">
        <v>3368988</v>
      </c>
      <c r="HG40" s="675">
        <v>89320</v>
      </c>
      <c r="HH40" s="675">
        <v>380723</v>
      </c>
      <c r="HI40" s="675">
        <v>0</v>
      </c>
      <c r="HJ40" s="675">
        <v>31300</v>
      </c>
      <c r="HK40" s="675">
        <v>6822</v>
      </c>
      <c r="HL40" s="675">
        <v>824</v>
      </c>
      <c r="HM40" s="675">
        <v>0</v>
      </c>
      <c r="HN40" s="675">
        <v>0</v>
      </c>
      <c r="HO40" s="675">
        <v>0</v>
      </c>
      <c r="HP40" s="675">
        <v>0</v>
      </c>
      <c r="HQ40" s="675">
        <v>0</v>
      </c>
      <c r="HR40" s="675">
        <v>0</v>
      </c>
      <c r="HS40" s="675">
        <v>27313155</v>
      </c>
      <c r="HT40" s="675">
        <v>596242</v>
      </c>
      <c r="HU40" s="675">
        <v>0</v>
      </c>
      <c r="HV40" s="675">
        <v>0</v>
      </c>
      <c r="HW40" s="675">
        <v>0</v>
      </c>
      <c r="HX40" s="675">
        <v>416</v>
      </c>
      <c r="HY40" s="675">
        <v>392</v>
      </c>
      <c r="HZ40" s="675">
        <v>370</v>
      </c>
      <c r="IA40" s="675">
        <v>422</v>
      </c>
      <c r="IB40" s="675">
        <v>259</v>
      </c>
      <c r="IC40" s="675">
        <v>1859</v>
      </c>
      <c r="ID40" s="675">
        <v>0</v>
      </c>
      <c r="IE40" s="675">
        <v>0</v>
      </c>
      <c r="IF40" s="675">
        <v>0</v>
      </c>
      <c r="IG40" s="675">
        <v>145</v>
      </c>
      <c r="IH40" s="675">
        <v>618.06000000000006</v>
      </c>
      <c r="II40" s="675">
        <v>0</v>
      </c>
      <c r="IJ40" s="675">
        <v>88.733000000000004</v>
      </c>
      <c r="IK40" s="675">
        <v>9.2240000000000002</v>
      </c>
      <c r="IL40" s="675">
        <v>0</v>
      </c>
      <c r="IM40" s="675">
        <v>0</v>
      </c>
      <c r="IN40" s="675">
        <v>0</v>
      </c>
      <c r="IO40" s="675">
        <v>0</v>
      </c>
      <c r="IP40" s="675">
        <v>9.2240000000000002</v>
      </c>
      <c r="IQ40" s="675">
        <v>88.733000000000004</v>
      </c>
      <c r="IR40" s="675">
        <v>54659</v>
      </c>
      <c r="IS40" s="675">
        <v>2537</v>
      </c>
      <c r="IT40" s="675">
        <v>0</v>
      </c>
      <c r="IU40" s="675">
        <v>0</v>
      </c>
      <c r="IV40" s="675">
        <v>0</v>
      </c>
      <c r="IW40" s="675">
        <v>6160</v>
      </c>
      <c r="IX40" s="675">
        <v>0</v>
      </c>
      <c r="IY40" s="675">
        <v>0</v>
      </c>
      <c r="IZ40" s="675">
        <v>2537</v>
      </c>
      <c r="JA40" s="675">
        <v>0</v>
      </c>
      <c r="JB40" s="675">
        <v>0</v>
      </c>
      <c r="JC40" s="675">
        <v>0</v>
      </c>
      <c r="JD40" s="675">
        <v>0</v>
      </c>
      <c r="JE40" s="675">
        <v>0</v>
      </c>
      <c r="JF40" s="675">
        <v>0</v>
      </c>
      <c r="JG40" s="675">
        <v>0</v>
      </c>
      <c r="JH40" s="675">
        <v>0</v>
      </c>
      <c r="JI40" s="675">
        <v>0</v>
      </c>
      <c r="JJ40" s="675">
        <v>0</v>
      </c>
      <c r="JK40" s="675">
        <v>0</v>
      </c>
      <c r="JL40" s="675">
        <v>0</v>
      </c>
      <c r="JM40" s="675">
        <v>0</v>
      </c>
      <c r="JN40" s="675">
        <v>32469</v>
      </c>
      <c r="JO40" s="675">
        <v>15.917000000000002</v>
      </c>
      <c r="JP40" s="675">
        <v>58.649000000000001</v>
      </c>
      <c r="JQ40" s="675">
        <v>20.434000000000001</v>
      </c>
      <c r="JR40" s="675">
        <v>127113</v>
      </c>
      <c r="JS40" s="675">
        <v>545013</v>
      </c>
      <c r="JT40" s="675">
        <v>218076</v>
      </c>
      <c r="JU40" s="675">
        <v>0</v>
      </c>
      <c r="JV40" s="675">
        <v>0</v>
      </c>
      <c r="JW40" s="675">
        <v>0</v>
      </c>
      <c r="JX40" s="675">
        <v>0</v>
      </c>
      <c r="JY40" s="675">
        <v>0</v>
      </c>
      <c r="JZ40" s="675">
        <v>0</v>
      </c>
      <c r="KA40" s="675">
        <v>0</v>
      </c>
      <c r="KB40" s="675">
        <v>0</v>
      </c>
      <c r="KC40" s="675">
        <v>0</v>
      </c>
      <c r="KD40" s="675">
        <v>0</v>
      </c>
      <c r="KE40" s="675">
        <v>7260</v>
      </c>
      <c r="KF40" s="675">
        <v>0</v>
      </c>
      <c r="KG40" s="675">
        <v>0</v>
      </c>
      <c r="KH40" s="675">
        <v>0</v>
      </c>
      <c r="KI40" s="675">
        <v>0</v>
      </c>
    </row>
    <row r="41" spans="1:295" ht="12.5" x14ac:dyDescent="0.25">
      <c r="A41" s="675">
        <v>35795</v>
      </c>
      <c r="B41" s="675">
        <v>234801</v>
      </c>
      <c r="C41" s="675">
        <v>9</v>
      </c>
      <c r="D41" s="675">
        <v>2022</v>
      </c>
      <c r="E41" s="675">
        <v>6160</v>
      </c>
      <c r="F41" s="675">
        <v>0</v>
      </c>
      <c r="G41" s="675">
        <v>65.283000000000001</v>
      </c>
      <c r="H41" s="675">
        <v>57.682000000000002</v>
      </c>
      <c r="I41" s="675">
        <v>57.682000000000002</v>
      </c>
      <c r="J41" s="675">
        <v>65.283000000000001</v>
      </c>
      <c r="K41" s="675">
        <v>0</v>
      </c>
      <c r="L41" s="675">
        <v>6160</v>
      </c>
      <c r="M41" s="675">
        <v>0</v>
      </c>
      <c r="N41" s="675">
        <v>0</v>
      </c>
      <c r="O41" s="675">
        <v>0</v>
      </c>
      <c r="P41" s="675">
        <v>51.572000000000003</v>
      </c>
      <c r="Q41" s="675">
        <v>0</v>
      </c>
      <c r="R41" s="675">
        <v>20754</v>
      </c>
      <c r="S41" s="675">
        <v>402.428</v>
      </c>
      <c r="T41" s="675">
        <v>0</v>
      </c>
      <c r="U41" s="675">
        <v>11037</v>
      </c>
      <c r="V41" s="675">
        <v>0</v>
      </c>
      <c r="W41" s="675">
        <v>0</v>
      </c>
      <c r="X41" s="675">
        <v>0</v>
      </c>
      <c r="Y41" s="675">
        <v>0</v>
      </c>
      <c r="Z41" s="675">
        <v>0</v>
      </c>
      <c r="AA41" s="675">
        <v>0</v>
      </c>
      <c r="AB41" s="675">
        <v>0</v>
      </c>
      <c r="AC41" s="675">
        <v>0</v>
      </c>
      <c r="AD41" s="675" t="s">
        <v>316</v>
      </c>
      <c r="AE41" s="675">
        <v>0</v>
      </c>
      <c r="AF41" s="675">
        <v>0</v>
      </c>
      <c r="AG41" s="675">
        <v>0</v>
      </c>
      <c r="AH41" s="675">
        <v>0</v>
      </c>
      <c r="AI41" s="675">
        <v>0</v>
      </c>
      <c r="AJ41" s="675">
        <v>6160</v>
      </c>
      <c r="AK41" s="675" t="s">
        <v>671</v>
      </c>
      <c r="AL41" s="675" t="s">
        <v>82</v>
      </c>
      <c r="AM41" s="675">
        <v>0</v>
      </c>
      <c r="AN41" s="675">
        <v>0</v>
      </c>
      <c r="AO41" s="675">
        <v>0</v>
      </c>
      <c r="AP41" s="675">
        <v>0</v>
      </c>
      <c r="AQ41" s="675">
        <v>0</v>
      </c>
      <c r="AR41" s="675">
        <v>0</v>
      </c>
      <c r="AS41" s="675">
        <v>0</v>
      </c>
      <c r="AT41" s="675">
        <v>0</v>
      </c>
      <c r="AU41" s="675">
        <v>0</v>
      </c>
      <c r="AV41" s="675">
        <v>-92396</v>
      </c>
      <c r="AW41" s="675">
        <v>824738</v>
      </c>
      <c r="AX41" s="675">
        <v>813539</v>
      </c>
      <c r="AY41" s="675">
        <v>521176</v>
      </c>
      <c r="AZ41" s="675">
        <v>20754</v>
      </c>
      <c r="BA41" s="675">
        <v>0</v>
      </c>
      <c r="BB41" s="675">
        <v>0</v>
      </c>
      <c r="BC41" s="675">
        <v>0</v>
      </c>
      <c r="BD41" s="675">
        <v>0</v>
      </c>
      <c r="BE41" s="675">
        <v>0</v>
      </c>
      <c r="BF41" s="675">
        <v>722661</v>
      </c>
      <c r="BG41" s="675">
        <v>0</v>
      </c>
      <c r="BH41" s="675">
        <v>0</v>
      </c>
      <c r="BI41" s="675">
        <v>0</v>
      </c>
      <c r="BJ41" s="675">
        <v>12</v>
      </c>
      <c r="BK41" s="675">
        <v>0</v>
      </c>
      <c r="BL41" s="675">
        <v>0</v>
      </c>
      <c r="BM41" s="675">
        <v>0</v>
      </c>
      <c r="BN41" s="675">
        <v>0</v>
      </c>
      <c r="BO41" s="675">
        <v>0</v>
      </c>
      <c r="BP41" s="675">
        <v>0</v>
      </c>
      <c r="BQ41" s="675">
        <v>761</v>
      </c>
      <c r="BR41" s="675">
        <v>0</v>
      </c>
      <c r="BS41" s="675">
        <v>0</v>
      </c>
      <c r="BT41" s="675">
        <v>0</v>
      </c>
      <c r="BU41" s="675">
        <v>0</v>
      </c>
      <c r="BV41" s="675">
        <v>0</v>
      </c>
      <c r="BW41" s="675">
        <v>0</v>
      </c>
      <c r="BX41" s="675">
        <v>0</v>
      </c>
      <c r="BY41" s="675">
        <v>0</v>
      </c>
      <c r="BZ41" s="675">
        <v>0</v>
      </c>
      <c r="CA41" s="675">
        <v>0</v>
      </c>
      <c r="CB41" s="675">
        <v>0</v>
      </c>
      <c r="CC41" s="675">
        <v>0</v>
      </c>
      <c r="CD41" s="675">
        <v>0</v>
      </c>
      <c r="CE41" s="675">
        <v>0</v>
      </c>
      <c r="CF41" s="675">
        <v>0</v>
      </c>
      <c r="CG41" s="675">
        <v>0</v>
      </c>
      <c r="CH41" s="675">
        <v>11931</v>
      </c>
      <c r="CI41" s="675">
        <v>0</v>
      </c>
      <c r="CJ41" s="675">
        <v>5</v>
      </c>
      <c r="CK41" s="675">
        <v>0</v>
      </c>
      <c r="CL41" s="675">
        <v>0</v>
      </c>
      <c r="CM41" s="675">
        <v>0</v>
      </c>
      <c r="CN41" s="675">
        <v>0</v>
      </c>
      <c r="CO41" s="675">
        <v>1</v>
      </c>
      <c r="CP41" s="675">
        <v>5.9000000000000004E-2</v>
      </c>
      <c r="CQ41" s="675">
        <v>0</v>
      </c>
      <c r="CR41" s="675">
        <v>57.28</v>
      </c>
      <c r="CS41" s="675">
        <v>0</v>
      </c>
      <c r="CT41" s="675">
        <v>0</v>
      </c>
      <c r="CU41" s="675">
        <v>0</v>
      </c>
      <c r="CV41" s="675">
        <v>0</v>
      </c>
      <c r="CW41" s="675">
        <v>0</v>
      </c>
      <c r="CX41" s="675">
        <v>0</v>
      </c>
      <c r="CY41" s="675">
        <v>0</v>
      </c>
      <c r="CZ41" s="675">
        <v>0</v>
      </c>
      <c r="DA41" s="675">
        <v>0</v>
      </c>
      <c r="DB41" s="675">
        <v>334084</v>
      </c>
      <c r="DC41" s="675">
        <v>0</v>
      </c>
      <c r="DD41" s="675">
        <v>0</v>
      </c>
      <c r="DE41" s="675">
        <v>100177</v>
      </c>
      <c r="DF41" s="675">
        <v>104749</v>
      </c>
      <c r="DG41" s="675">
        <v>16.263000000000002</v>
      </c>
      <c r="DH41" s="675">
        <v>0</v>
      </c>
      <c r="DI41" s="675">
        <v>876</v>
      </c>
      <c r="DJ41" s="675">
        <v>0</v>
      </c>
      <c r="DK41" s="675">
        <v>3800</v>
      </c>
      <c r="DL41" s="675">
        <v>0</v>
      </c>
      <c r="DM41" s="675">
        <v>213467</v>
      </c>
      <c r="DN41" s="675">
        <v>732</v>
      </c>
      <c r="DO41" s="675">
        <v>0</v>
      </c>
      <c r="DP41" s="675">
        <v>0</v>
      </c>
      <c r="DQ41" s="675">
        <v>0</v>
      </c>
      <c r="DR41" s="675">
        <v>0</v>
      </c>
      <c r="DS41" s="675">
        <v>0</v>
      </c>
      <c r="DT41" s="675">
        <v>0</v>
      </c>
      <c r="DU41" s="675">
        <v>0</v>
      </c>
      <c r="DV41" s="675">
        <v>0</v>
      </c>
      <c r="DW41" s="675">
        <v>0</v>
      </c>
      <c r="DX41" s="675">
        <v>0</v>
      </c>
      <c r="DY41" s="675">
        <v>0</v>
      </c>
      <c r="DZ41" s="675">
        <v>0</v>
      </c>
      <c r="EA41" s="675">
        <v>0</v>
      </c>
      <c r="EB41" s="675">
        <v>0</v>
      </c>
      <c r="EC41" s="675">
        <v>4.0830000000000002</v>
      </c>
      <c r="ED41" s="675">
        <v>28924</v>
      </c>
      <c r="EE41" s="675">
        <v>0</v>
      </c>
      <c r="EF41" s="675">
        <v>0</v>
      </c>
      <c r="EG41" s="675">
        <v>0</v>
      </c>
      <c r="EH41" s="675">
        <v>69743</v>
      </c>
      <c r="EI41" s="675">
        <v>94297</v>
      </c>
      <c r="EJ41" s="675">
        <v>3.8270000000000004</v>
      </c>
      <c r="EK41" s="675">
        <v>3.774</v>
      </c>
      <c r="EL41" s="675">
        <v>0</v>
      </c>
      <c r="EM41" s="675">
        <v>0</v>
      </c>
      <c r="EN41" s="675">
        <v>0</v>
      </c>
      <c r="EO41" s="675">
        <v>0</v>
      </c>
      <c r="EP41" s="675">
        <v>0</v>
      </c>
      <c r="EQ41" s="675">
        <v>7.601</v>
      </c>
      <c r="ER41" s="675">
        <v>0</v>
      </c>
      <c r="ES41" s="675">
        <v>11.322000000000001</v>
      </c>
      <c r="ET41" s="675">
        <v>0</v>
      </c>
      <c r="EU41" s="675">
        <v>0</v>
      </c>
      <c r="EV41" s="675">
        <v>0</v>
      </c>
      <c r="EW41" s="675">
        <v>0</v>
      </c>
      <c r="EX41" s="675">
        <v>0</v>
      </c>
      <c r="EY41" s="675">
        <v>0</v>
      </c>
      <c r="EZ41" s="675">
        <v>724825</v>
      </c>
      <c r="FA41" s="675">
        <v>0</v>
      </c>
      <c r="FB41" s="675">
        <v>744847</v>
      </c>
      <c r="FC41" s="675">
        <v>0</v>
      </c>
      <c r="FD41" s="675">
        <v>0</v>
      </c>
      <c r="FE41" s="675">
        <v>73510</v>
      </c>
      <c r="FF41" s="675">
        <v>15204</v>
      </c>
      <c r="FG41" s="675">
        <v>6.3574999999999993E-2</v>
      </c>
      <c r="FH41" s="675">
        <v>2.6298999999999999E-2</v>
      </c>
      <c r="FI41" s="675">
        <v>0</v>
      </c>
      <c r="FJ41" s="675">
        <v>0</v>
      </c>
      <c r="FK41" s="675">
        <v>117.316</v>
      </c>
      <c r="FL41" s="675">
        <v>845492</v>
      </c>
      <c r="FM41" s="675">
        <v>0</v>
      </c>
      <c r="FN41" s="675">
        <v>0</v>
      </c>
      <c r="FO41" s="675">
        <v>0</v>
      </c>
      <c r="FP41" s="675">
        <v>0</v>
      </c>
      <c r="FQ41" s="675">
        <v>0</v>
      </c>
      <c r="FR41" s="675">
        <v>0</v>
      </c>
      <c r="FS41" s="675">
        <v>0</v>
      </c>
      <c r="FT41" s="675">
        <v>0</v>
      </c>
      <c r="FU41" s="675">
        <v>0</v>
      </c>
      <c r="FV41" s="675">
        <v>0</v>
      </c>
      <c r="FW41" s="675">
        <v>0</v>
      </c>
      <c r="FX41" s="675">
        <v>0</v>
      </c>
      <c r="FY41" s="675">
        <v>0</v>
      </c>
      <c r="FZ41" s="675">
        <v>0</v>
      </c>
      <c r="GA41" s="675">
        <v>0</v>
      </c>
      <c r="GB41" s="675">
        <v>0</v>
      </c>
      <c r="GC41" s="675">
        <v>0</v>
      </c>
      <c r="GD41" s="675">
        <v>0</v>
      </c>
      <c r="GE41" s="675">
        <v>0</v>
      </c>
      <c r="GF41" s="675">
        <v>0</v>
      </c>
      <c r="GG41" s="675">
        <v>0</v>
      </c>
      <c r="GH41" s="675">
        <v>0</v>
      </c>
      <c r="GI41" s="675">
        <v>0</v>
      </c>
      <c r="GJ41" s="675">
        <v>0</v>
      </c>
      <c r="GK41" s="675">
        <v>0</v>
      </c>
      <c r="GL41" s="675">
        <v>0</v>
      </c>
      <c r="GM41" s="675">
        <v>0</v>
      </c>
      <c r="GN41" s="675">
        <v>0</v>
      </c>
      <c r="GO41" s="675">
        <v>0</v>
      </c>
      <c r="GP41" s="675">
        <v>0</v>
      </c>
      <c r="GQ41" s="675">
        <v>0</v>
      </c>
      <c r="GR41" s="675">
        <v>0</v>
      </c>
      <c r="GS41" s="675">
        <v>0</v>
      </c>
      <c r="GT41" s="675">
        <v>0</v>
      </c>
      <c r="GU41" s="675">
        <v>0</v>
      </c>
      <c r="GV41" s="675">
        <v>0</v>
      </c>
      <c r="GW41" s="675">
        <v>0</v>
      </c>
      <c r="GX41" s="675">
        <v>0</v>
      </c>
      <c r="GY41" s="675">
        <v>0</v>
      </c>
      <c r="GZ41" s="675">
        <v>0</v>
      </c>
      <c r="HA41" s="675">
        <v>0</v>
      </c>
      <c r="HB41" s="675">
        <v>298386780</v>
      </c>
      <c r="HC41" s="675">
        <v>4.5690999999999996E-2</v>
      </c>
      <c r="HD41" s="675">
        <v>11931</v>
      </c>
      <c r="HE41" s="675">
        <v>0</v>
      </c>
      <c r="HF41" s="675">
        <v>63450</v>
      </c>
      <c r="HG41" s="675">
        <v>5544</v>
      </c>
      <c r="HH41" s="675">
        <v>0</v>
      </c>
      <c r="HI41" s="675">
        <v>0</v>
      </c>
      <c r="HJ41" s="675">
        <v>635</v>
      </c>
      <c r="HK41" s="675">
        <v>549</v>
      </c>
      <c r="HL41" s="675">
        <v>0</v>
      </c>
      <c r="HM41" s="675">
        <v>0</v>
      </c>
      <c r="HN41" s="675">
        <v>0</v>
      </c>
      <c r="HO41" s="675">
        <v>0</v>
      </c>
      <c r="HP41" s="675">
        <v>16548</v>
      </c>
      <c r="HQ41" s="675">
        <v>0</v>
      </c>
      <c r="HR41" s="675">
        <v>0</v>
      </c>
      <c r="HS41" s="675">
        <v>724093</v>
      </c>
      <c r="HT41" s="675">
        <v>15204</v>
      </c>
      <c r="HU41" s="675">
        <v>0</v>
      </c>
      <c r="HV41" s="675">
        <v>0</v>
      </c>
      <c r="HW41" s="675">
        <v>0</v>
      </c>
      <c r="HX41" s="675">
        <v>10</v>
      </c>
      <c r="HY41" s="675">
        <v>17</v>
      </c>
      <c r="HZ41" s="675">
        <v>7</v>
      </c>
      <c r="IA41" s="675">
        <v>2</v>
      </c>
      <c r="IB41" s="675">
        <v>28</v>
      </c>
      <c r="IC41" s="675">
        <v>64</v>
      </c>
      <c r="ID41" s="675">
        <v>3</v>
      </c>
      <c r="IE41" s="675">
        <v>0</v>
      </c>
      <c r="IF41" s="675">
        <v>0</v>
      </c>
      <c r="IG41" s="675">
        <v>9</v>
      </c>
      <c r="IH41" s="675">
        <v>0</v>
      </c>
      <c r="II41" s="675">
        <v>60.175000000000004</v>
      </c>
      <c r="IJ41" s="675">
        <v>0</v>
      </c>
      <c r="IK41" s="675">
        <v>21.167000000000002</v>
      </c>
      <c r="IL41" s="675">
        <v>0</v>
      </c>
      <c r="IM41" s="675">
        <v>0</v>
      </c>
      <c r="IN41" s="675">
        <v>0</v>
      </c>
      <c r="IO41" s="675">
        <v>0</v>
      </c>
      <c r="IP41" s="675">
        <v>81.341999999999999</v>
      </c>
      <c r="IQ41" s="675">
        <v>0</v>
      </c>
      <c r="IR41" s="675">
        <v>0</v>
      </c>
      <c r="IS41" s="675">
        <v>5821</v>
      </c>
      <c r="IT41" s="675">
        <v>0</v>
      </c>
      <c r="IU41" s="675">
        <v>0</v>
      </c>
      <c r="IV41" s="675">
        <v>0</v>
      </c>
      <c r="IW41" s="675">
        <v>6160</v>
      </c>
      <c r="IX41" s="675">
        <v>0</v>
      </c>
      <c r="IY41" s="675">
        <v>0</v>
      </c>
      <c r="IZ41" s="675">
        <v>22369</v>
      </c>
      <c r="JA41" s="675">
        <v>3696</v>
      </c>
      <c r="JB41" s="675">
        <v>0</v>
      </c>
      <c r="JC41" s="675">
        <v>0</v>
      </c>
      <c r="JD41" s="675">
        <v>0</v>
      </c>
      <c r="JE41" s="675">
        <v>0</v>
      </c>
      <c r="JF41" s="675">
        <v>0</v>
      </c>
      <c r="JG41" s="675">
        <v>0</v>
      </c>
      <c r="JH41" s="675">
        <v>0</v>
      </c>
      <c r="JI41" s="675">
        <v>0</v>
      </c>
      <c r="JJ41" s="675">
        <v>0</v>
      </c>
      <c r="JK41" s="675">
        <v>0</v>
      </c>
      <c r="JL41" s="675">
        <v>0</v>
      </c>
      <c r="JM41" s="675">
        <v>0</v>
      </c>
      <c r="JN41" s="675">
        <v>32469</v>
      </c>
      <c r="JO41" s="675">
        <v>0</v>
      </c>
      <c r="JP41" s="675">
        <v>0</v>
      </c>
      <c r="JQ41" s="675">
        <v>0</v>
      </c>
      <c r="JR41" s="675">
        <v>0</v>
      </c>
      <c r="JS41" s="675">
        <v>0</v>
      </c>
      <c r="JT41" s="675">
        <v>0</v>
      </c>
      <c r="JU41" s="675">
        <v>0</v>
      </c>
      <c r="JV41" s="675">
        <v>0</v>
      </c>
      <c r="JW41" s="675">
        <v>0</v>
      </c>
      <c r="JX41" s="675">
        <v>0</v>
      </c>
      <c r="JY41" s="675">
        <v>0</v>
      </c>
      <c r="JZ41" s="675">
        <v>0</v>
      </c>
      <c r="KA41" s="675">
        <v>0</v>
      </c>
      <c r="KB41" s="675">
        <v>0</v>
      </c>
      <c r="KC41" s="675">
        <v>0</v>
      </c>
      <c r="KD41" s="675">
        <v>0</v>
      </c>
      <c r="KE41" s="675">
        <v>7260</v>
      </c>
      <c r="KF41" s="675">
        <v>0</v>
      </c>
      <c r="KG41" s="675">
        <v>0</v>
      </c>
      <c r="KH41" s="675">
        <v>0</v>
      </c>
      <c r="KI41" s="675">
        <v>0</v>
      </c>
    </row>
    <row r="42" spans="1:295" ht="12.5" x14ac:dyDescent="0.25">
      <c r="A42" s="675">
        <v>35795</v>
      </c>
      <c r="B42" s="675">
        <v>236801</v>
      </c>
      <c r="C42" s="675">
        <v>9</v>
      </c>
      <c r="D42" s="675">
        <v>2022</v>
      </c>
      <c r="E42" s="675">
        <v>6160</v>
      </c>
      <c r="F42" s="675">
        <v>0</v>
      </c>
      <c r="G42" s="675">
        <v>27.742000000000001</v>
      </c>
      <c r="H42" s="675">
        <v>5.03</v>
      </c>
      <c r="I42" s="675">
        <v>5.03</v>
      </c>
      <c r="J42" s="675">
        <v>27.742000000000001</v>
      </c>
      <c r="K42" s="675">
        <v>0</v>
      </c>
      <c r="L42" s="675">
        <v>6160</v>
      </c>
      <c r="M42" s="675">
        <v>0</v>
      </c>
      <c r="N42" s="675">
        <v>0</v>
      </c>
      <c r="O42" s="675">
        <v>0</v>
      </c>
      <c r="P42" s="675">
        <v>50.160000000000004</v>
      </c>
      <c r="Q42" s="675">
        <v>0</v>
      </c>
      <c r="R42" s="675">
        <v>20186</v>
      </c>
      <c r="S42" s="675">
        <v>402.428</v>
      </c>
      <c r="T42" s="675">
        <v>0</v>
      </c>
      <c r="U42" s="675">
        <v>10736</v>
      </c>
      <c r="V42" s="675">
        <v>3.875</v>
      </c>
      <c r="W42" s="675">
        <v>2387</v>
      </c>
      <c r="X42" s="675">
        <v>2387</v>
      </c>
      <c r="Y42" s="675">
        <v>0</v>
      </c>
      <c r="Z42" s="675">
        <v>0</v>
      </c>
      <c r="AA42" s="675">
        <v>0</v>
      </c>
      <c r="AB42" s="675">
        <v>0</v>
      </c>
      <c r="AC42" s="675">
        <v>0</v>
      </c>
      <c r="AD42" s="675" t="s">
        <v>316</v>
      </c>
      <c r="AE42" s="675">
        <v>0</v>
      </c>
      <c r="AF42" s="675">
        <v>0</v>
      </c>
      <c r="AG42" s="675">
        <v>0</v>
      </c>
      <c r="AH42" s="675">
        <v>0</v>
      </c>
      <c r="AI42" s="675">
        <v>0</v>
      </c>
      <c r="AJ42" s="675">
        <v>6160</v>
      </c>
      <c r="AK42" s="675" t="s">
        <v>671</v>
      </c>
      <c r="AL42" s="675" t="s">
        <v>83</v>
      </c>
      <c r="AM42" s="675">
        <v>0</v>
      </c>
      <c r="AN42" s="675">
        <v>0</v>
      </c>
      <c r="AO42" s="675">
        <v>0</v>
      </c>
      <c r="AP42" s="675">
        <v>0</v>
      </c>
      <c r="AQ42" s="675">
        <v>0</v>
      </c>
      <c r="AR42" s="675">
        <v>0</v>
      </c>
      <c r="AS42" s="675">
        <v>0</v>
      </c>
      <c r="AT42" s="675">
        <v>0</v>
      </c>
      <c r="AU42" s="675">
        <v>0</v>
      </c>
      <c r="AV42" s="675">
        <v>-639561</v>
      </c>
      <c r="AW42" s="675">
        <v>767847</v>
      </c>
      <c r="AX42" s="675">
        <v>763327</v>
      </c>
      <c r="AY42" s="675">
        <v>136177</v>
      </c>
      <c r="AZ42" s="675">
        <v>20186</v>
      </c>
      <c r="BA42" s="675">
        <v>0</v>
      </c>
      <c r="BB42" s="675">
        <v>0</v>
      </c>
      <c r="BC42" s="675">
        <v>0</v>
      </c>
      <c r="BD42" s="675">
        <v>0</v>
      </c>
      <c r="BE42" s="675">
        <v>0</v>
      </c>
      <c r="BF42" s="675">
        <v>668888</v>
      </c>
      <c r="BG42" s="675">
        <v>0</v>
      </c>
      <c r="BH42" s="675">
        <v>0</v>
      </c>
      <c r="BI42" s="675">
        <v>0</v>
      </c>
      <c r="BJ42" s="675">
        <v>12</v>
      </c>
      <c r="BK42" s="675">
        <v>0</v>
      </c>
      <c r="BL42" s="675">
        <v>0</v>
      </c>
      <c r="BM42" s="675">
        <v>0</v>
      </c>
      <c r="BN42" s="675">
        <v>0</v>
      </c>
      <c r="BO42" s="675">
        <v>0</v>
      </c>
      <c r="BP42" s="675">
        <v>0</v>
      </c>
      <c r="BQ42" s="675">
        <v>769</v>
      </c>
      <c r="BR42" s="675">
        <v>0</v>
      </c>
      <c r="BS42" s="675">
        <v>0</v>
      </c>
      <c r="BT42" s="675">
        <v>0</v>
      </c>
      <c r="BU42" s="675">
        <v>0</v>
      </c>
      <c r="BV42" s="675">
        <v>0</v>
      </c>
      <c r="BW42" s="675">
        <v>0</v>
      </c>
      <c r="BX42" s="675">
        <v>0</v>
      </c>
      <c r="BY42" s="675">
        <v>0</v>
      </c>
      <c r="BZ42" s="675">
        <v>0</v>
      </c>
      <c r="CA42" s="675">
        <v>0</v>
      </c>
      <c r="CB42" s="675">
        <v>0</v>
      </c>
      <c r="CC42" s="675">
        <v>0</v>
      </c>
      <c r="CD42" s="675">
        <v>0</v>
      </c>
      <c r="CE42" s="675">
        <v>0</v>
      </c>
      <c r="CF42" s="675">
        <v>0</v>
      </c>
      <c r="CG42" s="675">
        <v>0</v>
      </c>
      <c r="CH42" s="675">
        <v>5070</v>
      </c>
      <c r="CI42" s="675">
        <v>0</v>
      </c>
      <c r="CJ42" s="675">
        <v>4</v>
      </c>
      <c r="CK42" s="675">
        <v>0</v>
      </c>
      <c r="CL42" s="675">
        <v>0</v>
      </c>
      <c r="CM42" s="675">
        <v>0</v>
      </c>
      <c r="CN42" s="675">
        <v>0</v>
      </c>
      <c r="CO42" s="675">
        <v>1</v>
      </c>
      <c r="CP42" s="675">
        <v>0</v>
      </c>
      <c r="CQ42" s="675">
        <v>0</v>
      </c>
      <c r="CR42" s="675">
        <v>1</v>
      </c>
      <c r="CS42" s="675">
        <v>0</v>
      </c>
      <c r="CT42" s="675">
        <v>0</v>
      </c>
      <c r="CU42" s="675">
        <v>0</v>
      </c>
      <c r="CV42" s="675">
        <v>0</v>
      </c>
      <c r="CW42" s="675">
        <v>0</v>
      </c>
      <c r="CX42" s="675">
        <v>0</v>
      </c>
      <c r="CY42" s="675">
        <v>0</v>
      </c>
      <c r="CZ42" s="675">
        <v>0</v>
      </c>
      <c r="DA42" s="675">
        <v>0</v>
      </c>
      <c r="DB42" s="675">
        <v>0</v>
      </c>
      <c r="DC42" s="675">
        <v>0</v>
      </c>
      <c r="DD42" s="675">
        <v>0</v>
      </c>
      <c r="DE42" s="675">
        <v>45199</v>
      </c>
      <c r="DF42" s="675">
        <v>45199</v>
      </c>
      <c r="DG42" s="675">
        <v>7.3380000000000001</v>
      </c>
      <c r="DH42" s="675">
        <v>0</v>
      </c>
      <c r="DI42" s="675">
        <v>0</v>
      </c>
      <c r="DJ42" s="675">
        <v>0</v>
      </c>
      <c r="DK42" s="675">
        <v>3930</v>
      </c>
      <c r="DL42" s="675">
        <v>0</v>
      </c>
      <c r="DM42" s="675">
        <v>430336</v>
      </c>
      <c r="DN42" s="675">
        <v>550</v>
      </c>
      <c r="DO42" s="675">
        <v>0</v>
      </c>
      <c r="DP42" s="675">
        <v>0</v>
      </c>
      <c r="DQ42" s="675">
        <v>0</v>
      </c>
      <c r="DR42" s="675">
        <v>0</v>
      </c>
      <c r="DS42" s="675">
        <v>0</v>
      </c>
      <c r="DT42" s="675">
        <v>0</v>
      </c>
      <c r="DU42" s="675">
        <v>0</v>
      </c>
      <c r="DV42" s="675">
        <v>0</v>
      </c>
      <c r="DW42" s="675">
        <v>0</v>
      </c>
      <c r="DX42" s="675">
        <v>0</v>
      </c>
      <c r="DY42" s="675">
        <v>0</v>
      </c>
      <c r="DZ42" s="675">
        <v>0</v>
      </c>
      <c r="EA42" s="675">
        <v>0</v>
      </c>
      <c r="EB42" s="675">
        <v>0</v>
      </c>
      <c r="EC42" s="675">
        <v>0</v>
      </c>
      <c r="ED42" s="675">
        <v>0</v>
      </c>
      <c r="EE42" s="675">
        <v>0</v>
      </c>
      <c r="EF42" s="675">
        <v>0</v>
      </c>
      <c r="EG42" s="675">
        <v>0</v>
      </c>
      <c r="EH42" s="675">
        <v>0</v>
      </c>
      <c r="EI42" s="675">
        <v>144932</v>
      </c>
      <c r="EJ42" s="675">
        <v>5.8820000000000006</v>
      </c>
      <c r="EK42" s="675">
        <v>0</v>
      </c>
      <c r="EL42" s="675">
        <v>0</v>
      </c>
      <c r="EM42" s="675">
        <v>0</v>
      </c>
      <c r="EN42" s="675">
        <v>0</v>
      </c>
      <c r="EO42" s="675">
        <v>0</v>
      </c>
      <c r="EP42" s="675">
        <v>0</v>
      </c>
      <c r="EQ42" s="675">
        <v>5.8820000000000006</v>
      </c>
      <c r="ER42" s="675">
        <v>0</v>
      </c>
      <c r="ES42" s="675">
        <v>0</v>
      </c>
      <c r="ET42" s="675">
        <v>0</v>
      </c>
      <c r="EU42" s="675">
        <v>0</v>
      </c>
      <c r="EV42" s="675">
        <v>0</v>
      </c>
      <c r="EW42" s="675">
        <v>0</v>
      </c>
      <c r="EX42" s="675">
        <v>0</v>
      </c>
      <c r="EY42" s="675">
        <v>0</v>
      </c>
      <c r="EZ42" s="675">
        <v>681215</v>
      </c>
      <c r="FA42" s="675">
        <v>0</v>
      </c>
      <c r="FB42" s="675">
        <v>700851</v>
      </c>
      <c r="FC42" s="675">
        <v>0</v>
      </c>
      <c r="FD42" s="675">
        <v>0</v>
      </c>
      <c r="FE42" s="675">
        <v>68039</v>
      </c>
      <c r="FF42" s="675">
        <v>14073</v>
      </c>
      <c r="FG42" s="675">
        <v>6.3574999999999993E-2</v>
      </c>
      <c r="FH42" s="675">
        <v>2.6298999999999999E-2</v>
      </c>
      <c r="FI42" s="675">
        <v>0</v>
      </c>
      <c r="FJ42" s="675">
        <v>0</v>
      </c>
      <c r="FK42" s="675">
        <v>108.586</v>
      </c>
      <c r="FL42" s="675">
        <v>788033</v>
      </c>
      <c r="FM42" s="675">
        <v>0</v>
      </c>
      <c r="FN42" s="675">
        <v>0</v>
      </c>
      <c r="FO42" s="675">
        <v>0</v>
      </c>
      <c r="FP42" s="675">
        <v>0</v>
      </c>
      <c r="FQ42" s="675">
        <v>0</v>
      </c>
      <c r="FR42" s="675">
        <v>0</v>
      </c>
      <c r="FS42" s="675">
        <v>0</v>
      </c>
      <c r="FT42" s="675">
        <v>0</v>
      </c>
      <c r="FU42" s="675">
        <v>0</v>
      </c>
      <c r="FV42" s="675">
        <v>0</v>
      </c>
      <c r="FW42" s="675">
        <v>0</v>
      </c>
      <c r="FX42" s="675">
        <v>0</v>
      </c>
      <c r="FY42" s="675">
        <v>0</v>
      </c>
      <c r="FZ42" s="675">
        <v>0</v>
      </c>
      <c r="GA42" s="675">
        <v>0</v>
      </c>
      <c r="GB42" s="675">
        <v>179613</v>
      </c>
      <c r="GC42" s="675">
        <v>179613</v>
      </c>
      <c r="GD42" s="675">
        <v>16.830000000000002</v>
      </c>
      <c r="GE42" s="675">
        <v>0</v>
      </c>
      <c r="GF42" s="675">
        <v>0</v>
      </c>
      <c r="GG42" s="675">
        <v>0</v>
      </c>
      <c r="GH42" s="675">
        <v>0</v>
      </c>
      <c r="GI42" s="675">
        <v>0</v>
      </c>
      <c r="GJ42" s="675">
        <v>0</v>
      </c>
      <c r="GK42" s="675">
        <v>0</v>
      </c>
      <c r="GL42" s="675">
        <v>0</v>
      </c>
      <c r="GM42" s="675">
        <v>0</v>
      </c>
      <c r="GN42" s="675">
        <v>0</v>
      </c>
      <c r="GO42" s="675">
        <v>0</v>
      </c>
      <c r="GP42" s="675">
        <v>0</v>
      </c>
      <c r="GQ42" s="675">
        <v>0</v>
      </c>
      <c r="GR42" s="675">
        <v>0</v>
      </c>
      <c r="GS42" s="675">
        <v>0</v>
      </c>
      <c r="GT42" s="675">
        <v>0</v>
      </c>
      <c r="GU42" s="675">
        <v>0</v>
      </c>
      <c r="GV42" s="675">
        <v>0</v>
      </c>
      <c r="GW42" s="675">
        <v>0</v>
      </c>
      <c r="GX42" s="675">
        <v>0</v>
      </c>
      <c r="GY42" s="675">
        <v>0</v>
      </c>
      <c r="GZ42" s="675">
        <v>0</v>
      </c>
      <c r="HA42" s="675">
        <v>0</v>
      </c>
      <c r="HB42" s="675">
        <v>298386780</v>
      </c>
      <c r="HC42" s="675">
        <v>4.5690999999999996E-2</v>
      </c>
      <c r="HD42" s="675">
        <v>5070</v>
      </c>
      <c r="HE42" s="675">
        <v>0</v>
      </c>
      <c r="HF42" s="675">
        <v>5533</v>
      </c>
      <c r="HG42" s="675">
        <v>0</v>
      </c>
      <c r="HH42" s="675">
        <v>0</v>
      </c>
      <c r="HI42" s="675">
        <v>0</v>
      </c>
      <c r="HJ42" s="675">
        <v>270</v>
      </c>
      <c r="HK42" s="675">
        <v>486</v>
      </c>
      <c r="HL42" s="675">
        <v>460</v>
      </c>
      <c r="HM42" s="675">
        <v>5000</v>
      </c>
      <c r="HN42" s="675">
        <v>0</v>
      </c>
      <c r="HO42" s="675">
        <v>0</v>
      </c>
      <c r="HP42" s="675">
        <v>28560</v>
      </c>
      <c r="HQ42" s="675">
        <v>0</v>
      </c>
      <c r="HR42" s="675">
        <v>0</v>
      </c>
      <c r="HS42" s="675">
        <v>680665</v>
      </c>
      <c r="HT42" s="675">
        <v>14073</v>
      </c>
      <c r="HU42" s="675">
        <v>0</v>
      </c>
      <c r="HV42" s="675">
        <v>0</v>
      </c>
      <c r="HW42" s="675">
        <v>0</v>
      </c>
      <c r="HX42" s="675">
        <v>4</v>
      </c>
      <c r="HY42" s="675">
        <v>3</v>
      </c>
      <c r="HZ42" s="675">
        <v>9</v>
      </c>
      <c r="IA42" s="675">
        <v>8</v>
      </c>
      <c r="IB42" s="675">
        <v>5</v>
      </c>
      <c r="IC42" s="675">
        <v>29</v>
      </c>
      <c r="ID42" s="675">
        <v>0</v>
      </c>
      <c r="IE42" s="675">
        <v>0</v>
      </c>
      <c r="IF42" s="675">
        <v>0</v>
      </c>
      <c r="IG42" s="675">
        <v>0</v>
      </c>
      <c r="IH42" s="675">
        <v>0</v>
      </c>
      <c r="II42" s="675">
        <v>103.85600000000001</v>
      </c>
      <c r="IJ42" s="675">
        <v>3.875</v>
      </c>
      <c r="IK42" s="675">
        <v>10.932</v>
      </c>
      <c r="IL42" s="675">
        <v>1</v>
      </c>
      <c r="IM42" s="675">
        <v>0</v>
      </c>
      <c r="IN42" s="675">
        <v>0</v>
      </c>
      <c r="IO42" s="675">
        <v>1</v>
      </c>
      <c r="IP42" s="675">
        <v>114.78800000000001</v>
      </c>
      <c r="IQ42" s="675">
        <v>3.875</v>
      </c>
      <c r="IR42" s="675">
        <v>2387</v>
      </c>
      <c r="IS42" s="675">
        <v>3006</v>
      </c>
      <c r="IT42" s="675">
        <v>5000</v>
      </c>
      <c r="IU42" s="675">
        <v>0</v>
      </c>
      <c r="IV42" s="675">
        <v>0</v>
      </c>
      <c r="IW42" s="675">
        <v>6160</v>
      </c>
      <c r="IX42" s="675">
        <v>0</v>
      </c>
      <c r="IY42" s="675">
        <v>0</v>
      </c>
      <c r="IZ42" s="675">
        <v>31567</v>
      </c>
      <c r="JA42" s="675">
        <v>0</v>
      </c>
      <c r="JB42" s="675">
        <v>0</v>
      </c>
      <c r="JC42" s="675">
        <v>0</v>
      </c>
      <c r="JD42" s="675">
        <v>0</v>
      </c>
      <c r="JE42" s="675">
        <v>0</v>
      </c>
      <c r="JF42" s="675">
        <v>0</v>
      </c>
      <c r="JG42" s="675">
        <v>0</v>
      </c>
      <c r="JH42" s="675">
        <v>0</v>
      </c>
      <c r="JI42" s="675">
        <v>0</v>
      </c>
      <c r="JJ42" s="675">
        <v>0</v>
      </c>
      <c r="JK42" s="675">
        <v>0</v>
      </c>
      <c r="JL42" s="675">
        <v>0</v>
      </c>
      <c r="JM42" s="675">
        <v>0</v>
      </c>
      <c r="JN42" s="675">
        <v>32469</v>
      </c>
      <c r="JO42" s="675">
        <v>0</v>
      </c>
      <c r="JP42" s="675">
        <v>0</v>
      </c>
      <c r="JQ42" s="675">
        <v>16.830000000000002</v>
      </c>
      <c r="JR42" s="675">
        <v>0</v>
      </c>
      <c r="JS42" s="675">
        <v>0</v>
      </c>
      <c r="JT42" s="675">
        <v>179613</v>
      </c>
      <c r="JU42" s="675">
        <v>0</v>
      </c>
      <c r="JV42" s="675">
        <v>0</v>
      </c>
      <c r="JW42" s="675">
        <v>0</v>
      </c>
      <c r="JX42" s="675">
        <v>0</v>
      </c>
      <c r="JY42" s="675">
        <v>0</v>
      </c>
      <c r="JZ42" s="675">
        <v>0</v>
      </c>
      <c r="KA42" s="675">
        <v>0</v>
      </c>
      <c r="KB42" s="675">
        <v>0</v>
      </c>
      <c r="KC42" s="675">
        <v>0</v>
      </c>
      <c r="KD42" s="675">
        <v>0</v>
      </c>
      <c r="KE42" s="675">
        <v>7260</v>
      </c>
      <c r="KF42" s="675">
        <v>0</v>
      </c>
      <c r="KG42" s="675">
        <v>0</v>
      </c>
      <c r="KH42" s="675">
        <v>0</v>
      </c>
      <c r="KI42" s="675">
        <v>0</v>
      </c>
    </row>
    <row r="43" spans="1:295" ht="12.5" x14ac:dyDescent="0.25">
      <c r="A43" s="675">
        <v>35795</v>
      </c>
      <c r="B43" s="675">
        <v>240801</v>
      </c>
      <c r="C43" s="675">
        <v>9</v>
      </c>
      <c r="D43" s="675">
        <v>2022</v>
      </c>
      <c r="E43" s="675">
        <v>6160</v>
      </c>
      <c r="F43" s="675">
        <v>0</v>
      </c>
      <c r="G43" s="675">
        <v>148.46299999999999</v>
      </c>
      <c r="H43" s="675">
        <v>140.17700000000002</v>
      </c>
      <c r="I43" s="675">
        <v>140.17700000000002</v>
      </c>
      <c r="J43" s="675">
        <v>148.46299999999999</v>
      </c>
      <c r="K43" s="675">
        <v>0</v>
      </c>
      <c r="L43" s="675">
        <v>6160</v>
      </c>
      <c r="M43" s="675">
        <v>0</v>
      </c>
      <c r="N43" s="675">
        <v>0</v>
      </c>
      <c r="O43" s="675">
        <v>0</v>
      </c>
      <c r="P43" s="675">
        <v>185.684</v>
      </c>
      <c r="Q43" s="675">
        <v>0</v>
      </c>
      <c r="R43" s="675">
        <v>74724</v>
      </c>
      <c r="S43" s="675">
        <v>402.428</v>
      </c>
      <c r="T43" s="675">
        <v>0</v>
      </c>
      <c r="U43" s="675">
        <v>39737</v>
      </c>
      <c r="V43" s="675">
        <v>88.215000000000003</v>
      </c>
      <c r="W43" s="675">
        <v>54340</v>
      </c>
      <c r="X43" s="675">
        <v>54340</v>
      </c>
      <c r="Y43" s="675">
        <v>0</v>
      </c>
      <c r="Z43" s="675">
        <v>0</v>
      </c>
      <c r="AA43" s="675">
        <v>0</v>
      </c>
      <c r="AB43" s="675">
        <v>0</v>
      </c>
      <c r="AC43" s="675">
        <v>0</v>
      </c>
      <c r="AD43" s="675" t="s">
        <v>316</v>
      </c>
      <c r="AE43" s="675">
        <v>0</v>
      </c>
      <c r="AF43" s="675">
        <v>0</v>
      </c>
      <c r="AG43" s="675">
        <v>0</v>
      </c>
      <c r="AH43" s="675">
        <v>0</v>
      </c>
      <c r="AI43" s="675">
        <v>0</v>
      </c>
      <c r="AJ43" s="675">
        <v>6160</v>
      </c>
      <c r="AK43" s="675" t="s">
        <v>671</v>
      </c>
      <c r="AL43" s="675" t="s">
        <v>471</v>
      </c>
      <c r="AM43" s="675">
        <v>0</v>
      </c>
      <c r="AN43" s="675">
        <v>0</v>
      </c>
      <c r="AO43" s="675">
        <v>0</v>
      </c>
      <c r="AP43" s="675">
        <v>0</v>
      </c>
      <c r="AQ43" s="675">
        <v>0</v>
      </c>
      <c r="AR43" s="675">
        <v>0</v>
      </c>
      <c r="AS43" s="675">
        <v>0</v>
      </c>
      <c r="AT43" s="675">
        <v>0</v>
      </c>
      <c r="AU43" s="675">
        <v>0</v>
      </c>
      <c r="AV43" s="675">
        <v>-233656</v>
      </c>
      <c r="AW43" s="675">
        <v>1771551</v>
      </c>
      <c r="AX43" s="675">
        <v>1744904</v>
      </c>
      <c r="AY43" s="675">
        <v>1083100</v>
      </c>
      <c r="AZ43" s="675">
        <v>74724</v>
      </c>
      <c r="BA43" s="675">
        <v>0</v>
      </c>
      <c r="BB43" s="675">
        <v>0</v>
      </c>
      <c r="BC43" s="675">
        <v>0</v>
      </c>
      <c r="BD43" s="675">
        <v>0</v>
      </c>
      <c r="BE43" s="675">
        <v>0</v>
      </c>
      <c r="BF43" s="675">
        <v>1557859</v>
      </c>
      <c r="BG43" s="675">
        <v>0</v>
      </c>
      <c r="BH43" s="675">
        <v>0</v>
      </c>
      <c r="BI43" s="675">
        <v>0</v>
      </c>
      <c r="BJ43" s="675">
        <v>12</v>
      </c>
      <c r="BK43" s="675">
        <v>0</v>
      </c>
      <c r="BL43" s="675">
        <v>0</v>
      </c>
      <c r="BM43" s="675">
        <v>0</v>
      </c>
      <c r="BN43" s="675">
        <v>0</v>
      </c>
      <c r="BO43" s="675">
        <v>0</v>
      </c>
      <c r="BP43" s="675">
        <v>0</v>
      </c>
      <c r="BQ43" s="675">
        <v>748</v>
      </c>
      <c r="BR43" s="675">
        <v>0</v>
      </c>
      <c r="BS43" s="675">
        <v>0</v>
      </c>
      <c r="BT43" s="675">
        <v>0</v>
      </c>
      <c r="BU43" s="675">
        <v>0</v>
      </c>
      <c r="BV43" s="675">
        <v>0</v>
      </c>
      <c r="BW43" s="675">
        <v>0</v>
      </c>
      <c r="BX43" s="675">
        <v>0</v>
      </c>
      <c r="BY43" s="675">
        <v>0</v>
      </c>
      <c r="BZ43" s="675">
        <v>0</v>
      </c>
      <c r="CA43" s="675">
        <v>0</v>
      </c>
      <c r="CB43" s="675">
        <v>0</v>
      </c>
      <c r="CC43" s="675">
        <v>0</v>
      </c>
      <c r="CD43" s="675">
        <v>0</v>
      </c>
      <c r="CE43" s="675">
        <v>0</v>
      </c>
      <c r="CF43" s="675">
        <v>0</v>
      </c>
      <c r="CG43" s="675">
        <v>0</v>
      </c>
      <c r="CH43" s="675">
        <v>27134</v>
      </c>
      <c r="CI43" s="675">
        <v>0</v>
      </c>
      <c r="CJ43" s="675">
        <v>4</v>
      </c>
      <c r="CK43" s="675">
        <v>0</v>
      </c>
      <c r="CL43" s="675">
        <v>0</v>
      </c>
      <c r="CM43" s="675">
        <v>0</v>
      </c>
      <c r="CN43" s="675">
        <v>0</v>
      </c>
      <c r="CO43" s="675">
        <v>1</v>
      </c>
      <c r="CP43" s="675">
        <v>0.251</v>
      </c>
      <c r="CQ43" s="675">
        <v>0</v>
      </c>
      <c r="CR43" s="675">
        <v>197.61600000000001</v>
      </c>
      <c r="CS43" s="675">
        <v>0</v>
      </c>
      <c r="CT43" s="675">
        <v>0</v>
      </c>
      <c r="CU43" s="675">
        <v>0</v>
      </c>
      <c r="CV43" s="675">
        <v>0</v>
      </c>
      <c r="CW43" s="675">
        <v>0</v>
      </c>
      <c r="CX43" s="675">
        <v>0</v>
      </c>
      <c r="CY43" s="675">
        <v>0</v>
      </c>
      <c r="CZ43" s="675">
        <v>0</v>
      </c>
      <c r="DA43" s="675">
        <v>0</v>
      </c>
      <c r="DB43" s="675">
        <v>841733</v>
      </c>
      <c r="DC43" s="675">
        <v>0</v>
      </c>
      <c r="DD43" s="675">
        <v>0</v>
      </c>
      <c r="DE43" s="675">
        <v>284976</v>
      </c>
      <c r="DF43" s="675">
        <v>288702</v>
      </c>
      <c r="DG43" s="675">
        <v>46.263000000000005</v>
      </c>
      <c r="DH43" s="675">
        <v>0</v>
      </c>
      <c r="DI43" s="675">
        <v>3726</v>
      </c>
      <c r="DJ43" s="675">
        <v>0</v>
      </c>
      <c r="DK43" s="675">
        <v>3597</v>
      </c>
      <c r="DL43" s="675">
        <v>0</v>
      </c>
      <c r="DM43" s="675">
        <v>149803</v>
      </c>
      <c r="DN43" s="675">
        <v>488</v>
      </c>
      <c r="DO43" s="675">
        <v>0</v>
      </c>
      <c r="DP43" s="675">
        <v>0</v>
      </c>
      <c r="DQ43" s="675">
        <v>0</v>
      </c>
      <c r="DR43" s="675">
        <v>0</v>
      </c>
      <c r="DS43" s="675">
        <v>0</v>
      </c>
      <c r="DT43" s="675">
        <v>0</v>
      </c>
      <c r="DU43" s="675">
        <v>0</v>
      </c>
      <c r="DV43" s="675">
        <v>0</v>
      </c>
      <c r="DW43" s="675">
        <v>0</v>
      </c>
      <c r="DX43" s="675">
        <v>0</v>
      </c>
      <c r="DY43" s="675">
        <v>0</v>
      </c>
      <c r="DZ43" s="675">
        <v>0</v>
      </c>
      <c r="EA43" s="675">
        <v>5.6000000000000001E-2</v>
      </c>
      <c r="EB43" s="675">
        <v>0</v>
      </c>
      <c r="EC43" s="675">
        <v>17.845000000000002</v>
      </c>
      <c r="ED43" s="675">
        <v>126413</v>
      </c>
      <c r="EE43" s="675">
        <v>0</v>
      </c>
      <c r="EF43" s="675">
        <v>0</v>
      </c>
      <c r="EG43" s="675">
        <v>0</v>
      </c>
      <c r="EH43" s="675">
        <v>2125</v>
      </c>
      <c r="EI43" s="675">
        <v>0</v>
      </c>
      <c r="EJ43" s="675">
        <v>0</v>
      </c>
      <c r="EK43" s="675">
        <v>0</v>
      </c>
      <c r="EL43" s="675">
        <v>0</v>
      </c>
      <c r="EM43" s="675">
        <v>0</v>
      </c>
      <c r="EN43" s="675">
        <v>1.3000000000000001E-2</v>
      </c>
      <c r="EO43" s="675">
        <v>0</v>
      </c>
      <c r="EP43" s="675">
        <v>0</v>
      </c>
      <c r="EQ43" s="675">
        <v>6.9000000000000006E-2</v>
      </c>
      <c r="ER43" s="675">
        <v>0</v>
      </c>
      <c r="ES43" s="675">
        <v>0.34500000000000003</v>
      </c>
      <c r="ET43" s="675">
        <v>0</v>
      </c>
      <c r="EU43" s="675">
        <v>0</v>
      </c>
      <c r="EV43" s="675">
        <v>0</v>
      </c>
      <c r="EW43" s="675">
        <v>0</v>
      </c>
      <c r="EX43" s="675">
        <v>0</v>
      </c>
      <c r="EY43" s="675">
        <v>0</v>
      </c>
      <c r="EZ43" s="675">
        <v>1553662</v>
      </c>
      <c r="FA43" s="675">
        <v>0</v>
      </c>
      <c r="FB43" s="675">
        <v>1627899</v>
      </c>
      <c r="FC43" s="675">
        <v>0</v>
      </c>
      <c r="FD43" s="675">
        <v>0</v>
      </c>
      <c r="FE43" s="675">
        <v>158466</v>
      </c>
      <c r="FF43" s="675">
        <v>32776</v>
      </c>
      <c r="FG43" s="675">
        <v>6.3574999999999993E-2</v>
      </c>
      <c r="FH43" s="675">
        <v>2.6298999999999999E-2</v>
      </c>
      <c r="FI43" s="675">
        <v>0</v>
      </c>
      <c r="FJ43" s="675">
        <v>0</v>
      </c>
      <c r="FK43" s="675">
        <v>252.9</v>
      </c>
      <c r="FL43" s="675">
        <v>1846275</v>
      </c>
      <c r="FM43" s="675">
        <v>0</v>
      </c>
      <c r="FN43" s="675">
        <v>0</v>
      </c>
      <c r="FO43" s="675">
        <v>0</v>
      </c>
      <c r="FP43" s="675">
        <v>0</v>
      </c>
      <c r="FQ43" s="675">
        <v>0</v>
      </c>
      <c r="FR43" s="675">
        <v>0</v>
      </c>
      <c r="FS43" s="675">
        <v>0</v>
      </c>
      <c r="FT43" s="675">
        <v>0</v>
      </c>
      <c r="FU43" s="675">
        <v>0</v>
      </c>
      <c r="FV43" s="675">
        <v>0</v>
      </c>
      <c r="FW43" s="675">
        <v>0</v>
      </c>
      <c r="FX43" s="675">
        <v>0</v>
      </c>
      <c r="FY43" s="675">
        <v>0</v>
      </c>
      <c r="FZ43" s="675">
        <v>0</v>
      </c>
      <c r="GA43" s="675">
        <v>0</v>
      </c>
      <c r="GB43" s="675">
        <v>67155</v>
      </c>
      <c r="GC43" s="675">
        <v>67155</v>
      </c>
      <c r="GD43" s="675">
        <v>8.2170000000000005</v>
      </c>
      <c r="GE43" s="675">
        <v>0</v>
      </c>
      <c r="GF43" s="675">
        <v>0</v>
      </c>
      <c r="GG43" s="675">
        <v>0</v>
      </c>
      <c r="GH43" s="675">
        <v>0</v>
      </c>
      <c r="GI43" s="675">
        <v>0</v>
      </c>
      <c r="GJ43" s="675">
        <v>0</v>
      </c>
      <c r="GK43" s="675">
        <v>0</v>
      </c>
      <c r="GL43" s="675">
        <v>0</v>
      </c>
      <c r="GM43" s="675">
        <v>0</v>
      </c>
      <c r="GN43" s="675">
        <v>0</v>
      </c>
      <c r="GO43" s="675">
        <v>0</v>
      </c>
      <c r="GP43" s="675">
        <v>0</v>
      </c>
      <c r="GQ43" s="675">
        <v>0</v>
      </c>
      <c r="GR43" s="675">
        <v>0</v>
      </c>
      <c r="GS43" s="675">
        <v>0</v>
      </c>
      <c r="GT43" s="675">
        <v>0</v>
      </c>
      <c r="GU43" s="675">
        <v>0</v>
      </c>
      <c r="GV43" s="675">
        <v>0</v>
      </c>
      <c r="GW43" s="675">
        <v>0</v>
      </c>
      <c r="GX43" s="675">
        <v>0</v>
      </c>
      <c r="GY43" s="675">
        <v>0</v>
      </c>
      <c r="GZ43" s="675">
        <v>0</v>
      </c>
      <c r="HA43" s="675">
        <v>0</v>
      </c>
      <c r="HB43" s="675">
        <v>298386780</v>
      </c>
      <c r="HC43" s="675">
        <v>4.5690999999999996E-2</v>
      </c>
      <c r="HD43" s="675">
        <v>27134</v>
      </c>
      <c r="HE43" s="675">
        <v>0</v>
      </c>
      <c r="HF43" s="675">
        <v>154195</v>
      </c>
      <c r="HG43" s="675">
        <v>0</v>
      </c>
      <c r="HH43" s="675">
        <v>0</v>
      </c>
      <c r="HI43" s="675">
        <v>0</v>
      </c>
      <c r="HJ43" s="675">
        <v>1443</v>
      </c>
      <c r="HK43" s="675">
        <v>1665</v>
      </c>
      <c r="HL43" s="675">
        <v>161</v>
      </c>
      <c r="HM43" s="675">
        <v>0</v>
      </c>
      <c r="HN43" s="675">
        <v>0</v>
      </c>
      <c r="HO43" s="675">
        <v>0</v>
      </c>
      <c r="HP43" s="675">
        <v>68701</v>
      </c>
      <c r="HQ43" s="675">
        <v>0</v>
      </c>
      <c r="HR43" s="675">
        <v>0</v>
      </c>
      <c r="HS43" s="675">
        <v>1553175</v>
      </c>
      <c r="HT43" s="675">
        <v>32776</v>
      </c>
      <c r="HU43" s="675">
        <v>0</v>
      </c>
      <c r="HV43" s="675">
        <v>0</v>
      </c>
      <c r="HW43" s="675">
        <v>0</v>
      </c>
      <c r="HX43" s="675">
        <v>10</v>
      </c>
      <c r="HY43" s="675">
        <v>17</v>
      </c>
      <c r="HZ43" s="675">
        <v>27</v>
      </c>
      <c r="IA43" s="675">
        <v>48</v>
      </c>
      <c r="IB43" s="675">
        <v>75</v>
      </c>
      <c r="IC43" s="675">
        <v>177</v>
      </c>
      <c r="ID43" s="675">
        <v>0</v>
      </c>
      <c r="IE43" s="675">
        <v>0</v>
      </c>
      <c r="IF43" s="675">
        <v>0</v>
      </c>
      <c r="IG43" s="675">
        <v>0</v>
      </c>
      <c r="IH43" s="675">
        <v>0</v>
      </c>
      <c r="II43" s="675">
        <v>249.82300000000001</v>
      </c>
      <c r="IJ43" s="675">
        <v>88.215000000000003</v>
      </c>
      <c r="IK43" s="675">
        <v>0</v>
      </c>
      <c r="IL43" s="675">
        <v>0</v>
      </c>
      <c r="IM43" s="675">
        <v>0</v>
      </c>
      <c r="IN43" s="675">
        <v>0</v>
      </c>
      <c r="IO43" s="675">
        <v>0</v>
      </c>
      <c r="IP43" s="675">
        <v>249.82300000000001</v>
      </c>
      <c r="IQ43" s="675">
        <v>88.215000000000003</v>
      </c>
      <c r="IR43" s="675">
        <v>54340</v>
      </c>
      <c r="IS43" s="675">
        <v>0</v>
      </c>
      <c r="IT43" s="675">
        <v>0</v>
      </c>
      <c r="IU43" s="675">
        <v>0</v>
      </c>
      <c r="IV43" s="675">
        <v>0</v>
      </c>
      <c r="IW43" s="675">
        <v>6160</v>
      </c>
      <c r="IX43" s="675">
        <v>0</v>
      </c>
      <c r="IY43" s="675">
        <v>0</v>
      </c>
      <c r="IZ43" s="675">
        <v>68701</v>
      </c>
      <c r="JA43" s="675">
        <v>0</v>
      </c>
      <c r="JB43" s="675">
        <v>0</v>
      </c>
      <c r="JC43" s="675">
        <v>0</v>
      </c>
      <c r="JD43" s="675">
        <v>0</v>
      </c>
      <c r="JE43" s="675">
        <v>0</v>
      </c>
      <c r="JF43" s="675">
        <v>0</v>
      </c>
      <c r="JG43" s="675">
        <v>0</v>
      </c>
      <c r="JH43" s="675">
        <v>0</v>
      </c>
      <c r="JI43" s="675">
        <v>0</v>
      </c>
      <c r="JJ43" s="675">
        <v>0</v>
      </c>
      <c r="JK43" s="675">
        <v>0</v>
      </c>
      <c r="JL43" s="675">
        <v>0</v>
      </c>
      <c r="JM43" s="675">
        <v>0</v>
      </c>
      <c r="JN43" s="675">
        <v>32469</v>
      </c>
      <c r="JO43" s="675">
        <v>7.41</v>
      </c>
      <c r="JP43" s="675">
        <v>0.46700000000000003</v>
      </c>
      <c r="JQ43" s="675">
        <v>0.34100000000000003</v>
      </c>
      <c r="JR43" s="675">
        <v>59176</v>
      </c>
      <c r="JS43" s="675">
        <v>4340</v>
      </c>
      <c r="JT43" s="675">
        <v>3639</v>
      </c>
      <c r="JU43" s="675">
        <v>0</v>
      </c>
      <c r="JV43" s="675">
        <v>0</v>
      </c>
      <c r="JW43" s="675">
        <v>0</v>
      </c>
      <c r="JX43" s="675">
        <v>0</v>
      </c>
      <c r="JY43" s="675">
        <v>0</v>
      </c>
      <c r="JZ43" s="675">
        <v>0</v>
      </c>
      <c r="KA43" s="675">
        <v>0</v>
      </c>
      <c r="KB43" s="675">
        <v>0</v>
      </c>
      <c r="KC43" s="675">
        <v>0</v>
      </c>
      <c r="KD43" s="675">
        <v>0</v>
      </c>
      <c r="KE43" s="675">
        <v>7260</v>
      </c>
      <c r="KF43" s="675">
        <v>0</v>
      </c>
      <c r="KG43" s="675">
        <v>0</v>
      </c>
      <c r="KH43" s="675">
        <v>0</v>
      </c>
      <c r="KI43" s="675">
        <v>0</v>
      </c>
    </row>
    <row r="44" spans="1:295" ht="12.5" x14ac:dyDescent="0.25">
      <c r="A44" s="675">
        <v>35795</v>
      </c>
      <c r="B44" s="675">
        <v>246801</v>
      </c>
      <c r="C44" s="675">
        <v>9</v>
      </c>
      <c r="D44" s="675">
        <v>2022</v>
      </c>
      <c r="E44" s="675">
        <v>6160</v>
      </c>
      <c r="F44" s="675">
        <v>0</v>
      </c>
      <c r="G44" s="675">
        <v>1608.88</v>
      </c>
      <c r="H44" s="675">
        <v>1559.7670000000001</v>
      </c>
      <c r="I44" s="675">
        <v>1559.7670000000001</v>
      </c>
      <c r="J44" s="675">
        <v>1608.88</v>
      </c>
      <c r="K44" s="675">
        <v>0</v>
      </c>
      <c r="L44" s="675">
        <v>6160</v>
      </c>
      <c r="M44" s="675">
        <v>0</v>
      </c>
      <c r="N44" s="675">
        <v>0</v>
      </c>
      <c r="O44" s="675">
        <v>0</v>
      </c>
      <c r="P44" s="675">
        <v>1623.934</v>
      </c>
      <c r="Q44" s="675">
        <v>0</v>
      </c>
      <c r="R44" s="675">
        <v>653517</v>
      </c>
      <c r="S44" s="675">
        <v>402.428</v>
      </c>
      <c r="T44" s="675">
        <v>0</v>
      </c>
      <c r="U44" s="675">
        <v>347524</v>
      </c>
      <c r="V44" s="675">
        <v>137.99200000000002</v>
      </c>
      <c r="W44" s="675">
        <v>85003</v>
      </c>
      <c r="X44" s="675">
        <v>85003</v>
      </c>
      <c r="Y44" s="675">
        <v>0</v>
      </c>
      <c r="Z44" s="675">
        <v>0</v>
      </c>
      <c r="AA44" s="675">
        <v>0</v>
      </c>
      <c r="AB44" s="675">
        <v>0</v>
      </c>
      <c r="AC44" s="675">
        <v>0</v>
      </c>
      <c r="AD44" s="675" t="s">
        <v>316</v>
      </c>
      <c r="AE44" s="675">
        <v>0</v>
      </c>
      <c r="AF44" s="675">
        <v>0</v>
      </c>
      <c r="AG44" s="675">
        <v>0</v>
      </c>
      <c r="AH44" s="675">
        <v>0</v>
      </c>
      <c r="AI44" s="675">
        <v>0</v>
      </c>
      <c r="AJ44" s="675">
        <v>6160</v>
      </c>
      <c r="AK44" s="675" t="s">
        <v>671</v>
      </c>
      <c r="AL44" s="675" t="s">
        <v>97</v>
      </c>
      <c r="AM44" s="675">
        <v>0</v>
      </c>
      <c r="AN44" s="675">
        <v>0</v>
      </c>
      <c r="AO44" s="675">
        <v>0</v>
      </c>
      <c r="AP44" s="675">
        <v>0</v>
      </c>
      <c r="AQ44" s="675">
        <v>0</v>
      </c>
      <c r="AR44" s="675">
        <v>0</v>
      </c>
      <c r="AS44" s="675">
        <v>0</v>
      </c>
      <c r="AT44" s="675">
        <v>0</v>
      </c>
      <c r="AU44" s="675">
        <v>0</v>
      </c>
      <c r="AV44" s="675">
        <v>-6936</v>
      </c>
      <c r="AW44" s="675">
        <v>14109826</v>
      </c>
      <c r="AX44" s="675">
        <v>13819925</v>
      </c>
      <c r="AY44" s="675">
        <v>9500406</v>
      </c>
      <c r="AZ44" s="675">
        <v>653517</v>
      </c>
      <c r="BA44" s="675">
        <v>0</v>
      </c>
      <c r="BB44" s="675">
        <v>0</v>
      </c>
      <c r="BC44" s="675">
        <v>0</v>
      </c>
      <c r="BD44" s="675">
        <v>0</v>
      </c>
      <c r="BE44" s="675">
        <v>0</v>
      </c>
      <c r="BF44" s="675">
        <v>12886888</v>
      </c>
      <c r="BG44" s="675">
        <v>0</v>
      </c>
      <c r="BH44" s="675">
        <v>0</v>
      </c>
      <c r="BI44" s="675">
        <v>0</v>
      </c>
      <c r="BJ44" s="675">
        <v>12</v>
      </c>
      <c r="BK44" s="675">
        <v>0</v>
      </c>
      <c r="BL44" s="675">
        <v>0</v>
      </c>
      <c r="BM44" s="675">
        <v>0</v>
      </c>
      <c r="BN44" s="675">
        <v>0</v>
      </c>
      <c r="BO44" s="675">
        <v>0</v>
      </c>
      <c r="BP44" s="675">
        <v>0</v>
      </c>
      <c r="BQ44" s="675">
        <v>530</v>
      </c>
      <c r="BR44" s="675">
        <v>0</v>
      </c>
      <c r="BS44" s="675">
        <v>0</v>
      </c>
      <c r="BT44" s="675">
        <v>0</v>
      </c>
      <c r="BU44" s="675">
        <v>0</v>
      </c>
      <c r="BV44" s="675">
        <v>0</v>
      </c>
      <c r="BW44" s="675">
        <v>0</v>
      </c>
      <c r="BX44" s="675">
        <v>0</v>
      </c>
      <c r="BY44" s="675">
        <v>0</v>
      </c>
      <c r="BZ44" s="675">
        <v>0</v>
      </c>
      <c r="CA44" s="675">
        <v>0</v>
      </c>
      <c r="CB44" s="675">
        <v>0</v>
      </c>
      <c r="CC44" s="675">
        <v>0</v>
      </c>
      <c r="CD44" s="675">
        <v>0</v>
      </c>
      <c r="CE44" s="675">
        <v>0</v>
      </c>
      <c r="CF44" s="675">
        <v>0</v>
      </c>
      <c r="CG44" s="675">
        <v>0</v>
      </c>
      <c r="CH44" s="675">
        <v>294043</v>
      </c>
      <c r="CI44" s="675">
        <v>0</v>
      </c>
      <c r="CJ44" s="675">
        <v>4</v>
      </c>
      <c r="CK44" s="675">
        <v>0</v>
      </c>
      <c r="CL44" s="675">
        <v>0</v>
      </c>
      <c r="CM44" s="675">
        <v>0</v>
      </c>
      <c r="CN44" s="675">
        <v>0</v>
      </c>
      <c r="CO44" s="675">
        <v>1</v>
      </c>
      <c r="CP44" s="675">
        <v>0</v>
      </c>
      <c r="CQ44" s="675">
        <v>0</v>
      </c>
      <c r="CR44" s="675">
        <v>1641.4870000000001</v>
      </c>
      <c r="CS44" s="675">
        <v>0</v>
      </c>
      <c r="CT44" s="675">
        <v>0</v>
      </c>
      <c r="CU44" s="675">
        <v>0</v>
      </c>
      <c r="CV44" s="675">
        <v>0</v>
      </c>
      <c r="CW44" s="675">
        <v>0</v>
      </c>
      <c r="CX44" s="675">
        <v>0</v>
      </c>
      <c r="CY44" s="675">
        <v>0</v>
      </c>
      <c r="CZ44" s="675">
        <v>0</v>
      </c>
      <c r="DA44" s="675">
        <v>0</v>
      </c>
      <c r="DB44" s="675">
        <v>9434350</v>
      </c>
      <c r="DC44" s="675">
        <v>0</v>
      </c>
      <c r="DD44" s="675">
        <v>0</v>
      </c>
      <c r="DE44" s="675">
        <v>137521</v>
      </c>
      <c r="DF44" s="675">
        <v>137521</v>
      </c>
      <c r="DG44" s="675">
        <v>22.325000000000003</v>
      </c>
      <c r="DH44" s="675">
        <v>0</v>
      </c>
      <c r="DI44" s="675">
        <v>0</v>
      </c>
      <c r="DJ44" s="675">
        <v>0</v>
      </c>
      <c r="DK44" s="675">
        <v>99</v>
      </c>
      <c r="DL44" s="675">
        <v>0</v>
      </c>
      <c r="DM44" s="675">
        <v>1261183</v>
      </c>
      <c r="DN44" s="675">
        <v>4142</v>
      </c>
      <c r="DO44" s="675">
        <v>0</v>
      </c>
      <c r="DP44" s="675">
        <v>0</v>
      </c>
      <c r="DQ44" s="675">
        <v>0</v>
      </c>
      <c r="DR44" s="675">
        <v>0</v>
      </c>
      <c r="DS44" s="675">
        <v>0</v>
      </c>
      <c r="DT44" s="675">
        <v>0</v>
      </c>
      <c r="DU44" s="675">
        <v>0</v>
      </c>
      <c r="DV44" s="675">
        <v>0</v>
      </c>
      <c r="DW44" s="675">
        <v>0</v>
      </c>
      <c r="DX44" s="675">
        <v>0</v>
      </c>
      <c r="DY44" s="675">
        <v>0</v>
      </c>
      <c r="DZ44" s="675">
        <v>0</v>
      </c>
      <c r="EA44" s="675">
        <v>0</v>
      </c>
      <c r="EB44" s="675">
        <v>0</v>
      </c>
      <c r="EC44" s="675">
        <v>19.882000000000001</v>
      </c>
      <c r="ED44" s="675">
        <v>140843</v>
      </c>
      <c r="EE44" s="675">
        <v>0</v>
      </c>
      <c r="EF44" s="675">
        <v>0</v>
      </c>
      <c r="EG44" s="675">
        <v>0</v>
      </c>
      <c r="EH44" s="675">
        <v>950712</v>
      </c>
      <c r="EI44" s="675">
        <v>0</v>
      </c>
      <c r="EJ44" s="675">
        <v>0</v>
      </c>
      <c r="EK44" s="675">
        <v>41.329000000000001</v>
      </c>
      <c r="EL44" s="675">
        <v>0</v>
      </c>
      <c r="EM44" s="675">
        <v>4.2850000000000001</v>
      </c>
      <c r="EN44" s="675">
        <v>3.4990000000000001</v>
      </c>
      <c r="EO44" s="675">
        <v>0</v>
      </c>
      <c r="EP44" s="675">
        <v>0</v>
      </c>
      <c r="EQ44" s="675">
        <v>49.113</v>
      </c>
      <c r="ER44" s="675">
        <v>0</v>
      </c>
      <c r="ES44" s="675">
        <v>154.33700000000002</v>
      </c>
      <c r="ET44" s="675">
        <v>0</v>
      </c>
      <c r="EU44" s="675">
        <v>0</v>
      </c>
      <c r="EV44" s="675">
        <v>0</v>
      </c>
      <c r="EW44" s="675">
        <v>0</v>
      </c>
      <c r="EX44" s="675">
        <v>0</v>
      </c>
      <c r="EY44" s="675">
        <v>0</v>
      </c>
      <c r="EZ44" s="675">
        <v>12237934</v>
      </c>
      <c r="FA44" s="675">
        <v>0</v>
      </c>
      <c r="FB44" s="675">
        <v>12887309</v>
      </c>
      <c r="FC44" s="675">
        <v>0</v>
      </c>
      <c r="FD44" s="675">
        <v>0</v>
      </c>
      <c r="FE44" s="675">
        <v>1310860</v>
      </c>
      <c r="FF44" s="675">
        <v>271131</v>
      </c>
      <c r="FG44" s="675">
        <v>6.3574999999999993E-2</v>
      </c>
      <c r="FH44" s="675">
        <v>2.6298999999999999E-2</v>
      </c>
      <c r="FI44" s="675">
        <v>0</v>
      </c>
      <c r="FJ44" s="675">
        <v>0</v>
      </c>
      <c r="FK44" s="675">
        <v>2092.0370000000003</v>
      </c>
      <c r="FL44" s="675">
        <v>14763343</v>
      </c>
      <c r="FM44" s="675">
        <v>0</v>
      </c>
      <c r="FN44" s="675">
        <v>0</v>
      </c>
      <c r="FO44" s="675">
        <v>0</v>
      </c>
      <c r="FP44" s="675">
        <v>0</v>
      </c>
      <c r="FQ44" s="675">
        <v>0</v>
      </c>
      <c r="FR44" s="675">
        <v>0</v>
      </c>
      <c r="FS44" s="675">
        <v>0</v>
      </c>
      <c r="FT44" s="675">
        <v>0</v>
      </c>
      <c r="FU44" s="675">
        <v>1</v>
      </c>
      <c r="FV44" s="675">
        <v>0</v>
      </c>
      <c r="FW44" s="675">
        <v>0</v>
      </c>
      <c r="FX44" s="675">
        <v>0</v>
      </c>
      <c r="FY44" s="675">
        <v>0</v>
      </c>
      <c r="FZ44" s="675">
        <v>0</v>
      </c>
      <c r="GA44" s="675">
        <v>0</v>
      </c>
      <c r="GB44" s="675">
        <v>0</v>
      </c>
      <c r="GC44" s="675">
        <v>0</v>
      </c>
      <c r="GD44" s="675">
        <v>0</v>
      </c>
      <c r="GE44" s="675">
        <v>0</v>
      </c>
      <c r="GF44" s="675">
        <v>0</v>
      </c>
      <c r="GG44" s="675">
        <v>0</v>
      </c>
      <c r="GH44" s="675">
        <v>0</v>
      </c>
      <c r="GI44" s="675">
        <v>0</v>
      </c>
      <c r="GJ44" s="675">
        <v>0</v>
      </c>
      <c r="GK44" s="675">
        <v>0</v>
      </c>
      <c r="GL44" s="675">
        <v>0</v>
      </c>
      <c r="GM44" s="675">
        <v>0</v>
      </c>
      <c r="GN44" s="675">
        <v>0</v>
      </c>
      <c r="GO44" s="675">
        <v>0</v>
      </c>
      <c r="GP44" s="675">
        <v>0</v>
      </c>
      <c r="GQ44" s="675">
        <v>0</v>
      </c>
      <c r="GR44" s="675">
        <v>0</v>
      </c>
      <c r="GS44" s="675">
        <v>0</v>
      </c>
      <c r="GT44" s="675">
        <v>0</v>
      </c>
      <c r="GU44" s="675">
        <v>0</v>
      </c>
      <c r="GV44" s="675">
        <v>0</v>
      </c>
      <c r="GW44" s="675">
        <v>0</v>
      </c>
      <c r="GX44" s="675">
        <v>0</v>
      </c>
      <c r="GY44" s="675">
        <v>0</v>
      </c>
      <c r="GZ44" s="675">
        <v>0</v>
      </c>
      <c r="HA44" s="675">
        <v>0</v>
      </c>
      <c r="HB44" s="675">
        <v>298386780</v>
      </c>
      <c r="HC44" s="675">
        <v>4.5690999999999996E-2</v>
      </c>
      <c r="HD44" s="675">
        <v>294043</v>
      </c>
      <c r="HE44" s="675">
        <v>0</v>
      </c>
      <c r="HF44" s="675">
        <v>1715744</v>
      </c>
      <c r="HG44" s="675">
        <v>55440</v>
      </c>
      <c r="HH44" s="675">
        <v>73867</v>
      </c>
      <c r="HI44" s="675">
        <v>0</v>
      </c>
      <c r="HJ44" s="675">
        <v>15638</v>
      </c>
      <c r="HK44" s="675">
        <v>4563</v>
      </c>
      <c r="HL44" s="675">
        <v>0</v>
      </c>
      <c r="HM44" s="675">
        <v>104000</v>
      </c>
      <c r="HN44" s="675">
        <v>0</v>
      </c>
      <c r="HO44" s="675">
        <v>0</v>
      </c>
      <c r="HP44" s="675">
        <v>0</v>
      </c>
      <c r="HQ44" s="675">
        <v>0</v>
      </c>
      <c r="HR44" s="675">
        <v>0</v>
      </c>
      <c r="HS44" s="675">
        <v>12233792</v>
      </c>
      <c r="HT44" s="675">
        <v>271131</v>
      </c>
      <c r="HU44" s="675">
        <v>0</v>
      </c>
      <c r="HV44" s="675">
        <v>0</v>
      </c>
      <c r="HW44" s="675">
        <v>0</v>
      </c>
      <c r="HX44" s="675">
        <v>65</v>
      </c>
      <c r="HY44" s="675">
        <v>15</v>
      </c>
      <c r="HZ44" s="675">
        <v>8</v>
      </c>
      <c r="IA44" s="675">
        <v>5</v>
      </c>
      <c r="IB44" s="675">
        <v>3</v>
      </c>
      <c r="IC44" s="675">
        <v>96</v>
      </c>
      <c r="ID44" s="675">
        <v>0</v>
      </c>
      <c r="IE44" s="675">
        <v>0</v>
      </c>
      <c r="IF44" s="675">
        <v>0</v>
      </c>
      <c r="IG44" s="675">
        <v>90</v>
      </c>
      <c r="IH44" s="675">
        <v>119.91500000000001</v>
      </c>
      <c r="II44" s="675">
        <v>0</v>
      </c>
      <c r="IJ44" s="675">
        <v>137.99200000000002</v>
      </c>
      <c r="IK44" s="675">
        <v>0</v>
      </c>
      <c r="IL44" s="675">
        <v>4</v>
      </c>
      <c r="IM44" s="675">
        <v>28</v>
      </c>
      <c r="IN44" s="675">
        <v>0</v>
      </c>
      <c r="IO44" s="675">
        <v>32</v>
      </c>
      <c r="IP44" s="675">
        <v>0</v>
      </c>
      <c r="IQ44" s="675">
        <v>137.99200000000002</v>
      </c>
      <c r="IR44" s="675">
        <v>85003</v>
      </c>
      <c r="IS44" s="675">
        <v>0</v>
      </c>
      <c r="IT44" s="675">
        <v>20000</v>
      </c>
      <c r="IU44" s="675">
        <v>84000</v>
      </c>
      <c r="IV44" s="675">
        <v>0</v>
      </c>
      <c r="IW44" s="675">
        <v>6160</v>
      </c>
      <c r="IX44" s="675">
        <v>0</v>
      </c>
      <c r="IY44" s="675">
        <v>0</v>
      </c>
      <c r="IZ44" s="675">
        <v>0</v>
      </c>
      <c r="JA44" s="675">
        <v>0</v>
      </c>
      <c r="JB44" s="675">
        <v>0</v>
      </c>
      <c r="JC44" s="675">
        <v>0</v>
      </c>
      <c r="JD44" s="675">
        <v>0</v>
      </c>
      <c r="JE44" s="675">
        <v>0</v>
      </c>
      <c r="JF44" s="675">
        <v>0</v>
      </c>
      <c r="JG44" s="675">
        <v>0</v>
      </c>
      <c r="JH44" s="675">
        <v>0</v>
      </c>
      <c r="JI44" s="675">
        <v>0</v>
      </c>
      <c r="JJ44" s="675">
        <v>0</v>
      </c>
      <c r="JK44" s="675">
        <v>0</v>
      </c>
      <c r="JL44" s="675">
        <v>0</v>
      </c>
      <c r="JM44" s="675">
        <v>0</v>
      </c>
      <c r="JN44" s="675">
        <v>32469</v>
      </c>
      <c r="JO44" s="675">
        <v>0</v>
      </c>
      <c r="JP44" s="675">
        <v>0</v>
      </c>
      <c r="JQ44" s="675">
        <v>0</v>
      </c>
      <c r="JR44" s="675">
        <v>0</v>
      </c>
      <c r="JS44" s="675">
        <v>0</v>
      </c>
      <c r="JT44" s="675">
        <v>0</v>
      </c>
      <c r="JU44" s="675">
        <v>0</v>
      </c>
      <c r="JV44" s="675">
        <v>0</v>
      </c>
      <c r="JW44" s="675">
        <v>0</v>
      </c>
      <c r="JX44" s="675">
        <v>0</v>
      </c>
      <c r="JY44" s="675">
        <v>0</v>
      </c>
      <c r="JZ44" s="675">
        <v>0</v>
      </c>
      <c r="KA44" s="675">
        <v>0</v>
      </c>
      <c r="KB44" s="675">
        <v>0</v>
      </c>
      <c r="KC44" s="675">
        <v>0</v>
      </c>
      <c r="KD44" s="675">
        <v>0</v>
      </c>
      <c r="KE44" s="675">
        <v>7260</v>
      </c>
      <c r="KF44" s="675">
        <v>0</v>
      </c>
      <c r="KG44" s="675">
        <v>0</v>
      </c>
      <c r="KH44" s="675">
        <v>0</v>
      </c>
      <c r="KI44" s="675">
        <v>0</v>
      </c>
    </row>
    <row r="45" spans="1:295" ht="12.5" x14ac:dyDescent="0.25">
      <c r="A45" s="675">
        <v>35795</v>
      </c>
      <c r="B45" s="675">
        <v>15802</v>
      </c>
      <c r="C45" s="675">
        <v>9</v>
      </c>
      <c r="D45" s="675">
        <v>2022</v>
      </c>
      <c r="E45" s="675">
        <v>6160</v>
      </c>
      <c r="F45" s="675">
        <v>0</v>
      </c>
      <c r="G45" s="675">
        <v>593.04700000000003</v>
      </c>
      <c r="H45" s="675">
        <v>553.59500000000003</v>
      </c>
      <c r="I45" s="675">
        <v>553.59500000000003</v>
      </c>
      <c r="J45" s="675">
        <v>593.04700000000003</v>
      </c>
      <c r="K45" s="675">
        <v>0</v>
      </c>
      <c r="L45" s="675">
        <v>6160</v>
      </c>
      <c r="M45" s="675">
        <v>0</v>
      </c>
      <c r="N45" s="675">
        <v>0</v>
      </c>
      <c r="O45" s="675">
        <v>0</v>
      </c>
      <c r="P45" s="675">
        <v>672.71800000000007</v>
      </c>
      <c r="Q45" s="675">
        <v>0</v>
      </c>
      <c r="R45" s="675">
        <v>270721</v>
      </c>
      <c r="S45" s="675">
        <v>402.428</v>
      </c>
      <c r="T45" s="675">
        <v>0</v>
      </c>
      <c r="U45" s="675">
        <v>143961</v>
      </c>
      <c r="V45" s="675">
        <v>76.152000000000001</v>
      </c>
      <c r="W45" s="675">
        <v>75648</v>
      </c>
      <c r="X45" s="675">
        <v>75648</v>
      </c>
      <c r="Y45" s="675">
        <v>0</v>
      </c>
      <c r="Z45" s="675">
        <v>0</v>
      </c>
      <c r="AA45" s="675">
        <v>0</v>
      </c>
      <c r="AB45" s="675">
        <v>0</v>
      </c>
      <c r="AC45" s="675">
        <v>0</v>
      </c>
      <c r="AD45" s="675" t="s">
        <v>316</v>
      </c>
      <c r="AE45" s="675">
        <v>0</v>
      </c>
      <c r="AF45" s="675">
        <v>0</v>
      </c>
      <c r="AG45" s="675">
        <v>0</v>
      </c>
      <c r="AH45" s="675">
        <v>0</v>
      </c>
      <c r="AI45" s="675">
        <v>0</v>
      </c>
      <c r="AJ45" s="675">
        <v>6160</v>
      </c>
      <c r="AK45" s="675" t="s">
        <v>671</v>
      </c>
      <c r="AL45" s="675" t="s">
        <v>56</v>
      </c>
      <c r="AM45" s="675">
        <v>0</v>
      </c>
      <c r="AN45" s="675">
        <v>0</v>
      </c>
      <c r="AO45" s="675">
        <v>0</v>
      </c>
      <c r="AP45" s="675">
        <v>0</v>
      </c>
      <c r="AQ45" s="675">
        <v>0</v>
      </c>
      <c r="AR45" s="675">
        <v>0</v>
      </c>
      <c r="AS45" s="675">
        <v>0</v>
      </c>
      <c r="AT45" s="675">
        <v>0</v>
      </c>
      <c r="AU45" s="675">
        <v>0</v>
      </c>
      <c r="AV45" s="675">
        <v>-47744</v>
      </c>
      <c r="AW45" s="675">
        <v>6973751</v>
      </c>
      <c r="AX45" s="675">
        <v>6789529</v>
      </c>
      <c r="AY45" s="675">
        <v>4887994</v>
      </c>
      <c r="AZ45" s="675">
        <v>270721</v>
      </c>
      <c r="BA45" s="675">
        <v>0</v>
      </c>
      <c r="BB45" s="675">
        <v>5821</v>
      </c>
      <c r="BC45" s="675">
        <v>5783</v>
      </c>
      <c r="BD45" s="675">
        <v>13.5</v>
      </c>
      <c r="BE45" s="675">
        <v>38</v>
      </c>
      <c r="BF45" s="675">
        <v>6241841</v>
      </c>
      <c r="BG45" s="675">
        <v>0</v>
      </c>
      <c r="BH45" s="675">
        <v>0</v>
      </c>
      <c r="BI45" s="675">
        <v>0</v>
      </c>
      <c r="BJ45" s="675">
        <v>12</v>
      </c>
      <c r="BK45" s="675">
        <v>0</v>
      </c>
      <c r="BL45" s="675">
        <v>0</v>
      </c>
      <c r="BM45" s="675">
        <v>0</v>
      </c>
      <c r="BN45" s="675">
        <v>0</v>
      </c>
      <c r="BO45" s="675">
        <v>0</v>
      </c>
      <c r="BP45" s="675">
        <v>0</v>
      </c>
      <c r="BQ45" s="675">
        <v>685</v>
      </c>
      <c r="BR45" s="675">
        <v>0</v>
      </c>
      <c r="BS45" s="675">
        <v>0</v>
      </c>
      <c r="BT45" s="675">
        <v>0</v>
      </c>
      <c r="BU45" s="675">
        <v>0</v>
      </c>
      <c r="BV45" s="675">
        <v>0</v>
      </c>
      <c r="BW45" s="675">
        <v>0</v>
      </c>
      <c r="BX45" s="675">
        <v>0</v>
      </c>
      <c r="BY45" s="675">
        <v>0</v>
      </c>
      <c r="BZ45" s="675">
        <v>0</v>
      </c>
      <c r="CA45" s="675">
        <v>0</v>
      </c>
      <c r="CB45" s="675">
        <v>0</v>
      </c>
      <c r="CC45" s="675">
        <v>0</v>
      </c>
      <c r="CD45" s="675">
        <v>0</v>
      </c>
      <c r="CE45" s="675">
        <v>0</v>
      </c>
      <c r="CF45" s="675">
        <v>0</v>
      </c>
      <c r="CG45" s="675">
        <v>0</v>
      </c>
      <c r="CH45" s="675">
        <v>186758</v>
      </c>
      <c r="CI45" s="675">
        <v>0</v>
      </c>
      <c r="CJ45" s="675">
        <v>4</v>
      </c>
      <c r="CK45" s="675">
        <v>0</v>
      </c>
      <c r="CL45" s="675">
        <v>0</v>
      </c>
      <c r="CM45" s="675">
        <v>0</v>
      </c>
      <c r="CN45" s="675">
        <v>0</v>
      </c>
      <c r="CO45" s="675">
        <v>1</v>
      </c>
      <c r="CP45" s="675">
        <v>0</v>
      </c>
      <c r="CQ45" s="675">
        <v>0</v>
      </c>
      <c r="CR45" s="675">
        <v>708.346</v>
      </c>
      <c r="CS45" s="675">
        <v>0</v>
      </c>
      <c r="CT45" s="675">
        <v>0</v>
      </c>
      <c r="CU45" s="675">
        <v>0</v>
      </c>
      <c r="CV45" s="675">
        <v>0</v>
      </c>
      <c r="CW45" s="675">
        <v>0</v>
      </c>
      <c r="CX45" s="675">
        <v>0</v>
      </c>
      <c r="CY45" s="675">
        <v>0</v>
      </c>
      <c r="CZ45" s="675">
        <v>0</v>
      </c>
      <c r="DA45" s="675">
        <v>0</v>
      </c>
      <c r="DB45" s="675">
        <v>3410129</v>
      </c>
      <c r="DC45" s="675">
        <v>0</v>
      </c>
      <c r="DD45" s="675">
        <v>0</v>
      </c>
      <c r="DE45" s="675">
        <v>1076609</v>
      </c>
      <c r="DF45" s="675">
        <v>1076609</v>
      </c>
      <c r="DG45" s="675">
        <v>174.77500000000001</v>
      </c>
      <c r="DH45" s="675">
        <v>0</v>
      </c>
      <c r="DI45" s="675">
        <v>0</v>
      </c>
      <c r="DJ45" s="675">
        <v>0</v>
      </c>
      <c r="DK45" s="675">
        <v>2578</v>
      </c>
      <c r="DL45" s="675">
        <v>0</v>
      </c>
      <c r="DM45" s="675">
        <v>655866</v>
      </c>
      <c r="DN45" s="675">
        <v>2498</v>
      </c>
      <c r="DO45" s="675">
        <v>0</v>
      </c>
      <c r="DP45" s="675">
        <v>0</v>
      </c>
      <c r="DQ45" s="675">
        <v>0</v>
      </c>
      <c r="DR45" s="675">
        <v>0</v>
      </c>
      <c r="DS45" s="675">
        <v>0</v>
      </c>
      <c r="DT45" s="675">
        <v>0</v>
      </c>
      <c r="DU45" s="675">
        <v>0</v>
      </c>
      <c r="DV45" s="675">
        <v>0</v>
      </c>
      <c r="DW45" s="675">
        <v>0</v>
      </c>
      <c r="DX45" s="675">
        <v>0</v>
      </c>
      <c r="DY45" s="675">
        <v>0</v>
      </c>
      <c r="DZ45" s="675">
        <v>0</v>
      </c>
      <c r="EA45" s="675">
        <v>0</v>
      </c>
      <c r="EB45" s="675">
        <v>0</v>
      </c>
      <c r="EC45" s="675">
        <v>33.758000000000003</v>
      </c>
      <c r="ED45" s="675">
        <v>239141</v>
      </c>
      <c r="EE45" s="675">
        <v>0</v>
      </c>
      <c r="EF45" s="675">
        <v>0</v>
      </c>
      <c r="EG45" s="675">
        <v>0</v>
      </c>
      <c r="EH45" s="675">
        <v>412053</v>
      </c>
      <c r="EI45" s="675">
        <v>7170</v>
      </c>
      <c r="EJ45" s="675">
        <v>0.29100000000000004</v>
      </c>
      <c r="EK45" s="675">
        <v>20.034000000000002</v>
      </c>
      <c r="EL45" s="675">
        <v>0</v>
      </c>
      <c r="EM45" s="675">
        <v>0</v>
      </c>
      <c r="EN45" s="675">
        <v>1.3580000000000001</v>
      </c>
      <c r="EO45" s="675">
        <v>0</v>
      </c>
      <c r="EP45" s="675">
        <v>0</v>
      </c>
      <c r="EQ45" s="675">
        <v>21.683</v>
      </c>
      <c r="ER45" s="675">
        <v>0</v>
      </c>
      <c r="ES45" s="675">
        <v>66.89200000000001</v>
      </c>
      <c r="ET45" s="675">
        <v>0</v>
      </c>
      <c r="EU45" s="675">
        <v>0</v>
      </c>
      <c r="EV45" s="675">
        <v>0</v>
      </c>
      <c r="EW45" s="675">
        <v>0</v>
      </c>
      <c r="EX45" s="675">
        <v>0</v>
      </c>
      <c r="EY45" s="675">
        <v>0</v>
      </c>
      <c r="EZ45" s="675">
        <v>6023282</v>
      </c>
      <c r="FA45" s="675">
        <v>0</v>
      </c>
      <c r="FB45" s="675">
        <v>6291467</v>
      </c>
      <c r="FC45" s="675">
        <v>0</v>
      </c>
      <c r="FD45" s="675">
        <v>0</v>
      </c>
      <c r="FE45" s="675">
        <v>634923</v>
      </c>
      <c r="FF45" s="675">
        <v>131324</v>
      </c>
      <c r="FG45" s="675">
        <v>6.3574999999999993E-2</v>
      </c>
      <c r="FH45" s="675">
        <v>2.6298999999999999E-2</v>
      </c>
      <c r="FI45" s="675">
        <v>0</v>
      </c>
      <c r="FJ45" s="675">
        <v>0</v>
      </c>
      <c r="FK45" s="675">
        <v>1013.2910000000001</v>
      </c>
      <c r="FL45" s="675">
        <v>7244472</v>
      </c>
      <c r="FM45" s="675">
        <v>0</v>
      </c>
      <c r="FN45" s="675">
        <v>0</v>
      </c>
      <c r="FO45" s="675">
        <v>49685</v>
      </c>
      <c r="FP45" s="675">
        <v>0</v>
      </c>
      <c r="FQ45" s="675">
        <v>49685</v>
      </c>
      <c r="FR45" s="675">
        <v>49685</v>
      </c>
      <c r="FS45" s="675">
        <v>0</v>
      </c>
      <c r="FT45" s="675">
        <v>0</v>
      </c>
      <c r="FU45" s="675">
        <v>0</v>
      </c>
      <c r="FV45" s="675">
        <v>0</v>
      </c>
      <c r="FW45" s="675">
        <v>0</v>
      </c>
      <c r="FX45" s="675">
        <v>0</v>
      </c>
      <c r="FY45" s="675">
        <v>0</v>
      </c>
      <c r="FZ45" s="675">
        <v>0</v>
      </c>
      <c r="GA45" s="675">
        <v>0</v>
      </c>
      <c r="GB45" s="675">
        <v>165561</v>
      </c>
      <c r="GC45" s="675">
        <v>165561</v>
      </c>
      <c r="GD45" s="675">
        <v>17.769000000000002</v>
      </c>
      <c r="GE45" s="675">
        <v>0</v>
      </c>
      <c r="GF45" s="675">
        <v>0</v>
      </c>
      <c r="GG45" s="675">
        <v>0</v>
      </c>
      <c r="GH45" s="675">
        <v>0</v>
      </c>
      <c r="GI45" s="675">
        <v>0</v>
      </c>
      <c r="GJ45" s="675">
        <v>0</v>
      </c>
      <c r="GK45" s="675">
        <v>0</v>
      </c>
      <c r="GL45" s="675">
        <v>0</v>
      </c>
      <c r="GM45" s="675">
        <v>0</v>
      </c>
      <c r="GN45" s="675">
        <v>0</v>
      </c>
      <c r="GO45" s="675">
        <v>0</v>
      </c>
      <c r="GP45" s="675">
        <v>0</v>
      </c>
      <c r="GQ45" s="675">
        <v>0</v>
      </c>
      <c r="GR45" s="675">
        <v>0</v>
      </c>
      <c r="GS45" s="675">
        <v>0</v>
      </c>
      <c r="GT45" s="675">
        <v>0</v>
      </c>
      <c r="GU45" s="675">
        <v>0</v>
      </c>
      <c r="GV45" s="675">
        <v>0</v>
      </c>
      <c r="GW45" s="675">
        <v>0</v>
      </c>
      <c r="GX45" s="675">
        <v>0</v>
      </c>
      <c r="GY45" s="675">
        <v>0</v>
      </c>
      <c r="GZ45" s="675">
        <v>0</v>
      </c>
      <c r="HA45" s="675">
        <v>0</v>
      </c>
      <c r="HB45" s="675">
        <v>0</v>
      </c>
      <c r="HC45" s="675">
        <v>4.5690999999999996E-2</v>
      </c>
      <c r="HD45" s="675">
        <v>0</v>
      </c>
      <c r="HE45" s="675">
        <v>0</v>
      </c>
      <c r="HF45" s="675">
        <v>608955</v>
      </c>
      <c r="HG45" s="675">
        <v>9240</v>
      </c>
      <c r="HH45" s="675">
        <v>155550</v>
      </c>
      <c r="HI45" s="675">
        <v>0</v>
      </c>
      <c r="HJ45" s="675">
        <v>5764</v>
      </c>
      <c r="HK45" s="675">
        <v>1386</v>
      </c>
      <c r="HL45" s="675">
        <v>1091</v>
      </c>
      <c r="HM45" s="675">
        <v>0</v>
      </c>
      <c r="HN45" s="675">
        <v>0</v>
      </c>
      <c r="HO45" s="675">
        <v>70200</v>
      </c>
      <c r="HP45" s="675">
        <v>0</v>
      </c>
      <c r="HQ45" s="675">
        <v>0</v>
      </c>
      <c r="HR45" s="675">
        <v>0</v>
      </c>
      <c r="HS45" s="675">
        <v>6020746</v>
      </c>
      <c r="HT45" s="675">
        <v>131324</v>
      </c>
      <c r="HU45" s="675">
        <v>0</v>
      </c>
      <c r="HV45" s="675">
        <v>0</v>
      </c>
      <c r="HW45" s="675">
        <v>0</v>
      </c>
      <c r="HX45" s="675">
        <v>25</v>
      </c>
      <c r="HY45" s="675">
        <v>108</v>
      </c>
      <c r="HZ45" s="675">
        <v>147</v>
      </c>
      <c r="IA45" s="675">
        <v>106</v>
      </c>
      <c r="IB45" s="675">
        <v>287</v>
      </c>
      <c r="IC45" s="675">
        <v>673</v>
      </c>
      <c r="ID45" s="675">
        <v>0</v>
      </c>
      <c r="IE45" s="675">
        <v>28.588000000000001</v>
      </c>
      <c r="IF45" s="675">
        <v>7.5449999999999999</v>
      </c>
      <c r="IG45" s="675">
        <v>15</v>
      </c>
      <c r="IH45" s="675">
        <v>252.518</v>
      </c>
      <c r="II45" s="675">
        <v>0</v>
      </c>
      <c r="IJ45" s="675">
        <v>112.28500000000001</v>
      </c>
      <c r="IK45" s="675">
        <v>0</v>
      </c>
      <c r="IL45" s="675">
        <v>0</v>
      </c>
      <c r="IM45" s="675">
        <v>0</v>
      </c>
      <c r="IN45" s="675">
        <v>0</v>
      </c>
      <c r="IO45" s="675">
        <v>0</v>
      </c>
      <c r="IP45" s="675">
        <v>0</v>
      </c>
      <c r="IQ45" s="675">
        <v>76.152000000000001</v>
      </c>
      <c r="IR45" s="675">
        <v>46909</v>
      </c>
      <c r="IS45" s="675">
        <v>0</v>
      </c>
      <c r="IT45" s="675">
        <v>0</v>
      </c>
      <c r="IU45" s="675">
        <v>0</v>
      </c>
      <c r="IV45" s="675">
        <v>0</v>
      </c>
      <c r="IW45" s="675">
        <v>6160</v>
      </c>
      <c r="IX45" s="675">
        <v>26415</v>
      </c>
      <c r="IY45" s="675">
        <v>2324</v>
      </c>
      <c r="IZ45" s="675">
        <v>0</v>
      </c>
      <c r="JA45" s="675">
        <v>0</v>
      </c>
      <c r="JB45" s="675">
        <v>0</v>
      </c>
      <c r="JC45" s="675">
        <v>0</v>
      </c>
      <c r="JD45" s="675">
        <v>0</v>
      </c>
      <c r="JE45" s="675">
        <v>0</v>
      </c>
      <c r="JF45" s="675">
        <v>0</v>
      </c>
      <c r="JG45" s="675">
        <v>0</v>
      </c>
      <c r="JH45" s="675">
        <v>0</v>
      </c>
      <c r="JI45" s="675">
        <v>0</v>
      </c>
      <c r="JJ45" s="675">
        <v>0</v>
      </c>
      <c r="JK45" s="675">
        <v>0</v>
      </c>
      <c r="JL45" s="675">
        <v>0</v>
      </c>
      <c r="JM45" s="675">
        <v>0</v>
      </c>
      <c r="JN45" s="675">
        <v>32469</v>
      </c>
      <c r="JO45" s="675">
        <v>0</v>
      </c>
      <c r="JP45" s="675">
        <v>17.452000000000002</v>
      </c>
      <c r="JQ45" s="675">
        <v>0.317</v>
      </c>
      <c r="JR45" s="675">
        <v>0</v>
      </c>
      <c r="JS45" s="675">
        <v>162178</v>
      </c>
      <c r="JT45" s="675">
        <v>3383</v>
      </c>
      <c r="JU45" s="675">
        <v>5821</v>
      </c>
      <c r="JV45" s="675">
        <v>0</v>
      </c>
      <c r="JW45" s="675">
        <v>0</v>
      </c>
      <c r="JX45" s="675">
        <v>0</v>
      </c>
      <c r="JY45" s="675">
        <v>0</v>
      </c>
      <c r="JZ45" s="675">
        <v>0</v>
      </c>
      <c r="KA45" s="675">
        <v>0</v>
      </c>
      <c r="KB45" s="675">
        <v>0</v>
      </c>
      <c r="KC45" s="675">
        <v>0</v>
      </c>
      <c r="KD45" s="675">
        <v>5821</v>
      </c>
      <c r="KE45" s="675">
        <v>7260</v>
      </c>
      <c r="KF45" s="675">
        <v>186758</v>
      </c>
      <c r="KG45" s="675">
        <v>0</v>
      </c>
      <c r="KH45" s="675">
        <v>0</v>
      </c>
      <c r="KI45" s="675">
        <v>0</v>
      </c>
    </row>
    <row r="46" spans="1:295" ht="12.5" x14ac:dyDescent="0.25">
      <c r="A46" s="675">
        <v>35795</v>
      </c>
      <c r="B46" s="675">
        <v>43802</v>
      </c>
      <c r="C46" s="675">
        <v>9</v>
      </c>
      <c r="D46" s="675">
        <v>2022</v>
      </c>
      <c r="E46" s="675">
        <v>6160</v>
      </c>
      <c r="F46" s="675">
        <v>0</v>
      </c>
      <c r="G46" s="675">
        <v>147.78300000000002</v>
      </c>
      <c r="H46" s="675">
        <v>146.43800000000002</v>
      </c>
      <c r="I46" s="675">
        <v>146.43800000000002</v>
      </c>
      <c r="J46" s="675">
        <v>147.78300000000002</v>
      </c>
      <c r="K46" s="675">
        <v>0</v>
      </c>
      <c r="L46" s="675">
        <v>6160</v>
      </c>
      <c r="M46" s="675">
        <v>0</v>
      </c>
      <c r="N46" s="675">
        <v>0</v>
      </c>
      <c r="O46" s="675">
        <v>0</v>
      </c>
      <c r="P46" s="675">
        <v>193.47300000000001</v>
      </c>
      <c r="Q46" s="675">
        <v>0</v>
      </c>
      <c r="R46" s="675">
        <v>77859</v>
      </c>
      <c r="S46" s="675">
        <v>402.428</v>
      </c>
      <c r="T46" s="675">
        <v>0</v>
      </c>
      <c r="U46" s="675">
        <v>41404</v>
      </c>
      <c r="V46" s="675">
        <v>20.593</v>
      </c>
      <c r="W46" s="675">
        <v>12685</v>
      </c>
      <c r="X46" s="675">
        <v>12685</v>
      </c>
      <c r="Y46" s="675">
        <v>0</v>
      </c>
      <c r="Z46" s="675">
        <v>0</v>
      </c>
      <c r="AA46" s="675">
        <v>0</v>
      </c>
      <c r="AB46" s="675">
        <v>0</v>
      </c>
      <c r="AC46" s="675">
        <v>0</v>
      </c>
      <c r="AD46" s="675" t="s">
        <v>316</v>
      </c>
      <c r="AE46" s="675">
        <v>0</v>
      </c>
      <c r="AF46" s="675">
        <v>0</v>
      </c>
      <c r="AG46" s="675">
        <v>0</v>
      </c>
      <c r="AH46" s="675">
        <v>0</v>
      </c>
      <c r="AI46" s="675">
        <v>0</v>
      </c>
      <c r="AJ46" s="675">
        <v>6160</v>
      </c>
      <c r="AK46" s="675" t="s">
        <v>671</v>
      </c>
      <c r="AL46" s="675" t="s">
        <v>446</v>
      </c>
      <c r="AM46" s="675">
        <v>0</v>
      </c>
      <c r="AN46" s="675">
        <v>0</v>
      </c>
      <c r="AO46" s="675">
        <v>0</v>
      </c>
      <c r="AP46" s="675">
        <v>0</v>
      </c>
      <c r="AQ46" s="675">
        <v>0</v>
      </c>
      <c r="AR46" s="675">
        <v>0</v>
      </c>
      <c r="AS46" s="675">
        <v>0</v>
      </c>
      <c r="AT46" s="675">
        <v>0</v>
      </c>
      <c r="AU46" s="675">
        <v>0</v>
      </c>
      <c r="AV46" s="675">
        <v>0</v>
      </c>
      <c r="AW46" s="675">
        <v>1214452</v>
      </c>
      <c r="AX46" s="675">
        <v>1187573</v>
      </c>
      <c r="AY46" s="675">
        <v>998944</v>
      </c>
      <c r="AZ46" s="675">
        <v>77859</v>
      </c>
      <c r="BA46" s="675">
        <v>0</v>
      </c>
      <c r="BB46" s="675">
        <v>0</v>
      </c>
      <c r="BC46" s="675">
        <v>0</v>
      </c>
      <c r="BD46" s="675">
        <v>0</v>
      </c>
      <c r="BE46" s="675">
        <v>0</v>
      </c>
      <c r="BF46" s="675">
        <v>1127073</v>
      </c>
      <c r="BG46" s="675">
        <v>0</v>
      </c>
      <c r="BH46" s="675">
        <v>0</v>
      </c>
      <c r="BI46" s="675">
        <v>0</v>
      </c>
      <c r="BJ46" s="675">
        <v>12</v>
      </c>
      <c r="BK46" s="675">
        <v>0</v>
      </c>
      <c r="BL46" s="675">
        <v>0</v>
      </c>
      <c r="BM46" s="675">
        <v>0</v>
      </c>
      <c r="BN46" s="675">
        <v>0</v>
      </c>
      <c r="BO46" s="675">
        <v>0</v>
      </c>
      <c r="BP46" s="675">
        <v>0</v>
      </c>
      <c r="BQ46" s="675">
        <v>747</v>
      </c>
      <c r="BR46" s="675">
        <v>0</v>
      </c>
      <c r="BS46" s="675">
        <v>0</v>
      </c>
      <c r="BT46" s="675">
        <v>0</v>
      </c>
      <c r="BU46" s="675">
        <v>0</v>
      </c>
      <c r="BV46" s="675">
        <v>0</v>
      </c>
      <c r="BW46" s="675">
        <v>0</v>
      </c>
      <c r="BX46" s="675">
        <v>0</v>
      </c>
      <c r="BY46" s="675">
        <v>0</v>
      </c>
      <c r="BZ46" s="675">
        <v>0</v>
      </c>
      <c r="CA46" s="675">
        <v>0</v>
      </c>
      <c r="CB46" s="675">
        <v>0</v>
      </c>
      <c r="CC46" s="675">
        <v>0</v>
      </c>
      <c r="CD46" s="675">
        <v>0</v>
      </c>
      <c r="CE46" s="675">
        <v>0</v>
      </c>
      <c r="CF46" s="675">
        <v>0</v>
      </c>
      <c r="CG46" s="675">
        <v>0</v>
      </c>
      <c r="CH46" s="675">
        <v>27009</v>
      </c>
      <c r="CI46" s="675">
        <v>0</v>
      </c>
      <c r="CJ46" s="675">
        <v>5</v>
      </c>
      <c r="CK46" s="675">
        <v>0</v>
      </c>
      <c r="CL46" s="675">
        <v>0</v>
      </c>
      <c r="CM46" s="675">
        <v>0</v>
      </c>
      <c r="CN46" s="675">
        <v>0</v>
      </c>
      <c r="CO46" s="675">
        <v>1</v>
      </c>
      <c r="CP46" s="675">
        <v>0</v>
      </c>
      <c r="CQ46" s="675">
        <v>0</v>
      </c>
      <c r="CR46" s="675">
        <v>258.72899999999998</v>
      </c>
      <c r="CS46" s="675">
        <v>0</v>
      </c>
      <c r="CT46" s="675">
        <v>0</v>
      </c>
      <c r="CU46" s="675">
        <v>0</v>
      </c>
      <c r="CV46" s="675">
        <v>0</v>
      </c>
      <c r="CW46" s="675">
        <v>0</v>
      </c>
      <c r="CX46" s="675">
        <v>0</v>
      </c>
      <c r="CY46" s="675">
        <v>0</v>
      </c>
      <c r="CZ46" s="675">
        <v>0</v>
      </c>
      <c r="DA46" s="675">
        <v>0</v>
      </c>
      <c r="DB46" s="675">
        <v>856163</v>
      </c>
      <c r="DC46" s="675">
        <v>0</v>
      </c>
      <c r="DD46" s="675">
        <v>0</v>
      </c>
      <c r="DE46" s="675">
        <v>4158</v>
      </c>
      <c r="DF46" s="675">
        <v>4158</v>
      </c>
      <c r="DG46" s="675">
        <v>0.67500000000000004</v>
      </c>
      <c r="DH46" s="675">
        <v>0</v>
      </c>
      <c r="DI46" s="675">
        <v>0</v>
      </c>
      <c r="DJ46" s="675">
        <v>0</v>
      </c>
      <c r="DK46" s="675">
        <v>3582</v>
      </c>
      <c r="DL46" s="675">
        <v>0</v>
      </c>
      <c r="DM46" s="675">
        <v>80082</v>
      </c>
      <c r="DN46" s="675">
        <v>130</v>
      </c>
      <c r="DO46" s="675">
        <v>0</v>
      </c>
      <c r="DP46" s="675">
        <v>0</v>
      </c>
      <c r="DQ46" s="675">
        <v>0</v>
      </c>
      <c r="DR46" s="675">
        <v>0</v>
      </c>
      <c r="DS46" s="675">
        <v>0</v>
      </c>
      <c r="DT46" s="675">
        <v>0</v>
      </c>
      <c r="DU46" s="675">
        <v>0</v>
      </c>
      <c r="DV46" s="675">
        <v>0</v>
      </c>
      <c r="DW46" s="675">
        <v>0</v>
      </c>
      <c r="DX46" s="675">
        <v>0</v>
      </c>
      <c r="DY46" s="675">
        <v>0</v>
      </c>
      <c r="DZ46" s="675">
        <v>0</v>
      </c>
      <c r="EA46" s="675">
        <v>0</v>
      </c>
      <c r="EB46" s="675">
        <v>0</v>
      </c>
      <c r="EC46" s="675">
        <v>0.8580000000000001</v>
      </c>
      <c r="ED46" s="675">
        <v>6078</v>
      </c>
      <c r="EE46" s="675">
        <v>0</v>
      </c>
      <c r="EF46" s="675">
        <v>0</v>
      </c>
      <c r="EG46" s="675">
        <v>0</v>
      </c>
      <c r="EH46" s="675">
        <v>28243</v>
      </c>
      <c r="EI46" s="675">
        <v>0</v>
      </c>
      <c r="EJ46" s="675">
        <v>0</v>
      </c>
      <c r="EK46" s="675">
        <v>1.07</v>
      </c>
      <c r="EL46" s="675">
        <v>0</v>
      </c>
      <c r="EM46" s="675">
        <v>0</v>
      </c>
      <c r="EN46" s="675">
        <v>0.27500000000000002</v>
      </c>
      <c r="EO46" s="675">
        <v>0</v>
      </c>
      <c r="EP46" s="675">
        <v>0</v>
      </c>
      <c r="EQ46" s="675">
        <v>1.345</v>
      </c>
      <c r="ER46" s="675">
        <v>0</v>
      </c>
      <c r="ES46" s="675">
        <v>4.585</v>
      </c>
      <c r="ET46" s="675">
        <v>0</v>
      </c>
      <c r="EU46" s="675">
        <v>0</v>
      </c>
      <c r="EV46" s="675">
        <v>0</v>
      </c>
      <c r="EW46" s="675">
        <v>0</v>
      </c>
      <c r="EX46" s="675">
        <v>0</v>
      </c>
      <c r="EY46" s="675">
        <v>0</v>
      </c>
      <c r="EZ46" s="675">
        <v>1049214</v>
      </c>
      <c r="FA46" s="675">
        <v>0</v>
      </c>
      <c r="FB46" s="675">
        <v>1126943</v>
      </c>
      <c r="FC46" s="675">
        <v>0</v>
      </c>
      <c r="FD46" s="675">
        <v>0</v>
      </c>
      <c r="FE46" s="675">
        <v>114646</v>
      </c>
      <c r="FF46" s="675">
        <v>23713</v>
      </c>
      <c r="FG46" s="675">
        <v>6.3574999999999993E-2</v>
      </c>
      <c r="FH46" s="675">
        <v>2.6298999999999999E-2</v>
      </c>
      <c r="FI46" s="675">
        <v>0</v>
      </c>
      <c r="FJ46" s="675">
        <v>0</v>
      </c>
      <c r="FK46" s="675">
        <v>182.96700000000001</v>
      </c>
      <c r="FL46" s="675">
        <v>1292311</v>
      </c>
      <c r="FM46" s="675">
        <v>0</v>
      </c>
      <c r="FN46" s="675">
        <v>0</v>
      </c>
      <c r="FO46" s="675">
        <v>0</v>
      </c>
      <c r="FP46" s="675">
        <v>0</v>
      </c>
      <c r="FQ46" s="675">
        <v>0</v>
      </c>
      <c r="FR46" s="675">
        <v>0</v>
      </c>
      <c r="FS46" s="675">
        <v>0</v>
      </c>
      <c r="FT46" s="675">
        <v>0</v>
      </c>
      <c r="FU46" s="675">
        <v>0</v>
      </c>
      <c r="FV46" s="675">
        <v>0</v>
      </c>
      <c r="FW46" s="675">
        <v>0</v>
      </c>
      <c r="FX46" s="675">
        <v>0</v>
      </c>
      <c r="FY46" s="675">
        <v>0</v>
      </c>
      <c r="FZ46" s="675">
        <v>0</v>
      </c>
      <c r="GA46" s="675">
        <v>0</v>
      </c>
      <c r="GB46" s="675">
        <v>0</v>
      </c>
      <c r="GC46" s="675">
        <v>0</v>
      </c>
      <c r="GD46" s="675">
        <v>0</v>
      </c>
      <c r="GE46" s="675">
        <v>0</v>
      </c>
      <c r="GF46" s="675">
        <v>0</v>
      </c>
      <c r="GG46" s="675">
        <v>0</v>
      </c>
      <c r="GH46" s="675">
        <v>0</v>
      </c>
      <c r="GI46" s="675">
        <v>0</v>
      </c>
      <c r="GJ46" s="675">
        <v>0</v>
      </c>
      <c r="GK46" s="675">
        <v>0</v>
      </c>
      <c r="GL46" s="675">
        <v>0</v>
      </c>
      <c r="GM46" s="675">
        <v>0</v>
      </c>
      <c r="GN46" s="675">
        <v>0</v>
      </c>
      <c r="GO46" s="675">
        <v>0</v>
      </c>
      <c r="GP46" s="675">
        <v>0</v>
      </c>
      <c r="GQ46" s="675">
        <v>0</v>
      </c>
      <c r="GR46" s="675">
        <v>0</v>
      </c>
      <c r="GS46" s="675">
        <v>0</v>
      </c>
      <c r="GT46" s="675">
        <v>0</v>
      </c>
      <c r="GU46" s="675">
        <v>0</v>
      </c>
      <c r="GV46" s="675">
        <v>0</v>
      </c>
      <c r="GW46" s="675">
        <v>0</v>
      </c>
      <c r="GX46" s="675">
        <v>0</v>
      </c>
      <c r="GY46" s="675">
        <v>0</v>
      </c>
      <c r="GZ46" s="675">
        <v>0</v>
      </c>
      <c r="HA46" s="675">
        <v>0</v>
      </c>
      <c r="HB46" s="675">
        <v>298386780</v>
      </c>
      <c r="HC46" s="675">
        <v>4.5690999999999996E-2</v>
      </c>
      <c r="HD46" s="675">
        <v>27009</v>
      </c>
      <c r="HE46" s="675">
        <v>0</v>
      </c>
      <c r="HF46" s="675">
        <v>161082</v>
      </c>
      <c r="HG46" s="675">
        <v>924</v>
      </c>
      <c r="HH46" s="675">
        <v>10413</v>
      </c>
      <c r="HI46" s="675">
        <v>0</v>
      </c>
      <c r="HJ46" s="675">
        <v>1436</v>
      </c>
      <c r="HK46" s="675">
        <v>0</v>
      </c>
      <c r="HL46" s="675">
        <v>0</v>
      </c>
      <c r="HM46" s="675">
        <v>0</v>
      </c>
      <c r="HN46" s="675">
        <v>0</v>
      </c>
      <c r="HO46" s="675">
        <v>0</v>
      </c>
      <c r="HP46" s="675">
        <v>0</v>
      </c>
      <c r="HQ46" s="675">
        <v>0</v>
      </c>
      <c r="HR46" s="675">
        <v>0</v>
      </c>
      <c r="HS46" s="675">
        <v>1049084</v>
      </c>
      <c r="HT46" s="675">
        <v>23713</v>
      </c>
      <c r="HU46" s="675">
        <v>0</v>
      </c>
      <c r="HV46" s="675">
        <v>0</v>
      </c>
      <c r="HW46" s="675">
        <v>0</v>
      </c>
      <c r="HX46" s="675">
        <v>3</v>
      </c>
      <c r="HY46" s="675">
        <v>0</v>
      </c>
      <c r="HZ46" s="675">
        <v>0</v>
      </c>
      <c r="IA46" s="675">
        <v>0</v>
      </c>
      <c r="IB46" s="675">
        <v>0</v>
      </c>
      <c r="IC46" s="675">
        <v>3</v>
      </c>
      <c r="ID46" s="675">
        <v>0</v>
      </c>
      <c r="IE46" s="675">
        <v>0</v>
      </c>
      <c r="IF46" s="675">
        <v>0</v>
      </c>
      <c r="IG46" s="675">
        <v>1.5</v>
      </c>
      <c r="IH46" s="675">
        <v>16.905000000000001</v>
      </c>
      <c r="II46" s="675">
        <v>0</v>
      </c>
      <c r="IJ46" s="675">
        <v>20.593</v>
      </c>
      <c r="IK46" s="675">
        <v>0</v>
      </c>
      <c r="IL46" s="675">
        <v>0</v>
      </c>
      <c r="IM46" s="675">
        <v>0</v>
      </c>
      <c r="IN46" s="675">
        <v>0</v>
      </c>
      <c r="IO46" s="675">
        <v>0</v>
      </c>
      <c r="IP46" s="675">
        <v>0</v>
      </c>
      <c r="IQ46" s="675">
        <v>20.593</v>
      </c>
      <c r="IR46" s="675">
        <v>12685</v>
      </c>
      <c r="IS46" s="675">
        <v>0</v>
      </c>
      <c r="IT46" s="675">
        <v>0</v>
      </c>
      <c r="IU46" s="675">
        <v>0</v>
      </c>
      <c r="IV46" s="675">
        <v>0</v>
      </c>
      <c r="IW46" s="675">
        <v>6160</v>
      </c>
      <c r="IX46" s="675">
        <v>0</v>
      </c>
      <c r="IY46" s="675">
        <v>0</v>
      </c>
      <c r="IZ46" s="675">
        <v>0</v>
      </c>
      <c r="JA46" s="675">
        <v>0</v>
      </c>
      <c r="JB46" s="675">
        <v>0</v>
      </c>
      <c r="JC46" s="675">
        <v>0</v>
      </c>
      <c r="JD46" s="675">
        <v>0</v>
      </c>
      <c r="JE46" s="675">
        <v>0</v>
      </c>
      <c r="JF46" s="675">
        <v>0</v>
      </c>
      <c r="JG46" s="675">
        <v>0</v>
      </c>
      <c r="JH46" s="675">
        <v>0</v>
      </c>
      <c r="JI46" s="675">
        <v>0</v>
      </c>
      <c r="JJ46" s="675">
        <v>0</v>
      </c>
      <c r="JK46" s="675">
        <v>0</v>
      </c>
      <c r="JL46" s="675">
        <v>0</v>
      </c>
      <c r="JM46" s="675">
        <v>0</v>
      </c>
      <c r="JN46" s="675">
        <v>32469</v>
      </c>
      <c r="JO46" s="675">
        <v>0</v>
      </c>
      <c r="JP46" s="675">
        <v>0</v>
      </c>
      <c r="JQ46" s="675">
        <v>0</v>
      </c>
      <c r="JR46" s="675">
        <v>0</v>
      </c>
      <c r="JS46" s="675">
        <v>0</v>
      </c>
      <c r="JT46" s="675">
        <v>0</v>
      </c>
      <c r="JU46" s="675">
        <v>0</v>
      </c>
      <c r="JV46" s="675">
        <v>0</v>
      </c>
      <c r="JW46" s="675">
        <v>0</v>
      </c>
      <c r="JX46" s="675">
        <v>0</v>
      </c>
      <c r="JY46" s="675">
        <v>0</v>
      </c>
      <c r="JZ46" s="675">
        <v>0</v>
      </c>
      <c r="KA46" s="675">
        <v>0</v>
      </c>
      <c r="KB46" s="675">
        <v>0</v>
      </c>
      <c r="KC46" s="675">
        <v>0</v>
      </c>
      <c r="KD46" s="675">
        <v>0</v>
      </c>
      <c r="KE46" s="675">
        <v>7260</v>
      </c>
      <c r="KF46" s="675">
        <v>0</v>
      </c>
      <c r="KG46" s="675">
        <v>0</v>
      </c>
      <c r="KH46" s="675">
        <v>0</v>
      </c>
      <c r="KI46" s="675">
        <v>0</v>
      </c>
    </row>
    <row r="47" spans="1:295" ht="12.5" x14ac:dyDescent="0.25">
      <c r="A47" s="675">
        <v>35795</v>
      </c>
      <c r="B47" s="675">
        <v>46802</v>
      </c>
      <c r="C47" s="675">
        <v>9</v>
      </c>
      <c r="D47" s="675">
        <v>2022</v>
      </c>
      <c r="E47" s="675">
        <v>6160</v>
      </c>
      <c r="F47" s="675">
        <v>0</v>
      </c>
      <c r="G47" s="675">
        <v>320.27</v>
      </c>
      <c r="H47" s="675">
        <v>196.21600000000001</v>
      </c>
      <c r="I47" s="675">
        <v>196.21600000000001</v>
      </c>
      <c r="J47" s="675">
        <v>320.27</v>
      </c>
      <c r="K47" s="675">
        <v>0</v>
      </c>
      <c r="L47" s="675">
        <v>6160</v>
      </c>
      <c r="M47" s="675">
        <v>0</v>
      </c>
      <c r="N47" s="675">
        <v>0</v>
      </c>
      <c r="O47" s="675">
        <v>0</v>
      </c>
      <c r="P47" s="675">
        <v>395.7</v>
      </c>
      <c r="Q47" s="675">
        <v>0</v>
      </c>
      <c r="R47" s="675">
        <v>159241</v>
      </c>
      <c r="S47" s="675">
        <v>402.428</v>
      </c>
      <c r="T47" s="675">
        <v>0</v>
      </c>
      <c r="U47" s="675">
        <v>84679</v>
      </c>
      <c r="V47" s="675">
        <v>15.033000000000001</v>
      </c>
      <c r="W47" s="675">
        <v>9260</v>
      </c>
      <c r="X47" s="675">
        <v>9260</v>
      </c>
      <c r="Y47" s="675">
        <v>0</v>
      </c>
      <c r="Z47" s="675">
        <v>0</v>
      </c>
      <c r="AA47" s="675">
        <v>0</v>
      </c>
      <c r="AB47" s="675">
        <v>0</v>
      </c>
      <c r="AC47" s="675">
        <v>0</v>
      </c>
      <c r="AD47" s="675" t="s">
        <v>316</v>
      </c>
      <c r="AE47" s="675">
        <v>0</v>
      </c>
      <c r="AF47" s="675">
        <v>0</v>
      </c>
      <c r="AG47" s="675">
        <v>0</v>
      </c>
      <c r="AH47" s="675">
        <v>0</v>
      </c>
      <c r="AI47" s="675">
        <v>0</v>
      </c>
      <c r="AJ47" s="675">
        <v>6160</v>
      </c>
      <c r="AK47" s="675" t="s">
        <v>671</v>
      </c>
      <c r="AL47" s="675" t="s">
        <v>42</v>
      </c>
      <c r="AM47" s="675">
        <v>0</v>
      </c>
      <c r="AN47" s="675">
        <v>0</v>
      </c>
      <c r="AO47" s="675">
        <v>0</v>
      </c>
      <c r="AP47" s="675">
        <v>0</v>
      </c>
      <c r="AQ47" s="675">
        <v>0</v>
      </c>
      <c r="AR47" s="675">
        <v>0</v>
      </c>
      <c r="AS47" s="675">
        <v>0</v>
      </c>
      <c r="AT47" s="675">
        <v>0</v>
      </c>
      <c r="AU47" s="675">
        <v>0</v>
      </c>
      <c r="AV47" s="675">
        <v>-1241</v>
      </c>
      <c r="AW47" s="675">
        <v>5584712</v>
      </c>
      <c r="AX47" s="675">
        <v>5536662</v>
      </c>
      <c r="AY47" s="675">
        <v>3876568</v>
      </c>
      <c r="AZ47" s="675">
        <v>159241</v>
      </c>
      <c r="BA47" s="675">
        <v>0</v>
      </c>
      <c r="BB47" s="675">
        <v>0</v>
      </c>
      <c r="BC47" s="675">
        <v>0</v>
      </c>
      <c r="BD47" s="675">
        <v>0</v>
      </c>
      <c r="BE47" s="675">
        <v>0</v>
      </c>
      <c r="BF47" s="675">
        <v>4891621</v>
      </c>
      <c r="BG47" s="675">
        <v>0</v>
      </c>
      <c r="BH47" s="675">
        <v>0</v>
      </c>
      <c r="BI47" s="675">
        <v>0</v>
      </c>
      <c r="BJ47" s="675">
        <v>12</v>
      </c>
      <c r="BK47" s="675">
        <v>0</v>
      </c>
      <c r="BL47" s="675">
        <v>0</v>
      </c>
      <c r="BM47" s="675">
        <v>0</v>
      </c>
      <c r="BN47" s="675">
        <v>0</v>
      </c>
      <c r="BO47" s="675">
        <v>0</v>
      </c>
      <c r="BP47" s="675">
        <v>0</v>
      </c>
      <c r="BQ47" s="675">
        <v>740</v>
      </c>
      <c r="BR47" s="675">
        <v>0</v>
      </c>
      <c r="BS47" s="675">
        <v>0</v>
      </c>
      <c r="BT47" s="675">
        <v>0</v>
      </c>
      <c r="BU47" s="675">
        <v>0</v>
      </c>
      <c r="BV47" s="675">
        <v>0</v>
      </c>
      <c r="BW47" s="675">
        <v>0</v>
      </c>
      <c r="BX47" s="675">
        <v>0</v>
      </c>
      <c r="BY47" s="675">
        <v>0</v>
      </c>
      <c r="BZ47" s="675">
        <v>0</v>
      </c>
      <c r="CA47" s="675">
        <v>0</v>
      </c>
      <c r="CB47" s="675">
        <v>0</v>
      </c>
      <c r="CC47" s="675">
        <v>0</v>
      </c>
      <c r="CD47" s="675">
        <v>0</v>
      </c>
      <c r="CE47" s="675">
        <v>0</v>
      </c>
      <c r="CF47" s="675">
        <v>0</v>
      </c>
      <c r="CG47" s="675">
        <v>0</v>
      </c>
      <c r="CH47" s="675">
        <v>58533</v>
      </c>
      <c r="CI47" s="675">
        <v>0</v>
      </c>
      <c r="CJ47" s="675">
        <v>4</v>
      </c>
      <c r="CK47" s="675">
        <v>0</v>
      </c>
      <c r="CL47" s="675">
        <v>0</v>
      </c>
      <c r="CM47" s="675">
        <v>0</v>
      </c>
      <c r="CN47" s="675">
        <v>0</v>
      </c>
      <c r="CO47" s="675">
        <v>1</v>
      </c>
      <c r="CP47" s="675">
        <v>0</v>
      </c>
      <c r="CQ47" s="675">
        <v>0</v>
      </c>
      <c r="CR47" s="675">
        <v>396.68299999999999</v>
      </c>
      <c r="CS47" s="675">
        <v>0</v>
      </c>
      <c r="CT47" s="675">
        <v>0</v>
      </c>
      <c r="CU47" s="675">
        <v>0</v>
      </c>
      <c r="CV47" s="675">
        <v>0</v>
      </c>
      <c r="CW47" s="675">
        <v>0</v>
      </c>
      <c r="CX47" s="675">
        <v>0</v>
      </c>
      <c r="CY47" s="675">
        <v>0</v>
      </c>
      <c r="CZ47" s="675">
        <v>0</v>
      </c>
      <c r="DA47" s="675">
        <v>0</v>
      </c>
      <c r="DB47" s="675">
        <v>153666</v>
      </c>
      <c r="DC47" s="675">
        <v>0</v>
      </c>
      <c r="DD47" s="675">
        <v>0</v>
      </c>
      <c r="DE47" s="675">
        <v>587815</v>
      </c>
      <c r="DF47" s="675">
        <v>587815</v>
      </c>
      <c r="DG47" s="675">
        <v>95.425000000000011</v>
      </c>
      <c r="DH47" s="675">
        <v>0</v>
      </c>
      <c r="DI47" s="675">
        <v>0</v>
      </c>
      <c r="DJ47" s="675">
        <v>0</v>
      </c>
      <c r="DK47" s="675">
        <v>3459</v>
      </c>
      <c r="DL47" s="675">
        <v>0</v>
      </c>
      <c r="DM47" s="675">
        <v>3807026</v>
      </c>
      <c r="DN47" s="675">
        <v>10482</v>
      </c>
      <c r="DO47" s="675">
        <v>0</v>
      </c>
      <c r="DP47" s="675">
        <v>0</v>
      </c>
      <c r="DQ47" s="675">
        <v>0</v>
      </c>
      <c r="DR47" s="675">
        <v>0</v>
      </c>
      <c r="DS47" s="675">
        <v>0</v>
      </c>
      <c r="DT47" s="675">
        <v>0</v>
      </c>
      <c r="DU47" s="675">
        <v>0</v>
      </c>
      <c r="DV47" s="675">
        <v>0</v>
      </c>
      <c r="DW47" s="675">
        <v>0</v>
      </c>
      <c r="DX47" s="675">
        <v>0</v>
      </c>
      <c r="DY47" s="675">
        <v>0</v>
      </c>
      <c r="DZ47" s="675">
        <v>0</v>
      </c>
      <c r="EA47" s="675">
        <v>0</v>
      </c>
      <c r="EB47" s="675">
        <v>0</v>
      </c>
      <c r="EC47" s="675">
        <v>0</v>
      </c>
      <c r="ED47" s="675">
        <v>0</v>
      </c>
      <c r="EE47" s="675">
        <v>0</v>
      </c>
      <c r="EF47" s="675">
        <v>0</v>
      </c>
      <c r="EG47" s="675">
        <v>0</v>
      </c>
      <c r="EH47" s="675">
        <v>11273</v>
      </c>
      <c r="EI47" s="675">
        <v>2751216</v>
      </c>
      <c r="EJ47" s="675">
        <v>111.65700000000001</v>
      </c>
      <c r="EK47" s="675">
        <v>0</v>
      </c>
      <c r="EL47" s="675">
        <v>0</v>
      </c>
      <c r="EM47" s="675">
        <v>0</v>
      </c>
      <c r="EN47" s="675">
        <v>0.36599999999999999</v>
      </c>
      <c r="EO47" s="675">
        <v>0</v>
      </c>
      <c r="EP47" s="675">
        <v>0</v>
      </c>
      <c r="EQ47" s="675">
        <v>112.02300000000001</v>
      </c>
      <c r="ER47" s="675">
        <v>0</v>
      </c>
      <c r="ES47" s="675">
        <v>1.83</v>
      </c>
      <c r="ET47" s="675">
        <v>0</v>
      </c>
      <c r="EU47" s="675">
        <v>0</v>
      </c>
      <c r="EV47" s="675">
        <v>0</v>
      </c>
      <c r="EW47" s="675">
        <v>0</v>
      </c>
      <c r="EX47" s="675">
        <v>0</v>
      </c>
      <c r="EY47" s="675">
        <v>0</v>
      </c>
      <c r="EZ47" s="675">
        <v>4936168</v>
      </c>
      <c r="FA47" s="675">
        <v>0</v>
      </c>
      <c r="FB47" s="675">
        <v>5084926</v>
      </c>
      <c r="FC47" s="675">
        <v>0</v>
      </c>
      <c r="FD47" s="675">
        <v>0</v>
      </c>
      <c r="FE47" s="675">
        <v>497578</v>
      </c>
      <c r="FF47" s="675">
        <v>102916</v>
      </c>
      <c r="FG47" s="675">
        <v>6.3574999999999993E-2</v>
      </c>
      <c r="FH47" s="675">
        <v>2.6298999999999999E-2</v>
      </c>
      <c r="FI47" s="675">
        <v>0</v>
      </c>
      <c r="FJ47" s="675">
        <v>0</v>
      </c>
      <c r="FK47" s="675">
        <v>794.09800000000007</v>
      </c>
      <c r="FL47" s="675">
        <v>5743953</v>
      </c>
      <c r="FM47" s="675">
        <v>0</v>
      </c>
      <c r="FN47" s="675">
        <v>0</v>
      </c>
      <c r="FO47" s="675">
        <v>0</v>
      </c>
      <c r="FP47" s="675">
        <v>0</v>
      </c>
      <c r="FQ47" s="675">
        <v>0</v>
      </c>
      <c r="FR47" s="675">
        <v>0</v>
      </c>
      <c r="FS47" s="675">
        <v>0</v>
      </c>
      <c r="FT47" s="675">
        <v>0</v>
      </c>
      <c r="FU47" s="675">
        <v>0</v>
      </c>
      <c r="FV47" s="675">
        <v>0</v>
      </c>
      <c r="FW47" s="675">
        <v>0</v>
      </c>
      <c r="FX47" s="675">
        <v>0</v>
      </c>
      <c r="FY47" s="675">
        <v>0</v>
      </c>
      <c r="FZ47" s="675">
        <v>0</v>
      </c>
      <c r="GA47" s="675">
        <v>0</v>
      </c>
      <c r="GB47" s="675">
        <v>96080</v>
      </c>
      <c r="GC47" s="675">
        <v>96080</v>
      </c>
      <c r="GD47" s="675">
        <v>12.031000000000001</v>
      </c>
      <c r="GE47" s="675">
        <v>0</v>
      </c>
      <c r="GF47" s="675">
        <v>0</v>
      </c>
      <c r="GG47" s="675">
        <v>0</v>
      </c>
      <c r="GH47" s="675">
        <v>0</v>
      </c>
      <c r="GI47" s="675">
        <v>0</v>
      </c>
      <c r="GJ47" s="675">
        <v>0</v>
      </c>
      <c r="GK47" s="675">
        <v>0</v>
      </c>
      <c r="GL47" s="675">
        <v>0</v>
      </c>
      <c r="GM47" s="675">
        <v>0</v>
      </c>
      <c r="GN47" s="675">
        <v>0</v>
      </c>
      <c r="GO47" s="675">
        <v>0</v>
      </c>
      <c r="GP47" s="675">
        <v>0</v>
      </c>
      <c r="GQ47" s="675">
        <v>0</v>
      </c>
      <c r="GR47" s="675">
        <v>0</v>
      </c>
      <c r="GS47" s="675">
        <v>0</v>
      </c>
      <c r="GT47" s="675">
        <v>0</v>
      </c>
      <c r="GU47" s="675">
        <v>0</v>
      </c>
      <c r="GV47" s="675">
        <v>0</v>
      </c>
      <c r="GW47" s="675">
        <v>0</v>
      </c>
      <c r="GX47" s="675">
        <v>0</v>
      </c>
      <c r="GY47" s="675">
        <v>0</v>
      </c>
      <c r="GZ47" s="675">
        <v>0</v>
      </c>
      <c r="HA47" s="675">
        <v>0</v>
      </c>
      <c r="HB47" s="675">
        <v>298386780</v>
      </c>
      <c r="HC47" s="675">
        <v>4.5690999999999996E-2</v>
      </c>
      <c r="HD47" s="675">
        <v>58533</v>
      </c>
      <c r="HE47" s="675">
        <v>0</v>
      </c>
      <c r="HF47" s="675">
        <v>215838</v>
      </c>
      <c r="HG47" s="675">
        <v>8341</v>
      </c>
      <c r="HH47" s="675">
        <v>0</v>
      </c>
      <c r="HI47" s="675">
        <v>0</v>
      </c>
      <c r="HJ47" s="675">
        <v>3113</v>
      </c>
      <c r="HK47" s="675">
        <v>3816</v>
      </c>
      <c r="HL47" s="675">
        <v>171</v>
      </c>
      <c r="HM47" s="675">
        <v>0</v>
      </c>
      <c r="HN47" s="675">
        <v>0</v>
      </c>
      <c r="HO47" s="675">
        <v>0</v>
      </c>
      <c r="HP47" s="675">
        <v>113337</v>
      </c>
      <c r="HQ47" s="675">
        <v>0</v>
      </c>
      <c r="HR47" s="675">
        <v>0</v>
      </c>
      <c r="HS47" s="675">
        <v>4925685</v>
      </c>
      <c r="HT47" s="675">
        <v>102916</v>
      </c>
      <c r="HU47" s="675">
        <v>0</v>
      </c>
      <c r="HV47" s="675">
        <v>0</v>
      </c>
      <c r="HW47" s="675">
        <v>0</v>
      </c>
      <c r="HX47" s="675">
        <v>0</v>
      </c>
      <c r="HY47" s="675">
        <v>0</v>
      </c>
      <c r="HZ47" s="675">
        <v>0</v>
      </c>
      <c r="IA47" s="675">
        <v>0</v>
      </c>
      <c r="IB47" s="675">
        <v>347</v>
      </c>
      <c r="IC47" s="675">
        <v>347</v>
      </c>
      <c r="ID47" s="675">
        <v>0</v>
      </c>
      <c r="IE47" s="675">
        <v>0</v>
      </c>
      <c r="IF47" s="675">
        <v>0</v>
      </c>
      <c r="IG47" s="675">
        <v>13.541</v>
      </c>
      <c r="IH47" s="675">
        <v>0</v>
      </c>
      <c r="II47" s="675">
        <v>412.13500000000005</v>
      </c>
      <c r="IJ47" s="675">
        <v>15.033000000000001</v>
      </c>
      <c r="IK47" s="675">
        <v>314.41300000000001</v>
      </c>
      <c r="IL47" s="675">
        <v>0</v>
      </c>
      <c r="IM47" s="675">
        <v>0</v>
      </c>
      <c r="IN47" s="675">
        <v>0</v>
      </c>
      <c r="IO47" s="675">
        <v>0</v>
      </c>
      <c r="IP47" s="675">
        <v>726.548</v>
      </c>
      <c r="IQ47" s="675">
        <v>15.033000000000001</v>
      </c>
      <c r="IR47" s="675">
        <v>9260</v>
      </c>
      <c r="IS47" s="675">
        <v>86464</v>
      </c>
      <c r="IT47" s="675">
        <v>0</v>
      </c>
      <c r="IU47" s="675">
        <v>0</v>
      </c>
      <c r="IV47" s="675">
        <v>0</v>
      </c>
      <c r="IW47" s="675">
        <v>6160</v>
      </c>
      <c r="IX47" s="675">
        <v>0</v>
      </c>
      <c r="IY47" s="675">
        <v>0</v>
      </c>
      <c r="IZ47" s="675">
        <v>199801</v>
      </c>
      <c r="JA47" s="675">
        <v>0</v>
      </c>
      <c r="JB47" s="675">
        <v>0</v>
      </c>
      <c r="JC47" s="675">
        <v>0</v>
      </c>
      <c r="JD47" s="675">
        <v>0</v>
      </c>
      <c r="JE47" s="675">
        <v>0</v>
      </c>
      <c r="JF47" s="675">
        <v>0</v>
      </c>
      <c r="JG47" s="675">
        <v>0</v>
      </c>
      <c r="JH47" s="675">
        <v>0</v>
      </c>
      <c r="JI47" s="675">
        <v>0</v>
      </c>
      <c r="JJ47" s="675">
        <v>0</v>
      </c>
      <c r="JK47" s="675">
        <v>0</v>
      </c>
      <c r="JL47" s="675">
        <v>0</v>
      </c>
      <c r="JM47" s="675">
        <v>0</v>
      </c>
      <c r="JN47" s="675">
        <v>32469</v>
      </c>
      <c r="JO47" s="675">
        <v>12.031000000000001</v>
      </c>
      <c r="JP47" s="675">
        <v>0</v>
      </c>
      <c r="JQ47" s="675">
        <v>0</v>
      </c>
      <c r="JR47" s="675">
        <v>96080</v>
      </c>
      <c r="JS47" s="675">
        <v>0</v>
      </c>
      <c r="JT47" s="675">
        <v>0</v>
      </c>
      <c r="JU47" s="675">
        <v>0</v>
      </c>
      <c r="JV47" s="675">
        <v>0</v>
      </c>
      <c r="JW47" s="675">
        <v>0</v>
      </c>
      <c r="JX47" s="675">
        <v>0</v>
      </c>
      <c r="JY47" s="675">
        <v>0</v>
      </c>
      <c r="JZ47" s="675">
        <v>0</v>
      </c>
      <c r="KA47" s="675">
        <v>0</v>
      </c>
      <c r="KB47" s="675">
        <v>0</v>
      </c>
      <c r="KC47" s="675">
        <v>0</v>
      </c>
      <c r="KD47" s="675">
        <v>0</v>
      </c>
      <c r="KE47" s="675">
        <v>7260</v>
      </c>
      <c r="KF47" s="675">
        <v>0</v>
      </c>
      <c r="KG47" s="675">
        <v>0</v>
      </c>
      <c r="KH47" s="675">
        <v>0</v>
      </c>
      <c r="KI47" s="675">
        <v>0</v>
      </c>
    </row>
    <row r="48" spans="1:295" ht="12.5" x14ac:dyDescent="0.25">
      <c r="A48" s="675">
        <v>35795</v>
      </c>
      <c r="B48" s="675">
        <v>57802</v>
      </c>
      <c r="C48" s="675">
        <v>9</v>
      </c>
      <c r="D48" s="675">
        <v>2022</v>
      </c>
      <c r="E48" s="675">
        <v>6160</v>
      </c>
      <c r="F48" s="675">
        <v>0</v>
      </c>
      <c r="G48" s="675">
        <v>436.50300000000004</v>
      </c>
      <c r="H48" s="675">
        <v>417.21100000000001</v>
      </c>
      <c r="I48" s="675">
        <v>417.21100000000001</v>
      </c>
      <c r="J48" s="675">
        <v>436.50300000000004</v>
      </c>
      <c r="K48" s="675">
        <v>0</v>
      </c>
      <c r="L48" s="675">
        <v>6160</v>
      </c>
      <c r="M48" s="675">
        <v>0</v>
      </c>
      <c r="N48" s="675">
        <v>0</v>
      </c>
      <c r="O48" s="675">
        <v>0</v>
      </c>
      <c r="P48" s="675">
        <v>459.02700000000004</v>
      </c>
      <c r="Q48" s="675">
        <v>0</v>
      </c>
      <c r="R48" s="675">
        <v>184725</v>
      </c>
      <c r="S48" s="675">
        <v>402.428</v>
      </c>
      <c r="T48" s="675">
        <v>0</v>
      </c>
      <c r="U48" s="675">
        <v>98233</v>
      </c>
      <c r="V48" s="675">
        <v>110.76700000000001</v>
      </c>
      <c r="W48" s="675">
        <v>68232</v>
      </c>
      <c r="X48" s="675">
        <v>68232</v>
      </c>
      <c r="Y48" s="675">
        <v>0</v>
      </c>
      <c r="Z48" s="675">
        <v>0</v>
      </c>
      <c r="AA48" s="675">
        <v>0</v>
      </c>
      <c r="AB48" s="675">
        <v>0</v>
      </c>
      <c r="AC48" s="675">
        <v>0</v>
      </c>
      <c r="AD48" s="675" t="s">
        <v>316</v>
      </c>
      <c r="AE48" s="675">
        <v>0</v>
      </c>
      <c r="AF48" s="675">
        <v>0</v>
      </c>
      <c r="AG48" s="675">
        <v>0</v>
      </c>
      <c r="AH48" s="675">
        <v>0</v>
      </c>
      <c r="AI48" s="675">
        <v>0</v>
      </c>
      <c r="AJ48" s="675">
        <v>6160</v>
      </c>
      <c r="AK48" s="675" t="s">
        <v>671</v>
      </c>
      <c r="AL48" s="675" t="s">
        <v>17</v>
      </c>
      <c r="AM48" s="675">
        <v>0</v>
      </c>
      <c r="AN48" s="675">
        <v>0</v>
      </c>
      <c r="AO48" s="675">
        <v>0</v>
      </c>
      <c r="AP48" s="675">
        <v>0</v>
      </c>
      <c r="AQ48" s="675">
        <v>0</v>
      </c>
      <c r="AR48" s="675">
        <v>0</v>
      </c>
      <c r="AS48" s="675">
        <v>0</v>
      </c>
      <c r="AT48" s="675">
        <v>0</v>
      </c>
      <c r="AU48" s="675">
        <v>0</v>
      </c>
      <c r="AV48" s="675">
        <v>-86376</v>
      </c>
      <c r="AW48" s="675">
        <v>4912550</v>
      </c>
      <c r="AX48" s="675">
        <v>4834438</v>
      </c>
      <c r="AY48" s="675">
        <v>3311814</v>
      </c>
      <c r="AZ48" s="675">
        <v>184725</v>
      </c>
      <c r="BA48" s="675">
        <v>0</v>
      </c>
      <c r="BB48" s="675">
        <v>0</v>
      </c>
      <c r="BC48" s="675">
        <v>0</v>
      </c>
      <c r="BD48" s="675">
        <v>0</v>
      </c>
      <c r="BE48" s="675">
        <v>0</v>
      </c>
      <c r="BF48" s="675">
        <v>4308650</v>
      </c>
      <c r="BG48" s="675">
        <v>0</v>
      </c>
      <c r="BH48" s="675">
        <v>0</v>
      </c>
      <c r="BI48" s="675">
        <v>0</v>
      </c>
      <c r="BJ48" s="675">
        <v>12</v>
      </c>
      <c r="BK48" s="675">
        <v>0</v>
      </c>
      <c r="BL48" s="675">
        <v>0</v>
      </c>
      <c r="BM48" s="675">
        <v>0</v>
      </c>
      <c r="BN48" s="675">
        <v>0</v>
      </c>
      <c r="BO48" s="675">
        <v>0</v>
      </c>
      <c r="BP48" s="675">
        <v>0</v>
      </c>
      <c r="BQ48" s="675">
        <v>706</v>
      </c>
      <c r="BR48" s="675">
        <v>0</v>
      </c>
      <c r="BS48" s="675">
        <v>0</v>
      </c>
      <c r="BT48" s="675">
        <v>0</v>
      </c>
      <c r="BU48" s="675">
        <v>0</v>
      </c>
      <c r="BV48" s="675">
        <v>0</v>
      </c>
      <c r="BW48" s="675">
        <v>0</v>
      </c>
      <c r="BX48" s="675">
        <v>0</v>
      </c>
      <c r="BY48" s="675">
        <v>0</v>
      </c>
      <c r="BZ48" s="675">
        <v>0</v>
      </c>
      <c r="CA48" s="675">
        <v>0</v>
      </c>
      <c r="CB48" s="675">
        <v>0</v>
      </c>
      <c r="CC48" s="675">
        <v>0</v>
      </c>
      <c r="CD48" s="675">
        <v>0</v>
      </c>
      <c r="CE48" s="675">
        <v>0</v>
      </c>
      <c r="CF48" s="675">
        <v>0</v>
      </c>
      <c r="CG48" s="675">
        <v>0</v>
      </c>
      <c r="CH48" s="675">
        <v>79776</v>
      </c>
      <c r="CI48" s="675">
        <v>0</v>
      </c>
      <c r="CJ48" s="675">
        <v>4</v>
      </c>
      <c r="CK48" s="675">
        <v>0</v>
      </c>
      <c r="CL48" s="675">
        <v>0</v>
      </c>
      <c r="CM48" s="675">
        <v>0</v>
      </c>
      <c r="CN48" s="675">
        <v>0</v>
      </c>
      <c r="CO48" s="675">
        <v>1</v>
      </c>
      <c r="CP48" s="675">
        <v>0</v>
      </c>
      <c r="CQ48" s="675">
        <v>0</v>
      </c>
      <c r="CR48" s="675">
        <v>469.75700000000001</v>
      </c>
      <c r="CS48" s="675">
        <v>0</v>
      </c>
      <c r="CT48" s="675">
        <v>0</v>
      </c>
      <c r="CU48" s="675">
        <v>0</v>
      </c>
      <c r="CV48" s="675">
        <v>0</v>
      </c>
      <c r="CW48" s="675">
        <v>0</v>
      </c>
      <c r="CX48" s="675">
        <v>0</v>
      </c>
      <c r="CY48" s="675">
        <v>0</v>
      </c>
      <c r="CZ48" s="675">
        <v>0</v>
      </c>
      <c r="DA48" s="675">
        <v>0</v>
      </c>
      <c r="DB48" s="675">
        <v>2544043</v>
      </c>
      <c r="DC48" s="675">
        <v>0</v>
      </c>
      <c r="DD48" s="675">
        <v>0</v>
      </c>
      <c r="DE48" s="675">
        <v>687376</v>
      </c>
      <c r="DF48" s="675">
        <v>687376</v>
      </c>
      <c r="DG48" s="675">
        <v>111.58800000000001</v>
      </c>
      <c r="DH48" s="675">
        <v>0</v>
      </c>
      <c r="DI48" s="675">
        <v>0</v>
      </c>
      <c r="DJ48" s="675">
        <v>0</v>
      </c>
      <c r="DK48" s="675">
        <v>2914</v>
      </c>
      <c r="DL48" s="675">
        <v>0</v>
      </c>
      <c r="DM48" s="675">
        <v>462778</v>
      </c>
      <c r="DN48" s="675">
        <v>1664</v>
      </c>
      <c r="DO48" s="675">
        <v>0</v>
      </c>
      <c r="DP48" s="675">
        <v>0</v>
      </c>
      <c r="DQ48" s="675">
        <v>0</v>
      </c>
      <c r="DR48" s="675">
        <v>0</v>
      </c>
      <c r="DS48" s="675">
        <v>0</v>
      </c>
      <c r="DT48" s="675">
        <v>0</v>
      </c>
      <c r="DU48" s="675">
        <v>0</v>
      </c>
      <c r="DV48" s="675">
        <v>0</v>
      </c>
      <c r="DW48" s="675">
        <v>0</v>
      </c>
      <c r="DX48" s="675">
        <v>0</v>
      </c>
      <c r="DY48" s="675">
        <v>0</v>
      </c>
      <c r="DZ48" s="675">
        <v>0</v>
      </c>
      <c r="EA48" s="675">
        <v>0</v>
      </c>
      <c r="EB48" s="675">
        <v>0</v>
      </c>
      <c r="EC48" s="675">
        <v>10.158000000000001</v>
      </c>
      <c r="ED48" s="675">
        <v>71959</v>
      </c>
      <c r="EE48" s="675">
        <v>0</v>
      </c>
      <c r="EF48" s="675">
        <v>0</v>
      </c>
      <c r="EG48" s="675">
        <v>0</v>
      </c>
      <c r="EH48" s="675">
        <v>366518</v>
      </c>
      <c r="EI48" s="675">
        <v>0</v>
      </c>
      <c r="EJ48" s="675">
        <v>0</v>
      </c>
      <c r="EK48" s="675">
        <v>18.48</v>
      </c>
      <c r="EL48" s="675">
        <v>0</v>
      </c>
      <c r="EM48" s="675">
        <v>0</v>
      </c>
      <c r="EN48" s="675">
        <v>0.81200000000000006</v>
      </c>
      <c r="EO48" s="675">
        <v>0</v>
      </c>
      <c r="EP48" s="675">
        <v>0</v>
      </c>
      <c r="EQ48" s="675">
        <v>19.292000000000002</v>
      </c>
      <c r="ER48" s="675">
        <v>0</v>
      </c>
      <c r="ES48" s="675">
        <v>59.5</v>
      </c>
      <c r="ET48" s="675">
        <v>0</v>
      </c>
      <c r="EU48" s="675">
        <v>0</v>
      </c>
      <c r="EV48" s="675">
        <v>0</v>
      </c>
      <c r="EW48" s="675">
        <v>0</v>
      </c>
      <c r="EX48" s="675">
        <v>0</v>
      </c>
      <c r="EY48" s="675">
        <v>0</v>
      </c>
      <c r="EZ48" s="675">
        <v>4305509</v>
      </c>
      <c r="FA48" s="675">
        <v>0</v>
      </c>
      <c r="FB48" s="675">
        <v>4488570</v>
      </c>
      <c r="FC48" s="675">
        <v>0</v>
      </c>
      <c r="FD48" s="675">
        <v>0</v>
      </c>
      <c r="FE48" s="675">
        <v>438278</v>
      </c>
      <c r="FF48" s="675">
        <v>90651</v>
      </c>
      <c r="FG48" s="675">
        <v>6.3574999999999993E-2</v>
      </c>
      <c r="FH48" s="675">
        <v>2.6298999999999999E-2</v>
      </c>
      <c r="FI48" s="675">
        <v>0</v>
      </c>
      <c r="FJ48" s="675">
        <v>0</v>
      </c>
      <c r="FK48" s="675">
        <v>699.45900000000006</v>
      </c>
      <c r="FL48" s="675">
        <v>5097275</v>
      </c>
      <c r="FM48" s="675">
        <v>0</v>
      </c>
      <c r="FN48" s="675">
        <v>0</v>
      </c>
      <c r="FO48" s="675">
        <v>180000</v>
      </c>
      <c r="FP48" s="675">
        <v>0</v>
      </c>
      <c r="FQ48" s="675">
        <v>180000</v>
      </c>
      <c r="FR48" s="675">
        <v>180000</v>
      </c>
      <c r="FS48" s="675">
        <v>0</v>
      </c>
      <c r="FT48" s="675">
        <v>0</v>
      </c>
      <c r="FU48" s="675">
        <v>0</v>
      </c>
      <c r="FV48" s="675">
        <v>0</v>
      </c>
      <c r="FW48" s="675">
        <v>0</v>
      </c>
      <c r="FX48" s="675">
        <v>0</v>
      </c>
      <c r="FY48" s="675">
        <v>0</v>
      </c>
      <c r="FZ48" s="675">
        <v>0</v>
      </c>
      <c r="GA48" s="675">
        <v>0</v>
      </c>
      <c r="GB48" s="675">
        <v>0</v>
      </c>
      <c r="GC48" s="675">
        <v>0</v>
      </c>
      <c r="GD48" s="675">
        <v>0</v>
      </c>
      <c r="GE48" s="675">
        <v>0</v>
      </c>
      <c r="GF48" s="675">
        <v>0</v>
      </c>
      <c r="GG48" s="675">
        <v>0</v>
      </c>
      <c r="GH48" s="675">
        <v>0</v>
      </c>
      <c r="GI48" s="675">
        <v>0</v>
      </c>
      <c r="GJ48" s="675">
        <v>0</v>
      </c>
      <c r="GK48" s="675">
        <v>0</v>
      </c>
      <c r="GL48" s="675">
        <v>0</v>
      </c>
      <c r="GM48" s="675">
        <v>0</v>
      </c>
      <c r="GN48" s="675">
        <v>0</v>
      </c>
      <c r="GO48" s="675">
        <v>0</v>
      </c>
      <c r="GP48" s="675">
        <v>0</v>
      </c>
      <c r="GQ48" s="675">
        <v>0</v>
      </c>
      <c r="GR48" s="675">
        <v>0</v>
      </c>
      <c r="GS48" s="675">
        <v>0</v>
      </c>
      <c r="GT48" s="675">
        <v>0</v>
      </c>
      <c r="GU48" s="675">
        <v>0</v>
      </c>
      <c r="GV48" s="675">
        <v>0</v>
      </c>
      <c r="GW48" s="675">
        <v>0</v>
      </c>
      <c r="GX48" s="675">
        <v>0</v>
      </c>
      <c r="GY48" s="675">
        <v>0</v>
      </c>
      <c r="GZ48" s="675">
        <v>0</v>
      </c>
      <c r="HA48" s="675">
        <v>0</v>
      </c>
      <c r="HB48" s="675">
        <v>298386780</v>
      </c>
      <c r="HC48" s="675">
        <v>4.5690999999999996E-2</v>
      </c>
      <c r="HD48" s="675">
        <v>79776</v>
      </c>
      <c r="HE48" s="675">
        <v>0</v>
      </c>
      <c r="HF48" s="675">
        <v>458932</v>
      </c>
      <c r="HG48" s="675">
        <v>17324</v>
      </c>
      <c r="HH48" s="675">
        <v>54058</v>
      </c>
      <c r="HI48" s="675">
        <v>0</v>
      </c>
      <c r="HJ48" s="675">
        <v>4243</v>
      </c>
      <c r="HK48" s="675">
        <v>1584</v>
      </c>
      <c r="HL48" s="675">
        <v>0</v>
      </c>
      <c r="HM48" s="675">
        <v>10000</v>
      </c>
      <c r="HN48" s="675">
        <v>0</v>
      </c>
      <c r="HO48" s="675">
        <v>0</v>
      </c>
      <c r="HP48" s="675">
        <v>0</v>
      </c>
      <c r="HQ48" s="675">
        <v>0</v>
      </c>
      <c r="HR48" s="675">
        <v>0</v>
      </c>
      <c r="HS48" s="675">
        <v>4303845</v>
      </c>
      <c r="HT48" s="675">
        <v>90651</v>
      </c>
      <c r="HU48" s="675">
        <v>0</v>
      </c>
      <c r="HV48" s="675">
        <v>0</v>
      </c>
      <c r="HW48" s="675">
        <v>0</v>
      </c>
      <c r="HX48" s="675">
        <v>32</v>
      </c>
      <c r="HY48" s="675">
        <v>48</v>
      </c>
      <c r="HZ48" s="675">
        <v>69</v>
      </c>
      <c r="IA48" s="675">
        <v>57</v>
      </c>
      <c r="IB48" s="675">
        <v>221</v>
      </c>
      <c r="IC48" s="675">
        <v>427</v>
      </c>
      <c r="ID48" s="675">
        <v>0</v>
      </c>
      <c r="IE48" s="675">
        <v>0</v>
      </c>
      <c r="IF48" s="675">
        <v>0</v>
      </c>
      <c r="IG48" s="675">
        <v>28.123000000000001</v>
      </c>
      <c r="IH48" s="675">
        <v>87.757000000000005</v>
      </c>
      <c r="II48" s="675">
        <v>0</v>
      </c>
      <c r="IJ48" s="675">
        <v>110.76700000000001</v>
      </c>
      <c r="IK48" s="675">
        <v>0</v>
      </c>
      <c r="IL48" s="675">
        <v>2</v>
      </c>
      <c r="IM48" s="675">
        <v>0</v>
      </c>
      <c r="IN48" s="675">
        <v>0</v>
      </c>
      <c r="IO48" s="675">
        <v>2</v>
      </c>
      <c r="IP48" s="675">
        <v>0</v>
      </c>
      <c r="IQ48" s="675">
        <v>110.76700000000001</v>
      </c>
      <c r="IR48" s="675">
        <v>68232</v>
      </c>
      <c r="IS48" s="675">
        <v>0</v>
      </c>
      <c r="IT48" s="675">
        <v>10000</v>
      </c>
      <c r="IU48" s="675">
        <v>0</v>
      </c>
      <c r="IV48" s="675">
        <v>0</v>
      </c>
      <c r="IW48" s="675">
        <v>6160</v>
      </c>
      <c r="IX48" s="675">
        <v>0</v>
      </c>
      <c r="IY48" s="675">
        <v>0</v>
      </c>
      <c r="IZ48" s="675">
        <v>0</v>
      </c>
      <c r="JA48" s="675">
        <v>0</v>
      </c>
      <c r="JB48" s="675">
        <v>0</v>
      </c>
      <c r="JC48" s="675">
        <v>0</v>
      </c>
      <c r="JD48" s="675">
        <v>0</v>
      </c>
      <c r="JE48" s="675">
        <v>0</v>
      </c>
      <c r="JF48" s="675">
        <v>0</v>
      </c>
      <c r="JG48" s="675">
        <v>0</v>
      </c>
      <c r="JH48" s="675">
        <v>0</v>
      </c>
      <c r="JI48" s="675">
        <v>0</v>
      </c>
      <c r="JJ48" s="675">
        <v>0</v>
      </c>
      <c r="JK48" s="675">
        <v>0</v>
      </c>
      <c r="JL48" s="675">
        <v>0</v>
      </c>
      <c r="JM48" s="675">
        <v>0</v>
      </c>
      <c r="JN48" s="675">
        <v>32469</v>
      </c>
      <c r="JO48" s="675">
        <v>0</v>
      </c>
      <c r="JP48" s="675">
        <v>0</v>
      </c>
      <c r="JQ48" s="675">
        <v>0</v>
      </c>
      <c r="JR48" s="675">
        <v>0</v>
      </c>
      <c r="JS48" s="675">
        <v>0</v>
      </c>
      <c r="JT48" s="675">
        <v>0</v>
      </c>
      <c r="JU48" s="675">
        <v>0</v>
      </c>
      <c r="JV48" s="675">
        <v>0</v>
      </c>
      <c r="JW48" s="675">
        <v>0</v>
      </c>
      <c r="JX48" s="675">
        <v>0</v>
      </c>
      <c r="JY48" s="675">
        <v>0</v>
      </c>
      <c r="JZ48" s="675">
        <v>0</v>
      </c>
      <c r="KA48" s="675">
        <v>0</v>
      </c>
      <c r="KB48" s="675">
        <v>0</v>
      </c>
      <c r="KC48" s="675">
        <v>0</v>
      </c>
      <c r="KD48" s="675">
        <v>0</v>
      </c>
      <c r="KE48" s="675">
        <v>7260</v>
      </c>
      <c r="KF48" s="675">
        <v>0</v>
      </c>
      <c r="KG48" s="675">
        <v>0</v>
      </c>
      <c r="KH48" s="675">
        <v>0</v>
      </c>
      <c r="KI48" s="675">
        <v>0</v>
      </c>
    </row>
    <row r="49" spans="1:295" ht="12.5" x14ac:dyDescent="0.25">
      <c r="A49" s="675">
        <v>35795</v>
      </c>
      <c r="B49" s="675">
        <v>61802</v>
      </c>
      <c r="C49" s="675">
        <v>9</v>
      </c>
      <c r="D49" s="675">
        <v>2022</v>
      </c>
      <c r="E49" s="675">
        <v>6160</v>
      </c>
      <c r="F49" s="675">
        <v>0</v>
      </c>
      <c r="G49" s="675">
        <v>597.52499999999998</v>
      </c>
      <c r="H49" s="675">
        <v>576.26499999999999</v>
      </c>
      <c r="I49" s="675">
        <v>576.26499999999999</v>
      </c>
      <c r="J49" s="675">
        <v>597.52499999999998</v>
      </c>
      <c r="K49" s="675">
        <v>0</v>
      </c>
      <c r="L49" s="675">
        <v>6160</v>
      </c>
      <c r="M49" s="675">
        <v>0</v>
      </c>
      <c r="N49" s="675">
        <v>0</v>
      </c>
      <c r="O49" s="675">
        <v>0</v>
      </c>
      <c r="P49" s="675">
        <v>532.375</v>
      </c>
      <c r="Q49" s="675">
        <v>0</v>
      </c>
      <c r="R49" s="675">
        <v>214243</v>
      </c>
      <c r="S49" s="675">
        <v>402.428</v>
      </c>
      <c r="T49" s="675">
        <v>0</v>
      </c>
      <c r="U49" s="675">
        <v>113929</v>
      </c>
      <c r="V49" s="675">
        <v>245.26100000000002</v>
      </c>
      <c r="W49" s="675">
        <v>151080</v>
      </c>
      <c r="X49" s="675">
        <v>151080</v>
      </c>
      <c r="Y49" s="675">
        <v>0</v>
      </c>
      <c r="Z49" s="675">
        <v>0</v>
      </c>
      <c r="AA49" s="675">
        <v>0</v>
      </c>
      <c r="AB49" s="675">
        <v>0</v>
      </c>
      <c r="AC49" s="675">
        <v>0</v>
      </c>
      <c r="AD49" s="675" t="s">
        <v>316</v>
      </c>
      <c r="AE49" s="675">
        <v>0</v>
      </c>
      <c r="AF49" s="675">
        <v>0</v>
      </c>
      <c r="AG49" s="675">
        <v>0</v>
      </c>
      <c r="AH49" s="675">
        <v>0</v>
      </c>
      <c r="AI49" s="675">
        <v>0</v>
      </c>
      <c r="AJ49" s="675">
        <v>6160</v>
      </c>
      <c r="AK49" s="675" t="s">
        <v>671</v>
      </c>
      <c r="AL49" s="675" t="s">
        <v>335</v>
      </c>
      <c r="AM49" s="675">
        <v>0</v>
      </c>
      <c r="AN49" s="675">
        <v>0</v>
      </c>
      <c r="AO49" s="675">
        <v>0</v>
      </c>
      <c r="AP49" s="675">
        <v>0</v>
      </c>
      <c r="AQ49" s="675">
        <v>0</v>
      </c>
      <c r="AR49" s="675">
        <v>0</v>
      </c>
      <c r="AS49" s="675">
        <v>0</v>
      </c>
      <c r="AT49" s="675">
        <v>0</v>
      </c>
      <c r="AU49" s="675">
        <v>0</v>
      </c>
      <c r="AV49" s="675">
        <v>0</v>
      </c>
      <c r="AW49" s="675">
        <v>6726695</v>
      </c>
      <c r="AX49" s="675">
        <v>6619164</v>
      </c>
      <c r="AY49" s="675">
        <v>4396316</v>
      </c>
      <c r="AZ49" s="675">
        <v>214243</v>
      </c>
      <c r="BA49" s="675">
        <v>0</v>
      </c>
      <c r="BB49" s="675">
        <v>0</v>
      </c>
      <c r="BC49" s="675">
        <v>0</v>
      </c>
      <c r="BD49" s="675">
        <v>0</v>
      </c>
      <c r="BE49" s="675">
        <v>0</v>
      </c>
      <c r="BF49" s="675">
        <v>6004678</v>
      </c>
      <c r="BG49" s="675">
        <v>0</v>
      </c>
      <c r="BH49" s="675">
        <v>0</v>
      </c>
      <c r="BI49" s="675">
        <v>0</v>
      </c>
      <c r="BJ49" s="675">
        <v>12</v>
      </c>
      <c r="BK49" s="675">
        <v>0</v>
      </c>
      <c r="BL49" s="675">
        <v>0</v>
      </c>
      <c r="BM49" s="675">
        <v>0</v>
      </c>
      <c r="BN49" s="675">
        <v>0</v>
      </c>
      <c r="BO49" s="675">
        <v>0</v>
      </c>
      <c r="BP49" s="675">
        <v>0</v>
      </c>
      <c r="BQ49" s="675">
        <v>681</v>
      </c>
      <c r="BR49" s="675">
        <v>0</v>
      </c>
      <c r="BS49" s="675">
        <v>0</v>
      </c>
      <c r="BT49" s="675">
        <v>0</v>
      </c>
      <c r="BU49" s="675">
        <v>0</v>
      </c>
      <c r="BV49" s="675">
        <v>0</v>
      </c>
      <c r="BW49" s="675">
        <v>0</v>
      </c>
      <c r="BX49" s="675">
        <v>0</v>
      </c>
      <c r="BY49" s="675">
        <v>0</v>
      </c>
      <c r="BZ49" s="675">
        <v>0</v>
      </c>
      <c r="CA49" s="675">
        <v>0</v>
      </c>
      <c r="CB49" s="675">
        <v>0</v>
      </c>
      <c r="CC49" s="675">
        <v>0</v>
      </c>
      <c r="CD49" s="675">
        <v>0</v>
      </c>
      <c r="CE49" s="675">
        <v>0</v>
      </c>
      <c r="CF49" s="675">
        <v>0</v>
      </c>
      <c r="CG49" s="675">
        <v>0</v>
      </c>
      <c r="CH49" s="675">
        <v>109205</v>
      </c>
      <c r="CI49" s="675">
        <v>0</v>
      </c>
      <c r="CJ49" s="675">
        <v>4</v>
      </c>
      <c r="CK49" s="675">
        <v>0</v>
      </c>
      <c r="CL49" s="675">
        <v>0</v>
      </c>
      <c r="CM49" s="675">
        <v>0</v>
      </c>
      <c r="CN49" s="675">
        <v>0</v>
      </c>
      <c r="CO49" s="675">
        <v>1</v>
      </c>
      <c r="CP49" s="675">
        <v>0</v>
      </c>
      <c r="CQ49" s="675">
        <v>0</v>
      </c>
      <c r="CR49" s="675">
        <v>547.85800000000006</v>
      </c>
      <c r="CS49" s="675">
        <v>0</v>
      </c>
      <c r="CT49" s="675">
        <v>0</v>
      </c>
      <c r="CU49" s="675">
        <v>0</v>
      </c>
      <c r="CV49" s="675">
        <v>0</v>
      </c>
      <c r="CW49" s="675">
        <v>0</v>
      </c>
      <c r="CX49" s="675">
        <v>0</v>
      </c>
      <c r="CY49" s="675">
        <v>0</v>
      </c>
      <c r="CZ49" s="675">
        <v>0</v>
      </c>
      <c r="DA49" s="675">
        <v>0</v>
      </c>
      <c r="DB49" s="675">
        <v>3549776</v>
      </c>
      <c r="DC49" s="675">
        <v>0</v>
      </c>
      <c r="DD49" s="675">
        <v>0</v>
      </c>
      <c r="DE49" s="675">
        <v>1031718</v>
      </c>
      <c r="DF49" s="675">
        <v>1031718</v>
      </c>
      <c r="DG49" s="675">
        <v>167.488</v>
      </c>
      <c r="DH49" s="675">
        <v>0</v>
      </c>
      <c r="DI49" s="675">
        <v>0</v>
      </c>
      <c r="DJ49" s="675">
        <v>0</v>
      </c>
      <c r="DK49" s="675">
        <v>2522</v>
      </c>
      <c r="DL49" s="675">
        <v>0</v>
      </c>
      <c r="DM49" s="675">
        <v>439610</v>
      </c>
      <c r="DN49" s="675">
        <v>1674</v>
      </c>
      <c r="DO49" s="675">
        <v>0</v>
      </c>
      <c r="DP49" s="675">
        <v>0</v>
      </c>
      <c r="DQ49" s="675">
        <v>0</v>
      </c>
      <c r="DR49" s="675">
        <v>0</v>
      </c>
      <c r="DS49" s="675">
        <v>0</v>
      </c>
      <c r="DT49" s="675">
        <v>0</v>
      </c>
      <c r="DU49" s="675">
        <v>0</v>
      </c>
      <c r="DV49" s="675">
        <v>0</v>
      </c>
      <c r="DW49" s="675">
        <v>0</v>
      </c>
      <c r="DX49" s="675">
        <v>0</v>
      </c>
      <c r="DY49" s="675">
        <v>0</v>
      </c>
      <c r="DZ49" s="675">
        <v>0</v>
      </c>
      <c r="EA49" s="675">
        <v>0</v>
      </c>
      <c r="EB49" s="675">
        <v>0</v>
      </c>
      <c r="EC49" s="675">
        <v>3.702</v>
      </c>
      <c r="ED49" s="675">
        <v>26225</v>
      </c>
      <c r="EE49" s="675">
        <v>0</v>
      </c>
      <c r="EF49" s="675">
        <v>0</v>
      </c>
      <c r="EG49" s="675">
        <v>0</v>
      </c>
      <c r="EH49" s="675">
        <v>415059</v>
      </c>
      <c r="EI49" s="675">
        <v>0</v>
      </c>
      <c r="EJ49" s="675">
        <v>0</v>
      </c>
      <c r="EK49" s="675">
        <v>19.287000000000003</v>
      </c>
      <c r="EL49" s="675">
        <v>0</v>
      </c>
      <c r="EM49" s="675">
        <v>0.17300000000000001</v>
      </c>
      <c r="EN49" s="675">
        <v>1.8</v>
      </c>
      <c r="EO49" s="675">
        <v>0</v>
      </c>
      <c r="EP49" s="675">
        <v>0</v>
      </c>
      <c r="EQ49" s="675">
        <v>21.26</v>
      </c>
      <c r="ER49" s="675">
        <v>0</v>
      </c>
      <c r="ES49" s="675">
        <v>67.38</v>
      </c>
      <c r="ET49" s="675">
        <v>0</v>
      </c>
      <c r="EU49" s="675">
        <v>0</v>
      </c>
      <c r="EV49" s="675">
        <v>0</v>
      </c>
      <c r="EW49" s="675">
        <v>0</v>
      </c>
      <c r="EX49" s="675">
        <v>0</v>
      </c>
      <c r="EY49" s="675">
        <v>0</v>
      </c>
      <c r="EZ49" s="675">
        <v>5882031</v>
      </c>
      <c r="FA49" s="675">
        <v>0</v>
      </c>
      <c r="FB49" s="675">
        <v>6094600</v>
      </c>
      <c r="FC49" s="675">
        <v>0</v>
      </c>
      <c r="FD49" s="675">
        <v>0</v>
      </c>
      <c r="FE49" s="675">
        <v>610799</v>
      </c>
      <c r="FF49" s="675">
        <v>126334</v>
      </c>
      <c r="FG49" s="675">
        <v>6.3574999999999993E-2</v>
      </c>
      <c r="FH49" s="675">
        <v>2.6298999999999999E-2</v>
      </c>
      <c r="FI49" s="675">
        <v>0</v>
      </c>
      <c r="FJ49" s="675">
        <v>0</v>
      </c>
      <c r="FK49" s="675">
        <v>974.79</v>
      </c>
      <c r="FL49" s="675">
        <v>6940938</v>
      </c>
      <c r="FM49" s="675">
        <v>0</v>
      </c>
      <c r="FN49" s="675">
        <v>0</v>
      </c>
      <c r="FO49" s="675">
        <v>91596</v>
      </c>
      <c r="FP49" s="675">
        <v>0</v>
      </c>
      <c r="FQ49" s="675">
        <v>91596</v>
      </c>
      <c r="FR49" s="675">
        <v>91596</v>
      </c>
      <c r="FS49" s="675">
        <v>0</v>
      </c>
      <c r="FT49" s="675">
        <v>0</v>
      </c>
      <c r="FU49" s="675">
        <v>0</v>
      </c>
      <c r="FV49" s="675">
        <v>0</v>
      </c>
      <c r="FW49" s="675">
        <v>0</v>
      </c>
      <c r="FX49" s="675">
        <v>0</v>
      </c>
      <c r="FY49" s="675">
        <v>0</v>
      </c>
      <c r="FZ49" s="675">
        <v>0</v>
      </c>
      <c r="GA49" s="675">
        <v>0</v>
      </c>
      <c r="GB49" s="675">
        <v>0</v>
      </c>
      <c r="GC49" s="675">
        <v>0</v>
      </c>
      <c r="GD49" s="675">
        <v>0</v>
      </c>
      <c r="GE49" s="675">
        <v>0</v>
      </c>
      <c r="GF49" s="675">
        <v>0</v>
      </c>
      <c r="GG49" s="675">
        <v>0</v>
      </c>
      <c r="GH49" s="675">
        <v>0</v>
      </c>
      <c r="GI49" s="675">
        <v>0</v>
      </c>
      <c r="GJ49" s="675">
        <v>0</v>
      </c>
      <c r="GK49" s="675">
        <v>0</v>
      </c>
      <c r="GL49" s="675">
        <v>0</v>
      </c>
      <c r="GM49" s="675">
        <v>0</v>
      </c>
      <c r="GN49" s="675">
        <v>0</v>
      </c>
      <c r="GO49" s="675">
        <v>0</v>
      </c>
      <c r="GP49" s="675">
        <v>0</v>
      </c>
      <c r="GQ49" s="675">
        <v>0</v>
      </c>
      <c r="GR49" s="675">
        <v>0</v>
      </c>
      <c r="GS49" s="675">
        <v>0</v>
      </c>
      <c r="GT49" s="675">
        <v>0</v>
      </c>
      <c r="GU49" s="675">
        <v>0</v>
      </c>
      <c r="GV49" s="675">
        <v>0</v>
      </c>
      <c r="GW49" s="675">
        <v>0</v>
      </c>
      <c r="GX49" s="675">
        <v>0</v>
      </c>
      <c r="GY49" s="675">
        <v>0</v>
      </c>
      <c r="GZ49" s="675">
        <v>0</v>
      </c>
      <c r="HA49" s="675">
        <v>0</v>
      </c>
      <c r="HB49" s="675">
        <v>298386780</v>
      </c>
      <c r="HC49" s="675">
        <v>4.5690999999999996E-2</v>
      </c>
      <c r="HD49" s="675">
        <v>109205</v>
      </c>
      <c r="HE49" s="675">
        <v>0</v>
      </c>
      <c r="HF49" s="675">
        <v>633892</v>
      </c>
      <c r="HG49" s="675">
        <v>0</v>
      </c>
      <c r="HH49" s="675">
        <v>191120</v>
      </c>
      <c r="HI49" s="675">
        <v>0</v>
      </c>
      <c r="HJ49" s="675">
        <v>5808</v>
      </c>
      <c r="HK49" s="675">
        <v>0</v>
      </c>
      <c r="HL49" s="675">
        <v>0</v>
      </c>
      <c r="HM49" s="675">
        <v>0</v>
      </c>
      <c r="HN49" s="675">
        <v>0</v>
      </c>
      <c r="HO49" s="675">
        <v>0</v>
      </c>
      <c r="HP49" s="675">
        <v>0</v>
      </c>
      <c r="HQ49" s="675">
        <v>0</v>
      </c>
      <c r="HR49" s="675">
        <v>0</v>
      </c>
      <c r="HS49" s="675">
        <v>5880357</v>
      </c>
      <c r="HT49" s="675">
        <v>126334</v>
      </c>
      <c r="HU49" s="675">
        <v>0</v>
      </c>
      <c r="HV49" s="675">
        <v>0</v>
      </c>
      <c r="HW49" s="675">
        <v>0</v>
      </c>
      <c r="HX49" s="675">
        <v>196</v>
      </c>
      <c r="HY49" s="675">
        <v>105</v>
      </c>
      <c r="HZ49" s="675">
        <v>54</v>
      </c>
      <c r="IA49" s="675">
        <v>200</v>
      </c>
      <c r="IB49" s="675">
        <v>118</v>
      </c>
      <c r="IC49" s="675">
        <v>673</v>
      </c>
      <c r="ID49" s="675">
        <v>0</v>
      </c>
      <c r="IE49" s="675">
        <v>0</v>
      </c>
      <c r="IF49" s="675">
        <v>0</v>
      </c>
      <c r="IG49" s="675">
        <v>0</v>
      </c>
      <c r="IH49" s="675">
        <v>310.26100000000002</v>
      </c>
      <c r="II49" s="675">
        <v>0</v>
      </c>
      <c r="IJ49" s="675">
        <v>245.26100000000002</v>
      </c>
      <c r="IK49" s="675">
        <v>0</v>
      </c>
      <c r="IL49" s="675">
        <v>0</v>
      </c>
      <c r="IM49" s="675">
        <v>0</v>
      </c>
      <c r="IN49" s="675">
        <v>0</v>
      </c>
      <c r="IO49" s="675">
        <v>0</v>
      </c>
      <c r="IP49" s="675">
        <v>0</v>
      </c>
      <c r="IQ49" s="675">
        <v>245.26100000000002</v>
      </c>
      <c r="IR49" s="675">
        <v>151080</v>
      </c>
      <c r="IS49" s="675">
        <v>0</v>
      </c>
      <c r="IT49" s="675">
        <v>0</v>
      </c>
      <c r="IU49" s="675">
        <v>0</v>
      </c>
      <c r="IV49" s="675">
        <v>0</v>
      </c>
      <c r="IW49" s="675">
        <v>6160</v>
      </c>
      <c r="IX49" s="675">
        <v>0</v>
      </c>
      <c r="IY49" s="675">
        <v>0</v>
      </c>
      <c r="IZ49" s="675">
        <v>0</v>
      </c>
      <c r="JA49" s="675">
        <v>0</v>
      </c>
      <c r="JB49" s="675">
        <v>0</v>
      </c>
      <c r="JC49" s="675">
        <v>0</v>
      </c>
      <c r="JD49" s="675">
        <v>0</v>
      </c>
      <c r="JE49" s="675">
        <v>0</v>
      </c>
      <c r="JF49" s="675">
        <v>0</v>
      </c>
      <c r="JG49" s="675">
        <v>0</v>
      </c>
      <c r="JH49" s="675">
        <v>0</v>
      </c>
      <c r="JI49" s="675">
        <v>0</v>
      </c>
      <c r="JJ49" s="675">
        <v>0</v>
      </c>
      <c r="JK49" s="675">
        <v>0</v>
      </c>
      <c r="JL49" s="675">
        <v>0</v>
      </c>
      <c r="JM49" s="675">
        <v>0</v>
      </c>
      <c r="JN49" s="675">
        <v>32469</v>
      </c>
      <c r="JO49" s="675">
        <v>0</v>
      </c>
      <c r="JP49" s="675">
        <v>0</v>
      </c>
      <c r="JQ49" s="675">
        <v>0</v>
      </c>
      <c r="JR49" s="675">
        <v>0</v>
      </c>
      <c r="JS49" s="675">
        <v>0</v>
      </c>
      <c r="JT49" s="675">
        <v>0</v>
      </c>
      <c r="JU49" s="675">
        <v>0</v>
      </c>
      <c r="JV49" s="675">
        <v>0</v>
      </c>
      <c r="JW49" s="675">
        <v>0</v>
      </c>
      <c r="JX49" s="675">
        <v>0</v>
      </c>
      <c r="JY49" s="675">
        <v>0</v>
      </c>
      <c r="JZ49" s="675">
        <v>0</v>
      </c>
      <c r="KA49" s="675">
        <v>0</v>
      </c>
      <c r="KB49" s="675">
        <v>0</v>
      </c>
      <c r="KC49" s="675">
        <v>0</v>
      </c>
      <c r="KD49" s="675">
        <v>0</v>
      </c>
      <c r="KE49" s="675">
        <v>7260</v>
      </c>
      <c r="KF49" s="675">
        <v>0</v>
      </c>
      <c r="KG49" s="675">
        <v>0</v>
      </c>
      <c r="KH49" s="675">
        <v>0</v>
      </c>
      <c r="KI49" s="675">
        <v>0</v>
      </c>
    </row>
    <row r="50" spans="1:295" ht="12.5" x14ac:dyDescent="0.25">
      <c r="A50" s="675">
        <v>35795</v>
      </c>
      <c r="B50" s="675">
        <v>72802</v>
      </c>
      <c r="C50" s="675">
        <v>9</v>
      </c>
      <c r="D50" s="675">
        <v>2022</v>
      </c>
      <c r="E50" s="675">
        <v>6160</v>
      </c>
      <c r="F50" s="675">
        <v>0</v>
      </c>
      <c r="G50" s="675">
        <v>84.332999999999998</v>
      </c>
      <c r="H50" s="675">
        <v>69.524000000000001</v>
      </c>
      <c r="I50" s="675">
        <v>69.524000000000001</v>
      </c>
      <c r="J50" s="675">
        <v>84.332999999999998</v>
      </c>
      <c r="K50" s="675">
        <v>0</v>
      </c>
      <c r="L50" s="675">
        <v>6160</v>
      </c>
      <c r="M50" s="675">
        <v>0</v>
      </c>
      <c r="N50" s="675">
        <v>0</v>
      </c>
      <c r="O50" s="675">
        <v>0</v>
      </c>
      <c r="P50" s="675">
        <v>105.447</v>
      </c>
      <c r="Q50" s="675">
        <v>0</v>
      </c>
      <c r="R50" s="675">
        <v>42435</v>
      </c>
      <c r="S50" s="675">
        <v>402.428</v>
      </c>
      <c r="T50" s="675">
        <v>0</v>
      </c>
      <c r="U50" s="675">
        <v>22565</v>
      </c>
      <c r="V50" s="675">
        <v>3.4670000000000001</v>
      </c>
      <c r="W50" s="675">
        <v>2136</v>
      </c>
      <c r="X50" s="675">
        <v>2136</v>
      </c>
      <c r="Y50" s="675">
        <v>0</v>
      </c>
      <c r="Z50" s="675">
        <v>0</v>
      </c>
      <c r="AA50" s="675">
        <v>0</v>
      </c>
      <c r="AB50" s="675">
        <v>0</v>
      </c>
      <c r="AC50" s="675">
        <v>0</v>
      </c>
      <c r="AD50" s="675" t="s">
        <v>316</v>
      </c>
      <c r="AE50" s="675">
        <v>0</v>
      </c>
      <c r="AF50" s="675">
        <v>0</v>
      </c>
      <c r="AG50" s="675">
        <v>0</v>
      </c>
      <c r="AH50" s="675">
        <v>0</v>
      </c>
      <c r="AI50" s="675">
        <v>0</v>
      </c>
      <c r="AJ50" s="675">
        <v>6160</v>
      </c>
      <c r="AK50" s="675" t="s">
        <v>671</v>
      </c>
      <c r="AL50" s="675" t="s">
        <v>342</v>
      </c>
      <c r="AM50" s="675">
        <v>0</v>
      </c>
      <c r="AN50" s="675">
        <v>0</v>
      </c>
      <c r="AO50" s="675">
        <v>0</v>
      </c>
      <c r="AP50" s="675">
        <v>0</v>
      </c>
      <c r="AQ50" s="675">
        <v>0</v>
      </c>
      <c r="AR50" s="675">
        <v>0</v>
      </c>
      <c r="AS50" s="675">
        <v>0</v>
      </c>
      <c r="AT50" s="675">
        <v>0</v>
      </c>
      <c r="AU50" s="675">
        <v>0</v>
      </c>
      <c r="AV50" s="675">
        <v>-1209</v>
      </c>
      <c r="AW50" s="675">
        <v>972666</v>
      </c>
      <c r="AX50" s="675">
        <v>957799</v>
      </c>
      <c r="AY50" s="675">
        <v>669270</v>
      </c>
      <c r="AZ50" s="675">
        <v>42435</v>
      </c>
      <c r="BA50" s="675">
        <v>0</v>
      </c>
      <c r="BB50" s="675">
        <v>0</v>
      </c>
      <c r="BC50" s="675">
        <v>0</v>
      </c>
      <c r="BD50" s="675">
        <v>0</v>
      </c>
      <c r="BE50" s="675">
        <v>0</v>
      </c>
      <c r="BF50" s="675">
        <v>876089</v>
      </c>
      <c r="BG50" s="675">
        <v>0</v>
      </c>
      <c r="BH50" s="675">
        <v>0</v>
      </c>
      <c r="BI50" s="675">
        <v>0</v>
      </c>
      <c r="BJ50" s="675">
        <v>12</v>
      </c>
      <c r="BK50" s="675">
        <v>0</v>
      </c>
      <c r="BL50" s="675">
        <v>0</v>
      </c>
      <c r="BM50" s="675">
        <v>0</v>
      </c>
      <c r="BN50" s="675">
        <v>0</v>
      </c>
      <c r="BO50" s="675">
        <v>0</v>
      </c>
      <c r="BP50" s="675">
        <v>0</v>
      </c>
      <c r="BQ50" s="675">
        <v>759</v>
      </c>
      <c r="BR50" s="675">
        <v>0</v>
      </c>
      <c r="BS50" s="675">
        <v>0</v>
      </c>
      <c r="BT50" s="675">
        <v>0</v>
      </c>
      <c r="BU50" s="675">
        <v>0</v>
      </c>
      <c r="BV50" s="675">
        <v>0</v>
      </c>
      <c r="BW50" s="675">
        <v>0</v>
      </c>
      <c r="BX50" s="675">
        <v>0</v>
      </c>
      <c r="BY50" s="675">
        <v>0</v>
      </c>
      <c r="BZ50" s="675">
        <v>0</v>
      </c>
      <c r="CA50" s="675">
        <v>0</v>
      </c>
      <c r="CB50" s="675">
        <v>0</v>
      </c>
      <c r="CC50" s="675">
        <v>0</v>
      </c>
      <c r="CD50" s="675">
        <v>0</v>
      </c>
      <c r="CE50" s="675">
        <v>0</v>
      </c>
      <c r="CF50" s="675">
        <v>0</v>
      </c>
      <c r="CG50" s="675">
        <v>0</v>
      </c>
      <c r="CH50" s="675">
        <v>15413</v>
      </c>
      <c r="CI50" s="675">
        <v>0</v>
      </c>
      <c r="CJ50" s="675">
        <v>4</v>
      </c>
      <c r="CK50" s="675">
        <v>0</v>
      </c>
      <c r="CL50" s="675">
        <v>0</v>
      </c>
      <c r="CM50" s="675">
        <v>0</v>
      </c>
      <c r="CN50" s="675">
        <v>0</v>
      </c>
      <c r="CO50" s="675">
        <v>1</v>
      </c>
      <c r="CP50" s="675">
        <v>0.35300000000000004</v>
      </c>
      <c r="CQ50" s="675">
        <v>0</v>
      </c>
      <c r="CR50" s="675">
        <v>108.43</v>
      </c>
      <c r="CS50" s="675">
        <v>0</v>
      </c>
      <c r="CT50" s="675">
        <v>0</v>
      </c>
      <c r="CU50" s="675">
        <v>0</v>
      </c>
      <c r="CV50" s="675">
        <v>0</v>
      </c>
      <c r="CW50" s="675">
        <v>0</v>
      </c>
      <c r="CX50" s="675">
        <v>0</v>
      </c>
      <c r="CY50" s="675">
        <v>0</v>
      </c>
      <c r="CZ50" s="675">
        <v>0</v>
      </c>
      <c r="DA50" s="675">
        <v>0</v>
      </c>
      <c r="DB50" s="675">
        <v>428266</v>
      </c>
      <c r="DC50" s="675">
        <v>0</v>
      </c>
      <c r="DD50" s="675">
        <v>0</v>
      </c>
      <c r="DE50" s="675">
        <v>130283</v>
      </c>
      <c r="DF50" s="675">
        <v>135523</v>
      </c>
      <c r="DG50" s="675">
        <v>21.150000000000002</v>
      </c>
      <c r="DH50" s="675">
        <v>0</v>
      </c>
      <c r="DI50" s="675">
        <v>5240</v>
      </c>
      <c r="DJ50" s="675">
        <v>0</v>
      </c>
      <c r="DK50" s="675">
        <v>3771</v>
      </c>
      <c r="DL50" s="675">
        <v>0</v>
      </c>
      <c r="DM50" s="675">
        <v>143449</v>
      </c>
      <c r="DN50" s="675">
        <v>546</v>
      </c>
      <c r="DO50" s="675">
        <v>0</v>
      </c>
      <c r="DP50" s="675">
        <v>0</v>
      </c>
      <c r="DQ50" s="675">
        <v>0</v>
      </c>
      <c r="DR50" s="675">
        <v>0</v>
      </c>
      <c r="DS50" s="675">
        <v>0</v>
      </c>
      <c r="DT50" s="675">
        <v>0</v>
      </c>
      <c r="DU50" s="675">
        <v>0</v>
      </c>
      <c r="DV50" s="675">
        <v>0</v>
      </c>
      <c r="DW50" s="675">
        <v>0</v>
      </c>
      <c r="DX50" s="675">
        <v>0</v>
      </c>
      <c r="DY50" s="675">
        <v>0</v>
      </c>
      <c r="DZ50" s="675">
        <v>0</v>
      </c>
      <c r="EA50" s="675">
        <v>0</v>
      </c>
      <c r="EB50" s="675">
        <v>0</v>
      </c>
      <c r="EC50" s="675">
        <v>1.1000000000000001</v>
      </c>
      <c r="ED50" s="675">
        <v>7792</v>
      </c>
      <c r="EE50" s="675">
        <v>0</v>
      </c>
      <c r="EF50" s="675">
        <v>0</v>
      </c>
      <c r="EG50" s="675">
        <v>0</v>
      </c>
      <c r="EH50" s="675">
        <v>13447</v>
      </c>
      <c r="EI50" s="675">
        <v>122756</v>
      </c>
      <c r="EJ50" s="675">
        <v>4.9820000000000002</v>
      </c>
      <c r="EK50" s="675">
        <v>0.71100000000000008</v>
      </c>
      <c r="EL50" s="675">
        <v>0</v>
      </c>
      <c r="EM50" s="675">
        <v>0</v>
      </c>
      <c r="EN50" s="675">
        <v>0.01</v>
      </c>
      <c r="EO50" s="675">
        <v>0</v>
      </c>
      <c r="EP50" s="675">
        <v>0</v>
      </c>
      <c r="EQ50" s="675">
        <v>5.7030000000000003</v>
      </c>
      <c r="ER50" s="675">
        <v>0</v>
      </c>
      <c r="ES50" s="675">
        <v>2.1830000000000003</v>
      </c>
      <c r="ET50" s="675">
        <v>0</v>
      </c>
      <c r="EU50" s="675">
        <v>0</v>
      </c>
      <c r="EV50" s="675">
        <v>0</v>
      </c>
      <c r="EW50" s="675">
        <v>0</v>
      </c>
      <c r="EX50" s="675">
        <v>0</v>
      </c>
      <c r="EY50" s="675">
        <v>0</v>
      </c>
      <c r="EZ50" s="675">
        <v>850251</v>
      </c>
      <c r="FA50" s="675">
        <v>0</v>
      </c>
      <c r="FB50" s="675">
        <v>892140</v>
      </c>
      <c r="FC50" s="675">
        <v>0</v>
      </c>
      <c r="FD50" s="675">
        <v>0</v>
      </c>
      <c r="FE50" s="675">
        <v>89116</v>
      </c>
      <c r="FF50" s="675">
        <v>18432</v>
      </c>
      <c r="FG50" s="675">
        <v>6.3574999999999993E-2</v>
      </c>
      <c r="FH50" s="675">
        <v>2.6298999999999999E-2</v>
      </c>
      <c r="FI50" s="675">
        <v>0</v>
      </c>
      <c r="FJ50" s="675">
        <v>0</v>
      </c>
      <c r="FK50" s="675">
        <v>142.22300000000001</v>
      </c>
      <c r="FL50" s="675">
        <v>1015101</v>
      </c>
      <c r="FM50" s="675">
        <v>0</v>
      </c>
      <c r="FN50" s="675">
        <v>0</v>
      </c>
      <c r="FO50" s="675">
        <v>0</v>
      </c>
      <c r="FP50" s="675">
        <v>0</v>
      </c>
      <c r="FQ50" s="675">
        <v>0</v>
      </c>
      <c r="FR50" s="675">
        <v>0</v>
      </c>
      <c r="FS50" s="675">
        <v>0</v>
      </c>
      <c r="FT50" s="675">
        <v>0</v>
      </c>
      <c r="FU50" s="675">
        <v>0</v>
      </c>
      <c r="FV50" s="675">
        <v>0</v>
      </c>
      <c r="FW50" s="675">
        <v>0</v>
      </c>
      <c r="FX50" s="675">
        <v>0</v>
      </c>
      <c r="FY50" s="675">
        <v>0</v>
      </c>
      <c r="FZ50" s="675">
        <v>0</v>
      </c>
      <c r="GA50" s="675">
        <v>0</v>
      </c>
      <c r="GB50" s="675">
        <v>85485</v>
      </c>
      <c r="GC50" s="675">
        <v>85485</v>
      </c>
      <c r="GD50" s="675">
        <v>9.1059999999999999</v>
      </c>
      <c r="GE50" s="675">
        <v>0</v>
      </c>
      <c r="GF50" s="675">
        <v>0</v>
      </c>
      <c r="GG50" s="675">
        <v>0</v>
      </c>
      <c r="GH50" s="675">
        <v>0</v>
      </c>
      <c r="GI50" s="675">
        <v>0</v>
      </c>
      <c r="GJ50" s="675">
        <v>0</v>
      </c>
      <c r="GK50" s="675">
        <v>0</v>
      </c>
      <c r="GL50" s="675">
        <v>0</v>
      </c>
      <c r="GM50" s="675">
        <v>0</v>
      </c>
      <c r="GN50" s="675">
        <v>0</v>
      </c>
      <c r="GO50" s="675">
        <v>0</v>
      </c>
      <c r="GP50" s="675">
        <v>0</v>
      </c>
      <c r="GQ50" s="675">
        <v>0</v>
      </c>
      <c r="GR50" s="675">
        <v>0</v>
      </c>
      <c r="GS50" s="675">
        <v>0</v>
      </c>
      <c r="GT50" s="675">
        <v>0</v>
      </c>
      <c r="GU50" s="675">
        <v>0</v>
      </c>
      <c r="GV50" s="675">
        <v>0</v>
      </c>
      <c r="GW50" s="675">
        <v>0</v>
      </c>
      <c r="GX50" s="675">
        <v>0</v>
      </c>
      <c r="GY50" s="675">
        <v>0</v>
      </c>
      <c r="GZ50" s="675">
        <v>0</v>
      </c>
      <c r="HA50" s="675">
        <v>0</v>
      </c>
      <c r="HB50" s="675">
        <v>298386780</v>
      </c>
      <c r="HC50" s="675">
        <v>4.5690999999999996E-2</v>
      </c>
      <c r="HD50" s="675">
        <v>15413</v>
      </c>
      <c r="HE50" s="675">
        <v>0</v>
      </c>
      <c r="HF50" s="675">
        <v>76476</v>
      </c>
      <c r="HG50" s="675">
        <v>3388</v>
      </c>
      <c r="HH50" s="675">
        <v>0</v>
      </c>
      <c r="HI50" s="675">
        <v>0</v>
      </c>
      <c r="HJ50" s="675">
        <v>820</v>
      </c>
      <c r="HK50" s="675">
        <v>1188</v>
      </c>
      <c r="HL50" s="675">
        <v>417</v>
      </c>
      <c r="HM50" s="675">
        <v>0</v>
      </c>
      <c r="HN50" s="675">
        <v>0</v>
      </c>
      <c r="HO50" s="675">
        <v>0</v>
      </c>
      <c r="HP50" s="675">
        <v>12756</v>
      </c>
      <c r="HQ50" s="675">
        <v>0</v>
      </c>
      <c r="HR50" s="675">
        <v>0</v>
      </c>
      <c r="HS50" s="675">
        <v>849705</v>
      </c>
      <c r="HT50" s="675">
        <v>18432</v>
      </c>
      <c r="HU50" s="675">
        <v>0</v>
      </c>
      <c r="HV50" s="675">
        <v>0</v>
      </c>
      <c r="HW50" s="675">
        <v>0</v>
      </c>
      <c r="HX50" s="675">
        <v>23</v>
      </c>
      <c r="HY50" s="675">
        <v>5</v>
      </c>
      <c r="HZ50" s="675">
        <v>12</v>
      </c>
      <c r="IA50" s="675">
        <v>3</v>
      </c>
      <c r="IB50" s="675">
        <v>40</v>
      </c>
      <c r="IC50" s="675">
        <v>83</v>
      </c>
      <c r="ID50" s="675">
        <v>0</v>
      </c>
      <c r="IE50" s="675">
        <v>0</v>
      </c>
      <c r="IF50" s="675">
        <v>0</v>
      </c>
      <c r="IG50" s="675">
        <v>5.5</v>
      </c>
      <c r="IH50" s="675">
        <v>0</v>
      </c>
      <c r="II50" s="675">
        <v>46.385000000000005</v>
      </c>
      <c r="IJ50" s="675">
        <v>3.4670000000000001</v>
      </c>
      <c r="IK50" s="675">
        <v>8.1330000000000009</v>
      </c>
      <c r="IL50" s="675">
        <v>0</v>
      </c>
      <c r="IM50" s="675">
        <v>0</v>
      </c>
      <c r="IN50" s="675">
        <v>0</v>
      </c>
      <c r="IO50" s="675">
        <v>0</v>
      </c>
      <c r="IP50" s="675">
        <v>54.518000000000001</v>
      </c>
      <c r="IQ50" s="675">
        <v>3.4670000000000001</v>
      </c>
      <c r="IR50" s="675">
        <v>2136</v>
      </c>
      <c r="IS50" s="675">
        <v>2237</v>
      </c>
      <c r="IT50" s="675">
        <v>0</v>
      </c>
      <c r="IU50" s="675">
        <v>0</v>
      </c>
      <c r="IV50" s="675">
        <v>0</v>
      </c>
      <c r="IW50" s="675">
        <v>6160</v>
      </c>
      <c r="IX50" s="675">
        <v>0</v>
      </c>
      <c r="IY50" s="675">
        <v>0</v>
      </c>
      <c r="IZ50" s="675">
        <v>14992</v>
      </c>
      <c r="JA50" s="675">
        <v>0</v>
      </c>
      <c r="JB50" s="675">
        <v>0</v>
      </c>
      <c r="JC50" s="675">
        <v>0</v>
      </c>
      <c r="JD50" s="675">
        <v>0</v>
      </c>
      <c r="JE50" s="675">
        <v>0</v>
      </c>
      <c r="JF50" s="675">
        <v>0</v>
      </c>
      <c r="JG50" s="675">
        <v>0</v>
      </c>
      <c r="JH50" s="675">
        <v>0</v>
      </c>
      <c r="JI50" s="675">
        <v>0</v>
      </c>
      <c r="JJ50" s="675">
        <v>0</v>
      </c>
      <c r="JK50" s="675">
        <v>0</v>
      </c>
      <c r="JL50" s="675">
        <v>0</v>
      </c>
      <c r="JM50" s="675">
        <v>0</v>
      </c>
      <c r="JN50" s="675">
        <v>32469</v>
      </c>
      <c r="JO50" s="675">
        <v>0</v>
      </c>
      <c r="JP50" s="675">
        <v>8.479000000000001</v>
      </c>
      <c r="JQ50" s="675">
        <v>0.627</v>
      </c>
      <c r="JR50" s="675">
        <v>0</v>
      </c>
      <c r="JS50" s="675">
        <v>78794</v>
      </c>
      <c r="JT50" s="675">
        <v>6691</v>
      </c>
      <c r="JU50" s="675">
        <v>0</v>
      </c>
      <c r="JV50" s="675">
        <v>0</v>
      </c>
      <c r="JW50" s="675">
        <v>0</v>
      </c>
      <c r="JX50" s="675">
        <v>0</v>
      </c>
      <c r="JY50" s="675">
        <v>0</v>
      </c>
      <c r="JZ50" s="675">
        <v>0</v>
      </c>
      <c r="KA50" s="675">
        <v>0</v>
      </c>
      <c r="KB50" s="675">
        <v>0</v>
      </c>
      <c r="KC50" s="675">
        <v>0</v>
      </c>
      <c r="KD50" s="675">
        <v>0</v>
      </c>
      <c r="KE50" s="675">
        <v>7260</v>
      </c>
      <c r="KF50" s="675">
        <v>0</v>
      </c>
      <c r="KG50" s="675">
        <v>0</v>
      </c>
      <c r="KH50" s="675">
        <v>0</v>
      </c>
      <c r="KI50" s="675">
        <v>0</v>
      </c>
    </row>
    <row r="51" spans="1:295" ht="12.5" x14ac:dyDescent="0.25">
      <c r="A51" s="675">
        <v>35795</v>
      </c>
      <c r="B51" s="675">
        <v>84802</v>
      </c>
      <c r="C51" s="675">
        <v>9</v>
      </c>
      <c r="D51" s="675">
        <v>2022</v>
      </c>
      <c r="E51" s="675">
        <v>6160</v>
      </c>
      <c r="F51" s="675">
        <v>0</v>
      </c>
      <c r="G51" s="675">
        <v>1255.9950000000001</v>
      </c>
      <c r="H51" s="675">
        <v>1197.3890000000001</v>
      </c>
      <c r="I51" s="675">
        <v>1197.3890000000001</v>
      </c>
      <c r="J51" s="675">
        <v>1255.9950000000001</v>
      </c>
      <c r="K51" s="675">
        <v>0</v>
      </c>
      <c r="L51" s="675">
        <v>6160</v>
      </c>
      <c r="M51" s="675">
        <v>0</v>
      </c>
      <c r="N51" s="675">
        <v>0</v>
      </c>
      <c r="O51" s="675">
        <v>0</v>
      </c>
      <c r="P51" s="675">
        <v>1198.9580000000001</v>
      </c>
      <c r="Q51" s="675">
        <v>0</v>
      </c>
      <c r="R51" s="675">
        <v>482494</v>
      </c>
      <c r="S51" s="675">
        <v>402.428</v>
      </c>
      <c r="T51" s="675">
        <v>0</v>
      </c>
      <c r="U51" s="675">
        <v>256577</v>
      </c>
      <c r="V51" s="675">
        <v>227.012</v>
      </c>
      <c r="W51" s="675">
        <v>139839</v>
      </c>
      <c r="X51" s="675">
        <v>139839</v>
      </c>
      <c r="Y51" s="675">
        <v>0</v>
      </c>
      <c r="Z51" s="675">
        <v>0</v>
      </c>
      <c r="AA51" s="675">
        <v>0</v>
      </c>
      <c r="AB51" s="675">
        <v>0</v>
      </c>
      <c r="AC51" s="675">
        <v>0</v>
      </c>
      <c r="AD51" s="675" t="s">
        <v>316</v>
      </c>
      <c r="AE51" s="675">
        <v>0</v>
      </c>
      <c r="AF51" s="675">
        <v>0</v>
      </c>
      <c r="AG51" s="675">
        <v>0</v>
      </c>
      <c r="AH51" s="675">
        <v>0</v>
      </c>
      <c r="AI51" s="675">
        <v>0</v>
      </c>
      <c r="AJ51" s="675">
        <v>6160</v>
      </c>
      <c r="AK51" s="675" t="s">
        <v>671</v>
      </c>
      <c r="AL51" s="675" t="s">
        <v>343</v>
      </c>
      <c r="AM51" s="675">
        <v>0</v>
      </c>
      <c r="AN51" s="675">
        <v>0</v>
      </c>
      <c r="AO51" s="675">
        <v>0</v>
      </c>
      <c r="AP51" s="675">
        <v>0</v>
      </c>
      <c r="AQ51" s="675">
        <v>0</v>
      </c>
      <c r="AR51" s="675">
        <v>0</v>
      </c>
      <c r="AS51" s="675">
        <v>0</v>
      </c>
      <c r="AT51" s="675">
        <v>0</v>
      </c>
      <c r="AU51" s="675">
        <v>0</v>
      </c>
      <c r="AV51" s="675">
        <v>0</v>
      </c>
      <c r="AW51" s="675">
        <v>13500146</v>
      </c>
      <c r="AX51" s="675">
        <v>13274360</v>
      </c>
      <c r="AY51" s="675">
        <v>8943399</v>
      </c>
      <c r="AZ51" s="675">
        <v>482494</v>
      </c>
      <c r="BA51" s="675">
        <v>0</v>
      </c>
      <c r="BB51" s="675">
        <v>26877</v>
      </c>
      <c r="BC51" s="675">
        <v>26704</v>
      </c>
      <c r="BD51" s="675">
        <v>62.33</v>
      </c>
      <c r="BE51" s="675">
        <v>173</v>
      </c>
      <c r="BF51" s="675">
        <v>12250499</v>
      </c>
      <c r="BG51" s="675">
        <v>0</v>
      </c>
      <c r="BH51" s="675">
        <v>0</v>
      </c>
      <c r="BI51" s="675">
        <v>0</v>
      </c>
      <c r="BJ51" s="675">
        <v>12</v>
      </c>
      <c r="BK51" s="675">
        <v>0</v>
      </c>
      <c r="BL51" s="675">
        <v>0</v>
      </c>
      <c r="BM51" s="675">
        <v>0</v>
      </c>
      <c r="BN51" s="675">
        <v>0</v>
      </c>
      <c r="BO51" s="675">
        <v>0</v>
      </c>
      <c r="BP51" s="675">
        <v>0</v>
      </c>
      <c r="BQ51" s="675">
        <v>586</v>
      </c>
      <c r="BR51" s="675">
        <v>0</v>
      </c>
      <c r="BS51" s="675">
        <v>0</v>
      </c>
      <c r="BT51" s="675">
        <v>0</v>
      </c>
      <c r="BU51" s="675">
        <v>0</v>
      </c>
      <c r="BV51" s="675">
        <v>0</v>
      </c>
      <c r="BW51" s="675">
        <v>0</v>
      </c>
      <c r="BX51" s="675">
        <v>0</v>
      </c>
      <c r="BY51" s="675">
        <v>0</v>
      </c>
      <c r="BZ51" s="675">
        <v>0</v>
      </c>
      <c r="CA51" s="675">
        <v>0</v>
      </c>
      <c r="CB51" s="675">
        <v>0</v>
      </c>
      <c r="CC51" s="675">
        <v>0</v>
      </c>
      <c r="CD51" s="675">
        <v>0</v>
      </c>
      <c r="CE51" s="675">
        <v>0</v>
      </c>
      <c r="CF51" s="675">
        <v>0</v>
      </c>
      <c r="CG51" s="675">
        <v>0</v>
      </c>
      <c r="CH51" s="675">
        <v>229549</v>
      </c>
      <c r="CI51" s="675">
        <v>0</v>
      </c>
      <c r="CJ51" s="675">
        <v>4</v>
      </c>
      <c r="CK51" s="675">
        <v>0</v>
      </c>
      <c r="CL51" s="675">
        <v>0</v>
      </c>
      <c r="CM51" s="675">
        <v>0</v>
      </c>
      <c r="CN51" s="675">
        <v>0</v>
      </c>
      <c r="CO51" s="675">
        <v>1</v>
      </c>
      <c r="CP51" s="675">
        <v>0.114</v>
      </c>
      <c r="CQ51" s="675">
        <v>0</v>
      </c>
      <c r="CR51" s="675">
        <v>1217.2550000000001</v>
      </c>
      <c r="CS51" s="675">
        <v>0</v>
      </c>
      <c r="CT51" s="675">
        <v>0</v>
      </c>
      <c r="CU51" s="675">
        <v>0</v>
      </c>
      <c r="CV51" s="675">
        <v>0</v>
      </c>
      <c r="CW51" s="675">
        <v>0</v>
      </c>
      <c r="CX51" s="675">
        <v>0</v>
      </c>
      <c r="CY51" s="675">
        <v>0</v>
      </c>
      <c r="CZ51" s="675">
        <v>0</v>
      </c>
      <c r="DA51" s="675">
        <v>0</v>
      </c>
      <c r="DB51" s="675">
        <v>7375882</v>
      </c>
      <c r="DC51" s="675">
        <v>0</v>
      </c>
      <c r="DD51" s="675">
        <v>0</v>
      </c>
      <c r="DE51" s="675">
        <v>1826663</v>
      </c>
      <c r="DF51" s="675">
        <v>1828355</v>
      </c>
      <c r="DG51" s="675">
        <v>296.53800000000001</v>
      </c>
      <c r="DH51" s="675">
        <v>0</v>
      </c>
      <c r="DI51" s="675">
        <v>1692</v>
      </c>
      <c r="DJ51" s="675">
        <v>0</v>
      </c>
      <c r="DK51" s="675">
        <v>992</v>
      </c>
      <c r="DL51" s="675">
        <v>0</v>
      </c>
      <c r="DM51" s="675">
        <v>942316</v>
      </c>
      <c r="DN51" s="675">
        <v>3589</v>
      </c>
      <c r="DO51" s="675">
        <v>0</v>
      </c>
      <c r="DP51" s="675">
        <v>0</v>
      </c>
      <c r="DQ51" s="675">
        <v>0</v>
      </c>
      <c r="DR51" s="675">
        <v>0</v>
      </c>
      <c r="DS51" s="675">
        <v>0</v>
      </c>
      <c r="DT51" s="675">
        <v>0</v>
      </c>
      <c r="DU51" s="675">
        <v>0</v>
      </c>
      <c r="DV51" s="675">
        <v>0</v>
      </c>
      <c r="DW51" s="675">
        <v>0</v>
      </c>
      <c r="DX51" s="675">
        <v>0</v>
      </c>
      <c r="DY51" s="675">
        <v>0</v>
      </c>
      <c r="DZ51" s="675">
        <v>0</v>
      </c>
      <c r="EA51" s="675">
        <v>0.157</v>
      </c>
      <c r="EB51" s="675">
        <v>0</v>
      </c>
      <c r="EC51" s="675">
        <v>58.045000000000002</v>
      </c>
      <c r="ED51" s="675">
        <v>411189</v>
      </c>
      <c r="EE51" s="675">
        <v>0</v>
      </c>
      <c r="EF51" s="675">
        <v>0</v>
      </c>
      <c r="EG51" s="675">
        <v>0</v>
      </c>
      <c r="EH51" s="675">
        <v>534716</v>
      </c>
      <c r="EI51" s="675">
        <v>0</v>
      </c>
      <c r="EJ51" s="675">
        <v>0</v>
      </c>
      <c r="EK51" s="675">
        <v>25.895</v>
      </c>
      <c r="EL51" s="675">
        <v>0</v>
      </c>
      <c r="EM51" s="675">
        <v>0</v>
      </c>
      <c r="EN51" s="675">
        <v>1.667</v>
      </c>
      <c r="EO51" s="675">
        <v>0</v>
      </c>
      <c r="EP51" s="675">
        <v>0</v>
      </c>
      <c r="EQ51" s="675">
        <v>27.719000000000001</v>
      </c>
      <c r="ER51" s="675">
        <v>0</v>
      </c>
      <c r="ES51" s="675">
        <v>86.805000000000007</v>
      </c>
      <c r="ET51" s="675">
        <v>0</v>
      </c>
      <c r="EU51" s="675">
        <v>0</v>
      </c>
      <c r="EV51" s="675">
        <v>0</v>
      </c>
      <c r="EW51" s="675">
        <v>0</v>
      </c>
      <c r="EX51" s="675">
        <v>0</v>
      </c>
      <c r="EY51" s="675">
        <v>0</v>
      </c>
      <c r="EZ51" s="675">
        <v>11770491</v>
      </c>
      <c r="FA51" s="675">
        <v>0</v>
      </c>
      <c r="FB51" s="675">
        <v>12249222</v>
      </c>
      <c r="FC51" s="675">
        <v>0</v>
      </c>
      <c r="FD51" s="675">
        <v>0</v>
      </c>
      <c r="FE51" s="675">
        <v>1246127</v>
      </c>
      <c r="FF51" s="675">
        <v>257742</v>
      </c>
      <c r="FG51" s="675">
        <v>6.3574999999999993E-2</v>
      </c>
      <c r="FH51" s="675">
        <v>2.6298999999999999E-2</v>
      </c>
      <c r="FI51" s="675">
        <v>0</v>
      </c>
      <c r="FJ51" s="675">
        <v>0</v>
      </c>
      <c r="FK51" s="675">
        <v>1988.7270000000001</v>
      </c>
      <c r="FL51" s="675">
        <v>13982640</v>
      </c>
      <c r="FM51" s="675">
        <v>0</v>
      </c>
      <c r="FN51" s="675">
        <v>0</v>
      </c>
      <c r="FO51" s="675">
        <v>0</v>
      </c>
      <c r="FP51" s="675">
        <v>0</v>
      </c>
      <c r="FQ51" s="675">
        <v>0</v>
      </c>
      <c r="FR51" s="675">
        <v>0</v>
      </c>
      <c r="FS51" s="675">
        <v>0</v>
      </c>
      <c r="FT51" s="675">
        <v>0</v>
      </c>
      <c r="FU51" s="675">
        <v>0</v>
      </c>
      <c r="FV51" s="675">
        <v>0</v>
      </c>
      <c r="FW51" s="675">
        <v>0</v>
      </c>
      <c r="FX51" s="675">
        <v>0</v>
      </c>
      <c r="FY51" s="675">
        <v>0</v>
      </c>
      <c r="FZ51" s="675">
        <v>0</v>
      </c>
      <c r="GA51" s="675">
        <v>0</v>
      </c>
      <c r="GB51" s="675">
        <v>270654</v>
      </c>
      <c r="GC51" s="675">
        <v>270654</v>
      </c>
      <c r="GD51" s="675">
        <v>30.887</v>
      </c>
      <c r="GE51" s="675">
        <v>0</v>
      </c>
      <c r="GF51" s="675">
        <v>0</v>
      </c>
      <c r="GG51" s="675">
        <v>0</v>
      </c>
      <c r="GH51" s="675">
        <v>0</v>
      </c>
      <c r="GI51" s="675">
        <v>0</v>
      </c>
      <c r="GJ51" s="675">
        <v>0</v>
      </c>
      <c r="GK51" s="675">
        <v>0</v>
      </c>
      <c r="GL51" s="675">
        <v>0</v>
      </c>
      <c r="GM51" s="675">
        <v>0</v>
      </c>
      <c r="GN51" s="675">
        <v>0</v>
      </c>
      <c r="GO51" s="675">
        <v>0</v>
      </c>
      <c r="GP51" s="675">
        <v>0</v>
      </c>
      <c r="GQ51" s="675">
        <v>0</v>
      </c>
      <c r="GR51" s="675">
        <v>0</v>
      </c>
      <c r="GS51" s="675">
        <v>0</v>
      </c>
      <c r="GT51" s="675">
        <v>0</v>
      </c>
      <c r="GU51" s="675">
        <v>0</v>
      </c>
      <c r="GV51" s="675">
        <v>0</v>
      </c>
      <c r="GW51" s="675">
        <v>0</v>
      </c>
      <c r="GX51" s="675">
        <v>0</v>
      </c>
      <c r="GY51" s="675">
        <v>0</v>
      </c>
      <c r="GZ51" s="675">
        <v>0</v>
      </c>
      <c r="HA51" s="675">
        <v>0</v>
      </c>
      <c r="HB51" s="675">
        <v>298386780</v>
      </c>
      <c r="HC51" s="675">
        <v>4.5690999999999996E-2</v>
      </c>
      <c r="HD51" s="675">
        <v>229549</v>
      </c>
      <c r="HE51" s="675">
        <v>0</v>
      </c>
      <c r="HF51" s="675">
        <v>1317128</v>
      </c>
      <c r="HG51" s="675">
        <v>24640</v>
      </c>
      <c r="HH51" s="675">
        <v>245011</v>
      </c>
      <c r="HI51" s="675">
        <v>0</v>
      </c>
      <c r="HJ51" s="675">
        <v>12208</v>
      </c>
      <c r="HK51" s="675">
        <v>1512</v>
      </c>
      <c r="HL51" s="675">
        <v>974</v>
      </c>
      <c r="HM51" s="675">
        <v>55000</v>
      </c>
      <c r="HN51" s="675">
        <v>0</v>
      </c>
      <c r="HO51" s="675">
        <v>9000</v>
      </c>
      <c r="HP51" s="675">
        <v>0</v>
      </c>
      <c r="HQ51" s="675">
        <v>0</v>
      </c>
      <c r="HR51" s="675">
        <v>0</v>
      </c>
      <c r="HS51" s="675">
        <v>11766728</v>
      </c>
      <c r="HT51" s="675">
        <v>257742</v>
      </c>
      <c r="HU51" s="675">
        <v>0</v>
      </c>
      <c r="HV51" s="675">
        <v>0</v>
      </c>
      <c r="HW51" s="675">
        <v>0</v>
      </c>
      <c r="HX51" s="675">
        <v>244</v>
      </c>
      <c r="HY51" s="675">
        <v>160</v>
      </c>
      <c r="HZ51" s="675">
        <v>368</v>
      </c>
      <c r="IA51" s="675">
        <v>221</v>
      </c>
      <c r="IB51" s="675">
        <v>195</v>
      </c>
      <c r="IC51" s="675">
        <v>1188</v>
      </c>
      <c r="ID51" s="675">
        <v>0</v>
      </c>
      <c r="IE51" s="675">
        <v>0</v>
      </c>
      <c r="IF51" s="675">
        <v>0</v>
      </c>
      <c r="IG51" s="675">
        <v>40</v>
      </c>
      <c r="IH51" s="675">
        <v>397.74700000000001</v>
      </c>
      <c r="II51" s="675">
        <v>0</v>
      </c>
      <c r="IJ51" s="675">
        <v>227.012</v>
      </c>
      <c r="IK51" s="675">
        <v>0</v>
      </c>
      <c r="IL51" s="675">
        <v>5</v>
      </c>
      <c r="IM51" s="675">
        <v>10</v>
      </c>
      <c r="IN51" s="675">
        <v>0</v>
      </c>
      <c r="IO51" s="675">
        <v>15</v>
      </c>
      <c r="IP51" s="675">
        <v>0</v>
      </c>
      <c r="IQ51" s="675">
        <v>227.012</v>
      </c>
      <c r="IR51" s="675">
        <v>139839</v>
      </c>
      <c r="IS51" s="675">
        <v>0</v>
      </c>
      <c r="IT51" s="675">
        <v>25000</v>
      </c>
      <c r="IU51" s="675">
        <v>30000</v>
      </c>
      <c r="IV51" s="675">
        <v>0</v>
      </c>
      <c r="IW51" s="675">
        <v>6160</v>
      </c>
      <c r="IX51" s="675">
        <v>0</v>
      </c>
      <c r="IY51" s="675">
        <v>0</v>
      </c>
      <c r="IZ51" s="675">
        <v>0</v>
      </c>
      <c r="JA51" s="675">
        <v>0</v>
      </c>
      <c r="JB51" s="675">
        <v>0</v>
      </c>
      <c r="JC51" s="675">
        <v>0</v>
      </c>
      <c r="JD51" s="675">
        <v>0</v>
      </c>
      <c r="JE51" s="675">
        <v>0</v>
      </c>
      <c r="JF51" s="675">
        <v>0</v>
      </c>
      <c r="JG51" s="675">
        <v>0</v>
      </c>
      <c r="JH51" s="675">
        <v>0</v>
      </c>
      <c r="JI51" s="675">
        <v>0</v>
      </c>
      <c r="JJ51" s="675">
        <v>0</v>
      </c>
      <c r="JK51" s="675">
        <v>0</v>
      </c>
      <c r="JL51" s="675">
        <v>0</v>
      </c>
      <c r="JM51" s="675">
        <v>0</v>
      </c>
      <c r="JN51" s="675">
        <v>32469</v>
      </c>
      <c r="JO51" s="675">
        <v>16.717000000000002</v>
      </c>
      <c r="JP51" s="675">
        <v>10.202</v>
      </c>
      <c r="JQ51" s="675">
        <v>3.968</v>
      </c>
      <c r="JR51" s="675">
        <v>133502</v>
      </c>
      <c r="JS51" s="675">
        <v>94805</v>
      </c>
      <c r="JT51" s="675">
        <v>42347</v>
      </c>
      <c r="JU51" s="675">
        <v>26877</v>
      </c>
      <c r="JV51" s="675">
        <v>0</v>
      </c>
      <c r="JW51" s="675">
        <v>0</v>
      </c>
      <c r="JX51" s="675">
        <v>0</v>
      </c>
      <c r="JY51" s="675">
        <v>0</v>
      </c>
      <c r="JZ51" s="675">
        <v>0</v>
      </c>
      <c r="KA51" s="675">
        <v>0</v>
      </c>
      <c r="KB51" s="675">
        <v>0</v>
      </c>
      <c r="KC51" s="675">
        <v>0</v>
      </c>
      <c r="KD51" s="675">
        <v>26877</v>
      </c>
      <c r="KE51" s="675">
        <v>7260</v>
      </c>
      <c r="KF51" s="675">
        <v>0</v>
      </c>
      <c r="KG51" s="675">
        <v>0</v>
      </c>
      <c r="KH51" s="675">
        <v>0</v>
      </c>
      <c r="KI51" s="675">
        <v>0</v>
      </c>
    </row>
    <row r="52" spans="1:295" ht="12.5" x14ac:dyDescent="0.25">
      <c r="A52" s="675">
        <v>35795</v>
      </c>
      <c r="B52" s="675">
        <v>101802</v>
      </c>
      <c r="C52" s="675">
        <v>9</v>
      </c>
      <c r="D52" s="675">
        <v>2022</v>
      </c>
      <c r="E52" s="675">
        <v>6160</v>
      </c>
      <c r="F52" s="675">
        <v>0</v>
      </c>
      <c r="G52" s="675">
        <v>915.82800000000009</v>
      </c>
      <c r="H52" s="675">
        <v>903.66200000000003</v>
      </c>
      <c r="I52" s="675">
        <v>903.66200000000003</v>
      </c>
      <c r="J52" s="675">
        <v>915.82800000000009</v>
      </c>
      <c r="K52" s="675">
        <v>0</v>
      </c>
      <c r="L52" s="675">
        <v>6160</v>
      </c>
      <c r="M52" s="675">
        <v>0</v>
      </c>
      <c r="N52" s="675">
        <v>0</v>
      </c>
      <c r="O52" s="675">
        <v>0</v>
      </c>
      <c r="P52" s="675">
        <v>964.62900000000002</v>
      </c>
      <c r="Q52" s="675">
        <v>0</v>
      </c>
      <c r="R52" s="675">
        <v>388194</v>
      </c>
      <c r="S52" s="675">
        <v>402.428</v>
      </c>
      <c r="T52" s="675">
        <v>0</v>
      </c>
      <c r="U52" s="675">
        <v>206430</v>
      </c>
      <c r="V52" s="675">
        <v>879.22300000000007</v>
      </c>
      <c r="W52" s="675">
        <v>1192604</v>
      </c>
      <c r="X52" s="675">
        <v>1192604</v>
      </c>
      <c r="Y52" s="675">
        <v>0</v>
      </c>
      <c r="Z52" s="675">
        <v>0</v>
      </c>
      <c r="AA52" s="675">
        <v>0</v>
      </c>
      <c r="AB52" s="675">
        <v>0</v>
      </c>
      <c r="AC52" s="675">
        <v>0</v>
      </c>
      <c r="AD52" s="675" t="s">
        <v>316</v>
      </c>
      <c r="AE52" s="675">
        <v>0</v>
      </c>
      <c r="AF52" s="675">
        <v>0</v>
      </c>
      <c r="AG52" s="675">
        <v>0</v>
      </c>
      <c r="AH52" s="675">
        <v>0</v>
      </c>
      <c r="AI52" s="675">
        <v>0</v>
      </c>
      <c r="AJ52" s="675">
        <v>6160</v>
      </c>
      <c r="AK52" s="675" t="s">
        <v>671</v>
      </c>
      <c r="AL52" s="675" t="s">
        <v>51</v>
      </c>
      <c r="AM52" s="675">
        <v>0</v>
      </c>
      <c r="AN52" s="675">
        <v>0</v>
      </c>
      <c r="AO52" s="675">
        <v>0</v>
      </c>
      <c r="AP52" s="675">
        <v>0</v>
      </c>
      <c r="AQ52" s="675">
        <v>0</v>
      </c>
      <c r="AR52" s="675">
        <v>0</v>
      </c>
      <c r="AS52" s="675">
        <v>0</v>
      </c>
      <c r="AT52" s="675">
        <v>0</v>
      </c>
      <c r="AU52" s="675">
        <v>0</v>
      </c>
      <c r="AV52" s="675">
        <v>0</v>
      </c>
      <c r="AW52" s="675">
        <v>11424035</v>
      </c>
      <c r="AX52" s="675">
        <v>10961301</v>
      </c>
      <c r="AY52" s="675">
        <v>7552384</v>
      </c>
      <c r="AZ52" s="675">
        <v>388194</v>
      </c>
      <c r="BA52" s="675">
        <v>0</v>
      </c>
      <c r="BB52" s="675">
        <v>0</v>
      </c>
      <c r="BC52" s="675">
        <v>0</v>
      </c>
      <c r="BD52" s="675">
        <v>0</v>
      </c>
      <c r="BE52" s="675">
        <v>0</v>
      </c>
      <c r="BF52" s="675">
        <v>10108570</v>
      </c>
      <c r="BG52" s="675">
        <v>0</v>
      </c>
      <c r="BH52" s="675">
        <v>0</v>
      </c>
      <c r="BI52" s="675">
        <v>0</v>
      </c>
      <c r="BJ52" s="675">
        <v>12</v>
      </c>
      <c r="BK52" s="675">
        <v>0</v>
      </c>
      <c r="BL52" s="675">
        <v>0</v>
      </c>
      <c r="BM52" s="675">
        <v>0</v>
      </c>
      <c r="BN52" s="675">
        <v>0</v>
      </c>
      <c r="BO52" s="675">
        <v>0</v>
      </c>
      <c r="BP52" s="675">
        <v>0</v>
      </c>
      <c r="BQ52" s="675">
        <v>631</v>
      </c>
      <c r="BR52" s="675">
        <v>0</v>
      </c>
      <c r="BS52" s="675">
        <v>0</v>
      </c>
      <c r="BT52" s="675">
        <v>0</v>
      </c>
      <c r="BU52" s="675">
        <v>0</v>
      </c>
      <c r="BV52" s="675">
        <v>0</v>
      </c>
      <c r="BW52" s="675">
        <v>0</v>
      </c>
      <c r="BX52" s="675">
        <v>0</v>
      </c>
      <c r="BY52" s="675">
        <v>0</v>
      </c>
      <c r="BZ52" s="675">
        <v>0</v>
      </c>
      <c r="CA52" s="675">
        <v>0</v>
      </c>
      <c r="CB52" s="675">
        <v>0</v>
      </c>
      <c r="CC52" s="675">
        <v>0</v>
      </c>
      <c r="CD52" s="675">
        <v>0</v>
      </c>
      <c r="CE52" s="675">
        <v>0</v>
      </c>
      <c r="CF52" s="675">
        <v>0</v>
      </c>
      <c r="CG52" s="675">
        <v>0</v>
      </c>
      <c r="CH52" s="675">
        <v>463781</v>
      </c>
      <c r="CI52" s="675">
        <v>0</v>
      </c>
      <c r="CJ52" s="675">
        <v>4</v>
      </c>
      <c r="CK52" s="675">
        <v>0</v>
      </c>
      <c r="CL52" s="675">
        <v>0</v>
      </c>
      <c r="CM52" s="675">
        <v>0</v>
      </c>
      <c r="CN52" s="675">
        <v>0</v>
      </c>
      <c r="CO52" s="675">
        <v>1</v>
      </c>
      <c r="CP52" s="675">
        <v>0</v>
      </c>
      <c r="CQ52" s="675">
        <v>0</v>
      </c>
      <c r="CR52" s="675">
        <v>967.52200000000005</v>
      </c>
      <c r="CS52" s="675">
        <v>0</v>
      </c>
      <c r="CT52" s="675">
        <v>0</v>
      </c>
      <c r="CU52" s="675">
        <v>0</v>
      </c>
      <c r="CV52" s="675">
        <v>0</v>
      </c>
      <c r="CW52" s="675">
        <v>0</v>
      </c>
      <c r="CX52" s="675">
        <v>0</v>
      </c>
      <c r="CY52" s="675">
        <v>0</v>
      </c>
      <c r="CZ52" s="675">
        <v>0</v>
      </c>
      <c r="DA52" s="675">
        <v>0</v>
      </c>
      <c r="DB52" s="675">
        <v>5526604</v>
      </c>
      <c r="DC52" s="675">
        <v>0</v>
      </c>
      <c r="DD52" s="675">
        <v>0</v>
      </c>
      <c r="DE52" s="675">
        <v>1640323</v>
      </c>
      <c r="DF52" s="675">
        <v>1640323</v>
      </c>
      <c r="DG52" s="675">
        <v>266.28800000000001</v>
      </c>
      <c r="DH52" s="675">
        <v>0</v>
      </c>
      <c r="DI52" s="675">
        <v>0</v>
      </c>
      <c r="DJ52" s="675">
        <v>0</v>
      </c>
      <c r="DK52" s="675">
        <v>1716</v>
      </c>
      <c r="DL52" s="675">
        <v>0</v>
      </c>
      <c r="DM52" s="675">
        <v>314792</v>
      </c>
      <c r="DN52" s="675">
        <v>1047</v>
      </c>
      <c r="DO52" s="675">
        <v>0</v>
      </c>
      <c r="DP52" s="675">
        <v>0</v>
      </c>
      <c r="DQ52" s="675">
        <v>0</v>
      </c>
      <c r="DR52" s="675">
        <v>0</v>
      </c>
      <c r="DS52" s="675">
        <v>0</v>
      </c>
      <c r="DT52" s="675">
        <v>0</v>
      </c>
      <c r="DU52" s="675">
        <v>0</v>
      </c>
      <c r="DV52" s="675">
        <v>0</v>
      </c>
      <c r="DW52" s="675">
        <v>0</v>
      </c>
      <c r="DX52" s="675">
        <v>0</v>
      </c>
      <c r="DY52" s="675">
        <v>0</v>
      </c>
      <c r="DZ52" s="675">
        <v>0</v>
      </c>
      <c r="EA52" s="675">
        <v>0</v>
      </c>
      <c r="EB52" s="675">
        <v>0</v>
      </c>
      <c r="EC52" s="675">
        <v>4.0670000000000002</v>
      </c>
      <c r="ED52" s="675">
        <v>28810</v>
      </c>
      <c r="EE52" s="675">
        <v>0</v>
      </c>
      <c r="EF52" s="675">
        <v>0</v>
      </c>
      <c r="EG52" s="675">
        <v>0</v>
      </c>
      <c r="EH52" s="675">
        <v>247101</v>
      </c>
      <c r="EI52" s="675">
        <v>0</v>
      </c>
      <c r="EJ52" s="675">
        <v>0</v>
      </c>
      <c r="EK52" s="675">
        <v>10.358000000000001</v>
      </c>
      <c r="EL52" s="675">
        <v>0</v>
      </c>
      <c r="EM52" s="675">
        <v>0</v>
      </c>
      <c r="EN52" s="675">
        <v>1.8080000000000001</v>
      </c>
      <c r="EO52" s="675">
        <v>0</v>
      </c>
      <c r="EP52" s="675">
        <v>0</v>
      </c>
      <c r="EQ52" s="675">
        <v>12.166</v>
      </c>
      <c r="ER52" s="675">
        <v>0</v>
      </c>
      <c r="ES52" s="675">
        <v>40.114000000000004</v>
      </c>
      <c r="ET52" s="675">
        <v>0</v>
      </c>
      <c r="EU52" s="675">
        <v>0</v>
      </c>
      <c r="EV52" s="675">
        <v>0</v>
      </c>
      <c r="EW52" s="675">
        <v>0</v>
      </c>
      <c r="EX52" s="675">
        <v>0</v>
      </c>
      <c r="EY52" s="675">
        <v>0</v>
      </c>
      <c r="EZ52" s="675">
        <v>9720376</v>
      </c>
      <c r="FA52" s="675">
        <v>0</v>
      </c>
      <c r="FB52" s="675">
        <v>10107523</v>
      </c>
      <c r="FC52" s="675">
        <v>0</v>
      </c>
      <c r="FD52" s="675">
        <v>0</v>
      </c>
      <c r="FE52" s="675">
        <v>1028248</v>
      </c>
      <c r="FF52" s="675">
        <v>212677</v>
      </c>
      <c r="FG52" s="675">
        <v>6.3574999999999993E-2</v>
      </c>
      <c r="FH52" s="675">
        <v>2.6298999999999999E-2</v>
      </c>
      <c r="FI52" s="675">
        <v>0</v>
      </c>
      <c r="FJ52" s="675">
        <v>0</v>
      </c>
      <c r="FK52" s="675">
        <v>1641.009</v>
      </c>
      <c r="FL52" s="675">
        <v>11812229</v>
      </c>
      <c r="FM52" s="675">
        <v>0</v>
      </c>
      <c r="FN52" s="675">
        <v>0</v>
      </c>
      <c r="FO52" s="675">
        <v>0</v>
      </c>
      <c r="FP52" s="675">
        <v>0</v>
      </c>
      <c r="FQ52" s="675">
        <v>0</v>
      </c>
      <c r="FR52" s="675">
        <v>0</v>
      </c>
      <c r="FS52" s="675">
        <v>0</v>
      </c>
      <c r="FT52" s="675">
        <v>0</v>
      </c>
      <c r="FU52" s="675">
        <v>0</v>
      </c>
      <c r="FV52" s="675">
        <v>0</v>
      </c>
      <c r="FW52" s="675">
        <v>0</v>
      </c>
      <c r="FX52" s="675">
        <v>0</v>
      </c>
      <c r="FY52" s="675">
        <v>0</v>
      </c>
      <c r="FZ52" s="675">
        <v>0</v>
      </c>
      <c r="GA52" s="675">
        <v>0</v>
      </c>
      <c r="GB52" s="675">
        <v>0</v>
      </c>
      <c r="GC52" s="675">
        <v>0</v>
      </c>
      <c r="GD52" s="675">
        <v>0</v>
      </c>
      <c r="GE52" s="675">
        <v>0</v>
      </c>
      <c r="GF52" s="675">
        <v>0</v>
      </c>
      <c r="GG52" s="675">
        <v>0</v>
      </c>
      <c r="GH52" s="675">
        <v>0</v>
      </c>
      <c r="GI52" s="675">
        <v>0</v>
      </c>
      <c r="GJ52" s="675">
        <v>0</v>
      </c>
      <c r="GK52" s="675">
        <v>0</v>
      </c>
      <c r="GL52" s="675">
        <v>0</v>
      </c>
      <c r="GM52" s="675">
        <v>0</v>
      </c>
      <c r="GN52" s="675">
        <v>0</v>
      </c>
      <c r="GO52" s="675">
        <v>0</v>
      </c>
      <c r="GP52" s="675">
        <v>0</v>
      </c>
      <c r="GQ52" s="675">
        <v>0</v>
      </c>
      <c r="GR52" s="675">
        <v>0</v>
      </c>
      <c r="GS52" s="675">
        <v>0</v>
      </c>
      <c r="GT52" s="675">
        <v>0</v>
      </c>
      <c r="GU52" s="675">
        <v>0</v>
      </c>
      <c r="GV52" s="675">
        <v>0</v>
      </c>
      <c r="GW52" s="675">
        <v>0</v>
      </c>
      <c r="GX52" s="675">
        <v>0</v>
      </c>
      <c r="GY52" s="675">
        <v>0</v>
      </c>
      <c r="GZ52" s="675">
        <v>0</v>
      </c>
      <c r="HA52" s="675">
        <v>0</v>
      </c>
      <c r="HB52" s="675">
        <v>298386780</v>
      </c>
      <c r="HC52" s="675">
        <v>4.5690999999999996E-2</v>
      </c>
      <c r="HD52" s="675">
        <v>167379</v>
      </c>
      <c r="HE52" s="675">
        <v>0</v>
      </c>
      <c r="HF52" s="675">
        <v>994028</v>
      </c>
      <c r="HG52" s="675">
        <v>642</v>
      </c>
      <c r="HH52" s="675">
        <v>429628</v>
      </c>
      <c r="HI52" s="675">
        <v>0</v>
      </c>
      <c r="HJ52" s="675">
        <v>8902</v>
      </c>
      <c r="HK52" s="675">
        <v>0</v>
      </c>
      <c r="HL52" s="675">
        <v>0</v>
      </c>
      <c r="HM52" s="675">
        <v>0</v>
      </c>
      <c r="HN52" s="675">
        <v>0</v>
      </c>
      <c r="HO52" s="675">
        <v>0</v>
      </c>
      <c r="HP52" s="675">
        <v>0</v>
      </c>
      <c r="HQ52" s="675">
        <v>0</v>
      </c>
      <c r="HR52" s="675">
        <v>0</v>
      </c>
      <c r="HS52" s="675">
        <v>9719329</v>
      </c>
      <c r="HT52" s="675">
        <v>212677</v>
      </c>
      <c r="HU52" s="675">
        <v>0</v>
      </c>
      <c r="HV52" s="675">
        <v>0</v>
      </c>
      <c r="HW52" s="675">
        <v>0</v>
      </c>
      <c r="HX52" s="675">
        <v>25</v>
      </c>
      <c r="HY52" s="675">
        <v>51</v>
      </c>
      <c r="HZ52" s="675">
        <v>115</v>
      </c>
      <c r="IA52" s="675">
        <v>126</v>
      </c>
      <c r="IB52" s="675">
        <v>679</v>
      </c>
      <c r="IC52" s="675">
        <v>996</v>
      </c>
      <c r="ID52" s="675">
        <v>0</v>
      </c>
      <c r="IE52" s="675">
        <v>698.29700000000003</v>
      </c>
      <c r="IF52" s="675">
        <v>18.772000000000002</v>
      </c>
      <c r="IG52" s="675">
        <v>1.042</v>
      </c>
      <c r="IH52" s="675">
        <v>697.452</v>
      </c>
      <c r="II52" s="675">
        <v>0</v>
      </c>
      <c r="IJ52" s="675">
        <v>1596.2920000000001</v>
      </c>
      <c r="IK52" s="675">
        <v>0</v>
      </c>
      <c r="IL52" s="675">
        <v>0</v>
      </c>
      <c r="IM52" s="675">
        <v>0</v>
      </c>
      <c r="IN52" s="675">
        <v>0</v>
      </c>
      <c r="IO52" s="675">
        <v>0</v>
      </c>
      <c r="IP52" s="675">
        <v>0</v>
      </c>
      <c r="IQ52" s="675">
        <v>879.22300000000007</v>
      </c>
      <c r="IR52" s="675">
        <v>541599</v>
      </c>
      <c r="IS52" s="675">
        <v>0</v>
      </c>
      <c r="IT52" s="675">
        <v>0</v>
      </c>
      <c r="IU52" s="675">
        <v>0</v>
      </c>
      <c r="IV52" s="675">
        <v>0</v>
      </c>
      <c r="IW52" s="675">
        <v>6160</v>
      </c>
      <c r="IX52" s="675">
        <v>645223</v>
      </c>
      <c r="IY52" s="675">
        <v>5782</v>
      </c>
      <c r="IZ52" s="675">
        <v>0</v>
      </c>
      <c r="JA52" s="675">
        <v>0</v>
      </c>
      <c r="JB52" s="675">
        <v>0</v>
      </c>
      <c r="JC52" s="675">
        <v>0</v>
      </c>
      <c r="JD52" s="675">
        <v>0</v>
      </c>
      <c r="JE52" s="675">
        <v>0</v>
      </c>
      <c r="JF52" s="675">
        <v>0</v>
      </c>
      <c r="JG52" s="675">
        <v>0</v>
      </c>
      <c r="JH52" s="675">
        <v>0</v>
      </c>
      <c r="JI52" s="675">
        <v>0</v>
      </c>
      <c r="JJ52" s="675">
        <v>0</v>
      </c>
      <c r="JK52" s="675">
        <v>0</v>
      </c>
      <c r="JL52" s="675">
        <v>0</v>
      </c>
      <c r="JM52" s="675">
        <v>0</v>
      </c>
      <c r="JN52" s="675">
        <v>32469</v>
      </c>
      <c r="JO52" s="675">
        <v>0</v>
      </c>
      <c r="JP52" s="675">
        <v>0</v>
      </c>
      <c r="JQ52" s="675">
        <v>0</v>
      </c>
      <c r="JR52" s="675">
        <v>0</v>
      </c>
      <c r="JS52" s="675">
        <v>0</v>
      </c>
      <c r="JT52" s="675">
        <v>0</v>
      </c>
      <c r="JU52" s="675">
        <v>0</v>
      </c>
      <c r="JV52" s="675">
        <v>0</v>
      </c>
      <c r="JW52" s="675">
        <v>0</v>
      </c>
      <c r="JX52" s="675">
        <v>0</v>
      </c>
      <c r="JY52" s="675">
        <v>0</v>
      </c>
      <c r="JZ52" s="675">
        <v>0</v>
      </c>
      <c r="KA52" s="675">
        <v>0</v>
      </c>
      <c r="KB52" s="675">
        <v>0</v>
      </c>
      <c r="KC52" s="675">
        <v>0</v>
      </c>
      <c r="KD52" s="675">
        <v>0</v>
      </c>
      <c r="KE52" s="675">
        <v>7260</v>
      </c>
      <c r="KF52" s="675">
        <v>296402</v>
      </c>
      <c r="KG52" s="675">
        <v>0</v>
      </c>
      <c r="KH52" s="675">
        <v>0</v>
      </c>
      <c r="KI52" s="675">
        <v>0</v>
      </c>
    </row>
    <row r="53" spans="1:295" ht="12.5" x14ac:dyDescent="0.25">
      <c r="A53" s="675">
        <v>35795</v>
      </c>
      <c r="B53" s="675">
        <v>152802</v>
      </c>
      <c r="C53" s="675">
        <v>9</v>
      </c>
      <c r="D53" s="675">
        <v>2022</v>
      </c>
      <c r="E53" s="675">
        <v>6160</v>
      </c>
      <c r="F53" s="675">
        <v>0</v>
      </c>
      <c r="G53" s="675">
        <v>245.89500000000001</v>
      </c>
      <c r="H53" s="675">
        <v>242.05700000000002</v>
      </c>
      <c r="I53" s="675">
        <v>242.05700000000002</v>
      </c>
      <c r="J53" s="675">
        <v>245.89500000000001</v>
      </c>
      <c r="K53" s="675">
        <v>0</v>
      </c>
      <c r="L53" s="675">
        <v>6160</v>
      </c>
      <c r="M53" s="675">
        <v>0</v>
      </c>
      <c r="N53" s="675">
        <v>0</v>
      </c>
      <c r="O53" s="675">
        <v>0</v>
      </c>
      <c r="P53" s="675">
        <v>223.82600000000002</v>
      </c>
      <c r="Q53" s="675">
        <v>0</v>
      </c>
      <c r="R53" s="675">
        <v>90074</v>
      </c>
      <c r="S53" s="675">
        <v>402.428</v>
      </c>
      <c r="T53" s="675">
        <v>0</v>
      </c>
      <c r="U53" s="675">
        <v>47898</v>
      </c>
      <c r="V53" s="675">
        <v>0</v>
      </c>
      <c r="W53" s="675">
        <v>0</v>
      </c>
      <c r="X53" s="675">
        <v>0</v>
      </c>
      <c r="Y53" s="675">
        <v>0</v>
      </c>
      <c r="Z53" s="675">
        <v>0</v>
      </c>
      <c r="AA53" s="675">
        <v>0</v>
      </c>
      <c r="AB53" s="675">
        <v>0</v>
      </c>
      <c r="AC53" s="675">
        <v>0</v>
      </c>
      <c r="AD53" s="675" t="s">
        <v>316</v>
      </c>
      <c r="AE53" s="675">
        <v>0</v>
      </c>
      <c r="AF53" s="675">
        <v>0</v>
      </c>
      <c r="AG53" s="675">
        <v>0</v>
      </c>
      <c r="AH53" s="675">
        <v>0</v>
      </c>
      <c r="AI53" s="675">
        <v>0</v>
      </c>
      <c r="AJ53" s="675">
        <v>6160</v>
      </c>
      <c r="AK53" s="675" t="s">
        <v>671</v>
      </c>
      <c r="AL53" s="675" t="s">
        <v>90</v>
      </c>
      <c r="AM53" s="675">
        <v>0</v>
      </c>
      <c r="AN53" s="675">
        <v>0</v>
      </c>
      <c r="AO53" s="675">
        <v>0</v>
      </c>
      <c r="AP53" s="675">
        <v>0</v>
      </c>
      <c r="AQ53" s="675">
        <v>0</v>
      </c>
      <c r="AR53" s="675">
        <v>0</v>
      </c>
      <c r="AS53" s="675">
        <v>0</v>
      </c>
      <c r="AT53" s="675">
        <v>0</v>
      </c>
      <c r="AU53" s="675">
        <v>0</v>
      </c>
      <c r="AV53" s="675">
        <v>0</v>
      </c>
      <c r="AW53" s="675">
        <v>2588696</v>
      </c>
      <c r="AX53" s="675">
        <v>2544175</v>
      </c>
      <c r="AY53" s="675">
        <v>1708417</v>
      </c>
      <c r="AZ53" s="675">
        <v>90074</v>
      </c>
      <c r="BA53" s="675">
        <v>0</v>
      </c>
      <c r="BB53" s="675">
        <v>0</v>
      </c>
      <c r="BC53" s="675">
        <v>0</v>
      </c>
      <c r="BD53" s="675">
        <v>0</v>
      </c>
      <c r="BE53" s="675">
        <v>0</v>
      </c>
      <c r="BF53" s="675">
        <v>2346227</v>
      </c>
      <c r="BG53" s="675">
        <v>0</v>
      </c>
      <c r="BH53" s="675">
        <v>0</v>
      </c>
      <c r="BI53" s="675">
        <v>0</v>
      </c>
      <c r="BJ53" s="675">
        <v>12</v>
      </c>
      <c r="BK53" s="675">
        <v>0</v>
      </c>
      <c r="BL53" s="675">
        <v>0</v>
      </c>
      <c r="BM53" s="675">
        <v>0</v>
      </c>
      <c r="BN53" s="675">
        <v>0</v>
      </c>
      <c r="BO53" s="675">
        <v>0</v>
      </c>
      <c r="BP53" s="675">
        <v>0</v>
      </c>
      <c r="BQ53" s="675">
        <v>733</v>
      </c>
      <c r="BR53" s="675">
        <v>0</v>
      </c>
      <c r="BS53" s="675">
        <v>0</v>
      </c>
      <c r="BT53" s="675">
        <v>0</v>
      </c>
      <c r="BU53" s="675">
        <v>0</v>
      </c>
      <c r="BV53" s="675">
        <v>0</v>
      </c>
      <c r="BW53" s="675">
        <v>0</v>
      </c>
      <c r="BX53" s="675">
        <v>0</v>
      </c>
      <c r="BY53" s="675">
        <v>0</v>
      </c>
      <c r="BZ53" s="675">
        <v>0</v>
      </c>
      <c r="CA53" s="675">
        <v>0</v>
      </c>
      <c r="CB53" s="675">
        <v>0</v>
      </c>
      <c r="CC53" s="675">
        <v>0</v>
      </c>
      <c r="CD53" s="675">
        <v>0</v>
      </c>
      <c r="CE53" s="675">
        <v>0</v>
      </c>
      <c r="CF53" s="675">
        <v>0</v>
      </c>
      <c r="CG53" s="675">
        <v>0</v>
      </c>
      <c r="CH53" s="675">
        <v>44940</v>
      </c>
      <c r="CI53" s="675">
        <v>0</v>
      </c>
      <c r="CJ53" s="675">
        <v>4</v>
      </c>
      <c r="CK53" s="675">
        <v>0</v>
      </c>
      <c r="CL53" s="675">
        <v>0</v>
      </c>
      <c r="CM53" s="675">
        <v>0</v>
      </c>
      <c r="CN53" s="675">
        <v>0</v>
      </c>
      <c r="CO53" s="675">
        <v>1</v>
      </c>
      <c r="CP53" s="675">
        <v>0</v>
      </c>
      <c r="CQ53" s="675">
        <v>0</v>
      </c>
      <c r="CR53" s="675">
        <v>228.04900000000001</v>
      </c>
      <c r="CS53" s="675">
        <v>0</v>
      </c>
      <c r="CT53" s="675">
        <v>0</v>
      </c>
      <c r="CU53" s="675">
        <v>0</v>
      </c>
      <c r="CV53" s="675">
        <v>0</v>
      </c>
      <c r="CW53" s="675">
        <v>0</v>
      </c>
      <c r="CX53" s="675">
        <v>0</v>
      </c>
      <c r="CY53" s="675">
        <v>0</v>
      </c>
      <c r="CZ53" s="675">
        <v>0</v>
      </c>
      <c r="DA53" s="675">
        <v>0</v>
      </c>
      <c r="DB53" s="675">
        <v>1491064</v>
      </c>
      <c r="DC53" s="675">
        <v>0</v>
      </c>
      <c r="DD53" s="675">
        <v>0</v>
      </c>
      <c r="DE53" s="675">
        <v>404248</v>
      </c>
      <c r="DF53" s="675">
        <v>404248</v>
      </c>
      <c r="DG53" s="675">
        <v>65.625</v>
      </c>
      <c r="DH53" s="675">
        <v>0</v>
      </c>
      <c r="DI53" s="675">
        <v>0</v>
      </c>
      <c r="DJ53" s="675">
        <v>0</v>
      </c>
      <c r="DK53" s="675">
        <v>3346</v>
      </c>
      <c r="DL53" s="675">
        <v>0</v>
      </c>
      <c r="DM53" s="675">
        <v>110018</v>
      </c>
      <c r="DN53" s="675">
        <v>419</v>
      </c>
      <c r="DO53" s="675">
        <v>0</v>
      </c>
      <c r="DP53" s="675">
        <v>0</v>
      </c>
      <c r="DQ53" s="675">
        <v>0</v>
      </c>
      <c r="DR53" s="675">
        <v>0</v>
      </c>
      <c r="DS53" s="675">
        <v>0</v>
      </c>
      <c r="DT53" s="675">
        <v>0</v>
      </c>
      <c r="DU53" s="675">
        <v>0</v>
      </c>
      <c r="DV53" s="675">
        <v>0</v>
      </c>
      <c r="DW53" s="675">
        <v>0</v>
      </c>
      <c r="DX53" s="675">
        <v>0</v>
      </c>
      <c r="DY53" s="675">
        <v>0</v>
      </c>
      <c r="DZ53" s="675">
        <v>0</v>
      </c>
      <c r="EA53" s="675">
        <v>0</v>
      </c>
      <c r="EB53" s="675">
        <v>0</v>
      </c>
      <c r="EC53" s="675">
        <v>3.4820000000000002</v>
      </c>
      <c r="ED53" s="675">
        <v>24666</v>
      </c>
      <c r="EE53" s="675">
        <v>0</v>
      </c>
      <c r="EF53" s="675">
        <v>0</v>
      </c>
      <c r="EG53" s="675">
        <v>0</v>
      </c>
      <c r="EH53" s="675">
        <v>85771</v>
      </c>
      <c r="EI53" s="675">
        <v>0</v>
      </c>
      <c r="EJ53" s="675">
        <v>0</v>
      </c>
      <c r="EK53" s="675">
        <v>2.633</v>
      </c>
      <c r="EL53" s="675">
        <v>0</v>
      </c>
      <c r="EM53" s="675">
        <v>0</v>
      </c>
      <c r="EN53" s="675">
        <v>1.2050000000000001</v>
      </c>
      <c r="EO53" s="675">
        <v>0</v>
      </c>
      <c r="EP53" s="675">
        <v>0</v>
      </c>
      <c r="EQ53" s="675">
        <v>3.8380000000000001</v>
      </c>
      <c r="ER53" s="675">
        <v>0</v>
      </c>
      <c r="ES53" s="675">
        <v>13.924000000000001</v>
      </c>
      <c r="ET53" s="675">
        <v>0</v>
      </c>
      <c r="EU53" s="675">
        <v>0</v>
      </c>
      <c r="EV53" s="675">
        <v>0</v>
      </c>
      <c r="EW53" s="675">
        <v>0</v>
      </c>
      <c r="EX53" s="675">
        <v>0</v>
      </c>
      <c r="EY53" s="675">
        <v>0</v>
      </c>
      <c r="EZ53" s="675">
        <v>2256153</v>
      </c>
      <c r="FA53" s="675">
        <v>0</v>
      </c>
      <c r="FB53" s="675">
        <v>2345808</v>
      </c>
      <c r="FC53" s="675">
        <v>0</v>
      </c>
      <c r="FD53" s="675">
        <v>0</v>
      </c>
      <c r="FE53" s="675">
        <v>238659</v>
      </c>
      <c r="FF53" s="675">
        <v>49363</v>
      </c>
      <c r="FG53" s="675">
        <v>6.3574999999999993E-2</v>
      </c>
      <c r="FH53" s="675">
        <v>2.6298999999999999E-2</v>
      </c>
      <c r="FI53" s="675">
        <v>0</v>
      </c>
      <c r="FJ53" s="675">
        <v>0</v>
      </c>
      <c r="FK53" s="675">
        <v>380.88300000000004</v>
      </c>
      <c r="FL53" s="675">
        <v>2678770</v>
      </c>
      <c r="FM53" s="675">
        <v>0</v>
      </c>
      <c r="FN53" s="675">
        <v>0</v>
      </c>
      <c r="FO53" s="675">
        <v>0</v>
      </c>
      <c r="FP53" s="675">
        <v>0</v>
      </c>
      <c r="FQ53" s="675">
        <v>0</v>
      </c>
      <c r="FR53" s="675">
        <v>0</v>
      </c>
      <c r="FS53" s="675">
        <v>0</v>
      </c>
      <c r="FT53" s="675">
        <v>0</v>
      </c>
      <c r="FU53" s="675">
        <v>0</v>
      </c>
      <c r="FV53" s="675">
        <v>0</v>
      </c>
      <c r="FW53" s="675">
        <v>0</v>
      </c>
      <c r="FX53" s="675">
        <v>0</v>
      </c>
      <c r="FY53" s="675">
        <v>0</v>
      </c>
      <c r="FZ53" s="675">
        <v>0</v>
      </c>
      <c r="GA53" s="675">
        <v>0</v>
      </c>
      <c r="GB53" s="675">
        <v>0</v>
      </c>
      <c r="GC53" s="675">
        <v>0</v>
      </c>
      <c r="GD53" s="675">
        <v>0</v>
      </c>
      <c r="GE53" s="675">
        <v>0</v>
      </c>
      <c r="GF53" s="675">
        <v>0</v>
      </c>
      <c r="GG53" s="675">
        <v>0</v>
      </c>
      <c r="GH53" s="675">
        <v>0</v>
      </c>
      <c r="GI53" s="675">
        <v>0</v>
      </c>
      <c r="GJ53" s="675">
        <v>0</v>
      </c>
      <c r="GK53" s="675">
        <v>0</v>
      </c>
      <c r="GL53" s="675">
        <v>0</v>
      </c>
      <c r="GM53" s="675">
        <v>0</v>
      </c>
      <c r="GN53" s="675">
        <v>0</v>
      </c>
      <c r="GO53" s="675">
        <v>0</v>
      </c>
      <c r="GP53" s="675">
        <v>0</v>
      </c>
      <c r="GQ53" s="675">
        <v>0</v>
      </c>
      <c r="GR53" s="675">
        <v>0</v>
      </c>
      <c r="GS53" s="675">
        <v>0</v>
      </c>
      <c r="GT53" s="675">
        <v>0</v>
      </c>
      <c r="GU53" s="675">
        <v>0</v>
      </c>
      <c r="GV53" s="675">
        <v>0</v>
      </c>
      <c r="GW53" s="675">
        <v>0</v>
      </c>
      <c r="GX53" s="675">
        <v>0</v>
      </c>
      <c r="GY53" s="675">
        <v>0</v>
      </c>
      <c r="GZ53" s="675">
        <v>0</v>
      </c>
      <c r="HA53" s="675">
        <v>0</v>
      </c>
      <c r="HB53" s="675">
        <v>298386780</v>
      </c>
      <c r="HC53" s="675">
        <v>4.5690999999999996E-2</v>
      </c>
      <c r="HD53" s="675">
        <v>44940</v>
      </c>
      <c r="HE53" s="675">
        <v>0</v>
      </c>
      <c r="HF53" s="675">
        <v>266263</v>
      </c>
      <c r="HG53" s="675">
        <v>642</v>
      </c>
      <c r="HH53" s="675">
        <v>71183</v>
      </c>
      <c r="HI53" s="675">
        <v>0</v>
      </c>
      <c r="HJ53" s="675">
        <v>2390</v>
      </c>
      <c r="HK53" s="675">
        <v>0</v>
      </c>
      <c r="HL53" s="675">
        <v>0</v>
      </c>
      <c r="HM53" s="675">
        <v>0</v>
      </c>
      <c r="HN53" s="675">
        <v>0</v>
      </c>
      <c r="HO53" s="675">
        <v>0</v>
      </c>
      <c r="HP53" s="675">
        <v>0</v>
      </c>
      <c r="HQ53" s="675">
        <v>0</v>
      </c>
      <c r="HR53" s="675">
        <v>0</v>
      </c>
      <c r="HS53" s="675">
        <v>2255734</v>
      </c>
      <c r="HT53" s="675">
        <v>49363</v>
      </c>
      <c r="HU53" s="675">
        <v>0</v>
      </c>
      <c r="HV53" s="675">
        <v>0</v>
      </c>
      <c r="HW53" s="675">
        <v>0</v>
      </c>
      <c r="HX53" s="675">
        <v>70</v>
      </c>
      <c r="HY53" s="675">
        <v>26</v>
      </c>
      <c r="HZ53" s="675">
        <v>18</v>
      </c>
      <c r="IA53" s="675">
        <v>76</v>
      </c>
      <c r="IB53" s="675">
        <v>70</v>
      </c>
      <c r="IC53" s="675">
        <v>260</v>
      </c>
      <c r="ID53" s="675">
        <v>0</v>
      </c>
      <c r="IE53" s="675">
        <v>0</v>
      </c>
      <c r="IF53" s="675">
        <v>0</v>
      </c>
      <c r="IG53" s="675">
        <v>1.042</v>
      </c>
      <c r="IH53" s="675">
        <v>115.55800000000001</v>
      </c>
      <c r="II53" s="675">
        <v>0</v>
      </c>
      <c r="IJ53" s="675">
        <v>0</v>
      </c>
      <c r="IK53" s="675">
        <v>0</v>
      </c>
      <c r="IL53" s="675">
        <v>0</v>
      </c>
      <c r="IM53" s="675">
        <v>0</v>
      </c>
      <c r="IN53" s="675">
        <v>0</v>
      </c>
      <c r="IO53" s="675">
        <v>0</v>
      </c>
      <c r="IP53" s="675">
        <v>0</v>
      </c>
      <c r="IQ53" s="675">
        <v>0</v>
      </c>
      <c r="IR53" s="675">
        <v>0</v>
      </c>
      <c r="IS53" s="675">
        <v>0</v>
      </c>
      <c r="IT53" s="675">
        <v>0</v>
      </c>
      <c r="IU53" s="675">
        <v>0</v>
      </c>
      <c r="IV53" s="675">
        <v>0</v>
      </c>
      <c r="IW53" s="675">
        <v>6160</v>
      </c>
      <c r="IX53" s="675">
        <v>0</v>
      </c>
      <c r="IY53" s="675">
        <v>0</v>
      </c>
      <c r="IZ53" s="675">
        <v>0</v>
      </c>
      <c r="JA53" s="675">
        <v>0</v>
      </c>
      <c r="JB53" s="675">
        <v>0</v>
      </c>
      <c r="JC53" s="675">
        <v>0</v>
      </c>
      <c r="JD53" s="675">
        <v>0</v>
      </c>
      <c r="JE53" s="675">
        <v>0</v>
      </c>
      <c r="JF53" s="675">
        <v>0</v>
      </c>
      <c r="JG53" s="675">
        <v>0</v>
      </c>
      <c r="JH53" s="675">
        <v>0</v>
      </c>
      <c r="JI53" s="675">
        <v>0</v>
      </c>
      <c r="JJ53" s="675">
        <v>0</v>
      </c>
      <c r="JK53" s="675">
        <v>0</v>
      </c>
      <c r="JL53" s="675">
        <v>0</v>
      </c>
      <c r="JM53" s="675">
        <v>0</v>
      </c>
      <c r="JN53" s="675">
        <v>32469</v>
      </c>
      <c r="JO53" s="675">
        <v>0</v>
      </c>
      <c r="JP53" s="675">
        <v>0</v>
      </c>
      <c r="JQ53" s="675">
        <v>0</v>
      </c>
      <c r="JR53" s="675">
        <v>0</v>
      </c>
      <c r="JS53" s="675">
        <v>0</v>
      </c>
      <c r="JT53" s="675">
        <v>0</v>
      </c>
      <c r="JU53" s="675">
        <v>0</v>
      </c>
      <c r="JV53" s="675">
        <v>0</v>
      </c>
      <c r="JW53" s="675">
        <v>0</v>
      </c>
      <c r="JX53" s="675">
        <v>0</v>
      </c>
      <c r="JY53" s="675">
        <v>0</v>
      </c>
      <c r="JZ53" s="675">
        <v>0</v>
      </c>
      <c r="KA53" s="675">
        <v>0</v>
      </c>
      <c r="KB53" s="675">
        <v>0</v>
      </c>
      <c r="KC53" s="675">
        <v>0</v>
      </c>
      <c r="KD53" s="675">
        <v>0</v>
      </c>
      <c r="KE53" s="675">
        <v>7260</v>
      </c>
      <c r="KF53" s="675">
        <v>0</v>
      </c>
      <c r="KG53" s="675">
        <v>0</v>
      </c>
      <c r="KH53" s="675">
        <v>0</v>
      </c>
      <c r="KI53" s="675">
        <v>0</v>
      </c>
    </row>
    <row r="54" spans="1:295" ht="12.5" x14ac:dyDescent="0.25">
      <c r="A54" s="675">
        <v>35795</v>
      </c>
      <c r="B54" s="675">
        <v>161802</v>
      </c>
      <c r="C54" s="675">
        <v>9</v>
      </c>
      <c r="D54" s="675">
        <v>2022</v>
      </c>
      <c r="E54" s="675">
        <v>6160</v>
      </c>
      <c r="F54" s="675">
        <v>0</v>
      </c>
      <c r="G54" s="675">
        <v>748.452</v>
      </c>
      <c r="H54" s="675">
        <v>674.25099999999998</v>
      </c>
      <c r="I54" s="675">
        <v>674.25099999999998</v>
      </c>
      <c r="J54" s="675">
        <v>748.452</v>
      </c>
      <c r="K54" s="675">
        <v>0</v>
      </c>
      <c r="L54" s="675">
        <v>6160</v>
      </c>
      <c r="M54" s="675">
        <v>0</v>
      </c>
      <c r="N54" s="675">
        <v>0</v>
      </c>
      <c r="O54" s="675">
        <v>0</v>
      </c>
      <c r="P54" s="675">
        <v>752.14600000000007</v>
      </c>
      <c r="Q54" s="675">
        <v>0</v>
      </c>
      <c r="R54" s="675">
        <v>302685</v>
      </c>
      <c r="S54" s="675">
        <v>402.428</v>
      </c>
      <c r="T54" s="675">
        <v>0</v>
      </c>
      <c r="U54" s="675">
        <v>160959</v>
      </c>
      <c r="V54" s="675">
        <v>68.22</v>
      </c>
      <c r="W54" s="675">
        <v>42023</v>
      </c>
      <c r="X54" s="675">
        <v>42023</v>
      </c>
      <c r="Y54" s="675">
        <v>0</v>
      </c>
      <c r="Z54" s="675">
        <v>0</v>
      </c>
      <c r="AA54" s="675">
        <v>0</v>
      </c>
      <c r="AB54" s="675">
        <v>0</v>
      </c>
      <c r="AC54" s="675">
        <v>0</v>
      </c>
      <c r="AD54" s="675" t="s">
        <v>316</v>
      </c>
      <c r="AE54" s="675">
        <v>0</v>
      </c>
      <c r="AF54" s="675">
        <v>0</v>
      </c>
      <c r="AG54" s="675">
        <v>0</v>
      </c>
      <c r="AH54" s="675">
        <v>0</v>
      </c>
      <c r="AI54" s="675">
        <v>0</v>
      </c>
      <c r="AJ54" s="675">
        <v>6160</v>
      </c>
      <c r="AK54" s="675" t="s">
        <v>671</v>
      </c>
      <c r="AL54" s="675" t="s">
        <v>359</v>
      </c>
      <c r="AM54" s="675">
        <v>0</v>
      </c>
      <c r="AN54" s="675">
        <v>0</v>
      </c>
      <c r="AO54" s="675">
        <v>0</v>
      </c>
      <c r="AP54" s="675">
        <v>0</v>
      </c>
      <c r="AQ54" s="675">
        <v>0</v>
      </c>
      <c r="AR54" s="675">
        <v>0</v>
      </c>
      <c r="AS54" s="675">
        <v>0</v>
      </c>
      <c r="AT54" s="675">
        <v>0</v>
      </c>
      <c r="AU54" s="675">
        <v>0</v>
      </c>
      <c r="AV54" s="675">
        <v>0</v>
      </c>
      <c r="AW54" s="675">
        <v>8483521</v>
      </c>
      <c r="AX54" s="675">
        <v>8350441</v>
      </c>
      <c r="AY54" s="675">
        <v>5614948</v>
      </c>
      <c r="AZ54" s="675">
        <v>302685</v>
      </c>
      <c r="BA54" s="675">
        <v>0</v>
      </c>
      <c r="BB54" s="675">
        <v>0</v>
      </c>
      <c r="BC54" s="675">
        <v>0</v>
      </c>
      <c r="BD54" s="675">
        <v>0</v>
      </c>
      <c r="BE54" s="675">
        <v>0</v>
      </c>
      <c r="BF54" s="675">
        <v>7703907</v>
      </c>
      <c r="BG54" s="675">
        <v>0</v>
      </c>
      <c r="BH54" s="675">
        <v>0</v>
      </c>
      <c r="BI54" s="675">
        <v>0</v>
      </c>
      <c r="BJ54" s="675">
        <v>12</v>
      </c>
      <c r="BK54" s="675">
        <v>0</v>
      </c>
      <c r="BL54" s="675">
        <v>0</v>
      </c>
      <c r="BM54" s="675">
        <v>0</v>
      </c>
      <c r="BN54" s="675">
        <v>0</v>
      </c>
      <c r="BO54" s="675">
        <v>0</v>
      </c>
      <c r="BP54" s="675">
        <v>0</v>
      </c>
      <c r="BQ54" s="675">
        <v>666</v>
      </c>
      <c r="BR54" s="675">
        <v>0</v>
      </c>
      <c r="BS54" s="675">
        <v>0</v>
      </c>
      <c r="BT54" s="675">
        <v>0</v>
      </c>
      <c r="BU54" s="675">
        <v>0</v>
      </c>
      <c r="BV54" s="675">
        <v>0</v>
      </c>
      <c r="BW54" s="675">
        <v>0</v>
      </c>
      <c r="BX54" s="675">
        <v>0</v>
      </c>
      <c r="BY54" s="675">
        <v>0</v>
      </c>
      <c r="BZ54" s="675">
        <v>0</v>
      </c>
      <c r="CA54" s="675">
        <v>0</v>
      </c>
      <c r="CB54" s="675">
        <v>0</v>
      </c>
      <c r="CC54" s="675">
        <v>0</v>
      </c>
      <c r="CD54" s="675">
        <v>0</v>
      </c>
      <c r="CE54" s="675">
        <v>0</v>
      </c>
      <c r="CF54" s="675">
        <v>0</v>
      </c>
      <c r="CG54" s="675">
        <v>0</v>
      </c>
      <c r="CH54" s="675">
        <v>136789</v>
      </c>
      <c r="CI54" s="675">
        <v>0</v>
      </c>
      <c r="CJ54" s="675">
        <v>4</v>
      </c>
      <c r="CK54" s="675">
        <v>0</v>
      </c>
      <c r="CL54" s="675">
        <v>0</v>
      </c>
      <c r="CM54" s="675">
        <v>0</v>
      </c>
      <c r="CN54" s="675">
        <v>0</v>
      </c>
      <c r="CO54" s="675">
        <v>1</v>
      </c>
      <c r="CP54" s="675">
        <v>0</v>
      </c>
      <c r="CQ54" s="675">
        <v>0</v>
      </c>
      <c r="CR54" s="675">
        <v>756.71699999999998</v>
      </c>
      <c r="CS54" s="675">
        <v>0</v>
      </c>
      <c r="CT54" s="675">
        <v>0</v>
      </c>
      <c r="CU54" s="675">
        <v>0</v>
      </c>
      <c r="CV54" s="675">
        <v>0</v>
      </c>
      <c r="CW54" s="675">
        <v>0</v>
      </c>
      <c r="CX54" s="675">
        <v>0</v>
      </c>
      <c r="CY54" s="675">
        <v>0</v>
      </c>
      <c r="CZ54" s="675">
        <v>0</v>
      </c>
      <c r="DA54" s="675">
        <v>0</v>
      </c>
      <c r="DB54" s="675">
        <v>4153367</v>
      </c>
      <c r="DC54" s="675">
        <v>0</v>
      </c>
      <c r="DD54" s="675">
        <v>0</v>
      </c>
      <c r="DE54" s="675">
        <v>1036492</v>
      </c>
      <c r="DF54" s="675">
        <v>1036492</v>
      </c>
      <c r="DG54" s="675">
        <v>168.26300000000001</v>
      </c>
      <c r="DH54" s="675">
        <v>0</v>
      </c>
      <c r="DI54" s="675">
        <v>0</v>
      </c>
      <c r="DJ54" s="675">
        <v>0</v>
      </c>
      <c r="DK54" s="675">
        <v>2281</v>
      </c>
      <c r="DL54" s="675">
        <v>0</v>
      </c>
      <c r="DM54" s="675">
        <v>973802</v>
      </c>
      <c r="DN54" s="675">
        <v>3709</v>
      </c>
      <c r="DO54" s="675">
        <v>0</v>
      </c>
      <c r="DP54" s="675">
        <v>0</v>
      </c>
      <c r="DQ54" s="675">
        <v>0</v>
      </c>
      <c r="DR54" s="675">
        <v>0</v>
      </c>
      <c r="DS54" s="675">
        <v>0</v>
      </c>
      <c r="DT54" s="675">
        <v>0</v>
      </c>
      <c r="DU54" s="675">
        <v>0</v>
      </c>
      <c r="DV54" s="675">
        <v>0</v>
      </c>
      <c r="DW54" s="675">
        <v>0</v>
      </c>
      <c r="DX54" s="675">
        <v>0</v>
      </c>
      <c r="DY54" s="675">
        <v>0</v>
      </c>
      <c r="DZ54" s="675">
        <v>0</v>
      </c>
      <c r="EA54" s="675">
        <v>0</v>
      </c>
      <c r="EB54" s="675">
        <v>0</v>
      </c>
      <c r="EC54" s="675">
        <v>81.978000000000009</v>
      </c>
      <c r="ED54" s="675">
        <v>580729</v>
      </c>
      <c r="EE54" s="675">
        <v>0</v>
      </c>
      <c r="EF54" s="675">
        <v>0</v>
      </c>
      <c r="EG54" s="675">
        <v>0</v>
      </c>
      <c r="EH54" s="675">
        <v>396782</v>
      </c>
      <c r="EI54" s="675">
        <v>0</v>
      </c>
      <c r="EJ54" s="675">
        <v>0</v>
      </c>
      <c r="EK54" s="675">
        <v>16.483000000000001</v>
      </c>
      <c r="EL54" s="675">
        <v>0</v>
      </c>
      <c r="EM54" s="675">
        <v>1.1580000000000001</v>
      </c>
      <c r="EN54" s="675">
        <v>2.298</v>
      </c>
      <c r="EO54" s="675">
        <v>0</v>
      </c>
      <c r="EP54" s="675">
        <v>0</v>
      </c>
      <c r="EQ54" s="675">
        <v>19.939</v>
      </c>
      <c r="ER54" s="675">
        <v>0</v>
      </c>
      <c r="ES54" s="675">
        <v>64.412999999999997</v>
      </c>
      <c r="ET54" s="675">
        <v>0</v>
      </c>
      <c r="EU54" s="675">
        <v>0</v>
      </c>
      <c r="EV54" s="675">
        <v>0</v>
      </c>
      <c r="EW54" s="675">
        <v>0</v>
      </c>
      <c r="EX54" s="675">
        <v>0</v>
      </c>
      <c r="EY54" s="675">
        <v>0</v>
      </c>
      <c r="EZ54" s="675">
        <v>7404711</v>
      </c>
      <c r="FA54" s="675">
        <v>0</v>
      </c>
      <c r="FB54" s="675">
        <v>7703687</v>
      </c>
      <c r="FC54" s="675">
        <v>0</v>
      </c>
      <c r="FD54" s="675">
        <v>0</v>
      </c>
      <c r="FE54" s="675">
        <v>783645</v>
      </c>
      <c r="FF54" s="675">
        <v>162085</v>
      </c>
      <c r="FG54" s="675">
        <v>6.3574999999999993E-2</v>
      </c>
      <c r="FH54" s="675">
        <v>2.6298999999999999E-2</v>
      </c>
      <c r="FI54" s="675">
        <v>0</v>
      </c>
      <c r="FJ54" s="675">
        <v>0</v>
      </c>
      <c r="FK54" s="675">
        <v>1250.6400000000001</v>
      </c>
      <c r="FL54" s="675">
        <v>8786206</v>
      </c>
      <c r="FM54" s="675">
        <v>0</v>
      </c>
      <c r="FN54" s="675">
        <v>0</v>
      </c>
      <c r="FO54" s="675">
        <v>0</v>
      </c>
      <c r="FP54" s="675">
        <v>0</v>
      </c>
      <c r="FQ54" s="675">
        <v>0</v>
      </c>
      <c r="FR54" s="675">
        <v>0</v>
      </c>
      <c r="FS54" s="675">
        <v>0</v>
      </c>
      <c r="FT54" s="675">
        <v>0</v>
      </c>
      <c r="FU54" s="675">
        <v>0</v>
      </c>
      <c r="FV54" s="675">
        <v>0</v>
      </c>
      <c r="FW54" s="675">
        <v>0</v>
      </c>
      <c r="FX54" s="675">
        <v>0</v>
      </c>
      <c r="FY54" s="675">
        <v>0</v>
      </c>
      <c r="FZ54" s="675">
        <v>0</v>
      </c>
      <c r="GA54" s="675">
        <v>0</v>
      </c>
      <c r="GB54" s="675">
        <v>507714</v>
      </c>
      <c r="GC54" s="675">
        <v>507714</v>
      </c>
      <c r="GD54" s="675">
        <v>54.262</v>
      </c>
      <c r="GE54" s="675">
        <v>0</v>
      </c>
      <c r="GF54" s="675">
        <v>0</v>
      </c>
      <c r="GG54" s="675">
        <v>0</v>
      </c>
      <c r="GH54" s="675">
        <v>0</v>
      </c>
      <c r="GI54" s="675">
        <v>0</v>
      </c>
      <c r="GJ54" s="675">
        <v>0</v>
      </c>
      <c r="GK54" s="675">
        <v>0</v>
      </c>
      <c r="GL54" s="675">
        <v>0</v>
      </c>
      <c r="GM54" s="675">
        <v>0</v>
      </c>
      <c r="GN54" s="675">
        <v>0</v>
      </c>
      <c r="GO54" s="675">
        <v>0</v>
      </c>
      <c r="GP54" s="675">
        <v>0</v>
      </c>
      <c r="GQ54" s="675">
        <v>0</v>
      </c>
      <c r="GR54" s="675">
        <v>0</v>
      </c>
      <c r="GS54" s="675">
        <v>0</v>
      </c>
      <c r="GT54" s="675">
        <v>0</v>
      </c>
      <c r="GU54" s="675">
        <v>0</v>
      </c>
      <c r="GV54" s="675">
        <v>0</v>
      </c>
      <c r="GW54" s="675">
        <v>0</v>
      </c>
      <c r="GX54" s="675">
        <v>0</v>
      </c>
      <c r="GY54" s="675">
        <v>0</v>
      </c>
      <c r="GZ54" s="675">
        <v>0</v>
      </c>
      <c r="HA54" s="675">
        <v>0</v>
      </c>
      <c r="HB54" s="675">
        <v>298386780</v>
      </c>
      <c r="HC54" s="675">
        <v>4.5690999999999996E-2</v>
      </c>
      <c r="HD54" s="675">
        <v>136789</v>
      </c>
      <c r="HE54" s="675">
        <v>0</v>
      </c>
      <c r="HF54" s="675">
        <v>741676</v>
      </c>
      <c r="HG54" s="675">
        <v>37855</v>
      </c>
      <c r="HH54" s="675">
        <v>142994</v>
      </c>
      <c r="HI54" s="675">
        <v>0</v>
      </c>
      <c r="HJ54" s="675">
        <v>7275</v>
      </c>
      <c r="HK54" s="675">
        <v>2376</v>
      </c>
      <c r="HL54" s="675">
        <v>1113</v>
      </c>
      <c r="HM54" s="675">
        <v>57000</v>
      </c>
      <c r="HN54" s="675">
        <v>0</v>
      </c>
      <c r="HO54" s="675">
        <v>0</v>
      </c>
      <c r="HP54" s="675">
        <v>0</v>
      </c>
      <c r="HQ54" s="675">
        <v>0</v>
      </c>
      <c r="HR54" s="675">
        <v>0</v>
      </c>
      <c r="HS54" s="675">
        <v>7401002</v>
      </c>
      <c r="HT54" s="675">
        <v>162085</v>
      </c>
      <c r="HU54" s="675">
        <v>0</v>
      </c>
      <c r="HV54" s="675">
        <v>0</v>
      </c>
      <c r="HW54" s="675">
        <v>0</v>
      </c>
      <c r="HX54" s="675">
        <v>59</v>
      </c>
      <c r="HY54" s="675">
        <v>41</v>
      </c>
      <c r="HZ54" s="675">
        <v>76</v>
      </c>
      <c r="IA54" s="675">
        <v>174</v>
      </c>
      <c r="IB54" s="675">
        <v>293</v>
      </c>
      <c r="IC54" s="675">
        <v>643</v>
      </c>
      <c r="ID54" s="675">
        <v>0</v>
      </c>
      <c r="IE54" s="675">
        <v>0</v>
      </c>
      <c r="IF54" s="675">
        <v>0</v>
      </c>
      <c r="IG54" s="675">
        <v>61.454000000000001</v>
      </c>
      <c r="IH54" s="675">
        <v>232.13500000000002</v>
      </c>
      <c r="II54" s="675">
        <v>0</v>
      </c>
      <c r="IJ54" s="675">
        <v>68.22</v>
      </c>
      <c r="IK54" s="675">
        <v>0</v>
      </c>
      <c r="IL54" s="675">
        <v>6</v>
      </c>
      <c r="IM54" s="675">
        <v>9</v>
      </c>
      <c r="IN54" s="675">
        <v>0</v>
      </c>
      <c r="IO54" s="675">
        <v>15</v>
      </c>
      <c r="IP54" s="675">
        <v>0</v>
      </c>
      <c r="IQ54" s="675">
        <v>68.22</v>
      </c>
      <c r="IR54" s="675">
        <v>42023</v>
      </c>
      <c r="IS54" s="675">
        <v>0</v>
      </c>
      <c r="IT54" s="675">
        <v>30000</v>
      </c>
      <c r="IU54" s="675">
        <v>27000</v>
      </c>
      <c r="IV54" s="675">
        <v>0</v>
      </c>
      <c r="IW54" s="675">
        <v>6160</v>
      </c>
      <c r="IX54" s="675">
        <v>0</v>
      </c>
      <c r="IY54" s="675">
        <v>0</v>
      </c>
      <c r="IZ54" s="675">
        <v>0</v>
      </c>
      <c r="JA54" s="675">
        <v>0</v>
      </c>
      <c r="JB54" s="675">
        <v>0</v>
      </c>
      <c r="JC54" s="675">
        <v>0</v>
      </c>
      <c r="JD54" s="675">
        <v>0</v>
      </c>
      <c r="JE54" s="675">
        <v>0</v>
      </c>
      <c r="JF54" s="675">
        <v>0</v>
      </c>
      <c r="JG54" s="675">
        <v>0</v>
      </c>
      <c r="JH54" s="675">
        <v>0</v>
      </c>
      <c r="JI54" s="675">
        <v>0</v>
      </c>
      <c r="JJ54" s="675">
        <v>0</v>
      </c>
      <c r="JK54" s="675">
        <v>0</v>
      </c>
      <c r="JL54" s="675">
        <v>0</v>
      </c>
      <c r="JM54" s="675">
        <v>0</v>
      </c>
      <c r="JN54" s="675">
        <v>32469</v>
      </c>
      <c r="JO54" s="675">
        <v>15.403</v>
      </c>
      <c r="JP54" s="675">
        <v>21.76</v>
      </c>
      <c r="JQ54" s="675">
        <v>17.100000000000001</v>
      </c>
      <c r="JR54" s="675">
        <v>123008</v>
      </c>
      <c r="JS54" s="675">
        <v>202211</v>
      </c>
      <c r="JT54" s="675">
        <v>182495</v>
      </c>
      <c r="JU54" s="675">
        <v>0</v>
      </c>
      <c r="JV54" s="675">
        <v>0</v>
      </c>
      <c r="JW54" s="675">
        <v>0</v>
      </c>
      <c r="JX54" s="675">
        <v>0</v>
      </c>
      <c r="JY54" s="675">
        <v>0</v>
      </c>
      <c r="JZ54" s="675">
        <v>0</v>
      </c>
      <c r="KA54" s="675">
        <v>0</v>
      </c>
      <c r="KB54" s="675">
        <v>0</v>
      </c>
      <c r="KC54" s="675">
        <v>0</v>
      </c>
      <c r="KD54" s="675">
        <v>0</v>
      </c>
      <c r="KE54" s="675">
        <v>7260</v>
      </c>
      <c r="KF54" s="675">
        <v>0</v>
      </c>
      <c r="KG54" s="675">
        <v>0</v>
      </c>
      <c r="KH54" s="675">
        <v>0</v>
      </c>
      <c r="KI54" s="675">
        <v>0</v>
      </c>
    </row>
    <row r="55" spans="1:295" ht="12.5" x14ac:dyDescent="0.25">
      <c r="A55" s="675">
        <v>35795</v>
      </c>
      <c r="B55" s="675">
        <v>165802</v>
      </c>
      <c r="C55" s="675">
        <v>9</v>
      </c>
      <c r="D55" s="675">
        <v>2022</v>
      </c>
      <c r="E55" s="675">
        <v>6160</v>
      </c>
      <c r="F55" s="675">
        <v>0</v>
      </c>
      <c r="G55" s="675">
        <v>342.49</v>
      </c>
      <c r="H55" s="675">
        <v>334.67700000000002</v>
      </c>
      <c r="I55" s="675">
        <v>334.67700000000002</v>
      </c>
      <c r="J55" s="675">
        <v>342.49</v>
      </c>
      <c r="K55" s="675">
        <v>0</v>
      </c>
      <c r="L55" s="675">
        <v>6160</v>
      </c>
      <c r="M55" s="675">
        <v>0</v>
      </c>
      <c r="N55" s="675">
        <v>0</v>
      </c>
      <c r="O55" s="675">
        <v>0</v>
      </c>
      <c r="P55" s="675">
        <v>345.19800000000004</v>
      </c>
      <c r="Q55" s="675">
        <v>0</v>
      </c>
      <c r="R55" s="675">
        <v>138917</v>
      </c>
      <c r="S55" s="675">
        <v>402.428</v>
      </c>
      <c r="T55" s="675">
        <v>0</v>
      </c>
      <c r="U55" s="675">
        <v>73873</v>
      </c>
      <c r="V55" s="675">
        <v>13.195</v>
      </c>
      <c r="W55" s="675">
        <v>8128</v>
      </c>
      <c r="X55" s="675">
        <v>8128</v>
      </c>
      <c r="Y55" s="675">
        <v>0</v>
      </c>
      <c r="Z55" s="675">
        <v>0</v>
      </c>
      <c r="AA55" s="675">
        <v>0</v>
      </c>
      <c r="AB55" s="675">
        <v>0</v>
      </c>
      <c r="AC55" s="675">
        <v>0</v>
      </c>
      <c r="AD55" s="675" t="s">
        <v>316</v>
      </c>
      <c r="AE55" s="675">
        <v>0</v>
      </c>
      <c r="AF55" s="675">
        <v>0</v>
      </c>
      <c r="AG55" s="675">
        <v>0</v>
      </c>
      <c r="AH55" s="675">
        <v>0</v>
      </c>
      <c r="AI55" s="675">
        <v>0</v>
      </c>
      <c r="AJ55" s="675">
        <v>6160</v>
      </c>
      <c r="AK55" s="675" t="s">
        <v>671</v>
      </c>
      <c r="AL55" s="675" t="s">
        <v>91</v>
      </c>
      <c r="AM55" s="675">
        <v>0</v>
      </c>
      <c r="AN55" s="675">
        <v>0</v>
      </c>
      <c r="AO55" s="675">
        <v>0</v>
      </c>
      <c r="AP55" s="675">
        <v>0</v>
      </c>
      <c r="AQ55" s="675">
        <v>0</v>
      </c>
      <c r="AR55" s="675">
        <v>0</v>
      </c>
      <c r="AS55" s="675">
        <v>0</v>
      </c>
      <c r="AT55" s="675">
        <v>0</v>
      </c>
      <c r="AU55" s="675">
        <v>0</v>
      </c>
      <c r="AV55" s="675">
        <v>-10763</v>
      </c>
      <c r="AW55" s="675">
        <v>3139137</v>
      </c>
      <c r="AX55" s="675">
        <v>3077147</v>
      </c>
      <c r="AY55" s="675">
        <v>2075085</v>
      </c>
      <c r="AZ55" s="675">
        <v>138917</v>
      </c>
      <c r="BA55" s="675">
        <v>0</v>
      </c>
      <c r="BB55" s="675">
        <v>7065</v>
      </c>
      <c r="BC55" s="675">
        <v>7019</v>
      </c>
      <c r="BD55" s="675">
        <v>16.385000000000002</v>
      </c>
      <c r="BE55" s="675">
        <v>46</v>
      </c>
      <c r="BF55" s="675">
        <v>2864427</v>
      </c>
      <c r="BG55" s="675">
        <v>0</v>
      </c>
      <c r="BH55" s="675">
        <v>0</v>
      </c>
      <c r="BI55" s="675">
        <v>0</v>
      </c>
      <c r="BJ55" s="675">
        <v>12</v>
      </c>
      <c r="BK55" s="675">
        <v>0</v>
      </c>
      <c r="BL55" s="675">
        <v>0</v>
      </c>
      <c r="BM55" s="675">
        <v>0</v>
      </c>
      <c r="BN55" s="675">
        <v>0</v>
      </c>
      <c r="BO55" s="675">
        <v>0</v>
      </c>
      <c r="BP55" s="675">
        <v>0</v>
      </c>
      <c r="BQ55" s="675">
        <v>718</v>
      </c>
      <c r="BR55" s="675">
        <v>0</v>
      </c>
      <c r="BS55" s="675">
        <v>0</v>
      </c>
      <c r="BT55" s="675">
        <v>0</v>
      </c>
      <c r="BU55" s="675">
        <v>0</v>
      </c>
      <c r="BV55" s="675">
        <v>0</v>
      </c>
      <c r="BW55" s="675">
        <v>0</v>
      </c>
      <c r="BX55" s="675">
        <v>0</v>
      </c>
      <c r="BY55" s="675">
        <v>0</v>
      </c>
      <c r="BZ55" s="675">
        <v>0</v>
      </c>
      <c r="CA55" s="675">
        <v>0</v>
      </c>
      <c r="CB55" s="675">
        <v>0</v>
      </c>
      <c r="CC55" s="675">
        <v>0</v>
      </c>
      <c r="CD55" s="675">
        <v>0</v>
      </c>
      <c r="CE55" s="675">
        <v>0</v>
      </c>
      <c r="CF55" s="675">
        <v>0</v>
      </c>
      <c r="CG55" s="675">
        <v>0</v>
      </c>
      <c r="CH55" s="675">
        <v>62594</v>
      </c>
      <c r="CI55" s="675">
        <v>0</v>
      </c>
      <c r="CJ55" s="675">
        <v>4</v>
      </c>
      <c r="CK55" s="675">
        <v>0</v>
      </c>
      <c r="CL55" s="675">
        <v>0</v>
      </c>
      <c r="CM55" s="675">
        <v>0</v>
      </c>
      <c r="CN55" s="675">
        <v>0</v>
      </c>
      <c r="CO55" s="675">
        <v>1</v>
      </c>
      <c r="CP55" s="675">
        <v>0</v>
      </c>
      <c r="CQ55" s="675">
        <v>0</v>
      </c>
      <c r="CR55" s="675">
        <v>348.15500000000003</v>
      </c>
      <c r="CS55" s="675">
        <v>0</v>
      </c>
      <c r="CT55" s="675">
        <v>0</v>
      </c>
      <c r="CU55" s="675">
        <v>0</v>
      </c>
      <c r="CV55" s="675">
        <v>0</v>
      </c>
      <c r="CW55" s="675">
        <v>0</v>
      </c>
      <c r="CX55" s="675">
        <v>0</v>
      </c>
      <c r="CY55" s="675">
        <v>0</v>
      </c>
      <c r="CZ55" s="675">
        <v>0</v>
      </c>
      <c r="DA55" s="675">
        <v>0</v>
      </c>
      <c r="DB55" s="675">
        <v>2061601</v>
      </c>
      <c r="DC55" s="675">
        <v>0</v>
      </c>
      <c r="DD55" s="675">
        <v>0</v>
      </c>
      <c r="DE55" s="675">
        <v>223299</v>
      </c>
      <c r="DF55" s="675">
        <v>223299</v>
      </c>
      <c r="DG55" s="675">
        <v>36.25</v>
      </c>
      <c r="DH55" s="675">
        <v>0</v>
      </c>
      <c r="DI55" s="675">
        <v>0</v>
      </c>
      <c r="DJ55" s="675">
        <v>0</v>
      </c>
      <c r="DK55" s="675">
        <v>3118</v>
      </c>
      <c r="DL55" s="675">
        <v>0</v>
      </c>
      <c r="DM55" s="675">
        <v>146536</v>
      </c>
      <c r="DN55" s="675">
        <v>558</v>
      </c>
      <c r="DO55" s="675">
        <v>0</v>
      </c>
      <c r="DP55" s="675">
        <v>0</v>
      </c>
      <c r="DQ55" s="675">
        <v>0</v>
      </c>
      <c r="DR55" s="675">
        <v>0</v>
      </c>
      <c r="DS55" s="675">
        <v>0</v>
      </c>
      <c r="DT55" s="675">
        <v>0</v>
      </c>
      <c r="DU55" s="675">
        <v>0</v>
      </c>
      <c r="DV55" s="675">
        <v>0</v>
      </c>
      <c r="DW55" s="675">
        <v>0</v>
      </c>
      <c r="DX55" s="675">
        <v>0</v>
      </c>
      <c r="DY55" s="675">
        <v>0</v>
      </c>
      <c r="DZ55" s="675">
        <v>0</v>
      </c>
      <c r="EA55" s="675">
        <v>0</v>
      </c>
      <c r="EB55" s="675">
        <v>0</v>
      </c>
      <c r="EC55" s="675">
        <v>0</v>
      </c>
      <c r="ED55" s="675">
        <v>0</v>
      </c>
      <c r="EE55" s="675">
        <v>0</v>
      </c>
      <c r="EF55" s="675">
        <v>0</v>
      </c>
      <c r="EG55" s="675">
        <v>0</v>
      </c>
      <c r="EH55" s="675">
        <v>147094</v>
      </c>
      <c r="EI55" s="675">
        <v>0</v>
      </c>
      <c r="EJ55" s="675">
        <v>0</v>
      </c>
      <c r="EK55" s="675">
        <v>7.593</v>
      </c>
      <c r="EL55" s="675">
        <v>0</v>
      </c>
      <c r="EM55" s="675">
        <v>0</v>
      </c>
      <c r="EN55" s="675">
        <v>0.22</v>
      </c>
      <c r="EO55" s="675">
        <v>0</v>
      </c>
      <c r="EP55" s="675">
        <v>0</v>
      </c>
      <c r="EQ55" s="675">
        <v>7.8130000000000006</v>
      </c>
      <c r="ER55" s="675">
        <v>0</v>
      </c>
      <c r="ES55" s="675">
        <v>23.879000000000001</v>
      </c>
      <c r="ET55" s="675">
        <v>0</v>
      </c>
      <c r="EU55" s="675">
        <v>0</v>
      </c>
      <c r="EV55" s="675">
        <v>0</v>
      </c>
      <c r="EW55" s="675">
        <v>0</v>
      </c>
      <c r="EX55" s="675">
        <v>0</v>
      </c>
      <c r="EY55" s="675">
        <v>0</v>
      </c>
      <c r="EZ55" s="675">
        <v>2725510</v>
      </c>
      <c r="FA55" s="675">
        <v>0</v>
      </c>
      <c r="FB55" s="675">
        <v>2863823</v>
      </c>
      <c r="FC55" s="675">
        <v>0</v>
      </c>
      <c r="FD55" s="675">
        <v>0</v>
      </c>
      <c r="FE55" s="675">
        <v>291371</v>
      </c>
      <c r="FF55" s="675">
        <v>60266</v>
      </c>
      <c r="FG55" s="675">
        <v>6.3574999999999993E-2</v>
      </c>
      <c r="FH55" s="675">
        <v>2.6298999999999999E-2</v>
      </c>
      <c r="FI55" s="675">
        <v>0</v>
      </c>
      <c r="FJ55" s="675">
        <v>0</v>
      </c>
      <c r="FK55" s="675">
        <v>465.00700000000001</v>
      </c>
      <c r="FL55" s="675">
        <v>3278054</v>
      </c>
      <c r="FM55" s="675">
        <v>0</v>
      </c>
      <c r="FN55" s="675">
        <v>0</v>
      </c>
      <c r="FO55" s="675">
        <v>0</v>
      </c>
      <c r="FP55" s="675">
        <v>0</v>
      </c>
      <c r="FQ55" s="675">
        <v>0</v>
      </c>
      <c r="FR55" s="675">
        <v>0</v>
      </c>
      <c r="FS55" s="675">
        <v>0</v>
      </c>
      <c r="FT55" s="675">
        <v>0</v>
      </c>
      <c r="FU55" s="675">
        <v>0</v>
      </c>
      <c r="FV55" s="675">
        <v>0</v>
      </c>
      <c r="FW55" s="675">
        <v>0</v>
      </c>
      <c r="FX55" s="675">
        <v>0</v>
      </c>
      <c r="FY55" s="675">
        <v>0</v>
      </c>
      <c r="FZ55" s="675">
        <v>0</v>
      </c>
      <c r="GA55" s="675">
        <v>0</v>
      </c>
      <c r="GB55" s="675">
        <v>0</v>
      </c>
      <c r="GC55" s="675">
        <v>0</v>
      </c>
      <c r="GD55" s="675">
        <v>0</v>
      </c>
      <c r="GE55" s="675">
        <v>0</v>
      </c>
      <c r="GF55" s="675">
        <v>0</v>
      </c>
      <c r="GG55" s="675">
        <v>0</v>
      </c>
      <c r="GH55" s="675">
        <v>0</v>
      </c>
      <c r="GI55" s="675">
        <v>0</v>
      </c>
      <c r="GJ55" s="675">
        <v>0</v>
      </c>
      <c r="GK55" s="675">
        <v>0</v>
      </c>
      <c r="GL55" s="675">
        <v>0</v>
      </c>
      <c r="GM55" s="675">
        <v>0</v>
      </c>
      <c r="GN55" s="675">
        <v>0</v>
      </c>
      <c r="GO55" s="675">
        <v>0</v>
      </c>
      <c r="GP55" s="675">
        <v>0</v>
      </c>
      <c r="GQ55" s="675">
        <v>0</v>
      </c>
      <c r="GR55" s="675">
        <v>0</v>
      </c>
      <c r="GS55" s="675">
        <v>0</v>
      </c>
      <c r="GT55" s="675">
        <v>0</v>
      </c>
      <c r="GU55" s="675">
        <v>0</v>
      </c>
      <c r="GV55" s="675">
        <v>0</v>
      </c>
      <c r="GW55" s="675">
        <v>0</v>
      </c>
      <c r="GX55" s="675">
        <v>0</v>
      </c>
      <c r="GY55" s="675">
        <v>0</v>
      </c>
      <c r="GZ55" s="675">
        <v>0</v>
      </c>
      <c r="HA55" s="675">
        <v>0</v>
      </c>
      <c r="HB55" s="675">
        <v>298386780</v>
      </c>
      <c r="HC55" s="675">
        <v>4.5690999999999996E-2</v>
      </c>
      <c r="HD55" s="675">
        <v>62594</v>
      </c>
      <c r="HE55" s="675">
        <v>0</v>
      </c>
      <c r="HF55" s="675">
        <v>368145</v>
      </c>
      <c r="HG55" s="675">
        <v>1848</v>
      </c>
      <c r="HH55" s="675">
        <v>43918</v>
      </c>
      <c r="HI55" s="675">
        <v>0</v>
      </c>
      <c r="HJ55" s="675">
        <v>3329</v>
      </c>
      <c r="HK55" s="675">
        <v>0</v>
      </c>
      <c r="HL55" s="675">
        <v>0</v>
      </c>
      <c r="HM55" s="675">
        <v>0</v>
      </c>
      <c r="HN55" s="675">
        <v>0</v>
      </c>
      <c r="HO55" s="675">
        <v>0</v>
      </c>
      <c r="HP55" s="675">
        <v>0</v>
      </c>
      <c r="HQ55" s="675">
        <v>0</v>
      </c>
      <c r="HR55" s="675">
        <v>0</v>
      </c>
      <c r="HS55" s="675">
        <v>2724906</v>
      </c>
      <c r="HT55" s="675">
        <v>60266</v>
      </c>
      <c r="HU55" s="675">
        <v>0</v>
      </c>
      <c r="HV55" s="675">
        <v>0</v>
      </c>
      <c r="HW55" s="675">
        <v>0</v>
      </c>
      <c r="HX55" s="675">
        <v>33</v>
      </c>
      <c r="HY55" s="675">
        <v>24</v>
      </c>
      <c r="HZ55" s="675">
        <v>51</v>
      </c>
      <c r="IA55" s="675">
        <v>28</v>
      </c>
      <c r="IB55" s="675">
        <v>11</v>
      </c>
      <c r="IC55" s="675">
        <v>147</v>
      </c>
      <c r="ID55" s="675">
        <v>0</v>
      </c>
      <c r="IE55" s="675">
        <v>0</v>
      </c>
      <c r="IF55" s="675">
        <v>0</v>
      </c>
      <c r="IG55" s="675">
        <v>3</v>
      </c>
      <c r="IH55" s="675">
        <v>71.295000000000002</v>
      </c>
      <c r="II55" s="675">
        <v>0</v>
      </c>
      <c r="IJ55" s="675">
        <v>13.195</v>
      </c>
      <c r="IK55" s="675">
        <v>0</v>
      </c>
      <c r="IL55" s="675">
        <v>0</v>
      </c>
      <c r="IM55" s="675">
        <v>0</v>
      </c>
      <c r="IN55" s="675">
        <v>0</v>
      </c>
      <c r="IO55" s="675">
        <v>0</v>
      </c>
      <c r="IP55" s="675">
        <v>0</v>
      </c>
      <c r="IQ55" s="675">
        <v>13.195</v>
      </c>
      <c r="IR55" s="675">
        <v>8128</v>
      </c>
      <c r="IS55" s="675">
        <v>0</v>
      </c>
      <c r="IT55" s="675">
        <v>0</v>
      </c>
      <c r="IU55" s="675">
        <v>0</v>
      </c>
      <c r="IV55" s="675">
        <v>0</v>
      </c>
      <c r="IW55" s="675">
        <v>6160</v>
      </c>
      <c r="IX55" s="675">
        <v>0</v>
      </c>
      <c r="IY55" s="675">
        <v>0</v>
      </c>
      <c r="IZ55" s="675">
        <v>0</v>
      </c>
      <c r="JA55" s="675">
        <v>0</v>
      </c>
      <c r="JB55" s="675">
        <v>0</v>
      </c>
      <c r="JC55" s="675">
        <v>0</v>
      </c>
      <c r="JD55" s="675">
        <v>0</v>
      </c>
      <c r="JE55" s="675">
        <v>0</v>
      </c>
      <c r="JF55" s="675">
        <v>0</v>
      </c>
      <c r="JG55" s="675">
        <v>0</v>
      </c>
      <c r="JH55" s="675">
        <v>0</v>
      </c>
      <c r="JI55" s="675">
        <v>0</v>
      </c>
      <c r="JJ55" s="675">
        <v>0</v>
      </c>
      <c r="JK55" s="675">
        <v>0</v>
      </c>
      <c r="JL55" s="675">
        <v>0</v>
      </c>
      <c r="JM55" s="675">
        <v>0</v>
      </c>
      <c r="JN55" s="675">
        <v>32469</v>
      </c>
      <c r="JO55" s="675">
        <v>0</v>
      </c>
      <c r="JP55" s="675">
        <v>0</v>
      </c>
      <c r="JQ55" s="675">
        <v>0</v>
      </c>
      <c r="JR55" s="675">
        <v>0</v>
      </c>
      <c r="JS55" s="675">
        <v>0</v>
      </c>
      <c r="JT55" s="675">
        <v>0</v>
      </c>
      <c r="JU55" s="675">
        <v>7065</v>
      </c>
      <c r="JV55" s="675">
        <v>0</v>
      </c>
      <c r="JW55" s="675">
        <v>0</v>
      </c>
      <c r="JX55" s="675">
        <v>0</v>
      </c>
      <c r="JY55" s="675">
        <v>0</v>
      </c>
      <c r="JZ55" s="675">
        <v>0</v>
      </c>
      <c r="KA55" s="675">
        <v>0</v>
      </c>
      <c r="KB55" s="675">
        <v>0</v>
      </c>
      <c r="KC55" s="675">
        <v>0</v>
      </c>
      <c r="KD55" s="675">
        <v>7065</v>
      </c>
      <c r="KE55" s="675">
        <v>7260</v>
      </c>
      <c r="KF55" s="675">
        <v>0</v>
      </c>
      <c r="KG55" s="675">
        <v>0</v>
      </c>
      <c r="KH55" s="675">
        <v>0</v>
      </c>
      <c r="KI55" s="675">
        <v>0</v>
      </c>
    </row>
    <row r="56" spans="1:295" ht="12.5" x14ac:dyDescent="0.25">
      <c r="A56" s="675">
        <v>35795</v>
      </c>
      <c r="B56" s="675">
        <v>220802</v>
      </c>
      <c r="C56" s="675">
        <v>9</v>
      </c>
      <c r="D56" s="675">
        <v>2022</v>
      </c>
      <c r="E56" s="675">
        <v>6160</v>
      </c>
      <c r="F56" s="675">
        <v>0</v>
      </c>
      <c r="G56" s="675">
        <v>1455.355</v>
      </c>
      <c r="H56" s="675">
        <v>1432.94</v>
      </c>
      <c r="I56" s="675">
        <v>1432.94</v>
      </c>
      <c r="J56" s="675">
        <v>1455.355</v>
      </c>
      <c r="K56" s="675">
        <v>0</v>
      </c>
      <c r="L56" s="675">
        <v>6160</v>
      </c>
      <c r="M56" s="675">
        <v>0</v>
      </c>
      <c r="N56" s="675">
        <v>0</v>
      </c>
      <c r="O56" s="675">
        <v>0</v>
      </c>
      <c r="P56" s="675">
        <v>1495.9</v>
      </c>
      <c r="Q56" s="675">
        <v>0</v>
      </c>
      <c r="R56" s="675">
        <v>601992</v>
      </c>
      <c r="S56" s="675">
        <v>402.428</v>
      </c>
      <c r="T56" s="675">
        <v>0</v>
      </c>
      <c r="U56" s="675">
        <v>320124</v>
      </c>
      <c r="V56" s="675">
        <v>127.89200000000001</v>
      </c>
      <c r="W56" s="675">
        <v>78781</v>
      </c>
      <c r="X56" s="675">
        <v>78781</v>
      </c>
      <c r="Y56" s="675">
        <v>0</v>
      </c>
      <c r="Z56" s="675">
        <v>0</v>
      </c>
      <c r="AA56" s="675">
        <v>0</v>
      </c>
      <c r="AB56" s="675">
        <v>0</v>
      </c>
      <c r="AC56" s="675">
        <v>0</v>
      </c>
      <c r="AD56" s="675" t="s">
        <v>316</v>
      </c>
      <c r="AE56" s="675">
        <v>0</v>
      </c>
      <c r="AF56" s="675">
        <v>0</v>
      </c>
      <c r="AG56" s="675">
        <v>0</v>
      </c>
      <c r="AH56" s="675">
        <v>0</v>
      </c>
      <c r="AI56" s="675">
        <v>0</v>
      </c>
      <c r="AJ56" s="675">
        <v>6160</v>
      </c>
      <c r="AK56" s="675" t="s">
        <v>671</v>
      </c>
      <c r="AL56" s="675" t="s">
        <v>77</v>
      </c>
      <c r="AM56" s="675">
        <v>0</v>
      </c>
      <c r="AN56" s="675">
        <v>0</v>
      </c>
      <c r="AO56" s="675">
        <v>0</v>
      </c>
      <c r="AP56" s="675">
        <v>0</v>
      </c>
      <c r="AQ56" s="675">
        <v>0</v>
      </c>
      <c r="AR56" s="675">
        <v>0</v>
      </c>
      <c r="AS56" s="675">
        <v>0</v>
      </c>
      <c r="AT56" s="675">
        <v>0</v>
      </c>
      <c r="AU56" s="675">
        <v>0</v>
      </c>
      <c r="AV56" s="675">
        <v>-92889</v>
      </c>
      <c r="AW56" s="675">
        <v>12982809</v>
      </c>
      <c r="AX56" s="675">
        <v>12718521</v>
      </c>
      <c r="AY56" s="675">
        <v>8536631</v>
      </c>
      <c r="AZ56" s="675">
        <v>601992</v>
      </c>
      <c r="BA56" s="675">
        <v>0</v>
      </c>
      <c r="BB56" s="675">
        <v>0</v>
      </c>
      <c r="BC56" s="675">
        <v>0</v>
      </c>
      <c r="BD56" s="675">
        <v>0</v>
      </c>
      <c r="BE56" s="675">
        <v>0</v>
      </c>
      <c r="BF56" s="675">
        <v>11864081</v>
      </c>
      <c r="BG56" s="675">
        <v>0</v>
      </c>
      <c r="BH56" s="675">
        <v>0</v>
      </c>
      <c r="BI56" s="675">
        <v>0</v>
      </c>
      <c r="BJ56" s="675">
        <v>12</v>
      </c>
      <c r="BK56" s="675">
        <v>0</v>
      </c>
      <c r="BL56" s="675">
        <v>0</v>
      </c>
      <c r="BM56" s="675">
        <v>0</v>
      </c>
      <c r="BN56" s="675">
        <v>0</v>
      </c>
      <c r="BO56" s="675">
        <v>0</v>
      </c>
      <c r="BP56" s="675">
        <v>0</v>
      </c>
      <c r="BQ56" s="675">
        <v>549</v>
      </c>
      <c r="BR56" s="675">
        <v>0</v>
      </c>
      <c r="BS56" s="675">
        <v>0</v>
      </c>
      <c r="BT56" s="675">
        <v>0</v>
      </c>
      <c r="BU56" s="675">
        <v>0</v>
      </c>
      <c r="BV56" s="675">
        <v>0</v>
      </c>
      <c r="BW56" s="675">
        <v>0</v>
      </c>
      <c r="BX56" s="675">
        <v>0</v>
      </c>
      <c r="BY56" s="675">
        <v>0</v>
      </c>
      <c r="BZ56" s="675">
        <v>0</v>
      </c>
      <c r="CA56" s="675">
        <v>0</v>
      </c>
      <c r="CB56" s="675">
        <v>0</v>
      </c>
      <c r="CC56" s="675">
        <v>0</v>
      </c>
      <c r="CD56" s="675">
        <v>0</v>
      </c>
      <c r="CE56" s="675">
        <v>0</v>
      </c>
      <c r="CF56" s="675">
        <v>0</v>
      </c>
      <c r="CG56" s="675">
        <v>0</v>
      </c>
      <c r="CH56" s="675">
        <v>265985</v>
      </c>
      <c r="CI56" s="675">
        <v>0</v>
      </c>
      <c r="CJ56" s="675">
        <v>4</v>
      </c>
      <c r="CK56" s="675">
        <v>0</v>
      </c>
      <c r="CL56" s="675">
        <v>0</v>
      </c>
      <c r="CM56" s="675">
        <v>0</v>
      </c>
      <c r="CN56" s="675">
        <v>0</v>
      </c>
      <c r="CO56" s="675">
        <v>1</v>
      </c>
      <c r="CP56" s="675">
        <v>0</v>
      </c>
      <c r="CQ56" s="675">
        <v>0</v>
      </c>
      <c r="CR56" s="675">
        <v>1506.3410000000001</v>
      </c>
      <c r="CS56" s="675">
        <v>0</v>
      </c>
      <c r="CT56" s="675">
        <v>0</v>
      </c>
      <c r="CU56" s="675">
        <v>0</v>
      </c>
      <c r="CV56" s="675">
        <v>0</v>
      </c>
      <c r="CW56" s="675">
        <v>0</v>
      </c>
      <c r="CX56" s="675">
        <v>0</v>
      </c>
      <c r="CY56" s="675">
        <v>0</v>
      </c>
      <c r="CZ56" s="675">
        <v>0</v>
      </c>
      <c r="DA56" s="675">
        <v>0</v>
      </c>
      <c r="DB56" s="675">
        <v>8826869</v>
      </c>
      <c r="DC56" s="675">
        <v>0</v>
      </c>
      <c r="DD56" s="675">
        <v>0</v>
      </c>
      <c r="DE56" s="675">
        <v>643332</v>
      </c>
      <c r="DF56" s="675">
        <v>643332</v>
      </c>
      <c r="DG56" s="675">
        <v>104.438</v>
      </c>
      <c r="DH56" s="675">
        <v>0</v>
      </c>
      <c r="DI56" s="675">
        <v>0</v>
      </c>
      <c r="DJ56" s="675">
        <v>0</v>
      </c>
      <c r="DK56" s="675">
        <v>412</v>
      </c>
      <c r="DL56" s="675">
        <v>0</v>
      </c>
      <c r="DM56" s="675">
        <v>445542</v>
      </c>
      <c r="DN56" s="675">
        <v>1697</v>
      </c>
      <c r="DO56" s="675">
        <v>0</v>
      </c>
      <c r="DP56" s="675">
        <v>0</v>
      </c>
      <c r="DQ56" s="675">
        <v>0</v>
      </c>
      <c r="DR56" s="675">
        <v>0</v>
      </c>
      <c r="DS56" s="675">
        <v>0</v>
      </c>
      <c r="DT56" s="675">
        <v>0</v>
      </c>
      <c r="DU56" s="675">
        <v>0</v>
      </c>
      <c r="DV56" s="675">
        <v>0</v>
      </c>
      <c r="DW56" s="675">
        <v>0</v>
      </c>
      <c r="DX56" s="675">
        <v>0</v>
      </c>
      <c r="DY56" s="675">
        <v>0</v>
      </c>
      <c r="DZ56" s="675">
        <v>0</v>
      </c>
      <c r="EA56" s="675">
        <v>0</v>
      </c>
      <c r="EB56" s="675">
        <v>0</v>
      </c>
      <c r="EC56" s="675">
        <v>32.367000000000004</v>
      </c>
      <c r="ED56" s="675">
        <v>229287</v>
      </c>
      <c r="EE56" s="675">
        <v>0</v>
      </c>
      <c r="EF56" s="675">
        <v>0</v>
      </c>
      <c r="EG56" s="675">
        <v>0</v>
      </c>
      <c r="EH56" s="675">
        <v>217952</v>
      </c>
      <c r="EI56" s="675">
        <v>0</v>
      </c>
      <c r="EJ56" s="675">
        <v>0</v>
      </c>
      <c r="EK56" s="675">
        <v>8.9480000000000004</v>
      </c>
      <c r="EL56" s="675">
        <v>0</v>
      </c>
      <c r="EM56" s="675">
        <v>0.72600000000000009</v>
      </c>
      <c r="EN56" s="675">
        <v>1.272</v>
      </c>
      <c r="EO56" s="675">
        <v>0</v>
      </c>
      <c r="EP56" s="675">
        <v>0</v>
      </c>
      <c r="EQ56" s="675">
        <v>10.946</v>
      </c>
      <c r="ER56" s="675">
        <v>0</v>
      </c>
      <c r="ES56" s="675">
        <v>35.382000000000005</v>
      </c>
      <c r="ET56" s="675">
        <v>0</v>
      </c>
      <c r="EU56" s="675">
        <v>0</v>
      </c>
      <c r="EV56" s="675">
        <v>0</v>
      </c>
      <c r="EW56" s="675">
        <v>0</v>
      </c>
      <c r="EX56" s="675">
        <v>0</v>
      </c>
      <c r="EY56" s="675">
        <v>0</v>
      </c>
      <c r="EZ56" s="675">
        <v>11262089</v>
      </c>
      <c r="FA56" s="675">
        <v>0</v>
      </c>
      <c r="FB56" s="675">
        <v>11862384</v>
      </c>
      <c r="FC56" s="675">
        <v>0</v>
      </c>
      <c r="FD56" s="675">
        <v>0</v>
      </c>
      <c r="FE56" s="675">
        <v>1206820</v>
      </c>
      <c r="FF56" s="675">
        <v>249612</v>
      </c>
      <c r="FG56" s="675">
        <v>6.3574999999999993E-2</v>
      </c>
      <c r="FH56" s="675">
        <v>2.6298999999999999E-2</v>
      </c>
      <c r="FI56" s="675">
        <v>0</v>
      </c>
      <c r="FJ56" s="675">
        <v>0</v>
      </c>
      <c r="FK56" s="675">
        <v>1925.9960000000001</v>
      </c>
      <c r="FL56" s="675">
        <v>13584801</v>
      </c>
      <c r="FM56" s="675">
        <v>0</v>
      </c>
      <c r="FN56" s="675">
        <v>0</v>
      </c>
      <c r="FO56" s="675">
        <v>0</v>
      </c>
      <c r="FP56" s="675">
        <v>0</v>
      </c>
      <c r="FQ56" s="675">
        <v>0</v>
      </c>
      <c r="FR56" s="675">
        <v>0</v>
      </c>
      <c r="FS56" s="675">
        <v>0</v>
      </c>
      <c r="FT56" s="675">
        <v>0</v>
      </c>
      <c r="FU56" s="675">
        <v>0</v>
      </c>
      <c r="FV56" s="675">
        <v>0</v>
      </c>
      <c r="FW56" s="675">
        <v>0</v>
      </c>
      <c r="FX56" s="675">
        <v>0</v>
      </c>
      <c r="FY56" s="675">
        <v>0</v>
      </c>
      <c r="FZ56" s="675">
        <v>0</v>
      </c>
      <c r="GA56" s="675">
        <v>0</v>
      </c>
      <c r="GB56" s="675">
        <v>96529</v>
      </c>
      <c r="GC56" s="675">
        <v>96529</v>
      </c>
      <c r="GD56" s="675">
        <v>11.469000000000001</v>
      </c>
      <c r="GE56" s="675">
        <v>0</v>
      </c>
      <c r="GF56" s="675">
        <v>0</v>
      </c>
      <c r="GG56" s="675">
        <v>0</v>
      </c>
      <c r="GH56" s="675">
        <v>0</v>
      </c>
      <c r="GI56" s="675">
        <v>0</v>
      </c>
      <c r="GJ56" s="675">
        <v>0</v>
      </c>
      <c r="GK56" s="675">
        <v>0</v>
      </c>
      <c r="GL56" s="675">
        <v>0</v>
      </c>
      <c r="GM56" s="675">
        <v>0</v>
      </c>
      <c r="GN56" s="675">
        <v>0</v>
      </c>
      <c r="GO56" s="675">
        <v>0</v>
      </c>
      <c r="GP56" s="675">
        <v>0</v>
      </c>
      <c r="GQ56" s="675">
        <v>0</v>
      </c>
      <c r="GR56" s="675">
        <v>0</v>
      </c>
      <c r="GS56" s="675">
        <v>0</v>
      </c>
      <c r="GT56" s="675">
        <v>0</v>
      </c>
      <c r="GU56" s="675">
        <v>0</v>
      </c>
      <c r="GV56" s="675">
        <v>0</v>
      </c>
      <c r="GW56" s="675">
        <v>0</v>
      </c>
      <c r="GX56" s="675">
        <v>0</v>
      </c>
      <c r="GY56" s="675">
        <v>0</v>
      </c>
      <c r="GZ56" s="675">
        <v>0</v>
      </c>
      <c r="HA56" s="675">
        <v>0</v>
      </c>
      <c r="HB56" s="675">
        <v>298386780</v>
      </c>
      <c r="HC56" s="675">
        <v>4.5690999999999996E-2</v>
      </c>
      <c r="HD56" s="675">
        <v>265985</v>
      </c>
      <c r="HE56" s="675">
        <v>0</v>
      </c>
      <c r="HF56" s="675">
        <v>1576234</v>
      </c>
      <c r="HG56" s="675">
        <v>14116</v>
      </c>
      <c r="HH56" s="675">
        <v>166835</v>
      </c>
      <c r="HI56" s="675">
        <v>0</v>
      </c>
      <c r="HJ56" s="675">
        <v>14146</v>
      </c>
      <c r="HK56" s="675">
        <v>0</v>
      </c>
      <c r="HL56" s="675">
        <v>0</v>
      </c>
      <c r="HM56" s="675">
        <v>0</v>
      </c>
      <c r="HN56" s="675">
        <v>0</v>
      </c>
      <c r="HO56" s="675">
        <v>0</v>
      </c>
      <c r="HP56" s="675">
        <v>0</v>
      </c>
      <c r="HQ56" s="675">
        <v>0</v>
      </c>
      <c r="HR56" s="675">
        <v>0</v>
      </c>
      <c r="HS56" s="675">
        <v>11260392</v>
      </c>
      <c r="HT56" s="675">
        <v>249612</v>
      </c>
      <c r="HU56" s="675">
        <v>0</v>
      </c>
      <c r="HV56" s="675">
        <v>0</v>
      </c>
      <c r="HW56" s="675">
        <v>0</v>
      </c>
      <c r="HX56" s="675">
        <v>143</v>
      </c>
      <c r="HY56" s="675">
        <v>92</v>
      </c>
      <c r="HZ56" s="675">
        <v>62</v>
      </c>
      <c r="IA56" s="675">
        <v>89</v>
      </c>
      <c r="IB56" s="675">
        <v>42</v>
      </c>
      <c r="IC56" s="675">
        <v>428</v>
      </c>
      <c r="ID56" s="675">
        <v>0</v>
      </c>
      <c r="IE56" s="675">
        <v>0</v>
      </c>
      <c r="IF56" s="675">
        <v>0</v>
      </c>
      <c r="IG56" s="675">
        <v>22.915000000000003</v>
      </c>
      <c r="IH56" s="675">
        <v>270.83699999999999</v>
      </c>
      <c r="II56" s="675">
        <v>0</v>
      </c>
      <c r="IJ56" s="675">
        <v>127.89200000000001</v>
      </c>
      <c r="IK56" s="675">
        <v>0</v>
      </c>
      <c r="IL56" s="675">
        <v>0</v>
      </c>
      <c r="IM56" s="675">
        <v>0</v>
      </c>
      <c r="IN56" s="675">
        <v>0</v>
      </c>
      <c r="IO56" s="675">
        <v>0</v>
      </c>
      <c r="IP56" s="675">
        <v>0</v>
      </c>
      <c r="IQ56" s="675">
        <v>127.89200000000001</v>
      </c>
      <c r="IR56" s="675">
        <v>78781</v>
      </c>
      <c r="IS56" s="675">
        <v>0</v>
      </c>
      <c r="IT56" s="675">
        <v>0</v>
      </c>
      <c r="IU56" s="675">
        <v>0</v>
      </c>
      <c r="IV56" s="675">
        <v>0</v>
      </c>
      <c r="IW56" s="675">
        <v>6160</v>
      </c>
      <c r="IX56" s="675">
        <v>0</v>
      </c>
      <c r="IY56" s="675">
        <v>0</v>
      </c>
      <c r="IZ56" s="675">
        <v>0</v>
      </c>
      <c r="JA56" s="675">
        <v>0</v>
      </c>
      <c r="JB56" s="675">
        <v>0</v>
      </c>
      <c r="JC56" s="675">
        <v>0</v>
      </c>
      <c r="JD56" s="675">
        <v>0</v>
      </c>
      <c r="JE56" s="675">
        <v>0</v>
      </c>
      <c r="JF56" s="675">
        <v>0</v>
      </c>
      <c r="JG56" s="675">
        <v>0</v>
      </c>
      <c r="JH56" s="675">
        <v>0</v>
      </c>
      <c r="JI56" s="675">
        <v>0</v>
      </c>
      <c r="JJ56" s="675">
        <v>0</v>
      </c>
      <c r="JK56" s="675">
        <v>0</v>
      </c>
      <c r="JL56" s="675">
        <v>0</v>
      </c>
      <c r="JM56" s="675">
        <v>0</v>
      </c>
      <c r="JN56" s="675">
        <v>32469</v>
      </c>
      <c r="JO56" s="675">
        <v>7.69</v>
      </c>
      <c r="JP56" s="675">
        <v>3.7790000000000004</v>
      </c>
      <c r="JQ56" s="675">
        <v>0</v>
      </c>
      <c r="JR56" s="675">
        <v>61412</v>
      </c>
      <c r="JS56" s="675">
        <v>35117</v>
      </c>
      <c r="JT56" s="675">
        <v>0</v>
      </c>
      <c r="JU56" s="675">
        <v>0</v>
      </c>
      <c r="JV56" s="675">
        <v>0</v>
      </c>
      <c r="JW56" s="675">
        <v>0</v>
      </c>
      <c r="JX56" s="675">
        <v>0</v>
      </c>
      <c r="JY56" s="675">
        <v>0</v>
      </c>
      <c r="JZ56" s="675">
        <v>0</v>
      </c>
      <c r="KA56" s="675">
        <v>0</v>
      </c>
      <c r="KB56" s="675">
        <v>0</v>
      </c>
      <c r="KC56" s="675">
        <v>0</v>
      </c>
      <c r="KD56" s="675">
        <v>0</v>
      </c>
      <c r="KE56" s="675">
        <v>7260</v>
      </c>
      <c r="KF56" s="675">
        <v>0</v>
      </c>
      <c r="KG56" s="675">
        <v>0</v>
      </c>
      <c r="KH56" s="675">
        <v>0</v>
      </c>
      <c r="KI56" s="675">
        <v>0</v>
      </c>
    </row>
    <row r="57" spans="1:295" ht="12.5" x14ac:dyDescent="0.25">
      <c r="A57" s="675">
        <v>35795</v>
      </c>
      <c r="B57" s="675">
        <v>236802</v>
      </c>
      <c r="C57" s="675">
        <v>9</v>
      </c>
      <c r="D57" s="675">
        <v>2022</v>
      </c>
      <c r="E57" s="675">
        <v>6160</v>
      </c>
      <c r="F57" s="675">
        <v>0</v>
      </c>
      <c r="G57" s="675">
        <v>397.16700000000003</v>
      </c>
      <c r="H57" s="675">
        <v>395.78300000000002</v>
      </c>
      <c r="I57" s="675">
        <v>395.78300000000002</v>
      </c>
      <c r="J57" s="675">
        <v>397.16700000000003</v>
      </c>
      <c r="K57" s="675">
        <v>0</v>
      </c>
      <c r="L57" s="675">
        <v>6160</v>
      </c>
      <c r="M57" s="675">
        <v>0</v>
      </c>
      <c r="N57" s="675">
        <v>0</v>
      </c>
      <c r="O57" s="675">
        <v>0</v>
      </c>
      <c r="P57" s="675">
        <v>373.017</v>
      </c>
      <c r="Q57" s="675">
        <v>0</v>
      </c>
      <c r="R57" s="675">
        <v>150112</v>
      </c>
      <c r="S57" s="675">
        <v>402.428</v>
      </c>
      <c r="T57" s="675">
        <v>0</v>
      </c>
      <c r="U57" s="675">
        <v>79826</v>
      </c>
      <c r="V57" s="675">
        <v>25.272000000000002</v>
      </c>
      <c r="W57" s="675">
        <v>15567</v>
      </c>
      <c r="X57" s="675">
        <v>15567</v>
      </c>
      <c r="Y57" s="675">
        <v>0</v>
      </c>
      <c r="Z57" s="675">
        <v>0</v>
      </c>
      <c r="AA57" s="675">
        <v>0</v>
      </c>
      <c r="AB57" s="675">
        <v>0</v>
      </c>
      <c r="AC57" s="675">
        <v>0</v>
      </c>
      <c r="AD57" s="675" t="s">
        <v>316</v>
      </c>
      <c r="AE57" s="675">
        <v>0</v>
      </c>
      <c r="AF57" s="675">
        <v>0</v>
      </c>
      <c r="AG57" s="675">
        <v>0</v>
      </c>
      <c r="AH57" s="675">
        <v>0</v>
      </c>
      <c r="AI57" s="675">
        <v>0</v>
      </c>
      <c r="AJ57" s="675">
        <v>6160</v>
      </c>
      <c r="AK57" s="675" t="s">
        <v>671</v>
      </c>
      <c r="AL57" s="675" t="s">
        <v>390</v>
      </c>
      <c r="AM57" s="675">
        <v>0</v>
      </c>
      <c r="AN57" s="675">
        <v>0</v>
      </c>
      <c r="AO57" s="675">
        <v>0</v>
      </c>
      <c r="AP57" s="675">
        <v>0</v>
      </c>
      <c r="AQ57" s="675">
        <v>0</v>
      </c>
      <c r="AR57" s="675">
        <v>0</v>
      </c>
      <c r="AS57" s="675">
        <v>0</v>
      </c>
      <c r="AT57" s="675">
        <v>0</v>
      </c>
      <c r="AU57" s="675">
        <v>0</v>
      </c>
      <c r="AV57" s="675">
        <v>0</v>
      </c>
      <c r="AW57" s="675">
        <v>3669648</v>
      </c>
      <c r="AX57" s="675">
        <v>3597823</v>
      </c>
      <c r="AY57" s="675">
        <v>2421500</v>
      </c>
      <c r="AZ57" s="675">
        <v>150112</v>
      </c>
      <c r="BA57" s="675">
        <v>0</v>
      </c>
      <c r="BB57" s="675">
        <v>8400</v>
      </c>
      <c r="BC57" s="675">
        <v>8346</v>
      </c>
      <c r="BD57" s="675">
        <v>19.481000000000002</v>
      </c>
      <c r="BE57" s="675">
        <v>54</v>
      </c>
      <c r="BF57" s="675">
        <v>3338145</v>
      </c>
      <c r="BG57" s="675">
        <v>0</v>
      </c>
      <c r="BH57" s="675">
        <v>0</v>
      </c>
      <c r="BI57" s="675">
        <v>0</v>
      </c>
      <c r="BJ57" s="675">
        <v>12</v>
      </c>
      <c r="BK57" s="675">
        <v>0</v>
      </c>
      <c r="BL57" s="675">
        <v>0</v>
      </c>
      <c r="BM57" s="675">
        <v>0</v>
      </c>
      <c r="BN57" s="675">
        <v>0</v>
      </c>
      <c r="BO57" s="675">
        <v>0</v>
      </c>
      <c r="BP57" s="675">
        <v>0</v>
      </c>
      <c r="BQ57" s="675">
        <v>709</v>
      </c>
      <c r="BR57" s="675">
        <v>0</v>
      </c>
      <c r="BS57" s="675">
        <v>0</v>
      </c>
      <c r="BT57" s="675">
        <v>0</v>
      </c>
      <c r="BU57" s="675">
        <v>0</v>
      </c>
      <c r="BV57" s="675">
        <v>0</v>
      </c>
      <c r="BW57" s="675">
        <v>0</v>
      </c>
      <c r="BX57" s="675">
        <v>0</v>
      </c>
      <c r="BY57" s="675">
        <v>0</v>
      </c>
      <c r="BZ57" s="675">
        <v>0</v>
      </c>
      <c r="CA57" s="675">
        <v>0</v>
      </c>
      <c r="CB57" s="675">
        <v>0</v>
      </c>
      <c r="CC57" s="675">
        <v>0</v>
      </c>
      <c r="CD57" s="675">
        <v>0</v>
      </c>
      <c r="CE57" s="675">
        <v>0</v>
      </c>
      <c r="CF57" s="675">
        <v>0</v>
      </c>
      <c r="CG57" s="675">
        <v>0</v>
      </c>
      <c r="CH57" s="675">
        <v>72587</v>
      </c>
      <c r="CI57" s="675">
        <v>0</v>
      </c>
      <c r="CJ57" s="675">
        <v>4</v>
      </c>
      <c r="CK57" s="675">
        <v>0</v>
      </c>
      <c r="CL57" s="675">
        <v>0</v>
      </c>
      <c r="CM57" s="675">
        <v>0</v>
      </c>
      <c r="CN57" s="675">
        <v>0</v>
      </c>
      <c r="CO57" s="675">
        <v>1</v>
      </c>
      <c r="CP57" s="675">
        <v>0</v>
      </c>
      <c r="CQ57" s="675">
        <v>0</v>
      </c>
      <c r="CR57" s="675">
        <v>517.22199999999998</v>
      </c>
      <c r="CS57" s="675">
        <v>0</v>
      </c>
      <c r="CT57" s="675">
        <v>0</v>
      </c>
      <c r="CU57" s="675">
        <v>0</v>
      </c>
      <c r="CV57" s="675">
        <v>0</v>
      </c>
      <c r="CW57" s="675">
        <v>0</v>
      </c>
      <c r="CX57" s="675">
        <v>0</v>
      </c>
      <c r="CY57" s="675">
        <v>0</v>
      </c>
      <c r="CZ57" s="675">
        <v>0</v>
      </c>
      <c r="DA57" s="675">
        <v>0</v>
      </c>
      <c r="DB57" s="675">
        <v>2438012</v>
      </c>
      <c r="DC57" s="675">
        <v>0</v>
      </c>
      <c r="DD57" s="675">
        <v>0</v>
      </c>
      <c r="DE57" s="675">
        <v>172248</v>
      </c>
      <c r="DF57" s="675">
        <v>172248</v>
      </c>
      <c r="DG57" s="675">
        <v>27.963000000000001</v>
      </c>
      <c r="DH57" s="675">
        <v>0</v>
      </c>
      <c r="DI57" s="675">
        <v>0</v>
      </c>
      <c r="DJ57" s="675">
        <v>0</v>
      </c>
      <c r="DK57" s="675">
        <v>2967</v>
      </c>
      <c r="DL57" s="675">
        <v>0</v>
      </c>
      <c r="DM57" s="675">
        <v>185922</v>
      </c>
      <c r="DN57" s="675">
        <v>708</v>
      </c>
      <c r="DO57" s="675">
        <v>0</v>
      </c>
      <c r="DP57" s="675">
        <v>0</v>
      </c>
      <c r="DQ57" s="675">
        <v>0</v>
      </c>
      <c r="DR57" s="675">
        <v>0</v>
      </c>
      <c r="DS57" s="675">
        <v>0</v>
      </c>
      <c r="DT57" s="675">
        <v>0</v>
      </c>
      <c r="DU57" s="675">
        <v>0</v>
      </c>
      <c r="DV57" s="675">
        <v>0</v>
      </c>
      <c r="DW57" s="675">
        <v>0</v>
      </c>
      <c r="DX57" s="675">
        <v>0</v>
      </c>
      <c r="DY57" s="675">
        <v>0</v>
      </c>
      <c r="DZ57" s="675">
        <v>0</v>
      </c>
      <c r="EA57" s="675">
        <v>2.4E-2</v>
      </c>
      <c r="EB57" s="675">
        <v>0</v>
      </c>
      <c r="EC57" s="675">
        <v>20.327999999999999</v>
      </c>
      <c r="ED57" s="675">
        <v>144003</v>
      </c>
      <c r="EE57" s="675">
        <v>0</v>
      </c>
      <c r="EF57" s="675">
        <v>0</v>
      </c>
      <c r="EG57" s="675">
        <v>0</v>
      </c>
      <c r="EH57" s="675">
        <v>42627</v>
      </c>
      <c r="EI57" s="675">
        <v>0</v>
      </c>
      <c r="EJ57" s="675">
        <v>0</v>
      </c>
      <c r="EK57" s="675">
        <v>0</v>
      </c>
      <c r="EL57" s="675">
        <v>0</v>
      </c>
      <c r="EM57" s="675">
        <v>0</v>
      </c>
      <c r="EN57" s="675">
        <v>1.36</v>
      </c>
      <c r="EO57" s="675">
        <v>0</v>
      </c>
      <c r="EP57" s="675">
        <v>0</v>
      </c>
      <c r="EQ57" s="675">
        <v>1.3840000000000001</v>
      </c>
      <c r="ER57" s="675">
        <v>0</v>
      </c>
      <c r="ES57" s="675">
        <v>6.92</v>
      </c>
      <c r="ET57" s="675">
        <v>0</v>
      </c>
      <c r="EU57" s="675">
        <v>0</v>
      </c>
      <c r="EV57" s="675">
        <v>0</v>
      </c>
      <c r="EW57" s="675">
        <v>0</v>
      </c>
      <c r="EX57" s="675">
        <v>0</v>
      </c>
      <c r="EY57" s="675">
        <v>0</v>
      </c>
      <c r="EZ57" s="675">
        <v>3188033</v>
      </c>
      <c r="FA57" s="675">
        <v>0</v>
      </c>
      <c r="FB57" s="675">
        <v>3337383</v>
      </c>
      <c r="FC57" s="675">
        <v>0</v>
      </c>
      <c r="FD57" s="675">
        <v>0</v>
      </c>
      <c r="FE57" s="675">
        <v>339558</v>
      </c>
      <c r="FF57" s="675">
        <v>70232</v>
      </c>
      <c r="FG57" s="675">
        <v>6.3574999999999993E-2</v>
      </c>
      <c r="FH57" s="675">
        <v>2.6298999999999999E-2</v>
      </c>
      <c r="FI57" s="675">
        <v>0</v>
      </c>
      <c r="FJ57" s="675">
        <v>0</v>
      </c>
      <c r="FK57" s="675">
        <v>541.90899999999999</v>
      </c>
      <c r="FL57" s="675">
        <v>3819760</v>
      </c>
      <c r="FM57" s="675">
        <v>0</v>
      </c>
      <c r="FN57" s="675">
        <v>0</v>
      </c>
      <c r="FO57" s="675">
        <v>0</v>
      </c>
      <c r="FP57" s="675">
        <v>0</v>
      </c>
      <c r="FQ57" s="675">
        <v>0</v>
      </c>
      <c r="FR57" s="675">
        <v>0</v>
      </c>
      <c r="FS57" s="675">
        <v>0</v>
      </c>
      <c r="FT57" s="675">
        <v>0</v>
      </c>
      <c r="FU57" s="675">
        <v>0</v>
      </c>
      <c r="FV57" s="675">
        <v>0</v>
      </c>
      <c r="FW57" s="675">
        <v>0</v>
      </c>
      <c r="FX57" s="675">
        <v>0</v>
      </c>
      <c r="FY57" s="675">
        <v>0</v>
      </c>
      <c r="FZ57" s="675">
        <v>0</v>
      </c>
      <c r="GA57" s="675">
        <v>0</v>
      </c>
      <c r="GB57" s="675">
        <v>0</v>
      </c>
      <c r="GC57" s="675">
        <v>0</v>
      </c>
      <c r="GD57" s="675">
        <v>0</v>
      </c>
      <c r="GE57" s="675">
        <v>0</v>
      </c>
      <c r="GF57" s="675">
        <v>0</v>
      </c>
      <c r="GG57" s="675">
        <v>0</v>
      </c>
      <c r="GH57" s="675">
        <v>0</v>
      </c>
      <c r="GI57" s="675">
        <v>0</v>
      </c>
      <c r="GJ57" s="675">
        <v>0</v>
      </c>
      <c r="GK57" s="675">
        <v>0</v>
      </c>
      <c r="GL57" s="675">
        <v>0</v>
      </c>
      <c r="GM57" s="675">
        <v>0</v>
      </c>
      <c r="GN57" s="675">
        <v>0</v>
      </c>
      <c r="GO57" s="675">
        <v>0</v>
      </c>
      <c r="GP57" s="675">
        <v>0</v>
      </c>
      <c r="GQ57" s="675">
        <v>0</v>
      </c>
      <c r="GR57" s="675">
        <v>0</v>
      </c>
      <c r="GS57" s="675">
        <v>0</v>
      </c>
      <c r="GT57" s="675">
        <v>0</v>
      </c>
      <c r="GU57" s="675">
        <v>0</v>
      </c>
      <c r="GV57" s="675">
        <v>0</v>
      </c>
      <c r="GW57" s="675">
        <v>0</v>
      </c>
      <c r="GX57" s="675">
        <v>0</v>
      </c>
      <c r="GY57" s="675">
        <v>0</v>
      </c>
      <c r="GZ57" s="675">
        <v>0</v>
      </c>
      <c r="HA57" s="675">
        <v>0</v>
      </c>
      <c r="HB57" s="675">
        <v>298386780</v>
      </c>
      <c r="HC57" s="675">
        <v>4.5690999999999996E-2</v>
      </c>
      <c r="HD57" s="675">
        <v>72587</v>
      </c>
      <c r="HE57" s="675">
        <v>0</v>
      </c>
      <c r="HF57" s="675">
        <v>435361</v>
      </c>
      <c r="HG57" s="675">
        <v>18480</v>
      </c>
      <c r="HH57" s="675">
        <v>59587</v>
      </c>
      <c r="HI57" s="675">
        <v>0</v>
      </c>
      <c r="HJ57" s="675">
        <v>3860</v>
      </c>
      <c r="HK57" s="675">
        <v>0</v>
      </c>
      <c r="HL57" s="675">
        <v>0</v>
      </c>
      <c r="HM57" s="675">
        <v>0</v>
      </c>
      <c r="HN57" s="675">
        <v>0</v>
      </c>
      <c r="HO57" s="675">
        <v>0</v>
      </c>
      <c r="HP57" s="675">
        <v>0</v>
      </c>
      <c r="HQ57" s="675">
        <v>0</v>
      </c>
      <c r="HR57" s="675">
        <v>0</v>
      </c>
      <c r="HS57" s="675">
        <v>3187271</v>
      </c>
      <c r="HT57" s="675">
        <v>70232</v>
      </c>
      <c r="HU57" s="675">
        <v>0</v>
      </c>
      <c r="HV57" s="675">
        <v>0</v>
      </c>
      <c r="HW57" s="675">
        <v>0</v>
      </c>
      <c r="HX57" s="675">
        <v>32</v>
      </c>
      <c r="HY57" s="675">
        <v>27</v>
      </c>
      <c r="HZ57" s="675">
        <v>32</v>
      </c>
      <c r="IA57" s="675">
        <v>20</v>
      </c>
      <c r="IB57" s="675">
        <v>4</v>
      </c>
      <c r="IC57" s="675">
        <v>115</v>
      </c>
      <c r="ID57" s="675">
        <v>0</v>
      </c>
      <c r="IE57" s="675">
        <v>0</v>
      </c>
      <c r="IF57" s="675">
        <v>0</v>
      </c>
      <c r="IG57" s="675">
        <v>30</v>
      </c>
      <c r="IH57" s="675">
        <v>96.731999999999999</v>
      </c>
      <c r="II57" s="675">
        <v>0</v>
      </c>
      <c r="IJ57" s="675">
        <v>25.272000000000002</v>
      </c>
      <c r="IK57" s="675">
        <v>0</v>
      </c>
      <c r="IL57" s="675">
        <v>0</v>
      </c>
      <c r="IM57" s="675">
        <v>0</v>
      </c>
      <c r="IN57" s="675">
        <v>0</v>
      </c>
      <c r="IO57" s="675">
        <v>0</v>
      </c>
      <c r="IP57" s="675">
        <v>0</v>
      </c>
      <c r="IQ57" s="675">
        <v>25.272000000000002</v>
      </c>
      <c r="IR57" s="675">
        <v>15567</v>
      </c>
      <c r="IS57" s="675">
        <v>0</v>
      </c>
      <c r="IT57" s="675">
        <v>0</v>
      </c>
      <c r="IU57" s="675">
        <v>0</v>
      </c>
      <c r="IV57" s="675">
        <v>0</v>
      </c>
      <c r="IW57" s="675">
        <v>6160</v>
      </c>
      <c r="IX57" s="675">
        <v>0</v>
      </c>
      <c r="IY57" s="675">
        <v>0</v>
      </c>
      <c r="IZ57" s="675">
        <v>0</v>
      </c>
      <c r="JA57" s="675">
        <v>0</v>
      </c>
      <c r="JB57" s="675">
        <v>0</v>
      </c>
      <c r="JC57" s="675">
        <v>0</v>
      </c>
      <c r="JD57" s="675">
        <v>0</v>
      </c>
      <c r="JE57" s="675">
        <v>0</v>
      </c>
      <c r="JF57" s="675">
        <v>0</v>
      </c>
      <c r="JG57" s="675">
        <v>0</v>
      </c>
      <c r="JH57" s="675">
        <v>0</v>
      </c>
      <c r="JI57" s="675">
        <v>0</v>
      </c>
      <c r="JJ57" s="675">
        <v>0</v>
      </c>
      <c r="JK57" s="675">
        <v>0</v>
      </c>
      <c r="JL57" s="675">
        <v>0</v>
      </c>
      <c r="JM57" s="675">
        <v>0</v>
      </c>
      <c r="JN57" s="675">
        <v>32469</v>
      </c>
      <c r="JO57" s="675">
        <v>0</v>
      </c>
      <c r="JP57" s="675">
        <v>0</v>
      </c>
      <c r="JQ57" s="675">
        <v>0</v>
      </c>
      <c r="JR57" s="675">
        <v>0</v>
      </c>
      <c r="JS57" s="675">
        <v>0</v>
      </c>
      <c r="JT57" s="675">
        <v>0</v>
      </c>
      <c r="JU57" s="675">
        <v>8400</v>
      </c>
      <c r="JV57" s="675">
        <v>0</v>
      </c>
      <c r="JW57" s="675">
        <v>0</v>
      </c>
      <c r="JX57" s="675">
        <v>0</v>
      </c>
      <c r="JY57" s="675">
        <v>0</v>
      </c>
      <c r="JZ57" s="675">
        <v>0</v>
      </c>
      <c r="KA57" s="675">
        <v>0</v>
      </c>
      <c r="KB57" s="675">
        <v>0</v>
      </c>
      <c r="KC57" s="675">
        <v>0</v>
      </c>
      <c r="KD57" s="675">
        <v>8400</v>
      </c>
      <c r="KE57" s="675">
        <v>7260</v>
      </c>
      <c r="KF57" s="675">
        <v>0</v>
      </c>
      <c r="KG57" s="675">
        <v>0</v>
      </c>
      <c r="KH57" s="675">
        <v>0</v>
      </c>
      <c r="KI57" s="675">
        <v>0</v>
      </c>
    </row>
    <row r="58" spans="1:295" ht="12.5" x14ac:dyDescent="0.25">
      <c r="A58" s="675">
        <v>35795</v>
      </c>
      <c r="B58" s="675">
        <v>246802</v>
      </c>
      <c r="C58" s="675">
        <v>9</v>
      </c>
      <c r="D58" s="675">
        <v>2022</v>
      </c>
      <c r="E58" s="675">
        <v>6160</v>
      </c>
      <c r="F58" s="675">
        <v>0</v>
      </c>
      <c r="G58" s="675">
        <v>295.08</v>
      </c>
      <c r="H58" s="675">
        <v>284.072</v>
      </c>
      <c r="I58" s="675">
        <v>284.072</v>
      </c>
      <c r="J58" s="675">
        <v>295.08</v>
      </c>
      <c r="K58" s="675">
        <v>0</v>
      </c>
      <c r="L58" s="675">
        <v>6160</v>
      </c>
      <c r="M58" s="675">
        <v>0</v>
      </c>
      <c r="N58" s="675">
        <v>0</v>
      </c>
      <c r="O58" s="675">
        <v>0</v>
      </c>
      <c r="P58" s="675">
        <v>276.16200000000003</v>
      </c>
      <c r="Q58" s="675">
        <v>0</v>
      </c>
      <c r="R58" s="675">
        <v>111135</v>
      </c>
      <c r="S58" s="675">
        <v>402.428</v>
      </c>
      <c r="T58" s="675">
        <v>0</v>
      </c>
      <c r="U58" s="675">
        <v>59098</v>
      </c>
      <c r="V58" s="675">
        <v>14.786000000000001</v>
      </c>
      <c r="W58" s="675">
        <v>9108</v>
      </c>
      <c r="X58" s="675">
        <v>9108</v>
      </c>
      <c r="Y58" s="675">
        <v>0</v>
      </c>
      <c r="Z58" s="675">
        <v>0</v>
      </c>
      <c r="AA58" s="675">
        <v>0</v>
      </c>
      <c r="AB58" s="675">
        <v>0</v>
      </c>
      <c r="AC58" s="675">
        <v>0</v>
      </c>
      <c r="AD58" s="675" t="s">
        <v>316</v>
      </c>
      <c r="AE58" s="675">
        <v>0</v>
      </c>
      <c r="AF58" s="675">
        <v>0</v>
      </c>
      <c r="AG58" s="675">
        <v>0</v>
      </c>
      <c r="AH58" s="675">
        <v>0</v>
      </c>
      <c r="AI58" s="675">
        <v>0</v>
      </c>
      <c r="AJ58" s="675">
        <v>6160</v>
      </c>
      <c r="AK58" s="675" t="s">
        <v>671</v>
      </c>
      <c r="AL58" s="675" t="s">
        <v>420</v>
      </c>
      <c r="AM58" s="675">
        <v>0</v>
      </c>
      <c r="AN58" s="675">
        <v>0</v>
      </c>
      <c r="AO58" s="675">
        <v>0</v>
      </c>
      <c r="AP58" s="675">
        <v>0</v>
      </c>
      <c r="AQ58" s="675">
        <v>0</v>
      </c>
      <c r="AR58" s="675">
        <v>0</v>
      </c>
      <c r="AS58" s="675">
        <v>0</v>
      </c>
      <c r="AT58" s="675">
        <v>0</v>
      </c>
      <c r="AU58" s="675">
        <v>0</v>
      </c>
      <c r="AV58" s="675">
        <v>-530</v>
      </c>
      <c r="AW58" s="675">
        <v>2787576</v>
      </c>
      <c r="AX58" s="675">
        <v>2734507</v>
      </c>
      <c r="AY58" s="675">
        <v>1881257</v>
      </c>
      <c r="AZ58" s="675">
        <v>111135</v>
      </c>
      <c r="BA58" s="675">
        <v>0</v>
      </c>
      <c r="BB58" s="675">
        <v>862</v>
      </c>
      <c r="BC58" s="675">
        <v>856</v>
      </c>
      <c r="BD58" s="675">
        <v>2</v>
      </c>
      <c r="BE58" s="675">
        <v>6</v>
      </c>
      <c r="BF58" s="675">
        <v>2534507</v>
      </c>
      <c r="BG58" s="675">
        <v>0</v>
      </c>
      <c r="BH58" s="675">
        <v>0</v>
      </c>
      <c r="BI58" s="675">
        <v>0</v>
      </c>
      <c r="BJ58" s="675">
        <v>12</v>
      </c>
      <c r="BK58" s="675">
        <v>0</v>
      </c>
      <c r="BL58" s="675">
        <v>0</v>
      </c>
      <c r="BM58" s="675">
        <v>0</v>
      </c>
      <c r="BN58" s="675">
        <v>0</v>
      </c>
      <c r="BO58" s="675">
        <v>0</v>
      </c>
      <c r="BP58" s="675">
        <v>0</v>
      </c>
      <c r="BQ58" s="675">
        <v>726</v>
      </c>
      <c r="BR58" s="675">
        <v>0</v>
      </c>
      <c r="BS58" s="675">
        <v>0</v>
      </c>
      <c r="BT58" s="675">
        <v>0</v>
      </c>
      <c r="BU58" s="675">
        <v>0</v>
      </c>
      <c r="BV58" s="675">
        <v>0</v>
      </c>
      <c r="BW58" s="675">
        <v>0</v>
      </c>
      <c r="BX58" s="675">
        <v>0</v>
      </c>
      <c r="BY58" s="675">
        <v>0</v>
      </c>
      <c r="BZ58" s="675">
        <v>0</v>
      </c>
      <c r="CA58" s="675">
        <v>0</v>
      </c>
      <c r="CB58" s="675">
        <v>0</v>
      </c>
      <c r="CC58" s="675">
        <v>0</v>
      </c>
      <c r="CD58" s="675">
        <v>0</v>
      </c>
      <c r="CE58" s="675">
        <v>0</v>
      </c>
      <c r="CF58" s="675">
        <v>0</v>
      </c>
      <c r="CG58" s="675">
        <v>0</v>
      </c>
      <c r="CH58" s="675">
        <v>53930</v>
      </c>
      <c r="CI58" s="675">
        <v>0</v>
      </c>
      <c r="CJ58" s="675">
        <v>4</v>
      </c>
      <c r="CK58" s="675">
        <v>0</v>
      </c>
      <c r="CL58" s="675">
        <v>0</v>
      </c>
      <c r="CM58" s="675">
        <v>0</v>
      </c>
      <c r="CN58" s="675">
        <v>0</v>
      </c>
      <c r="CO58" s="675">
        <v>1</v>
      </c>
      <c r="CP58" s="675">
        <v>0</v>
      </c>
      <c r="CQ58" s="675">
        <v>0</v>
      </c>
      <c r="CR58" s="675">
        <v>396.536</v>
      </c>
      <c r="CS58" s="675">
        <v>0</v>
      </c>
      <c r="CT58" s="675">
        <v>0</v>
      </c>
      <c r="CU58" s="675">
        <v>0</v>
      </c>
      <c r="CV58" s="675">
        <v>0</v>
      </c>
      <c r="CW58" s="675">
        <v>0</v>
      </c>
      <c r="CX58" s="675">
        <v>0</v>
      </c>
      <c r="CY58" s="675">
        <v>0</v>
      </c>
      <c r="CZ58" s="675">
        <v>0</v>
      </c>
      <c r="DA58" s="675">
        <v>0</v>
      </c>
      <c r="DB58" s="675">
        <v>1684231</v>
      </c>
      <c r="DC58" s="675">
        <v>0</v>
      </c>
      <c r="DD58" s="675">
        <v>0</v>
      </c>
      <c r="DE58" s="675">
        <v>192499</v>
      </c>
      <c r="DF58" s="675">
        <v>192499</v>
      </c>
      <c r="DG58" s="675">
        <v>31.25</v>
      </c>
      <c r="DH58" s="675">
        <v>0</v>
      </c>
      <c r="DI58" s="675">
        <v>0</v>
      </c>
      <c r="DJ58" s="675">
        <v>0</v>
      </c>
      <c r="DK58" s="675">
        <v>3242</v>
      </c>
      <c r="DL58" s="675">
        <v>0</v>
      </c>
      <c r="DM58" s="675">
        <v>290343</v>
      </c>
      <c r="DN58" s="675">
        <v>856</v>
      </c>
      <c r="DO58" s="675">
        <v>0</v>
      </c>
      <c r="DP58" s="675">
        <v>0</v>
      </c>
      <c r="DQ58" s="675">
        <v>0</v>
      </c>
      <c r="DR58" s="675">
        <v>0</v>
      </c>
      <c r="DS58" s="675">
        <v>0</v>
      </c>
      <c r="DT58" s="675">
        <v>0</v>
      </c>
      <c r="DU58" s="675">
        <v>0</v>
      </c>
      <c r="DV58" s="675">
        <v>0</v>
      </c>
      <c r="DW58" s="675">
        <v>0</v>
      </c>
      <c r="DX58" s="675">
        <v>0</v>
      </c>
      <c r="DY58" s="675">
        <v>0</v>
      </c>
      <c r="DZ58" s="675">
        <v>0</v>
      </c>
      <c r="EA58" s="675">
        <v>0</v>
      </c>
      <c r="EB58" s="675">
        <v>0</v>
      </c>
      <c r="EC58" s="675">
        <v>1.788</v>
      </c>
      <c r="ED58" s="675">
        <v>12666</v>
      </c>
      <c r="EE58" s="675">
        <v>0</v>
      </c>
      <c r="EF58" s="675">
        <v>0</v>
      </c>
      <c r="EG58" s="675">
        <v>0</v>
      </c>
      <c r="EH58" s="675">
        <v>212889</v>
      </c>
      <c r="EI58" s="675">
        <v>0</v>
      </c>
      <c r="EJ58" s="675">
        <v>0</v>
      </c>
      <c r="EK58" s="675">
        <v>10.19</v>
      </c>
      <c r="EL58" s="675">
        <v>0</v>
      </c>
      <c r="EM58" s="675">
        <v>0.05</v>
      </c>
      <c r="EN58" s="675">
        <v>0.76800000000000002</v>
      </c>
      <c r="EO58" s="675">
        <v>0</v>
      </c>
      <c r="EP58" s="675">
        <v>0</v>
      </c>
      <c r="EQ58" s="675">
        <v>11.008000000000001</v>
      </c>
      <c r="ER58" s="675">
        <v>0</v>
      </c>
      <c r="ES58" s="675">
        <v>34.56</v>
      </c>
      <c r="ET58" s="675">
        <v>0</v>
      </c>
      <c r="EU58" s="675">
        <v>0</v>
      </c>
      <c r="EV58" s="675">
        <v>0</v>
      </c>
      <c r="EW58" s="675">
        <v>0</v>
      </c>
      <c r="EX58" s="675">
        <v>0</v>
      </c>
      <c r="EY58" s="675">
        <v>0</v>
      </c>
      <c r="EZ58" s="675">
        <v>2423372</v>
      </c>
      <c r="FA58" s="675">
        <v>0</v>
      </c>
      <c r="FB58" s="675">
        <v>2533646</v>
      </c>
      <c r="FC58" s="675">
        <v>0</v>
      </c>
      <c r="FD58" s="675">
        <v>0</v>
      </c>
      <c r="FE58" s="675">
        <v>257811</v>
      </c>
      <c r="FF58" s="675">
        <v>53324</v>
      </c>
      <c r="FG58" s="675">
        <v>6.3574999999999993E-2</v>
      </c>
      <c r="FH58" s="675">
        <v>2.6298999999999999E-2</v>
      </c>
      <c r="FI58" s="675">
        <v>0</v>
      </c>
      <c r="FJ58" s="675">
        <v>0</v>
      </c>
      <c r="FK58" s="675">
        <v>411.44800000000004</v>
      </c>
      <c r="FL58" s="675">
        <v>2898711</v>
      </c>
      <c r="FM58" s="675">
        <v>0</v>
      </c>
      <c r="FN58" s="675">
        <v>0</v>
      </c>
      <c r="FO58" s="675">
        <v>0</v>
      </c>
      <c r="FP58" s="675">
        <v>0</v>
      </c>
      <c r="FQ58" s="675">
        <v>0</v>
      </c>
      <c r="FR58" s="675">
        <v>0</v>
      </c>
      <c r="FS58" s="675">
        <v>0</v>
      </c>
      <c r="FT58" s="675">
        <v>0</v>
      </c>
      <c r="FU58" s="675">
        <v>0</v>
      </c>
      <c r="FV58" s="675">
        <v>0</v>
      </c>
      <c r="FW58" s="675">
        <v>0</v>
      </c>
      <c r="FX58" s="675">
        <v>0</v>
      </c>
      <c r="FY58" s="675">
        <v>0</v>
      </c>
      <c r="FZ58" s="675">
        <v>0</v>
      </c>
      <c r="GA58" s="675">
        <v>0</v>
      </c>
      <c r="GB58" s="675">
        <v>0</v>
      </c>
      <c r="GC58" s="675">
        <v>0</v>
      </c>
      <c r="GD58" s="675">
        <v>0</v>
      </c>
      <c r="GE58" s="675">
        <v>0</v>
      </c>
      <c r="GF58" s="675">
        <v>0</v>
      </c>
      <c r="GG58" s="675">
        <v>0</v>
      </c>
      <c r="GH58" s="675">
        <v>0</v>
      </c>
      <c r="GI58" s="675">
        <v>0</v>
      </c>
      <c r="GJ58" s="675">
        <v>0</v>
      </c>
      <c r="GK58" s="675">
        <v>0</v>
      </c>
      <c r="GL58" s="675">
        <v>0</v>
      </c>
      <c r="GM58" s="675">
        <v>0</v>
      </c>
      <c r="GN58" s="675">
        <v>0</v>
      </c>
      <c r="GO58" s="675">
        <v>0</v>
      </c>
      <c r="GP58" s="675">
        <v>0</v>
      </c>
      <c r="GQ58" s="675">
        <v>0</v>
      </c>
      <c r="GR58" s="675">
        <v>0</v>
      </c>
      <c r="GS58" s="675">
        <v>0</v>
      </c>
      <c r="GT58" s="675">
        <v>0</v>
      </c>
      <c r="GU58" s="675">
        <v>0</v>
      </c>
      <c r="GV58" s="675">
        <v>0</v>
      </c>
      <c r="GW58" s="675">
        <v>0</v>
      </c>
      <c r="GX58" s="675">
        <v>0</v>
      </c>
      <c r="GY58" s="675">
        <v>0</v>
      </c>
      <c r="GZ58" s="675">
        <v>0</v>
      </c>
      <c r="HA58" s="675">
        <v>0</v>
      </c>
      <c r="HB58" s="675">
        <v>298386780</v>
      </c>
      <c r="HC58" s="675">
        <v>4.5690999999999996E-2</v>
      </c>
      <c r="HD58" s="675">
        <v>53930</v>
      </c>
      <c r="HE58" s="675">
        <v>0</v>
      </c>
      <c r="HF58" s="675">
        <v>312479</v>
      </c>
      <c r="HG58" s="675">
        <v>2464</v>
      </c>
      <c r="HH58" s="675">
        <v>38797</v>
      </c>
      <c r="HI58" s="675">
        <v>0</v>
      </c>
      <c r="HJ58" s="675">
        <v>2868</v>
      </c>
      <c r="HK58" s="675">
        <v>0</v>
      </c>
      <c r="HL58" s="675">
        <v>0</v>
      </c>
      <c r="HM58" s="675">
        <v>0</v>
      </c>
      <c r="HN58" s="675">
        <v>0</v>
      </c>
      <c r="HO58" s="675">
        <v>0</v>
      </c>
      <c r="HP58" s="675">
        <v>0</v>
      </c>
      <c r="HQ58" s="675">
        <v>0</v>
      </c>
      <c r="HR58" s="675">
        <v>0</v>
      </c>
      <c r="HS58" s="675">
        <v>2422511</v>
      </c>
      <c r="HT58" s="675">
        <v>53324</v>
      </c>
      <c r="HU58" s="675">
        <v>0</v>
      </c>
      <c r="HV58" s="675">
        <v>0</v>
      </c>
      <c r="HW58" s="675">
        <v>0</v>
      </c>
      <c r="HX58" s="675">
        <v>76</v>
      </c>
      <c r="HY58" s="675">
        <v>33</v>
      </c>
      <c r="HZ58" s="675">
        <v>21</v>
      </c>
      <c r="IA58" s="675">
        <v>3</v>
      </c>
      <c r="IB58" s="675">
        <v>1</v>
      </c>
      <c r="IC58" s="675">
        <v>134</v>
      </c>
      <c r="ID58" s="675">
        <v>0</v>
      </c>
      <c r="IE58" s="675">
        <v>0</v>
      </c>
      <c r="IF58" s="675">
        <v>0</v>
      </c>
      <c r="IG58" s="675">
        <v>4</v>
      </c>
      <c r="IH58" s="675">
        <v>62.983000000000004</v>
      </c>
      <c r="II58" s="675">
        <v>0</v>
      </c>
      <c r="IJ58" s="675">
        <v>14.786000000000001</v>
      </c>
      <c r="IK58" s="675">
        <v>0</v>
      </c>
      <c r="IL58" s="675">
        <v>0</v>
      </c>
      <c r="IM58" s="675">
        <v>0</v>
      </c>
      <c r="IN58" s="675">
        <v>0</v>
      </c>
      <c r="IO58" s="675">
        <v>0</v>
      </c>
      <c r="IP58" s="675">
        <v>0</v>
      </c>
      <c r="IQ58" s="675">
        <v>14.786000000000001</v>
      </c>
      <c r="IR58" s="675">
        <v>9108</v>
      </c>
      <c r="IS58" s="675">
        <v>0</v>
      </c>
      <c r="IT58" s="675">
        <v>0</v>
      </c>
      <c r="IU58" s="675">
        <v>0</v>
      </c>
      <c r="IV58" s="675">
        <v>0</v>
      </c>
      <c r="IW58" s="675">
        <v>6160</v>
      </c>
      <c r="IX58" s="675">
        <v>0</v>
      </c>
      <c r="IY58" s="675">
        <v>0</v>
      </c>
      <c r="IZ58" s="675">
        <v>0</v>
      </c>
      <c r="JA58" s="675">
        <v>0</v>
      </c>
      <c r="JB58" s="675">
        <v>0</v>
      </c>
      <c r="JC58" s="675">
        <v>0</v>
      </c>
      <c r="JD58" s="675">
        <v>0</v>
      </c>
      <c r="JE58" s="675">
        <v>0</v>
      </c>
      <c r="JF58" s="675">
        <v>0</v>
      </c>
      <c r="JG58" s="675">
        <v>0</v>
      </c>
      <c r="JH58" s="675">
        <v>0</v>
      </c>
      <c r="JI58" s="675">
        <v>0</v>
      </c>
      <c r="JJ58" s="675">
        <v>0</v>
      </c>
      <c r="JK58" s="675">
        <v>0</v>
      </c>
      <c r="JL58" s="675">
        <v>0</v>
      </c>
      <c r="JM58" s="675">
        <v>0</v>
      </c>
      <c r="JN58" s="675">
        <v>32469</v>
      </c>
      <c r="JO58" s="675">
        <v>0</v>
      </c>
      <c r="JP58" s="675">
        <v>0</v>
      </c>
      <c r="JQ58" s="675">
        <v>0</v>
      </c>
      <c r="JR58" s="675">
        <v>0</v>
      </c>
      <c r="JS58" s="675">
        <v>0</v>
      </c>
      <c r="JT58" s="675">
        <v>0</v>
      </c>
      <c r="JU58" s="675">
        <v>862</v>
      </c>
      <c r="JV58" s="675">
        <v>0</v>
      </c>
      <c r="JW58" s="675">
        <v>0</v>
      </c>
      <c r="JX58" s="675">
        <v>0</v>
      </c>
      <c r="JY58" s="675">
        <v>0</v>
      </c>
      <c r="JZ58" s="675">
        <v>0</v>
      </c>
      <c r="KA58" s="675">
        <v>0</v>
      </c>
      <c r="KB58" s="675">
        <v>0</v>
      </c>
      <c r="KC58" s="675">
        <v>0</v>
      </c>
      <c r="KD58" s="675">
        <v>862</v>
      </c>
      <c r="KE58" s="675">
        <v>7260</v>
      </c>
      <c r="KF58" s="675">
        <v>0</v>
      </c>
      <c r="KG58" s="675">
        <v>0</v>
      </c>
      <c r="KH58" s="675">
        <v>0</v>
      </c>
      <c r="KI58" s="675">
        <v>0</v>
      </c>
    </row>
    <row r="59" spans="1:295" ht="12.5" x14ac:dyDescent="0.25">
      <c r="A59" s="675">
        <v>35795</v>
      </c>
      <c r="B59" s="675">
        <v>14803</v>
      </c>
      <c r="C59" s="675">
        <v>9</v>
      </c>
      <c r="D59" s="675">
        <v>2022</v>
      </c>
      <c r="E59" s="675">
        <v>6160</v>
      </c>
      <c r="F59" s="675">
        <v>0</v>
      </c>
      <c r="G59" s="675">
        <v>718.16200000000003</v>
      </c>
      <c r="H59" s="675">
        <v>670.995</v>
      </c>
      <c r="I59" s="675">
        <v>670.995</v>
      </c>
      <c r="J59" s="675">
        <v>718.16200000000003</v>
      </c>
      <c r="K59" s="675">
        <v>0</v>
      </c>
      <c r="L59" s="675">
        <v>6160</v>
      </c>
      <c r="M59" s="675">
        <v>0</v>
      </c>
      <c r="N59" s="675">
        <v>0</v>
      </c>
      <c r="O59" s="675">
        <v>0</v>
      </c>
      <c r="P59" s="675">
        <v>762.23900000000003</v>
      </c>
      <c r="Q59" s="675">
        <v>0</v>
      </c>
      <c r="R59" s="675">
        <v>306746</v>
      </c>
      <c r="S59" s="675">
        <v>402.428</v>
      </c>
      <c r="T59" s="675">
        <v>0</v>
      </c>
      <c r="U59" s="675">
        <v>163120</v>
      </c>
      <c r="V59" s="675">
        <v>40.515000000000001</v>
      </c>
      <c r="W59" s="675">
        <v>24957</v>
      </c>
      <c r="X59" s="675">
        <v>24957</v>
      </c>
      <c r="Y59" s="675">
        <v>0</v>
      </c>
      <c r="Z59" s="675">
        <v>0</v>
      </c>
      <c r="AA59" s="675">
        <v>0</v>
      </c>
      <c r="AB59" s="675">
        <v>0</v>
      </c>
      <c r="AC59" s="675">
        <v>0</v>
      </c>
      <c r="AD59" s="675" t="s">
        <v>316</v>
      </c>
      <c r="AE59" s="675">
        <v>0</v>
      </c>
      <c r="AF59" s="675">
        <v>0</v>
      </c>
      <c r="AG59" s="675">
        <v>0</v>
      </c>
      <c r="AH59" s="675">
        <v>0</v>
      </c>
      <c r="AI59" s="675">
        <v>0</v>
      </c>
      <c r="AJ59" s="675">
        <v>6160</v>
      </c>
      <c r="AK59" s="675" t="s">
        <v>671</v>
      </c>
      <c r="AL59" s="675" t="s">
        <v>317</v>
      </c>
      <c r="AM59" s="675">
        <v>0</v>
      </c>
      <c r="AN59" s="675">
        <v>0</v>
      </c>
      <c r="AO59" s="675">
        <v>0</v>
      </c>
      <c r="AP59" s="675">
        <v>0</v>
      </c>
      <c r="AQ59" s="675">
        <v>0</v>
      </c>
      <c r="AR59" s="675">
        <v>0</v>
      </c>
      <c r="AS59" s="675">
        <v>0</v>
      </c>
      <c r="AT59" s="675">
        <v>0</v>
      </c>
      <c r="AU59" s="675">
        <v>0</v>
      </c>
      <c r="AV59" s="675">
        <v>-116743</v>
      </c>
      <c r="AW59" s="675">
        <v>7367334</v>
      </c>
      <c r="AX59" s="675">
        <v>7239118</v>
      </c>
      <c r="AY59" s="675">
        <v>4916141</v>
      </c>
      <c r="AZ59" s="675">
        <v>306746</v>
      </c>
      <c r="BA59" s="675">
        <v>0</v>
      </c>
      <c r="BB59" s="675">
        <v>15483</v>
      </c>
      <c r="BC59" s="675">
        <v>15383</v>
      </c>
      <c r="BD59" s="675">
        <v>35.908000000000001</v>
      </c>
      <c r="BE59" s="675">
        <v>100</v>
      </c>
      <c r="BF59" s="675">
        <v>6638635</v>
      </c>
      <c r="BG59" s="675">
        <v>0</v>
      </c>
      <c r="BH59" s="675">
        <v>0</v>
      </c>
      <c r="BI59" s="675">
        <v>0</v>
      </c>
      <c r="BJ59" s="675">
        <v>12</v>
      </c>
      <c r="BK59" s="675">
        <v>0</v>
      </c>
      <c r="BL59" s="675">
        <v>0</v>
      </c>
      <c r="BM59" s="675">
        <v>0</v>
      </c>
      <c r="BN59" s="675">
        <v>0</v>
      </c>
      <c r="BO59" s="675">
        <v>0</v>
      </c>
      <c r="BP59" s="675">
        <v>0</v>
      </c>
      <c r="BQ59" s="675">
        <v>667</v>
      </c>
      <c r="BR59" s="675">
        <v>0</v>
      </c>
      <c r="BS59" s="675">
        <v>0</v>
      </c>
      <c r="BT59" s="675">
        <v>0</v>
      </c>
      <c r="BU59" s="675">
        <v>0</v>
      </c>
      <c r="BV59" s="675">
        <v>0</v>
      </c>
      <c r="BW59" s="675">
        <v>0</v>
      </c>
      <c r="BX59" s="675">
        <v>0</v>
      </c>
      <c r="BY59" s="675">
        <v>0</v>
      </c>
      <c r="BZ59" s="675">
        <v>0</v>
      </c>
      <c r="CA59" s="675">
        <v>0</v>
      </c>
      <c r="CB59" s="675">
        <v>0</v>
      </c>
      <c r="CC59" s="675">
        <v>0</v>
      </c>
      <c r="CD59" s="675">
        <v>0</v>
      </c>
      <c r="CE59" s="675">
        <v>0</v>
      </c>
      <c r="CF59" s="675">
        <v>0</v>
      </c>
      <c r="CG59" s="675">
        <v>0</v>
      </c>
      <c r="CH59" s="675">
        <v>131253</v>
      </c>
      <c r="CI59" s="675">
        <v>0</v>
      </c>
      <c r="CJ59" s="675">
        <v>4</v>
      </c>
      <c r="CK59" s="675">
        <v>0</v>
      </c>
      <c r="CL59" s="675">
        <v>0</v>
      </c>
      <c r="CM59" s="675">
        <v>0</v>
      </c>
      <c r="CN59" s="675">
        <v>0</v>
      </c>
      <c r="CO59" s="675">
        <v>1</v>
      </c>
      <c r="CP59" s="675">
        <v>0</v>
      </c>
      <c r="CQ59" s="675">
        <v>0</v>
      </c>
      <c r="CR59" s="675">
        <v>752.274</v>
      </c>
      <c r="CS59" s="675">
        <v>0</v>
      </c>
      <c r="CT59" s="675">
        <v>0</v>
      </c>
      <c r="CU59" s="675">
        <v>0</v>
      </c>
      <c r="CV59" s="675">
        <v>0</v>
      </c>
      <c r="CW59" s="675">
        <v>0</v>
      </c>
      <c r="CX59" s="675">
        <v>0</v>
      </c>
      <c r="CY59" s="675">
        <v>0</v>
      </c>
      <c r="CZ59" s="675">
        <v>0</v>
      </c>
      <c r="DA59" s="675">
        <v>0</v>
      </c>
      <c r="DB59" s="675">
        <v>4133310</v>
      </c>
      <c r="DC59" s="675">
        <v>0</v>
      </c>
      <c r="DD59" s="675">
        <v>0</v>
      </c>
      <c r="DE59" s="675">
        <v>724490</v>
      </c>
      <c r="DF59" s="675">
        <v>724490</v>
      </c>
      <c r="DG59" s="675">
        <v>117.613</v>
      </c>
      <c r="DH59" s="675">
        <v>0</v>
      </c>
      <c r="DI59" s="675">
        <v>0</v>
      </c>
      <c r="DJ59" s="675">
        <v>0</v>
      </c>
      <c r="DK59" s="675">
        <v>2289</v>
      </c>
      <c r="DL59" s="675">
        <v>0</v>
      </c>
      <c r="DM59" s="675">
        <v>771038</v>
      </c>
      <c r="DN59" s="675">
        <v>2937</v>
      </c>
      <c r="DO59" s="675">
        <v>0</v>
      </c>
      <c r="DP59" s="675">
        <v>0</v>
      </c>
      <c r="DQ59" s="675">
        <v>0</v>
      </c>
      <c r="DR59" s="675">
        <v>0</v>
      </c>
      <c r="DS59" s="675">
        <v>0</v>
      </c>
      <c r="DT59" s="675">
        <v>0</v>
      </c>
      <c r="DU59" s="675">
        <v>0</v>
      </c>
      <c r="DV59" s="675">
        <v>0</v>
      </c>
      <c r="DW59" s="675">
        <v>0</v>
      </c>
      <c r="DX59" s="675">
        <v>0</v>
      </c>
      <c r="DY59" s="675">
        <v>0</v>
      </c>
      <c r="DZ59" s="675">
        <v>0</v>
      </c>
      <c r="EA59" s="675">
        <v>0</v>
      </c>
      <c r="EB59" s="675">
        <v>0</v>
      </c>
      <c r="EC59" s="675">
        <v>8.9050000000000011</v>
      </c>
      <c r="ED59" s="675">
        <v>63083</v>
      </c>
      <c r="EE59" s="675">
        <v>0</v>
      </c>
      <c r="EF59" s="675">
        <v>0</v>
      </c>
      <c r="EG59" s="675">
        <v>0</v>
      </c>
      <c r="EH59" s="675">
        <v>710892</v>
      </c>
      <c r="EI59" s="675">
        <v>0</v>
      </c>
      <c r="EJ59" s="675">
        <v>0</v>
      </c>
      <c r="EK59" s="675">
        <v>35.535000000000004</v>
      </c>
      <c r="EL59" s="675">
        <v>0</v>
      </c>
      <c r="EM59" s="675">
        <v>0</v>
      </c>
      <c r="EN59" s="675">
        <v>1.76</v>
      </c>
      <c r="EO59" s="675">
        <v>0</v>
      </c>
      <c r="EP59" s="675">
        <v>0</v>
      </c>
      <c r="EQ59" s="675">
        <v>37.295000000000002</v>
      </c>
      <c r="ER59" s="675">
        <v>0</v>
      </c>
      <c r="ES59" s="675">
        <v>115.405</v>
      </c>
      <c r="ET59" s="675">
        <v>0</v>
      </c>
      <c r="EU59" s="675">
        <v>0</v>
      </c>
      <c r="EV59" s="675">
        <v>0</v>
      </c>
      <c r="EW59" s="675">
        <v>0</v>
      </c>
      <c r="EX59" s="675">
        <v>0</v>
      </c>
      <c r="EY59" s="675">
        <v>0</v>
      </c>
      <c r="EZ59" s="675">
        <v>6424161</v>
      </c>
      <c r="FA59" s="675">
        <v>0</v>
      </c>
      <c r="FB59" s="675">
        <v>6727870</v>
      </c>
      <c r="FC59" s="675">
        <v>0</v>
      </c>
      <c r="FD59" s="675">
        <v>0</v>
      </c>
      <c r="FE59" s="675">
        <v>675285</v>
      </c>
      <c r="FF59" s="675">
        <v>139672</v>
      </c>
      <c r="FG59" s="675">
        <v>6.3574999999999993E-2</v>
      </c>
      <c r="FH59" s="675">
        <v>2.6298999999999999E-2</v>
      </c>
      <c r="FI59" s="675">
        <v>0</v>
      </c>
      <c r="FJ59" s="675">
        <v>0</v>
      </c>
      <c r="FK59" s="675">
        <v>1077.7050000000002</v>
      </c>
      <c r="FL59" s="675">
        <v>7674080</v>
      </c>
      <c r="FM59" s="675">
        <v>0</v>
      </c>
      <c r="FN59" s="675">
        <v>0</v>
      </c>
      <c r="FO59" s="675">
        <v>89474</v>
      </c>
      <c r="FP59" s="675">
        <v>0</v>
      </c>
      <c r="FQ59" s="675">
        <v>89474</v>
      </c>
      <c r="FR59" s="675">
        <v>89474</v>
      </c>
      <c r="FS59" s="675">
        <v>0</v>
      </c>
      <c r="FT59" s="675">
        <v>0</v>
      </c>
      <c r="FU59" s="675">
        <v>0</v>
      </c>
      <c r="FV59" s="675">
        <v>0</v>
      </c>
      <c r="FW59" s="675">
        <v>0</v>
      </c>
      <c r="FX59" s="675">
        <v>0</v>
      </c>
      <c r="FY59" s="675">
        <v>0</v>
      </c>
      <c r="FZ59" s="675">
        <v>0</v>
      </c>
      <c r="GA59" s="675">
        <v>0</v>
      </c>
      <c r="GB59" s="675">
        <v>92209</v>
      </c>
      <c r="GC59" s="675">
        <v>92209</v>
      </c>
      <c r="GD59" s="675">
        <v>9.8719999999999999</v>
      </c>
      <c r="GE59" s="675">
        <v>0</v>
      </c>
      <c r="GF59" s="675">
        <v>0</v>
      </c>
      <c r="GG59" s="675">
        <v>0</v>
      </c>
      <c r="GH59" s="675">
        <v>0</v>
      </c>
      <c r="GI59" s="675">
        <v>0</v>
      </c>
      <c r="GJ59" s="675">
        <v>0</v>
      </c>
      <c r="GK59" s="675">
        <v>0</v>
      </c>
      <c r="GL59" s="675">
        <v>0</v>
      </c>
      <c r="GM59" s="675">
        <v>0</v>
      </c>
      <c r="GN59" s="675">
        <v>0</v>
      </c>
      <c r="GO59" s="675">
        <v>0</v>
      </c>
      <c r="GP59" s="675">
        <v>0</v>
      </c>
      <c r="GQ59" s="675">
        <v>0</v>
      </c>
      <c r="GR59" s="675">
        <v>0</v>
      </c>
      <c r="GS59" s="675">
        <v>0</v>
      </c>
      <c r="GT59" s="675">
        <v>0</v>
      </c>
      <c r="GU59" s="675">
        <v>0</v>
      </c>
      <c r="GV59" s="675">
        <v>0</v>
      </c>
      <c r="GW59" s="675">
        <v>0</v>
      </c>
      <c r="GX59" s="675">
        <v>0</v>
      </c>
      <c r="GY59" s="675">
        <v>0</v>
      </c>
      <c r="GZ59" s="675">
        <v>0</v>
      </c>
      <c r="HA59" s="675">
        <v>0</v>
      </c>
      <c r="HB59" s="675">
        <v>298386780</v>
      </c>
      <c r="HC59" s="675">
        <v>4.5690999999999996E-2</v>
      </c>
      <c r="HD59" s="675">
        <v>131253</v>
      </c>
      <c r="HE59" s="675">
        <v>0</v>
      </c>
      <c r="HF59" s="675">
        <v>738095</v>
      </c>
      <c r="HG59" s="675">
        <v>14784</v>
      </c>
      <c r="HH59" s="675">
        <v>106351</v>
      </c>
      <c r="HI59" s="675">
        <v>0</v>
      </c>
      <c r="HJ59" s="675">
        <v>6981</v>
      </c>
      <c r="HK59" s="675">
        <v>1674</v>
      </c>
      <c r="HL59" s="675">
        <v>1124</v>
      </c>
      <c r="HM59" s="675">
        <v>8000</v>
      </c>
      <c r="HN59" s="675">
        <v>0</v>
      </c>
      <c r="HO59" s="675">
        <v>0</v>
      </c>
      <c r="HP59" s="675">
        <v>0</v>
      </c>
      <c r="HQ59" s="675">
        <v>0</v>
      </c>
      <c r="HR59" s="675">
        <v>0</v>
      </c>
      <c r="HS59" s="675">
        <v>6421124</v>
      </c>
      <c r="HT59" s="675">
        <v>139672</v>
      </c>
      <c r="HU59" s="675">
        <v>0</v>
      </c>
      <c r="HV59" s="675">
        <v>0</v>
      </c>
      <c r="HW59" s="675">
        <v>0</v>
      </c>
      <c r="HX59" s="675">
        <v>158</v>
      </c>
      <c r="HY59" s="675">
        <v>95</v>
      </c>
      <c r="HZ59" s="675">
        <v>98</v>
      </c>
      <c r="IA59" s="675">
        <v>60</v>
      </c>
      <c r="IB59" s="675">
        <v>70</v>
      </c>
      <c r="IC59" s="675">
        <v>481</v>
      </c>
      <c r="ID59" s="675">
        <v>0</v>
      </c>
      <c r="IE59" s="675">
        <v>0</v>
      </c>
      <c r="IF59" s="675">
        <v>0</v>
      </c>
      <c r="IG59" s="675">
        <v>24</v>
      </c>
      <c r="IH59" s="675">
        <v>172.648</v>
      </c>
      <c r="II59" s="675">
        <v>0</v>
      </c>
      <c r="IJ59" s="675">
        <v>40.515000000000001</v>
      </c>
      <c r="IK59" s="675">
        <v>0</v>
      </c>
      <c r="IL59" s="675">
        <v>1</v>
      </c>
      <c r="IM59" s="675">
        <v>1</v>
      </c>
      <c r="IN59" s="675">
        <v>0</v>
      </c>
      <c r="IO59" s="675">
        <v>2</v>
      </c>
      <c r="IP59" s="675">
        <v>0</v>
      </c>
      <c r="IQ59" s="675">
        <v>40.515000000000001</v>
      </c>
      <c r="IR59" s="675">
        <v>24957</v>
      </c>
      <c r="IS59" s="675">
        <v>0</v>
      </c>
      <c r="IT59" s="675">
        <v>5000</v>
      </c>
      <c r="IU59" s="675">
        <v>3000</v>
      </c>
      <c r="IV59" s="675">
        <v>0</v>
      </c>
      <c r="IW59" s="675">
        <v>6160</v>
      </c>
      <c r="IX59" s="675">
        <v>0</v>
      </c>
      <c r="IY59" s="675">
        <v>0</v>
      </c>
      <c r="IZ59" s="675">
        <v>0</v>
      </c>
      <c r="JA59" s="675">
        <v>0</v>
      </c>
      <c r="JB59" s="675">
        <v>0</v>
      </c>
      <c r="JC59" s="675">
        <v>0</v>
      </c>
      <c r="JD59" s="675">
        <v>0</v>
      </c>
      <c r="JE59" s="675">
        <v>0</v>
      </c>
      <c r="JF59" s="675">
        <v>0</v>
      </c>
      <c r="JG59" s="675">
        <v>0</v>
      </c>
      <c r="JH59" s="675">
        <v>0</v>
      </c>
      <c r="JI59" s="675">
        <v>0</v>
      </c>
      <c r="JJ59" s="675">
        <v>0</v>
      </c>
      <c r="JK59" s="675">
        <v>0</v>
      </c>
      <c r="JL59" s="675">
        <v>0</v>
      </c>
      <c r="JM59" s="675">
        <v>0</v>
      </c>
      <c r="JN59" s="675">
        <v>32469</v>
      </c>
      <c r="JO59" s="675">
        <v>1.1910000000000001</v>
      </c>
      <c r="JP59" s="675">
        <v>7.2110000000000003</v>
      </c>
      <c r="JQ59" s="675">
        <v>1.47</v>
      </c>
      <c r="JR59" s="675">
        <v>9511</v>
      </c>
      <c r="JS59" s="675">
        <v>67010</v>
      </c>
      <c r="JT59" s="675">
        <v>15688</v>
      </c>
      <c r="JU59" s="675">
        <v>15483</v>
      </c>
      <c r="JV59" s="675">
        <v>0</v>
      </c>
      <c r="JW59" s="675">
        <v>0</v>
      </c>
      <c r="JX59" s="675">
        <v>0</v>
      </c>
      <c r="JY59" s="675">
        <v>0</v>
      </c>
      <c r="JZ59" s="675">
        <v>0</v>
      </c>
      <c r="KA59" s="675">
        <v>0</v>
      </c>
      <c r="KB59" s="675">
        <v>0</v>
      </c>
      <c r="KC59" s="675">
        <v>0</v>
      </c>
      <c r="KD59" s="675">
        <v>15483</v>
      </c>
      <c r="KE59" s="675">
        <v>7260</v>
      </c>
      <c r="KF59" s="675">
        <v>0</v>
      </c>
      <c r="KG59" s="675">
        <v>0</v>
      </c>
      <c r="KH59" s="675">
        <v>0</v>
      </c>
      <c r="KI59" s="675">
        <v>0</v>
      </c>
    </row>
    <row r="60" spans="1:295" ht="12.5" x14ac:dyDescent="0.25">
      <c r="A60" s="675">
        <v>35795</v>
      </c>
      <c r="B60" s="675">
        <v>21803</v>
      </c>
      <c r="C60" s="675">
        <v>9</v>
      </c>
      <c r="D60" s="675">
        <v>2022</v>
      </c>
      <c r="E60" s="675">
        <v>6160</v>
      </c>
      <c r="F60" s="675">
        <v>0</v>
      </c>
      <c r="G60" s="675">
        <v>268.58500000000004</v>
      </c>
      <c r="H60" s="675">
        <v>261.428</v>
      </c>
      <c r="I60" s="675">
        <v>261.428</v>
      </c>
      <c r="J60" s="675">
        <v>268.58500000000004</v>
      </c>
      <c r="K60" s="675">
        <v>0</v>
      </c>
      <c r="L60" s="675">
        <v>6160</v>
      </c>
      <c r="M60" s="675">
        <v>0</v>
      </c>
      <c r="N60" s="675">
        <v>0</v>
      </c>
      <c r="O60" s="675">
        <v>0</v>
      </c>
      <c r="P60" s="675">
        <v>259.19300000000004</v>
      </c>
      <c r="Q60" s="675">
        <v>0</v>
      </c>
      <c r="R60" s="675">
        <v>104307</v>
      </c>
      <c r="S60" s="675">
        <v>402.428</v>
      </c>
      <c r="T60" s="675">
        <v>0</v>
      </c>
      <c r="U60" s="675">
        <v>55468</v>
      </c>
      <c r="V60" s="675">
        <v>101.128</v>
      </c>
      <c r="W60" s="675">
        <v>62295</v>
      </c>
      <c r="X60" s="675">
        <v>62295</v>
      </c>
      <c r="Y60" s="675">
        <v>0</v>
      </c>
      <c r="Z60" s="675">
        <v>0</v>
      </c>
      <c r="AA60" s="675">
        <v>0</v>
      </c>
      <c r="AB60" s="675">
        <v>0</v>
      </c>
      <c r="AC60" s="675">
        <v>0</v>
      </c>
      <c r="AD60" s="675" t="s">
        <v>316</v>
      </c>
      <c r="AE60" s="675">
        <v>0</v>
      </c>
      <c r="AF60" s="675">
        <v>0</v>
      </c>
      <c r="AG60" s="675">
        <v>0</v>
      </c>
      <c r="AH60" s="675">
        <v>0</v>
      </c>
      <c r="AI60" s="675">
        <v>0</v>
      </c>
      <c r="AJ60" s="675">
        <v>6160</v>
      </c>
      <c r="AK60" s="675" t="s">
        <v>671</v>
      </c>
      <c r="AL60" s="675" t="s">
        <v>41</v>
      </c>
      <c r="AM60" s="675">
        <v>0</v>
      </c>
      <c r="AN60" s="675">
        <v>0</v>
      </c>
      <c r="AO60" s="675">
        <v>0</v>
      </c>
      <c r="AP60" s="675">
        <v>0</v>
      </c>
      <c r="AQ60" s="675">
        <v>0</v>
      </c>
      <c r="AR60" s="675">
        <v>0</v>
      </c>
      <c r="AS60" s="675">
        <v>0</v>
      </c>
      <c r="AT60" s="675">
        <v>0</v>
      </c>
      <c r="AU60" s="675">
        <v>0</v>
      </c>
      <c r="AV60" s="675">
        <v>0</v>
      </c>
      <c r="AW60" s="675">
        <v>3042727</v>
      </c>
      <c r="AX60" s="675">
        <v>2994178</v>
      </c>
      <c r="AY60" s="675">
        <v>2060813</v>
      </c>
      <c r="AZ60" s="675">
        <v>104307</v>
      </c>
      <c r="BA60" s="675">
        <v>0</v>
      </c>
      <c r="BB60" s="675">
        <v>0</v>
      </c>
      <c r="BC60" s="675">
        <v>0</v>
      </c>
      <c r="BD60" s="675">
        <v>0</v>
      </c>
      <c r="BE60" s="675">
        <v>0</v>
      </c>
      <c r="BF60" s="675">
        <v>2759705</v>
      </c>
      <c r="BG60" s="675">
        <v>0</v>
      </c>
      <c r="BH60" s="675">
        <v>0</v>
      </c>
      <c r="BI60" s="675">
        <v>0</v>
      </c>
      <c r="BJ60" s="675">
        <v>12</v>
      </c>
      <c r="BK60" s="675">
        <v>0</v>
      </c>
      <c r="BL60" s="675">
        <v>0</v>
      </c>
      <c r="BM60" s="675">
        <v>0</v>
      </c>
      <c r="BN60" s="675">
        <v>0</v>
      </c>
      <c r="BO60" s="675">
        <v>0</v>
      </c>
      <c r="BP60" s="675">
        <v>0</v>
      </c>
      <c r="BQ60" s="675">
        <v>730</v>
      </c>
      <c r="BR60" s="675">
        <v>0</v>
      </c>
      <c r="BS60" s="675">
        <v>0</v>
      </c>
      <c r="BT60" s="675">
        <v>0</v>
      </c>
      <c r="BU60" s="675">
        <v>0</v>
      </c>
      <c r="BV60" s="675">
        <v>0</v>
      </c>
      <c r="BW60" s="675">
        <v>0</v>
      </c>
      <c r="BX60" s="675">
        <v>0</v>
      </c>
      <c r="BY60" s="675">
        <v>0</v>
      </c>
      <c r="BZ60" s="675">
        <v>0</v>
      </c>
      <c r="CA60" s="675">
        <v>0</v>
      </c>
      <c r="CB60" s="675">
        <v>0</v>
      </c>
      <c r="CC60" s="675">
        <v>0</v>
      </c>
      <c r="CD60" s="675">
        <v>0</v>
      </c>
      <c r="CE60" s="675">
        <v>0</v>
      </c>
      <c r="CF60" s="675">
        <v>0</v>
      </c>
      <c r="CG60" s="675">
        <v>0</v>
      </c>
      <c r="CH60" s="675">
        <v>49087</v>
      </c>
      <c r="CI60" s="675">
        <v>0</v>
      </c>
      <c r="CJ60" s="675">
        <v>4</v>
      </c>
      <c r="CK60" s="675">
        <v>0</v>
      </c>
      <c r="CL60" s="675">
        <v>0</v>
      </c>
      <c r="CM60" s="675">
        <v>0</v>
      </c>
      <c r="CN60" s="675">
        <v>0</v>
      </c>
      <c r="CO60" s="675">
        <v>1</v>
      </c>
      <c r="CP60" s="675">
        <v>0</v>
      </c>
      <c r="CQ60" s="675">
        <v>0</v>
      </c>
      <c r="CR60" s="675">
        <v>278.49400000000003</v>
      </c>
      <c r="CS60" s="675">
        <v>0</v>
      </c>
      <c r="CT60" s="675">
        <v>0</v>
      </c>
      <c r="CU60" s="675">
        <v>0</v>
      </c>
      <c r="CV60" s="675">
        <v>0</v>
      </c>
      <c r="CW60" s="675">
        <v>0</v>
      </c>
      <c r="CX60" s="675">
        <v>0</v>
      </c>
      <c r="CY60" s="675">
        <v>0</v>
      </c>
      <c r="CZ60" s="675">
        <v>0</v>
      </c>
      <c r="DA60" s="675">
        <v>0</v>
      </c>
      <c r="DB60" s="675">
        <v>1585129</v>
      </c>
      <c r="DC60" s="675">
        <v>0</v>
      </c>
      <c r="DD60" s="675">
        <v>0</v>
      </c>
      <c r="DE60" s="675">
        <v>529912</v>
      </c>
      <c r="DF60" s="675">
        <v>529912</v>
      </c>
      <c r="DG60" s="675">
        <v>86.025000000000006</v>
      </c>
      <c r="DH60" s="675">
        <v>0</v>
      </c>
      <c r="DI60" s="675">
        <v>0</v>
      </c>
      <c r="DJ60" s="675">
        <v>0</v>
      </c>
      <c r="DK60" s="675">
        <v>3298</v>
      </c>
      <c r="DL60" s="675">
        <v>0</v>
      </c>
      <c r="DM60" s="675">
        <v>166383</v>
      </c>
      <c r="DN60" s="675">
        <v>538</v>
      </c>
      <c r="DO60" s="675">
        <v>0</v>
      </c>
      <c r="DP60" s="675">
        <v>0</v>
      </c>
      <c r="DQ60" s="675">
        <v>0</v>
      </c>
      <c r="DR60" s="675">
        <v>0</v>
      </c>
      <c r="DS60" s="675">
        <v>0</v>
      </c>
      <c r="DT60" s="675">
        <v>0</v>
      </c>
      <c r="DU60" s="675">
        <v>0</v>
      </c>
      <c r="DV60" s="675">
        <v>0</v>
      </c>
      <c r="DW60" s="675">
        <v>0</v>
      </c>
      <c r="DX60" s="675">
        <v>0</v>
      </c>
      <c r="DY60" s="675">
        <v>0</v>
      </c>
      <c r="DZ60" s="675">
        <v>0</v>
      </c>
      <c r="EA60" s="675">
        <v>0</v>
      </c>
      <c r="EB60" s="675">
        <v>0</v>
      </c>
      <c r="EC60" s="675">
        <v>0</v>
      </c>
      <c r="ED60" s="675">
        <v>0</v>
      </c>
      <c r="EE60" s="675">
        <v>0</v>
      </c>
      <c r="EF60" s="675">
        <v>0</v>
      </c>
      <c r="EG60" s="675">
        <v>0</v>
      </c>
      <c r="EH60" s="675">
        <v>141661</v>
      </c>
      <c r="EI60" s="675">
        <v>0</v>
      </c>
      <c r="EJ60" s="675">
        <v>0</v>
      </c>
      <c r="EK60" s="675">
        <v>6.3940000000000001</v>
      </c>
      <c r="EL60" s="675">
        <v>0</v>
      </c>
      <c r="EM60" s="675">
        <v>0</v>
      </c>
      <c r="EN60" s="675">
        <v>0.76300000000000001</v>
      </c>
      <c r="EO60" s="675">
        <v>0</v>
      </c>
      <c r="EP60" s="675">
        <v>0</v>
      </c>
      <c r="EQ60" s="675">
        <v>7.157</v>
      </c>
      <c r="ER60" s="675">
        <v>0</v>
      </c>
      <c r="ES60" s="675">
        <v>22.997</v>
      </c>
      <c r="ET60" s="675">
        <v>0</v>
      </c>
      <c r="EU60" s="675">
        <v>0</v>
      </c>
      <c r="EV60" s="675">
        <v>0</v>
      </c>
      <c r="EW60" s="675">
        <v>0</v>
      </c>
      <c r="EX60" s="675">
        <v>0</v>
      </c>
      <c r="EY60" s="675">
        <v>0</v>
      </c>
      <c r="EZ60" s="675">
        <v>2655398</v>
      </c>
      <c r="FA60" s="675">
        <v>0</v>
      </c>
      <c r="FB60" s="675">
        <v>2759167</v>
      </c>
      <c r="FC60" s="675">
        <v>0</v>
      </c>
      <c r="FD60" s="675">
        <v>0</v>
      </c>
      <c r="FE60" s="675">
        <v>280718</v>
      </c>
      <c r="FF60" s="675">
        <v>58062</v>
      </c>
      <c r="FG60" s="675">
        <v>6.3574999999999993E-2</v>
      </c>
      <c r="FH60" s="675">
        <v>2.6298999999999999E-2</v>
      </c>
      <c r="FI60" s="675">
        <v>0</v>
      </c>
      <c r="FJ60" s="675">
        <v>0</v>
      </c>
      <c r="FK60" s="675">
        <v>448.00600000000003</v>
      </c>
      <c r="FL60" s="675">
        <v>3147034</v>
      </c>
      <c r="FM60" s="675">
        <v>0</v>
      </c>
      <c r="FN60" s="675">
        <v>0</v>
      </c>
      <c r="FO60" s="675">
        <v>0</v>
      </c>
      <c r="FP60" s="675">
        <v>0</v>
      </c>
      <c r="FQ60" s="675">
        <v>0</v>
      </c>
      <c r="FR60" s="675">
        <v>0</v>
      </c>
      <c r="FS60" s="675">
        <v>0</v>
      </c>
      <c r="FT60" s="675">
        <v>0</v>
      </c>
      <c r="FU60" s="675">
        <v>0</v>
      </c>
      <c r="FV60" s="675">
        <v>0</v>
      </c>
      <c r="FW60" s="675">
        <v>0</v>
      </c>
      <c r="FX60" s="675">
        <v>0</v>
      </c>
      <c r="FY60" s="675">
        <v>0</v>
      </c>
      <c r="FZ60" s="675">
        <v>0</v>
      </c>
      <c r="GA60" s="675">
        <v>0</v>
      </c>
      <c r="GB60" s="675">
        <v>0</v>
      </c>
      <c r="GC60" s="675">
        <v>0</v>
      </c>
      <c r="GD60" s="675">
        <v>0</v>
      </c>
      <c r="GE60" s="675">
        <v>0</v>
      </c>
      <c r="GF60" s="675">
        <v>0</v>
      </c>
      <c r="GG60" s="675">
        <v>0</v>
      </c>
      <c r="GH60" s="675">
        <v>0</v>
      </c>
      <c r="GI60" s="675">
        <v>0</v>
      </c>
      <c r="GJ60" s="675">
        <v>0</v>
      </c>
      <c r="GK60" s="675">
        <v>0</v>
      </c>
      <c r="GL60" s="675">
        <v>0</v>
      </c>
      <c r="GM60" s="675">
        <v>0</v>
      </c>
      <c r="GN60" s="675">
        <v>0</v>
      </c>
      <c r="GO60" s="675">
        <v>0</v>
      </c>
      <c r="GP60" s="675">
        <v>0</v>
      </c>
      <c r="GQ60" s="675">
        <v>0</v>
      </c>
      <c r="GR60" s="675">
        <v>0</v>
      </c>
      <c r="GS60" s="675">
        <v>0</v>
      </c>
      <c r="GT60" s="675">
        <v>0</v>
      </c>
      <c r="GU60" s="675">
        <v>0</v>
      </c>
      <c r="GV60" s="675">
        <v>0</v>
      </c>
      <c r="GW60" s="675">
        <v>0</v>
      </c>
      <c r="GX60" s="675">
        <v>0</v>
      </c>
      <c r="GY60" s="675">
        <v>0</v>
      </c>
      <c r="GZ60" s="675">
        <v>0</v>
      </c>
      <c r="HA60" s="675">
        <v>0</v>
      </c>
      <c r="HB60" s="675">
        <v>298386780</v>
      </c>
      <c r="HC60" s="675">
        <v>4.5690999999999996E-2</v>
      </c>
      <c r="HD60" s="675">
        <v>49087</v>
      </c>
      <c r="HE60" s="675">
        <v>0</v>
      </c>
      <c r="HF60" s="675">
        <v>287571</v>
      </c>
      <c r="HG60" s="675">
        <v>1925</v>
      </c>
      <c r="HH60" s="675">
        <v>123341</v>
      </c>
      <c r="HI60" s="675">
        <v>0</v>
      </c>
      <c r="HJ60" s="675">
        <v>2611</v>
      </c>
      <c r="HK60" s="675">
        <v>0</v>
      </c>
      <c r="HL60" s="675">
        <v>0</v>
      </c>
      <c r="HM60" s="675">
        <v>0</v>
      </c>
      <c r="HN60" s="675">
        <v>0</v>
      </c>
      <c r="HO60" s="675">
        <v>0</v>
      </c>
      <c r="HP60" s="675">
        <v>0</v>
      </c>
      <c r="HQ60" s="675">
        <v>0</v>
      </c>
      <c r="HR60" s="675">
        <v>0</v>
      </c>
      <c r="HS60" s="675">
        <v>2654860</v>
      </c>
      <c r="HT60" s="675">
        <v>58062</v>
      </c>
      <c r="HU60" s="675">
        <v>0</v>
      </c>
      <c r="HV60" s="675">
        <v>0</v>
      </c>
      <c r="HW60" s="675">
        <v>0</v>
      </c>
      <c r="HX60" s="675">
        <v>21</v>
      </c>
      <c r="HY60" s="675">
        <v>26</v>
      </c>
      <c r="HZ60" s="675">
        <v>34</v>
      </c>
      <c r="IA60" s="675">
        <v>126</v>
      </c>
      <c r="IB60" s="675">
        <v>122</v>
      </c>
      <c r="IC60" s="675">
        <v>329</v>
      </c>
      <c r="ID60" s="675">
        <v>0</v>
      </c>
      <c r="IE60" s="675">
        <v>0</v>
      </c>
      <c r="IF60" s="675">
        <v>0</v>
      </c>
      <c r="IG60" s="675">
        <v>3.125</v>
      </c>
      <c r="IH60" s="675">
        <v>200.23000000000002</v>
      </c>
      <c r="II60" s="675">
        <v>0</v>
      </c>
      <c r="IJ60" s="675">
        <v>101.128</v>
      </c>
      <c r="IK60" s="675">
        <v>0</v>
      </c>
      <c r="IL60" s="675">
        <v>0</v>
      </c>
      <c r="IM60" s="675">
        <v>0</v>
      </c>
      <c r="IN60" s="675">
        <v>0</v>
      </c>
      <c r="IO60" s="675">
        <v>0</v>
      </c>
      <c r="IP60" s="675">
        <v>0</v>
      </c>
      <c r="IQ60" s="675">
        <v>101.128</v>
      </c>
      <c r="IR60" s="675">
        <v>62295</v>
      </c>
      <c r="IS60" s="675">
        <v>0</v>
      </c>
      <c r="IT60" s="675">
        <v>0</v>
      </c>
      <c r="IU60" s="675">
        <v>0</v>
      </c>
      <c r="IV60" s="675">
        <v>0</v>
      </c>
      <c r="IW60" s="675">
        <v>6160</v>
      </c>
      <c r="IX60" s="675">
        <v>0</v>
      </c>
      <c r="IY60" s="675">
        <v>0</v>
      </c>
      <c r="IZ60" s="675">
        <v>0</v>
      </c>
      <c r="JA60" s="675">
        <v>0</v>
      </c>
      <c r="JB60" s="675">
        <v>0</v>
      </c>
      <c r="JC60" s="675">
        <v>0</v>
      </c>
      <c r="JD60" s="675">
        <v>0</v>
      </c>
      <c r="JE60" s="675">
        <v>0</v>
      </c>
      <c r="JF60" s="675">
        <v>0</v>
      </c>
      <c r="JG60" s="675">
        <v>0</v>
      </c>
      <c r="JH60" s="675">
        <v>0</v>
      </c>
      <c r="JI60" s="675">
        <v>0</v>
      </c>
      <c r="JJ60" s="675">
        <v>0</v>
      </c>
      <c r="JK60" s="675">
        <v>0</v>
      </c>
      <c r="JL60" s="675">
        <v>0</v>
      </c>
      <c r="JM60" s="675">
        <v>0</v>
      </c>
      <c r="JN60" s="675">
        <v>32469</v>
      </c>
      <c r="JO60" s="675">
        <v>0</v>
      </c>
      <c r="JP60" s="675">
        <v>0</v>
      </c>
      <c r="JQ60" s="675">
        <v>0</v>
      </c>
      <c r="JR60" s="675">
        <v>0</v>
      </c>
      <c r="JS60" s="675">
        <v>0</v>
      </c>
      <c r="JT60" s="675">
        <v>0</v>
      </c>
      <c r="JU60" s="675">
        <v>0</v>
      </c>
      <c r="JV60" s="675">
        <v>0</v>
      </c>
      <c r="JW60" s="675">
        <v>0</v>
      </c>
      <c r="JX60" s="675">
        <v>0</v>
      </c>
      <c r="JY60" s="675">
        <v>0</v>
      </c>
      <c r="JZ60" s="675">
        <v>0</v>
      </c>
      <c r="KA60" s="675">
        <v>0</v>
      </c>
      <c r="KB60" s="675">
        <v>0</v>
      </c>
      <c r="KC60" s="675">
        <v>0</v>
      </c>
      <c r="KD60" s="675">
        <v>0</v>
      </c>
      <c r="KE60" s="675">
        <v>7260</v>
      </c>
      <c r="KF60" s="675">
        <v>0</v>
      </c>
      <c r="KG60" s="675">
        <v>0</v>
      </c>
      <c r="KH60" s="675">
        <v>0</v>
      </c>
      <c r="KI60" s="675">
        <v>0</v>
      </c>
    </row>
    <row r="61" spans="1:295" ht="12.5" x14ac:dyDescent="0.25">
      <c r="A61" s="675">
        <v>35795</v>
      </c>
      <c r="B61" s="675">
        <v>57803</v>
      </c>
      <c r="C61" s="675">
        <v>9</v>
      </c>
      <c r="D61" s="675">
        <v>2022</v>
      </c>
      <c r="E61" s="675">
        <v>6160</v>
      </c>
      <c r="F61" s="675">
        <v>0</v>
      </c>
      <c r="G61" s="675">
        <v>19851.235000000001</v>
      </c>
      <c r="H61" s="675">
        <v>18158.143</v>
      </c>
      <c r="I61" s="675">
        <v>18158.143</v>
      </c>
      <c r="J61" s="675">
        <v>19851.235000000001</v>
      </c>
      <c r="K61" s="675">
        <v>0</v>
      </c>
      <c r="L61" s="675">
        <v>6160</v>
      </c>
      <c r="M61" s="675">
        <v>0</v>
      </c>
      <c r="N61" s="675">
        <v>0</v>
      </c>
      <c r="O61" s="675">
        <v>0</v>
      </c>
      <c r="P61" s="675">
        <v>20108.472000000002</v>
      </c>
      <c r="Q61" s="675">
        <v>0</v>
      </c>
      <c r="R61" s="675">
        <v>8092212</v>
      </c>
      <c r="S61" s="675">
        <v>402.428</v>
      </c>
      <c r="T61" s="675">
        <v>0</v>
      </c>
      <c r="U61" s="675">
        <v>4303239</v>
      </c>
      <c r="V61" s="675">
        <v>6186.2020000000002</v>
      </c>
      <c r="W61" s="675">
        <v>3810683</v>
      </c>
      <c r="X61" s="675">
        <v>3810683</v>
      </c>
      <c r="Y61" s="675">
        <v>0</v>
      </c>
      <c r="Z61" s="675">
        <v>0</v>
      </c>
      <c r="AA61" s="675">
        <v>0</v>
      </c>
      <c r="AB61" s="675">
        <v>0</v>
      </c>
      <c r="AC61" s="675">
        <v>0</v>
      </c>
      <c r="AD61" s="675" t="s">
        <v>316</v>
      </c>
      <c r="AE61" s="675">
        <v>0</v>
      </c>
      <c r="AF61" s="675">
        <v>0</v>
      </c>
      <c r="AG61" s="675">
        <v>0</v>
      </c>
      <c r="AH61" s="675">
        <v>0</v>
      </c>
      <c r="AI61" s="675">
        <v>0</v>
      </c>
      <c r="AJ61" s="675">
        <v>6160</v>
      </c>
      <c r="AK61" s="675" t="s">
        <v>671</v>
      </c>
      <c r="AL61" s="675" t="s">
        <v>386</v>
      </c>
      <c r="AM61" s="675">
        <v>0</v>
      </c>
      <c r="AN61" s="675">
        <v>0</v>
      </c>
      <c r="AO61" s="675">
        <v>0</v>
      </c>
      <c r="AP61" s="675">
        <v>0</v>
      </c>
      <c r="AQ61" s="675">
        <v>0</v>
      </c>
      <c r="AR61" s="675">
        <v>0</v>
      </c>
      <c r="AS61" s="675">
        <v>0</v>
      </c>
      <c r="AT61" s="675">
        <v>0</v>
      </c>
      <c r="AU61" s="675">
        <v>0</v>
      </c>
      <c r="AV61" s="675">
        <v>-14373</v>
      </c>
      <c r="AW61" s="675">
        <v>212386299</v>
      </c>
      <c r="AX61" s="675">
        <v>208806381</v>
      </c>
      <c r="AY61" s="675">
        <v>142858351</v>
      </c>
      <c r="AZ61" s="675">
        <v>8092212</v>
      </c>
      <c r="BA61" s="675">
        <v>0</v>
      </c>
      <c r="BB61" s="675">
        <v>0</v>
      </c>
      <c r="BC61" s="675">
        <v>0</v>
      </c>
      <c r="BD61" s="675">
        <v>0</v>
      </c>
      <c r="BE61" s="675">
        <v>0</v>
      </c>
      <c r="BF61" s="675">
        <v>192704437</v>
      </c>
      <c r="BG61" s="675">
        <v>0</v>
      </c>
      <c r="BH61" s="675">
        <v>0</v>
      </c>
      <c r="BI61" s="675">
        <v>0</v>
      </c>
      <c r="BJ61" s="675">
        <v>12</v>
      </c>
      <c r="BK61" s="675">
        <v>0</v>
      </c>
      <c r="BL61" s="675">
        <v>0</v>
      </c>
      <c r="BM61" s="675">
        <v>0</v>
      </c>
      <c r="BN61" s="675">
        <v>0</v>
      </c>
      <c r="BO61" s="675">
        <v>0</v>
      </c>
      <c r="BP61" s="675">
        <v>0</v>
      </c>
      <c r="BQ61" s="675">
        <v>0</v>
      </c>
      <c r="BR61" s="675">
        <v>0</v>
      </c>
      <c r="BS61" s="675">
        <v>0</v>
      </c>
      <c r="BT61" s="675">
        <v>0</v>
      </c>
      <c r="BU61" s="675">
        <v>0</v>
      </c>
      <c r="BV61" s="675">
        <v>0</v>
      </c>
      <c r="BW61" s="675">
        <v>0</v>
      </c>
      <c r="BX61" s="675">
        <v>0</v>
      </c>
      <c r="BY61" s="675">
        <v>0</v>
      </c>
      <c r="BZ61" s="675">
        <v>0</v>
      </c>
      <c r="CA61" s="675">
        <v>512.02800000000002</v>
      </c>
      <c r="CB61" s="675">
        <v>436643</v>
      </c>
      <c r="CC61" s="675">
        <v>0</v>
      </c>
      <c r="CD61" s="675">
        <v>0</v>
      </c>
      <c r="CE61" s="675">
        <v>0</v>
      </c>
      <c r="CF61" s="675">
        <v>0</v>
      </c>
      <c r="CG61" s="675">
        <v>0</v>
      </c>
      <c r="CH61" s="675">
        <v>3628066</v>
      </c>
      <c r="CI61" s="675">
        <v>0</v>
      </c>
      <c r="CJ61" s="675">
        <v>4</v>
      </c>
      <c r="CK61" s="675">
        <v>0</v>
      </c>
      <c r="CL61" s="675">
        <v>0</v>
      </c>
      <c r="CM61" s="675">
        <v>0</v>
      </c>
      <c r="CN61" s="675">
        <v>0</v>
      </c>
      <c r="CO61" s="675">
        <v>1</v>
      </c>
      <c r="CP61" s="675">
        <v>0</v>
      </c>
      <c r="CQ61" s="675">
        <v>0</v>
      </c>
      <c r="CR61" s="675">
        <v>19754.439999999999</v>
      </c>
      <c r="CS61" s="675">
        <v>0</v>
      </c>
      <c r="CT61" s="675">
        <v>0</v>
      </c>
      <c r="CU61" s="675">
        <v>0</v>
      </c>
      <c r="CV61" s="675">
        <v>0</v>
      </c>
      <c r="CW61" s="675">
        <v>0</v>
      </c>
      <c r="CX61" s="675">
        <v>0</v>
      </c>
      <c r="CY61" s="675">
        <v>0</v>
      </c>
      <c r="CZ61" s="675">
        <v>0</v>
      </c>
      <c r="DA61" s="675">
        <v>0</v>
      </c>
      <c r="DB61" s="675">
        <v>111853642</v>
      </c>
      <c r="DC61" s="675">
        <v>0</v>
      </c>
      <c r="DD61" s="675">
        <v>0</v>
      </c>
      <c r="DE61" s="675">
        <v>25684463</v>
      </c>
      <c r="DF61" s="675">
        <v>25684463</v>
      </c>
      <c r="DG61" s="675">
        <v>4169.5749999999998</v>
      </c>
      <c r="DH61" s="675">
        <v>0</v>
      </c>
      <c r="DI61" s="675">
        <v>0</v>
      </c>
      <c r="DJ61" s="675">
        <v>0</v>
      </c>
      <c r="DK61" s="675">
        <v>0</v>
      </c>
      <c r="DL61" s="675">
        <v>0</v>
      </c>
      <c r="DM61" s="675">
        <v>12640626</v>
      </c>
      <c r="DN61" s="675">
        <v>48148</v>
      </c>
      <c r="DO61" s="675">
        <v>0</v>
      </c>
      <c r="DP61" s="675">
        <v>0</v>
      </c>
      <c r="DQ61" s="675">
        <v>0</v>
      </c>
      <c r="DR61" s="675">
        <v>0</v>
      </c>
      <c r="DS61" s="675">
        <v>0</v>
      </c>
      <c r="DT61" s="675">
        <v>0</v>
      </c>
      <c r="DU61" s="675">
        <v>0</v>
      </c>
      <c r="DV61" s="675">
        <v>0</v>
      </c>
      <c r="DW61" s="675">
        <v>0</v>
      </c>
      <c r="DX61" s="675">
        <v>0</v>
      </c>
      <c r="DY61" s="675">
        <v>0</v>
      </c>
      <c r="DZ61" s="675">
        <v>0</v>
      </c>
      <c r="EA61" s="675">
        <v>0.71700000000000008</v>
      </c>
      <c r="EB61" s="675">
        <v>0</v>
      </c>
      <c r="EC61" s="675">
        <v>266.11</v>
      </c>
      <c r="ED61" s="675">
        <v>1885114</v>
      </c>
      <c r="EE61" s="675">
        <v>0</v>
      </c>
      <c r="EF61" s="675">
        <v>0</v>
      </c>
      <c r="EG61" s="675">
        <v>0</v>
      </c>
      <c r="EH61" s="675">
        <v>10803660</v>
      </c>
      <c r="EI61" s="675">
        <v>0</v>
      </c>
      <c r="EJ61" s="675">
        <v>0</v>
      </c>
      <c r="EK61" s="675">
        <v>409.73</v>
      </c>
      <c r="EL61" s="675">
        <v>0.6</v>
      </c>
      <c r="EM61" s="675">
        <v>115.858</v>
      </c>
      <c r="EN61" s="675">
        <v>34.700000000000003</v>
      </c>
      <c r="EO61" s="675">
        <v>0</v>
      </c>
      <c r="EP61" s="675">
        <v>0</v>
      </c>
      <c r="EQ61" s="675">
        <v>561.005</v>
      </c>
      <c r="ER61" s="675">
        <v>0</v>
      </c>
      <c r="ES61" s="675">
        <v>1753.8490000000002</v>
      </c>
      <c r="ET61" s="675">
        <v>0</v>
      </c>
      <c r="EU61" s="675">
        <v>0</v>
      </c>
      <c r="EV61" s="675">
        <v>0</v>
      </c>
      <c r="EW61" s="675">
        <v>0</v>
      </c>
      <c r="EX61" s="675">
        <v>0</v>
      </c>
      <c r="EY61" s="675">
        <v>0</v>
      </c>
      <c r="EZ61" s="675">
        <v>185150029</v>
      </c>
      <c r="FA61" s="675">
        <v>0</v>
      </c>
      <c r="FB61" s="675">
        <v>193194093</v>
      </c>
      <c r="FC61" s="675">
        <v>0</v>
      </c>
      <c r="FD61" s="675">
        <v>0</v>
      </c>
      <c r="FE61" s="675">
        <v>19601986</v>
      </c>
      <c r="FF61" s="675">
        <v>4054366</v>
      </c>
      <c r="FG61" s="675">
        <v>6.3574999999999993E-2</v>
      </c>
      <c r="FH61" s="675">
        <v>2.6298999999999999E-2</v>
      </c>
      <c r="FI61" s="675">
        <v>0</v>
      </c>
      <c r="FJ61" s="675">
        <v>0</v>
      </c>
      <c r="FK61" s="675">
        <v>31283.332999999999</v>
      </c>
      <c r="FL61" s="675">
        <v>220478511</v>
      </c>
      <c r="FM61" s="675">
        <v>0</v>
      </c>
      <c r="FN61" s="675">
        <v>0</v>
      </c>
      <c r="FO61" s="675">
        <v>0</v>
      </c>
      <c r="FP61" s="675">
        <v>0</v>
      </c>
      <c r="FQ61" s="675">
        <v>0</v>
      </c>
      <c r="FR61" s="675">
        <v>0</v>
      </c>
      <c r="FS61" s="675">
        <v>0</v>
      </c>
      <c r="FT61" s="675">
        <v>0</v>
      </c>
      <c r="FU61" s="675">
        <v>1</v>
      </c>
      <c r="FV61" s="675">
        <v>0</v>
      </c>
      <c r="FW61" s="675">
        <v>0</v>
      </c>
      <c r="FX61" s="675">
        <v>0</v>
      </c>
      <c r="FY61" s="675">
        <v>0</v>
      </c>
      <c r="FZ61" s="675">
        <v>0</v>
      </c>
      <c r="GA61" s="675">
        <v>0</v>
      </c>
      <c r="GB61" s="675">
        <v>9829364</v>
      </c>
      <c r="GC61" s="675">
        <v>9829364</v>
      </c>
      <c r="GD61" s="675">
        <v>1132.087</v>
      </c>
      <c r="GE61" s="675">
        <v>0</v>
      </c>
      <c r="GF61" s="675">
        <v>0</v>
      </c>
      <c r="GG61" s="675">
        <v>0</v>
      </c>
      <c r="GH61" s="675">
        <v>0</v>
      </c>
      <c r="GI61" s="675">
        <v>0</v>
      </c>
      <c r="GJ61" s="675">
        <v>0</v>
      </c>
      <c r="GK61" s="675">
        <v>0</v>
      </c>
      <c r="GL61" s="675">
        <v>0</v>
      </c>
      <c r="GM61" s="675">
        <v>0</v>
      </c>
      <c r="GN61" s="675">
        <v>0</v>
      </c>
      <c r="GO61" s="675">
        <v>0</v>
      </c>
      <c r="GP61" s="675">
        <v>0</v>
      </c>
      <c r="GQ61" s="675">
        <v>0</v>
      </c>
      <c r="GR61" s="675">
        <v>0</v>
      </c>
      <c r="GS61" s="675">
        <v>0</v>
      </c>
      <c r="GT61" s="675">
        <v>0</v>
      </c>
      <c r="GU61" s="675">
        <v>0</v>
      </c>
      <c r="GV61" s="675">
        <v>0</v>
      </c>
      <c r="GW61" s="675">
        <v>0</v>
      </c>
      <c r="GX61" s="675">
        <v>0</v>
      </c>
      <c r="GY61" s="675">
        <v>0</v>
      </c>
      <c r="GZ61" s="675">
        <v>0</v>
      </c>
      <c r="HA61" s="675">
        <v>0</v>
      </c>
      <c r="HB61" s="675">
        <v>298386780</v>
      </c>
      <c r="HC61" s="675">
        <v>4.5690999999999996E-2</v>
      </c>
      <c r="HD61" s="675">
        <v>3628066</v>
      </c>
      <c r="HE61" s="675">
        <v>0</v>
      </c>
      <c r="HF61" s="675">
        <v>19973957</v>
      </c>
      <c r="HG61" s="675">
        <v>259335</v>
      </c>
      <c r="HH61" s="675">
        <v>6351880</v>
      </c>
      <c r="HI61" s="675">
        <v>0</v>
      </c>
      <c r="HJ61" s="675">
        <v>192954</v>
      </c>
      <c r="HK61" s="675">
        <v>54873</v>
      </c>
      <c r="HL61" s="675">
        <v>46288</v>
      </c>
      <c r="HM61" s="675">
        <v>676000</v>
      </c>
      <c r="HN61" s="675">
        <v>1284385</v>
      </c>
      <c r="HO61" s="675">
        <v>99000</v>
      </c>
      <c r="HP61" s="675">
        <v>0</v>
      </c>
      <c r="HQ61" s="675">
        <v>0</v>
      </c>
      <c r="HR61" s="675">
        <v>0</v>
      </c>
      <c r="HS61" s="675">
        <v>185101881</v>
      </c>
      <c r="HT61" s="675">
        <v>4054366</v>
      </c>
      <c r="HU61" s="675">
        <v>0</v>
      </c>
      <c r="HV61" s="675">
        <v>0</v>
      </c>
      <c r="HW61" s="675">
        <v>0</v>
      </c>
      <c r="HX61" s="675">
        <v>1582</v>
      </c>
      <c r="HY61" s="675">
        <v>2073</v>
      </c>
      <c r="HZ61" s="675">
        <v>2715</v>
      </c>
      <c r="IA61" s="675">
        <v>4219</v>
      </c>
      <c r="IB61" s="675">
        <v>5582</v>
      </c>
      <c r="IC61" s="675">
        <v>16171</v>
      </c>
      <c r="ID61" s="675">
        <v>0</v>
      </c>
      <c r="IE61" s="675">
        <v>0</v>
      </c>
      <c r="IF61" s="675">
        <v>0</v>
      </c>
      <c r="IG61" s="675">
        <v>421</v>
      </c>
      <c r="IH61" s="675">
        <v>10311.541999999999</v>
      </c>
      <c r="II61" s="675">
        <v>0</v>
      </c>
      <c r="IJ61" s="675">
        <v>6186.2020000000002</v>
      </c>
      <c r="IK61" s="675">
        <v>0</v>
      </c>
      <c r="IL61" s="675">
        <v>97</v>
      </c>
      <c r="IM61" s="675">
        <v>61</v>
      </c>
      <c r="IN61" s="675">
        <v>4</v>
      </c>
      <c r="IO61" s="675">
        <v>162</v>
      </c>
      <c r="IP61" s="675">
        <v>0</v>
      </c>
      <c r="IQ61" s="675">
        <v>6186.2020000000002</v>
      </c>
      <c r="IR61" s="675">
        <v>3810683</v>
      </c>
      <c r="IS61" s="675">
        <v>0</v>
      </c>
      <c r="IT61" s="675">
        <v>485000</v>
      </c>
      <c r="IU61" s="675">
        <v>183000</v>
      </c>
      <c r="IV61" s="675">
        <v>8000</v>
      </c>
      <c r="IW61" s="675">
        <v>6160</v>
      </c>
      <c r="IX61" s="675">
        <v>0</v>
      </c>
      <c r="IY61" s="675">
        <v>0</v>
      </c>
      <c r="IZ61" s="675">
        <v>0</v>
      </c>
      <c r="JA61" s="675">
        <v>0</v>
      </c>
      <c r="JB61" s="675">
        <v>15</v>
      </c>
      <c r="JC61" s="675">
        <v>280280</v>
      </c>
      <c r="JD61" s="675">
        <v>50</v>
      </c>
      <c r="JE61" s="675">
        <v>575675</v>
      </c>
      <c r="JF61" s="675">
        <v>59</v>
      </c>
      <c r="JG61" s="675">
        <v>359930</v>
      </c>
      <c r="JH61" s="675">
        <v>68500</v>
      </c>
      <c r="JI61" s="675">
        <v>0</v>
      </c>
      <c r="JJ61" s="675">
        <v>0</v>
      </c>
      <c r="JK61" s="675">
        <v>0</v>
      </c>
      <c r="JL61" s="675">
        <v>0</v>
      </c>
      <c r="JM61" s="675">
        <v>0</v>
      </c>
      <c r="JN61" s="675">
        <v>32469</v>
      </c>
      <c r="JO61" s="675">
        <v>652.66300000000001</v>
      </c>
      <c r="JP61" s="675">
        <v>361.97</v>
      </c>
      <c r="JQ61" s="675">
        <v>117.453</v>
      </c>
      <c r="JR61" s="675">
        <v>5212167</v>
      </c>
      <c r="JS61" s="675">
        <v>3363715</v>
      </c>
      <c r="JT61" s="675">
        <v>1253482</v>
      </c>
      <c r="JU61" s="675">
        <v>0</v>
      </c>
      <c r="JV61" s="675">
        <v>0</v>
      </c>
      <c r="JW61" s="675">
        <v>0</v>
      </c>
      <c r="JX61" s="675">
        <v>0</v>
      </c>
      <c r="JY61" s="675">
        <v>0</v>
      </c>
      <c r="JZ61" s="675">
        <v>0</v>
      </c>
      <c r="KA61" s="675">
        <v>0</v>
      </c>
      <c r="KB61" s="675">
        <v>0</v>
      </c>
      <c r="KC61" s="675">
        <v>0</v>
      </c>
      <c r="KD61" s="675">
        <v>0</v>
      </c>
      <c r="KE61" s="675">
        <v>7260</v>
      </c>
      <c r="KF61" s="675">
        <v>0</v>
      </c>
      <c r="KG61" s="675">
        <v>0</v>
      </c>
      <c r="KH61" s="675">
        <v>0</v>
      </c>
      <c r="KI61" s="675">
        <v>0</v>
      </c>
    </row>
    <row r="62" spans="1:295" ht="12.5" x14ac:dyDescent="0.25">
      <c r="A62" s="675">
        <v>35795</v>
      </c>
      <c r="B62" s="675">
        <v>68803</v>
      </c>
      <c r="C62" s="675">
        <v>9</v>
      </c>
      <c r="D62" s="675">
        <v>2022</v>
      </c>
      <c r="E62" s="675">
        <v>6160</v>
      </c>
      <c r="F62" s="675">
        <v>0</v>
      </c>
      <c r="G62" s="675">
        <v>710.61</v>
      </c>
      <c r="H62" s="675">
        <v>632.68900000000008</v>
      </c>
      <c r="I62" s="675">
        <v>632.68900000000008</v>
      </c>
      <c r="J62" s="675">
        <v>710.61</v>
      </c>
      <c r="K62" s="675">
        <v>0</v>
      </c>
      <c r="L62" s="675">
        <v>6160</v>
      </c>
      <c r="M62" s="675">
        <v>0</v>
      </c>
      <c r="N62" s="675">
        <v>0</v>
      </c>
      <c r="O62" s="675">
        <v>0</v>
      </c>
      <c r="P62" s="675">
        <v>747.59500000000003</v>
      </c>
      <c r="Q62" s="675">
        <v>0</v>
      </c>
      <c r="R62" s="675">
        <v>300853</v>
      </c>
      <c r="S62" s="675">
        <v>402.428</v>
      </c>
      <c r="T62" s="675">
        <v>0</v>
      </c>
      <c r="U62" s="675">
        <v>159986</v>
      </c>
      <c r="V62" s="675">
        <v>16.802</v>
      </c>
      <c r="W62" s="675">
        <v>10350</v>
      </c>
      <c r="X62" s="675">
        <v>10350</v>
      </c>
      <c r="Y62" s="675">
        <v>0</v>
      </c>
      <c r="Z62" s="675">
        <v>0</v>
      </c>
      <c r="AA62" s="675">
        <v>0</v>
      </c>
      <c r="AB62" s="675">
        <v>0</v>
      </c>
      <c r="AC62" s="675">
        <v>0</v>
      </c>
      <c r="AD62" s="675" t="s">
        <v>316</v>
      </c>
      <c r="AE62" s="675">
        <v>0</v>
      </c>
      <c r="AF62" s="675">
        <v>0</v>
      </c>
      <c r="AG62" s="675">
        <v>0</v>
      </c>
      <c r="AH62" s="675">
        <v>0</v>
      </c>
      <c r="AI62" s="675">
        <v>0</v>
      </c>
      <c r="AJ62" s="675">
        <v>6160</v>
      </c>
      <c r="AK62" s="675" t="s">
        <v>671</v>
      </c>
      <c r="AL62" s="675" t="s">
        <v>338</v>
      </c>
      <c r="AM62" s="675">
        <v>0</v>
      </c>
      <c r="AN62" s="675">
        <v>0</v>
      </c>
      <c r="AO62" s="675">
        <v>0</v>
      </c>
      <c r="AP62" s="675">
        <v>0</v>
      </c>
      <c r="AQ62" s="675">
        <v>0</v>
      </c>
      <c r="AR62" s="675">
        <v>0</v>
      </c>
      <c r="AS62" s="675">
        <v>0</v>
      </c>
      <c r="AT62" s="675">
        <v>0</v>
      </c>
      <c r="AU62" s="675">
        <v>0</v>
      </c>
      <c r="AV62" s="675">
        <v>-1353</v>
      </c>
      <c r="AW62" s="675">
        <v>6368607</v>
      </c>
      <c r="AX62" s="675">
        <v>6239550</v>
      </c>
      <c r="AY62" s="675">
        <v>4317353</v>
      </c>
      <c r="AZ62" s="675">
        <v>300853</v>
      </c>
      <c r="BA62" s="675">
        <v>0</v>
      </c>
      <c r="BB62" s="675">
        <v>15321</v>
      </c>
      <c r="BC62" s="675">
        <v>15222</v>
      </c>
      <c r="BD62" s="675">
        <v>35.530999999999999</v>
      </c>
      <c r="BE62" s="675">
        <v>99</v>
      </c>
      <c r="BF62" s="675">
        <v>5821731</v>
      </c>
      <c r="BG62" s="675">
        <v>0</v>
      </c>
      <c r="BH62" s="675">
        <v>0</v>
      </c>
      <c r="BI62" s="675">
        <v>0</v>
      </c>
      <c r="BJ62" s="675">
        <v>12</v>
      </c>
      <c r="BK62" s="675">
        <v>0</v>
      </c>
      <c r="BL62" s="675">
        <v>0</v>
      </c>
      <c r="BM62" s="675">
        <v>0</v>
      </c>
      <c r="BN62" s="675">
        <v>0</v>
      </c>
      <c r="BO62" s="675">
        <v>0</v>
      </c>
      <c r="BP62" s="675">
        <v>0</v>
      </c>
      <c r="BQ62" s="675">
        <v>673</v>
      </c>
      <c r="BR62" s="675">
        <v>0</v>
      </c>
      <c r="BS62" s="675">
        <v>0</v>
      </c>
      <c r="BT62" s="675">
        <v>0</v>
      </c>
      <c r="BU62" s="675">
        <v>0</v>
      </c>
      <c r="BV62" s="675">
        <v>0</v>
      </c>
      <c r="BW62" s="675">
        <v>0</v>
      </c>
      <c r="BX62" s="675">
        <v>0</v>
      </c>
      <c r="BY62" s="675">
        <v>0</v>
      </c>
      <c r="BZ62" s="675">
        <v>0</v>
      </c>
      <c r="CA62" s="675">
        <v>0</v>
      </c>
      <c r="CB62" s="675">
        <v>0</v>
      </c>
      <c r="CC62" s="675">
        <v>0</v>
      </c>
      <c r="CD62" s="675">
        <v>0</v>
      </c>
      <c r="CE62" s="675">
        <v>0</v>
      </c>
      <c r="CF62" s="675">
        <v>0</v>
      </c>
      <c r="CG62" s="675">
        <v>0</v>
      </c>
      <c r="CH62" s="675">
        <v>129873</v>
      </c>
      <c r="CI62" s="675">
        <v>0</v>
      </c>
      <c r="CJ62" s="675">
        <v>4</v>
      </c>
      <c r="CK62" s="675">
        <v>0</v>
      </c>
      <c r="CL62" s="675">
        <v>0</v>
      </c>
      <c r="CM62" s="675">
        <v>0</v>
      </c>
      <c r="CN62" s="675">
        <v>0</v>
      </c>
      <c r="CO62" s="675">
        <v>1</v>
      </c>
      <c r="CP62" s="675">
        <v>0</v>
      </c>
      <c r="CQ62" s="675">
        <v>0</v>
      </c>
      <c r="CR62" s="675">
        <v>782.92400000000009</v>
      </c>
      <c r="CS62" s="675">
        <v>0</v>
      </c>
      <c r="CT62" s="675">
        <v>0</v>
      </c>
      <c r="CU62" s="675">
        <v>0</v>
      </c>
      <c r="CV62" s="675">
        <v>0</v>
      </c>
      <c r="CW62" s="675">
        <v>0</v>
      </c>
      <c r="CX62" s="675">
        <v>0</v>
      </c>
      <c r="CY62" s="675">
        <v>0</v>
      </c>
      <c r="CZ62" s="675">
        <v>0</v>
      </c>
      <c r="DA62" s="675">
        <v>0</v>
      </c>
      <c r="DB62" s="675">
        <v>3885315</v>
      </c>
      <c r="DC62" s="675">
        <v>0</v>
      </c>
      <c r="DD62" s="675">
        <v>0</v>
      </c>
      <c r="DE62" s="675">
        <v>279278</v>
      </c>
      <c r="DF62" s="675">
        <v>279278</v>
      </c>
      <c r="DG62" s="675">
        <v>45.338000000000001</v>
      </c>
      <c r="DH62" s="675">
        <v>0</v>
      </c>
      <c r="DI62" s="675">
        <v>0</v>
      </c>
      <c r="DJ62" s="675">
        <v>0</v>
      </c>
      <c r="DK62" s="675">
        <v>2383</v>
      </c>
      <c r="DL62" s="675">
        <v>0</v>
      </c>
      <c r="DM62" s="675">
        <v>200196</v>
      </c>
      <c r="DN62" s="675">
        <v>717</v>
      </c>
      <c r="DO62" s="675">
        <v>0</v>
      </c>
      <c r="DP62" s="675">
        <v>0</v>
      </c>
      <c r="DQ62" s="675">
        <v>0</v>
      </c>
      <c r="DR62" s="675">
        <v>0</v>
      </c>
      <c r="DS62" s="675">
        <v>0</v>
      </c>
      <c r="DT62" s="675">
        <v>0</v>
      </c>
      <c r="DU62" s="675">
        <v>0</v>
      </c>
      <c r="DV62" s="675">
        <v>0</v>
      </c>
      <c r="DW62" s="675">
        <v>0</v>
      </c>
      <c r="DX62" s="675">
        <v>0</v>
      </c>
      <c r="DY62" s="675">
        <v>0</v>
      </c>
      <c r="DZ62" s="675">
        <v>0</v>
      </c>
      <c r="EA62" s="675">
        <v>0</v>
      </c>
      <c r="EB62" s="675">
        <v>0</v>
      </c>
      <c r="EC62" s="675">
        <v>21.885000000000002</v>
      </c>
      <c r="ED62" s="675">
        <v>155033</v>
      </c>
      <c r="EE62" s="675">
        <v>0</v>
      </c>
      <c r="EF62" s="675">
        <v>0</v>
      </c>
      <c r="EG62" s="675">
        <v>0</v>
      </c>
      <c r="EH62" s="675">
        <v>33849</v>
      </c>
      <c r="EI62" s="675">
        <v>0</v>
      </c>
      <c r="EJ62" s="675">
        <v>0</v>
      </c>
      <c r="EK62" s="675">
        <v>0</v>
      </c>
      <c r="EL62" s="675">
        <v>0</v>
      </c>
      <c r="EM62" s="675">
        <v>0</v>
      </c>
      <c r="EN62" s="675">
        <v>1.099</v>
      </c>
      <c r="EO62" s="675">
        <v>0</v>
      </c>
      <c r="EP62" s="675">
        <v>0</v>
      </c>
      <c r="EQ62" s="675">
        <v>1.099</v>
      </c>
      <c r="ER62" s="675">
        <v>0</v>
      </c>
      <c r="ES62" s="675">
        <v>5.4950000000000001</v>
      </c>
      <c r="ET62" s="675">
        <v>0</v>
      </c>
      <c r="EU62" s="675">
        <v>0</v>
      </c>
      <c r="EV62" s="675">
        <v>0</v>
      </c>
      <c r="EW62" s="675">
        <v>0</v>
      </c>
      <c r="EX62" s="675">
        <v>0</v>
      </c>
      <c r="EY62" s="675">
        <v>0</v>
      </c>
      <c r="EZ62" s="675">
        <v>5524876</v>
      </c>
      <c r="FA62" s="675">
        <v>0</v>
      </c>
      <c r="FB62" s="675">
        <v>5824913</v>
      </c>
      <c r="FC62" s="675">
        <v>0</v>
      </c>
      <c r="FD62" s="675">
        <v>0</v>
      </c>
      <c r="FE62" s="675">
        <v>592189</v>
      </c>
      <c r="FF62" s="675">
        <v>122485</v>
      </c>
      <c r="FG62" s="675">
        <v>6.3574999999999993E-2</v>
      </c>
      <c r="FH62" s="675">
        <v>2.6298999999999999E-2</v>
      </c>
      <c r="FI62" s="675">
        <v>0</v>
      </c>
      <c r="FJ62" s="675">
        <v>0</v>
      </c>
      <c r="FK62" s="675">
        <v>945.09100000000001</v>
      </c>
      <c r="FL62" s="675">
        <v>6669460</v>
      </c>
      <c r="FM62" s="675">
        <v>0</v>
      </c>
      <c r="FN62" s="675">
        <v>0</v>
      </c>
      <c r="FO62" s="675">
        <v>0</v>
      </c>
      <c r="FP62" s="675">
        <v>0</v>
      </c>
      <c r="FQ62" s="675">
        <v>0</v>
      </c>
      <c r="FR62" s="675">
        <v>0</v>
      </c>
      <c r="FS62" s="675">
        <v>0</v>
      </c>
      <c r="FT62" s="675">
        <v>0</v>
      </c>
      <c r="FU62" s="675">
        <v>0</v>
      </c>
      <c r="FV62" s="675">
        <v>0</v>
      </c>
      <c r="FW62" s="675">
        <v>0</v>
      </c>
      <c r="FX62" s="675">
        <v>0</v>
      </c>
      <c r="FY62" s="675">
        <v>0</v>
      </c>
      <c r="FZ62" s="675">
        <v>0</v>
      </c>
      <c r="GA62" s="675">
        <v>0</v>
      </c>
      <c r="GB62" s="675">
        <v>686992</v>
      </c>
      <c r="GC62" s="675">
        <v>686992</v>
      </c>
      <c r="GD62" s="675">
        <v>76.822000000000003</v>
      </c>
      <c r="GE62" s="675">
        <v>0</v>
      </c>
      <c r="GF62" s="675">
        <v>0</v>
      </c>
      <c r="GG62" s="675">
        <v>0</v>
      </c>
      <c r="GH62" s="675">
        <v>0</v>
      </c>
      <c r="GI62" s="675">
        <v>0</v>
      </c>
      <c r="GJ62" s="675">
        <v>0</v>
      </c>
      <c r="GK62" s="675">
        <v>0</v>
      </c>
      <c r="GL62" s="675">
        <v>0</v>
      </c>
      <c r="GM62" s="675">
        <v>0</v>
      </c>
      <c r="GN62" s="675">
        <v>0</v>
      </c>
      <c r="GO62" s="675">
        <v>0</v>
      </c>
      <c r="GP62" s="675">
        <v>0</v>
      </c>
      <c r="GQ62" s="675">
        <v>0</v>
      </c>
      <c r="GR62" s="675">
        <v>0</v>
      </c>
      <c r="GS62" s="675">
        <v>0</v>
      </c>
      <c r="GT62" s="675">
        <v>0</v>
      </c>
      <c r="GU62" s="675">
        <v>0</v>
      </c>
      <c r="GV62" s="675">
        <v>0</v>
      </c>
      <c r="GW62" s="675">
        <v>0</v>
      </c>
      <c r="GX62" s="675">
        <v>0</v>
      </c>
      <c r="GY62" s="675">
        <v>0</v>
      </c>
      <c r="GZ62" s="675">
        <v>0</v>
      </c>
      <c r="HA62" s="675">
        <v>0</v>
      </c>
      <c r="HB62" s="675">
        <v>298386780</v>
      </c>
      <c r="HC62" s="675">
        <v>4.5690999999999996E-2</v>
      </c>
      <c r="HD62" s="675">
        <v>129873</v>
      </c>
      <c r="HE62" s="675">
        <v>0</v>
      </c>
      <c r="HF62" s="675">
        <v>695958</v>
      </c>
      <c r="HG62" s="675">
        <v>11088</v>
      </c>
      <c r="HH62" s="675">
        <v>29609</v>
      </c>
      <c r="HI62" s="675">
        <v>0</v>
      </c>
      <c r="HJ62" s="675">
        <v>6907</v>
      </c>
      <c r="HK62" s="675">
        <v>2286</v>
      </c>
      <c r="HL62" s="675">
        <v>1712</v>
      </c>
      <c r="HM62" s="675">
        <v>0</v>
      </c>
      <c r="HN62" s="675">
        <v>0</v>
      </c>
      <c r="HO62" s="675">
        <v>0</v>
      </c>
      <c r="HP62" s="675">
        <v>0</v>
      </c>
      <c r="HQ62" s="675">
        <v>0</v>
      </c>
      <c r="HR62" s="675">
        <v>0</v>
      </c>
      <c r="HS62" s="675">
        <v>5524060</v>
      </c>
      <c r="HT62" s="675">
        <v>122485</v>
      </c>
      <c r="HU62" s="675">
        <v>0</v>
      </c>
      <c r="HV62" s="675">
        <v>0</v>
      </c>
      <c r="HW62" s="675">
        <v>0</v>
      </c>
      <c r="HX62" s="675">
        <v>71</v>
      </c>
      <c r="HY62" s="675">
        <v>30</v>
      </c>
      <c r="HZ62" s="675">
        <v>38</v>
      </c>
      <c r="IA62" s="675">
        <v>37</v>
      </c>
      <c r="IB62" s="675">
        <v>11</v>
      </c>
      <c r="IC62" s="675">
        <v>187</v>
      </c>
      <c r="ID62" s="675">
        <v>0</v>
      </c>
      <c r="IE62" s="675">
        <v>0</v>
      </c>
      <c r="IF62" s="675">
        <v>0</v>
      </c>
      <c r="IG62" s="675">
        <v>18</v>
      </c>
      <c r="IH62" s="675">
        <v>48.067</v>
      </c>
      <c r="II62" s="675">
        <v>0</v>
      </c>
      <c r="IJ62" s="675">
        <v>16.802</v>
      </c>
      <c r="IK62" s="675">
        <v>0</v>
      </c>
      <c r="IL62" s="675">
        <v>0</v>
      </c>
      <c r="IM62" s="675">
        <v>0</v>
      </c>
      <c r="IN62" s="675">
        <v>0</v>
      </c>
      <c r="IO62" s="675">
        <v>0</v>
      </c>
      <c r="IP62" s="675">
        <v>0</v>
      </c>
      <c r="IQ62" s="675">
        <v>16.802</v>
      </c>
      <c r="IR62" s="675">
        <v>10350</v>
      </c>
      <c r="IS62" s="675">
        <v>0</v>
      </c>
      <c r="IT62" s="675">
        <v>0</v>
      </c>
      <c r="IU62" s="675">
        <v>0</v>
      </c>
      <c r="IV62" s="675">
        <v>0</v>
      </c>
      <c r="IW62" s="675">
        <v>6160</v>
      </c>
      <c r="IX62" s="675">
        <v>0</v>
      </c>
      <c r="IY62" s="675">
        <v>0</v>
      </c>
      <c r="IZ62" s="675">
        <v>0</v>
      </c>
      <c r="JA62" s="675">
        <v>0</v>
      </c>
      <c r="JB62" s="675">
        <v>0</v>
      </c>
      <c r="JC62" s="675">
        <v>0</v>
      </c>
      <c r="JD62" s="675">
        <v>0</v>
      </c>
      <c r="JE62" s="675">
        <v>0</v>
      </c>
      <c r="JF62" s="675">
        <v>0</v>
      </c>
      <c r="JG62" s="675">
        <v>0</v>
      </c>
      <c r="JH62" s="675">
        <v>0</v>
      </c>
      <c r="JI62" s="675">
        <v>0</v>
      </c>
      <c r="JJ62" s="675">
        <v>0</v>
      </c>
      <c r="JK62" s="675">
        <v>0</v>
      </c>
      <c r="JL62" s="675">
        <v>0</v>
      </c>
      <c r="JM62" s="675">
        <v>0</v>
      </c>
      <c r="JN62" s="675">
        <v>32469</v>
      </c>
      <c r="JO62" s="675">
        <v>27.061</v>
      </c>
      <c r="JP62" s="675">
        <v>43.625</v>
      </c>
      <c r="JQ62" s="675">
        <v>6.1360000000000001</v>
      </c>
      <c r="JR62" s="675">
        <v>216109</v>
      </c>
      <c r="JS62" s="675">
        <v>405398</v>
      </c>
      <c r="JT62" s="675">
        <v>65485</v>
      </c>
      <c r="JU62" s="675">
        <v>15321</v>
      </c>
      <c r="JV62" s="675">
        <v>0</v>
      </c>
      <c r="JW62" s="675">
        <v>0</v>
      </c>
      <c r="JX62" s="675">
        <v>0</v>
      </c>
      <c r="JY62" s="675">
        <v>0</v>
      </c>
      <c r="JZ62" s="675">
        <v>0</v>
      </c>
      <c r="KA62" s="675">
        <v>0</v>
      </c>
      <c r="KB62" s="675">
        <v>0</v>
      </c>
      <c r="KC62" s="675">
        <v>0</v>
      </c>
      <c r="KD62" s="675">
        <v>15321</v>
      </c>
      <c r="KE62" s="675">
        <v>7260</v>
      </c>
      <c r="KF62" s="675">
        <v>0</v>
      </c>
      <c r="KG62" s="675">
        <v>0</v>
      </c>
      <c r="KH62" s="675">
        <v>0</v>
      </c>
      <c r="KI62" s="675">
        <v>0</v>
      </c>
    </row>
    <row r="63" spans="1:295" ht="12.5" x14ac:dyDescent="0.25">
      <c r="A63" s="675">
        <v>35795</v>
      </c>
      <c r="B63" s="675">
        <v>71803</v>
      </c>
      <c r="C63" s="675">
        <v>9</v>
      </c>
      <c r="D63" s="675">
        <v>2022</v>
      </c>
      <c r="E63" s="675">
        <v>6160</v>
      </c>
      <c r="F63" s="675">
        <v>0</v>
      </c>
      <c r="G63" s="675">
        <v>166.36199999999999</v>
      </c>
      <c r="H63" s="675">
        <v>157.37200000000001</v>
      </c>
      <c r="I63" s="675">
        <v>157.37200000000001</v>
      </c>
      <c r="J63" s="675">
        <v>166.36199999999999</v>
      </c>
      <c r="K63" s="675">
        <v>0</v>
      </c>
      <c r="L63" s="675">
        <v>6160</v>
      </c>
      <c r="M63" s="675">
        <v>0</v>
      </c>
      <c r="N63" s="675">
        <v>0</v>
      </c>
      <c r="O63" s="675">
        <v>0</v>
      </c>
      <c r="P63" s="675">
        <v>161.56400000000002</v>
      </c>
      <c r="Q63" s="675">
        <v>0</v>
      </c>
      <c r="R63" s="675">
        <v>65018</v>
      </c>
      <c r="S63" s="675">
        <v>402.428</v>
      </c>
      <c r="T63" s="675">
        <v>0</v>
      </c>
      <c r="U63" s="675">
        <v>34575</v>
      </c>
      <c r="V63" s="675">
        <v>42.612000000000002</v>
      </c>
      <c r="W63" s="675">
        <v>26249</v>
      </c>
      <c r="X63" s="675">
        <v>26249</v>
      </c>
      <c r="Y63" s="675">
        <v>0</v>
      </c>
      <c r="Z63" s="675">
        <v>0</v>
      </c>
      <c r="AA63" s="675">
        <v>0</v>
      </c>
      <c r="AB63" s="675">
        <v>0</v>
      </c>
      <c r="AC63" s="675">
        <v>0</v>
      </c>
      <c r="AD63" s="675" t="s">
        <v>316</v>
      </c>
      <c r="AE63" s="675">
        <v>0</v>
      </c>
      <c r="AF63" s="675">
        <v>0</v>
      </c>
      <c r="AG63" s="675">
        <v>0</v>
      </c>
      <c r="AH63" s="675">
        <v>0</v>
      </c>
      <c r="AI63" s="675">
        <v>0</v>
      </c>
      <c r="AJ63" s="675">
        <v>6160</v>
      </c>
      <c r="AK63" s="675" t="s">
        <v>671</v>
      </c>
      <c r="AL63" s="675" t="s">
        <v>472</v>
      </c>
      <c r="AM63" s="675">
        <v>0</v>
      </c>
      <c r="AN63" s="675">
        <v>0</v>
      </c>
      <c r="AO63" s="675">
        <v>0</v>
      </c>
      <c r="AP63" s="675">
        <v>0</v>
      </c>
      <c r="AQ63" s="675">
        <v>0</v>
      </c>
      <c r="AR63" s="675">
        <v>0</v>
      </c>
      <c r="AS63" s="675">
        <v>0</v>
      </c>
      <c r="AT63" s="675">
        <v>0</v>
      </c>
      <c r="AU63" s="675">
        <v>0</v>
      </c>
      <c r="AV63" s="675">
        <v>-1953</v>
      </c>
      <c r="AW63" s="675">
        <v>1849721</v>
      </c>
      <c r="AX63" s="675">
        <v>1819653</v>
      </c>
      <c r="AY63" s="675">
        <v>1221123</v>
      </c>
      <c r="AZ63" s="675">
        <v>65018</v>
      </c>
      <c r="BA63" s="675">
        <v>0</v>
      </c>
      <c r="BB63" s="675">
        <v>0</v>
      </c>
      <c r="BC63" s="675">
        <v>0</v>
      </c>
      <c r="BD63" s="675">
        <v>0</v>
      </c>
      <c r="BE63" s="675">
        <v>0</v>
      </c>
      <c r="BF63" s="675">
        <v>1628513</v>
      </c>
      <c r="BG63" s="675">
        <v>0</v>
      </c>
      <c r="BH63" s="675">
        <v>0</v>
      </c>
      <c r="BI63" s="675">
        <v>0</v>
      </c>
      <c r="BJ63" s="675">
        <v>12</v>
      </c>
      <c r="BK63" s="675">
        <v>0</v>
      </c>
      <c r="BL63" s="675">
        <v>0</v>
      </c>
      <c r="BM63" s="675">
        <v>0</v>
      </c>
      <c r="BN63" s="675">
        <v>0</v>
      </c>
      <c r="BO63" s="675">
        <v>0</v>
      </c>
      <c r="BP63" s="675">
        <v>0</v>
      </c>
      <c r="BQ63" s="675">
        <v>746</v>
      </c>
      <c r="BR63" s="675">
        <v>0</v>
      </c>
      <c r="BS63" s="675">
        <v>0</v>
      </c>
      <c r="BT63" s="675">
        <v>0</v>
      </c>
      <c r="BU63" s="675">
        <v>0</v>
      </c>
      <c r="BV63" s="675">
        <v>0</v>
      </c>
      <c r="BW63" s="675">
        <v>0</v>
      </c>
      <c r="BX63" s="675">
        <v>0</v>
      </c>
      <c r="BY63" s="675">
        <v>0</v>
      </c>
      <c r="BZ63" s="675">
        <v>0</v>
      </c>
      <c r="CA63" s="675">
        <v>0</v>
      </c>
      <c r="CB63" s="675">
        <v>0</v>
      </c>
      <c r="CC63" s="675">
        <v>0</v>
      </c>
      <c r="CD63" s="675">
        <v>0</v>
      </c>
      <c r="CE63" s="675">
        <v>0</v>
      </c>
      <c r="CF63" s="675">
        <v>0</v>
      </c>
      <c r="CG63" s="675">
        <v>0</v>
      </c>
      <c r="CH63" s="675">
        <v>30405</v>
      </c>
      <c r="CI63" s="675">
        <v>0</v>
      </c>
      <c r="CJ63" s="675">
        <v>4</v>
      </c>
      <c r="CK63" s="675">
        <v>0</v>
      </c>
      <c r="CL63" s="675">
        <v>0</v>
      </c>
      <c r="CM63" s="675">
        <v>0</v>
      </c>
      <c r="CN63" s="675">
        <v>0</v>
      </c>
      <c r="CO63" s="675">
        <v>1</v>
      </c>
      <c r="CP63" s="675">
        <v>0.629</v>
      </c>
      <c r="CQ63" s="675">
        <v>0</v>
      </c>
      <c r="CR63" s="675">
        <v>164.21100000000001</v>
      </c>
      <c r="CS63" s="675">
        <v>0</v>
      </c>
      <c r="CT63" s="675">
        <v>0</v>
      </c>
      <c r="CU63" s="675">
        <v>0</v>
      </c>
      <c r="CV63" s="675">
        <v>0</v>
      </c>
      <c r="CW63" s="675">
        <v>0</v>
      </c>
      <c r="CX63" s="675">
        <v>0</v>
      </c>
      <c r="CY63" s="675">
        <v>0</v>
      </c>
      <c r="CZ63" s="675">
        <v>0</v>
      </c>
      <c r="DA63" s="675">
        <v>0</v>
      </c>
      <c r="DB63" s="675">
        <v>936865</v>
      </c>
      <c r="DC63" s="675">
        <v>0</v>
      </c>
      <c r="DD63" s="675">
        <v>0</v>
      </c>
      <c r="DE63" s="675">
        <v>286208</v>
      </c>
      <c r="DF63" s="675">
        <v>295546</v>
      </c>
      <c r="DG63" s="675">
        <v>46.463000000000001</v>
      </c>
      <c r="DH63" s="675">
        <v>0</v>
      </c>
      <c r="DI63" s="675">
        <v>9338</v>
      </c>
      <c r="DJ63" s="675">
        <v>0</v>
      </c>
      <c r="DK63" s="675">
        <v>3555</v>
      </c>
      <c r="DL63" s="675">
        <v>0</v>
      </c>
      <c r="DM63" s="675">
        <v>121010</v>
      </c>
      <c r="DN63" s="675">
        <v>337</v>
      </c>
      <c r="DO63" s="675">
        <v>0</v>
      </c>
      <c r="DP63" s="675">
        <v>0</v>
      </c>
      <c r="DQ63" s="675">
        <v>0</v>
      </c>
      <c r="DR63" s="675">
        <v>0</v>
      </c>
      <c r="DS63" s="675">
        <v>0</v>
      </c>
      <c r="DT63" s="675">
        <v>0</v>
      </c>
      <c r="DU63" s="675">
        <v>0</v>
      </c>
      <c r="DV63" s="675">
        <v>0</v>
      </c>
      <c r="DW63" s="675">
        <v>0</v>
      </c>
      <c r="DX63" s="675">
        <v>0</v>
      </c>
      <c r="DY63" s="675">
        <v>0</v>
      </c>
      <c r="DZ63" s="675">
        <v>0</v>
      </c>
      <c r="EA63" s="675">
        <v>0</v>
      </c>
      <c r="EB63" s="675">
        <v>0</v>
      </c>
      <c r="EC63" s="675">
        <v>12.223000000000001</v>
      </c>
      <c r="ED63" s="675">
        <v>86587</v>
      </c>
      <c r="EE63" s="675">
        <v>0</v>
      </c>
      <c r="EF63" s="675">
        <v>0</v>
      </c>
      <c r="EG63" s="675">
        <v>0</v>
      </c>
      <c r="EH63" s="675">
        <v>2218</v>
      </c>
      <c r="EI63" s="675">
        <v>0</v>
      </c>
      <c r="EJ63" s="675">
        <v>0</v>
      </c>
      <c r="EK63" s="675">
        <v>0</v>
      </c>
      <c r="EL63" s="675">
        <v>0</v>
      </c>
      <c r="EM63" s="675">
        <v>0</v>
      </c>
      <c r="EN63" s="675">
        <v>7.2000000000000008E-2</v>
      </c>
      <c r="EO63" s="675">
        <v>0</v>
      </c>
      <c r="EP63" s="675">
        <v>0</v>
      </c>
      <c r="EQ63" s="675">
        <v>7.2000000000000008E-2</v>
      </c>
      <c r="ER63" s="675">
        <v>0</v>
      </c>
      <c r="ES63" s="675">
        <v>0.36</v>
      </c>
      <c r="ET63" s="675">
        <v>0</v>
      </c>
      <c r="EU63" s="675">
        <v>0</v>
      </c>
      <c r="EV63" s="675">
        <v>0</v>
      </c>
      <c r="EW63" s="675">
        <v>0</v>
      </c>
      <c r="EX63" s="675">
        <v>0</v>
      </c>
      <c r="EY63" s="675">
        <v>0</v>
      </c>
      <c r="EZ63" s="675">
        <v>1619737</v>
      </c>
      <c r="FA63" s="675">
        <v>0</v>
      </c>
      <c r="FB63" s="675">
        <v>1684418</v>
      </c>
      <c r="FC63" s="675">
        <v>0</v>
      </c>
      <c r="FD63" s="675">
        <v>0</v>
      </c>
      <c r="FE63" s="675">
        <v>165653</v>
      </c>
      <c r="FF63" s="675">
        <v>34263</v>
      </c>
      <c r="FG63" s="675">
        <v>6.3574999999999993E-2</v>
      </c>
      <c r="FH63" s="675">
        <v>2.6298999999999999E-2</v>
      </c>
      <c r="FI63" s="675">
        <v>0</v>
      </c>
      <c r="FJ63" s="675">
        <v>0</v>
      </c>
      <c r="FK63" s="675">
        <v>264.37</v>
      </c>
      <c r="FL63" s="675">
        <v>1914739</v>
      </c>
      <c r="FM63" s="675">
        <v>0</v>
      </c>
      <c r="FN63" s="675">
        <v>0</v>
      </c>
      <c r="FO63" s="675">
        <v>0</v>
      </c>
      <c r="FP63" s="675">
        <v>0</v>
      </c>
      <c r="FQ63" s="675">
        <v>0</v>
      </c>
      <c r="FR63" s="675">
        <v>0</v>
      </c>
      <c r="FS63" s="675">
        <v>0</v>
      </c>
      <c r="FT63" s="675">
        <v>0</v>
      </c>
      <c r="FU63" s="675">
        <v>0</v>
      </c>
      <c r="FV63" s="675">
        <v>0</v>
      </c>
      <c r="FW63" s="675">
        <v>0</v>
      </c>
      <c r="FX63" s="675">
        <v>0</v>
      </c>
      <c r="FY63" s="675">
        <v>0</v>
      </c>
      <c r="FZ63" s="675">
        <v>0</v>
      </c>
      <c r="GA63" s="675">
        <v>0</v>
      </c>
      <c r="GB63" s="675">
        <v>73780</v>
      </c>
      <c r="GC63" s="675">
        <v>73780</v>
      </c>
      <c r="GD63" s="675">
        <v>8.918000000000001</v>
      </c>
      <c r="GE63" s="675">
        <v>0</v>
      </c>
      <c r="GF63" s="675">
        <v>0</v>
      </c>
      <c r="GG63" s="675">
        <v>0</v>
      </c>
      <c r="GH63" s="675">
        <v>0</v>
      </c>
      <c r="GI63" s="675">
        <v>0</v>
      </c>
      <c r="GJ63" s="675">
        <v>0</v>
      </c>
      <c r="GK63" s="675">
        <v>0</v>
      </c>
      <c r="GL63" s="675">
        <v>0</v>
      </c>
      <c r="GM63" s="675">
        <v>0</v>
      </c>
      <c r="GN63" s="675">
        <v>0</v>
      </c>
      <c r="GO63" s="675">
        <v>0</v>
      </c>
      <c r="GP63" s="675">
        <v>0</v>
      </c>
      <c r="GQ63" s="675">
        <v>0</v>
      </c>
      <c r="GR63" s="675">
        <v>0</v>
      </c>
      <c r="GS63" s="675">
        <v>0</v>
      </c>
      <c r="GT63" s="675">
        <v>0</v>
      </c>
      <c r="GU63" s="675">
        <v>0</v>
      </c>
      <c r="GV63" s="675">
        <v>0</v>
      </c>
      <c r="GW63" s="675">
        <v>0</v>
      </c>
      <c r="GX63" s="675">
        <v>0</v>
      </c>
      <c r="GY63" s="675">
        <v>0</v>
      </c>
      <c r="GZ63" s="675">
        <v>0</v>
      </c>
      <c r="HA63" s="675">
        <v>0</v>
      </c>
      <c r="HB63" s="675">
        <v>298386780</v>
      </c>
      <c r="HC63" s="675">
        <v>4.5690999999999996E-2</v>
      </c>
      <c r="HD63" s="675">
        <v>30405</v>
      </c>
      <c r="HE63" s="675">
        <v>0</v>
      </c>
      <c r="HF63" s="675">
        <v>173109</v>
      </c>
      <c r="HG63" s="675">
        <v>0</v>
      </c>
      <c r="HH63" s="675">
        <v>0</v>
      </c>
      <c r="HI63" s="675">
        <v>0</v>
      </c>
      <c r="HJ63" s="675">
        <v>1617</v>
      </c>
      <c r="HK63" s="675">
        <v>1908</v>
      </c>
      <c r="HL63" s="675">
        <v>75</v>
      </c>
      <c r="HM63" s="675">
        <v>0</v>
      </c>
      <c r="HN63" s="675">
        <v>0</v>
      </c>
      <c r="HO63" s="675">
        <v>0</v>
      </c>
      <c r="HP63" s="675">
        <v>54259</v>
      </c>
      <c r="HQ63" s="675">
        <v>0</v>
      </c>
      <c r="HR63" s="675">
        <v>0</v>
      </c>
      <c r="HS63" s="675">
        <v>1619400</v>
      </c>
      <c r="HT63" s="675">
        <v>34263</v>
      </c>
      <c r="HU63" s="675">
        <v>0</v>
      </c>
      <c r="HV63" s="675">
        <v>0</v>
      </c>
      <c r="HW63" s="675">
        <v>0</v>
      </c>
      <c r="HX63" s="675">
        <v>24</v>
      </c>
      <c r="HY63" s="675">
        <v>28</v>
      </c>
      <c r="HZ63" s="675">
        <v>47</v>
      </c>
      <c r="IA63" s="675">
        <v>35</v>
      </c>
      <c r="IB63" s="675">
        <v>49</v>
      </c>
      <c r="IC63" s="675">
        <v>183</v>
      </c>
      <c r="ID63" s="675">
        <v>0</v>
      </c>
      <c r="IE63" s="675">
        <v>0</v>
      </c>
      <c r="IF63" s="675">
        <v>0</v>
      </c>
      <c r="IG63" s="675">
        <v>0</v>
      </c>
      <c r="IH63" s="675">
        <v>0</v>
      </c>
      <c r="II63" s="675">
        <v>197.304</v>
      </c>
      <c r="IJ63" s="675">
        <v>42.612000000000002</v>
      </c>
      <c r="IK63" s="675">
        <v>0</v>
      </c>
      <c r="IL63" s="675">
        <v>0</v>
      </c>
      <c r="IM63" s="675">
        <v>0</v>
      </c>
      <c r="IN63" s="675">
        <v>0</v>
      </c>
      <c r="IO63" s="675">
        <v>0</v>
      </c>
      <c r="IP63" s="675">
        <v>197.304</v>
      </c>
      <c r="IQ63" s="675">
        <v>42.612000000000002</v>
      </c>
      <c r="IR63" s="675">
        <v>26249</v>
      </c>
      <c r="IS63" s="675">
        <v>0</v>
      </c>
      <c r="IT63" s="675">
        <v>0</v>
      </c>
      <c r="IU63" s="675">
        <v>0</v>
      </c>
      <c r="IV63" s="675">
        <v>0</v>
      </c>
      <c r="IW63" s="675">
        <v>6160</v>
      </c>
      <c r="IX63" s="675">
        <v>0</v>
      </c>
      <c r="IY63" s="675">
        <v>0</v>
      </c>
      <c r="IZ63" s="675">
        <v>54259</v>
      </c>
      <c r="JA63" s="675">
        <v>0</v>
      </c>
      <c r="JB63" s="675">
        <v>0</v>
      </c>
      <c r="JC63" s="675">
        <v>0</v>
      </c>
      <c r="JD63" s="675">
        <v>0</v>
      </c>
      <c r="JE63" s="675">
        <v>0</v>
      </c>
      <c r="JF63" s="675">
        <v>0</v>
      </c>
      <c r="JG63" s="675">
        <v>0</v>
      </c>
      <c r="JH63" s="675">
        <v>0</v>
      </c>
      <c r="JI63" s="675">
        <v>0</v>
      </c>
      <c r="JJ63" s="675">
        <v>0</v>
      </c>
      <c r="JK63" s="675">
        <v>0</v>
      </c>
      <c r="JL63" s="675">
        <v>0</v>
      </c>
      <c r="JM63" s="675">
        <v>0</v>
      </c>
      <c r="JN63" s="675">
        <v>32469</v>
      </c>
      <c r="JO63" s="675">
        <v>6.9880000000000004</v>
      </c>
      <c r="JP63" s="675">
        <v>1.9020000000000001</v>
      </c>
      <c r="JQ63" s="675">
        <v>2.8000000000000001E-2</v>
      </c>
      <c r="JR63" s="675">
        <v>55806</v>
      </c>
      <c r="JS63" s="675">
        <v>17675</v>
      </c>
      <c r="JT63" s="675">
        <v>299</v>
      </c>
      <c r="JU63" s="675">
        <v>0</v>
      </c>
      <c r="JV63" s="675">
        <v>0</v>
      </c>
      <c r="JW63" s="675">
        <v>0</v>
      </c>
      <c r="JX63" s="675">
        <v>0</v>
      </c>
      <c r="JY63" s="675">
        <v>0</v>
      </c>
      <c r="JZ63" s="675">
        <v>0</v>
      </c>
      <c r="KA63" s="675">
        <v>0</v>
      </c>
      <c r="KB63" s="675">
        <v>0</v>
      </c>
      <c r="KC63" s="675">
        <v>0</v>
      </c>
      <c r="KD63" s="675">
        <v>0</v>
      </c>
      <c r="KE63" s="675">
        <v>7260</v>
      </c>
      <c r="KF63" s="675">
        <v>0</v>
      </c>
      <c r="KG63" s="675">
        <v>0</v>
      </c>
      <c r="KH63" s="675">
        <v>0</v>
      </c>
      <c r="KI63" s="675">
        <v>0</v>
      </c>
    </row>
    <row r="64" spans="1:295" ht="12.5" x14ac:dyDescent="0.25">
      <c r="A64" s="675">
        <v>35795</v>
      </c>
      <c r="B64" s="675">
        <v>105803</v>
      </c>
      <c r="C64" s="675">
        <v>9</v>
      </c>
      <c r="D64" s="675">
        <v>2022</v>
      </c>
      <c r="E64" s="675">
        <v>6160</v>
      </c>
      <c r="F64" s="675">
        <v>0</v>
      </c>
      <c r="G64" s="675">
        <v>283.863</v>
      </c>
      <c r="H64" s="675">
        <v>161.94900000000001</v>
      </c>
      <c r="I64" s="675">
        <v>161.94900000000001</v>
      </c>
      <c r="J64" s="675">
        <v>283.863</v>
      </c>
      <c r="K64" s="675">
        <v>0</v>
      </c>
      <c r="L64" s="675">
        <v>6160</v>
      </c>
      <c r="M64" s="675">
        <v>0</v>
      </c>
      <c r="N64" s="675">
        <v>0</v>
      </c>
      <c r="O64" s="675">
        <v>0</v>
      </c>
      <c r="P64" s="675">
        <v>273.61599999999999</v>
      </c>
      <c r="Q64" s="675">
        <v>0</v>
      </c>
      <c r="R64" s="675">
        <v>110111</v>
      </c>
      <c r="S64" s="675">
        <v>402.428</v>
      </c>
      <c r="T64" s="675">
        <v>0</v>
      </c>
      <c r="U64" s="675">
        <v>58555</v>
      </c>
      <c r="V64" s="675">
        <v>0</v>
      </c>
      <c r="W64" s="675">
        <v>0</v>
      </c>
      <c r="X64" s="675">
        <v>0</v>
      </c>
      <c r="Y64" s="675">
        <v>0</v>
      </c>
      <c r="Z64" s="675">
        <v>0</v>
      </c>
      <c r="AA64" s="675">
        <v>0</v>
      </c>
      <c r="AB64" s="675">
        <v>0</v>
      </c>
      <c r="AC64" s="675">
        <v>0</v>
      </c>
      <c r="AD64" s="675" t="s">
        <v>316</v>
      </c>
      <c r="AE64" s="675">
        <v>0</v>
      </c>
      <c r="AF64" s="675">
        <v>0</v>
      </c>
      <c r="AG64" s="675">
        <v>0</v>
      </c>
      <c r="AH64" s="675">
        <v>0</v>
      </c>
      <c r="AI64" s="675">
        <v>0</v>
      </c>
      <c r="AJ64" s="675">
        <v>6160</v>
      </c>
      <c r="AK64" s="675" t="s">
        <v>671</v>
      </c>
      <c r="AL64" s="675" t="s">
        <v>372</v>
      </c>
      <c r="AM64" s="675">
        <v>0</v>
      </c>
      <c r="AN64" s="675">
        <v>0</v>
      </c>
      <c r="AO64" s="675">
        <v>0</v>
      </c>
      <c r="AP64" s="675">
        <v>0</v>
      </c>
      <c r="AQ64" s="675">
        <v>0</v>
      </c>
      <c r="AR64" s="675">
        <v>0</v>
      </c>
      <c r="AS64" s="675">
        <v>0</v>
      </c>
      <c r="AT64" s="675">
        <v>0</v>
      </c>
      <c r="AU64" s="675">
        <v>0</v>
      </c>
      <c r="AV64" s="675">
        <v>0</v>
      </c>
      <c r="AW64" s="675">
        <v>5092540</v>
      </c>
      <c r="AX64" s="675">
        <v>5050781</v>
      </c>
      <c r="AY64" s="675">
        <v>3338033</v>
      </c>
      <c r="AZ64" s="675">
        <v>110111</v>
      </c>
      <c r="BA64" s="675">
        <v>0</v>
      </c>
      <c r="BB64" s="675">
        <v>0</v>
      </c>
      <c r="BC64" s="675">
        <v>0</v>
      </c>
      <c r="BD64" s="675">
        <v>0</v>
      </c>
      <c r="BE64" s="675">
        <v>0</v>
      </c>
      <c r="BF64" s="675">
        <v>4473955</v>
      </c>
      <c r="BG64" s="675">
        <v>0</v>
      </c>
      <c r="BH64" s="675">
        <v>0</v>
      </c>
      <c r="BI64" s="675">
        <v>0</v>
      </c>
      <c r="BJ64" s="675">
        <v>12</v>
      </c>
      <c r="BK64" s="675">
        <v>0</v>
      </c>
      <c r="BL64" s="675">
        <v>0</v>
      </c>
      <c r="BM64" s="675">
        <v>0</v>
      </c>
      <c r="BN64" s="675">
        <v>0</v>
      </c>
      <c r="BO64" s="675">
        <v>0</v>
      </c>
      <c r="BP64" s="675">
        <v>0</v>
      </c>
      <c r="BQ64" s="675">
        <v>745</v>
      </c>
      <c r="BR64" s="675">
        <v>0</v>
      </c>
      <c r="BS64" s="675">
        <v>0</v>
      </c>
      <c r="BT64" s="675">
        <v>0</v>
      </c>
      <c r="BU64" s="675">
        <v>0</v>
      </c>
      <c r="BV64" s="675">
        <v>0</v>
      </c>
      <c r="BW64" s="675">
        <v>0</v>
      </c>
      <c r="BX64" s="675">
        <v>0</v>
      </c>
      <c r="BY64" s="675">
        <v>0</v>
      </c>
      <c r="BZ64" s="675">
        <v>0</v>
      </c>
      <c r="CA64" s="675">
        <v>0</v>
      </c>
      <c r="CB64" s="675">
        <v>0</v>
      </c>
      <c r="CC64" s="675">
        <v>0</v>
      </c>
      <c r="CD64" s="675">
        <v>0</v>
      </c>
      <c r="CE64" s="675">
        <v>0</v>
      </c>
      <c r="CF64" s="675">
        <v>0</v>
      </c>
      <c r="CG64" s="675">
        <v>0</v>
      </c>
      <c r="CH64" s="675">
        <v>51880</v>
      </c>
      <c r="CI64" s="675">
        <v>0</v>
      </c>
      <c r="CJ64" s="675">
        <v>4</v>
      </c>
      <c r="CK64" s="675">
        <v>0</v>
      </c>
      <c r="CL64" s="675">
        <v>0</v>
      </c>
      <c r="CM64" s="675">
        <v>0</v>
      </c>
      <c r="CN64" s="675">
        <v>0</v>
      </c>
      <c r="CO64" s="675">
        <v>1</v>
      </c>
      <c r="CP64" s="675">
        <v>0</v>
      </c>
      <c r="CQ64" s="675">
        <v>0</v>
      </c>
      <c r="CR64" s="675">
        <v>270.36599999999999</v>
      </c>
      <c r="CS64" s="675">
        <v>0</v>
      </c>
      <c r="CT64" s="675">
        <v>0</v>
      </c>
      <c r="CU64" s="675">
        <v>0</v>
      </c>
      <c r="CV64" s="675">
        <v>0</v>
      </c>
      <c r="CW64" s="675">
        <v>0</v>
      </c>
      <c r="CX64" s="675">
        <v>0</v>
      </c>
      <c r="CY64" s="675">
        <v>0</v>
      </c>
      <c r="CZ64" s="675">
        <v>0</v>
      </c>
      <c r="DA64" s="675">
        <v>0</v>
      </c>
      <c r="DB64" s="675">
        <v>997601</v>
      </c>
      <c r="DC64" s="675">
        <v>0</v>
      </c>
      <c r="DD64" s="675">
        <v>0</v>
      </c>
      <c r="DE64" s="675">
        <v>468004</v>
      </c>
      <c r="DF64" s="675">
        <v>469236</v>
      </c>
      <c r="DG64" s="675">
        <v>75.975000000000009</v>
      </c>
      <c r="DH64" s="675">
        <v>0</v>
      </c>
      <c r="DI64" s="675">
        <v>0</v>
      </c>
      <c r="DJ64" s="675">
        <v>0</v>
      </c>
      <c r="DK64" s="675">
        <v>3543</v>
      </c>
      <c r="DL64" s="675">
        <v>0</v>
      </c>
      <c r="DM64" s="675">
        <v>2657171</v>
      </c>
      <c r="DN64" s="675">
        <v>10121</v>
      </c>
      <c r="DO64" s="675">
        <v>0</v>
      </c>
      <c r="DP64" s="675">
        <v>0</v>
      </c>
      <c r="DQ64" s="675">
        <v>0</v>
      </c>
      <c r="DR64" s="675">
        <v>0</v>
      </c>
      <c r="DS64" s="675">
        <v>0</v>
      </c>
      <c r="DT64" s="675">
        <v>0</v>
      </c>
      <c r="DU64" s="675">
        <v>0</v>
      </c>
      <c r="DV64" s="675">
        <v>0</v>
      </c>
      <c r="DW64" s="675">
        <v>0</v>
      </c>
      <c r="DX64" s="675">
        <v>0</v>
      </c>
      <c r="DY64" s="675">
        <v>0</v>
      </c>
      <c r="DZ64" s="675">
        <v>0</v>
      </c>
      <c r="EA64" s="675">
        <v>0</v>
      </c>
      <c r="EB64" s="675">
        <v>2.1230000000000002</v>
      </c>
      <c r="EC64" s="675">
        <v>3.6660000000000004</v>
      </c>
      <c r="ED64" s="675">
        <v>25970</v>
      </c>
      <c r="EE64" s="675">
        <v>0</v>
      </c>
      <c r="EF64" s="675">
        <v>0</v>
      </c>
      <c r="EG64" s="675">
        <v>0</v>
      </c>
      <c r="EH64" s="675">
        <v>111052</v>
      </c>
      <c r="EI64" s="675">
        <v>2530270</v>
      </c>
      <c r="EJ64" s="675">
        <v>102.69</v>
      </c>
      <c r="EK64" s="675">
        <v>1.5050000000000001</v>
      </c>
      <c r="EL64" s="675">
        <v>0</v>
      </c>
      <c r="EM64" s="675">
        <v>0.41800000000000004</v>
      </c>
      <c r="EN64" s="675">
        <v>1.1780000000000002</v>
      </c>
      <c r="EO64" s="675">
        <v>0</v>
      </c>
      <c r="EP64" s="675">
        <v>0</v>
      </c>
      <c r="EQ64" s="675">
        <v>107.914</v>
      </c>
      <c r="ER64" s="675">
        <v>0</v>
      </c>
      <c r="ES64" s="675">
        <v>18.028000000000002</v>
      </c>
      <c r="ET64" s="675">
        <v>0</v>
      </c>
      <c r="EU64" s="675">
        <v>0</v>
      </c>
      <c r="EV64" s="675">
        <v>0</v>
      </c>
      <c r="EW64" s="675">
        <v>0</v>
      </c>
      <c r="EX64" s="675">
        <v>0</v>
      </c>
      <c r="EY64" s="675">
        <v>0</v>
      </c>
      <c r="EZ64" s="675">
        <v>4501559</v>
      </c>
      <c r="FA64" s="675">
        <v>0</v>
      </c>
      <c r="FB64" s="675">
        <v>4601549</v>
      </c>
      <c r="FC64" s="675">
        <v>0</v>
      </c>
      <c r="FD64" s="675">
        <v>0</v>
      </c>
      <c r="FE64" s="675">
        <v>455093</v>
      </c>
      <c r="FF64" s="675">
        <v>94129</v>
      </c>
      <c r="FG64" s="675">
        <v>6.3574999999999993E-2</v>
      </c>
      <c r="FH64" s="675">
        <v>2.6298999999999999E-2</v>
      </c>
      <c r="FI64" s="675">
        <v>0</v>
      </c>
      <c r="FJ64" s="675">
        <v>0</v>
      </c>
      <c r="FK64" s="675">
        <v>726.29500000000007</v>
      </c>
      <c r="FL64" s="675">
        <v>5202651</v>
      </c>
      <c r="FM64" s="675">
        <v>0</v>
      </c>
      <c r="FN64" s="675">
        <v>0</v>
      </c>
      <c r="FO64" s="675">
        <v>0</v>
      </c>
      <c r="FP64" s="675">
        <v>0</v>
      </c>
      <c r="FQ64" s="675">
        <v>0</v>
      </c>
      <c r="FR64" s="675">
        <v>0</v>
      </c>
      <c r="FS64" s="675">
        <v>0</v>
      </c>
      <c r="FT64" s="675">
        <v>0</v>
      </c>
      <c r="FU64" s="675">
        <v>0</v>
      </c>
      <c r="FV64" s="675">
        <v>0</v>
      </c>
      <c r="FW64" s="675">
        <v>0</v>
      </c>
      <c r="FX64" s="675">
        <v>0</v>
      </c>
      <c r="FY64" s="675">
        <v>0</v>
      </c>
      <c r="FZ64" s="675">
        <v>0</v>
      </c>
      <c r="GA64" s="675">
        <v>0</v>
      </c>
      <c r="GB64" s="675">
        <v>130099</v>
      </c>
      <c r="GC64" s="675">
        <v>130099</v>
      </c>
      <c r="GD64" s="675">
        <v>14</v>
      </c>
      <c r="GE64" s="675">
        <v>0</v>
      </c>
      <c r="GF64" s="675">
        <v>0</v>
      </c>
      <c r="GG64" s="675">
        <v>0</v>
      </c>
      <c r="GH64" s="675">
        <v>0</v>
      </c>
      <c r="GI64" s="675">
        <v>0</v>
      </c>
      <c r="GJ64" s="675">
        <v>0</v>
      </c>
      <c r="GK64" s="675">
        <v>0</v>
      </c>
      <c r="GL64" s="675">
        <v>0</v>
      </c>
      <c r="GM64" s="675">
        <v>0</v>
      </c>
      <c r="GN64" s="675">
        <v>0</v>
      </c>
      <c r="GO64" s="675">
        <v>0</v>
      </c>
      <c r="GP64" s="675">
        <v>0</v>
      </c>
      <c r="GQ64" s="675">
        <v>0</v>
      </c>
      <c r="GR64" s="675">
        <v>0</v>
      </c>
      <c r="GS64" s="675">
        <v>0</v>
      </c>
      <c r="GT64" s="675">
        <v>0</v>
      </c>
      <c r="GU64" s="675">
        <v>0</v>
      </c>
      <c r="GV64" s="675">
        <v>0</v>
      </c>
      <c r="GW64" s="675">
        <v>0</v>
      </c>
      <c r="GX64" s="675">
        <v>0</v>
      </c>
      <c r="GY64" s="675">
        <v>0</v>
      </c>
      <c r="GZ64" s="675">
        <v>0</v>
      </c>
      <c r="HA64" s="675">
        <v>0</v>
      </c>
      <c r="HB64" s="675">
        <v>298386780</v>
      </c>
      <c r="HC64" s="675">
        <v>4.5690999999999996E-2</v>
      </c>
      <c r="HD64" s="675">
        <v>51880</v>
      </c>
      <c r="HE64" s="675">
        <v>0</v>
      </c>
      <c r="HF64" s="675">
        <v>178144</v>
      </c>
      <c r="HG64" s="675">
        <v>9856</v>
      </c>
      <c r="HH64" s="675">
        <v>5468</v>
      </c>
      <c r="HI64" s="675">
        <v>0</v>
      </c>
      <c r="HJ64" s="675">
        <v>2759</v>
      </c>
      <c r="HK64" s="675">
        <v>1872</v>
      </c>
      <c r="HL64" s="675">
        <v>0</v>
      </c>
      <c r="HM64" s="675">
        <v>0</v>
      </c>
      <c r="HN64" s="675">
        <v>0</v>
      </c>
      <c r="HO64" s="675">
        <v>13500</v>
      </c>
      <c r="HP64" s="675">
        <v>77433</v>
      </c>
      <c r="HQ64" s="675">
        <v>0</v>
      </c>
      <c r="HR64" s="675">
        <v>0</v>
      </c>
      <c r="HS64" s="675">
        <v>4491438</v>
      </c>
      <c r="HT64" s="675">
        <v>94129</v>
      </c>
      <c r="HU64" s="675">
        <v>0</v>
      </c>
      <c r="HV64" s="675">
        <v>0</v>
      </c>
      <c r="HW64" s="675">
        <v>0</v>
      </c>
      <c r="HX64" s="675">
        <v>7</v>
      </c>
      <c r="HY64" s="675">
        <v>4</v>
      </c>
      <c r="HZ64" s="675">
        <v>5</v>
      </c>
      <c r="IA64" s="675">
        <v>10</v>
      </c>
      <c r="IB64" s="675">
        <v>253</v>
      </c>
      <c r="IC64" s="675">
        <v>279</v>
      </c>
      <c r="ID64" s="675">
        <v>1</v>
      </c>
      <c r="IE64" s="675">
        <v>0</v>
      </c>
      <c r="IF64" s="675">
        <v>0</v>
      </c>
      <c r="IG64" s="675">
        <v>16</v>
      </c>
      <c r="IH64" s="675">
        <v>8.8760000000000012</v>
      </c>
      <c r="II64" s="675">
        <v>281.57300000000004</v>
      </c>
      <c r="IJ64" s="675">
        <v>0</v>
      </c>
      <c r="IK64" s="675">
        <v>212.40300000000002</v>
      </c>
      <c r="IL64" s="675">
        <v>0</v>
      </c>
      <c r="IM64" s="675">
        <v>0</v>
      </c>
      <c r="IN64" s="675">
        <v>0</v>
      </c>
      <c r="IO64" s="675">
        <v>0</v>
      </c>
      <c r="IP64" s="675">
        <v>493.976</v>
      </c>
      <c r="IQ64" s="675">
        <v>0</v>
      </c>
      <c r="IR64" s="675">
        <v>0</v>
      </c>
      <c r="IS64" s="675">
        <v>58411</v>
      </c>
      <c r="IT64" s="675">
        <v>0</v>
      </c>
      <c r="IU64" s="675">
        <v>0</v>
      </c>
      <c r="IV64" s="675">
        <v>0</v>
      </c>
      <c r="IW64" s="675">
        <v>6160</v>
      </c>
      <c r="IX64" s="675">
        <v>0</v>
      </c>
      <c r="IY64" s="675">
        <v>0</v>
      </c>
      <c r="IZ64" s="675">
        <v>135843</v>
      </c>
      <c r="JA64" s="675">
        <v>1232</v>
      </c>
      <c r="JB64" s="675">
        <v>0</v>
      </c>
      <c r="JC64" s="675">
        <v>0</v>
      </c>
      <c r="JD64" s="675">
        <v>0</v>
      </c>
      <c r="JE64" s="675">
        <v>0</v>
      </c>
      <c r="JF64" s="675">
        <v>0</v>
      </c>
      <c r="JG64" s="675">
        <v>0</v>
      </c>
      <c r="JH64" s="675">
        <v>0</v>
      </c>
      <c r="JI64" s="675">
        <v>0</v>
      </c>
      <c r="JJ64" s="675">
        <v>0</v>
      </c>
      <c r="JK64" s="675">
        <v>0</v>
      </c>
      <c r="JL64" s="675">
        <v>0</v>
      </c>
      <c r="JM64" s="675">
        <v>0</v>
      </c>
      <c r="JN64" s="675">
        <v>32469</v>
      </c>
      <c r="JO64" s="675">
        <v>0</v>
      </c>
      <c r="JP64" s="675">
        <v>14</v>
      </c>
      <c r="JQ64" s="675">
        <v>0</v>
      </c>
      <c r="JR64" s="675">
        <v>0</v>
      </c>
      <c r="JS64" s="675">
        <v>130099</v>
      </c>
      <c r="JT64" s="675">
        <v>0</v>
      </c>
      <c r="JU64" s="675">
        <v>0</v>
      </c>
      <c r="JV64" s="675">
        <v>0</v>
      </c>
      <c r="JW64" s="675">
        <v>0</v>
      </c>
      <c r="JX64" s="675">
        <v>0</v>
      </c>
      <c r="JY64" s="675">
        <v>0</v>
      </c>
      <c r="JZ64" s="675">
        <v>0</v>
      </c>
      <c r="KA64" s="675">
        <v>0</v>
      </c>
      <c r="KB64" s="675">
        <v>0</v>
      </c>
      <c r="KC64" s="675">
        <v>0</v>
      </c>
      <c r="KD64" s="675">
        <v>0</v>
      </c>
      <c r="KE64" s="675">
        <v>7260</v>
      </c>
      <c r="KF64" s="675">
        <v>0</v>
      </c>
      <c r="KG64" s="675">
        <v>0</v>
      </c>
      <c r="KH64" s="675">
        <v>0</v>
      </c>
      <c r="KI64" s="675">
        <v>0</v>
      </c>
    </row>
    <row r="65" spans="1:295" ht="12.5" x14ac:dyDescent="0.25">
      <c r="A65" s="675">
        <v>35795</v>
      </c>
      <c r="B65" s="675">
        <v>152803</v>
      </c>
      <c r="C65" s="675">
        <v>9</v>
      </c>
      <c r="D65" s="675">
        <v>2022</v>
      </c>
      <c r="E65" s="675">
        <v>6160</v>
      </c>
      <c r="F65" s="675">
        <v>0</v>
      </c>
      <c r="G65" s="675">
        <v>121.97200000000001</v>
      </c>
      <c r="H65" s="675">
        <v>106.102</v>
      </c>
      <c r="I65" s="675">
        <v>106.102</v>
      </c>
      <c r="J65" s="675">
        <v>121.97200000000001</v>
      </c>
      <c r="K65" s="675">
        <v>0</v>
      </c>
      <c r="L65" s="675">
        <v>6160</v>
      </c>
      <c r="M65" s="675">
        <v>0</v>
      </c>
      <c r="N65" s="675">
        <v>0</v>
      </c>
      <c r="O65" s="675">
        <v>0</v>
      </c>
      <c r="P65" s="675">
        <v>153.53200000000001</v>
      </c>
      <c r="Q65" s="675">
        <v>0</v>
      </c>
      <c r="R65" s="675">
        <v>61786</v>
      </c>
      <c r="S65" s="675">
        <v>402.428</v>
      </c>
      <c r="T65" s="675">
        <v>0</v>
      </c>
      <c r="U65" s="675">
        <v>32857</v>
      </c>
      <c r="V65" s="675">
        <v>2.4950000000000001</v>
      </c>
      <c r="W65" s="675">
        <v>1537</v>
      </c>
      <c r="X65" s="675">
        <v>1537</v>
      </c>
      <c r="Y65" s="675">
        <v>0</v>
      </c>
      <c r="Z65" s="675">
        <v>0</v>
      </c>
      <c r="AA65" s="675">
        <v>0</v>
      </c>
      <c r="AB65" s="675">
        <v>0</v>
      </c>
      <c r="AC65" s="675">
        <v>0</v>
      </c>
      <c r="AD65" s="675" t="s">
        <v>316</v>
      </c>
      <c r="AE65" s="675">
        <v>0</v>
      </c>
      <c r="AF65" s="675">
        <v>0</v>
      </c>
      <c r="AG65" s="675">
        <v>0</v>
      </c>
      <c r="AH65" s="675">
        <v>0</v>
      </c>
      <c r="AI65" s="675">
        <v>0</v>
      </c>
      <c r="AJ65" s="675">
        <v>6160</v>
      </c>
      <c r="AK65" s="675" t="s">
        <v>671</v>
      </c>
      <c r="AL65" s="675" t="s">
        <v>473</v>
      </c>
      <c r="AM65" s="675">
        <v>0</v>
      </c>
      <c r="AN65" s="675">
        <v>0</v>
      </c>
      <c r="AO65" s="675">
        <v>0</v>
      </c>
      <c r="AP65" s="675">
        <v>0</v>
      </c>
      <c r="AQ65" s="675">
        <v>0</v>
      </c>
      <c r="AR65" s="675">
        <v>0</v>
      </c>
      <c r="AS65" s="675">
        <v>0</v>
      </c>
      <c r="AT65" s="675">
        <v>0</v>
      </c>
      <c r="AU65" s="675">
        <v>0</v>
      </c>
      <c r="AV65" s="675">
        <v>-11104</v>
      </c>
      <c r="AW65" s="675">
        <v>1412978</v>
      </c>
      <c r="AX65" s="675">
        <v>1391150</v>
      </c>
      <c r="AY65" s="675">
        <v>991666</v>
      </c>
      <c r="AZ65" s="675">
        <v>61786</v>
      </c>
      <c r="BA65" s="675">
        <v>0</v>
      </c>
      <c r="BB65" s="675">
        <v>0</v>
      </c>
      <c r="BC65" s="675">
        <v>0</v>
      </c>
      <c r="BD65" s="675">
        <v>0</v>
      </c>
      <c r="BE65" s="675">
        <v>0</v>
      </c>
      <c r="BF65" s="675">
        <v>1290672</v>
      </c>
      <c r="BG65" s="675">
        <v>0</v>
      </c>
      <c r="BH65" s="675">
        <v>0</v>
      </c>
      <c r="BI65" s="675">
        <v>0</v>
      </c>
      <c r="BJ65" s="675">
        <v>12</v>
      </c>
      <c r="BK65" s="675">
        <v>0</v>
      </c>
      <c r="BL65" s="675">
        <v>0</v>
      </c>
      <c r="BM65" s="675">
        <v>0</v>
      </c>
      <c r="BN65" s="675">
        <v>0</v>
      </c>
      <c r="BO65" s="675">
        <v>0</v>
      </c>
      <c r="BP65" s="675">
        <v>0</v>
      </c>
      <c r="BQ65" s="675">
        <v>754</v>
      </c>
      <c r="BR65" s="675">
        <v>0</v>
      </c>
      <c r="BS65" s="675">
        <v>0</v>
      </c>
      <c r="BT65" s="675">
        <v>0</v>
      </c>
      <c r="BU65" s="675">
        <v>0</v>
      </c>
      <c r="BV65" s="675">
        <v>0</v>
      </c>
      <c r="BW65" s="675">
        <v>0</v>
      </c>
      <c r="BX65" s="675">
        <v>0</v>
      </c>
      <c r="BY65" s="675">
        <v>0</v>
      </c>
      <c r="BZ65" s="675">
        <v>0</v>
      </c>
      <c r="CA65" s="675">
        <v>0</v>
      </c>
      <c r="CB65" s="675">
        <v>0</v>
      </c>
      <c r="CC65" s="675">
        <v>0</v>
      </c>
      <c r="CD65" s="675">
        <v>0</v>
      </c>
      <c r="CE65" s="675">
        <v>0</v>
      </c>
      <c r="CF65" s="675">
        <v>0</v>
      </c>
      <c r="CG65" s="675">
        <v>0</v>
      </c>
      <c r="CH65" s="675">
        <v>22292</v>
      </c>
      <c r="CI65" s="675">
        <v>0</v>
      </c>
      <c r="CJ65" s="675">
        <v>4</v>
      </c>
      <c r="CK65" s="675">
        <v>0</v>
      </c>
      <c r="CL65" s="675">
        <v>0</v>
      </c>
      <c r="CM65" s="675">
        <v>0</v>
      </c>
      <c r="CN65" s="675">
        <v>0</v>
      </c>
      <c r="CO65" s="675">
        <v>1</v>
      </c>
      <c r="CP65" s="675">
        <v>0.747</v>
      </c>
      <c r="CQ65" s="675">
        <v>0</v>
      </c>
      <c r="CR65" s="675">
        <v>145.58700000000002</v>
      </c>
      <c r="CS65" s="675">
        <v>0</v>
      </c>
      <c r="CT65" s="675">
        <v>0</v>
      </c>
      <c r="CU65" s="675">
        <v>0</v>
      </c>
      <c r="CV65" s="675">
        <v>0</v>
      </c>
      <c r="CW65" s="675">
        <v>0</v>
      </c>
      <c r="CX65" s="675">
        <v>0</v>
      </c>
      <c r="CY65" s="675">
        <v>0</v>
      </c>
      <c r="CZ65" s="675">
        <v>0</v>
      </c>
      <c r="DA65" s="675">
        <v>0</v>
      </c>
      <c r="DB65" s="675">
        <v>600322</v>
      </c>
      <c r="DC65" s="675">
        <v>0</v>
      </c>
      <c r="DD65" s="675">
        <v>0</v>
      </c>
      <c r="DE65" s="675">
        <v>246322</v>
      </c>
      <c r="DF65" s="675">
        <v>257412</v>
      </c>
      <c r="DG65" s="675">
        <v>39.988</v>
      </c>
      <c r="DH65" s="675">
        <v>0</v>
      </c>
      <c r="DI65" s="675">
        <v>11090</v>
      </c>
      <c r="DJ65" s="675">
        <v>0</v>
      </c>
      <c r="DK65" s="675">
        <v>3681</v>
      </c>
      <c r="DL65" s="675">
        <v>0</v>
      </c>
      <c r="DM65" s="675">
        <v>174984</v>
      </c>
      <c r="DN65" s="675">
        <v>464</v>
      </c>
      <c r="DO65" s="675">
        <v>0</v>
      </c>
      <c r="DP65" s="675">
        <v>0</v>
      </c>
      <c r="DQ65" s="675">
        <v>0</v>
      </c>
      <c r="DR65" s="675">
        <v>0</v>
      </c>
      <c r="DS65" s="675">
        <v>0</v>
      </c>
      <c r="DT65" s="675">
        <v>0</v>
      </c>
      <c r="DU65" s="675">
        <v>0</v>
      </c>
      <c r="DV65" s="675">
        <v>0</v>
      </c>
      <c r="DW65" s="675">
        <v>0</v>
      </c>
      <c r="DX65" s="675">
        <v>0</v>
      </c>
      <c r="DY65" s="675">
        <v>0</v>
      </c>
      <c r="DZ65" s="675">
        <v>0</v>
      </c>
      <c r="EA65" s="675">
        <v>0</v>
      </c>
      <c r="EB65" s="675">
        <v>0</v>
      </c>
      <c r="EC65" s="675">
        <v>16.755000000000003</v>
      </c>
      <c r="ED65" s="675">
        <v>118692</v>
      </c>
      <c r="EE65" s="675">
        <v>0</v>
      </c>
      <c r="EF65" s="675">
        <v>0</v>
      </c>
      <c r="EG65" s="675">
        <v>0</v>
      </c>
      <c r="EH65" s="675">
        <v>3493</v>
      </c>
      <c r="EI65" s="675">
        <v>0</v>
      </c>
      <c r="EJ65" s="675">
        <v>0</v>
      </c>
      <c r="EK65" s="675">
        <v>0.129</v>
      </c>
      <c r="EL65" s="675">
        <v>0</v>
      </c>
      <c r="EM65" s="675">
        <v>0</v>
      </c>
      <c r="EN65" s="675">
        <v>3.6000000000000004E-2</v>
      </c>
      <c r="EO65" s="675">
        <v>0</v>
      </c>
      <c r="EP65" s="675">
        <v>0</v>
      </c>
      <c r="EQ65" s="675">
        <v>0.16500000000000001</v>
      </c>
      <c r="ER65" s="675">
        <v>0</v>
      </c>
      <c r="ES65" s="675">
        <v>0.56700000000000006</v>
      </c>
      <c r="ET65" s="675">
        <v>0</v>
      </c>
      <c r="EU65" s="675">
        <v>0</v>
      </c>
      <c r="EV65" s="675">
        <v>0</v>
      </c>
      <c r="EW65" s="675">
        <v>0</v>
      </c>
      <c r="EX65" s="675">
        <v>0</v>
      </c>
      <c r="EY65" s="675">
        <v>0</v>
      </c>
      <c r="EZ65" s="675">
        <v>1232707</v>
      </c>
      <c r="FA65" s="675">
        <v>0</v>
      </c>
      <c r="FB65" s="675">
        <v>1294029</v>
      </c>
      <c r="FC65" s="675">
        <v>0</v>
      </c>
      <c r="FD65" s="675">
        <v>0</v>
      </c>
      <c r="FE65" s="675">
        <v>131288</v>
      </c>
      <c r="FF65" s="675">
        <v>27155</v>
      </c>
      <c r="FG65" s="675">
        <v>6.3574999999999993E-2</v>
      </c>
      <c r="FH65" s="675">
        <v>2.6298999999999999E-2</v>
      </c>
      <c r="FI65" s="675">
        <v>0</v>
      </c>
      <c r="FJ65" s="675">
        <v>0</v>
      </c>
      <c r="FK65" s="675">
        <v>209.52600000000001</v>
      </c>
      <c r="FL65" s="675">
        <v>1474764</v>
      </c>
      <c r="FM65" s="675">
        <v>0</v>
      </c>
      <c r="FN65" s="675">
        <v>0</v>
      </c>
      <c r="FO65" s="675">
        <v>0</v>
      </c>
      <c r="FP65" s="675">
        <v>0</v>
      </c>
      <c r="FQ65" s="675">
        <v>0</v>
      </c>
      <c r="FR65" s="675">
        <v>0</v>
      </c>
      <c r="FS65" s="675">
        <v>0</v>
      </c>
      <c r="FT65" s="675">
        <v>0</v>
      </c>
      <c r="FU65" s="675">
        <v>0</v>
      </c>
      <c r="FV65" s="675">
        <v>0</v>
      </c>
      <c r="FW65" s="675">
        <v>0</v>
      </c>
      <c r="FX65" s="675">
        <v>0</v>
      </c>
      <c r="FY65" s="675">
        <v>0</v>
      </c>
      <c r="FZ65" s="675">
        <v>0</v>
      </c>
      <c r="GA65" s="675">
        <v>0</v>
      </c>
      <c r="GB65" s="675">
        <v>133564</v>
      </c>
      <c r="GC65" s="675">
        <v>133564</v>
      </c>
      <c r="GD65" s="675">
        <v>15.705</v>
      </c>
      <c r="GE65" s="675">
        <v>0</v>
      </c>
      <c r="GF65" s="675">
        <v>0</v>
      </c>
      <c r="GG65" s="675">
        <v>0</v>
      </c>
      <c r="GH65" s="675">
        <v>0</v>
      </c>
      <c r="GI65" s="675">
        <v>0</v>
      </c>
      <c r="GJ65" s="675">
        <v>0</v>
      </c>
      <c r="GK65" s="675">
        <v>0</v>
      </c>
      <c r="GL65" s="675">
        <v>0</v>
      </c>
      <c r="GM65" s="675">
        <v>0</v>
      </c>
      <c r="GN65" s="675">
        <v>0</v>
      </c>
      <c r="GO65" s="675">
        <v>0</v>
      </c>
      <c r="GP65" s="675">
        <v>0</v>
      </c>
      <c r="GQ65" s="675">
        <v>0</v>
      </c>
      <c r="GR65" s="675">
        <v>0</v>
      </c>
      <c r="GS65" s="675">
        <v>0</v>
      </c>
      <c r="GT65" s="675">
        <v>0</v>
      </c>
      <c r="GU65" s="675">
        <v>0</v>
      </c>
      <c r="GV65" s="675">
        <v>0</v>
      </c>
      <c r="GW65" s="675">
        <v>0</v>
      </c>
      <c r="GX65" s="675">
        <v>0</v>
      </c>
      <c r="GY65" s="675">
        <v>0</v>
      </c>
      <c r="GZ65" s="675">
        <v>0</v>
      </c>
      <c r="HA65" s="675">
        <v>0</v>
      </c>
      <c r="HB65" s="675">
        <v>298386780</v>
      </c>
      <c r="HC65" s="675">
        <v>4.5690999999999996E-2</v>
      </c>
      <c r="HD65" s="675">
        <v>22292</v>
      </c>
      <c r="HE65" s="675">
        <v>0</v>
      </c>
      <c r="HF65" s="675">
        <v>116712</v>
      </c>
      <c r="HG65" s="675">
        <v>4491</v>
      </c>
      <c r="HH65" s="675">
        <v>0</v>
      </c>
      <c r="HI65" s="675">
        <v>0</v>
      </c>
      <c r="HJ65" s="675">
        <v>1186</v>
      </c>
      <c r="HK65" s="675">
        <v>2601</v>
      </c>
      <c r="HL65" s="675">
        <v>1220</v>
      </c>
      <c r="HM65" s="675">
        <v>0</v>
      </c>
      <c r="HN65" s="675">
        <v>0</v>
      </c>
      <c r="HO65" s="675">
        <v>0</v>
      </c>
      <c r="HP65" s="675">
        <v>0</v>
      </c>
      <c r="HQ65" s="675">
        <v>0</v>
      </c>
      <c r="HR65" s="675">
        <v>0</v>
      </c>
      <c r="HS65" s="675">
        <v>1232243</v>
      </c>
      <c r="HT65" s="675">
        <v>27155</v>
      </c>
      <c r="HU65" s="675">
        <v>0</v>
      </c>
      <c r="HV65" s="675">
        <v>0</v>
      </c>
      <c r="HW65" s="675">
        <v>0</v>
      </c>
      <c r="HX65" s="675">
        <v>25</v>
      </c>
      <c r="HY65" s="675">
        <v>16</v>
      </c>
      <c r="HZ65" s="675">
        <v>15</v>
      </c>
      <c r="IA65" s="675">
        <v>33</v>
      </c>
      <c r="IB65" s="675">
        <v>66</v>
      </c>
      <c r="IC65" s="675">
        <v>155</v>
      </c>
      <c r="ID65" s="675">
        <v>0</v>
      </c>
      <c r="IE65" s="675">
        <v>0</v>
      </c>
      <c r="IF65" s="675">
        <v>0</v>
      </c>
      <c r="IG65" s="675">
        <v>7.2910000000000004</v>
      </c>
      <c r="IH65" s="675">
        <v>0</v>
      </c>
      <c r="II65" s="675">
        <v>0</v>
      </c>
      <c r="IJ65" s="675">
        <v>2.4950000000000001</v>
      </c>
      <c r="IK65" s="675">
        <v>0</v>
      </c>
      <c r="IL65" s="675">
        <v>0</v>
      </c>
      <c r="IM65" s="675">
        <v>0</v>
      </c>
      <c r="IN65" s="675">
        <v>0</v>
      </c>
      <c r="IO65" s="675">
        <v>0</v>
      </c>
      <c r="IP65" s="675">
        <v>0</v>
      </c>
      <c r="IQ65" s="675">
        <v>2.4950000000000001</v>
      </c>
      <c r="IR65" s="675">
        <v>1537</v>
      </c>
      <c r="IS65" s="675">
        <v>0</v>
      </c>
      <c r="IT65" s="675">
        <v>0</v>
      </c>
      <c r="IU65" s="675">
        <v>0</v>
      </c>
      <c r="IV65" s="675">
        <v>0</v>
      </c>
      <c r="IW65" s="675">
        <v>6160</v>
      </c>
      <c r="IX65" s="675">
        <v>0</v>
      </c>
      <c r="IY65" s="675">
        <v>0</v>
      </c>
      <c r="IZ65" s="675">
        <v>0</v>
      </c>
      <c r="JA65" s="675">
        <v>0</v>
      </c>
      <c r="JB65" s="675">
        <v>0</v>
      </c>
      <c r="JC65" s="675">
        <v>0</v>
      </c>
      <c r="JD65" s="675">
        <v>0</v>
      </c>
      <c r="JE65" s="675">
        <v>0</v>
      </c>
      <c r="JF65" s="675">
        <v>0</v>
      </c>
      <c r="JG65" s="675">
        <v>0</v>
      </c>
      <c r="JH65" s="675">
        <v>0</v>
      </c>
      <c r="JI65" s="675">
        <v>0</v>
      </c>
      <c r="JJ65" s="675">
        <v>0</v>
      </c>
      <c r="JK65" s="675">
        <v>0</v>
      </c>
      <c r="JL65" s="675">
        <v>0</v>
      </c>
      <c r="JM65" s="675">
        <v>0</v>
      </c>
      <c r="JN65" s="675">
        <v>32469</v>
      </c>
      <c r="JO65" s="675">
        <v>10.103</v>
      </c>
      <c r="JP65" s="675">
        <v>5.0060000000000002</v>
      </c>
      <c r="JQ65" s="675">
        <v>0.59599999999999997</v>
      </c>
      <c r="JR65" s="675">
        <v>80683</v>
      </c>
      <c r="JS65" s="675">
        <v>46520</v>
      </c>
      <c r="JT65" s="675">
        <v>6361</v>
      </c>
      <c r="JU65" s="675">
        <v>0</v>
      </c>
      <c r="JV65" s="675">
        <v>0</v>
      </c>
      <c r="JW65" s="675">
        <v>0</v>
      </c>
      <c r="JX65" s="675">
        <v>0</v>
      </c>
      <c r="JY65" s="675">
        <v>0</v>
      </c>
      <c r="JZ65" s="675">
        <v>0</v>
      </c>
      <c r="KA65" s="675">
        <v>0</v>
      </c>
      <c r="KB65" s="675">
        <v>0</v>
      </c>
      <c r="KC65" s="675">
        <v>0</v>
      </c>
      <c r="KD65" s="675">
        <v>0</v>
      </c>
      <c r="KE65" s="675">
        <v>7260</v>
      </c>
      <c r="KF65" s="675">
        <v>0</v>
      </c>
      <c r="KG65" s="675">
        <v>0</v>
      </c>
      <c r="KH65" s="675">
        <v>0</v>
      </c>
      <c r="KI65" s="675">
        <v>0</v>
      </c>
    </row>
    <row r="66" spans="1:295" ht="12.5" x14ac:dyDescent="0.25">
      <c r="A66" s="675">
        <v>35795</v>
      </c>
      <c r="B66" s="675">
        <v>227803</v>
      </c>
      <c r="C66" s="675">
        <v>9</v>
      </c>
      <c r="D66" s="675">
        <v>2022</v>
      </c>
      <c r="E66" s="675">
        <v>6160</v>
      </c>
      <c r="F66" s="675">
        <v>0</v>
      </c>
      <c r="G66" s="675">
        <v>1441.44</v>
      </c>
      <c r="H66" s="675">
        <v>1330.367</v>
      </c>
      <c r="I66" s="675">
        <v>1330.367</v>
      </c>
      <c r="J66" s="675">
        <v>1441.44</v>
      </c>
      <c r="K66" s="675">
        <v>0</v>
      </c>
      <c r="L66" s="675">
        <v>6160</v>
      </c>
      <c r="M66" s="675">
        <v>0</v>
      </c>
      <c r="N66" s="675">
        <v>0</v>
      </c>
      <c r="O66" s="675">
        <v>0</v>
      </c>
      <c r="P66" s="675">
        <v>1649.039</v>
      </c>
      <c r="Q66" s="675">
        <v>0</v>
      </c>
      <c r="R66" s="675">
        <v>663619</v>
      </c>
      <c r="S66" s="675">
        <v>402.428</v>
      </c>
      <c r="T66" s="675">
        <v>0</v>
      </c>
      <c r="U66" s="675">
        <v>352898</v>
      </c>
      <c r="V66" s="675">
        <v>620.92600000000004</v>
      </c>
      <c r="W66" s="675">
        <v>468522</v>
      </c>
      <c r="X66" s="675">
        <v>468522</v>
      </c>
      <c r="Y66" s="675">
        <v>0</v>
      </c>
      <c r="Z66" s="675">
        <v>0</v>
      </c>
      <c r="AA66" s="675">
        <v>0</v>
      </c>
      <c r="AB66" s="675">
        <v>0</v>
      </c>
      <c r="AC66" s="675">
        <v>0</v>
      </c>
      <c r="AD66" s="675" t="s">
        <v>316</v>
      </c>
      <c r="AE66" s="675">
        <v>0</v>
      </c>
      <c r="AF66" s="675">
        <v>0</v>
      </c>
      <c r="AG66" s="675">
        <v>0</v>
      </c>
      <c r="AH66" s="675">
        <v>0</v>
      </c>
      <c r="AI66" s="675">
        <v>0</v>
      </c>
      <c r="AJ66" s="675">
        <v>6160</v>
      </c>
      <c r="AK66" s="675" t="s">
        <v>671</v>
      </c>
      <c r="AL66" s="675" t="s">
        <v>366</v>
      </c>
      <c r="AM66" s="675">
        <v>0</v>
      </c>
      <c r="AN66" s="675">
        <v>0</v>
      </c>
      <c r="AO66" s="675">
        <v>0</v>
      </c>
      <c r="AP66" s="675">
        <v>0</v>
      </c>
      <c r="AQ66" s="675">
        <v>0</v>
      </c>
      <c r="AR66" s="675">
        <v>0</v>
      </c>
      <c r="AS66" s="675">
        <v>0</v>
      </c>
      <c r="AT66" s="675">
        <v>0</v>
      </c>
      <c r="AU66" s="675">
        <v>0</v>
      </c>
      <c r="AV66" s="675">
        <v>-955569</v>
      </c>
      <c r="AW66" s="675">
        <v>15859478</v>
      </c>
      <c r="AX66" s="675">
        <v>15601498</v>
      </c>
      <c r="AY66" s="675">
        <v>10339334</v>
      </c>
      <c r="AZ66" s="675">
        <v>663619</v>
      </c>
      <c r="BA66" s="675">
        <v>0</v>
      </c>
      <c r="BB66" s="675">
        <v>0</v>
      </c>
      <c r="BC66" s="675">
        <v>0</v>
      </c>
      <c r="BD66" s="675">
        <v>0</v>
      </c>
      <c r="BE66" s="675">
        <v>0</v>
      </c>
      <c r="BF66" s="675">
        <v>14481990</v>
      </c>
      <c r="BG66" s="675">
        <v>0</v>
      </c>
      <c r="BH66" s="675">
        <v>0</v>
      </c>
      <c r="BI66" s="675">
        <v>0</v>
      </c>
      <c r="BJ66" s="675">
        <v>12</v>
      </c>
      <c r="BK66" s="675">
        <v>0</v>
      </c>
      <c r="BL66" s="675">
        <v>0</v>
      </c>
      <c r="BM66" s="675">
        <v>0</v>
      </c>
      <c r="BN66" s="675">
        <v>0</v>
      </c>
      <c r="BO66" s="675">
        <v>0</v>
      </c>
      <c r="BP66" s="675">
        <v>0</v>
      </c>
      <c r="BQ66" s="675">
        <v>565</v>
      </c>
      <c r="BR66" s="675">
        <v>0</v>
      </c>
      <c r="BS66" s="675">
        <v>0</v>
      </c>
      <c r="BT66" s="675">
        <v>0</v>
      </c>
      <c r="BU66" s="675">
        <v>0</v>
      </c>
      <c r="BV66" s="675">
        <v>0</v>
      </c>
      <c r="BW66" s="675">
        <v>0</v>
      </c>
      <c r="BX66" s="675">
        <v>0</v>
      </c>
      <c r="BY66" s="675">
        <v>0</v>
      </c>
      <c r="BZ66" s="675">
        <v>0</v>
      </c>
      <c r="CA66" s="675">
        <v>0</v>
      </c>
      <c r="CB66" s="675">
        <v>0</v>
      </c>
      <c r="CC66" s="675">
        <v>0</v>
      </c>
      <c r="CD66" s="675">
        <v>0</v>
      </c>
      <c r="CE66" s="675">
        <v>0</v>
      </c>
      <c r="CF66" s="675">
        <v>0</v>
      </c>
      <c r="CG66" s="675">
        <v>0</v>
      </c>
      <c r="CH66" s="675">
        <v>263441</v>
      </c>
      <c r="CI66" s="675">
        <v>0</v>
      </c>
      <c r="CJ66" s="675">
        <v>4</v>
      </c>
      <c r="CK66" s="675">
        <v>0</v>
      </c>
      <c r="CL66" s="675">
        <v>0</v>
      </c>
      <c r="CM66" s="675">
        <v>0</v>
      </c>
      <c r="CN66" s="675">
        <v>0</v>
      </c>
      <c r="CO66" s="675">
        <v>1</v>
      </c>
      <c r="CP66" s="675">
        <v>0</v>
      </c>
      <c r="CQ66" s="675">
        <v>0</v>
      </c>
      <c r="CR66" s="675">
        <v>1691.566</v>
      </c>
      <c r="CS66" s="675">
        <v>0</v>
      </c>
      <c r="CT66" s="675">
        <v>0</v>
      </c>
      <c r="CU66" s="675">
        <v>0</v>
      </c>
      <c r="CV66" s="675">
        <v>0</v>
      </c>
      <c r="CW66" s="675">
        <v>0</v>
      </c>
      <c r="CX66" s="675">
        <v>0</v>
      </c>
      <c r="CY66" s="675">
        <v>0</v>
      </c>
      <c r="CZ66" s="675">
        <v>0</v>
      </c>
      <c r="DA66" s="675">
        <v>0</v>
      </c>
      <c r="DB66" s="675">
        <v>8195023</v>
      </c>
      <c r="DC66" s="675">
        <v>0</v>
      </c>
      <c r="DD66" s="675">
        <v>0</v>
      </c>
      <c r="DE66" s="675">
        <v>2011847</v>
      </c>
      <c r="DF66" s="675">
        <v>2011847</v>
      </c>
      <c r="DG66" s="675">
        <v>326.60000000000002</v>
      </c>
      <c r="DH66" s="675">
        <v>0</v>
      </c>
      <c r="DI66" s="675">
        <v>0</v>
      </c>
      <c r="DJ66" s="675">
        <v>0</v>
      </c>
      <c r="DK66" s="675">
        <v>664</v>
      </c>
      <c r="DL66" s="675">
        <v>0</v>
      </c>
      <c r="DM66" s="675">
        <v>1433751</v>
      </c>
      <c r="DN66" s="675">
        <v>5461</v>
      </c>
      <c r="DO66" s="675">
        <v>0</v>
      </c>
      <c r="DP66" s="675">
        <v>0</v>
      </c>
      <c r="DQ66" s="675">
        <v>0</v>
      </c>
      <c r="DR66" s="675">
        <v>0</v>
      </c>
      <c r="DS66" s="675">
        <v>0</v>
      </c>
      <c r="DT66" s="675">
        <v>0</v>
      </c>
      <c r="DU66" s="675">
        <v>0</v>
      </c>
      <c r="DV66" s="675">
        <v>0</v>
      </c>
      <c r="DW66" s="675">
        <v>0</v>
      </c>
      <c r="DX66" s="675">
        <v>0</v>
      </c>
      <c r="DY66" s="675">
        <v>0</v>
      </c>
      <c r="DZ66" s="675">
        <v>0</v>
      </c>
      <c r="EA66" s="675">
        <v>0</v>
      </c>
      <c r="EB66" s="675">
        <v>0</v>
      </c>
      <c r="EC66" s="675">
        <v>52.63</v>
      </c>
      <c r="ED66" s="675">
        <v>372829</v>
      </c>
      <c r="EE66" s="675">
        <v>0</v>
      </c>
      <c r="EF66" s="675">
        <v>0</v>
      </c>
      <c r="EG66" s="675">
        <v>0</v>
      </c>
      <c r="EH66" s="675">
        <v>1066383</v>
      </c>
      <c r="EI66" s="675">
        <v>0</v>
      </c>
      <c r="EJ66" s="675">
        <v>0</v>
      </c>
      <c r="EK66" s="675">
        <v>48.910000000000004</v>
      </c>
      <c r="EL66" s="675">
        <v>0</v>
      </c>
      <c r="EM66" s="675">
        <v>4.7149999999999999</v>
      </c>
      <c r="EN66" s="675">
        <v>2.448</v>
      </c>
      <c r="EO66" s="675">
        <v>0</v>
      </c>
      <c r="EP66" s="675">
        <v>0</v>
      </c>
      <c r="EQ66" s="675">
        <v>56.073</v>
      </c>
      <c r="ER66" s="675">
        <v>0</v>
      </c>
      <c r="ES66" s="675">
        <v>173.11500000000001</v>
      </c>
      <c r="ET66" s="675">
        <v>0</v>
      </c>
      <c r="EU66" s="675">
        <v>0</v>
      </c>
      <c r="EV66" s="675">
        <v>0</v>
      </c>
      <c r="EW66" s="675">
        <v>0</v>
      </c>
      <c r="EX66" s="675">
        <v>0</v>
      </c>
      <c r="EY66" s="675">
        <v>0</v>
      </c>
      <c r="EZ66" s="675">
        <v>13823692</v>
      </c>
      <c r="FA66" s="675">
        <v>0</v>
      </c>
      <c r="FB66" s="675">
        <v>14481850</v>
      </c>
      <c r="FC66" s="675">
        <v>0</v>
      </c>
      <c r="FD66" s="675">
        <v>0</v>
      </c>
      <c r="FE66" s="675">
        <v>1473115</v>
      </c>
      <c r="FF66" s="675">
        <v>304691</v>
      </c>
      <c r="FG66" s="675">
        <v>6.3574999999999993E-2</v>
      </c>
      <c r="FH66" s="675">
        <v>2.6298999999999999E-2</v>
      </c>
      <c r="FI66" s="675">
        <v>0</v>
      </c>
      <c r="FJ66" s="675">
        <v>0</v>
      </c>
      <c r="FK66" s="675">
        <v>2350.9830000000002</v>
      </c>
      <c r="FL66" s="675">
        <v>16523097</v>
      </c>
      <c r="FM66" s="675">
        <v>0</v>
      </c>
      <c r="FN66" s="675">
        <v>0</v>
      </c>
      <c r="FO66" s="675">
        <v>0</v>
      </c>
      <c r="FP66" s="675">
        <v>0</v>
      </c>
      <c r="FQ66" s="675">
        <v>0</v>
      </c>
      <c r="FR66" s="675">
        <v>0</v>
      </c>
      <c r="FS66" s="675">
        <v>0</v>
      </c>
      <c r="FT66" s="675">
        <v>0</v>
      </c>
      <c r="FU66" s="675">
        <v>0</v>
      </c>
      <c r="FV66" s="675">
        <v>0</v>
      </c>
      <c r="FW66" s="675">
        <v>0</v>
      </c>
      <c r="FX66" s="675">
        <v>0</v>
      </c>
      <c r="FY66" s="675">
        <v>0</v>
      </c>
      <c r="FZ66" s="675">
        <v>0</v>
      </c>
      <c r="GA66" s="675">
        <v>0</v>
      </c>
      <c r="GB66" s="675">
        <v>526041</v>
      </c>
      <c r="GC66" s="675">
        <v>526041</v>
      </c>
      <c r="GD66" s="675">
        <v>55</v>
      </c>
      <c r="GE66" s="675">
        <v>0</v>
      </c>
      <c r="GF66" s="675">
        <v>0</v>
      </c>
      <c r="GG66" s="675">
        <v>0</v>
      </c>
      <c r="GH66" s="675">
        <v>0</v>
      </c>
      <c r="GI66" s="675">
        <v>0</v>
      </c>
      <c r="GJ66" s="675">
        <v>0</v>
      </c>
      <c r="GK66" s="675">
        <v>0</v>
      </c>
      <c r="GL66" s="675">
        <v>0</v>
      </c>
      <c r="GM66" s="675">
        <v>0</v>
      </c>
      <c r="GN66" s="675">
        <v>0</v>
      </c>
      <c r="GO66" s="675">
        <v>0</v>
      </c>
      <c r="GP66" s="675">
        <v>0</v>
      </c>
      <c r="GQ66" s="675">
        <v>0</v>
      </c>
      <c r="GR66" s="675">
        <v>0</v>
      </c>
      <c r="GS66" s="675">
        <v>0</v>
      </c>
      <c r="GT66" s="675">
        <v>0</v>
      </c>
      <c r="GU66" s="675">
        <v>0</v>
      </c>
      <c r="GV66" s="675">
        <v>0</v>
      </c>
      <c r="GW66" s="675">
        <v>0</v>
      </c>
      <c r="GX66" s="675">
        <v>0</v>
      </c>
      <c r="GY66" s="675">
        <v>0</v>
      </c>
      <c r="GZ66" s="675">
        <v>0</v>
      </c>
      <c r="HA66" s="675">
        <v>0</v>
      </c>
      <c r="HB66" s="675">
        <v>298386780</v>
      </c>
      <c r="HC66" s="675">
        <v>4.5690999999999996E-2</v>
      </c>
      <c r="HD66" s="675">
        <v>263441</v>
      </c>
      <c r="HE66" s="675">
        <v>0</v>
      </c>
      <c r="HF66" s="675">
        <v>1463404</v>
      </c>
      <c r="HG66" s="675">
        <v>43120</v>
      </c>
      <c r="HH66" s="675">
        <v>295810</v>
      </c>
      <c r="HI66" s="675">
        <v>0</v>
      </c>
      <c r="HJ66" s="675">
        <v>14011</v>
      </c>
      <c r="HK66" s="675">
        <v>3555</v>
      </c>
      <c r="HL66" s="675">
        <v>1766</v>
      </c>
      <c r="HM66" s="675">
        <v>25000</v>
      </c>
      <c r="HN66" s="675">
        <v>0</v>
      </c>
      <c r="HO66" s="675">
        <v>0</v>
      </c>
      <c r="HP66" s="675">
        <v>0</v>
      </c>
      <c r="HQ66" s="675">
        <v>0</v>
      </c>
      <c r="HR66" s="675">
        <v>0</v>
      </c>
      <c r="HS66" s="675">
        <v>13818231</v>
      </c>
      <c r="HT66" s="675">
        <v>304691</v>
      </c>
      <c r="HU66" s="675">
        <v>0</v>
      </c>
      <c r="HV66" s="675">
        <v>0</v>
      </c>
      <c r="HW66" s="675">
        <v>0</v>
      </c>
      <c r="HX66" s="675">
        <v>190</v>
      </c>
      <c r="HY66" s="675">
        <v>247</v>
      </c>
      <c r="HZ66" s="675">
        <v>360</v>
      </c>
      <c r="IA66" s="675">
        <v>273</v>
      </c>
      <c r="IB66" s="675">
        <v>231</v>
      </c>
      <c r="IC66" s="675">
        <v>1301</v>
      </c>
      <c r="ID66" s="675">
        <v>0</v>
      </c>
      <c r="IE66" s="675">
        <v>93.11</v>
      </c>
      <c r="IF66" s="675">
        <v>0</v>
      </c>
      <c r="IG66" s="675">
        <v>70</v>
      </c>
      <c r="IH66" s="675">
        <v>480.21300000000002</v>
      </c>
      <c r="II66" s="675">
        <v>0</v>
      </c>
      <c r="IJ66" s="675">
        <v>714.03600000000006</v>
      </c>
      <c r="IK66" s="675">
        <v>0</v>
      </c>
      <c r="IL66" s="675">
        <v>4</v>
      </c>
      <c r="IM66" s="675">
        <v>1</v>
      </c>
      <c r="IN66" s="675">
        <v>1</v>
      </c>
      <c r="IO66" s="675">
        <v>6</v>
      </c>
      <c r="IP66" s="675">
        <v>0</v>
      </c>
      <c r="IQ66" s="675">
        <v>620.92600000000004</v>
      </c>
      <c r="IR66" s="675">
        <v>382489</v>
      </c>
      <c r="IS66" s="675">
        <v>0</v>
      </c>
      <c r="IT66" s="675">
        <v>20000</v>
      </c>
      <c r="IU66" s="675">
        <v>3000</v>
      </c>
      <c r="IV66" s="675">
        <v>2000</v>
      </c>
      <c r="IW66" s="675">
        <v>6160</v>
      </c>
      <c r="IX66" s="675">
        <v>86033</v>
      </c>
      <c r="IY66" s="675">
        <v>0</v>
      </c>
      <c r="IZ66" s="675">
        <v>0</v>
      </c>
      <c r="JA66" s="675">
        <v>0</v>
      </c>
      <c r="JB66" s="675">
        <v>0</v>
      </c>
      <c r="JC66" s="675">
        <v>0</v>
      </c>
      <c r="JD66" s="675">
        <v>0</v>
      </c>
      <c r="JE66" s="675">
        <v>0</v>
      </c>
      <c r="JF66" s="675">
        <v>0</v>
      </c>
      <c r="JG66" s="675">
        <v>0</v>
      </c>
      <c r="JH66" s="675">
        <v>0</v>
      </c>
      <c r="JI66" s="675">
        <v>0</v>
      </c>
      <c r="JJ66" s="675">
        <v>0</v>
      </c>
      <c r="JK66" s="675">
        <v>0</v>
      </c>
      <c r="JL66" s="675">
        <v>0</v>
      </c>
      <c r="JM66" s="675">
        <v>0</v>
      </c>
      <c r="JN66" s="675">
        <v>32469</v>
      </c>
      <c r="JO66" s="675">
        <v>0</v>
      </c>
      <c r="JP66" s="675">
        <v>44.172000000000004</v>
      </c>
      <c r="JQ66" s="675">
        <v>10.828000000000001</v>
      </c>
      <c r="JR66" s="675">
        <v>0</v>
      </c>
      <c r="JS66" s="675">
        <v>410482</v>
      </c>
      <c r="JT66" s="675">
        <v>115559</v>
      </c>
      <c r="JU66" s="675">
        <v>0</v>
      </c>
      <c r="JV66" s="675">
        <v>0</v>
      </c>
      <c r="JW66" s="675">
        <v>0</v>
      </c>
      <c r="JX66" s="675">
        <v>0</v>
      </c>
      <c r="JY66" s="675">
        <v>0</v>
      </c>
      <c r="JZ66" s="675">
        <v>0</v>
      </c>
      <c r="KA66" s="675">
        <v>0</v>
      </c>
      <c r="KB66" s="675">
        <v>0</v>
      </c>
      <c r="KC66" s="675">
        <v>0</v>
      </c>
      <c r="KD66" s="675">
        <v>0</v>
      </c>
      <c r="KE66" s="675">
        <v>7260</v>
      </c>
      <c r="KF66" s="675">
        <v>0</v>
      </c>
      <c r="KG66" s="675">
        <v>0</v>
      </c>
      <c r="KH66" s="675">
        <v>0</v>
      </c>
      <c r="KI66" s="675">
        <v>0</v>
      </c>
    </row>
    <row r="67" spans="1:295" ht="12.5" x14ac:dyDescent="0.25">
      <c r="A67" s="675">
        <v>35795</v>
      </c>
      <c r="B67" s="675">
        <v>14804</v>
      </c>
      <c r="C67" s="675">
        <v>9</v>
      </c>
      <c r="D67" s="675">
        <v>2022</v>
      </c>
      <c r="E67" s="675">
        <v>6160</v>
      </c>
      <c r="F67" s="675">
        <v>0</v>
      </c>
      <c r="G67" s="675">
        <v>1768.8030000000001</v>
      </c>
      <c r="H67" s="675">
        <v>1605</v>
      </c>
      <c r="I67" s="675">
        <v>1605</v>
      </c>
      <c r="J67" s="675">
        <v>1768.8030000000001</v>
      </c>
      <c r="K67" s="675">
        <v>0</v>
      </c>
      <c r="L67" s="675">
        <v>6160</v>
      </c>
      <c r="M67" s="675">
        <v>0</v>
      </c>
      <c r="N67" s="675">
        <v>0</v>
      </c>
      <c r="O67" s="675">
        <v>0</v>
      </c>
      <c r="P67" s="675">
        <v>1755.8700000000001</v>
      </c>
      <c r="Q67" s="675">
        <v>0</v>
      </c>
      <c r="R67" s="675">
        <v>706611</v>
      </c>
      <c r="S67" s="675">
        <v>402.428</v>
      </c>
      <c r="T67" s="675">
        <v>0</v>
      </c>
      <c r="U67" s="675">
        <v>375759</v>
      </c>
      <c r="V67" s="675">
        <v>36.417000000000002</v>
      </c>
      <c r="W67" s="675">
        <v>22433</v>
      </c>
      <c r="X67" s="675">
        <v>22433</v>
      </c>
      <c r="Y67" s="675">
        <v>0</v>
      </c>
      <c r="Z67" s="675">
        <v>0</v>
      </c>
      <c r="AA67" s="675">
        <v>0</v>
      </c>
      <c r="AB67" s="675">
        <v>0</v>
      </c>
      <c r="AC67" s="675">
        <v>0</v>
      </c>
      <c r="AD67" s="675" t="s">
        <v>316</v>
      </c>
      <c r="AE67" s="675">
        <v>0</v>
      </c>
      <c r="AF67" s="675">
        <v>0</v>
      </c>
      <c r="AG67" s="675">
        <v>0</v>
      </c>
      <c r="AH67" s="675">
        <v>0</v>
      </c>
      <c r="AI67" s="675">
        <v>0</v>
      </c>
      <c r="AJ67" s="675">
        <v>6160</v>
      </c>
      <c r="AK67" s="675" t="s">
        <v>671</v>
      </c>
      <c r="AL67" s="675" t="s">
        <v>1</v>
      </c>
      <c r="AM67" s="675">
        <v>0</v>
      </c>
      <c r="AN67" s="675">
        <v>0</v>
      </c>
      <c r="AO67" s="675">
        <v>0</v>
      </c>
      <c r="AP67" s="675">
        <v>0</v>
      </c>
      <c r="AQ67" s="675">
        <v>0</v>
      </c>
      <c r="AR67" s="675">
        <v>0</v>
      </c>
      <c r="AS67" s="675">
        <v>0</v>
      </c>
      <c r="AT67" s="675">
        <v>0</v>
      </c>
      <c r="AU67" s="675">
        <v>0</v>
      </c>
      <c r="AV67" s="675">
        <v>-30854</v>
      </c>
      <c r="AW67" s="675">
        <v>16551062</v>
      </c>
      <c r="AX67" s="675">
        <v>16235587</v>
      </c>
      <c r="AY67" s="675">
        <v>11099675</v>
      </c>
      <c r="AZ67" s="675">
        <v>706611</v>
      </c>
      <c r="BA67" s="675">
        <v>0</v>
      </c>
      <c r="BB67" s="675">
        <v>0</v>
      </c>
      <c r="BC67" s="675">
        <v>0</v>
      </c>
      <c r="BD67" s="675">
        <v>0</v>
      </c>
      <c r="BE67" s="675">
        <v>0</v>
      </c>
      <c r="BF67" s="675">
        <v>15069738</v>
      </c>
      <c r="BG67" s="675">
        <v>0</v>
      </c>
      <c r="BH67" s="675">
        <v>0</v>
      </c>
      <c r="BI67" s="675">
        <v>0</v>
      </c>
      <c r="BJ67" s="675">
        <v>12</v>
      </c>
      <c r="BK67" s="675">
        <v>0</v>
      </c>
      <c r="BL67" s="675">
        <v>0</v>
      </c>
      <c r="BM67" s="675">
        <v>0</v>
      </c>
      <c r="BN67" s="675">
        <v>0</v>
      </c>
      <c r="BO67" s="675">
        <v>0</v>
      </c>
      <c r="BP67" s="675">
        <v>0</v>
      </c>
      <c r="BQ67" s="675">
        <v>523</v>
      </c>
      <c r="BR67" s="675">
        <v>0</v>
      </c>
      <c r="BS67" s="675">
        <v>0</v>
      </c>
      <c r="BT67" s="675">
        <v>0</v>
      </c>
      <c r="BU67" s="675">
        <v>0</v>
      </c>
      <c r="BV67" s="675">
        <v>0</v>
      </c>
      <c r="BW67" s="675">
        <v>0</v>
      </c>
      <c r="BX67" s="675">
        <v>0</v>
      </c>
      <c r="BY67" s="675">
        <v>0</v>
      </c>
      <c r="BZ67" s="675">
        <v>0</v>
      </c>
      <c r="CA67" s="675">
        <v>0</v>
      </c>
      <c r="CB67" s="675">
        <v>0</v>
      </c>
      <c r="CC67" s="675">
        <v>0</v>
      </c>
      <c r="CD67" s="675">
        <v>0</v>
      </c>
      <c r="CE67" s="675">
        <v>0</v>
      </c>
      <c r="CF67" s="675">
        <v>0</v>
      </c>
      <c r="CG67" s="675">
        <v>0</v>
      </c>
      <c r="CH67" s="675">
        <v>323271</v>
      </c>
      <c r="CI67" s="675">
        <v>0</v>
      </c>
      <c r="CJ67" s="675">
        <v>4</v>
      </c>
      <c r="CK67" s="675">
        <v>0</v>
      </c>
      <c r="CL67" s="675">
        <v>0</v>
      </c>
      <c r="CM67" s="675">
        <v>0</v>
      </c>
      <c r="CN67" s="675">
        <v>0</v>
      </c>
      <c r="CO67" s="675">
        <v>1</v>
      </c>
      <c r="CP67" s="675">
        <v>0</v>
      </c>
      <c r="CQ67" s="675">
        <v>0</v>
      </c>
      <c r="CR67" s="675">
        <v>1794.7070000000001</v>
      </c>
      <c r="CS67" s="675">
        <v>0</v>
      </c>
      <c r="CT67" s="675">
        <v>0</v>
      </c>
      <c r="CU67" s="675">
        <v>0</v>
      </c>
      <c r="CV67" s="675">
        <v>0</v>
      </c>
      <c r="CW67" s="675">
        <v>0</v>
      </c>
      <c r="CX67" s="675">
        <v>0</v>
      </c>
      <c r="CY67" s="675">
        <v>0</v>
      </c>
      <c r="CZ67" s="675">
        <v>0</v>
      </c>
      <c r="DA67" s="675">
        <v>0</v>
      </c>
      <c r="DB67" s="675">
        <v>9882630</v>
      </c>
      <c r="DC67" s="675">
        <v>0</v>
      </c>
      <c r="DD67" s="675">
        <v>0</v>
      </c>
      <c r="DE67" s="675">
        <v>330713</v>
      </c>
      <c r="DF67" s="675">
        <v>330713</v>
      </c>
      <c r="DG67" s="675">
        <v>53.688000000000002</v>
      </c>
      <c r="DH67" s="675">
        <v>0</v>
      </c>
      <c r="DI67" s="675">
        <v>0</v>
      </c>
      <c r="DJ67" s="675">
        <v>0</v>
      </c>
      <c r="DK67" s="675">
        <v>0</v>
      </c>
      <c r="DL67" s="675">
        <v>0</v>
      </c>
      <c r="DM67" s="675">
        <v>2051040</v>
      </c>
      <c r="DN67" s="675">
        <v>7797</v>
      </c>
      <c r="DO67" s="675">
        <v>0</v>
      </c>
      <c r="DP67" s="675">
        <v>0</v>
      </c>
      <c r="DQ67" s="675">
        <v>0</v>
      </c>
      <c r="DR67" s="675">
        <v>0</v>
      </c>
      <c r="DS67" s="675">
        <v>0</v>
      </c>
      <c r="DT67" s="675">
        <v>0</v>
      </c>
      <c r="DU67" s="675">
        <v>0</v>
      </c>
      <c r="DV67" s="675">
        <v>0</v>
      </c>
      <c r="DW67" s="675">
        <v>0</v>
      </c>
      <c r="DX67" s="675">
        <v>0</v>
      </c>
      <c r="DY67" s="675">
        <v>0</v>
      </c>
      <c r="DZ67" s="675">
        <v>0</v>
      </c>
      <c r="EA67" s="675">
        <v>0</v>
      </c>
      <c r="EB67" s="675">
        <v>0</v>
      </c>
      <c r="EC67" s="675">
        <v>36.067</v>
      </c>
      <c r="ED67" s="675">
        <v>255497</v>
      </c>
      <c r="EE67" s="675">
        <v>0</v>
      </c>
      <c r="EF67" s="675">
        <v>0</v>
      </c>
      <c r="EG67" s="675">
        <v>0</v>
      </c>
      <c r="EH67" s="675">
        <v>912550</v>
      </c>
      <c r="EI67" s="675">
        <v>886666</v>
      </c>
      <c r="EJ67" s="675">
        <v>35.984999999999999</v>
      </c>
      <c r="EK67" s="675">
        <v>42.196000000000005</v>
      </c>
      <c r="EL67" s="675">
        <v>0</v>
      </c>
      <c r="EM67" s="675">
        <v>1.4730000000000001</v>
      </c>
      <c r="EN67" s="675">
        <v>3.427</v>
      </c>
      <c r="EO67" s="675">
        <v>0</v>
      </c>
      <c r="EP67" s="675">
        <v>0</v>
      </c>
      <c r="EQ67" s="675">
        <v>83.081000000000003</v>
      </c>
      <c r="ER67" s="675">
        <v>0</v>
      </c>
      <c r="ES67" s="675">
        <v>148.142</v>
      </c>
      <c r="ET67" s="675">
        <v>0</v>
      </c>
      <c r="EU67" s="675">
        <v>0</v>
      </c>
      <c r="EV67" s="675">
        <v>0</v>
      </c>
      <c r="EW67" s="675">
        <v>0</v>
      </c>
      <c r="EX67" s="675">
        <v>0</v>
      </c>
      <c r="EY67" s="675">
        <v>0</v>
      </c>
      <c r="EZ67" s="675">
        <v>14385629</v>
      </c>
      <c r="FA67" s="675">
        <v>0</v>
      </c>
      <c r="FB67" s="675">
        <v>15084444</v>
      </c>
      <c r="FC67" s="675">
        <v>0</v>
      </c>
      <c r="FD67" s="675">
        <v>0</v>
      </c>
      <c r="FE67" s="675">
        <v>1532901</v>
      </c>
      <c r="FF67" s="675">
        <v>317057</v>
      </c>
      <c r="FG67" s="675">
        <v>6.3574999999999993E-2</v>
      </c>
      <c r="FH67" s="675">
        <v>2.6298999999999999E-2</v>
      </c>
      <c r="FI67" s="675">
        <v>0</v>
      </c>
      <c r="FJ67" s="675">
        <v>0</v>
      </c>
      <c r="FK67" s="675">
        <v>2446.3969999999999</v>
      </c>
      <c r="FL67" s="675">
        <v>17257673</v>
      </c>
      <c r="FM67" s="675">
        <v>0</v>
      </c>
      <c r="FN67" s="675">
        <v>0</v>
      </c>
      <c r="FO67" s="675">
        <v>0</v>
      </c>
      <c r="FP67" s="675">
        <v>0</v>
      </c>
      <c r="FQ67" s="675">
        <v>0</v>
      </c>
      <c r="FR67" s="675">
        <v>0</v>
      </c>
      <c r="FS67" s="675">
        <v>0</v>
      </c>
      <c r="FT67" s="675">
        <v>0</v>
      </c>
      <c r="FU67" s="675">
        <v>0</v>
      </c>
      <c r="FV67" s="675">
        <v>0</v>
      </c>
      <c r="FW67" s="675">
        <v>0</v>
      </c>
      <c r="FX67" s="675">
        <v>0</v>
      </c>
      <c r="FY67" s="675">
        <v>0</v>
      </c>
      <c r="FZ67" s="675">
        <v>0</v>
      </c>
      <c r="GA67" s="675">
        <v>0</v>
      </c>
      <c r="GB67" s="675">
        <v>778563</v>
      </c>
      <c r="GC67" s="675">
        <v>778563</v>
      </c>
      <c r="GD67" s="675">
        <v>80.722000000000008</v>
      </c>
      <c r="GE67" s="675">
        <v>0</v>
      </c>
      <c r="GF67" s="675">
        <v>0</v>
      </c>
      <c r="GG67" s="675">
        <v>0</v>
      </c>
      <c r="GH67" s="675">
        <v>0</v>
      </c>
      <c r="GI67" s="675">
        <v>0</v>
      </c>
      <c r="GJ67" s="675">
        <v>0</v>
      </c>
      <c r="GK67" s="675">
        <v>0</v>
      </c>
      <c r="GL67" s="675">
        <v>0</v>
      </c>
      <c r="GM67" s="675">
        <v>0</v>
      </c>
      <c r="GN67" s="675">
        <v>0</v>
      </c>
      <c r="GO67" s="675">
        <v>0</v>
      </c>
      <c r="GP67" s="675">
        <v>0</v>
      </c>
      <c r="GQ67" s="675">
        <v>0</v>
      </c>
      <c r="GR67" s="675">
        <v>0</v>
      </c>
      <c r="GS67" s="675">
        <v>0</v>
      </c>
      <c r="GT67" s="675">
        <v>0</v>
      </c>
      <c r="GU67" s="675">
        <v>0</v>
      </c>
      <c r="GV67" s="675">
        <v>0</v>
      </c>
      <c r="GW67" s="675">
        <v>0</v>
      </c>
      <c r="GX67" s="675">
        <v>0</v>
      </c>
      <c r="GY67" s="675">
        <v>0</v>
      </c>
      <c r="GZ67" s="675">
        <v>0</v>
      </c>
      <c r="HA67" s="675">
        <v>0</v>
      </c>
      <c r="HB67" s="675">
        <v>298386780</v>
      </c>
      <c r="HC67" s="675">
        <v>4.5690999999999996E-2</v>
      </c>
      <c r="HD67" s="675">
        <v>323271</v>
      </c>
      <c r="HE67" s="675">
        <v>0</v>
      </c>
      <c r="HF67" s="675">
        <v>1765500</v>
      </c>
      <c r="HG67" s="675">
        <v>72688</v>
      </c>
      <c r="HH67" s="675">
        <v>53181</v>
      </c>
      <c r="HI67" s="675">
        <v>0</v>
      </c>
      <c r="HJ67" s="675">
        <v>17193</v>
      </c>
      <c r="HK67" s="675">
        <v>6399</v>
      </c>
      <c r="HL67" s="675">
        <v>332</v>
      </c>
      <c r="HM67" s="675">
        <v>88000</v>
      </c>
      <c r="HN67" s="675">
        <v>0</v>
      </c>
      <c r="HO67" s="675">
        <v>0</v>
      </c>
      <c r="HP67" s="675">
        <v>0</v>
      </c>
      <c r="HQ67" s="675">
        <v>0</v>
      </c>
      <c r="HR67" s="675">
        <v>0</v>
      </c>
      <c r="HS67" s="675">
        <v>14377833</v>
      </c>
      <c r="HT67" s="675">
        <v>317057</v>
      </c>
      <c r="HU67" s="675">
        <v>0</v>
      </c>
      <c r="HV67" s="675">
        <v>0</v>
      </c>
      <c r="HW67" s="675">
        <v>0</v>
      </c>
      <c r="HX67" s="675">
        <v>61</v>
      </c>
      <c r="HY67" s="675">
        <v>57</v>
      </c>
      <c r="HZ67" s="675">
        <v>31</v>
      </c>
      <c r="IA67" s="675">
        <v>2</v>
      </c>
      <c r="IB67" s="675">
        <v>66</v>
      </c>
      <c r="IC67" s="675">
        <v>217</v>
      </c>
      <c r="ID67" s="675">
        <v>0</v>
      </c>
      <c r="IE67" s="675">
        <v>0</v>
      </c>
      <c r="IF67" s="675">
        <v>0</v>
      </c>
      <c r="IG67" s="675">
        <v>118</v>
      </c>
      <c r="IH67" s="675">
        <v>86.332999999999998</v>
      </c>
      <c r="II67" s="675">
        <v>0</v>
      </c>
      <c r="IJ67" s="675">
        <v>36.417000000000002</v>
      </c>
      <c r="IK67" s="675">
        <v>57.35</v>
      </c>
      <c r="IL67" s="675">
        <v>4</v>
      </c>
      <c r="IM67" s="675">
        <v>22</v>
      </c>
      <c r="IN67" s="675">
        <v>1</v>
      </c>
      <c r="IO67" s="675">
        <v>27</v>
      </c>
      <c r="IP67" s="675">
        <v>57.35</v>
      </c>
      <c r="IQ67" s="675">
        <v>36.417000000000002</v>
      </c>
      <c r="IR67" s="675">
        <v>22433</v>
      </c>
      <c r="IS67" s="675">
        <v>15771</v>
      </c>
      <c r="IT67" s="675">
        <v>20000</v>
      </c>
      <c r="IU67" s="675">
        <v>66000</v>
      </c>
      <c r="IV67" s="675">
        <v>2000</v>
      </c>
      <c r="IW67" s="675">
        <v>6160</v>
      </c>
      <c r="IX67" s="675">
        <v>0</v>
      </c>
      <c r="IY67" s="675">
        <v>0</v>
      </c>
      <c r="IZ67" s="675">
        <v>15771</v>
      </c>
      <c r="JA67" s="675">
        <v>0</v>
      </c>
      <c r="JB67" s="675">
        <v>0</v>
      </c>
      <c r="JC67" s="675">
        <v>0</v>
      </c>
      <c r="JD67" s="675">
        <v>0</v>
      </c>
      <c r="JE67" s="675">
        <v>0</v>
      </c>
      <c r="JF67" s="675">
        <v>0</v>
      </c>
      <c r="JG67" s="675">
        <v>0</v>
      </c>
      <c r="JH67" s="675">
        <v>0</v>
      </c>
      <c r="JI67" s="675">
        <v>0</v>
      </c>
      <c r="JJ67" s="675">
        <v>0</v>
      </c>
      <c r="JK67" s="675">
        <v>0</v>
      </c>
      <c r="JL67" s="675">
        <v>0</v>
      </c>
      <c r="JM67" s="675">
        <v>0</v>
      </c>
      <c r="JN67" s="675">
        <v>32469</v>
      </c>
      <c r="JO67" s="675">
        <v>0</v>
      </c>
      <c r="JP67" s="675">
        <v>60.112000000000002</v>
      </c>
      <c r="JQ67" s="675">
        <v>20.61</v>
      </c>
      <c r="JR67" s="675">
        <v>0</v>
      </c>
      <c r="JS67" s="675">
        <v>558609</v>
      </c>
      <c r="JT67" s="675">
        <v>219954</v>
      </c>
      <c r="JU67" s="675">
        <v>0</v>
      </c>
      <c r="JV67" s="675">
        <v>0</v>
      </c>
      <c r="JW67" s="675">
        <v>0</v>
      </c>
      <c r="JX67" s="675">
        <v>0</v>
      </c>
      <c r="JY67" s="675">
        <v>0</v>
      </c>
      <c r="JZ67" s="675">
        <v>0</v>
      </c>
      <c r="KA67" s="675">
        <v>0</v>
      </c>
      <c r="KB67" s="675">
        <v>0</v>
      </c>
      <c r="KC67" s="675">
        <v>0</v>
      </c>
      <c r="KD67" s="675">
        <v>0</v>
      </c>
      <c r="KE67" s="675">
        <v>7260</v>
      </c>
      <c r="KF67" s="675">
        <v>0</v>
      </c>
      <c r="KG67" s="675">
        <v>0</v>
      </c>
      <c r="KH67" s="675">
        <v>0</v>
      </c>
      <c r="KI67" s="675">
        <v>0</v>
      </c>
    </row>
    <row r="68" spans="1:295" ht="12.5" x14ac:dyDescent="0.25">
      <c r="A68" s="675">
        <v>35795</v>
      </c>
      <c r="B68" s="675">
        <v>57804</v>
      </c>
      <c r="C68" s="675">
        <v>9</v>
      </c>
      <c r="D68" s="675">
        <v>2022</v>
      </c>
      <c r="E68" s="675">
        <v>6160</v>
      </c>
      <c r="F68" s="675">
        <v>0</v>
      </c>
      <c r="G68" s="675">
        <v>3415.71</v>
      </c>
      <c r="H68" s="675">
        <v>3195.5440000000003</v>
      </c>
      <c r="I68" s="675">
        <v>3195.5440000000003</v>
      </c>
      <c r="J68" s="675">
        <v>3415.71</v>
      </c>
      <c r="K68" s="675">
        <v>0</v>
      </c>
      <c r="L68" s="675">
        <v>6160</v>
      </c>
      <c r="M68" s="675">
        <v>0</v>
      </c>
      <c r="N68" s="675">
        <v>0</v>
      </c>
      <c r="O68" s="675">
        <v>0</v>
      </c>
      <c r="P68" s="675">
        <v>3971.5440000000003</v>
      </c>
      <c r="Q68" s="675">
        <v>0</v>
      </c>
      <c r="R68" s="675">
        <v>1598261</v>
      </c>
      <c r="S68" s="675">
        <v>402.428</v>
      </c>
      <c r="T68" s="675">
        <v>0</v>
      </c>
      <c r="U68" s="675">
        <v>849915</v>
      </c>
      <c r="V68" s="675">
        <v>1966.3220000000001</v>
      </c>
      <c r="W68" s="675">
        <v>1211249</v>
      </c>
      <c r="X68" s="675">
        <v>1211249</v>
      </c>
      <c r="Y68" s="675">
        <v>0</v>
      </c>
      <c r="Z68" s="675">
        <v>0</v>
      </c>
      <c r="AA68" s="675">
        <v>0</v>
      </c>
      <c r="AB68" s="675">
        <v>0</v>
      </c>
      <c r="AC68" s="675">
        <v>0</v>
      </c>
      <c r="AD68" s="675" t="s">
        <v>316</v>
      </c>
      <c r="AE68" s="675">
        <v>0</v>
      </c>
      <c r="AF68" s="675">
        <v>0</v>
      </c>
      <c r="AG68" s="675">
        <v>0</v>
      </c>
      <c r="AH68" s="675">
        <v>0</v>
      </c>
      <c r="AI68" s="675">
        <v>0</v>
      </c>
      <c r="AJ68" s="675">
        <v>6160</v>
      </c>
      <c r="AK68" s="675" t="s">
        <v>671</v>
      </c>
      <c r="AL68" s="675" t="s">
        <v>324</v>
      </c>
      <c r="AM68" s="675">
        <v>0</v>
      </c>
      <c r="AN68" s="675">
        <v>0</v>
      </c>
      <c r="AO68" s="675">
        <v>0</v>
      </c>
      <c r="AP68" s="675">
        <v>0</v>
      </c>
      <c r="AQ68" s="675">
        <v>0</v>
      </c>
      <c r="AR68" s="675">
        <v>0</v>
      </c>
      <c r="AS68" s="675">
        <v>0</v>
      </c>
      <c r="AT68" s="675">
        <v>0</v>
      </c>
      <c r="AU68" s="675">
        <v>0</v>
      </c>
      <c r="AV68" s="675">
        <v>-7947599</v>
      </c>
      <c r="AW68" s="675">
        <v>41255845</v>
      </c>
      <c r="AX68" s="675">
        <v>40641739</v>
      </c>
      <c r="AY68" s="675">
        <v>22129796</v>
      </c>
      <c r="AZ68" s="675">
        <v>1598261</v>
      </c>
      <c r="BA68" s="675">
        <v>0</v>
      </c>
      <c r="BB68" s="675">
        <v>0</v>
      </c>
      <c r="BC68" s="675">
        <v>0</v>
      </c>
      <c r="BD68" s="675">
        <v>0</v>
      </c>
      <c r="BE68" s="675">
        <v>0</v>
      </c>
      <c r="BF68" s="675">
        <v>35562790</v>
      </c>
      <c r="BG68" s="675">
        <v>0</v>
      </c>
      <c r="BH68" s="675">
        <v>0</v>
      </c>
      <c r="BI68" s="675">
        <v>0</v>
      </c>
      <c r="BJ68" s="675">
        <v>12</v>
      </c>
      <c r="BK68" s="675">
        <v>0</v>
      </c>
      <c r="BL68" s="675">
        <v>0</v>
      </c>
      <c r="BM68" s="675">
        <v>0</v>
      </c>
      <c r="BN68" s="675">
        <v>0</v>
      </c>
      <c r="BO68" s="675">
        <v>0</v>
      </c>
      <c r="BP68" s="675">
        <v>0</v>
      </c>
      <c r="BQ68" s="675">
        <v>278</v>
      </c>
      <c r="BR68" s="675">
        <v>0</v>
      </c>
      <c r="BS68" s="675">
        <v>0</v>
      </c>
      <c r="BT68" s="675">
        <v>0</v>
      </c>
      <c r="BU68" s="675">
        <v>0</v>
      </c>
      <c r="BV68" s="675">
        <v>0</v>
      </c>
      <c r="BW68" s="675">
        <v>0</v>
      </c>
      <c r="BX68" s="675">
        <v>0</v>
      </c>
      <c r="BY68" s="675">
        <v>0</v>
      </c>
      <c r="BZ68" s="675">
        <v>0</v>
      </c>
      <c r="CA68" s="675">
        <v>0</v>
      </c>
      <c r="CB68" s="675">
        <v>0</v>
      </c>
      <c r="CC68" s="675">
        <v>0</v>
      </c>
      <c r="CD68" s="675">
        <v>0</v>
      </c>
      <c r="CE68" s="675">
        <v>0</v>
      </c>
      <c r="CF68" s="675">
        <v>0</v>
      </c>
      <c r="CG68" s="675">
        <v>0</v>
      </c>
      <c r="CH68" s="675">
        <v>624264</v>
      </c>
      <c r="CI68" s="675">
        <v>0</v>
      </c>
      <c r="CJ68" s="675">
        <v>4</v>
      </c>
      <c r="CK68" s="675">
        <v>0</v>
      </c>
      <c r="CL68" s="675">
        <v>0</v>
      </c>
      <c r="CM68" s="675">
        <v>0</v>
      </c>
      <c r="CN68" s="675">
        <v>0</v>
      </c>
      <c r="CO68" s="675">
        <v>1</v>
      </c>
      <c r="CP68" s="675">
        <v>0</v>
      </c>
      <c r="CQ68" s="675">
        <v>0</v>
      </c>
      <c r="CR68" s="675">
        <v>3823.6860000000001</v>
      </c>
      <c r="CS68" s="675">
        <v>0</v>
      </c>
      <c r="CT68" s="675">
        <v>0</v>
      </c>
      <c r="CU68" s="675">
        <v>0</v>
      </c>
      <c r="CV68" s="675">
        <v>0</v>
      </c>
      <c r="CW68" s="675">
        <v>0</v>
      </c>
      <c r="CX68" s="675">
        <v>0</v>
      </c>
      <c r="CY68" s="675">
        <v>0</v>
      </c>
      <c r="CZ68" s="675">
        <v>0</v>
      </c>
      <c r="DA68" s="675">
        <v>0</v>
      </c>
      <c r="DB68" s="675">
        <v>19609795</v>
      </c>
      <c r="DC68" s="675">
        <v>0</v>
      </c>
      <c r="DD68" s="675">
        <v>0</v>
      </c>
      <c r="DE68" s="675">
        <v>7346767</v>
      </c>
      <c r="DF68" s="675">
        <v>7346767</v>
      </c>
      <c r="DG68" s="675">
        <v>1192.663</v>
      </c>
      <c r="DH68" s="675">
        <v>0</v>
      </c>
      <c r="DI68" s="675">
        <v>0</v>
      </c>
      <c r="DJ68" s="675">
        <v>0</v>
      </c>
      <c r="DK68" s="675">
        <v>0</v>
      </c>
      <c r="DL68" s="675">
        <v>0</v>
      </c>
      <c r="DM68" s="675">
        <v>2741481</v>
      </c>
      <c r="DN68" s="675">
        <v>10158</v>
      </c>
      <c r="DO68" s="675">
        <v>0</v>
      </c>
      <c r="DP68" s="675">
        <v>0</v>
      </c>
      <c r="DQ68" s="675">
        <v>0</v>
      </c>
      <c r="DR68" s="675">
        <v>0</v>
      </c>
      <c r="DS68" s="675">
        <v>0</v>
      </c>
      <c r="DT68" s="675">
        <v>0</v>
      </c>
      <c r="DU68" s="675">
        <v>0</v>
      </c>
      <c r="DV68" s="675">
        <v>0</v>
      </c>
      <c r="DW68" s="675">
        <v>0</v>
      </c>
      <c r="DX68" s="675">
        <v>0</v>
      </c>
      <c r="DY68" s="675">
        <v>0</v>
      </c>
      <c r="DZ68" s="675">
        <v>0</v>
      </c>
      <c r="EA68" s="675">
        <v>0.157</v>
      </c>
      <c r="EB68" s="675">
        <v>0</v>
      </c>
      <c r="EC68" s="675">
        <v>149.97800000000001</v>
      </c>
      <c r="ED68" s="675">
        <v>1062439</v>
      </c>
      <c r="EE68" s="675">
        <v>0</v>
      </c>
      <c r="EF68" s="675">
        <v>0</v>
      </c>
      <c r="EG68" s="675">
        <v>0</v>
      </c>
      <c r="EH68" s="675">
        <v>1614535</v>
      </c>
      <c r="EI68" s="675">
        <v>0</v>
      </c>
      <c r="EJ68" s="675">
        <v>0</v>
      </c>
      <c r="EK68" s="675">
        <v>85.997</v>
      </c>
      <c r="EL68" s="675">
        <v>0</v>
      </c>
      <c r="EM68" s="675">
        <v>0</v>
      </c>
      <c r="EN68" s="675">
        <v>0.66500000000000004</v>
      </c>
      <c r="EO68" s="675">
        <v>0</v>
      </c>
      <c r="EP68" s="675">
        <v>0</v>
      </c>
      <c r="EQ68" s="675">
        <v>86.819000000000003</v>
      </c>
      <c r="ER68" s="675">
        <v>0</v>
      </c>
      <c r="ES68" s="675">
        <v>262.101</v>
      </c>
      <c r="ET68" s="675">
        <v>0</v>
      </c>
      <c r="EU68" s="675">
        <v>0</v>
      </c>
      <c r="EV68" s="675">
        <v>0</v>
      </c>
      <c r="EW68" s="675">
        <v>0</v>
      </c>
      <c r="EX68" s="675">
        <v>0</v>
      </c>
      <c r="EY68" s="675">
        <v>0</v>
      </c>
      <c r="EZ68" s="675">
        <v>36276059</v>
      </c>
      <c r="FA68" s="675">
        <v>0</v>
      </c>
      <c r="FB68" s="675">
        <v>37864162</v>
      </c>
      <c r="FC68" s="675">
        <v>0</v>
      </c>
      <c r="FD68" s="675">
        <v>0</v>
      </c>
      <c r="FE68" s="675">
        <v>3617464</v>
      </c>
      <c r="FF68" s="675">
        <v>748216</v>
      </c>
      <c r="FG68" s="675">
        <v>6.3574999999999993E-2</v>
      </c>
      <c r="FH68" s="675">
        <v>2.6298999999999999E-2</v>
      </c>
      <c r="FI68" s="675">
        <v>0</v>
      </c>
      <c r="FJ68" s="675">
        <v>0</v>
      </c>
      <c r="FK68" s="675">
        <v>5773.2070000000003</v>
      </c>
      <c r="FL68" s="675">
        <v>42854106</v>
      </c>
      <c r="FM68" s="675">
        <v>0</v>
      </c>
      <c r="FN68" s="675">
        <v>0</v>
      </c>
      <c r="FO68" s="675">
        <v>994528</v>
      </c>
      <c r="FP68" s="675">
        <v>0</v>
      </c>
      <c r="FQ68" s="675">
        <v>994528</v>
      </c>
      <c r="FR68" s="675">
        <v>994528</v>
      </c>
      <c r="FS68" s="675">
        <v>0</v>
      </c>
      <c r="FT68" s="675">
        <v>0</v>
      </c>
      <c r="FU68" s="675">
        <v>0</v>
      </c>
      <c r="FV68" s="675">
        <v>0</v>
      </c>
      <c r="FW68" s="675">
        <v>0</v>
      </c>
      <c r="FX68" s="675">
        <v>0</v>
      </c>
      <c r="FY68" s="675">
        <v>0</v>
      </c>
      <c r="FZ68" s="675">
        <v>0</v>
      </c>
      <c r="GA68" s="675">
        <v>0</v>
      </c>
      <c r="GB68" s="675">
        <v>1095041</v>
      </c>
      <c r="GC68" s="675">
        <v>1095041</v>
      </c>
      <c r="GD68" s="675">
        <v>133.34700000000001</v>
      </c>
      <c r="GE68" s="675">
        <v>0</v>
      </c>
      <c r="GF68" s="675">
        <v>0</v>
      </c>
      <c r="GG68" s="675">
        <v>0</v>
      </c>
      <c r="GH68" s="675">
        <v>0</v>
      </c>
      <c r="GI68" s="675">
        <v>0</v>
      </c>
      <c r="GJ68" s="675">
        <v>0</v>
      </c>
      <c r="GK68" s="675">
        <v>0</v>
      </c>
      <c r="GL68" s="675">
        <v>0</v>
      </c>
      <c r="GM68" s="675">
        <v>0</v>
      </c>
      <c r="GN68" s="675">
        <v>0</v>
      </c>
      <c r="GO68" s="675">
        <v>0</v>
      </c>
      <c r="GP68" s="675">
        <v>0</v>
      </c>
      <c r="GQ68" s="675">
        <v>0</v>
      </c>
      <c r="GR68" s="675">
        <v>0</v>
      </c>
      <c r="GS68" s="675">
        <v>0</v>
      </c>
      <c r="GT68" s="675">
        <v>0</v>
      </c>
      <c r="GU68" s="675">
        <v>0</v>
      </c>
      <c r="GV68" s="675">
        <v>0</v>
      </c>
      <c r="GW68" s="675">
        <v>0</v>
      </c>
      <c r="GX68" s="675">
        <v>0</v>
      </c>
      <c r="GY68" s="675">
        <v>0</v>
      </c>
      <c r="GZ68" s="675">
        <v>0</v>
      </c>
      <c r="HA68" s="675">
        <v>0</v>
      </c>
      <c r="HB68" s="675">
        <v>298386780</v>
      </c>
      <c r="HC68" s="675">
        <v>4.5690999999999996E-2</v>
      </c>
      <c r="HD68" s="675">
        <v>624264</v>
      </c>
      <c r="HE68" s="675">
        <v>0</v>
      </c>
      <c r="HF68" s="675">
        <v>3515098</v>
      </c>
      <c r="HG68" s="675">
        <v>0</v>
      </c>
      <c r="HH68" s="675">
        <v>0</v>
      </c>
      <c r="HI68" s="675">
        <v>0</v>
      </c>
      <c r="HJ68" s="675">
        <v>33201</v>
      </c>
      <c r="HK68" s="675">
        <v>55359</v>
      </c>
      <c r="HL68" s="675">
        <v>0</v>
      </c>
      <c r="HM68" s="675">
        <v>0</v>
      </c>
      <c r="HN68" s="675">
        <v>0</v>
      </c>
      <c r="HO68" s="675">
        <v>0</v>
      </c>
      <c r="HP68" s="675">
        <v>1261643</v>
      </c>
      <c r="HQ68" s="675">
        <v>0</v>
      </c>
      <c r="HR68" s="675">
        <v>0</v>
      </c>
      <c r="HS68" s="675">
        <v>36265901</v>
      </c>
      <c r="HT68" s="675">
        <v>748216</v>
      </c>
      <c r="HU68" s="675">
        <v>0</v>
      </c>
      <c r="HV68" s="675">
        <v>0</v>
      </c>
      <c r="HW68" s="675">
        <v>0</v>
      </c>
      <c r="HX68" s="675">
        <v>393</v>
      </c>
      <c r="HY68" s="675">
        <v>513</v>
      </c>
      <c r="HZ68" s="675">
        <v>707</v>
      </c>
      <c r="IA68" s="675">
        <v>1218</v>
      </c>
      <c r="IB68" s="675">
        <v>1767</v>
      </c>
      <c r="IC68" s="675">
        <v>4598</v>
      </c>
      <c r="ID68" s="675">
        <v>0</v>
      </c>
      <c r="IE68" s="675">
        <v>0</v>
      </c>
      <c r="IF68" s="675">
        <v>0</v>
      </c>
      <c r="IG68" s="675">
        <v>0</v>
      </c>
      <c r="IH68" s="675">
        <v>0</v>
      </c>
      <c r="II68" s="675">
        <v>4587.7920000000004</v>
      </c>
      <c r="IJ68" s="675">
        <v>1966.3220000000001</v>
      </c>
      <c r="IK68" s="675">
        <v>0</v>
      </c>
      <c r="IL68" s="675">
        <v>0</v>
      </c>
      <c r="IM68" s="675">
        <v>0</v>
      </c>
      <c r="IN68" s="675">
        <v>0</v>
      </c>
      <c r="IO68" s="675">
        <v>0</v>
      </c>
      <c r="IP68" s="675">
        <v>4587.7920000000004</v>
      </c>
      <c r="IQ68" s="675">
        <v>1966.3220000000001</v>
      </c>
      <c r="IR68" s="675">
        <v>1211249</v>
      </c>
      <c r="IS68" s="675">
        <v>0</v>
      </c>
      <c r="IT68" s="675">
        <v>0</v>
      </c>
      <c r="IU68" s="675">
        <v>0</v>
      </c>
      <c r="IV68" s="675">
        <v>0</v>
      </c>
      <c r="IW68" s="675">
        <v>6160</v>
      </c>
      <c r="IX68" s="675">
        <v>0</v>
      </c>
      <c r="IY68" s="675">
        <v>0</v>
      </c>
      <c r="IZ68" s="675">
        <v>1261643</v>
      </c>
      <c r="JA68" s="675">
        <v>0</v>
      </c>
      <c r="JB68" s="675">
        <v>0</v>
      </c>
      <c r="JC68" s="675">
        <v>0</v>
      </c>
      <c r="JD68" s="675">
        <v>0</v>
      </c>
      <c r="JE68" s="675">
        <v>0</v>
      </c>
      <c r="JF68" s="675">
        <v>0</v>
      </c>
      <c r="JG68" s="675">
        <v>0</v>
      </c>
      <c r="JH68" s="675">
        <v>0</v>
      </c>
      <c r="JI68" s="675">
        <v>0</v>
      </c>
      <c r="JJ68" s="675">
        <v>0</v>
      </c>
      <c r="JK68" s="675">
        <v>0</v>
      </c>
      <c r="JL68" s="675">
        <v>0</v>
      </c>
      <c r="JM68" s="675">
        <v>0</v>
      </c>
      <c r="JN68" s="675">
        <v>32469</v>
      </c>
      <c r="JO68" s="675">
        <v>111.795</v>
      </c>
      <c r="JP68" s="675">
        <v>20.118000000000002</v>
      </c>
      <c r="JQ68" s="675">
        <v>1.4330000000000001</v>
      </c>
      <c r="JR68" s="675">
        <v>892795</v>
      </c>
      <c r="JS68" s="675">
        <v>186953</v>
      </c>
      <c r="JT68" s="675">
        <v>15293</v>
      </c>
      <c r="JU68" s="675">
        <v>0</v>
      </c>
      <c r="JV68" s="675">
        <v>0</v>
      </c>
      <c r="JW68" s="675">
        <v>0</v>
      </c>
      <c r="JX68" s="675">
        <v>0</v>
      </c>
      <c r="JY68" s="675">
        <v>0</v>
      </c>
      <c r="JZ68" s="675">
        <v>0</v>
      </c>
      <c r="KA68" s="675">
        <v>0</v>
      </c>
      <c r="KB68" s="675">
        <v>0</v>
      </c>
      <c r="KC68" s="675">
        <v>0</v>
      </c>
      <c r="KD68" s="675">
        <v>0</v>
      </c>
      <c r="KE68" s="675">
        <v>7260</v>
      </c>
      <c r="KF68" s="675">
        <v>0</v>
      </c>
      <c r="KG68" s="675">
        <v>0</v>
      </c>
      <c r="KH68" s="675">
        <v>0</v>
      </c>
      <c r="KI68" s="675">
        <v>0</v>
      </c>
    </row>
    <row r="69" spans="1:295" ht="12.5" x14ac:dyDescent="0.25">
      <c r="A69" s="675">
        <v>35795</v>
      </c>
      <c r="B69" s="675">
        <v>61804</v>
      </c>
      <c r="C69" s="675">
        <v>9</v>
      </c>
      <c r="D69" s="675">
        <v>2022</v>
      </c>
      <c r="E69" s="675">
        <v>6160</v>
      </c>
      <c r="F69" s="675">
        <v>0</v>
      </c>
      <c r="G69" s="675">
        <v>1278.077</v>
      </c>
      <c r="H69" s="675">
        <v>1136.299</v>
      </c>
      <c r="I69" s="675">
        <v>1136.299</v>
      </c>
      <c r="J69" s="675">
        <v>1278.077</v>
      </c>
      <c r="K69" s="675">
        <v>0</v>
      </c>
      <c r="L69" s="675">
        <v>6160</v>
      </c>
      <c r="M69" s="675">
        <v>0</v>
      </c>
      <c r="N69" s="675">
        <v>0</v>
      </c>
      <c r="O69" s="675">
        <v>0</v>
      </c>
      <c r="P69" s="675">
        <v>1284.1290000000001</v>
      </c>
      <c r="Q69" s="675">
        <v>0</v>
      </c>
      <c r="R69" s="675">
        <v>516769</v>
      </c>
      <c r="S69" s="675">
        <v>402.428</v>
      </c>
      <c r="T69" s="675">
        <v>0</v>
      </c>
      <c r="U69" s="675">
        <v>274805</v>
      </c>
      <c r="V69" s="675">
        <v>50.298000000000002</v>
      </c>
      <c r="W69" s="675">
        <v>38654</v>
      </c>
      <c r="X69" s="675">
        <v>38654</v>
      </c>
      <c r="Y69" s="675">
        <v>0</v>
      </c>
      <c r="Z69" s="675">
        <v>0</v>
      </c>
      <c r="AA69" s="675">
        <v>0</v>
      </c>
      <c r="AB69" s="675">
        <v>0</v>
      </c>
      <c r="AC69" s="675">
        <v>0</v>
      </c>
      <c r="AD69" s="675" t="s">
        <v>316</v>
      </c>
      <c r="AE69" s="675">
        <v>0</v>
      </c>
      <c r="AF69" s="675">
        <v>0</v>
      </c>
      <c r="AG69" s="675">
        <v>0</v>
      </c>
      <c r="AH69" s="675">
        <v>0</v>
      </c>
      <c r="AI69" s="675">
        <v>0</v>
      </c>
      <c r="AJ69" s="675">
        <v>6160</v>
      </c>
      <c r="AK69" s="675" t="s">
        <v>671</v>
      </c>
      <c r="AL69" s="675" t="s">
        <v>336</v>
      </c>
      <c r="AM69" s="675">
        <v>0</v>
      </c>
      <c r="AN69" s="675">
        <v>0</v>
      </c>
      <c r="AO69" s="675">
        <v>0</v>
      </c>
      <c r="AP69" s="675">
        <v>0</v>
      </c>
      <c r="AQ69" s="675">
        <v>0</v>
      </c>
      <c r="AR69" s="675">
        <v>0</v>
      </c>
      <c r="AS69" s="675">
        <v>0</v>
      </c>
      <c r="AT69" s="675">
        <v>0</v>
      </c>
      <c r="AU69" s="675">
        <v>0</v>
      </c>
      <c r="AV69" s="675">
        <v>-2020</v>
      </c>
      <c r="AW69" s="675">
        <v>11111252</v>
      </c>
      <c r="AX69" s="675">
        <v>10880107</v>
      </c>
      <c r="AY69" s="675">
        <v>7404736</v>
      </c>
      <c r="AZ69" s="675">
        <v>516769</v>
      </c>
      <c r="BA69" s="675">
        <v>0</v>
      </c>
      <c r="BB69" s="675">
        <v>27555</v>
      </c>
      <c r="BC69" s="675">
        <v>27377</v>
      </c>
      <c r="BD69" s="675">
        <v>63.904000000000003</v>
      </c>
      <c r="BE69" s="675">
        <v>178</v>
      </c>
      <c r="BF69" s="675">
        <v>10146726</v>
      </c>
      <c r="BG69" s="675">
        <v>0</v>
      </c>
      <c r="BH69" s="675">
        <v>0</v>
      </c>
      <c r="BI69" s="675">
        <v>0</v>
      </c>
      <c r="BJ69" s="675">
        <v>12</v>
      </c>
      <c r="BK69" s="675">
        <v>0</v>
      </c>
      <c r="BL69" s="675">
        <v>0</v>
      </c>
      <c r="BM69" s="675">
        <v>0</v>
      </c>
      <c r="BN69" s="675">
        <v>0</v>
      </c>
      <c r="BO69" s="675">
        <v>0</v>
      </c>
      <c r="BP69" s="675">
        <v>0</v>
      </c>
      <c r="BQ69" s="675">
        <v>595</v>
      </c>
      <c r="BR69" s="675">
        <v>0</v>
      </c>
      <c r="BS69" s="675">
        <v>0</v>
      </c>
      <c r="BT69" s="675">
        <v>0</v>
      </c>
      <c r="BU69" s="675">
        <v>0</v>
      </c>
      <c r="BV69" s="675">
        <v>0</v>
      </c>
      <c r="BW69" s="675">
        <v>0</v>
      </c>
      <c r="BX69" s="675">
        <v>0</v>
      </c>
      <c r="BY69" s="675">
        <v>0</v>
      </c>
      <c r="BZ69" s="675">
        <v>0</v>
      </c>
      <c r="CA69" s="675">
        <v>0</v>
      </c>
      <c r="CB69" s="675">
        <v>0</v>
      </c>
      <c r="CC69" s="675">
        <v>0</v>
      </c>
      <c r="CD69" s="675">
        <v>0</v>
      </c>
      <c r="CE69" s="675">
        <v>0</v>
      </c>
      <c r="CF69" s="675">
        <v>0</v>
      </c>
      <c r="CG69" s="675">
        <v>0</v>
      </c>
      <c r="CH69" s="675">
        <v>233585</v>
      </c>
      <c r="CI69" s="675">
        <v>0</v>
      </c>
      <c r="CJ69" s="675">
        <v>4</v>
      </c>
      <c r="CK69" s="675">
        <v>0</v>
      </c>
      <c r="CL69" s="675">
        <v>0</v>
      </c>
      <c r="CM69" s="675">
        <v>0</v>
      </c>
      <c r="CN69" s="675">
        <v>0</v>
      </c>
      <c r="CO69" s="675">
        <v>1</v>
      </c>
      <c r="CP69" s="675">
        <v>0</v>
      </c>
      <c r="CQ69" s="675">
        <v>0</v>
      </c>
      <c r="CR69" s="675">
        <v>1320.694</v>
      </c>
      <c r="CS69" s="675">
        <v>0</v>
      </c>
      <c r="CT69" s="675">
        <v>0</v>
      </c>
      <c r="CU69" s="675">
        <v>0</v>
      </c>
      <c r="CV69" s="675">
        <v>0</v>
      </c>
      <c r="CW69" s="675">
        <v>0</v>
      </c>
      <c r="CX69" s="675">
        <v>0</v>
      </c>
      <c r="CY69" s="675">
        <v>0</v>
      </c>
      <c r="CZ69" s="675">
        <v>0</v>
      </c>
      <c r="DA69" s="675">
        <v>0</v>
      </c>
      <c r="DB69" s="675">
        <v>6999569</v>
      </c>
      <c r="DC69" s="675">
        <v>0</v>
      </c>
      <c r="DD69" s="675">
        <v>0</v>
      </c>
      <c r="DE69" s="675">
        <v>72996</v>
      </c>
      <c r="DF69" s="675">
        <v>72996</v>
      </c>
      <c r="DG69" s="675">
        <v>11.85</v>
      </c>
      <c r="DH69" s="675">
        <v>0</v>
      </c>
      <c r="DI69" s="675">
        <v>0</v>
      </c>
      <c r="DJ69" s="675">
        <v>0</v>
      </c>
      <c r="DK69" s="675">
        <v>1143</v>
      </c>
      <c r="DL69" s="675">
        <v>0</v>
      </c>
      <c r="DM69" s="675">
        <v>594006</v>
      </c>
      <c r="DN69" s="675">
        <v>2263</v>
      </c>
      <c r="DO69" s="675">
        <v>0</v>
      </c>
      <c r="DP69" s="675">
        <v>0</v>
      </c>
      <c r="DQ69" s="675">
        <v>0</v>
      </c>
      <c r="DR69" s="675">
        <v>0</v>
      </c>
      <c r="DS69" s="675">
        <v>0</v>
      </c>
      <c r="DT69" s="675">
        <v>0</v>
      </c>
      <c r="DU69" s="675">
        <v>0</v>
      </c>
      <c r="DV69" s="675">
        <v>0</v>
      </c>
      <c r="DW69" s="675">
        <v>0</v>
      </c>
      <c r="DX69" s="675">
        <v>0</v>
      </c>
      <c r="DY69" s="675">
        <v>0</v>
      </c>
      <c r="DZ69" s="675">
        <v>0</v>
      </c>
      <c r="EA69" s="675">
        <v>0</v>
      </c>
      <c r="EB69" s="675">
        <v>0</v>
      </c>
      <c r="EC69" s="675">
        <v>40.950000000000003</v>
      </c>
      <c r="ED69" s="675">
        <v>290088</v>
      </c>
      <c r="EE69" s="675">
        <v>0</v>
      </c>
      <c r="EF69" s="675">
        <v>0</v>
      </c>
      <c r="EG69" s="675">
        <v>0</v>
      </c>
      <c r="EH69" s="675">
        <v>306181</v>
      </c>
      <c r="EI69" s="675">
        <v>0</v>
      </c>
      <c r="EJ69" s="675">
        <v>0</v>
      </c>
      <c r="EK69" s="675">
        <v>10.227</v>
      </c>
      <c r="EL69" s="675">
        <v>0</v>
      </c>
      <c r="EM69" s="675">
        <v>2.0430000000000001</v>
      </c>
      <c r="EN69" s="675">
        <v>2.5790000000000002</v>
      </c>
      <c r="EO69" s="675">
        <v>0</v>
      </c>
      <c r="EP69" s="675">
        <v>0</v>
      </c>
      <c r="EQ69" s="675">
        <v>14.849</v>
      </c>
      <c r="ER69" s="675">
        <v>0</v>
      </c>
      <c r="ES69" s="675">
        <v>49.705000000000005</v>
      </c>
      <c r="ET69" s="675">
        <v>0</v>
      </c>
      <c r="EU69" s="675">
        <v>0</v>
      </c>
      <c r="EV69" s="675">
        <v>0</v>
      </c>
      <c r="EW69" s="675">
        <v>0</v>
      </c>
      <c r="EX69" s="675">
        <v>0</v>
      </c>
      <c r="EY69" s="675">
        <v>0</v>
      </c>
      <c r="EZ69" s="675">
        <v>9634498</v>
      </c>
      <c r="FA69" s="675">
        <v>0</v>
      </c>
      <c r="FB69" s="675">
        <v>10148827</v>
      </c>
      <c r="FC69" s="675">
        <v>0</v>
      </c>
      <c r="FD69" s="675">
        <v>0</v>
      </c>
      <c r="FE69" s="675">
        <v>1032129</v>
      </c>
      <c r="FF69" s="675">
        <v>213480</v>
      </c>
      <c r="FG69" s="675">
        <v>6.3574999999999993E-2</v>
      </c>
      <c r="FH69" s="675">
        <v>2.6298999999999999E-2</v>
      </c>
      <c r="FI69" s="675">
        <v>0</v>
      </c>
      <c r="FJ69" s="675">
        <v>0</v>
      </c>
      <c r="FK69" s="675">
        <v>1647.203</v>
      </c>
      <c r="FL69" s="675">
        <v>11628021</v>
      </c>
      <c r="FM69" s="675">
        <v>0</v>
      </c>
      <c r="FN69" s="675">
        <v>0</v>
      </c>
      <c r="FO69" s="675">
        <v>0</v>
      </c>
      <c r="FP69" s="675">
        <v>0</v>
      </c>
      <c r="FQ69" s="675">
        <v>0</v>
      </c>
      <c r="FR69" s="675">
        <v>0</v>
      </c>
      <c r="FS69" s="675">
        <v>0</v>
      </c>
      <c r="FT69" s="675">
        <v>0</v>
      </c>
      <c r="FU69" s="675">
        <v>0</v>
      </c>
      <c r="FV69" s="675">
        <v>0</v>
      </c>
      <c r="FW69" s="675">
        <v>0</v>
      </c>
      <c r="FX69" s="675">
        <v>0</v>
      </c>
      <c r="FY69" s="675">
        <v>0</v>
      </c>
      <c r="FZ69" s="675">
        <v>0</v>
      </c>
      <c r="GA69" s="675">
        <v>0</v>
      </c>
      <c r="GB69" s="675">
        <v>1131787</v>
      </c>
      <c r="GC69" s="675">
        <v>1131787</v>
      </c>
      <c r="GD69" s="675">
        <v>126.929</v>
      </c>
      <c r="GE69" s="675">
        <v>0</v>
      </c>
      <c r="GF69" s="675">
        <v>0</v>
      </c>
      <c r="GG69" s="675">
        <v>0</v>
      </c>
      <c r="GH69" s="675">
        <v>0</v>
      </c>
      <c r="GI69" s="675">
        <v>0</v>
      </c>
      <c r="GJ69" s="675">
        <v>0</v>
      </c>
      <c r="GK69" s="675">
        <v>0</v>
      </c>
      <c r="GL69" s="675">
        <v>0</v>
      </c>
      <c r="GM69" s="675">
        <v>0</v>
      </c>
      <c r="GN69" s="675">
        <v>0</v>
      </c>
      <c r="GO69" s="675">
        <v>0</v>
      </c>
      <c r="GP69" s="675">
        <v>0</v>
      </c>
      <c r="GQ69" s="675">
        <v>0</v>
      </c>
      <c r="GR69" s="675">
        <v>0</v>
      </c>
      <c r="GS69" s="675">
        <v>0</v>
      </c>
      <c r="GT69" s="675">
        <v>0</v>
      </c>
      <c r="GU69" s="675">
        <v>0</v>
      </c>
      <c r="GV69" s="675">
        <v>0</v>
      </c>
      <c r="GW69" s="675">
        <v>0</v>
      </c>
      <c r="GX69" s="675">
        <v>0</v>
      </c>
      <c r="GY69" s="675">
        <v>0</v>
      </c>
      <c r="GZ69" s="675">
        <v>0</v>
      </c>
      <c r="HA69" s="675">
        <v>0</v>
      </c>
      <c r="HB69" s="675">
        <v>298386780</v>
      </c>
      <c r="HC69" s="675">
        <v>4.5690999999999996E-2</v>
      </c>
      <c r="HD69" s="675">
        <v>233585</v>
      </c>
      <c r="HE69" s="675">
        <v>0</v>
      </c>
      <c r="HF69" s="675">
        <v>1249929</v>
      </c>
      <c r="HG69" s="675">
        <v>3696</v>
      </c>
      <c r="HH69" s="675">
        <v>13848</v>
      </c>
      <c r="HI69" s="675">
        <v>0</v>
      </c>
      <c r="HJ69" s="675">
        <v>12423</v>
      </c>
      <c r="HK69" s="675">
        <v>4059</v>
      </c>
      <c r="HL69" s="675">
        <v>482</v>
      </c>
      <c r="HM69" s="675">
        <v>0</v>
      </c>
      <c r="HN69" s="675">
        <v>0</v>
      </c>
      <c r="HO69" s="675">
        <v>0</v>
      </c>
      <c r="HP69" s="675">
        <v>0</v>
      </c>
      <c r="HQ69" s="675">
        <v>0</v>
      </c>
      <c r="HR69" s="675">
        <v>0</v>
      </c>
      <c r="HS69" s="675">
        <v>9632058</v>
      </c>
      <c r="HT69" s="675">
        <v>213480</v>
      </c>
      <c r="HU69" s="675">
        <v>0</v>
      </c>
      <c r="HV69" s="675">
        <v>0</v>
      </c>
      <c r="HW69" s="675">
        <v>0</v>
      </c>
      <c r="HX69" s="675">
        <v>33</v>
      </c>
      <c r="HY69" s="675">
        <v>11</v>
      </c>
      <c r="HZ69" s="675">
        <v>2</v>
      </c>
      <c r="IA69" s="675">
        <v>5</v>
      </c>
      <c r="IB69" s="675">
        <v>0</v>
      </c>
      <c r="IC69" s="675">
        <v>51</v>
      </c>
      <c r="ID69" s="675">
        <v>0</v>
      </c>
      <c r="IE69" s="675">
        <v>8.3019999999999996</v>
      </c>
      <c r="IF69" s="675">
        <v>0</v>
      </c>
      <c r="IG69" s="675">
        <v>6</v>
      </c>
      <c r="IH69" s="675">
        <v>22.48</v>
      </c>
      <c r="II69" s="675">
        <v>0</v>
      </c>
      <c r="IJ69" s="675">
        <v>58.6</v>
      </c>
      <c r="IK69" s="675">
        <v>0</v>
      </c>
      <c r="IL69" s="675">
        <v>0</v>
      </c>
      <c r="IM69" s="675">
        <v>0</v>
      </c>
      <c r="IN69" s="675">
        <v>0</v>
      </c>
      <c r="IO69" s="675">
        <v>0</v>
      </c>
      <c r="IP69" s="675">
        <v>0</v>
      </c>
      <c r="IQ69" s="675">
        <v>50.298000000000002</v>
      </c>
      <c r="IR69" s="675">
        <v>30983</v>
      </c>
      <c r="IS69" s="675">
        <v>0</v>
      </c>
      <c r="IT69" s="675">
        <v>0</v>
      </c>
      <c r="IU69" s="675">
        <v>0</v>
      </c>
      <c r="IV69" s="675">
        <v>0</v>
      </c>
      <c r="IW69" s="675">
        <v>6160</v>
      </c>
      <c r="IX69" s="675">
        <v>7671</v>
      </c>
      <c r="IY69" s="675">
        <v>0</v>
      </c>
      <c r="IZ69" s="675">
        <v>0</v>
      </c>
      <c r="JA69" s="675">
        <v>0</v>
      </c>
      <c r="JB69" s="675">
        <v>0</v>
      </c>
      <c r="JC69" s="675">
        <v>0</v>
      </c>
      <c r="JD69" s="675">
        <v>0</v>
      </c>
      <c r="JE69" s="675">
        <v>0</v>
      </c>
      <c r="JF69" s="675">
        <v>0</v>
      </c>
      <c r="JG69" s="675">
        <v>0</v>
      </c>
      <c r="JH69" s="675">
        <v>0</v>
      </c>
      <c r="JI69" s="675">
        <v>0</v>
      </c>
      <c r="JJ69" s="675">
        <v>0</v>
      </c>
      <c r="JK69" s="675">
        <v>0</v>
      </c>
      <c r="JL69" s="675">
        <v>0</v>
      </c>
      <c r="JM69" s="675">
        <v>0</v>
      </c>
      <c r="JN69" s="675">
        <v>32469</v>
      </c>
      <c r="JO69" s="675">
        <v>58.050000000000004</v>
      </c>
      <c r="JP69" s="675">
        <v>48.492000000000004</v>
      </c>
      <c r="JQ69" s="675">
        <v>20.387</v>
      </c>
      <c r="JR69" s="675">
        <v>463587</v>
      </c>
      <c r="JS69" s="675">
        <v>450626</v>
      </c>
      <c r="JT69" s="675">
        <v>217574</v>
      </c>
      <c r="JU69" s="675">
        <v>27555</v>
      </c>
      <c r="JV69" s="675">
        <v>0</v>
      </c>
      <c r="JW69" s="675">
        <v>0</v>
      </c>
      <c r="JX69" s="675">
        <v>0</v>
      </c>
      <c r="JY69" s="675">
        <v>0</v>
      </c>
      <c r="JZ69" s="675">
        <v>0</v>
      </c>
      <c r="KA69" s="675">
        <v>0</v>
      </c>
      <c r="KB69" s="675">
        <v>0</v>
      </c>
      <c r="KC69" s="675">
        <v>0</v>
      </c>
      <c r="KD69" s="675">
        <v>27555</v>
      </c>
      <c r="KE69" s="675">
        <v>7260</v>
      </c>
      <c r="KF69" s="675">
        <v>0</v>
      </c>
      <c r="KG69" s="675">
        <v>0</v>
      </c>
      <c r="KH69" s="675">
        <v>0</v>
      </c>
      <c r="KI69" s="675">
        <v>0</v>
      </c>
    </row>
    <row r="70" spans="1:295" ht="12.5" x14ac:dyDescent="0.25">
      <c r="A70" s="675">
        <v>35795</v>
      </c>
      <c r="B70" s="675">
        <v>84804</v>
      </c>
      <c r="C70" s="675">
        <v>9</v>
      </c>
      <c r="D70" s="675">
        <v>2022</v>
      </c>
      <c r="E70" s="675">
        <v>6160</v>
      </c>
      <c r="F70" s="675">
        <v>0</v>
      </c>
      <c r="G70" s="675">
        <v>157.042</v>
      </c>
      <c r="H70" s="675">
        <v>154.06200000000001</v>
      </c>
      <c r="I70" s="675">
        <v>154.06200000000001</v>
      </c>
      <c r="J70" s="675">
        <v>157.042</v>
      </c>
      <c r="K70" s="675">
        <v>0</v>
      </c>
      <c r="L70" s="675">
        <v>6160</v>
      </c>
      <c r="M70" s="675">
        <v>0</v>
      </c>
      <c r="N70" s="675">
        <v>0</v>
      </c>
      <c r="O70" s="675">
        <v>0</v>
      </c>
      <c r="P70" s="675">
        <v>207.84200000000001</v>
      </c>
      <c r="Q70" s="675">
        <v>0</v>
      </c>
      <c r="R70" s="675">
        <v>83641</v>
      </c>
      <c r="S70" s="675">
        <v>402.428</v>
      </c>
      <c r="T70" s="675">
        <v>0</v>
      </c>
      <c r="U70" s="675">
        <v>44478</v>
      </c>
      <c r="V70" s="675">
        <v>0</v>
      </c>
      <c r="W70" s="675">
        <v>0</v>
      </c>
      <c r="X70" s="675">
        <v>0</v>
      </c>
      <c r="Y70" s="675">
        <v>0</v>
      </c>
      <c r="Z70" s="675">
        <v>0</v>
      </c>
      <c r="AA70" s="675">
        <v>0</v>
      </c>
      <c r="AB70" s="675">
        <v>0</v>
      </c>
      <c r="AC70" s="675">
        <v>0</v>
      </c>
      <c r="AD70" s="675" t="s">
        <v>316</v>
      </c>
      <c r="AE70" s="675">
        <v>0</v>
      </c>
      <c r="AF70" s="675">
        <v>0</v>
      </c>
      <c r="AG70" s="675">
        <v>0</v>
      </c>
      <c r="AH70" s="675">
        <v>0</v>
      </c>
      <c r="AI70" s="675">
        <v>0</v>
      </c>
      <c r="AJ70" s="675">
        <v>6160</v>
      </c>
      <c r="AK70" s="675" t="s">
        <v>671</v>
      </c>
      <c r="AL70" s="675" t="s">
        <v>65</v>
      </c>
      <c r="AM70" s="675">
        <v>0</v>
      </c>
      <c r="AN70" s="675">
        <v>0</v>
      </c>
      <c r="AO70" s="675">
        <v>0</v>
      </c>
      <c r="AP70" s="675">
        <v>0</v>
      </c>
      <c r="AQ70" s="675">
        <v>0</v>
      </c>
      <c r="AR70" s="675">
        <v>0</v>
      </c>
      <c r="AS70" s="675">
        <v>0</v>
      </c>
      <c r="AT70" s="675">
        <v>0</v>
      </c>
      <c r="AU70" s="675">
        <v>0</v>
      </c>
      <c r="AV70" s="675">
        <v>-101213</v>
      </c>
      <c r="AW70" s="675">
        <v>1622312</v>
      </c>
      <c r="AX70" s="675">
        <v>1593834</v>
      </c>
      <c r="AY70" s="675">
        <v>1118169</v>
      </c>
      <c r="AZ70" s="675">
        <v>83641</v>
      </c>
      <c r="BA70" s="675">
        <v>0</v>
      </c>
      <c r="BB70" s="675">
        <v>719</v>
      </c>
      <c r="BC70" s="675">
        <v>714</v>
      </c>
      <c r="BD70" s="675">
        <v>1.667</v>
      </c>
      <c r="BE70" s="675">
        <v>5</v>
      </c>
      <c r="BF70" s="675">
        <v>1494064</v>
      </c>
      <c r="BG70" s="675">
        <v>0</v>
      </c>
      <c r="BH70" s="675">
        <v>0</v>
      </c>
      <c r="BI70" s="675">
        <v>0</v>
      </c>
      <c r="BJ70" s="675">
        <v>12</v>
      </c>
      <c r="BK70" s="675">
        <v>0</v>
      </c>
      <c r="BL70" s="675">
        <v>0</v>
      </c>
      <c r="BM70" s="675">
        <v>0</v>
      </c>
      <c r="BN70" s="675">
        <v>0</v>
      </c>
      <c r="BO70" s="675">
        <v>0</v>
      </c>
      <c r="BP70" s="675">
        <v>0</v>
      </c>
      <c r="BQ70" s="675">
        <v>746</v>
      </c>
      <c r="BR70" s="675">
        <v>0</v>
      </c>
      <c r="BS70" s="675">
        <v>0</v>
      </c>
      <c r="BT70" s="675">
        <v>0</v>
      </c>
      <c r="BU70" s="675">
        <v>0</v>
      </c>
      <c r="BV70" s="675">
        <v>0</v>
      </c>
      <c r="BW70" s="675">
        <v>0</v>
      </c>
      <c r="BX70" s="675">
        <v>0</v>
      </c>
      <c r="BY70" s="675">
        <v>0</v>
      </c>
      <c r="BZ70" s="675">
        <v>0</v>
      </c>
      <c r="CA70" s="675">
        <v>0</v>
      </c>
      <c r="CB70" s="675">
        <v>0</v>
      </c>
      <c r="CC70" s="675">
        <v>0</v>
      </c>
      <c r="CD70" s="675">
        <v>0</v>
      </c>
      <c r="CE70" s="675">
        <v>0</v>
      </c>
      <c r="CF70" s="675">
        <v>0</v>
      </c>
      <c r="CG70" s="675">
        <v>0</v>
      </c>
      <c r="CH70" s="675">
        <v>28701</v>
      </c>
      <c r="CI70" s="675">
        <v>0</v>
      </c>
      <c r="CJ70" s="675">
        <v>4</v>
      </c>
      <c r="CK70" s="675">
        <v>0</v>
      </c>
      <c r="CL70" s="675">
        <v>0</v>
      </c>
      <c r="CM70" s="675">
        <v>0</v>
      </c>
      <c r="CN70" s="675">
        <v>0</v>
      </c>
      <c r="CO70" s="675">
        <v>1</v>
      </c>
      <c r="CP70" s="675">
        <v>0</v>
      </c>
      <c r="CQ70" s="675">
        <v>0</v>
      </c>
      <c r="CR70" s="675">
        <v>208.79300000000001</v>
      </c>
      <c r="CS70" s="675">
        <v>0</v>
      </c>
      <c r="CT70" s="675">
        <v>0</v>
      </c>
      <c r="CU70" s="675">
        <v>0</v>
      </c>
      <c r="CV70" s="675">
        <v>0</v>
      </c>
      <c r="CW70" s="675">
        <v>0</v>
      </c>
      <c r="CX70" s="675">
        <v>0</v>
      </c>
      <c r="CY70" s="675">
        <v>0</v>
      </c>
      <c r="CZ70" s="675">
        <v>0</v>
      </c>
      <c r="DA70" s="675">
        <v>0</v>
      </c>
      <c r="DB70" s="675">
        <v>949018</v>
      </c>
      <c r="DC70" s="675">
        <v>0</v>
      </c>
      <c r="DD70" s="675">
        <v>0</v>
      </c>
      <c r="DE70" s="675">
        <v>258257</v>
      </c>
      <c r="DF70" s="675">
        <v>258257</v>
      </c>
      <c r="DG70" s="675">
        <v>41.925000000000004</v>
      </c>
      <c r="DH70" s="675">
        <v>0</v>
      </c>
      <c r="DI70" s="675">
        <v>0</v>
      </c>
      <c r="DJ70" s="675">
        <v>0</v>
      </c>
      <c r="DK70" s="675">
        <v>3563</v>
      </c>
      <c r="DL70" s="675">
        <v>0</v>
      </c>
      <c r="DM70" s="675">
        <v>57328</v>
      </c>
      <c r="DN70" s="675">
        <v>218</v>
      </c>
      <c r="DO70" s="675">
        <v>0</v>
      </c>
      <c r="DP70" s="675">
        <v>0</v>
      </c>
      <c r="DQ70" s="675">
        <v>0</v>
      </c>
      <c r="DR70" s="675">
        <v>0</v>
      </c>
      <c r="DS70" s="675">
        <v>0</v>
      </c>
      <c r="DT70" s="675">
        <v>0</v>
      </c>
      <c r="DU70" s="675">
        <v>0</v>
      </c>
      <c r="DV70" s="675">
        <v>0</v>
      </c>
      <c r="DW70" s="675">
        <v>0</v>
      </c>
      <c r="DX70" s="675">
        <v>0</v>
      </c>
      <c r="DY70" s="675">
        <v>0</v>
      </c>
      <c r="DZ70" s="675">
        <v>0</v>
      </c>
      <c r="EA70" s="675">
        <v>0</v>
      </c>
      <c r="EB70" s="675">
        <v>0</v>
      </c>
      <c r="EC70" s="675">
        <v>0</v>
      </c>
      <c r="ED70" s="675">
        <v>0</v>
      </c>
      <c r="EE70" s="675">
        <v>0</v>
      </c>
      <c r="EF70" s="675">
        <v>0</v>
      </c>
      <c r="EG70" s="675">
        <v>0</v>
      </c>
      <c r="EH70" s="675">
        <v>57546</v>
      </c>
      <c r="EI70" s="675">
        <v>0</v>
      </c>
      <c r="EJ70" s="675">
        <v>0</v>
      </c>
      <c r="EK70" s="675">
        <v>2.7789999999999999</v>
      </c>
      <c r="EL70" s="675">
        <v>0</v>
      </c>
      <c r="EM70" s="675">
        <v>0</v>
      </c>
      <c r="EN70" s="675">
        <v>0.20100000000000001</v>
      </c>
      <c r="EO70" s="675">
        <v>0</v>
      </c>
      <c r="EP70" s="675">
        <v>0</v>
      </c>
      <c r="EQ70" s="675">
        <v>2.98</v>
      </c>
      <c r="ER70" s="675">
        <v>0</v>
      </c>
      <c r="ES70" s="675">
        <v>9.3420000000000005</v>
      </c>
      <c r="ET70" s="675">
        <v>0</v>
      </c>
      <c r="EU70" s="675">
        <v>0</v>
      </c>
      <c r="EV70" s="675">
        <v>0</v>
      </c>
      <c r="EW70" s="675">
        <v>0</v>
      </c>
      <c r="EX70" s="675">
        <v>0</v>
      </c>
      <c r="EY70" s="675">
        <v>0</v>
      </c>
      <c r="EZ70" s="675">
        <v>1410423</v>
      </c>
      <c r="FA70" s="675">
        <v>0</v>
      </c>
      <c r="FB70" s="675">
        <v>1493841</v>
      </c>
      <c r="FC70" s="675">
        <v>0</v>
      </c>
      <c r="FD70" s="675">
        <v>0</v>
      </c>
      <c r="FE70" s="675">
        <v>151977</v>
      </c>
      <c r="FF70" s="675">
        <v>31434</v>
      </c>
      <c r="FG70" s="675">
        <v>6.3574999999999993E-2</v>
      </c>
      <c r="FH70" s="675">
        <v>2.6298999999999999E-2</v>
      </c>
      <c r="FI70" s="675">
        <v>0</v>
      </c>
      <c r="FJ70" s="675">
        <v>0</v>
      </c>
      <c r="FK70" s="675">
        <v>242.54400000000001</v>
      </c>
      <c r="FL70" s="675">
        <v>1705953</v>
      </c>
      <c r="FM70" s="675">
        <v>0</v>
      </c>
      <c r="FN70" s="675">
        <v>0</v>
      </c>
      <c r="FO70" s="675">
        <v>0</v>
      </c>
      <c r="FP70" s="675">
        <v>0</v>
      </c>
      <c r="FQ70" s="675">
        <v>0</v>
      </c>
      <c r="FR70" s="675">
        <v>0</v>
      </c>
      <c r="FS70" s="675">
        <v>0</v>
      </c>
      <c r="FT70" s="675">
        <v>0</v>
      </c>
      <c r="FU70" s="675">
        <v>0</v>
      </c>
      <c r="FV70" s="675">
        <v>0</v>
      </c>
      <c r="FW70" s="675">
        <v>0</v>
      </c>
      <c r="FX70" s="675">
        <v>0</v>
      </c>
      <c r="FY70" s="675">
        <v>0</v>
      </c>
      <c r="FZ70" s="675">
        <v>0</v>
      </c>
      <c r="GA70" s="675">
        <v>0</v>
      </c>
      <c r="GB70" s="675">
        <v>0</v>
      </c>
      <c r="GC70" s="675">
        <v>0</v>
      </c>
      <c r="GD70" s="675">
        <v>0</v>
      </c>
      <c r="GE70" s="675">
        <v>0</v>
      </c>
      <c r="GF70" s="675">
        <v>0</v>
      </c>
      <c r="GG70" s="675">
        <v>0</v>
      </c>
      <c r="GH70" s="675">
        <v>0</v>
      </c>
      <c r="GI70" s="675">
        <v>0</v>
      </c>
      <c r="GJ70" s="675">
        <v>0</v>
      </c>
      <c r="GK70" s="675">
        <v>0</v>
      </c>
      <c r="GL70" s="675">
        <v>0</v>
      </c>
      <c r="GM70" s="675">
        <v>0</v>
      </c>
      <c r="GN70" s="675">
        <v>0</v>
      </c>
      <c r="GO70" s="675">
        <v>0</v>
      </c>
      <c r="GP70" s="675">
        <v>0</v>
      </c>
      <c r="GQ70" s="675">
        <v>0</v>
      </c>
      <c r="GR70" s="675">
        <v>0</v>
      </c>
      <c r="GS70" s="675">
        <v>0</v>
      </c>
      <c r="GT70" s="675">
        <v>0</v>
      </c>
      <c r="GU70" s="675">
        <v>0</v>
      </c>
      <c r="GV70" s="675">
        <v>0</v>
      </c>
      <c r="GW70" s="675">
        <v>0</v>
      </c>
      <c r="GX70" s="675">
        <v>0</v>
      </c>
      <c r="GY70" s="675">
        <v>0</v>
      </c>
      <c r="GZ70" s="675">
        <v>0</v>
      </c>
      <c r="HA70" s="675">
        <v>0</v>
      </c>
      <c r="HB70" s="675">
        <v>298386780</v>
      </c>
      <c r="HC70" s="675">
        <v>4.5690999999999996E-2</v>
      </c>
      <c r="HD70" s="675">
        <v>28701</v>
      </c>
      <c r="HE70" s="675">
        <v>0</v>
      </c>
      <c r="HF70" s="675">
        <v>169468</v>
      </c>
      <c r="HG70" s="675">
        <v>1232</v>
      </c>
      <c r="HH70" s="675">
        <v>41298</v>
      </c>
      <c r="HI70" s="675">
        <v>0</v>
      </c>
      <c r="HJ70" s="675">
        <v>1526</v>
      </c>
      <c r="HK70" s="675">
        <v>0</v>
      </c>
      <c r="HL70" s="675">
        <v>0</v>
      </c>
      <c r="HM70" s="675">
        <v>0</v>
      </c>
      <c r="HN70" s="675">
        <v>0</v>
      </c>
      <c r="HO70" s="675">
        <v>15000</v>
      </c>
      <c r="HP70" s="675">
        <v>0</v>
      </c>
      <c r="HQ70" s="675">
        <v>0</v>
      </c>
      <c r="HR70" s="675">
        <v>0</v>
      </c>
      <c r="HS70" s="675">
        <v>1410200</v>
      </c>
      <c r="HT70" s="675">
        <v>31434</v>
      </c>
      <c r="HU70" s="675">
        <v>0</v>
      </c>
      <c r="HV70" s="675">
        <v>0</v>
      </c>
      <c r="HW70" s="675">
        <v>0</v>
      </c>
      <c r="HX70" s="675">
        <v>23</v>
      </c>
      <c r="HY70" s="675">
        <v>10</v>
      </c>
      <c r="HZ70" s="675">
        <v>59</v>
      </c>
      <c r="IA70" s="675">
        <v>36</v>
      </c>
      <c r="IB70" s="675">
        <v>37</v>
      </c>
      <c r="IC70" s="675">
        <v>165</v>
      </c>
      <c r="ID70" s="675">
        <v>0</v>
      </c>
      <c r="IE70" s="675">
        <v>0</v>
      </c>
      <c r="IF70" s="675">
        <v>0</v>
      </c>
      <c r="IG70" s="675">
        <v>2</v>
      </c>
      <c r="IH70" s="675">
        <v>67.042000000000002</v>
      </c>
      <c r="II70" s="675">
        <v>0</v>
      </c>
      <c r="IJ70" s="675">
        <v>0</v>
      </c>
      <c r="IK70" s="675">
        <v>0</v>
      </c>
      <c r="IL70" s="675">
        <v>0</v>
      </c>
      <c r="IM70" s="675">
        <v>0</v>
      </c>
      <c r="IN70" s="675">
        <v>0</v>
      </c>
      <c r="IO70" s="675">
        <v>0</v>
      </c>
      <c r="IP70" s="675">
        <v>0</v>
      </c>
      <c r="IQ70" s="675">
        <v>0</v>
      </c>
      <c r="IR70" s="675">
        <v>0</v>
      </c>
      <c r="IS70" s="675">
        <v>0</v>
      </c>
      <c r="IT70" s="675">
        <v>0</v>
      </c>
      <c r="IU70" s="675">
        <v>0</v>
      </c>
      <c r="IV70" s="675">
        <v>0</v>
      </c>
      <c r="IW70" s="675">
        <v>6160</v>
      </c>
      <c r="IX70" s="675">
        <v>0</v>
      </c>
      <c r="IY70" s="675">
        <v>0</v>
      </c>
      <c r="IZ70" s="675">
        <v>0</v>
      </c>
      <c r="JA70" s="675">
        <v>0</v>
      </c>
      <c r="JB70" s="675">
        <v>0</v>
      </c>
      <c r="JC70" s="675">
        <v>0</v>
      </c>
      <c r="JD70" s="675">
        <v>0</v>
      </c>
      <c r="JE70" s="675">
        <v>0</v>
      </c>
      <c r="JF70" s="675">
        <v>0</v>
      </c>
      <c r="JG70" s="675">
        <v>0</v>
      </c>
      <c r="JH70" s="675">
        <v>0</v>
      </c>
      <c r="JI70" s="675">
        <v>0</v>
      </c>
      <c r="JJ70" s="675">
        <v>0</v>
      </c>
      <c r="JK70" s="675">
        <v>0</v>
      </c>
      <c r="JL70" s="675">
        <v>0</v>
      </c>
      <c r="JM70" s="675">
        <v>0</v>
      </c>
      <c r="JN70" s="675">
        <v>32469</v>
      </c>
      <c r="JO70" s="675">
        <v>0</v>
      </c>
      <c r="JP70" s="675">
        <v>0</v>
      </c>
      <c r="JQ70" s="675">
        <v>0</v>
      </c>
      <c r="JR70" s="675">
        <v>0</v>
      </c>
      <c r="JS70" s="675">
        <v>0</v>
      </c>
      <c r="JT70" s="675">
        <v>0</v>
      </c>
      <c r="JU70" s="675">
        <v>719</v>
      </c>
      <c r="JV70" s="675">
        <v>0</v>
      </c>
      <c r="JW70" s="675">
        <v>0</v>
      </c>
      <c r="JX70" s="675">
        <v>0</v>
      </c>
      <c r="JY70" s="675">
        <v>0</v>
      </c>
      <c r="JZ70" s="675">
        <v>0</v>
      </c>
      <c r="KA70" s="675">
        <v>0</v>
      </c>
      <c r="KB70" s="675">
        <v>0</v>
      </c>
      <c r="KC70" s="675">
        <v>0</v>
      </c>
      <c r="KD70" s="675">
        <v>719</v>
      </c>
      <c r="KE70" s="675">
        <v>7260</v>
      </c>
      <c r="KF70" s="675">
        <v>0</v>
      </c>
      <c r="KG70" s="675">
        <v>0</v>
      </c>
      <c r="KH70" s="675">
        <v>0</v>
      </c>
      <c r="KI70" s="675">
        <v>0</v>
      </c>
    </row>
    <row r="71" spans="1:295" ht="12.5" x14ac:dyDescent="0.25">
      <c r="A71" s="675">
        <v>35795</v>
      </c>
      <c r="B71" s="675">
        <v>101804</v>
      </c>
      <c r="C71" s="675">
        <v>9</v>
      </c>
      <c r="D71" s="675">
        <v>2022</v>
      </c>
      <c r="E71" s="675">
        <v>6160</v>
      </c>
      <c r="F71" s="675">
        <v>0</v>
      </c>
      <c r="G71" s="675">
        <v>814.88200000000006</v>
      </c>
      <c r="H71" s="675">
        <v>706.572</v>
      </c>
      <c r="I71" s="675">
        <v>706.572</v>
      </c>
      <c r="J71" s="675">
        <v>814.88200000000006</v>
      </c>
      <c r="K71" s="675">
        <v>0</v>
      </c>
      <c r="L71" s="675">
        <v>6160</v>
      </c>
      <c r="M71" s="675">
        <v>0</v>
      </c>
      <c r="N71" s="675">
        <v>0</v>
      </c>
      <c r="O71" s="675">
        <v>0</v>
      </c>
      <c r="P71" s="675">
        <v>861.63499999999999</v>
      </c>
      <c r="Q71" s="675">
        <v>0</v>
      </c>
      <c r="R71" s="675">
        <v>346746</v>
      </c>
      <c r="S71" s="675">
        <v>402.428</v>
      </c>
      <c r="T71" s="675">
        <v>0</v>
      </c>
      <c r="U71" s="675">
        <v>184390</v>
      </c>
      <c r="V71" s="675">
        <v>390.47</v>
      </c>
      <c r="W71" s="675">
        <v>240528</v>
      </c>
      <c r="X71" s="675">
        <v>240528</v>
      </c>
      <c r="Y71" s="675">
        <v>0</v>
      </c>
      <c r="Z71" s="675">
        <v>0</v>
      </c>
      <c r="AA71" s="675">
        <v>0</v>
      </c>
      <c r="AB71" s="675">
        <v>0</v>
      </c>
      <c r="AC71" s="675">
        <v>0</v>
      </c>
      <c r="AD71" s="675" t="s">
        <v>316</v>
      </c>
      <c r="AE71" s="675">
        <v>0</v>
      </c>
      <c r="AF71" s="675">
        <v>0</v>
      </c>
      <c r="AG71" s="675">
        <v>0</v>
      </c>
      <c r="AH71" s="675">
        <v>0</v>
      </c>
      <c r="AI71" s="675">
        <v>0</v>
      </c>
      <c r="AJ71" s="675">
        <v>6160</v>
      </c>
      <c r="AK71" s="675" t="s">
        <v>671</v>
      </c>
      <c r="AL71" s="675" t="s">
        <v>7</v>
      </c>
      <c r="AM71" s="675">
        <v>0</v>
      </c>
      <c r="AN71" s="675">
        <v>0</v>
      </c>
      <c r="AO71" s="675">
        <v>0</v>
      </c>
      <c r="AP71" s="675">
        <v>0</v>
      </c>
      <c r="AQ71" s="675">
        <v>0</v>
      </c>
      <c r="AR71" s="675">
        <v>0</v>
      </c>
      <c r="AS71" s="675">
        <v>0</v>
      </c>
      <c r="AT71" s="675">
        <v>0</v>
      </c>
      <c r="AU71" s="675">
        <v>0</v>
      </c>
      <c r="AV71" s="675">
        <v>-310669</v>
      </c>
      <c r="AW71" s="675">
        <v>9043832</v>
      </c>
      <c r="AX71" s="675">
        <v>8897003</v>
      </c>
      <c r="AY71" s="675">
        <v>6087152</v>
      </c>
      <c r="AZ71" s="675">
        <v>346746</v>
      </c>
      <c r="BA71" s="675">
        <v>0</v>
      </c>
      <c r="BB71" s="675">
        <v>0</v>
      </c>
      <c r="BC71" s="675">
        <v>0</v>
      </c>
      <c r="BD71" s="675">
        <v>0</v>
      </c>
      <c r="BE71" s="675">
        <v>0</v>
      </c>
      <c r="BF71" s="675">
        <v>8190911</v>
      </c>
      <c r="BG71" s="675">
        <v>0</v>
      </c>
      <c r="BH71" s="675">
        <v>0</v>
      </c>
      <c r="BI71" s="675">
        <v>0</v>
      </c>
      <c r="BJ71" s="675">
        <v>12</v>
      </c>
      <c r="BK71" s="675">
        <v>0</v>
      </c>
      <c r="BL71" s="675">
        <v>0</v>
      </c>
      <c r="BM71" s="675">
        <v>0</v>
      </c>
      <c r="BN71" s="675">
        <v>0</v>
      </c>
      <c r="BO71" s="675">
        <v>0</v>
      </c>
      <c r="BP71" s="675">
        <v>0</v>
      </c>
      <c r="BQ71" s="675">
        <v>661</v>
      </c>
      <c r="BR71" s="675">
        <v>0</v>
      </c>
      <c r="BS71" s="675">
        <v>0</v>
      </c>
      <c r="BT71" s="675">
        <v>0</v>
      </c>
      <c r="BU71" s="675">
        <v>0</v>
      </c>
      <c r="BV71" s="675">
        <v>0</v>
      </c>
      <c r="BW71" s="675">
        <v>0</v>
      </c>
      <c r="BX71" s="675">
        <v>0</v>
      </c>
      <c r="BY71" s="675">
        <v>0</v>
      </c>
      <c r="BZ71" s="675">
        <v>0</v>
      </c>
      <c r="CA71" s="675">
        <v>0</v>
      </c>
      <c r="CB71" s="675">
        <v>0</v>
      </c>
      <c r="CC71" s="675">
        <v>0</v>
      </c>
      <c r="CD71" s="675">
        <v>0</v>
      </c>
      <c r="CE71" s="675">
        <v>0</v>
      </c>
      <c r="CF71" s="675">
        <v>0</v>
      </c>
      <c r="CG71" s="675">
        <v>0</v>
      </c>
      <c r="CH71" s="675">
        <v>148930</v>
      </c>
      <c r="CI71" s="675">
        <v>0</v>
      </c>
      <c r="CJ71" s="675">
        <v>4</v>
      </c>
      <c r="CK71" s="675">
        <v>0</v>
      </c>
      <c r="CL71" s="675">
        <v>0</v>
      </c>
      <c r="CM71" s="675">
        <v>0</v>
      </c>
      <c r="CN71" s="675">
        <v>0</v>
      </c>
      <c r="CO71" s="675">
        <v>1</v>
      </c>
      <c r="CP71" s="675">
        <v>0.30499999999999999</v>
      </c>
      <c r="CQ71" s="675">
        <v>0</v>
      </c>
      <c r="CR71" s="675">
        <v>898.303</v>
      </c>
      <c r="CS71" s="675">
        <v>0</v>
      </c>
      <c r="CT71" s="675">
        <v>0</v>
      </c>
      <c r="CU71" s="675">
        <v>0</v>
      </c>
      <c r="CV71" s="675">
        <v>0</v>
      </c>
      <c r="CW71" s="675">
        <v>0</v>
      </c>
      <c r="CX71" s="675">
        <v>0</v>
      </c>
      <c r="CY71" s="675">
        <v>0</v>
      </c>
      <c r="CZ71" s="675">
        <v>0</v>
      </c>
      <c r="DA71" s="675">
        <v>0</v>
      </c>
      <c r="DB71" s="675">
        <v>4335831</v>
      </c>
      <c r="DC71" s="675">
        <v>0</v>
      </c>
      <c r="DD71" s="675">
        <v>0</v>
      </c>
      <c r="DE71" s="675">
        <v>1471232</v>
      </c>
      <c r="DF71" s="675">
        <v>1475760</v>
      </c>
      <c r="DG71" s="675">
        <v>238.83800000000002</v>
      </c>
      <c r="DH71" s="675">
        <v>0</v>
      </c>
      <c r="DI71" s="675">
        <v>4528</v>
      </c>
      <c r="DJ71" s="675">
        <v>0</v>
      </c>
      <c r="DK71" s="675">
        <v>2201</v>
      </c>
      <c r="DL71" s="675">
        <v>0</v>
      </c>
      <c r="DM71" s="675">
        <v>568247</v>
      </c>
      <c r="DN71" s="675">
        <v>2101</v>
      </c>
      <c r="DO71" s="675">
        <v>0</v>
      </c>
      <c r="DP71" s="675">
        <v>0</v>
      </c>
      <c r="DQ71" s="675">
        <v>0</v>
      </c>
      <c r="DR71" s="675">
        <v>0</v>
      </c>
      <c r="DS71" s="675">
        <v>0</v>
      </c>
      <c r="DT71" s="675">
        <v>0</v>
      </c>
      <c r="DU71" s="675">
        <v>0</v>
      </c>
      <c r="DV71" s="675">
        <v>0</v>
      </c>
      <c r="DW71" s="675">
        <v>0</v>
      </c>
      <c r="DX71" s="675">
        <v>0</v>
      </c>
      <c r="DY71" s="675">
        <v>0</v>
      </c>
      <c r="DZ71" s="675">
        <v>0</v>
      </c>
      <c r="EA71" s="675">
        <v>0</v>
      </c>
      <c r="EB71" s="675">
        <v>0</v>
      </c>
      <c r="EC71" s="675">
        <v>26.435000000000002</v>
      </c>
      <c r="ED71" s="675">
        <v>187265</v>
      </c>
      <c r="EE71" s="675">
        <v>0</v>
      </c>
      <c r="EF71" s="675">
        <v>0</v>
      </c>
      <c r="EG71" s="675">
        <v>0</v>
      </c>
      <c r="EH71" s="675">
        <v>366451</v>
      </c>
      <c r="EI71" s="675">
        <v>0</v>
      </c>
      <c r="EJ71" s="675">
        <v>0</v>
      </c>
      <c r="EK71" s="675">
        <v>14.965</v>
      </c>
      <c r="EL71" s="675">
        <v>0</v>
      </c>
      <c r="EM71" s="675">
        <v>4.3730000000000002</v>
      </c>
      <c r="EN71" s="675">
        <v>0.29500000000000004</v>
      </c>
      <c r="EO71" s="675">
        <v>0</v>
      </c>
      <c r="EP71" s="675">
        <v>0</v>
      </c>
      <c r="EQ71" s="675">
        <v>19.633000000000003</v>
      </c>
      <c r="ER71" s="675">
        <v>0</v>
      </c>
      <c r="ES71" s="675">
        <v>59.489000000000004</v>
      </c>
      <c r="ET71" s="675">
        <v>0</v>
      </c>
      <c r="EU71" s="675">
        <v>0</v>
      </c>
      <c r="EV71" s="675">
        <v>0</v>
      </c>
      <c r="EW71" s="675">
        <v>0</v>
      </c>
      <c r="EX71" s="675">
        <v>0</v>
      </c>
      <c r="EY71" s="675">
        <v>0</v>
      </c>
      <c r="EZ71" s="675">
        <v>7891488</v>
      </c>
      <c r="FA71" s="675">
        <v>0</v>
      </c>
      <c r="FB71" s="675">
        <v>8236133</v>
      </c>
      <c r="FC71" s="675">
        <v>0</v>
      </c>
      <c r="FD71" s="675">
        <v>0</v>
      </c>
      <c r="FE71" s="675">
        <v>833184</v>
      </c>
      <c r="FF71" s="675">
        <v>172331</v>
      </c>
      <c r="FG71" s="675">
        <v>6.3574999999999993E-2</v>
      </c>
      <c r="FH71" s="675">
        <v>2.6298999999999999E-2</v>
      </c>
      <c r="FI71" s="675">
        <v>0</v>
      </c>
      <c r="FJ71" s="675">
        <v>0</v>
      </c>
      <c r="FK71" s="675">
        <v>1329.7</v>
      </c>
      <c r="FL71" s="675">
        <v>9390578</v>
      </c>
      <c r="FM71" s="675">
        <v>0</v>
      </c>
      <c r="FN71" s="675">
        <v>0</v>
      </c>
      <c r="FO71" s="675">
        <v>32940</v>
      </c>
      <c r="FP71" s="675">
        <v>0</v>
      </c>
      <c r="FQ71" s="675">
        <v>37809</v>
      </c>
      <c r="FR71" s="675">
        <v>32940</v>
      </c>
      <c r="FS71" s="675">
        <v>4869</v>
      </c>
      <c r="FT71" s="675">
        <v>0</v>
      </c>
      <c r="FU71" s="675">
        <v>0</v>
      </c>
      <c r="FV71" s="675">
        <v>0</v>
      </c>
      <c r="FW71" s="675">
        <v>0</v>
      </c>
      <c r="FX71" s="675">
        <v>0</v>
      </c>
      <c r="FY71" s="675">
        <v>0</v>
      </c>
      <c r="FZ71" s="675">
        <v>0</v>
      </c>
      <c r="GA71" s="675">
        <v>0</v>
      </c>
      <c r="GB71" s="675">
        <v>783294</v>
      </c>
      <c r="GC71" s="675">
        <v>783294</v>
      </c>
      <c r="GD71" s="675">
        <v>88.677000000000007</v>
      </c>
      <c r="GE71" s="675">
        <v>0</v>
      </c>
      <c r="GF71" s="675">
        <v>0</v>
      </c>
      <c r="GG71" s="675">
        <v>0</v>
      </c>
      <c r="GH71" s="675">
        <v>0</v>
      </c>
      <c r="GI71" s="675">
        <v>0</v>
      </c>
      <c r="GJ71" s="675">
        <v>0</v>
      </c>
      <c r="GK71" s="675">
        <v>0</v>
      </c>
      <c r="GL71" s="675">
        <v>0</v>
      </c>
      <c r="GM71" s="675">
        <v>0</v>
      </c>
      <c r="GN71" s="675">
        <v>0</v>
      </c>
      <c r="GO71" s="675">
        <v>0</v>
      </c>
      <c r="GP71" s="675">
        <v>0</v>
      </c>
      <c r="GQ71" s="675">
        <v>0</v>
      </c>
      <c r="GR71" s="675">
        <v>0</v>
      </c>
      <c r="GS71" s="675">
        <v>0</v>
      </c>
      <c r="GT71" s="675">
        <v>0</v>
      </c>
      <c r="GU71" s="675">
        <v>0</v>
      </c>
      <c r="GV71" s="675">
        <v>0</v>
      </c>
      <c r="GW71" s="675">
        <v>0</v>
      </c>
      <c r="GX71" s="675">
        <v>0</v>
      </c>
      <c r="GY71" s="675">
        <v>0</v>
      </c>
      <c r="GZ71" s="675">
        <v>0</v>
      </c>
      <c r="HA71" s="675">
        <v>0</v>
      </c>
      <c r="HB71" s="675">
        <v>298386780</v>
      </c>
      <c r="HC71" s="675">
        <v>4.5690999999999996E-2</v>
      </c>
      <c r="HD71" s="675">
        <v>148930</v>
      </c>
      <c r="HE71" s="675">
        <v>0</v>
      </c>
      <c r="HF71" s="675">
        <v>777229</v>
      </c>
      <c r="HG71" s="675">
        <v>0</v>
      </c>
      <c r="HH71" s="675">
        <v>0</v>
      </c>
      <c r="HI71" s="675">
        <v>0</v>
      </c>
      <c r="HJ71" s="675">
        <v>7921</v>
      </c>
      <c r="HK71" s="675">
        <v>7524</v>
      </c>
      <c r="HL71" s="675">
        <v>1990</v>
      </c>
      <c r="HM71" s="675">
        <v>0</v>
      </c>
      <c r="HN71" s="675">
        <v>0</v>
      </c>
      <c r="HO71" s="675">
        <v>0</v>
      </c>
      <c r="HP71" s="675">
        <v>0</v>
      </c>
      <c r="HQ71" s="675">
        <v>0</v>
      </c>
      <c r="HR71" s="675">
        <v>0</v>
      </c>
      <c r="HS71" s="675">
        <v>7889387</v>
      </c>
      <c r="HT71" s="675">
        <v>172331</v>
      </c>
      <c r="HU71" s="675">
        <v>0</v>
      </c>
      <c r="HV71" s="675">
        <v>0</v>
      </c>
      <c r="HW71" s="675">
        <v>0</v>
      </c>
      <c r="HX71" s="675">
        <v>26</v>
      </c>
      <c r="HY71" s="675">
        <v>28</v>
      </c>
      <c r="HZ71" s="675">
        <v>150</v>
      </c>
      <c r="IA71" s="675">
        <v>271</v>
      </c>
      <c r="IB71" s="675">
        <v>428</v>
      </c>
      <c r="IC71" s="675">
        <v>903</v>
      </c>
      <c r="ID71" s="675">
        <v>0</v>
      </c>
      <c r="IE71" s="675">
        <v>0</v>
      </c>
      <c r="IF71" s="675">
        <v>0</v>
      </c>
      <c r="IG71" s="675">
        <v>0</v>
      </c>
      <c r="IH71" s="675">
        <v>0</v>
      </c>
      <c r="II71" s="675">
        <v>0</v>
      </c>
      <c r="IJ71" s="675">
        <v>390.47</v>
      </c>
      <c r="IK71" s="675">
        <v>0</v>
      </c>
      <c r="IL71" s="675">
        <v>0</v>
      </c>
      <c r="IM71" s="675">
        <v>0</v>
      </c>
      <c r="IN71" s="675">
        <v>0</v>
      </c>
      <c r="IO71" s="675">
        <v>0</v>
      </c>
      <c r="IP71" s="675">
        <v>0</v>
      </c>
      <c r="IQ71" s="675">
        <v>390.47</v>
      </c>
      <c r="IR71" s="675">
        <v>240528</v>
      </c>
      <c r="IS71" s="675">
        <v>0</v>
      </c>
      <c r="IT71" s="675">
        <v>0</v>
      </c>
      <c r="IU71" s="675">
        <v>0</v>
      </c>
      <c r="IV71" s="675">
        <v>0</v>
      </c>
      <c r="IW71" s="675">
        <v>6160</v>
      </c>
      <c r="IX71" s="675">
        <v>0</v>
      </c>
      <c r="IY71" s="675">
        <v>0</v>
      </c>
      <c r="IZ71" s="675">
        <v>0</v>
      </c>
      <c r="JA71" s="675">
        <v>0</v>
      </c>
      <c r="JB71" s="675">
        <v>0</v>
      </c>
      <c r="JC71" s="675">
        <v>0</v>
      </c>
      <c r="JD71" s="675">
        <v>0</v>
      </c>
      <c r="JE71" s="675">
        <v>0</v>
      </c>
      <c r="JF71" s="675">
        <v>0</v>
      </c>
      <c r="JG71" s="675">
        <v>0</v>
      </c>
      <c r="JH71" s="675">
        <v>0</v>
      </c>
      <c r="JI71" s="675">
        <v>0</v>
      </c>
      <c r="JJ71" s="675">
        <v>0</v>
      </c>
      <c r="JK71" s="675">
        <v>0</v>
      </c>
      <c r="JL71" s="675">
        <v>0</v>
      </c>
      <c r="JM71" s="675">
        <v>0</v>
      </c>
      <c r="JN71" s="675">
        <v>32469</v>
      </c>
      <c r="JO71" s="675">
        <v>40.447000000000003</v>
      </c>
      <c r="JP71" s="675">
        <v>39.463999999999999</v>
      </c>
      <c r="JQ71" s="675">
        <v>8.766</v>
      </c>
      <c r="JR71" s="675">
        <v>323010</v>
      </c>
      <c r="JS71" s="675">
        <v>366731</v>
      </c>
      <c r="JT71" s="675">
        <v>93553</v>
      </c>
      <c r="JU71" s="675">
        <v>0</v>
      </c>
      <c r="JV71" s="675">
        <v>0</v>
      </c>
      <c r="JW71" s="675">
        <v>0</v>
      </c>
      <c r="JX71" s="675">
        <v>0</v>
      </c>
      <c r="JY71" s="675">
        <v>0</v>
      </c>
      <c r="JZ71" s="675">
        <v>0</v>
      </c>
      <c r="KA71" s="675">
        <v>0</v>
      </c>
      <c r="KB71" s="675">
        <v>0</v>
      </c>
      <c r="KC71" s="675">
        <v>0</v>
      </c>
      <c r="KD71" s="675">
        <v>0</v>
      </c>
      <c r="KE71" s="675">
        <v>7260</v>
      </c>
      <c r="KF71" s="675">
        <v>0</v>
      </c>
      <c r="KG71" s="675">
        <v>0</v>
      </c>
      <c r="KH71" s="675">
        <v>0</v>
      </c>
      <c r="KI71" s="675">
        <v>0</v>
      </c>
    </row>
    <row r="72" spans="1:295" ht="12.5" x14ac:dyDescent="0.25">
      <c r="A72" s="675">
        <v>35795</v>
      </c>
      <c r="B72" s="675">
        <v>108804</v>
      </c>
      <c r="C72" s="675">
        <v>9</v>
      </c>
      <c r="D72" s="675">
        <v>2022</v>
      </c>
      <c r="E72" s="675">
        <v>6160</v>
      </c>
      <c r="F72" s="675">
        <v>0</v>
      </c>
      <c r="G72" s="675">
        <v>377.00700000000001</v>
      </c>
      <c r="H72" s="675">
        <v>348.50800000000004</v>
      </c>
      <c r="I72" s="675">
        <v>348.50800000000004</v>
      </c>
      <c r="J72" s="675">
        <v>377.00700000000001</v>
      </c>
      <c r="K72" s="675">
        <v>0</v>
      </c>
      <c r="L72" s="675">
        <v>6160</v>
      </c>
      <c r="M72" s="675">
        <v>0</v>
      </c>
      <c r="N72" s="675">
        <v>0</v>
      </c>
      <c r="O72" s="675">
        <v>0</v>
      </c>
      <c r="P72" s="675">
        <v>429.70699999999999</v>
      </c>
      <c r="Q72" s="675">
        <v>0</v>
      </c>
      <c r="R72" s="675">
        <v>172926</v>
      </c>
      <c r="S72" s="675">
        <v>402.428</v>
      </c>
      <c r="T72" s="675">
        <v>0</v>
      </c>
      <c r="U72" s="675">
        <v>91959</v>
      </c>
      <c r="V72" s="675">
        <v>76.685000000000002</v>
      </c>
      <c r="W72" s="675">
        <v>47238</v>
      </c>
      <c r="X72" s="675">
        <v>47238</v>
      </c>
      <c r="Y72" s="675">
        <v>0</v>
      </c>
      <c r="Z72" s="675">
        <v>0</v>
      </c>
      <c r="AA72" s="675">
        <v>0</v>
      </c>
      <c r="AB72" s="675">
        <v>0</v>
      </c>
      <c r="AC72" s="675">
        <v>0</v>
      </c>
      <c r="AD72" s="675" t="s">
        <v>316</v>
      </c>
      <c r="AE72" s="675">
        <v>0</v>
      </c>
      <c r="AF72" s="675">
        <v>0</v>
      </c>
      <c r="AG72" s="675">
        <v>0</v>
      </c>
      <c r="AH72" s="675">
        <v>0</v>
      </c>
      <c r="AI72" s="675">
        <v>0</v>
      </c>
      <c r="AJ72" s="675">
        <v>6160</v>
      </c>
      <c r="AK72" s="675" t="s">
        <v>671</v>
      </c>
      <c r="AL72" s="675" t="s">
        <v>467</v>
      </c>
      <c r="AM72" s="675">
        <v>0</v>
      </c>
      <c r="AN72" s="675">
        <v>0</v>
      </c>
      <c r="AO72" s="675">
        <v>0</v>
      </c>
      <c r="AP72" s="675">
        <v>0</v>
      </c>
      <c r="AQ72" s="675">
        <v>0</v>
      </c>
      <c r="AR72" s="675">
        <v>0</v>
      </c>
      <c r="AS72" s="675">
        <v>0</v>
      </c>
      <c r="AT72" s="675">
        <v>0</v>
      </c>
      <c r="AU72" s="675">
        <v>0</v>
      </c>
      <c r="AV72" s="675">
        <v>-5769</v>
      </c>
      <c r="AW72" s="675">
        <v>4284123</v>
      </c>
      <c r="AX72" s="675">
        <v>4176115</v>
      </c>
      <c r="AY72" s="675">
        <v>2897305</v>
      </c>
      <c r="AZ72" s="675">
        <v>172926</v>
      </c>
      <c r="BA72" s="675">
        <v>0</v>
      </c>
      <c r="BB72" s="675">
        <v>0</v>
      </c>
      <c r="BC72" s="675">
        <v>0</v>
      </c>
      <c r="BD72" s="675">
        <v>0</v>
      </c>
      <c r="BE72" s="675">
        <v>0</v>
      </c>
      <c r="BF72" s="675">
        <v>3785117</v>
      </c>
      <c r="BG72" s="675">
        <v>0</v>
      </c>
      <c r="BH72" s="675">
        <v>0</v>
      </c>
      <c r="BI72" s="675">
        <v>0</v>
      </c>
      <c r="BJ72" s="675">
        <v>12</v>
      </c>
      <c r="BK72" s="675">
        <v>0</v>
      </c>
      <c r="BL72" s="675">
        <v>0</v>
      </c>
      <c r="BM72" s="675">
        <v>0</v>
      </c>
      <c r="BN72" s="675">
        <v>0</v>
      </c>
      <c r="BO72" s="675">
        <v>0</v>
      </c>
      <c r="BP72" s="675">
        <v>0</v>
      </c>
      <c r="BQ72" s="675">
        <v>716</v>
      </c>
      <c r="BR72" s="675">
        <v>0</v>
      </c>
      <c r="BS72" s="675">
        <v>0</v>
      </c>
      <c r="BT72" s="675">
        <v>0</v>
      </c>
      <c r="BU72" s="675">
        <v>0</v>
      </c>
      <c r="BV72" s="675">
        <v>0</v>
      </c>
      <c r="BW72" s="675">
        <v>0</v>
      </c>
      <c r="BX72" s="675">
        <v>0</v>
      </c>
      <c r="BY72" s="675">
        <v>0</v>
      </c>
      <c r="BZ72" s="675">
        <v>0</v>
      </c>
      <c r="CA72" s="675">
        <v>0</v>
      </c>
      <c r="CB72" s="675">
        <v>0</v>
      </c>
      <c r="CC72" s="675">
        <v>0</v>
      </c>
      <c r="CD72" s="675">
        <v>0</v>
      </c>
      <c r="CE72" s="675">
        <v>0</v>
      </c>
      <c r="CF72" s="675">
        <v>0</v>
      </c>
      <c r="CG72" s="675">
        <v>0</v>
      </c>
      <c r="CH72" s="675">
        <v>108883</v>
      </c>
      <c r="CI72" s="675">
        <v>0</v>
      </c>
      <c r="CJ72" s="675">
        <v>4</v>
      </c>
      <c r="CK72" s="675">
        <v>0</v>
      </c>
      <c r="CL72" s="675">
        <v>0</v>
      </c>
      <c r="CM72" s="675">
        <v>0</v>
      </c>
      <c r="CN72" s="675">
        <v>0</v>
      </c>
      <c r="CO72" s="675">
        <v>1</v>
      </c>
      <c r="CP72" s="675">
        <v>1.9580000000000002</v>
      </c>
      <c r="CQ72" s="675">
        <v>0</v>
      </c>
      <c r="CR72" s="675">
        <v>443.09399999999999</v>
      </c>
      <c r="CS72" s="675">
        <v>0</v>
      </c>
      <c r="CT72" s="675">
        <v>0</v>
      </c>
      <c r="CU72" s="675">
        <v>0</v>
      </c>
      <c r="CV72" s="675">
        <v>0</v>
      </c>
      <c r="CW72" s="675">
        <v>0</v>
      </c>
      <c r="CX72" s="675">
        <v>0</v>
      </c>
      <c r="CY72" s="675">
        <v>0</v>
      </c>
      <c r="CZ72" s="675">
        <v>0</v>
      </c>
      <c r="DA72" s="675">
        <v>0</v>
      </c>
      <c r="DB72" s="675">
        <v>2055482</v>
      </c>
      <c r="DC72" s="675">
        <v>0</v>
      </c>
      <c r="DD72" s="675">
        <v>0</v>
      </c>
      <c r="DE72" s="675">
        <v>706857</v>
      </c>
      <c r="DF72" s="675">
        <v>735925</v>
      </c>
      <c r="DG72" s="675">
        <v>114.75</v>
      </c>
      <c r="DH72" s="675">
        <v>0</v>
      </c>
      <c r="DI72" s="675">
        <v>29068</v>
      </c>
      <c r="DJ72" s="675">
        <v>0</v>
      </c>
      <c r="DK72" s="675">
        <v>3084</v>
      </c>
      <c r="DL72" s="675">
        <v>0</v>
      </c>
      <c r="DM72" s="675">
        <v>320996</v>
      </c>
      <c r="DN72" s="675">
        <v>875</v>
      </c>
      <c r="DO72" s="675">
        <v>0</v>
      </c>
      <c r="DP72" s="675">
        <v>0</v>
      </c>
      <c r="DQ72" s="675">
        <v>0</v>
      </c>
      <c r="DR72" s="675">
        <v>0</v>
      </c>
      <c r="DS72" s="675">
        <v>0</v>
      </c>
      <c r="DT72" s="675">
        <v>0</v>
      </c>
      <c r="DU72" s="675">
        <v>0</v>
      </c>
      <c r="DV72" s="675">
        <v>0</v>
      </c>
      <c r="DW72" s="675">
        <v>0</v>
      </c>
      <c r="DX72" s="675">
        <v>0</v>
      </c>
      <c r="DY72" s="675">
        <v>0</v>
      </c>
      <c r="DZ72" s="675">
        <v>0</v>
      </c>
      <c r="EA72" s="675">
        <v>0.158</v>
      </c>
      <c r="EB72" s="675">
        <v>0</v>
      </c>
      <c r="EC72" s="675">
        <v>31.118000000000002</v>
      </c>
      <c r="ED72" s="675">
        <v>220439</v>
      </c>
      <c r="EE72" s="675">
        <v>0</v>
      </c>
      <c r="EF72" s="675">
        <v>0</v>
      </c>
      <c r="EG72" s="675">
        <v>0</v>
      </c>
      <c r="EH72" s="675">
        <v>10115</v>
      </c>
      <c r="EI72" s="675">
        <v>0</v>
      </c>
      <c r="EJ72" s="675">
        <v>0</v>
      </c>
      <c r="EK72" s="675">
        <v>0.14899999999999999</v>
      </c>
      <c r="EL72" s="675">
        <v>0</v>
      </c>
      <c r="EM72" s="675">
        <v>0</v>
      </c>
      <c r="EN72" s="675">
        <v>8.1000000000000003E-2</v>
      </c>
      <c r="EO72" s="675">
        <v>0</v>
      </c>
      <c r="EP72" s="675">
        <v>0</v>
      </c>
      <c r="EQ72" s="675">
        <v>0.38800000000000001</v>
      </c>
      <c r="ER72" s="675">
        <v>0</v>
      </c>
      <c r="ES72" s="675">
        <v>1.6420000000000001</v>
      </c>
      <c r="ET72" s="675">
        <v>0</v>
      </c>
      <c r="EU72" s="675">
        <v>0</v>
      </c>
      <c r="EV72" s="675">
        <v>0</v>
      </c>
      <c r="EW72" s="675">
        <v>0</v>
      </c>
      <c r="EX72" s="675">
        <v>0</v>
      </c>
      <c r="EY72" s="675">
        <v>0</v>
      </c>
      <c r="EZ72" s="675">
        <v>3711455</v>
      </c>
      <c r="FA72" s="675">
        <v>0</v>
      </c>
      <c r="FB72" s="675">
        <v>3883506</v>
      </c>
      <c r="FC72" s="675">
        <v>0</v>
      </c>
      <c r="FD72" s="675">
        <v>0</v>
      </c>
      <c r="FE72" s="675">
        <v>385024</v>
      </c>
      <c r="FF72" s="675">
        <v>79636</v>
      </c>
      <c r="FG72" s="675">
        <v>6.3574999999999993E-2</v>
      </c>
      <c r="FH72" s="675">
        <v>2.6298999999999999E-2</v>
      </c>
      <c r="FI72" s="675">
        <v>0</v>
      </c>
      <c r="FJ72" s="675">
        <v>0</v>
      </c>
      <c r="FK72" s="675">
        <v>614.47</v>
      </c>
      <c r="FL72" s="675">
        <v>4457049</v>
      </c>
      <c r="FM72" s="675">
        <v>0</v>
      </c>
      <c r="FN72" s="675">
        <v>0</v>
      </c>
      <c r="FO72" s="675">
        <v>0</v>
      </c>
      <c r="FP72" s="675">
        <v>0</v>
      </c>
      <c r="FQ72" s="675">
        <v>0</v>
      </c>
      <c r="FR72" s="675">
        <v>0</v>
      </c>
      <c r="FS72" s="675">
        <v>0</v>
      </c>
      <c r="FT72" s="675">
        <v>0</v>
      </c>
      <c r="FU72" s="675">
        <v>0</v>
      </c>
      <c r="FV72" s="675">
        <v>0</v>
      </c>
      <c r="FW72" s="675">
        <v>0</v>
      </c>
      <c r="FX72" s="675">
        <v>0</v>
      </c>
      <c r="FY72" s="675">
        <v>0</v>
      </c>
      <c r="FZ72" s="675">
        <v>0</v>
      </c>
      <c r="GA72" s="675">
        <v>0</v>
      </c>
      <c r="GB72" s="675">
        <v>236935</v>
      </c>
      <c r="GC72" s="675">
        <v>236935</v>
      </c>
      <c r="GD72" s="675">
        <v>28.111000000000001</v>
      </c>
      <c r="GE72" s="675">
        <v>0</v>
      </c>
      <c r="GF72" s="675">
        <v>0</v>
      </c>
      <c r="GG72" s="675">
        <v>0</v>
      </c>
      <c r="GH72" s="675">
        <v>0</v>
      </c>
      <c r="GI72" s="675">
        <v>0</v>
      </c>
      <c r="GJ72" s="675">
        <v>0</v>
      </c>
      <c r="GK72" s="675">
        <v>0</v>
      </c>
      <c r="GL72" s="675">
        <v>0</v>
      </c>
      <c r="GM72" s="675">
        <v>0</v>
      </c>
      <c r="GN72" s="675">
        <v>0</v>
      </c>
      <c r="GO72" s="675">
        <v>0</v>
      </c>
      <c r="GP72" s="675">
        <v>0</v>
      </c>
      <c r="GQ72" s="675">
        <v>0</v>
      </c>
      <c r="GR72" s="675">
        <v>0</v>
      </c>
      <c r="GS72" s="675">
        <v>0</v>
      </c>
      <c r="GT72" s="675">
        <v>0</v>
      </c>
      <c r="GU72" s="675">
        <v>0</v>
      </c>
      <c r="GV72" s="675">
        <v>0</v>
      </c>
      <c r="GW72" s="675">
        <v>0</v>
      </c>
      <c r="GX72" s="675">
        <v>0</v>
      </c>
      <c r="GY72" s="675">
        <v>0</v>
      </c>
      <c r="GZ72" s="675">
        <v>0</v>
      </c>
      <c r="HA72" s="675">
        <v>0</v>
      </c>
      <c r="HB72" s="675">
        <v>298386780</v>
      </c>
      <c r="HC72" s="675">
        <v>4.5690999999999996E-2</v>
      </c>
      <c r="HD72" s="675">
        <v>68903</v>
      </c>
      <c r="HE72" s="675">
        <v>0</v>
      </c>
      <c r="HF72" s="675">
        <v>383359</v>
      </c>
      <c r="HG72" s="675">
        <v>642</v>
      </c>
      <c r="HH72" s="675">
        <v>0</v>
      </c>
      <c r="HI72" s="675">
        <v>0</v>
      </c>
      <c r="HJ72" s="675">
        <v>3665</v>
      </c>
      <c r="HK72" s="675">
        <v>4680</v>
      </c>
      <c r="HL72" s="675">
        <v>417</v>
      </c>
      <c r="HM72" s="675">
        <v>0</v>
      </c>
      <c r="HN72" s="675">
        <v>0</v>
      </c>
      <c r="HO72" s="675">
        <v>0</v>
      </c>
      <c r="HP72" s="675">
        <v>94167</v>
      </c>
      <c r="HQ72" s="675">
        <v>0</v>
      </c>
      <c r="HR72" s="675">
        <v>0</v>
      </c>
      <c r="HS72" s="675">
        <v>3710580</v>
      </c>
      <c r="HT72" s="675">
        <v>79636</v>
      </c>
      <c r="HU72" s="675">
        <v>0</v>
      </c>
      <c r="HV72" s="675">
        <v>0</v>
      </c>
      <c r="HW72" s="675">
        <v>0</v>
      </c>
      <c r="HX72" s="675">
        <v>29</v>
      </c>
      <c r="HY72" s="675">
        <v>52</v>
      </c>
      <c r="HZ72" s="675">
        <v>98</v>
      </c>
      <c r="IA72" s="675">
        <v>120</v>
      </c>
      <c r="IB72" s="675">
        <v>145</v>
      </c>
      <c r="IC72" s="675">
        <v>444</v>
      </c>
      <c r="ID72" s="675">
        <v>0</v>
      </c>
      <c r="IE72" s="675">
        <v>0</v>
      </c>
      <c r="IF72" s="675">
        <v>0</v>
      </c>
      <c r="IG72" s="675">
        <v>1.042</v>
      </c>
      <c r="IH72" s="675">
        <v>0</v>
      </c>
      <c r="II72" s="675">
        <v>342.42500000000001</v>
      </c>
      <c r="IJ72" s="675">
        <v>76.685000000000002</v>
      </c>
      <c r="IK72" s="675">
        <v>0</v>
      </c>
      <c r="IL72" s="675">
        <v>0</v>
      </c>
      <c r="IM72" s="675">
        <v>0</v>
      </c>
      <c r="IN72" s="675">
        <v>0</v>
      </c>
      <c r="IO72" s="675">
        <v>0</v>
      </c>
      <c r="IP72" s="675">
        <v>342.42500000000001</v>
      </c>
      <c r="IQ72" s="675">
        <v>76.685000000000002</v>
      </c>
      <c r="IR72" s="675">
        <v>47238</v>
      </c>
      <c r="IS72" s="675">
        <v>0</v>
      </c>
      <c r="IT72" s="675">
        <v>0</v>
      </c>
      <c r="IU72" s="675">
        <v>0</v>
      </c>
      <c r="IV72" s="675">
        <v>0</v>
      </c>
      <c r="IW72" s="675">
        <v>6160</v>
      </c>
      <c r="IX72" s="675">
        <v>0</v>
      </c>
      <c r="IY72" s="675">
        <v>0</v>
      </c>
      <c r="IZ72" s="675">
        <v>94167</v>
      </c>
      <c r="JA72" s="675">
        <v>0</v>
      </c>
      <c r="JB72" s="675">
        <v>0</v>
      </c>
      <c r="JC72" s="675">
        <v>0</v>
      </c>
      <c r="JD72" s="675">
        <v>0</v>
      </c>
      <c r="JE72" s="675">
        <v>0</v>
      </c>
      <c r="JF72" s="675">
        <v>0</v>
      </c>
      <c r="JG72" s="675">
        <v>0</v>
      </c>
      <c r="JH72" s="675">
        <v>0</v>
      </c>
      <c r="JI72" s="675">
        <v>0</v>
      </c>
      <c r="JJ72" s="675">
        <v>0</v>
      </c>
      <c r="JK72" s="675">
        <v>0</v>
      </c>
      <c r="JL72" s="675">
        <v>0</v>
      </c>
      <c r="JM72" s="675">
        <v>0</v>
      </c>
      <c r="JN72" s="675">
        <v>32469</v>
      </c>
      <c r="JO72" s="675">
        <v>18.614000000000001</v>
      </c>
      <c r="JP72" s="675">
        <v>9.4749999999999996</v>
      </c>
      <c r="JQ72" s="675">
        <v>2.2000000000000002E-2</v>
      </c>
      <c r="JR72" s="675">
        <v>148651</v>
      </c>
      <c r="JS72" s="675">
        <v>88049</v>
      </c>
      <c r="JT72" s="675">
        <v>235</v>
      </c>
      <c r="JU72" s="675">
        <v>0</v>
      </c>
      <c r="JV72" s="675">
        <v>0</v>
      </c>
      <c r="JW72" s="675">
        <v>0</v>
      </c>
      <c r="JX72" s="675">
        <v>0</v>
      </c>
      <c r="JY72" s="675">
        <v>0</v>
      </c>
      <c r="JZ72" s="675">
        <v>0</v>
      </c>
      <c r="KA72" s="675">
        <v>0</v>
      </c>
      <c r="KB72" s="675">
        <v>0</v>
      </c>
      <c r="KC72" s="675">
        <v>0</v>
      </c>
      <c r="KD72" s="675">
        <v>0</v>
      </c>
      <c r="KE72" s="675">
        <v>7260</v>
      </c>
      <c r="KF72" s="675">
        <v>39980</v>
      </c>
      <c r="KG72" s="675">
        <v>0</v>
      </c>
      <c r="KH72" s="675">
        <v>0</v>
      </c>
      <c r="KI72" s="675">
        <v>0</v>
      </c>
    </row>
    <row r="73" spans="1:295" ht="12.5" x14ac:dyDescent="0.25">
      <c r="A73" s="675">
        <v>35795</v>
      </c>
      <c r="B73" s="675">
        <v>212804</v>
      </c>
      <c r="C73" s="675">
        <v>9</v>
      </c>
      <c r="D73" s="675">
        <v>2022</v>
      </c>
      <c r="E73" s="675">
        <v>6160</v>
      </c>
      <c r="F73" s="675">
        <v>0</v>
      </c>
      <c r="G73" s="675">
        <v>795.65</v>
      </c>
      <c r="H73" s="675">
        <v>715.20100000000002</v>
      </c>
      <c r="I73" s="675">
        <v>715.20100000000002</v>
      </c>
      <c r="J73" s="675">
        <v>795.65</v>
      </c>
      <c r="K73" s="675">
        <v>0</v>
      </c>
      <c r="L73" s="675">
        <v>6160</v>
      </c>
      <c r="M73" s="675">
        <v>0</v>
      </c>
      <c r="N73" s="675">
        <v>0</v>
      </c>
      <c r="O73" s="675">
        <v>0</v>
      </c>
      <c r="P73" s="675">
        <v>782.11099999999999</v>
      </c>
      <c r="Q73" s="675">
        <v>0</v>
      </c>
      <c r="R73" s="675">
        <v>314743</v>
      </c>
      <c r="S73" s="675">
        <v>402.428</v>
      </c>
      <c r="T73" s="675">
        <v>0</v>
      </c>
      <c r="U73" s="675">
        <v>167374</v>
      </c>
      <c r="V73" s="675">
        <v>19.150000000000002</v>
      </c>
      <c r="W73" s="675">
        <v>11796</v>
      </c>
      <c r="X73" s="675">
        <v>11796</v>
      </c>
      <c r="Y73" s="675">
        <v>0</v>
      </c>
      <c r="Z73" s="675">
        <v>0</v>
      </c>
      <c r="AA73" s="675">
        <v>0</v>
      </c>
      <c r="AB73" s="675">
        <v>0</v>
      </c>
      <c r="AC73" s="675">
        <v>0</v>
      </c>
      <c r="AD73" s="675" t="s">
        <v>316</v>
      </c>
      <c r="AE73" s="675">
        <v>0</v>
      </c>
      <c r="AF73" s="675">
        <v>0</v>
      </c>
      <c r="AG73" s="675">
        <v>0</v>
      </c>
      <c r="AH73" s="675">
        <v>0</v>
      </c>
      <c r="AI73" s="675">
        <v>0</v>
      </c>
      <c r="AJ73" s="675">
        <v>6160</v>
      </c>
      <c r="AK73" s="675" t="s">
        <v>671</v>
      </c>
      <c r="AL73" s="675" t="s">
        <v>469</v>
      </c>
      <c r="AM73" s="675">
        <v>0</v>
      </c>
      <c r="AN73" s="675">
        <v>0</v>
      </c>
      <c r="AO73" s="675">
        <v>0</v>
      </c>
      <c r="AP73" s="675">
        <v>0</v>
      </c>
      <c r="AQ73" s="675">
        <v>0</v>
      </c>
      <c r="AR73" s="675">
        <v>0</v>
      </c>
      <c r="AS73" s="675">
        <v>0</v>
      </c>
      <c r="AT73" s="675">
        <v>0</v>
      </c>
      <c r="AU73" s="675">
        <v>0</v>
      </c>
      <c r="AV73" s="675">
        <v>-1957</v>
      </c>
      <c r="AW73" s="675">
        <v>7570179</v>
      </c>
      <c r="AX73" s="675">
        <v>7426455</v>
      </c>
      <c r="AY73" s="675">
        <v>5071427</v>
      </c>
      <c r="AZ73" s="675">
        <v>314743</v>
      </c>
      <c r="BA73" s="675">
        <v>0</v>
      </c>
      <c r="BB73" s="675">
        <v>17154</v>
      </c>
      <c r="BC73" s="675">
        <v>17043</v>
      </c>
      <c r="BD73" s="675">
        <v>39.783000000000001</v>
      </c>
      <c r="BE73" s="675">
        <v>111</v>
      </c>
      <c r="BF73" s="675">
        <v>6890418</v>
      </c>
      <c r="BG73" s="675">
        <v>0</v>
      </c>
      <c r="BH73" s="675">
        <v>0</v>
      </c>
      <c r="BI73" s="675">
        <v>0</v>
      </c>
      <c r="BJ73" s="675">
        <v>12</v>
      </c>
      <c r="BK73" s="675">
        <v>0</v>
      </c>
      <c r="BL73" s="675">
        <v>0</v>
      </c>
      <c r="BM73" s="675">
        <v>0</v>
      </c>
      <c r="BN73" s="675">
        <v>0</v>
      </c>
      <c r="BO73" s="675">
        <v>0</v>
      </c>
      <c r="BP73" s="675">
        <v>0</v>
      </c>
      <c r="BQ73" s="675">
        <v>660</v>
      </c>
      <c r="BR73" s="675">
        <v>0</v>
      </c>
      <c r="BS73" s="675">
        <v>0</v>
      </c>
      <c r="BT73" s="675">
        <v>0</v>
      </c>
      <c r="BU73" s="675">
        <v>0</v>
      </c>
      <c r="BV73" s="675">
        <v>0</v>
      </c>
      <c r="BW73" s="675">
        <v>0</v>
      </c>
      <c r="BX73" s="675">
        <v>0</v>
      </c>
      <c r="BY73" s="675">
        <v>0</v>
      </c>
      <c r="BZ73" s="675">
        <v>0</v>
      </c>
      <c r="CA73" s="675">
        <v>0</v>
      </c>
      <c r="CB73" s="675">
        <v>0</v>
      </c>
      <c r="CC73" s="675">
        <v>0</v>
      </c>
      <c r="CD73" s="675">
        <v>0</v>
      </c>
      <c r="CE73" s="675">
        <v>0</v>
      </c>
      <c r="CF73" s="675">
        <v>0</v>
      </c>
      <c r="CG73" s="675">
        <v>0</v>
      </c>
      <c r="CH73" s="675">
        <v>145415</v>
      </c>
      <c r="CI73" s="675">
        <v>0</v>
      </c>
      <c r="CJ73" s="675">
        <v>4</v>
      </c>
      <c r="CK73" s="675">
        <v>0</v>
      </c>
      <c r="CL73" s="675">
        <v>0</v>
      </c>
      <c r="CM73" s="675">
        <v>0</v>
      </c>
      <c r="CN73" s="675">
        <v>0</v>
      </c>
      <c r="CO73" s="675">
        <v>1</v>
      </c>
      <c r="CP73" s="675">
        <v>0</v>
      </c>
      <c r="CQ73" s="675">
        <v>0</v>
      </c>
      <c r="CR73" s="675">
        <v>839.23500000000001</v>
      </c>
      <c r="CS73" s="675">
        <v>0</v>
      </c>
      <c r="CT73" s="675">
        <v>0</v>
      </c>
      <c r="CU73" s="675">
        <v>0</v>
      </c>
      <c r="CV73" s="675">
        <v>0</v>
      </c>
      <c r="CW73" s="675">
        <v>0</v>
      </c>
      <c r="CX73" s="675">
        <v>0</v>
      </c>
      <c r="CY73" s="675">
        <v>0</v>
      </c>
      <c r="CZ73" s="675">
        <v>0</v>
      </c>
      <c r="DA73" s="675">
        <v>0</v>
      </c>
      <c r="DB73" s="675">
        <v>4405618</v>
      </c>
      <c r="DC73" s="675">
        <v>0</v>
      </c>
      <c r="DD73" s="675">
        <v>0</v>
      </c>
      <c r="DE73" s="675">
        <v>437127</v>
      </c>
      <c r="DF73" s="675">
        <v>437127</v>
      </c>
      <c r="DG73" s="675">
        <v>70.963000000000008</v>
      </c>
      <c r="DH73" s="675">
        <v>0</v>
      </c>
      <c r="DI73" s="675">
        <v>0</v>
      </c>
      <c r="DJ73" s="675">
        <v>0</v>
      </c>
      <c r="DK73" s="675">
        <v>2180</v>
      </c>
      <c r="DL73" s="675">
        <v>0</v>
      </c>
      <c r="DM73" s="675">
        <v>414769</v>
      </c>
      <c r="DN73" s="675">
        <v>1580</v>
      </c>
      <c r="DO73" s="675">
        <v>0</v>
      </c>
      <c r="DP73" s="675">
        <v>0</v>
      </c>
      <c r="DQ73" s="675">
        <v>0</v>
      </c>
      <c r="DR73" s="675">
        <v>0</v>
      </c>
      <c r="DS73" s="675">
        <v>0</v>
      </c>
      <c r="DT73" s="675">
        <v>0</v>
      </c>
      <c r="DU73" s="675">
        <v>0</v>
      </c>
      <c r="DV73" s="675">
        <v>0</v>
      </c>
      <c r="DW73" s="675">
        <v>0</v>
      </c>
      <c r="DX73" s="675">
        <v>0</v>
      </c>
      <c r="DY73" s="675">
        <v>0</v>
      </c>
      <c r="DZ73" s="675">
        <v>0</v>
      </c>
      <c r="EA73" s="675">
        <v>0</v>
      </c>
      <c r="EB73" s="675">
        <v>0</v>
      </c>
      <c r="EC73" s="675">
        <v>19.183</v>
      </c>
      <c r="ED73" s="675">
        <v>135892</v>
      </c>
      <c r="EE73" s="675">
        <v>0</v>
      </c>
      <c r="EF73" s="675">
        <v>0</v>
      </c>
      <c r="EG73" s="675">
        <v>0</v>
      </c>
      <c r="EH73" s="675">
        <v>280457</v>
      </c>
      <c r="EI73" s="675">
        <v>0</v>
      </c>
      <c r="EJ73" s="675">
        <v>0</v>
      </c>
      <c r="EK73" s="675">
        <v>11.913</v>
      </c>
      <c r="EL73" s="675">
        <v>0</v>
      </c>
      <c r="EM73" s="675">
        <v>0</v>
      </c>
      <c r="EN73" s="675">
        <v>1.9580000000000002</v>
      </c>
      <c r="EO73" s="675">
        <v>0</v>
      </c>
      <c r="EP73" s="675">
        <v>0</v>
      </c>
      <c r="EQ73" s="675">
        <v>13.871</v>
      </c>
      <c r="ER73" s="675">
        <v>0</v>
      </c>
      <c r="ES73" s="675">
        <v>45.529000000000003</v>
      </c>
      <c r="ET73" s="675">
        <v>0</v>
      </c>
      <c r="EU73" s="675">
        <v>0</v>
      </c>
      <c r="EV73" s="675">
        <v>0</v>
      </c>
      <c r="EW73" s="675">
        <v>0</v>
      </c>
      <c r="EX73" s="675">
        <v>0</v>
      </c>
      <c r="EY73" s="675">
        <v>0</v>
      </c>
      <c r="EZ73" s="675">
        <v>6580588</v>
      </c>
      <c r="FA73" s="675">
        <v>0</v>
      </c>
      <c r="FB73" s="675">
        <v>6893640</v>
      </c>
      <c r="FC73" s="675">
        <v>0</v>
      </c>
      <c r="FD73" s="675">
        <v>0</v>
      </c>
      <c r="FE73" s="675">
        <v>700897</v>
      </c>
      <c r="FF73" s="675">
        <v>144970</v>
      </c>
      <c r="FG73" s="675">
        <v>6.3574999999999993E-2</v>
      </c>
      <c r="FH73" s="675">
        <v>2.6298999999999999E-2</v>
      </c>
      <c r="FI73" s="675">
        <v>0</v>
      </c>
      <c r="FJ73" s="675">
        <v>0</v>
      </c>
      <c r="FK73" s="675">
        <v>1118.58</v>
      </c>
      <c r="FL73" s="675">
        <v>7884922</v>
      </c>
      <c r="FM73" s="675">
        <v>0</v>
      </c>
      <c r="FN73" s="675">
        <v>0</v>
      </c>
      <c r="FO73" s="675">
        <v>0</v>
      </c>
      <c r="FP73" s="675">
        <v>0</v>
      </c>
      <c r="FQ73" s="675">
        <v>0</v>
      </c>
      <c r="FR73" s="675">
        <v>0</v>
      </c>
      <c r="FS73" s="675">
        <v>0</v>
      </c>
      <c r="FT73" s="675">
        <v>0</v>
      </c>
      <c r="FU73" s="675">
        <v>0</v>
      </c>
      <c r="FV73" s="675">
        <v>0</v>
      </c>
      <c r="FW73" s="675">
        <v>0</v>
      </c>
      <c r="FX73" s="675">
        <v>0</v>
      </c>
      <c r="FY73" s="675">
        <v>0</v>
      </c>
      <c r="FZ73" s="675">
        <v>0</v>
      </c>
      <c r="GA73" s="675">
        <v>0</v>
      </c>
      <c r="GB73" s="675">
        <v>628710</v>
      </c>
      <c r="GC73" s="675">
        <v>628710</v>
      </c>
      <c r="GD73" s="675">
        <v>66.578000000000003</v>
      </c>
      <c r="GE73" s="675">
        <v>0</v>
      </c>
      <c r="GF73" s="675">
        <v>0</v>
      </c>
      <c r="GG73" s="675">
        <v>0</v>
      </c>
      <c r="GH73" s="675">
        <v>0</v>
      </c>
      <c r="GI73" s="675">
        <v>0</v>
      </c>
      <c r="GJ73" s="675">
        <v>0</v>
      </c>
      <c r="GK73" s="675">
        <v>0</v>
      </c>
      <c r="GL73" s="675">
        <v>0</v>
      </c>
      <c r="GM73" s="675">
        <v>0</v>
      </c>
      <c r="GN73" s="675">
        <v>0</v>
      </c>
      <c r="GO73" s="675">
        <v>0</v>
      </c>
      <c r="GP73" s="675">
        <v>0</v>
      </c>
      <c r="GQ73" s="675">
        <v>0</v>
      </c>
      <c r="GR73" s="675">
        <v>0</v>
      </c>
      <c r="GS73" s="675">
        <v>0</v>
      </c>
      <c r="GT73" s="675">
        <v>0</v>
      </c>
      <c r="GU73" s="675">
        <v>0</v>
      </c>
      <c r="GV73" s="675">
        <v>0</v>
      </c>
      <c r="GW73" s="675">
        <v>0</v>
      </c>
      <c r="GX73" s="675">
        <v>0</v>
      </c>
      <c r="GY73" s="675">
        <v>0</v>
      </c>
      <c r="GZ73" s="675">
        <v>0</v>
      </c>
      <c r="HA73" s="675">
        <v>0</v>
      </c>
      <c r="HB73" s="675">
        <v>298386780</v>
      </c>
      <c r="HC73" s="675">
        <v>4.5690999999999996E-2</v>
      </c>
      <c r="HD73" s="675">
        <v>145415</v>
      </c>
      <c r="HE73" s="675">
        <v>0</v>
      </c>
      <c r="HF73" s="675">
        <v>786721</v>
      </c>
      <c r="HG73" s="675">
        <v>38808</v>
      </c>
      <c r="HH73" s="675">
        <v>61401</v>
      </c>
      <c r="HI73" s="675">
        <v>0</v>
      </c>
      <c r="HJ73" s="675">
        <v>7734</v>
      </c>
      <c r="HK73" s="675">
        <v>2484</v>
      </c>
      <c r="HL73" s="675">
        <v>2429</v>
      </c>
      <c r="HM73" s="675">
        <v>79000</v>
      </c>
      <c r="HN73" s="675">
        <v>0</v>
      </c>
      <c r="HO73" s="675">
        <v>0</v>
      </c>
      <c r="HP73" s="675">
        <v>0</v>
      </c>
      <c r="HQ73" s="675">
        <v>0</v>
      </c>
      <c r="HR73" s="675">
        <v>0</v>
      </c>
      <c r="HS73" s="675">
        <v>6578897</v>
      </c>
      <c r="HT73" s="675">
        <v>144970</v>
      </c>
      <c r="HU73" s="675">
        <v>0</v>
      </c>
      <c r="HV73" s="675">
        <v>0</v>
      </c>
      <c r="HW73" s="675">
        <v>0</v>
      </c>
      <c r="HX73" s="675">
        <v>54</v>
      </c>
      <c r="HY73" s="675">
        <v>62</v>
      </c>
      <c r="HZ73" s="675">
        <v>70</v>
      </c>
      <c r="IA73" s="675">
        <v>73</v>
      </c>
      <c r="IB73" s="675">
        <v>27</v>
      </c>
      <c r="IC73" s="675">
        <v>286</v>
      </c>
      <c r="ID73" s="675">
        <v>0</v>
      </c>
      <c r="IE73" s="675">
        <v>0</v>
      </c>
      <c r="IF73" s="675">
        <v>0</v>
      </c>
      <c r="IG73" s="675">
        <v>63</v>
      </c>
      <c r="IH73" s="675">
        <v>99.677000000000007</v>
      </c>
      <c r="II73" s="675">
        <v>0</v>
      </c>
      <c r="IJ73" s="675">
        <v>19.150000000000002</v>
      </c>
      <c r="IK73" s="675">
        <v>0</v>
      </c>
      <c r="IL73" s="675">
        <v>5</v>
      </c>
      <c r="IM73" s="675">
        <v>16</v>
      </c>
      <c r="IN73" s="675">
        <v>3</v>
      </c>
      <c r="IO73" s="675">
        <v>24</v>
      </c>
      <c r="IP73" s="675">
        <v>0</v>
      </c>
      <c r="IQ73" s="675">
        <v>19.150000000000002</v>
      </c>
      <c r="IR73" s="675">
        <v>11796</v>
      </c>
      <c r="IS73" s="675">
        <v>0</v>
      </c>
      <c r="IT73" s="675">
        <v>25000</v>
      </c>
      <c r="IU73" s="675">
        <v>48000</v>
      </c>
      <c r="IV73" s="675">
        <v>6000</v>
      </c>
      <c r="IW73" s="675">
        <v>6160</v>
      </c>
      <c r="IX73" s="675">
        <v>0</v>
      </c>
      <c r="IY73" s="675">
        <v>0</v>
      </c>
      <c r="IZ73" s="675">
        <v>0</v>
      </c>
      <c r="JA73" s="675">
        <v>0</v>
      </c>
      <c r="JB73" s="675">
        <v>0</v>
      </c>
      <c r="JC73" s="675">
        <v>0</v>
      </c>
      <c r="JD73" s="675">
        <v>0</v>
      </c>
      <c r="JE73" s="675">
        <v>0</v>
      </c>
      <c r="JF73" s="675">
        <v>0</v>
      </c>
      <c r="JG73" s="675">
        <v>0</v>
      </c>
      <c r="JH73" s="675">
        <v>0</v>
      </c>
      <c r="JI73" s="675">
        <v>0</v>
      </c>
      <c r="JJ73" s="675">
        <v>0</v>
      </c>
      <c r="JK73" s="675">
        <v>0</v>
      </c>
      <c r="JL73" s="675">
        <v>0</v>
      </c>
      <c r="JM73" s="675">
        <v>0</v>
      </c>
      <c r="JN73" s="675">
        <v>32469</v>
      </c>
      <c r="JO73" s="675">
        <v>18.948</v>
      </c>
      <c r="JP73" s="675">
        <v>22.42</v>
      </c>
      <c r="JQ73" s="675">
        <v>25.21</v>
      </c>
      <c r="JR73" s="675">
        <v>151319</v>
      </c>
      <c r="JS73" s="675">
        <v>208345</v>
      </c>
      <c r="JT73" s="675">
        <v>269046</v>
      </c>
      <c r="JU73" s="675">
        <v>17154</v>
      </c>
      <c r="JV73" s="675">
        <v>0</v>
      </c>
      <c r="JW73" s="675">
        <v>0</v>
      </c>
      <c r="JX73" s="675">
        <v>0</v>
      </c>
      <c r="JY73" s="675">
        <v>0</v>
      </c>
      <c r="JZ73" s="675">
        <v>0</v>
      </c>
      <c r="KA73" s="675">
        <v>0</v>
      </c>
      <c r="KB73" s="675">
        <v>0</v>
      </c>
      <c r="KC73" s="675">
        <v>0</v>
      </c>
      <c r="KD73" s="675">
        <v>17154</v>
      </c>
      <c r="KE73" s="675">
        <v>7260</v>
      </c>
      <c r="KF73" s="675">
        <v>0</v>
      </c>
      <c r="KG73" s="675">
        <v>0</v>
      </c>
      <c r="KH73" s="675">
        <v>0</v>
      </c>
      <c r="KI73" s="675">
        <v>0</v>
      </c>
    </row>
    <row r="74" spans="1:295" ht="12.5" x14ac:dyDescent="0.25">
      <c r="A74" s="675">
        <v>35795</v>
      </c>
      <c r="B74" s="675">
        <v>227804</v>
      </c>
      <c r="C74" s="675">
        <v>9</v>
      </c>
      <c r="D74" s="675">
        <v>2022</v>
      </c>
      <c r="E74" s="675">
        <v>6160</v>
      </c>
      <c r="F74" s="675">
        <v>0</v>
      </c>
      <c r="G74" s="675">
        <v>1313.6030000000001</v>
      </c>
      <c r="H74" s="675">
        <v>1196.847</v>
      </c>
      <c r="I74" s="675">
        <v>1196.847</v>
      </c>
      <c r="J74" s="675">
        <v>1313.6030000000001</v>
      </c>
      <c r="K74" s="675">
        <v>0</v>
      </c>
      <c r="L74" s="675">
        <v>6160</v>
      </c>
      <c r="M74" s="675">
        <v>0</v>
      </c>
      <c r="N74" s="675">
        <v>0</v>
      </c>
      <c r="O74" s="675">
        <v>0</v>
      </c>
      <c r="P74" s="675">
        <v>991.803</v>
      </c>
      <c r="Q74" s="675">
        <v>0</v>
      </c>
      <c r="R74" s="675">
        <v>399129</v>
      </c>
      <c r="S74" s="675">
        <v>402.428</v>
      </c>
      <c r="T74" s="675">
        <v>0</v>
      </c>
      <c r="U74" s="675">
        <v>212247</v>
      </c>
      <c r="V74" s="675">
        <v>254.52700000000002</v>
      </c>
      <c r="W74" s="675">
        <v>156788</v>
      </c>
      <c r="X74" s="675">
        <v>156788</v>
      </c>
      <c r="Y74" s="675">
        <v>0</v>
      </c>
      <c r="Z74" s="675">
        <v>0</v>
      </c>
      <c r="AA74" s="675">
        <v>0</v>
      </c>
      <c r="AB74" s="675">
        <v>0</v>
      </c>
      <c r="AC74" s="675">
        <v>0</v>
      </c>
      <c r="AD74" s="675" t="s">
        <v>316</v>
      </c>
      <c r="AE74" s="675">
        <v>0</v>
      </c>
      <c r="AF74" s="675">
        <v>0</v>
      </c>
      <c r="AG74" s="675">
        <v>0</v>
      </c>
      <c r="AH74" s="675">
        <v>0</v>
      </c>
      <c r="AI74" s="675">
        <v>0</v>
      </c>
      <c r="AJ74" s="675">
        <v>6160</v>
      </c>
      <c r="AK74" s="675" t="s">
        <v>671</v>
      </c>
      <c r="AL74" s="675" t="s">
        <v>79</v>
      </c>
      <c r="AM74" s="675">
        <v>0</v>
      </c>
      <c r="AN74" s="675">
        <v>0</v>
      </c>
      <c r="AO74" s="675">
        <v>0</v>
      </c>
      <c r="AP74" s="675">
        <v>0</v>
      </c>
      <c r="AQ74" s="675">
        <v>0</v>
      </c>
      <c r="AR74" s="675">
        <v>0</v>
      </c>
      <c r="AS74" s="675">
        <v>0</v>
      </c>
      <c r="AT74" s="675">
        <v>0</v>
      </c>
      <c r="AU74" s="675">
        <v>0</v>
      </c>
      <c r="AV74" s="675">
        <v>0</v>
      </c>
      <c r="AW74" s="675">
        <v>13798695</v>
      </c>
      <c r="AX74" s="675">
        <v>13562507</v>
      </c>
      <c r="AY74" s="675">
        <v>9042402</v>
      </c>
      <c r="AZ74" s="675">
        <v>399129</v>
      </c>
      <c r="BA74" s="675">
        <v>0</v>
      </c>
      <c r="BB74" s="675">
        <v>0</v>
      </c>
      <c r="BC74" s="675">
        <v>0</v>
      </c>
      <c r="BD74" s="675">
        <v>0</v>
      </c>
      <c r="BE74" s="675">
        <v>0</v>
      </c>
      <c r="BF74" s="675">
        <v>11633688</v>
      </c>
      <c r="BG74" s="675">
        <v>0</v>
      </c>
      <c r="BH74" s="675">
        <v>0</v>
      </c>
      <c r="BI74" s="675">
        <v>0</v>
      </c>
      <c r="BJ74" s="675">
        <v>12</v>
      </c>
      <c r="BK74" s="675">
        <v>0</v>
      </c>
      <c r="BL74" s="675">
        <v>0</v>
      </c>
      <c r="BM74" s="675">
        <v>0</v>
      </c>
      <c r="BN74" s="675">
        <v>0</v>
      </c>
      <c r="BO74" s="675">
        <v>0</v>
      </c>
      <c r="BP74" s="675">
        <v>0</v>
      </c>
      <c r="BQ74" s="675">
        <v>586</v>
      </c>
      <c r="BR74" s="675">
        <v>0</v>
      </c>
      <c r="BS74" s="675">
        <v>0</v>
      </c>
      <c r="BT74" s="675">
        <v>0</v>
      </c>
      <c r="BU74" s="675">
        <v>0</v>
      </c>
      <c r="BV74" s="675">
        <v>0</v>
      </c>
      <c r="BW74" s="675">
        <v>0</v>
      </c>
      <c r="BX74" s="675">
        <v>0</v>
      </c>
      <c r="BY74" s="675">
        <v>0</v>
      </c>
      <c r="BZ74" s="675">
        <v>0</v>
      </c>
      <c r="CA74" s="675">
        <v>1050.9490000000001</v>
      </c>
      <c r="CB74" s="675">
        <v>896220</v>
      </c>
      <c r="CC74" s="675">
        <v>0</v>
      </c>
      <c r="CD74" s="675">
        <v>0</v>
      </c>
      <c r="CE74" s="675">
        <v>0</v>
      </c>
      <c r="CF74" s="675">
        <v>0</v>
      </c>
      <c r="CG74" s="675">
        <v>0</v>
      </c>
      <c r="CH74" s="675">
        <v>240078</v>
      </c>
      <c r="CI74" s="675">
        <v>0</v>
      </c>
      <c r="CJ74" s="675">
        <v>4</v>
      </c>
      <c r="CK74" s="675">
        <v>0</v>
      </c>
      <c r="CL74" s="675">
        <v>0</v>
      </c>
      <c r="CM74" s="675">
        <v>0</v>
      </c>
      <c r="CN74" s="675">
        <v>0</v>
      </c>
      <c r="CO74" s="675">
        <v>1</v>
      </c>
      <c r="CP74" s="675">
        <v>0</v>
      </c>
      <c r="CQ74" s="675">
        <v>0</v>
      </c>
      <c r="CR74" s="675">
        <v>1008.561</v>
      </c>
      <c r="CS74" s="675">
        <v>0</v>
      </c>
      <c r="CT74" s="675">
        <v>0</v>
      </c>
      <c r="CU74" s="675">
        <v>0</v>
      </c>
      <c r="CV74" s="675">
        <v>0</v>
      </c>
      <c r="CW74" s="675">
        <v>0</v>
      </c>
      <c r="CX74" s="675">
        <v>0</v>
      </c>
      <c r="CY74" s="675">
        <v>0</v>
      </c>
      <c r="CZ74" s="675">
        <v>0</v>
      </c>
      <c r="DA74" s="675">
        <v>0</v>
      </c>
      <c r="DB74" s="675">
        <v>7372543</v>
      </c>
      <c r="DC74" s="675">
        <v>0</v>
      </c>
      <c r="DD74" s="675">
        <v>0</v>
      </c>
      <c r="DE74" s="675">
        <v>707935</v>
      </c>
      <c r="DF74" s="675">
        <v>707935</v>
      </c>
      <c r="DG74" s="675">
        <v>114.92500000000001</v>
      </c>
      <c r="DH74" s="675">
        <v>0</v>
      </c>
      <c r="DI74" s="675">
        <v>0</v>
      </c>
      <c r="DJ74" s="675">
        <v>0</v>
      </c>
      <c r="DK74" s="675">
        <v>993</v>
      </c>
      <c r="DL74" s="675">
        <v>0</v>
      </c>
      <c r="DM74" s="675">
        <v>1021396</v>
      </c>
      <c r="DN74" s="675">
        <v>3890</v>
      </c>
      <c r="DO74" s="675">
        <v>0</v>
      </c>
      <c r="DP74" s="675">
        <v>0</v>
      </c>
      <c r="DQ74" s="675">
        <v>0</v>
      </c>
      <c r="DR74" s="675">
        <v>0</v>
      </c>
      <c r="DS74" s="675">
        <v>0</v>
      </c>
      <c r="DT74" s="675">
        <v>0</v>
      </c>
      <c r="DU74" s="675">
        <v>0</v>
      </c>
      <c r="DV74" s="675">
        <v>0</v>
      </c>
      <c r="DW74" s="675">
        <v>0</v>
      </c>
      <c r="DX74" s="675">
        <v>0</v>
      </c>
      <c r="DY74" s="675">
        <v>0</v>
      </c>
      <c r="DZ74" s="675">
        <v>0</v>
      </c>
      <c r="EA74" s="675">
        <v>7.4999999999999997E-2</v>
      </c>
      <c r="EB74" s="675">
        <v>0</v>
      </c>
      <c r="EC74" s="675">
        <v>47.955000000000005</v>
      </c>
      <c r="ED74" s="675">
        <v>339712</v>
      </c>
      <c r="EE74" s="675">
        <v>0</v>
      </c>
      <c r="EF74" s="675">
        <v>0</v>
      </c>
      <c r="EG74" s="675">
        <v>0</v>
      </c>
      <c r="EH74" s="675">
        <v>685574</v>
      </c>
      <c r="EI74" s="675">
        <v>0</v>
      </c>
      <c r="EJ74" s="675">
        <v>0</v>
      </c>
      <c r="EK74" s="675">
        <v>30.102</v>
      </c>
      <c r="EL74" s="675">
        <v>0</v>
      </c>
      <c r="EM74" s="675">
        <v>2.1830000000000003</v>
      </c>
      <c r="EN74" s="675">
        <v>2.8130000000000002</v>
      </c>
      <c r="EO74" s="675">
        <v>0</v>
      </c>
      <c r="EP74" s="675">
        <v>0</v>
      </c>
      <c r="EQ74" s="675">
        <v>35.173000000000002</v>
      </c>
      <c r="ER74" s="675">
        <v>0</v>
      </c>
      <c r="ES74" s="675">
        <v>111.295</v>
      </c>
      <c r="ET74" s="675">
        <v>0</v>
      </c>
      <c r="EU74" s="675">
        <v>0</v>
      </c>
      <c r="EV74" s="675">
        <v>0</v>
      </c>
      <c r="EW74" s="675">
        <v>0</v>
      </c>
      <c r="EX74" s="675">
        <v>0</v>
      </c>
      <c r="EY74" s="675">
        <v>0</v>
      </c>
      <c r="EZ74" s="675">
        <v>12134358</v>
      </c>
      <c r="FA74" s="675">
        <v>0</v>
      </c>
      <c r="FB74" s="675">
        <v>12529597</v>
      </c>
      <c r="FC74" s="675">
        <v>0</v>
      </c>
      <c r="FD74" s="675">
        <v>0</v>
      </c>
      <c r="FE74" s="675">
        <v>1183384</v>
      </c>
      <c r="FF74" s="675">
        <v>244765</v>
      </c>
      <c r="FG74" s="675">
        <v>6.3574999999999993E-2</v>
      </c>
      <c r="FH74" s="675">
        <v>2.6298999999999999E-2</v>
      </c>
      <c r="FI74" s="675">
        <v>0</v>
      </c>
      <c r="FJ74" s="675">
        <v>0</v>
      </c>
      <c r="FK74" s="675">
        <v>1888.5940000000001</v>
      </c>
      <c r="FL74" s="675">
        <v>14197824</v>
      </c>
      <c r="FM74" s="675">
        <v>0</v>
      </c>
      <c r="FN74" s="675">
        <v>0</v>
      </c>
      <c r="FO74" s="675">
        <v>0</v>
      </c>
      <c r="FP74" s="675">
        <v>0</v>
      </c>
      <c r="FQ74" s="675">
        <v>0</v>
      </c>
      <c r="FR74" s="675">
        <v>0</v>
      </c>
      <c r="FS74" s="675">
        <v>0</v>
      </c>
      <c r="FT74" s="675">
        <v>0</v>
      </c>
      <c r="FU74" s="675">
        <v>0</v>
      </c>
      <c r="FV74" s="675">
        <v>0</v>
      </c>
      <c r="FW74" s="675">
        <v>0</v>
      </c>
      <c r="FX74" s="675">
        <v>0</v>
      </c>
      <c r="FY74" s="675">
        <v>0</v>
      </c>
      <c r="FZ74" s="675">
        <v>0</v>
      </c>
      <c r="GA74" s="675">
        <v>0</v>
      </c>
      <c r="GB74" s="675">
        <v>759239</v>
      </c>
      <c r="GC74" s="675">
        <v>759239</v>
      </c>
      <c r="GD74" s="675">
        <v>81.582999999999998</v>
      </c>
      <c r="GE74" s="675">
        <v>0</v>
      </c>
      <c r="GF74" s="675">
        <v>0</v>
      </c>
      <c r="GG74" s="675">
        <v>0</v>
      </c>
      <c r="GH74" s="675">
        <v>0</v>
      </c>
      <c r="GI74" s="675">
        <v>0</v>
      </c>
      <c r="GJ74" s="675">
        <v>0</v>
      </c>
      <c r="GK74" s="675">
        <v>0</v>
      </c>
      <c r="GL74" s="675">
        <v>0</v>
      </c>
      <c r="GM74" s="675">
        <v>0</v>
      </c>
      <c r="GN74" s="675">
        <v>0</v>
      </c>
      <c r="GO74" s="675">
        <v>0</v>
      </c>
      <c r="GP74" s="675">
        <v>0</v>
      </c>
      <c r="GQ74" s="675">
        <v>0</v>
      </c>
      <c r="GR74" s="675">
        <v>0</v>
      </c>
      <c r="GS74" s="675">
        <v>0</v>
      </c>
      <c r="GT74" s="675">
        <v>0</v>
      </c>
      <c r="GU74" s="675">
        <v>0</v>
      </c>
      <c r="GV74" s="675">
        <v>0</v>
      </c>
      <c r="GW74" s="675">
        <v>0</v>
      </c>
      <c r="GX74" s="675">
        <v>0</v>
      </c>
      <c r="GY74" s="675">
        <v>0</v>
      </c>
      <c r="GZ74" s="675">
        <v>0</v>
      </c>
      <c r="HA74" s="675">
        <v>0</v>
      </c>
      <c r="HB74" s="675">
        <v>298386780</v>
      </c>
      <c r="HC74" s="675">
        <v>4.5690999999999996E-2</v>
      </c>
      <c r="HD74" s="675">
        <v>240078</v>
      </c>
      <c r="HE74" s="675">
        <v>0</v>
      </c>
      <c r="HF74" s="675">
        <v>1316532</v>
      </c>
      <c r="HG74" s="675">
        <v>39424</v>
      </c>
      <c r="HH74" s="675">
        <v>192378</v>
      </c>
      <c r="HI74" s="675">
        <v>0</v>
      </c>
      <c r="HJ74" s="675">
        <v>12768</v>
      </c>
      <c r="HK74" s="675">
        <v>3429</v>
      </c>
      <c r="HL74" s="675">
        <v>150</v>
      </c>
      <c r="HM74" s="675">
        <v>47000</v>
      </c>
      <c r="HN74" s="675">
        <v>3795</v>
      </c>
      <c r="HO74" s="675">
        <v>0</v>
      </c>
      <c r="HP74" s="675">
        <v>0</v>
      </c>
      <c r="HQ74" s="675">
        <v>0</v>
      </c>
      <c r="HR74" s="675">
        <v>0</v>
      </c>
      <c r="HS74" s="675">
        <v>12130468</v>
      </c>
      <c r="HT74" s="675">
        <v>244765</v>
      </c>
      <c r="HU74" s="675">
        <v>0</v>
      </c>
      <c r="HV74" s="675">
        <v>0</v>
      </c>
      <c r="HW74" s="675">
        <v>0</v>
      </c>
      <c r="HX74" s="675">
        <v>126</v>
      </c>
      <c r="HY74" s="675">
        <v>164</v>
      </c>
      <c r="HZ74" s="675">
        <v>133</v>
      </c>
      <c r="IA74" s="675">
        <v>38</v>
      </c>
      <c r="IB74" s="675">
        <v>16</v>
      </c>
      <c r="IC74" s="675">
        <v>477</v>
      </c>
      <c r="ID74" s="675">
        <v>0</v>
      </c>
      <c r="IE74" s="675">
        <v>0</v>
      </c>
      <c r="IF74" s="675">
        <v>0</v>
      </c>
      <c r="IG74" s="675">
        <v>64</v>
      </c>
      <c r="IH74" s="675">
        <v>312.303</v>
      </c>
      <c r="II74" s="675">
        <v>0</v>
      </c>
      <c r="IJ74" s="675">
        <v>254.52700000000002</v>
      </c>
      <c r="IK74" s="675">
        <v>0</v>
      </c>
      <c r="IL74" s="675">
        <v>4</v>
      </c>
      <c r="IM74" s="675">
        <v>9</v>
      </c>
      <c r="IN74" s="675">
        <v>0</v>
      </c>
      <c r="IO74" s="675">
        <v>13</v>
      </c>
      <c r="IP74" s="675">
        <v>0</v>
      </c>
      <c r="IQ74" s="675">
        <v>254.52700000000002</v>
      </c>
      <c r="IR74" s="675">
        <v>156788</v>
      </c>
      <c r="IS74" s="675">
        <v>0</v>
      </c>
      <c r="IT74" s="675">
        <v>20000</v>
      </c>
      <c r="IU74" s="675">
        <v>27000</v>
      </c>
      <c r="IV74" s="675">
        <v>0</v>
      </c>
      <c r="IW74" s="675">
        <v>6160</v>
      </c>
      <c r="IX74" s="675">
        <v>0</v>
      </c>
      <c r="IY74" s="675">
        <v>0</v>
      </c>
      <c r="IZ74" s="675">
        <v>0</v>
      </c>
      <c r="JA74" s="675">
        <v>0</v>
      </c>
      <c r="JB74" s="675">
        <v>0</v>
      </c>
      <c r="JC74" s="675">
        <v>0</v>
      </c>
      <c r="JD74" s="675">
        <v>0</v>
      </c>
      <c r="JE74" s="675">
        <v>0</v>
      </c>
      <c r="JF74" s="675">
        <v>1</v>
      </c>
      <c r="JG74" s="675">
        <v>3795</v>
      </c>
      <c r="JH74" s="675">
        <v>0</v>
      </c>
      <c r="JI74" s="675">
        <v>0</v>
      </c>
      <c r="JJ74" s="675">
        <v>0</v>
      </c>
      <c r="JK74" s="675">
        <v>0</v>
      </c>
      <c r="JL74" s="675">
        <v>0</v>
      </c>
      <c r="JM74" s="675">
        <v>0</v>
      </c>
      <c r="JN74" s="675">
        <v>32469</v>
      </c>
      <c r="JO74" s="675">
        <v>11.482000000000001</v>
      </c>
      <c r="JP74" s="675">
        <v>58.43</v>
      </c>
      <c r="JQ74" s="675">
        <v>11.672000000000001</v>
      </c>
      <c r="JR74" s="675">
        <v>91695</v>
      </c>
      <c r="JS74" s="675">
        <v>542978</v>
      </c>
      <c r="JT74" s="675">
        <v>124566</v>
      </c>
      <c r="JU74" s="675">
        <v>0</v>
      </c>
      <c r="JV74" s="675">
        <v>0</v>
      </c>
      <c r="JW74" s="675">
        <v>0</v>
      </c>
      <c r="JX74" s="675">
        <v>0</v>
      </c>
      <c r="JY74" s="675">
        <v>0</v>
      </c>
      <c r="JZ74" s="675">
        <v>0</v>
      </c>
      <c r="KA74" s="675">
        <v>0</v>
      </c>
      <c r="KB74" s="675">
        <v>0</v>
      </c>
      <c r="KC74" s="675">
        <v>0</v>
      </c>
      <c r="KD74" s="675">
        <v>0</v>
      </c>
      <c r="KE74" s="675">
        <v>7260</v>
      </c>
      <c r="KF74" s="675">
        <v>0</v>
      </c>
      <c r="KG74" s="675">
        <v>0</v>
      </c>
      <c r="KH74" s="675">
        <v>0</v>
      </c>
      <c r="KI74" s="675">
        <v>0</v>
      </c>
    </row>
    <row r="75" spans="1:295" ht="12.5" x14ac:dyDescent="0.25">
      <c r="A75" s="675">
        <v>35795</v>
      </c>
      <c r="B75" s="675">
        <v>15805</v>
      </c>
      <c r="C75" s="675">
        <v>9</v>
      </c>
      <c r="D75" s="675">
        <v>2022</v>
      </c>
      <c r="E75" s="675">
        <v>6160</v>
      </c>
      <c r="F75" s="675">
        <v>0</v>
      </c>
      <c r="G75" s="675">
        <v>143.08500000000001</v>
      </c>
      <c r="H75" s="675">
        <v>143.04600000000002</v>
      </c>
      <c r="I75" s="675">
        <v>143.04600000000002</v>
      </c>
      <c r="J75" s="675">
        <v>143.08500000000001</v>
      </c>
      <c r="K75" s="675">
        <v>0</v>
      </c>
      <c r="L75" s="675">
        <v>6160</v>
      </c>
      <c r="M75" s="675">
        <v>0</v>
      </c>
      <c r="N75" s="675">
        <v>0</v>
      </c>
      <c r="O75" s="675">
        <v>0</v>
      </c>
      <c r="P75" s="675">
        <v>424.67</v>
      </c>
      <c r="Q75" s="675">
        <v>0</v>
      </c>
      <c r="R75" s="675">
        <v>170899</v>
      </c>
      <c r="S75" s="675">
        <v>402.428</v>
      </c>
      <c r="T75" s="675">
        <v>0</v>
      </c>
      <c r="U75" s="675">
        <v>90879</v>
      </c>
      <c r="V75" s="675">
        <v>9.6370000000000005</v>
      </c>
      <c r="W75" s="675">
        <v>5936</v>
      </c>
      <c r="X75" s="675">
        <v>5936</v>
      </c>
      <c r="Y75" s="675">
        <v>0</v>
      </c>
      <c r="Z75" s="675">
        <v>0</v>
      </c>
      <c r="AA75" s="675">
        <v>0</v>
      </c>
      <c r="AB75" s="675">
        <v>0</v>
      </c>
      <c r="AC75" s="675">
        <v>0</v>
      </c>
      <c r="AD75" s="675" t="s">
        <v>316</v>
      </c>
      <c r="AE75" s="675">
        <v>0</v>
      </c>
      <c r="AF75" s="675">
        <v>0</v>
      </c>
      <c r="AG75" s="675">
        <v>0</v>
      </c>
      <c r="AH75" s="675">
        <v>0</v>
      </c>
      <c r="AI75" s="675">
        <v>0</v>
      </c>
      <c r="AJ75" s="675">
        <v>6160</v>
      </c>
      <c r="AK75" s="675" t="s">
        <v>671</v>
      </c>
      <c r="AL75" s="675" t="s">
        <v>460</v>
      </c>
      <c r="AM75" s="675">
        <v>0</v>
      </c>
      <c r="AN75" s="675">
        <v>0</v>
      </c>
      <c r="AO75" s="675">
        <v>0</v>
      </c>
      <c r="AP75" s="675">
        <v>0</v>
      </c>
      <c r="AQ75" s="675">
        <v>0</v>
      </c>
      <c r="AR75" s="675">
        <v>0</v>
      </c>
      <c r="AS75" s="675">
        <v>0</v>
      </c>
      <c r="AT75" s="675">
        <v>0</v>
      </c>
      <c r="AU75" s="675">
        <v>0</v>
      </c>
      <c r="AV75" s="675">
        <v>-2526</v>
      </c>
      <c r="AW75" s="675">
        <v>1378479</v>
      </c>
      <c r="AX75" s="675">
        <v>1352448</v>
      </c>
      <c r="AY75" s="675">
        <v>1159401</v>
      </c>
      <c r="AZ75" s="675">
        <v>170899</v>
      </c>
      <c r="BA75" s="675">
        <v>0</v>
      </c>
      <c r="BB75" s="675">
        <v>0</v>
      </c>
      <c r="BC75" s="675">
        <v>0</v>
      </c>
      <c r="BD75" s="675">
        <v>0</v>
      </c>
      <c r="BE75" s="675">
        <v>0</v>
      </c>
      <c r="BF75" s="675">
        <v>1352213</v>
      </c>
      <c r="BG75" s="675">
        <v>0</v>
      </c>
      <c r="BH75" s="675">
        <v>0</v>
      </c>
      <c r="BI75" s="675">
        <v>0</v>
      </c>
      <c r="BJ75" s="675">
        <v>12</v>
      </c>
      <c r="BK75" s="675">
        <v>0</v>
      </c>
      <c r="BL75" s="675">
        <v>0</v>
      </c>
      <c r="BM75" s="675">
        <v>0</v>
      </c>
      <c r="BN75" s="675">
        <v>0</v>
      </c>
      <c r="BO75" s="675">
        <v>0</v>
      </c>
      <c r="BP75" s="675">
        <v>0</v>
      </c>
      <c r="BQ75" s="675">
        <v>748</v>
      </c>
      <c r="BR75" s="675">
        <v>0</v>
      </c>
      <c r="BS75" s="675">
        <v>0</v>
      </c>
      <c r="BT75" s="675">
        <v>0</v>
      </c>
      <c r="BU75" s="675">
        <v>0</v>
      </c>
      <c r="BV75" s="675">
        <v>0</v>
      </c>
      <c r="BW75" s="675">
        <v>0</v>
      </c>
      <c r="BX75" s="675">
        <v>0</v>
      </c>
      <c r="BY75" s="675">
        <v>0</v>
      </c>
      <c r="BZ75" s="675">
        <v>0</v>
      </c>
      <c r="CA75" s="675">
        <v>0</v>
      </c>
      <c r="CB75" s="675">
        <v>0</v>
      </c>
      <c r="CC75" s="675">
        <v>0</v>
      </c>
      <c r="CD75" s="675">
        <v>0</v>
      </c>
      <c r="CE75" s="675">
        <v>0</v>
      </c>
      <c r="CF75" s="675">
        <v>0</v>
      </c>
      <c r="CG75" s="675">
        <v>0</v>
      </c>
      <c r="CH75" s="675">
        <v>26151</v>
      </c>
      <c r="CI75" s="675">
        <v>0</v>
      </c>
      <c r="CJ75" s="675">
        <v>4</v>
      </c>
      <c r="CK75" s="675">
        <v>0</v>
      </c>
      <c r="CL75" s="675">
        <v>0</v>
      </c>
      <c r="CM75" s="675">
        <v>0</v>
      </c>
      <c r="CN75" s="675">
        <v>0</v>
      </c>
      <c r="CO75" s="675">
        <v>1</v>
      </c>
      <c r="CP75" s="675">
        <v>0</v>
      </c>
      <c r="CQ75" s="675">
        <v>0</v>
      </c>
      <c r="CR75" s="675">
        <v>440.42900000000003</v>
      </c>
      <c r="CS75" s="675">
        <v>0</v>
      </c>
      <c r="CT75" s="675">
        <v>0</v>
      </c>
      <c r="CU75" s="675">
        <v>0</v>
      </c>
      <c r="CV75" s="675">
        <v>0</v>
      </c>
      <c r="CW75" s="675">
        <v>0</v>
      </c>
      <c r="CX75" s="675">
        <v>0</v>
      </c>
      <c r="CY75" s="675">
        <v>0</v>
      </c>
      <c r="CZ75" s="675">
        <v>0</v>
      </c>
      <c r="DA75" s="675">
        <v>0</v>
      </c>
      <c r="DB75" s="675">
        <v>683520</v>
      </c>
      <c r="DC75" s="675">
        <v>0</v>
      </c>
      <c r="DD75" s="675">
        <v>0</v>
      </c>
      <c r="DE75" s="675">
        <v>175174</v>
      </c>
      <c r="DF75" s="675">
        <v>175174</v>
      </c>
      <c r="DG75" s="675">
        <v>28.438000000000002</v>
      </c>
      <c r="DH75" s="675">
        <v>0</v>
      </c>
      <c r="DI75" s="675">
        <v>0</v>
      </c>
      <c r="DJ75" s="675">
        <v>0</v>
      </c>
      <c r="DK75" s="675">
        <v>3590</v>
      </c>
      <c r="DL75" s="675">
        <v>0</v>
      </c>
      <c r="DM75" s="675">
        <v>229025</v>
      </c>
      <c r="DN75" s="675">
        <v>120</v>
      </c>
      <c r="DO75" s="675">
        <v>0</v>
      </c>
      <c r="DP75" s="675">
        <v>0</v>
      </c>
      <c r="DQ75" s="675">
        <v>0</v>
      </c>
      <c r="DR75" s="675">
        <v>0</v>
      </c>
      <c r="DS75" s="675">
        <v>0</v>
      </c>
      <c r="DT75" s="675">
        <v>0</v>
      </c>
      <c r="DU75" s="675">
        <v>0</v>
      </c>
      <c r="DV75" s="675">
        <v>0</v>
      </c>
      <c r="DW75" s="675">
        <v>0</v>
      </c>
      <c r="DX75" s="675">
        <v>0</v>
      </c>
      <c r="DY75" s="675">
        <v>0</v>
      </c>
      <c r="DZ75" s="675">
        <v>0</v>
      </c>
      <c r="EA75" s="675">
        <v>0</v>
      </c>
      <c r="EB75" s="675">
        <v>0</v>
      </c>
      <c r="EC75" s="675">
        <v>4.2780000000000005</v>
      </c>
      <c r="ED75" s="675">
        <v>30305</v>
      </c>
      <c r="EE75" s="675">
        <v>0</v>
      </c>
      <c r="EF75" s="675">
        <v>0</v>
      </c>
      <c r="EG75" s="675">
        <v>0</v>
      </c>
      <c r="EH75" s="675">
        <v>1201</v>
      </c>
      <c r="EI75" s="675">
        <v>0</v>
      </c>
      <c r="EJ75" s="675">
        <v>0</v>
      </c>
      <c r="EK75" s="675">
        <v>0</v>
      </c>
      <c r="EL75" s="675">
        <v>0</v>
      </c>
      <c r="EM75" s="675">
        <v>0</v>
      </c>
      <c r="EN75" s="675">
        <v>3.9E-2</v>
      </c>
      <c r="EO75" s="675">
        <v>0</v>
      </c>
      <c r="EP75" s="675">
        <v>0</v>
      </c>
      <c r="EQ75" s="675">
        <v>3.9E-2</v>
      </c>
      <c r="ER75" s="675">
        <v>0</v>
      </c>
      <c r="ES75" s="675">
        <v>0.19500000000000001</v>
      </c>
      <c r="ET75" s="675">
        <v>0</v>
      </c>
      <c r="EU75" s="675">
        <v>0</v>
      </c>
      <c r="EV75" s="675">
        <v>0</v>
      </c>
      <c r="EW75" s="675">
        <v>0</v>
      </c>
      <c r="EX75" s="675">
        <v>0</v>
      </c>
      <c r="EY75" s="675">
        <v>0</v>
      </c>
      <c r="EZ75" s="675">
        <v>1186450</v>
      </c>
      <c r="FA75" s="675">
        <v>0</v>
      </c>
      <c r="FB75" s="675">
        <v>1357229</v>
      </c>
      <c r="FC75" s="675">
        <v>0</v>
      </c>
      <c r="FD75" s="675">
        <v>0</v>
      </c>
      <c r="FE75" s="675">
        <v>137548</v>
      </c>
      <c r="FF75" s="675">
        <v>28450</v>
      </c>
      <c r="FG75" s="675">
        <v>6.3574999999999993E-2</v>
      </c>
      <c r="FH75" s="675">
        <v>2.6298999999999999E-2</v>
      </c>
      <c r="FI75" s="675">
        <v>0</v>
      </c>
      <c r="FJ75" s="675">
        <v>0</v>
      </c>
      <c r="FK75" s="675">
        <v>219.51600000000002</v>
      </c>
      <c r="FL75" s="675">
        <v>1549378</v>
      </c>
      <c r="FM75" s="675">
        <v>0</v>
      </c>
      <c r="FN75" s="675">
        <v>0</v>
      </c>
      <c r="FO75" s="675">
        <v>3363</v>
      </c>
      <c r="FP75" s="675">
        <v>0</v>
      </c>
      <c r="FQ75" s="675">
        <v>3363</v>
      </c>
      <c r="FR75" s="675">
        <v>3363</v>
      </c>
      <c r="FS75" s="675">
        <v>0</v>
      </c>
      <c r="FT75" s="675">
        <v>0</v>
      </c>
      <c r="FU75" s="675">
        <v>0</v>
      </c>
      <c r="FV75" s="675">
        <v>0</v>
      </c>
      <c r="FW75" s="675">
        <v>0</v>
      </c>
      <c r="FX75" s="675">
        <v>0</v>
      </c>
      <c r="FY75" s="675">
        <v>0</v>
      </c>
      <c r="FZ75" s="675">
        <v>0</v>
      </c>
      <c r="GA75" s="675">
        <v>0</v>
      </c>
      <c r="GB75" s="675">
        <v>0</v>
      </c>
      <c r="GC75" s="675">
        <v>0</v>
      </c>
      <c r="GD75" s="675">
        <v>0</v>
      </c>
      <c r="GE75" s="675">
        <v>0</v>
      </c>
      <c r="GF75" s="675">
        <v>0</v>
      </c>
      <c r="GG75" s="675">
        <v>0</v>
      </c>
      <c r="GH75" s="675">
        <v>0</v>
      </c>
      <c r="GI75" s="675">
        <v>0</v>
      </c>
      <c r="GJ75" s="675">
        <v>0</v>
      </c>
      <c r="GK75" s="675">
        <v>0</v>
      </c>
      <c r="GL75" s="675">
        <v>0</v>
      </c>
      <c r="GM75" s="675">
        <v>0</v>
      </c>
      <c r="GN75" s="675">
        <v>0</v>
      </c>
      <c r="GO75" s="675">
        <v>0</v>
      </c>
      <c r="GP75" s="675">
        <v>0</v>
      </c>
      <c r="GQ75" s="675">
        <v>0</v>
      </c>
      <c r="GR75" s="675">
        <v>0</v>
      </c>
      <c r="GS75" s="675">
        <v>0</v>
      </c>
      <c r="GT75" s="675">
        <v>0</v>
      </c>
      <c r="GU75" s="675">
        <v>0</v>
      </c>
      <c r="GV75" s="675">
        <v>0</v>
      </c>
      <c r="GW75" s="675">
        <v>0</v>
      </c>
      <c r="GX75" s="675">
        <v>0</v>
      </c>
      <c r="GY75" s="675">
        <v>0</v>
      </c>
      <c r="GZ75" s="675">
        <v>0</v>
      </c>
      <c r="HA75" s="675">
        <v>0</v>
      </c>
      <c r="HB75" s="675">
        <v>298386780</v>
      </c>
      <c r="HC75" s="675">
        <v>4.5690999999999996E-2</v>
      </c>
      <c r="HD75" s="675">
        <v>26151</v>
      </c>
      <c r="HE75" s="675">
        <v>0</v>
      </c>
      <c r="HF75" s="675">
        <v>157351</v>
      </c>
      <c r="HG75" s="675">
        <v>3696</v>
      </c>
      <c r="HH75" s="675">
        <v>0</v>
      </c>
      <c r="HI75" s="675">
        <v>0</v>
      </c>
      <c r="HJ75" s="675">
        <v>1391</v>
      </c>
      <c r="HK75" s="675">
        <v>1773</v>
      </c>
      <c r="HL75" s="675">
        <v>0</v>
      </c>
      <c r="HM75" s="675">
        <v>96000</v>
      </c>
      <c r="HN75" s="675">
        <v>0</v>
      </c>
      <c r="HO75" s="675">
        <v>0</v>
      </c>
      <c r="HP75" s="675">
        <v>0</v>
      </c>
      <c r="HQ75" s="675">
        <v>0</v>
      </c>
      <c r="HR75" s="675">
        <v>0</v>
      </c>
      <c r="HS75" s="675">
        <v>1186330</v>
      </c>
      <c r="HT75" s="675">
        <v>28450</v>
      </c>
      <c r="HU75" s="675">
        <v>0</v>
      </c>
      <c r="HV75" s="675">
        <v>0</v>
      </c>
      <c r="HW75" s="675">
        <v>0</v>
      </c>
      <c r="HX75" s="675">
        <v>5</v>
      </c>
      <c r="HY75" s="675">
        <v>17</v>
      </c>
      <c r="HZ75" s="675">
        <v>22</v>
      </c>
      <c r="IA75" s="675">
        <v>30</v>
      </c>
      <c r="IB75" s="675">
        <v>36</v>
      </c>
      <c r="IC75" s="675">
        <v>110</v>
      </c>
      <c r="ID75" s="675">
        <v>0</v>
      </c>
      <c r="IE75" s="675">
        <v>0</v>
      </c>
      <c r="IF75" s="675">
        <v>0</v>
      </c>
      <c r="IG75" s="675">
        <v>6</v>
      </c>
      <c r="IH75" s="675">
        <v>0</v>
      </c>
      <c r="II75" s="675">
        <v>0</v>
      </c>
      <c r="IJ75" s="675">
        <v>9.6370000000000005</v>
      </c>
      <c r="IK75" s="675">
        <v>0</v>
      </c>
      <c r="IL75" s="675">
        <v>15</v>
      </c>
      <c r="IM75" s="675">
        <v>7</v>
      </c>
      <c r="IN75" s="675">
        <v>0</v>
      </c>
      <c r="IO75" s="675">
        <v>22</v>
      </c>
      <c r="IP75" s="675">
        <v>0</v>
      </c>
      <c r="IQ75" s="675">
        <v>9.6370000000000005</v>
      </c>
      <c r="IR75" s="675">
        <v>5936</v>
      </c>
      <c r="IS75" s="675">
        <v>0</v>
      </c>
      <c r="IT75" s="675">
        <v>75000</v>
      </c>
      <c r="IU75" s="675">
        <v>21000</v>
      </c>
      <c r="IV75" s="675">
        <v>0</v>
      </c>
      <c r="IW75" s="675">
        <v>6160</v>
      </c>
      <c r="IX75" s="675">
        <v>0</v>
      </c>
      <c r="IY75" s="675">
        <v>0</v>
      </c>
      <c r="IZ75" s="675">
        <v>0</v>
      </c>
      <c r="JA75" s="675">
        <v>0</v>
      </c>
      <c r="JB75" s="675">
        <v>0</v>
      </c>
      <c r="JC75" s="675">
        <v>0</v>
      </c>
      <c r="JD75" s="675">
        <v>0</v>
      </c>
      <c r="JE75" s="675">
        <v>0</v>
      </c>
      <c r="JF75" s="675">
        <v>0</v>
      </c>
      <c r="JG75" s="675">
        <v>0</v>
      </c>
      <c r="JH75" s="675">
        <v>0</v>
      </c>
      <c r="JI75" s="675">
        <v>0</v>
      </c>
      <c r="JJ75" s="675">
        <v>0</v>
      </c>
      <c r="JK75" s="675">
        <v>0</v>
      </c>
      <c r="JL75" s="675">
        <v>0</v>
      </c>
      <c r="JM75" s="675">
        <v>0</v>
      </c>
      <c r="JN75" s="675">
        <v>32469</v>
      </c>
      <c r="JO75" s="675">
        <v>0</v>
      </c>
      <c r="JP75" s="675">
        <v>0</v>
      </c>
      <c r="JQ75" s="675">
        <v>0</v>
      </c>
      <c r="JR75" s="675">
        <v>0</v>
      </c>
      <c r="JS75" s="675">
        <v>0</v>
      </c>
      <c r="JT75" s="675">
        <v>0</v>
      </c>
      <c r="JU75" s="675">
        <v>0</v>
      </c>
      <c r="JV75" s="675">
        <v>0</v>
      </c>
      <c r="JW75" s="675">
        <v>0</v>
      </c>
      <c r="JX75" s="675">
        <v>0</v>
      </c>
      <c r="JY75" s="675">
        <v>0</v>
      </c>
      <c r="JZ75" s="675">
        <v>0</v>
      </c>
      <c r="KA75" s="675">
        <v>0</v>
      </c>
      <c r="KB75" s="675">
        <v>0</v>
      </c>
      <c r="KC75" s="675">
        <v>0</v>
      </c>
      <c r="KD75" s="675">
        <v>0</v>
      </c>
      <c r="KE75" s="675">
        <v>7260</v>
      </c>
      <c r="KF75" s="675">
        <v>0</v>
      </c>
      <c r="KG75" s="675">
        <v>0</v>
      </c>
      <c r="KH75" s="675">
        <v>0</v>
      </c>
      <c r="KI75" s="675">
        <v>0</v>
      </c>
    </row>
    <row r="76" spans="1:295" ht="12.5" x14ac:dyDescent="0.25">
      <c r="A76" s="675">
        <v>35795</v>
      </c>
      <c r="B76" s="675">
        <v>21805</v>
      </c>
      <c r="C76" s="675">
        <v>9</v>
      </c>
      <c r="D76" s="675">
        <v>2022</v>
      </c>
      <c r="E76" s="675">
        <v>6160</v>
      </c>
      <c r="F76" s="675">
        <v>0</v>
      </c>
      <c r="G76" s="675">
        <v>553.245</v>
      </c>
      <c r="H76" s="675">
        <v>536.61099999999999</v>
      </c>
      <c r="I76" s="675">
        <v>536.61099999999999</v>
      </c>
      <c r="J76" s="675">
        <v>553.245</v>
      </c>
      <c r="K76" s="675">
        <v>0</v>
      </c>
      <c r="L76" s="675">
        <v>6160</v>
      </c>
      <c r="M76" s="675">
        <v>0</v>
      </c>
      <c r="N76" s="675">
        <v>0</v>
      </c>
      <c r="O76" s="675">
        <v>0</v>
      </c>
      <c r="P76" s="675">
        <v>627.09800000000007</v>
      </c>
      <c r="Q76" s="675">
        <v>0</v>
      </c>
      <c r="R76" s="675">
        <v>252362</v>
      </c>
      <c r="S76" s="675">
        <v>402.428</v>
      </c>
      <c r="T76" s="675">
        <v>0</v>
      </c>
      <c r="U76" s="675">
        <v>134199</v>
      </c>
      <c r="V76" s="675">
        <v>62.247</v>
      </c>
      <c r="W76" s="675">
        <v>38344</v>
      </c>
      <c r="X76" s="675">
        <v>38344</v>
      </c>
      <c r="Y76" s="675">
        <v>0</v>
      </c>
      <c r="Z76" s="675">
        <v>0</v>
      </c>
      <c r="AA76" s="675">
        <v>0</v>
      </c>
      <c r="AB76" s="675">
        <v>0</v>
      </c>
      <c r="AC76" s="675">
        <v>0</v>
      </c>
      <c r="AD76" s="675" t="s">
        <v>316</v>
      </c>
      <c r="AE76" s="675">
        <v>0</v>
      </c>
      <c r="AF76" s="675">
        <v>0</v>
      </c>
      <c r="AG76" s="675">
        <v>0</v>
      </c>
      <c r="AH76" s="675">
        <v>0</v>
      </c>
      <c r="AI76" s="675">
        <v>0</v>
      </c>
      <c r="AJ76" s="675">
        <v>6160</v>
      </c>
      <c r="AK76" s="675" t="s">
        <v>671</v>
      </c>
      <c r="AL76" s="675" t="s">
        <v>322</v>
      </c>
      <c r="AM76" s="675">
        <v>0</v>
      </c>
      <c r="AN76" s="675">
        <v>0</v>
      </c>
      <c r="AO76" s="675">
        <v>0</v>
      </c>
      <c r="AP76" s="675">
        <v>0</v>
      </c>
      <c r="AQ76" s="675">
        <v>0</v>
      </c>
      <c r="AR76" s="675">
        <v>0</v>
      </c>
      <c r="AS76" s="675">
        <v>0</v>
      </c>
      <c r="AT76" s="675">
        <v>0</v>
      </c>
      <c r="AU76" s="675">
        <v>0</v>
      </c>
      <c r="AV76" s="675">
        <v>0</v>
      </c>
      <c r="AW76" s="675">
        <v>5739538</v>
      </c>
      <c r="AX76" s="675">
        <v>5639945</v>
      </c>
      <c r="AY76" s="675">
        <v>4062767</v>
      </c>
      <c r="AZ76" s="675">
        <v>252362</v>
      </c>
      <c r="BA76" s="675">
        <v>0</v>
      </c>
      <c r="BB76" s="675">
        <v>2084</v>
      </c>
      <c r="BC76" s="675">
        <v>2071</v>
      </c>
      <c r="BD76" s="675">
        <v>4.8330000000000002</v>
      </c>
      <c r="BE76" s="675">
        <v>13</v>
      </c>
      <c r="BF76" s="675">
        <v>5232001</v>
      </c>
      <c r="BG76" s="675">
        <v>0</v>
      </c>
      <c r="BH76" s="675">
        <v>0</v>
      </c>
      <c r="BI76" s="675">
        <v>0</v>
      </c>
      <c r="BJ76" s="675">
        <v>12</v>
      </c>
      <c r="BK76" s="675">
        <v>0</v>
      </c>
      <c r="BL76" s="675">
        <v>0</v>
      </c>
      <c r="BM76" s="675">
        <v>0</v>
      </c>
      <c r="BN76" s="675">
        <v>0</v>
      </c>
      <c r="BO76" s="675">
        <v>0</v>
      </c>
      <c r="BP76" s="675">
        <v>0</v>
      </c>
      <c r="BQ76" s="675">
        <v>687</v>
      </c>
      <c r="BR76" s="675">
        <v>0</v>
      </c>
      <c r="BS76" s="675">
        <v>0</v>
      </c>
      <c r="BT76" s="675">
        <v>0</v>
      </c>
      <c r="BU76" s="675">
        <v>0</v>
      </c>
      <c r="BV76" s="675">
        <v>0</v>
      </c>
      <c r="BW76" s="675">
        <v>0</v>
      </c>
      <c r="BX76" s="675">
        <v>0</v>
      </c>
      <c r="BY76" s="675">
        <v>0</v>
      </c>
      <c r="BZ76" s="675">
        <v>0</v>
      </c>
      <c r="CA76" s="675">
        <v>0</v>
      </c>
      <c r="CB76" s="675">
        <v>0</v>
      </c>
      <c r="CC76" s="675">
        <v>0</v>
      </c>
      <c r="CD76" s="675">
        <v>0</v>
      </c>
      <c r="CE76" s="675">
        <v>0</v>
      </c>
      <c r="CF76" s="675">
        <v>0</v>
      </c>
      <c r="CG76" s="675">
        <v>0</v>
      </c>
      <c r="CH76" s="675">
        <v>101113</v>
      </c>
      <c r="CI76" s="675">
        <v>0</v>
      </c>
      <c r="CJ76" s="675">
        <v>4</v>
      </c>
      <c r="CK76" s="675">
        <v>0</v>
      </c>
      <c r="CL76" s="675">
        <v>0</v>
      </c>
      <c r="CM76" s="675">
        <v>0</v>
      </c>
      <c r="CN76" s="675">
        <v>0</v>
      </c>
      <c r="CO76" s="675">
        <v>1</v>
      </c>
      <c r="CP76" s="675">
        <v>0</v>
      </c>
      <c r="CQ76" s="675">
        <v>0</v>
      </c>
      <c r="CR76" s="675">
        <v>681.06400000000008</v>
      </c>
      <c r="CS76" s="675">
        <v>0</v>
      </c>
      <c r="CT76" s="675">
        <v>0</v>
      </c>
      <c r="CU76" s="675">
        <v>0</v>
      </c>
      <c r="CV76" s="675">
        <v>0</v>
      </c>
      <c r="CW76" s="675">
        <v>0</v>
      </c>
      <c r="CX76" s="675">
        <v>0</v>
      </c>
      <c r="CY76" s="675">
        <v>0</v>
      </c>
      <c r="CZ76" s="675">
        <v>0</v>
      </c>
      <c r="DA76" s="675">
        <v>0</v>
      </c>
      <c r="DB76" s="675">
        <v>3279841</v>
      </c>
      <c r="DC76" s="675">
        <v>0</v>
      </c>
      <c r="DD76" s="675">
        <v>0</v>
      </c>
      <c r="DE76" s="675">
        <v>741584</v>
      </c>
      <c r="DF76" s="675">
        <v>741584</v>
      </c>
      <c r="DG76" s="675">
        <v>120.38800000000001</v>
      </c>
      <c r="DH76" s="675">
        <v>0</v>
      </c>
      <c r="DI76" s="675">
        <v>0</v>
      </c>
      <c r="DJ76" s="675">
        <v>0</v>
      </c>
      <c r="DK76" s="675">
        <v>2620</v>
      </c>
      <c r="DL76" s="675">
        <v>0</v>
      </c>
      <c r="DM76" s="675">
        <v>421231</v>
      </c>
      <c r="DN76" s="675">
        <v>1507</v>
      </c>
      <c r="DO76" s="675">
        <v>0</v>
      </c>
      <c r="DP76" s="675">
        <v>0</v>
      </c>
      <c r="DQ76" s="675">
        <v>0</v>
      </c>
      <c r="DR76" s="675">
        <v>0</v>
      </c>
      <c r="DS76" s="675">
        <v>0</v>
      </c>
      <c r="DT76" s="675">
        <v>0</v>
      </c>
      <c r="DU76" s="675">
        <v>0</v>
      </c>
      <c r="DV76" s="675">
        <v>0</v>
      </c>
      <c r="DW76" s="675">
        <v>0</v>
      </c>
      <c r="DX76" s="675">
        <v>0</v>
      </c>
      <c r="DY76" s="675">
        <v>0</v>
      </c>
      <c r="DZ76" s="675">
        <v>0</v>
      </c>
      <c r="EA76" s="675">
        <v>0</v>
      </c>
      <c r="EB76" s="675">
        <v>0</v>
      </c>
      <c r="EC76" s="675">
        <v>10.793000000000001</v>
      </c>
      <c r="ED76" s="675">
        <v>76457</v>
      </c>
      <c r="EE76" s="675">
        <v>0</v>
      </c>
      <c r="EF76" s="675">
        <v>0</v>
      </c>
      <c r="EG76" s="675">
        <v>0</v>
      </c>
      <c r="EH76" s="675">
        <v>320614</v>
      </c>
      <c r="EI76" s="675">
        <v>0</v>
      </c>
      <c r="EJ76" s="675">
        <v>0</v>
      </c>
      <c r="EK76" s="675">
        <v>14.808</v>
      </c>
      <c r="EL76" s="675">
        <v>0</v>
      </c>
      <c r="EM76" s="675">
        <v>0.753</v>
      </c>
      <c r="EN76" s="675">
        <v>1.073</v>
      </c>
      <c r="EO76" s="675">
        <v>0</v>
      </c>
      <c r="EP76" s="675">
        <v>0</v>
      </c>
      <c r="EQ76" s="675">
        <v>16.634</v>
      </c>
      <c r="ER76" s="675">
        <v>0</v>
      </c>
      <c r="ES76" s="675">
        <v>52.048000000000002</v>
      </c>
      <c r="ET76" s="675">
        <v>0</v>
      </c>
      <c r="EU76" s="675">
        <v>0</v>
      </c>
      <c r="EV76" s="675">
        <v>0</v>
      </c>
      <c r="EW76" s="675">
        <v>0</v>
      </c>
      <c r="EX76" s="675">
        <v>0</v>
      </c>
      <c r="EY76" s="675">
        <v>0</v>
      </c>
      <c r="EZ76" s="675">
        <v>4997665</v>
      </c>
      <c r="FA76" s="675">
        <v>0</v>
      </c>
      <c r="FB76" s="675">
        <v>5248507</v>
      </c>
      <c r="FC76" s="675">
        <v>0</v>
      </c>
      <c r="FD76" s="675">
        <v>0</v>
      </c>
      <c r="FE76" s="675">
        <v>532202</v>
      </c>
      <c r="FF76" s="675">
        <v>110078</v>
      </c>
      <c r="FG76" s="675">
        <v>6.3574999999999993E-2</v>
      </c>
      <c r="FH76" s="675">
        <v>2.6298999999999999E-2</v>
      </c>
      <c r="FI76" s="675">
        <v>0</v>
      </c>
      <c r="FJ76" s="675">
        <v>0</v>
      </c>
      <c r="FK76" s="675">
        <v>849.35500000000002</v>
      </c>
      <c r="FL76" s="675">
        <v>5991900</v>
      </c>
      <c r="FM76" s="675">
        <v>0</v>
      </c>
      <c r="FN76" s="675">
        <v>0</v>
      </c>
      <c r="FO76" s="675">
        <v>18026</v>
      </c>
      <c r="FP76" s="675">
        <v>0</v>
      </c>
      <c r="FQ76" s="675">
        <v>18026</v>
      </c>
      <c r="FR76" s="675">
        <v>18026</v>
      </c>
      <c r="FS76" s="675">
        <v>0</v>
      </c>
      <c r="FT76" s="675">
        <v>0</v>
      </c>
      <c r="FU76" s="675">
        <v>0</v>
      </c>
      <c r="FV76" s="675">
        <v>0</v>
      </c>
      <c r="FW76" s="675">
        <v>0</v>
      </c>
      <c r="FX76" s="675">
        <v>0</v>
      </c>
      <c r="FY76" s="675">
        <v>0</v>
      </c>
      <c r="FZ76" s="675">
        <v>0</v>
      </c>
      <c r="GA76" s="675">
        <v>0</v>
      </c>
      <c r="GB76" s="675">
        <v>0</v>
      </c>
      <c r="GC76" s="675">
        <v>0</v>
      </c>
      <c r="GD76" s="675">
        <v>0</v>
      </c>
      <c r="GE76" s="675">
        <v>0</v>
      </c>
      <c r="GF76" s="675">
        <v>0</v>
      </c>
      <c r="GG76" s="675">
        <v>0</v>
      </c>
      <c r="GH76" s="675">
        <v>0</v>
      </c>
      <c r="GI76" s="675">
        <v>0</v>
      </c>
      <c r="GJ76" s="675">
        <v>0</v>
      </c>
      <c r="GK76" s="675">
        <v>0</v>
      </c>
      <c r="GL76" s="675">
        <v>0</v>
      </c>
      <c r="GM76" s="675">
        <v>0</v>
      </c>
      <c r="GN76" s="675">
        <v>0</v>
      </c>
      <c r="GO76" s="675">
        <v>0</v>
      </c>
      <c r="GP76" s="675">
        <v>0</v>
      </c>
      <c r="GQ76" s="675">
        <v>0</v>
      </c>
      <c r="GR76" s="675">
        <v>0</v>
      </c>
      <c r="GS76" s="675">
        <v>0</v>
      </c>
      <c r="GT76" s="675">
        <v>0</v>
      </c>
      <c r="GU76" s="675">
        <v>0</v>
      </c>
      <c r="GV76" s="675">
        <v>0</v>
      </c>
      <c r="GW76" s="675">
        <v>0</v>
      </c>
      <c r="GX76" s="675">
        <v>0</v>
      </c>
      <c r="GY76" s="675">
        <v>0</v>
      </c>
      <c r="GZ76" s="675">
        <v>0</v>
      </c>
      <c r="HA76" s="675">
        <v>0</v>
      </c>
      <c r="HB76" s="675">
        <v>298386780</v>
      </c>
      <c r="HC76" s="675">
        <v>4.5690999999999996E-2</v>
      </c>
      <c r="HD76" s="675">
        <v>101113</v>
      </c>
      <c r="HE76" s="675">
        <v>0</v>
      </c>
      <c r="HF76" s="675">
        <v>590272</v>
      </c>
      <c r="HG76" s="675">
        <v>3080</v>
      </c>
      <c r="HH76" s="675">
        <v>148680</v>
      </c>
      <c r="HI76" s="675">
        <v>0</v>
      </c>
      <c r="HJ76" s="675">
        <v>5378</v>
      </c>
      <c r="HK76" s="675">
        <v>0</v>
      </c>
      <c r="HL76" s="675">
        <v>0</v>
      </c>
      <c r="HM76" s="675">
        <v>0</v>
      </c>
      <c r="HN76" s="675">
        <v>0</v>
      </c>
      <c r="HO76" s="675">
        <v>0</v>
      </c>
      <c r="HP76" s="675">
        <v>0</v>
      </c>
      <c r="HQ76" s="675">
        <v>0</v>
      </c>
      <c r="HR76" s="675">
        <v>0</v>
      </c>
      <c r="HS76" s="675">
        <v>4996145</v>
      </c>
      <c r="HT76" s="675">
        <v>110078</v>
      </c>
      <c r="HU76" s="675">
        <v>0</v>
      </c>
      <c r="HV76" s="675">
        <v>0</v>
      </c>
      <c r="HW76" s="675">
        <v>0</v>
      </c>
      <c r="HX76" s="675">
        <v>53</v>
      </c>
      <c r="HY76" s="675">
        <v>45</v>
      </c>
      <c r="HZ76" s="675">
        <v>97</v>
      </c>
      <c r="IA76" s="675">
        <v>80</v>
      </c>
      <c r="IB76" s="675">
        <v>191</v>
      </c>
      <c r="IC76" s="675">
        <v>466</v>
      </c>
      <c r="ID76" s="675">
        <v>0</v>
      </c>
      <c r="IE76" s="675">
        <v>0</v>
      </c>
      <c r="IF76" s="675">
        <v>0</v>
      </c>
      <c r="IG76" s="675">
        <v>5</v>
      </c>
      <c r="IH76" s="675">
        <v>241.36500000000001</v>
      </c>
      <c r="II76" s="675">
        <v>0</v>
      </c>
      <c r="IJ76" s="675">
        <v>62.247</v>
      </c>
      <c r="IK76" s="675">
        <v>0</v>
      </c>
      <c r="IL76" s="675">
        <v>0</v>
      </c>
      <c r="IM76" s="675">
        <v>0</v>
      </c>
      <c r="IN76" s="675">
        <v>0</v>
      </c>
      <c r="IO76" s="675">
        <v>0</v>
      </c>
      <c r="IP76" s="675">
        <v>0</v>
      </c>
      <c r="IQ76" s="675">
        <v>62.247</v>
      </c>
      <c r="IR76" s="675">
        <v>38344</v>
      </c>
      <c r="IS76" s="675">
        <v>0</v>
      </c>
      <c r="IT76" s="675">
        <v>0</v>
      </c>
      <c r="IU76" s="675">
        <v>0</v>
      </c>
      <c r="IV76" s="675">
        <v>0</v>
      </c>
      <c r="IW76" s="675">
        <v>6160</v>
      </c>
      <c r="IX76" s="675">
        <v>0</v>
      </c>
      <c r="IY76" s="675">
        <v>0</v>
      </c>
      <c r="IZ76" s="675">
        <v>0</v>
      </c>
      <c r="JA76" s="675">
        <v>0</v>
      </c>
      <c r="JB76" s="675">
        <v>0</v>
      </c>
      <c r="JC76" s="675">
        <v>0</v>
      </c>
      <c r="JD76" s="675">
        <v>0</v>
      </c>
      <c r="JE76" s="675">
        <v>0</v>
      </c>
      <c r="JF76" s="675">
        <v>0</v>
      </c>
      <c r="JG76" s="675">
        <v>0</v>
      </c>
      <c r="JH76" s="675">
        <v>0</v>
      </c>
      <c r="JI76" s="675">
        <v>0</v>
      </c>
      <c r="JJ76" s="675">
        <v>0</v>
      </c>
      <c r="JK76" s="675">
        <v>0</v>
      </c>
      <c r="JL76" s="675">
        <v>0</v>
      </c>
      <c r="JM76" s="675">
        <v>0</v>
      </c>
      <c r="JN76" s="675">
        <v>32469</v>
      </c>
      <c r="JO76" s="675">
        <v>0</v>
      </c>
      <c r="JP76" s="675">
        <v>0</v>
      </c>
      <c r="JQ76" s="675">
        <v>0</v>
      </c>
      <c r="JR76" s="675">
        <v>0</v>
      </c>
      <c r="JS76" s="675">
        <v>0</v>
      </c>
      <c r="JT76" s="675">
        <v>0</v>
      </c>
      <c r="JU76" s="675">
        <v>2084</v>
      </c>
      <c r="JV76" s="675">
        <v>0</v>
      </c>
      <c r="JW76" s="675">
        <v>0</v>
      </c>
      <c r="JX76" s="675">
        <v>0</v>
      </c>
      <c r="JY76" s="675">
        <v>0</v>
      </c>
      <c r="JZ76" s="675">
        <v>0</v>
      </c>
      <c r="KA76" s="675">
        <v>0</v>
      </c>
      <c r="KB76" s="675">
        <v>0</v>
      </c>
      <c r="KC76" s="675">
        <v>0</v>
      </c>
      <c r="KD76" s="675">
        <v>2084</v>
      </c>
      <c r="KE76" s="675">
        <v>7260</v>
      </c>
      <c r="KF76" s="675">
        <v>0</v>
      </c>
      <c r="KG76" s="675">
        <v>0</v>
      </c>
      <c r="KH76" s="675">
        <v>0</v>
      </c>
      <c r="KI76" s="675">
        <v>0</v>
      </c>
    </row>
    <row r="77" spans="1:295" ht="12.5" x14ac:dyDescent="0.25">
      <c r="A77" s="675">
        <v>35795</v>
      </c>
      <c r="B77" s="675">
        <v>57805</v>
      </c>
      <c r="C77" s="675">
        <v>9</v>
      </c>
      <c r="D77" s="675">
        <v>2022</v>
      </c>
      <c r="E77" s="675">
        <v>6160</v>
      </c>
      <c r="F77" s="675">
        <v>0</v>
      </c>
      <c r="G77" s="675">
        <v>171.71700000000001</v>
      </c>
      <c r="H77" s="675">
        <v>166.37</v>
      </c>
      <c r="I77" s="675">
        <v>166.37</v>
      </c>
      <c r="J77" s="675">
        <v>171.71700000000001</v>
      </c>
      <c r="K77" s="675">
        <v>0</v>
      </c>
      <c r="L77" s="675">
        <v>6160</v>
      </c>
      <c r="M77" s="675">
        <v>0</v>
      </c>
      <c r="N77" s="675">
        <v>0</v>
      </c>
      <c r="O77" s="675">
        <v>0</v>
      </c>
      <c r="P77" s="675">
        <v>174.84700000000001</v>
      </c>
      <c r="Q77" s="675">
        <v>0</v>
      </c>
      <c r="R77" s="675">
        <v>70363</v>
      </c>
      <c r="S77" s="675">
        <v>402.428</v>
      </c>
      <c r="T77" s="675">
        <v>0</v>
      </c>
      <c r="U77" s="675">
        <v>37417</v>
      </c>
      <c r="V77" s="675">
        <v>72.742000000000004</v>
      </c>
      <c r="W77" s="675">
        <v>44809</v>
      </c>
      <c r="X77" s="675">
        <v>44809</v>
      </c>
      <c r="Y77" s="675">
        <v>0</v>
      </c>
      <c r="Z77" s="675">
        <v>0</v>
      </c>
      <c r="AA77" s="675">
        <v>0</v>
      </c>
      <c r="AB77" s="675">
        <v>0</v>
      </c>
      <c r="AC77" s="675">
        <v>0</v>
      </c>
      <c r="AD77" s="675" t="s">
        <v>316</v>
      </c>
      <c r="AE77" s="675">
        <v>0</v>
      </c>
      <c r="AF77" s="675">
        <v>0</v>
      </c>
      <c r="AG77" s="675">
        <v>0</v>
      </c>
      <c r="AH77" s="675">
        <v>0</v>
      </c>
      <c r="AI77" s="675">
        <v>0</v>
      </c>
      <c r="AJ77" s="675">
        <v>6160</v>
      </c>
      <c r="AK77" s="675" t="s">
        <v>671</v>
      </c>
      <c r="AL77" s="675" t="s">
        <v>325</v>
      </c>
      <c r="AM77" s="675">
        <v>0</v>
      </c>
      <c r="AN77" s="675">
        <v>0</v>
      </c>
      <c r="AO77" s="675">
        <v>0</v>
      </c>
      <c r="AP77" s="675">
        <v>0</v>
      </c>
      <c r="AQ77" s="675">
        <v>0</v>
      </c>
      <c r="AR77" s="675">
        <v>0</v>
      </c>
      <c r="AS77" s="675">
        <v>0</v>
      </c>
      <c r="AT77" s="675">
        <v>0</v>
      </c>
      <c r="AU77" s="675">
        <v>0</v>
      </c>
      <c r="AV77" s="675">
        <v>-16673</v>
      </c>
      <c r="AW77" s="675">
        <v>1876800</v>
      </c>
      <c r="AX77" s="675">
        <v>1877204</v>
      </c>
      <c r="AY77" s="675">
        <v>1244293</v>
      </c>
      <c r="AZ77" s="675">
        <v>70363</v>
      </c>
      <c r="BA77" s="675">
        <v>0</v>
      </c>
      <c r="BB77" s="675">
        <v>0</v>
      </c>
      <c r="BC77" s="675">
        <v>0</v>
      </c>
      <c r="BD77" s="675">
        <v>0</v>
      </c>
      <c r="BE77" s="675">
        <v>0</v>
      </c>
      <c r="BF77" s="675">
        <v>1734625</v>
      </c>
      <c r="BG77" s="675">
        <v>0</v>
      </c>
      <c r="BH77" s="675">
        <v>0</v>
      </c>
      <c r="BI77" s="675">
        <v>0</v>
      </c>
      <c r="BJ77" s="675">
        <v>12</v>
      </c>
      <c r="BK77" s="675">
        <v>0</v>
      </c>
      <c r="BL77" s="675">
        <v>0</v>
      </c>
      <c r="BM77" s="675">
        <v>0</v>
      </c>
      <c r="BN77" s="675">
        <v>0</v>
      </c>
      <c r="BO77" s="675">
        <v>0</v>
      </c>
      <c r="BP77" s="675">
        <v>0</v>
      </c>
      <c r="BQ77" s="675">
        <v>744</v>
      </c>
      <c r="BR77" s="675">
        <v>0</v>
      </c>
      <c r="BS77" s="675">
        <v>0</v>
      </c>
      <c r="BT77" s="675">
        <v>0</v>
      </c>
      <c r="BU77" s="675">
        <v>0</v>
      </c>
      <c r="BV77" s="675">
        <v>0</v>
      </c>
      <c r="BW77" s="675">
        <v>0</v>
      </c>
      <c r="BX77" s="675">
        <v>0</v>
      </c>
      <c r="BY77" s="675">
        <v>0</v>
      </c>
      <c r="BZ77" s="675">
        <v>0</v>
      </c>
      <c r="CA77" s="675">
        <v>0</v>
      </c>
      <c r="CB77" s="675">
        <v>0</v>
      </c>
      <c r="CC77" s="675">
        <v>0</v>
      </c>
      <c r="CD77" s="675">
        <v>0</v>
      </c>
      <c r="CE77" s="675">
        <v>0</v>
      </c>
      <c r="CF77" s="675">
        <v>0</v>
      </c>
      <c r="CG77" s="675">
        <v>0</v>
      </c>
      <c r="CH77" s="675">
        <v>0</v>
      </c>
      <c r="CI77" s="675">
        <v>0</v>
      </c>
      <c r="CJ77" s="675">
        <v>4</v>
      </c>
      <c r="CK77" s="675">
        <v>0</v>
      </c>
      <c r="CL77" s="675">
        <v>0</v>
      </c>
      <c r="CM77" s="675">
        <v>0</v>
      </c>
      <c r="CN77" s="675">
        <v>0</v>
      </c>
      <c r="CO77" s="675">
        <v>1</v>
      </c>
      <c r="CP77" s="675">
        <v>0</v>
      </c>
      <c r="CQ77" s="675">
        <v>0</v>
      </c>
      <c r="CR77" s="675">
        <v>179.47</v>
      </c>
      <c r="CS77" s="675">
        <v>0</v>
      </c>
      <c r="CT77" s="675">
        <v>0</v>
      </c>
      <c r="CU77" s="675">
        <v>0</v>
      </c>
      <c r="CV77" s="675">
        <v>0</v>
      </c>
      <c r="CW77" s="675">
        <v>0</v>
      </c>
      <c r="CX77" s="675">
        <v>0</v>
      </c>
      <c r="CY77" s="675">
        <v>0</v>
      </c>
      <c r="CZ77" s="675">
        <v>0</v>
      </c>
      <c r="DA77" s="675">
        <v>0</v>
      </c>
      <c r="DB77" s="675">
        <v>982535</v>
      </c>
      <c r="DC77" s="675">
        <v>0</v>
      </c>
      <c r="DD77" s="675">
        <v>0</v>
      </c>
      <c r="DE77" s="675">
        <v>277122</v>
      </c>
      <c r="DF77" s="675">
        <v>277122</v>
      </c>
      <c r="DG77" s="675">
        <v>44.988</v>
      </c>
      <c r="DH77" s="675">
        <v>0</v>
      </c>
      <c r="DI77" s="675">
        <v>0</v>
      </c>
      <c r="DJ77" s="675">
        <v>0</v>
      </c>
      <c r="DK77" s="675">
        <v>3532</v>
      </c>
      <c r="DL77" s="675">
        <v>0</v>
      </c>
      <c r="DM77" s="675">
        <v>148358</v>
      </c>
      <c r="DN77" s="675">
        <v>404</v>
      </c>
      <c r="DO77" s="675">
        <v>0</v>
      </c>
      <c r="DP77" s="675">
        <v>0</v>
      </c>
      <c r="DQ77" s="675">
        <v>0</v>
      </c>
      <c r="DR77" s="675">
        <v>0</v>
      </c>
      <c r="DS77" s="675">
        <v>0</v>
      </c>
      <c r="DT77" s="675">
        <v>0</v>
      </c>
      <c r="DU77" s="675">
        <v>0</v>
      </c>
      <c r="DV77" s="675">
        <v>0</v>
      </c>
      <c r="DW77" s="675">
        <v>0</v>
      </c>
      <c r="DX77" s="675">
        <v>0</v>
      </c>
      <c r="DY77" s="675">
        <v>0</v>
      </c>
      <c r="DZ77" s="675">
        <v>0</v>
      </c>
      <c r="EA77" s="675">
        <v>0</v>
      </c>
      <c r="EB77" s="675">
        <v>0</v>
      </c>
      <c r="EC77" s="675">
        <v>0</v>
      </c>
      <c r="ED77" s="675">
        <v>0</v>
      </c>
      <c r="EE77" s="675">
        <v>0</v>
      </c>
      <c r="EF77" s="675">
        <v>0</v>
      </c>
      <c r="EG77" s="675">
        <v>0</v>
      </c>
      <c r="EH77" s="675">
        <v>106463</v>
      </c>
      <c r="EI77" s="675">
        <v>0</v>
      </c>
      <c r="EJ77" s="675">
        <v>0</v>
      </c>
      <c r="EK77" s="675">
        <v>4.726</v>
      </c>
      <c r="EL77" s="675">
        <v>0</v>
      </c>
      <c r="EM77" s="675">
        <v>0</v>
      </c>
      <c r="EN77" s="675">
        <v>0.621</v>
      </c>
      <c r="EO77" s="675">
        <v>0</v>
      </c>
      <c r="EP77" s="675">
        <v>0</v>
      </c>
      <c r="EQ77" s="675">
        <v>5.3470000000000004</v>
      </c>
      <c r="ER77" s="675">
        <v>0</v>
      </c>
      <c r="ES77" s="675">
        <v>17.283000000000001</v>
      </c>
      <c r="ET77" s="675">
        <v>0</v>
      </c>
      <c r="EU77" s="675">
        <v>0</v>
      </c>
      <c r="EV77" s="675">
        <v>0</v>
      </c>
      <c r="EW77" s="675">
        <v>0</v>
      </c>
      <c r="EX77" s="675">
        <v>0</v>
      </c>
      <c r="EY77" s="675">
        <v>0</v>
      </c>
      <c r="EZ77" s="675">
        <v>1664262</v>
      </c>
      <c r="FA77" s="675">
        <v>0</v>
      </c>
      <c r="FB77" s="675">
        <v>1734221</v>
      </c>
      <c r="FC77" s="675">
        <v>0</v>
      </c>
      <c r="FD77" s="675">
        <v>0</v>
      </c>
      <c r="FE77" s="675">
        <v>176447</v>
      </c>
      <c r="FF77" s="675">
        <v>36495</v>
      </c>
      <c r="FG77" s="675">
        <v>6.3574999999999993E-2</v>
      </c>
      <c r="FH77" s="675">
        <v>2.6298999999999999E-2</v>
      </c>
      <c r="FI77" s="675">
        <v>0</v>
      </c>
      <c r="FJ77" s="675">
        <v>0</v>
      </c>
      <c r="FK77" s="675">
        <v>281.596</v>
      </c>
      <c r="FL77" s="675">
        <v>1947163</v>
      </c>
      <c r="FM77" s="675">
        <v>0</v>
      </c>
      <c r="FN77" s="675">
        <v>0</v>
      </c>
      <c r="FO77" s="675">
        <v>0</v>
      </c>
      <c r="FP77" s="675">
        <v>0</v>
      </c>
      <c r="FQ77" s="675">
        <v>0</v>
      </c>
      <c r="FR77" s="675">
        <v>0</v>
      </c>
      <c r="FS77" s="675">
        <v>0</v>
      </c>
      <c r="FT77" s="675">
        <v>0</v>
      </c>
      <c r="FU77" s="675">
        <v>0</v>
      </c>
      <c r="FV77" s="675">
        <v>0</v>
      </c>
      <c r="FW77" s="675">
        <v>0</v>
      </c>
      <c r="FX77" s="675">
        <v>0</v>
      </c>
      <c r="FY77" s="675">
        <v>0</v>
      </c>
      <c r="FZ77" s="675">
        <v>0</v>
      </c>
      <c r="GA77" s="675">
        <v>0</v>
      </c>
      <c r="GB77" s="675">
        <v>0</v>
      </c>
      <c r="GC77" s="675">
        <v>0</v>
      </c>
      <c r="GD77" s="675">
        <v>0</v>
      </c>
      <c r="GE77" s="675">
        <v>0</v>
      </c>
      <c r="GF77" s="675">
        <v>0</v>
      </c>
      <c r="GG77" s="675">
        <v>0</v>
      </c>
      <c r="GH77" s="675">
        <v>0</v>
      </c>
      <c r="GI77" s="675">
        <v>0</v>
      </c>
      <c r="GJ77" s="675">
        <v>0</v>
      </c>
      <c r="GK77" s="675">
        <v>0</v>
      </c>
      <c r="GL77" s="675">
        <v>0</v>
      </c>
      <c r="GM77" s="675">
        <v>0</v>
      </c>
      <c r="GN77" s="675">
        <v>0</v>
      </c>
      <c r="GO77" s="675">
        <v>0</v>
      </c>
      <c r="GP77" s="675">
        <v>0</v>
      </c>
      <c r="GQ77" s="675">
        <v>0</v>
      </c>
      <c r="GR77" s="675">
        <v>0</v>
      </c>
      <c r="GS77" s="675">
        <v>0</v>
      </c>
      <c r="GT77" s="675">
        <v>0</v>
      </c>
      <c r="GU77" s="675">
        <v>0</v>
      </c>
      <c r="GV77" s="675">
        <v>0</v>
      </c>
      <c r="GW77" s="675">
        <v>0</v>
      </c>
      <c r="GX77" s="675">
        <v>0</v>
      </c>
      <c r="GY77" s="675">
        <v>0</v>
      </c>
      <c r="GZ77" s="675">
        <v>0</v>
      </c>
      <c r="HA77" s="675">
        <v>0</v>
      </c>
      <c r="HB77" s="675">
        <v>0</v>
      </c>
      <c r="HC77" s="675">
        <v>4.5690999999999996E-2</v>
      </c>
      <c r="HD77" s="675">
        <v>0</v>
      </c>
      <c r="HE77" s="675">
        <v>0</v>
      </c>
      <c r="HF77" s="675">
        <v>183007</v>
      </c>
      <c r="HG77" s="675">
        <v>5133</v>
      </c>
      <c r="HH77" s="675">
        <v>91588</v>
      </c>
      <c r="HI77" s="675">
        <v>0</v>
      </c>
      <c r="HJ77" s="675">
        <v>1669</v>
      </c>
      <c r="HK77" s="675">
        <v>0</v>
      </c>
      <c r="HL77" s="675">
        <v>0</v>
      </c>
      <c r="HM77" s="675">
        <v>0</v>
      </c>
      <c r="HN77" s="675">
        <v>0</v>
      </c>
      <c r="HO77" s="675">
        <v>0</v>
      </c>
      <c r="HP77" s="675">
        <v>0</v>
      </c>
      <c r="HQ77" s="675">
        <v>0</v>
      </c>
      <c r="HR77" s="675">
        <v>0</v>
      </c>
      <c r="HS77" s="675">
        <v>1663858</v>
      </c>
      <c r="HT77" s="675">
        <v>36495</v>
      </c>
      <c r="HU77" s="675">
        <v>0</v>
      </c>
      <c r="HV77" s="675">
        <v>0</v>
      </c>
      <c r="HW77" s="675">
        <v>0</v>
      </c>
      <c r="HX77" s="675">
        <v>16</v>
      </c>
      <c r="HY77" s="675">
        <v>26</v>
      </c>
      <c r="HZ77" s="675">
        <v>24</v>
      </c>
      <c r="IA77" s="675">
        <v>61</v>
      </c>
      <c r="IB77" s="675">
        <v>48</v>
      </c>
      <c r="IC77" s="675">
        <v>175</v>
      </c>
      <c r="ID77" s="675">
        <v>0</v>
      </c>
      <c r="IE77" s="675">
        <v>0</v>
      </c>
      <c r="IF77" s="675">
        <v>0</v>
      </c>
      <c r="IG77" s="675">
        <v>8.3330000000000002</v>
      </c>
      <c r="IH77" s="675">
        <v>148.68300000000002</v>
      </c>
      <c r="II77" s="675">
        <v>0</v>
      </c>
      <c r="IJ77" s="675">
        <v>72.742000000000004</v>
      </c>
      <c r="IK77" s="675">
        <v>0</v>
      </c>
      <c r="IL77" s="675">
        <v>0</v>
      </c>
      <c r="IM77" s="675">
        <v>0</v>
      </c>
      <c r="IN77" s="675">
        <v>0</v>
      </c>
      <c r="IO77" s="675">
        <v>0</v>
      </c>
      <c r="IP77" s="675">
        <v>0</v>
      </c>
      <c r="IQ77" s="675">
        <v>72.742000000000004</v>
      </c>
      <c r="IR77" s="675">
        <v>44809</v>
      </c>
      <c r="IS77" s="675">
        <v>0</v>
      </c>
      <c r="IT77" s="675">
        <v>0</v>
      </c>
      <c r="IU77" s="675">
        <v>0</v>
      </c>
      <c r="IV77" s="675">
        <v>0</v>
      </c>
      <c r="IW77" s="675">
        <v>6160</v>
      </c>
      <c r="IX77" s="675">
        <v>0</v>
      </c>
      <c r="IY77" s="675">
        <v>0</v>
      </c>
      <c r="IZ77" s="675">
        <v>0</v>
      </c>
      <c r="JA77" s="675">
        <v>0</v>
      </c>
      <c r="JB77" s="675">
        <v>0</v>
      </c>
      <c r="JC77" s="675">
        <v>0</v>
      </c>
      <c r="JD77" s="675">
        <v>0</v>
      </c>
      <c r="JE77" s="675">
        <v>0</v>
      </c>
      <c r="JF77" s="675">
        <v>0</v>
      </c>
      <c r="JG77" s="675">
        <v>0</v>
      </c>
      <c r="JH77" s="675">
        <v>0</v>
      </c>
      <c r="JI77" s="675">
        <v>0</v>
      </c>
      <c r="JJ77" s="675">
        <v>0</v>
      </c>
      <c r="JK77" s="675">
        <v>0</v>
      </c>
      <c r="JL77" s="675">
        <v>0</v>
      </c>
      <c r="JM77" s="675">
        <v>0</v>
      </c>
      <c r="JN77" s="675">
        <v>32469</v>
      </c>
      <c r="JO77" s="675">
        <v>0</v>
      </c>
      <c r="JP77" s="675">
        <v>0</v>
      </c>
      <c r="JQ77" s="675">
        <v>0</v>
      </c>
      <c r="JR77" s="675">
        <v>0</v>
      </c>
      <c r="JS77" s="675">
        <v>0</v>
      </c>
      <c r="JT77" s="675">
        <v>0</v>
      </c>
      <c r="JU77" s="675">
        <v>0</v>
      </c>
      <c r="JV77" s="675">
        <v>0</v>
      </c>
      <c r="JW77" s="675">
        <v>0</v>
      </c>
      <c r="JX77" s="675">
        <v>0</v>
      </c>
      <c r="JY77" s="675">
        <v>0</v>
      </c>
      <c r="JZ77" s="675">
        <v>0</v>
      </c>
      <c r="KA77" s="675">
        <v>0</v>
      </c>
      <c r="KB77" s="675">
        <v>0</v>
      </c>
      <c r="KC77" s="675">
        <v>0</v>
      </c>
      <c r="KD77" s="675">
        <v>0</v>
      </c>
      <c r="KE77" s="675">
        <v>7260</v>
      </c>
      <c r="KF77" s="675">
        <v>0</v>
      </c>
      <c r="KG77" s="675">
        <v>0</v>
      </c>
      <c r="KH77" s="675">
        <v>0</v>
      </c>
      <c r="KI77" s="675">
        <v>0</v>
      </c>
    </row>
    <row r="78" spans="1:295" ht="12.5" x14ac:dyDescent="0.25">
      <c r="A78" s="675">
        <v>35795</v>
      </c>
      <c r="B78" s="675">
        <v>61805</v>
      </c>
      <c r="C78" s="675">
        <v>9</v>
      </c>
      <c r="D78" s="675">
        <v>2022</v>
      </c>
      <c r="E78" s="675">
        <v>6160</v>
      </c>
      <c r="F78" s="675">
        <v>0</v>
      </c>
      <c r="G78" s="675">
        <v>534.08199999999999</v>
      </c>
      <c r="H78" s="675">
        <v>512.303</v>
      </c>
      <c r="I78" s="675">
        <v>512.303</v>
      </c>
      <c r="J78" s="675">
        <v>534.08199999999999</v>
      </c>
      <c r="K78" s="675">
        <v>0</v>
      </c>
      <c r="L78" s="675">
        <v>6160</v>
      </c>
      <c r="M78" s="675">
        <v>0</v>
      </c>
      <c r="N78" s="675">
        <v>0</v>
      </c>
      <c r="O78" s="675">
        <v>0</v>
      </c>
      <c r="P78" s="675">
        <v>577.85900000000004</v>
      </c>
      <c r="Q78" s="675">
        <v>0</v>
      </c>
      <c r="R78" s="675">
        <v>232547</v>
      </c>
      <c r="S78" s="675">
        <v>402.428</v>
      </c>
      <c r="T78" s="675">
        <v>0</v>
      </c>
      <c r="U78" s="675">
        <v>123662</v>
      </c>
      <c r="V78" s="675">
        <v>50.062000000000005</v>
      </c>
      <c r="W78" s="675">
        <v>30838</v>
      </c>
      <c r="X78" s="675">
        <v>30838</v>
      </c>
      <c r="Y78" s="675">
        <v>0</v>
      </c>
      <c r="Z78" s="675">
        <v>0</v>
      </c>
      <c r="AA78" s="675">
        <v>0</v>
      </c>
      <c r="AB78" s="675">
        <v>0</v>
      </c>
      <c r="AC78" s="675">
        <v>0</v>
      </c>
      <c r="AD78" s="675" t="s">
        <v>316</v>
      </c>
      <c r="AE78" s="675">
        <v>0</v>
      </c>
      <c r="AF78" s="675">
        <v>0</v>
      </c>
      <c r="AG78" s="675">
        <v>0</v>
      </c>
      <c r="AH78" s="675">
        <v>0</v>
      </c>
      <c r="AI78" s="675">
        <v>0</v>
      </c>
      <c r="AJ78" s="675">
        <v>6160</v>
      </c>
      <c r="AK78" s="675" t="s">
        <v>671</v>
      </c>
      <c r="AL78" s="675" t="s">
        <v>389</v>
      </c>
      <c r="AM78" s="675">
        <v>0</v>
      </c>
      <c r="AN78" s="675">
        <v>0</v>
      </c>
      <c r="AO78" s="675">
        <v>0</v>
      </c>
      <c r="AP78" s="675">
        <v>0</v>
      </c>
      <c r="AQ78" s="675">
        <v>0</v>
      </c>
      <c r="AR78" s="675">
        <v>0</v>
      </c>
      <c r="AS78" s="675">
        <v>0</v>
      </c>
      <c r="AT78" s="675">
        <v>0</v>
      </c>
      <c r="AU78" s="675">
        <v>0</v>
      </c>
      <c r="AV78" s="675">
        <v>0</v>
      </c>
      <c r="AW78" s="675">
        <v>4716426</v>
      </c>
      <c r="AX78" s="675">
        <v>4620606</v>
      </c>
      <c r="AY78" s="675">
        <v>3197473</v>
      </c>
      <c r="AZ78" s="675">
        <v>232547</v>
      </c>
      <c r="BA78" s="675">
        <v>0</v>
      </c>
      <c r="BB78" s="675">
        <v>11515</v>
      </c>
      <c r="BC78" s="675">
        <v>11441</v>
      </c>
      <c r="BD78" s="675">
        <v>26.704000000000001</v>
      </c>
      <c r="BE78" s="675">
        <v>74</v>
      </c>
      <c r="BF78" s="675">
        <v>4322521</v>
      </c>
      <c r="BG78" s="675">
        <v>0</v>
      </c>
      <c r="BH78" s="675">
        <v>0</v>
      </c>
      <c r="BI78" s="675">
        <v>0</v>
      </c>
      <c r="BJ78" s="675">
        <v>12</v>
      </c>
      <c r="BK78" s="675">
        <v>0</v>
      </c>
      <c r="BL78" s="675">
        <v>0</v>
      </c>
      <c r="BM78" s="675">
        <v>0</v>
      </c>
      <c r="BN78" s="675">
        <v>0</v>
      </c>
      <c r="BO78" s="675">
        <v>0</v>
      </c>
      <c r="BP78" s="675">
        <v>0</v>
      </c>
      <c r="BQ78" s="675">
        <v>691</v>
      </c>
      <c r="BR78" s="675">
        <v>0</v>
      </c>
      <c r="BS78" s="675">
        <v>0</v>
      </c>
      <c r="BT78" s="675">
        <v>0</v>
      </c>
      <c r="BU78" s="675">
        <v>0</v>
      </c>
      <c r="BV78" s="675">
        <v>0</v>
      </c>
      <c r="BW78" s="675">
        <v>0</v>
      </c>
      <c r="BX78" s="675">
        <v>0</v>
      </c>
      <c r="BY78" s="675">
        <v>0</v>
      </c>
      <c r="BZ78" s="675">
        <v>0</v>
      </c>
      <c r="CA78" s="675">
        <v>0</v>
      </c>
      <c r="CB78" s="675">
        <v>0</v>
      </c>
      <c r="CC78" s="675">
        <v>0</v>
      </c>
      <c r="CD78" s="675">
        <v>0</v>
      </c>
      <c r="CE78" s="675">
        <v>0</v>
      </c>
      <c r="CF78" s="675">
        <v>0</v>
      </c>
      <c r="CG78" s="675">
        <v>0</v>
      </c>
      <c r="CH78" s="675">
        <v>97610</v>
      </c>
      <c r="CI78" s="675">
        <v>0</v>
      </c>
      <c r="CJ78" s="675">
        <v>4</v>
      </c>
      <c r="CK78" s="675">
        <v>0</v>
      </c>
      <c r="CL78" s="675">
        <v>0</v>
      </c>
      <c r="CM78" s="675">
        <v>0</v>
      </c>
      <c r="CN78" s="675">
        <v>0</v>
      </c>
      <c r="CO78" s="675">
        <v>1</v>
      </c>
      <c r="CP78" s="675">
        <v>0</v>
      </c>
      <c r="CQ78" s="675">
        <v>0</v>
      </c>
      <c r="CR78" s="675">
        <v>596.952</v>
      </c>
      <c r="CS78" s="675">
        <v>0</v>
      </c>
      <c r="CT78" s="675">
        <v>0</v>
      </c>
      <c r="CU78" s="675">
        <v>0</v>
      </c>
      <c r="CV78" s="675">
        <v>0</v>
      </c>
      <c r="CW78" s="675">
        <v>0</v>
      </c>
      <c r="CX78" s="675">
        <v>0</v>
      </c>
      <c r="CY78" s="675">
        <v>0</v>
      </c>
      <c r="CZ78" s="675">
        <v>0</v>
      </c>
      <c r="DA78" s="675">
        <v>0</v>
      </c>
      <c r="DB78" s="675">
        <v>3155772</v>
      </c>
      <c r="DC78" s="675">
        <v>0</v>
      </c>
      <c r="DD78" s="675">
        <v>0</v>
      </c>
      <c r="DE78" s="675">
        <v>30646</v>
      </c>
      <c r="DF78" s="675">
        <v>30646</v>
      </c>
      <c r="DG78" s="675">
        <v>4.9750000000000005</v>
      </c>
      <c r="DH78" s="675">
        <v>0</v>
      </c>
      <c r="DI78" s="675">
        <v>0</v>
      </c>
      <c r="DJ78" s="675">
        <v>0</v>
      </c>
      <c r="DK78" s="675">
        <v>2680</v>
      </c>
      <c r="DL78" s="675">
        <v>0</v>
      </c>
      <c r="DM78" s="675">
        <v>450355</v>
      </c>
      <c r="DN78" s="675">
        <v>1715</v>
      </c>
      <c r="DO78" s="675">
        <v>0</v>
      </c>
      <c r="DP78" s="675">
        <v>0</v>
      </c>
      <c r="DQ78" s="675">
        <v>0</v>
      </c>
      <c r="DR78" s="675">
        <v>0</v>
      </c>
      <c r="DS78" s="675">
        <v>0</v>
      </c>
      <c r="DT78" s="675">
        <v>0</v>
      </c>
      <c r="DU78" s="675">
        <v>0</v>
      </c>
      <c r="DV78" s="675">
        <v>0</v>
      </c>
      <c r="DW78" s="675">
        <v>0</v>
      </c>
      <c r="DX78" s="675">
        <v>0</v>
      </c>
      <c r="DY78" s="675">
        <v>0</v>
      </c>
      <c r="DZ78" s="675">
        <v>0</v>
      </c>
      <c r="EA78" s="675">
        <v>0</v>
      </c>
      <c r="EB78" s="675">
        <v>0</v>
      </c>
      <c r="EC78" s="675">
        <v>10.762</v>
      </c>
      <c r="ED78" s="675">
        <v>76238</v>
      </c>
      <c r="EE78" s="675">
        <v>0</v>
      </c>
      <c r="EF78" s="675">
        <v>0</v>
      </c>
      <c r="EG78" s="675">
        <v>0</v>
      </c>
      <c r="EH78" s="675">
        <v>375832</v>
      </c>
      <c r="EI78" s="675">
        <v>0</v>
      </c>
      <c r="EJ78" s="675">
        <v>0</v>
      </c>
      <c r="EK78" s="675">
        <v>18.791</v>
      </c>
      <c r="EL78" s="675">
        <v>0</v>
      </c>
      <c r="EM78" s="675">
        <v>0.14800000000000002</v>
      </c>
      <c r="EN78" s="675">
        <v>0.83900000000000008</v>
      </c>
      <c r="EO78" s="675">
        <v>0</v>
      </c>
      <c r="EP78" s="675">
        <v>0</v>
      </c>
      <c r="EQ78" s="675">
        <v>19.778000000000002</v>
      </c>
      <c r="ER78" s="675">
        <v>0</v>
      </c>
      <c r="ES78" s="675">
        <v>61.012</v>
      </c>
      <c r="ET78" s="675">
        <v>0</v>
      </c>
      <c r="EU78" s="675">
        <v>0</v>
      </c>
      <c r="EV78" s="675">
        <v>0</v>
      </c>
      <c r="EW78" s="675">
        <v>0</v>
      </c>
      <c r="EX78" s="675">
        <v>0</v>
      </c>
      <c r="EY78" s="675">
        <v>0</v>
      </c>
      <c r="EZ78" s="675">
        <v>4089974</v>
      </c>
      <c r="FA78" s="675">
        <v>0</v>
      </c>
      <c r="FB78" s="675">
        <v>4320731</v>
      </c>
      <c r="FC78" s="675">
        <v>0</v>
      </c>
      <c r="FD78" s="675">
        <v>0</v>
      </c>
      <c r="FE78" s="675">
        <v>439689</v>
      </c>
      <c r="FF78" s="675">
        <v>90943</v>
      </c>
      <c r="FG78" s="675">
        <v>6.3574999999999993E-2</v>
      </c>
      <c r="FH78" s="675">
        <v>2.6298999999999999E-2</v>
      </c>
      <c r="FI78" s="675">
        <v>0</v>
      </c>
      <c r="FJ78" s="675">
        <v>0</v>
      </c>
      <c r="FK78" s="675">
        <v>701.71100000000001</v>
      </c>
      <c r="FL78" s="675">
        <v>4948973</v>
      </c>
      <c r="FM78" s="675">
        <v>0</v>
      </c>
      <c r="FN78" s="675">
        <v>0</v>
      </c>
      <c r="FO78" s="675">
        <v>0</v>
      </c>
      <c r="FP78" s="675">
        <v>0</v>
      </c>
      <c r="FQ78" s="675">
        <v>0</v>
      </c>
      <c r="FR78" s="675">
        <v>0</v>
      </c>
      <c r="FS78" s="675">
        <v>0</v>
      </c>
      <c r="FT78" s="675">
        <v>0</v>
      </c>
      <c r="FU78" s="675">
        <v>0</v>
      </c>
      <c r="FV78" s="675">
        <v>0</v>
      </c>
      <c r="FW78" s="675">
        <v>0</v>
      </c>
      <c r="FX78" s="675">
        <v>0</v>
      </c>
      <c r="FY78" s="675">
        <v>0</v>
      </c>
      <c r="FZ78" s="675">
        <v>0</v>
      </c>
      <c r="GA78" s="675">
        <v>0</v>
      </c>
      <c r="GB78" s="675">
        <v>18276</v>
      </c>
      <c r="GC78" s="675">
        <v>18276</v>
      </c>
      <c r="GD78" s="675">
        <v>2.0009999999999999</v>
      </c>
      <c r="GE78" s="675">
        <v>0</v>
      </c>
      <c r="GF78" s="675">
        <v>0</v>
      </c>
      <c r="GG78" s="675">
        <v>0</v>
      </c>
      <c r="GH78" s="675">
        <v>0</v>
      </c>
      <c r="GI78" s="675">
        <v>0</v>
      </c>
      <c r="GJ78" s="675">
        <v>0</v>
      </c>
      <c r="GK78" s="675">
        <v>0</v>
      </c>
      <c r="GL78" s="675">
        <v>0</v>
      </c>
      <c r="GM78" s="675">
        <v>0</v>
      </c>
      <c r="GN78" s="675">
        <v>0</v>
      </c>
      <c r="GO78" s="675">
        <v>0</v>
      </c>
      <c r="GP78" s="675">
        <v>0</v>
      </c>
      <c r="GQ78" s="675">
        <v>0</v>
      </c>
      <c r="GR78" s="675">
        <v>0</v>
      </c>
      <c r="GS78" s="675">
        <v>0</v>
      </c>
      <c r="GT78" s="675">
        <v>0</v>
      </c>
      <c r="GU78" s="675">
        <v>0</v>
      </c>
      <c r="GV78" s="675">
        <v>0</v>
      </c>
      <c r="GW78" s="675">
        <v>0</v>
      </c>
      <c r="GX78" s="675">
        <v>0</v>
      </c>
      <c r="GY78" s="675">
        <v>0</v>
      </c>
      <c r="GZ78" s="675">
        <v>0</v>
      </c>
      <c r="HA78" s="675">
        <v>0</v>
      </c>
      <c r="HB78" s="675">
        <v>298386780</v>
      </c>
      <c r="HC78" s="675">
        <v>4.5690999999999996E-2</v>
      </c>
      <c r="HD78" s="675">
        <v>97610</v>
      </c>
      <c r="HE78" s="675">
        <v>0</v>
      </c>
      <c r="HF78" s="675">
        <v>563533</v>
      </c>
      <c r="HG78" s="675">
        <v>24024</v>
      </c>
      <c r="HH78" s="675">
        <v>30656</v>
      </c>
      <c r="HI78" s="675">
        <v>0</v>
      </c>
      <c r="HJ78" s="675">
        <v>5191</v>
      </c>
      <c r="HK78" s="675">
        <v>0</v>
      </c>
      <c r="HL78" s="675">
        <v>0</v>
      </c>
      <c r="HM78" s="675">
        <v>0</v>
      </c>
      <c r="HN78" s="675">
        <v>0</v>
      </c>
      <c r="HO78" s="675">
        <v>0</v>
      </c>
      <c r="HP78" s="675">
        <v>0</v>
      </c>
      <c r="HQ78" s="675">
        <v>0</v>
      </c>
      <c r="HR78" s="675">
        <v>0</v>
      </c>
      <c r="HS78" s="675">
        <v>4088184</v>
      </c>
      <c r="HT78" s="675">
        <v>90943</v>
      </c>
      <c r="HU78" s="675">
        <v>0</v>
      </c>
      <c r="HV78" s="675">
        <v>0</v>
      </c>
      <c r="HW78" s="675">
        <v>0</v>
      </c>
      <c r="HX78" s="675">
        <v>10</v>
      </c>
      <c r="HY78" s="675">
        <v>5</v>
      </c>
      <c r="HZ78" s="675">
        <v>3</v>
      </c>
      <c r="IA78" s="675">
        <v>3</v>
      </c>
      <c r="IB78" s="675">
        <v>0</v>
      </c>
      <c r="IC78" s="675">
        <v>21</v>
      </c>
      <c r="ID78" s="675">
        <v>0</v>
      </c>
      <c r="IE78" s="675">
        <v>0</v>
      </c>
      <c r="IF78" s="675">
        <v>0</v>
      </c>
      <c r="IG78" s="675">
        <v>39</v>
      </c>
      <c r="IH78" s="675">
        <v>49.767000000000003</v>
      </c>
      <c r="II78" s="675">
        <v>0</v>
      </c>
      <c r="IJ78" s="675">
        <v>50.062000000000005</v>
      </c>
      <c r="IK78" s="675">
        <v>0</v>
      </c>
      <c r="IL78" s="675">
        <v>0</v>
      </c>
      <c r="IM78" s="675">
        <v>0</v>
      </c>
      <c r="IN78" s="675">
        <v>0</v>
      </c>
      <c r="IO78" s="675">
        <v>0</v>
      </c>
      <c r="IP78" s="675">
        <v>0</v>
      </c>
      <c r="IQ78" s="675">
        <v>50.062000000000005</v>
      </c>
      <c r="IR78" s="675">
        <v>30838</v>
      </c>
      <c r="IS78" s="675">
        <v>0</v>
      </c>
      <c r="IT78" s="675">
        <v>0</v>
      </c>
      <c r="IU78" s="675">
        <v>0</v>
      </c>
      <c r="IV78" s="675">
        <v>0</v>
      </c>
      <c r="IW78" s="675">
        <v>6160</v>
      </c>
      <c r="IX78" s="675">
        <v>0</v>
      </c>
      <c r="IY78" s="675">
        <v>0</v>
      </c>
      <c r="IZ78" s="675">
        <v>0</v>
      </c>
      <c r="JA78" s="675">
        <v>0</v>
      </c>
      <c r="JB78" s="675">
        <v>0</v>
      </c>
      <c r="JC78" s="675">
        <v>0</v>
      </c>
      <c r="JD78" s="675">
        <v>0</v>
      </c>
      <c r="JE78" s="675">
        <v>0</v>
      </c>
      <c r="JF78" s="675">
        <v>0</v>
      </c>
      <c r="JG78" s="675">
        <v>0</v>
      </c>
      <c r="JH78" s="675">
        <v>0</v>
      </c>
      <c r="JI78" s="675">
        <v>0</v>
      </c>
      <c r="JJ78" s="675">
        <v>0</v>
      </c>
      <c r="JK78" s="675">
        <v>0</v>
      </c>
      <c r="JL78" s="675">
        <v>0</v>
      </c>
      <c r="JM78" s="675">
        <v>0</v>
      </c>
      <c r="JN78" s="675">
        <v>32469</v>
      </c>
      <c r="JO78" s="675">
        <v>0.24400000000000002</v>
      </c>
      <c r="JP78" s="675">
        <v>1.7570000000000001</v>
      </c>
      <c r="JQ78" s="675">
        <v>0</v>
      </c>
      <c r="JR78" s="675">
        <v>1949</v>
      </c>
      <c r="JS78" s="675">
        <v>16327</v>
      </c>
      <c r="JT78" s="675">
        <v>0</v>
      </c>
      <c r="JU78" s="675">
        <v>11515</v>
      </c>
      <c r="JV78" s="675">
        <v>0</v>
      </c>
      <c r="JW78" s="675">
        <v>0</v>
      </c>
      <c r="JX78" s="675">
        <v>0</v>
      </c>
      <c r="JY78" s="675">
        <v>0</v>
      </c>
      <c r="JZ78" s="675">
        <v>0</v>
      </c>
      <c r="KA78" s="675">
        <v>0</v>
      </c>
      <c r="KB78" s="675">
        <v>0</v>
      </c>
      <c r="KC78" s="675">
        <v>0</v>
      </c>
      <c r="KD78" s="675">
        <v>11515</v>
      </c>
      <c r="KE78" s="675">
        <v>7260</v>
      </c>
      <c r="KF78" s="675">
        <v>0</v>
      </c>
      <c r="KG78" s="675">
        <v>0</v>
      </c>
      <c r="KH78" s="675">
        <v>0</v>
      </c>
      <c r="KI78" s="675">
        <v>0</v>
      </c>
    </row>
    <row r="79" spans="1:295" ht="12.5" x14ac:dyDescent="0.25">
      <c r="A79" s="675">
        <v>35795</v>
      </c>
      <c r="B79" s="675">
        <v>123805</v>
      </c>
      <c r="C79" s="675">
        <v>9</v>
      </c>
      <c r="D79" s="675">
        <v>2022</v>
      </c>
      <c r="E79" s="675">
        <v>6160</v>
      </c>
      <c r="F79" s="675">
        <v>0</v>
      </c>
      <c r="G79" s="675">
        <v>461.03000000000003</v>
      </c>
      <c r="H79" s="675">
        <v>455.81100000000004</v>
      </c>
      <c r="I79" s="675">
        <v>455.81100000000004</v>
      </c>
      <c r="J79" s="675">
        <v>461.03000000000003</v>
      </c>
      <c r="K79" s="675">
        <v>0</v>
      </c>
      <c r="L79" s="675">
        <v>6160</v>
      </c>
      <c r="M79" s="675">
        <v>0</v>
      </c>
      <c r="N79" s="675">
        <v>0</v>
      </c>
      <c r="O79" s="675">
        <v>0</v>
      </c>
      <c r="P79" s="675">
        <v>453.58500000000004</v>
      </c>
      <c r="Q79" s="675">
        <v>0</v>
      </c>
      <c r="R79" s="675">
        <v>182535</v>
      </c>
      <c r="S79" s="675">
        <v>402.428</v>
      </c>
      <c r="T79" s="675">
        <v>0</v>
      </c>
      <c r="U79" s="675">
        <v>97069</v>
      </c>
      <c r="V79" s="675">
        <v>271.90300000000002</v>
      </c>
      <c r="W79" s="675">
        <v>167491</v>
      </c>
      <c r="X79" s="675">
        <v>167491</v>
      </c>
      <c r="Y79" s="675">
        <v>0</v>
      </c>
      <c r="Z79" s="675">
        <v>0</v>
      </c>
      <c r="AA79" s="675">
        <v>0</v>
      </c>
      <c r="AB79" s="675">
        <v>0</v>
      </c>
      <c r="AC79" s="675">
        <v>0</v>
      </c>
      <c r="AD79" s="675" t="s">
        <v>316</v>
      </c>
      <c r="AE79" s="675">
        <v>0</v>
      </c>
      <c r="AF79" s="675">
        <v>0</v>
      </c>
      <c r="AG79" s="675">
        <v>0</v>
      </c>
      <c r="AH79" s="675">
        <v>0</v>
      </c>
      <c r="AI79" s="675">
        <v>0</v>
      </c>
      <c r="AJ79" s="675">
        <v>6160</v>
      </c>
      <c r="AK79" s="675" t="s">
        <v>671</v>
      </c>
      <c r="AL79" s="675" t="s">
        <v>4</v>
      </c>
      <c r="AM79" s="675">
        <v>0</v>
      </c>
      <c r="AN79" s="675">
        <v>0</v>
      </c>
      <c r="AO79" s="675">
        <v>0</v>
      </c>
      <c r="AP79" s="675">
        <v>0</v>
      </c>
      <c r="AQ79" s="675">
        <v>0</v>
      </c>
      <c r="AR79" s="675">
        <v>0</v>
      </c>
      <c r="AS79" s="675">
        <v>0</v>
      </c>
      <c r="AT79" s="675">
        <v>0</v>
      </c>
      <c r="AU79" s="675">
        <v>0</v>
      </c>
      <c r="AV79" s="675">
        <v>0</v>
      </c>
      <c r="AW79" s="675">
        <v>5173886</v>
      </c>
      <c r="AX79" s="675">
        <v>5090879</v>
      </c>
      <c r="AY79" s="675">
        <v>3407119</v>
      </c>
      <c r="AZ79" s="675">
        <v>182535</v>
      </c>
      <c r="BA79" s="675">
        <v>0</v>
      </c>
      <c r="BB79" s="675">
        <v>9199</v>
      </c>
      <c r="BC79" s="675">
        <v>9140</v>
      </c>
      <c r="BD79" s="675">
        <v>21.333000000000002</v>
      </c>
      <c r="BE79" s="675">
        <v>59</v>
      </c>
      <c r="BF79" s="675">
        <v>4696799</v>
      </c>
      <c r="BG79" s="675">
        <v>0</v>
      </c>
      <c r="BH79" s="675">
        <v>0</v>
      </c>
      <c r="BI79" s="675">
        <v>0</v>
      </c>
      <c r="BJ79" s="675">
        <v>12</v>
      </c>
      <c r="BK79" s="675">
        <v>0</v>
      </c>
      <c r="BL79" s="675">
        <v>0</v>
      </c>
      <c r="BM79" s="675">
        <v>0</v>
      </c>
      <c r="BN79" s="675">
        <v>0</v>
      </c>
      <c r="BO79" s="675">
        <v>0</v>
      </c>
      <c r="BP79" s="675">
        <v>0</v>
      </c>
      <c r="BQ79" s="675">
        <v>700</v>
      </c>
      <c r="BR79" s="675">
        <v>0</v>
      </c>
      <c r="BS79" s="675">
        <v>0</v>
      </c>
      <c r="BT79" s="675">
        <v>0</v>
      </c>
      <c r="BU79" s="675">
        <v>0</v>
      </c>
      <c r="BV79" s="675">
        <v>0</v>
      </c>
      <c r="BW79" s="675">
        <v>0</v>
      </c>
      <c r="BX79" s="675">
        <v>0</v>
      </c>
      <c r="BY79" s="675">
        <v>0</v>
      </c>
      <c r="BZ79" s="675">
        <v>0</v>
      </c>
      <c r="CA79" s="675">
        <v>0</v>
      </c>
      <c r="CB79" s="675">
        <v>0</v>
      </c>
      <c r="CC79" s="675">
        <v>0</v>
      </c>
      <c r="CD79" s="675">
        <v>0</v>
      </c>
      <c r="CE79" s="675">
        <v>0</v>
      </c>
      <c r="CF79" s="675">
        <v>0</v>
      </c>
      <c r="CG79" s="675">
        <v>0</v>
      </c>
      <c r="CH79" s="675">
        <v>84259</v>
      </c>
      <c r="CI79" s="675">
        <v>0</v>
      </c>
      <c r="CJ79" s="675">
        <v>4</v>
      </c>
      <c r="CK79" s="675">
        <v>0</v>
      </c>
      <c r="CL79" s="675">
        <v>0</v>
      </c>
      <c r="CM79" s="675">
        <v>0</v>
      </c>
      <c r="CN79" s="675">
        <v>0</v>
      </c>
      <c r="CO79" s="675">
        <v>1</v>
      </c>
      <c r="CP79" s="675">
        <v>0</v>
      </c>
      <c r="CQ79" s="675">
        <v>0</v>
      </c>
      <c r="CR79" s="675">
        <v>453.053</v>
      </c>
      <c r="CS79" s="675">
        <v>0</v>
      </c>
      <c r="CT79" s="675">
        <v>0</v>
      </c>
      <c r="CU79" s="675">
        <v>0</v>
      </c>
      <c r="CV79" s="675">
        <v>0</v>
      </c>
      <c r="CW79" s="675">
        <v>0</v>
      </c>
      <c r="CX79" s="675">
        <v>0</v>
      </c>
      <c r="CY79" s="675">
        <v>0</v>
      </c>
      <c r="CZ79" s="675">
        <v>0</v>
      </c>
      <c r="DA79" s="675">
        <v>0</v>
      </c>
      <c r="DB79" s="675">
        <v>2807783</v>
      </c>
      <c r="DC79" s="675">
        <v>0</v>
      </c>
      <c r="DD79" s="675">
        <v>0</v>
      </c>
      <c r="DE79" s="675">
        <v>702622</v>
      </c>
      <c r="DF79" s="675">
        <v>702622</v>
      </c>
      <c r="DG79" s="675">
        <v>114.063</v>
      </c>
      <c r="DH79" s="675">
        <v>0</v>
      </c>
      <c r="DI79" s="675">
        <v>0</v>
      </c>
      <c r="DJ79" s="675">
        <v>0</v>
      </c>
      <c r="DK79" s="675">
        <v>2819</v>
      </c>
      <c r="DL79" s="675">
        <v>0</v>
      </c>
      <c r="DM79" s="675">
        <v>313010</v>
      </c>
      <c r="DN79" s="675">
        <v>1192</v>
      </c>
      <c r="DO79" s="675">
        <v>0</v>
      </c>
      <c r="DP79" s="675">
        <v>0</v>
      </c>
      <c r="DQ79" s="675">
        <v>0</v>
      </c>
      <c r="DR79" s="675">
        <v>0</v>
      </c>
      <c r="DS79" s="675">
        <v>0</v>
      </c>
      <c r="DT79" s="675">
        <v>0</v>
      </c>
      <c r="DU79" s="675">
        <v>0</v>
      </c>
      <c r="DV79" s="675">
        <v>0</v>
      </c>
      <c r="DW79" s="675">
        <v>0</v>
      </c>
      <c r="DX79" s="675">
        <v>0</v>
      </c>
      <c r="DY79" s="675">
        <v>0</v>
      </c>
      <c r="DZ79" s="675">
        <v>0</v>
      </c>
      <c r="EA79" s="675">
        <v>0</v>
      </c>
      <c r="EB79" s="675">
        <v>0</v>
      </c>
      <c r="EC79" s="675">
        <v>28.968</v>
      </c>
      <c r="ED79" s="675">
        <v>205208</v>
      </c>
      <c r="EE79" s="675">
        <v>0</v>
      </c>
      <c r="EF79" s="675">
        <v>0</v>
      </c>
      <c r="EG79" s="675">
        <v>0</v>
      </c>
      <c r="EH79" s="675">
        <v>95812</v>
      </c>
      <c r="EI79" s="675">
        <v>13182</v>
      </c>
      <c r="EJ79" s="675">
        <v>0.53500000000000003</v>
      </c>
      <c r="EK79" s="675">
        <v>3.9330000000000003</v>
      </c>
      <c r="EL79" s="675">
        <v>0</v>
      </c>
      <c r="EM79" s="675">
        <v>0</v>
      </c>
      <c r="EN79" s="675">
        <v>0.751</v>
      </c>
      <c r="EO79" s="675">
        <v>0</v>
      </c>
      <c r="EP79" s="675">
        <v>0</v>
      </c>
      <c r="EQ79" s="675">
        <v>5.2190000000000003</v>
      </c>
      <c r="ER79" s="675">
        <v>0</v>
      </c>
      <c r="ES79" s="675">
        <v>15.554</v>
      </c>
      <c r="ET79" s="675">
        <v>0</v>
      </c>
      <c r="EU79" s="675">
        <v>0</v>
      </c>
      <c r="EV79" s="675">
        <v>0</v>
      </c>
      <c r="EW79" s="675">
        <v>0</v>
      </c>
      <c r="EX79" s="675">
        <v>0</v>
      </c>
      <c r="EY79" s="675">
        <v>0</v>
      </c>
      <c r="EZ79" s="675">
        <v>4514301</v>
      </c>
      <c r="FA79" s="675">
        <v>0</v>
      </c>
      <c r="FB79" s="675">
        <v>4695584</v>
      </c>
      <c r="FC79" s="675">
        <v>0</v>
      </c>
      <c r="FD79" s="675">
        <v>0</v>
      </c>
      <c r="FE79" s="675">
        <v>477761</v>
      </c>
      <c r="FF79" s="675">
        <v>98817</v>
      </c>
      <c r="FG79" s="675">
        <v>6.3574999999999993E-2</v>
      </c>
      <c r="FH79" s="675">
        <v>2.6298999999999999E-2</v>
      </c>
      <c r="FI79" s="675">
        <v>0</v>
      </c>
      <c r="FJ79" s="675">
        <v>0</v>
      </c>
      <c r="FK79" s="675">
        <v>762.471</v>
      </c>
      <c r="FL79" s="675">
        <v>5356421</v>
      </c>
      <c r="FM79" s="675">
        <v>0</v>
      </c>
      <c r="FN79" s="675">
        <v>0</v>
      </c>
      <c r="FO79" s="675">
        <v>0</v>
      </c>
      <c r="FP79" s="675">
        <v>0</v>
      </c>
      <c r="FQ79" s="675">
        <v>0</v>
      </c>
      <c r="FR79" s="675">
        <v>0</v>
      </c>
      <c r="FS79" s="675">
        <v>0</v>
      </c>
      <c r="FT79" s="675">
        <v>0</v>
      </c>
      <c r="FU79" s="675">
        <v>0</v>
      </c>
      <c r="FV79" s="675">
        <v>0</v>
      </c>
      <c r="FW79" s="675">
        <v>0</v>
      </c>
      <c r="FX79" s="675">
        <v>0</v>
      </c>
      <c r="FY79" s="675">
        <v>0</v>
      </c>
      <c r="FZ79" s="675">
        <v>0</v>
      </c>
      <c r="GA79" s="675">
        <v>0</v>
      </c>
      <c r="GB79" s="675">
        <v>0</v>
      </c>
      <c r="GC79" s="675">
        <v>0</v>
      </c>
      <c r="GD79" s="675">
        <v>0</v>
      </c>
      <c r="GE79" s="675">
        <v>0</v>
      </c>
      <c r="GF79" s="675">
        <v>0</v>
      </c>
      <c r="GG79" s="675">
        <v>0</v>
      </c>
      <c r="GH79" s="675">
        <v>0</v>
      </c>
      <c r="GI79" s="675">
        <v>0</v>
      </c>
      <c r="GJ79" s="675">
        <v>0</v>
      </c>
      <c r="GK79" s="675">
        <v>0</v>
      </c>
      <c r="GL79" s="675">
        <v>0</v>
      </c>
      <c r="GM79" s="675">
        <v>0</v>
      </c>
      <c r="GN79" s="675">
        <v>0</v>
      </c>
      <c r="GO79" s="675">
        <v>0</v>
      </c>
      <c r="GP79" s="675">
        <v>0</v>
      </c>
      <c r="GQ79" s="675">
        <v>0</v>
      </c>
      <c r="GR79" s="675">
        <v>0</v>
      </c>
      <c r="GS79" s="675">
        <v>0</v>
      </c>
      <c r="GT79" s="675">
        <v>0</v>
      </c>
      <c r="GU79" s="675">
        <v>0</v>
      </c>
      <c r="GV79" s="675">
        <v>0</v>
      </c>
      <c r="GW79" s="675">
        <v>0</v>
      </c>
      <c r="GX79" s="675">
        <v>0</v>
      </c>
      <c r="GY79" s="675">
        <v>0</v>
      </c>
      <c r="GZ79" s="675">
        <v>0</v>
      </c>
      <c r="HA79" s="675">
        <v>0</v>
      </c>
      <c r="HB79" s="675">
        <v>298386780</v>
      </c>
      <c r="HC79" s="675">
        <v>4.5690999999999996E-2</v>
      </c>
      <c r="HD79" s="675">
        <v>84259</v>
      </c>
      <c r="HE79" s="675">
        <v>0</v>
      </c>
      <c r="HF79" s="675">
        <v>501392</v>
      </c>
      <c r="HG79" s="675">
        <v>6416</v>
      </c>
      <c r="HH79" s="675">
        <v>183213</v>
      </c>
      <c r="HI79" s="675">
        <v>0</v>
      </c>
      <c r="HJ79" s="675">
        <v>4481</v>
      </c>
      <c r="HK79" s="675">
        <v>0</v>
      </c>
      <c r="HL79" s="675">
        <v>0</v>
      </c>
      <c r="HM79" s="675">
        <v>0</v>
      </c>
      <c r="HN79" s="675">
        <v>0</v>
      </c>
      <c r="HO79" s="675">
        <v>0</v>
      </c>
      <c r="HP79" s="675">
        <v>0</v>
      </c>
      <c r="HQ79" s="675">
        <v>0</v>
      </c>
      <c r="HR79" s="675">
        <v>0</v>
      </c>
      <c r="HS79" s="675">
        <v>4513049</v>
      </c>
      <c r="HT79" s="675">
        <v>98817</v>
      </c>
      <c r="HU79" s="675">
        <v>0</v>
      </c>
      <c r="HV79" s="675">
        <v>0</v>
      </c>
      <c r="HW79" s="675">
        <v>0</v>
      </c>
      <c r="HX79" s="675">
        <v>63</v>
      </c>
      <c r="HY79" s="675">
        <v>42</v>
      </c>
      <c r="HZ79" s="675">
        <v>91</v>
      </c>
      <c r="IA79" s="675">
        <v>105</v>
      </c>
      <c r="IB79" s="675">
        <v>144</v>
      </c>
      <c r="IC79" s="675">
        <v>445</v>
      </c>
      <c r="ID79" s="675">
        <v>0</v>
      </c>
      <c r="IE79" s="675">
        <v>0</v>
      </c>
      <c r="IF79" s="675">
        <v>0</v>
      </c>
      <c r="IG79" s="675">
        <v>10.416</v>
      </c>
      <c r="IH79" s="675">
        <v>297.42500000000001</v>
      </c>
      <c r="II79" s="675">
        <v>0</v>
      </c>
      <c r="IJ79" s="675">
        <v>271.90300000000002</v>
      </c>
      <c r="IK79" s="675">
        <v>0.13300000000000001</v>
      </c>
      <c r="IL79" s="675">
        <v>0</v>
      </c>
      <c r="IM79" s="675">
        <v>0</v>
      </c>
      <c r="IN79" s="675">
        <v>0</v>
      </c>
      <c r="IO79" s="675">
        <v>0</v>
      </c>
      <c r="IP79" s="675">
        <v>0.13300000000000001</v>
      </c>
      <c r="IQ79" s="675">
        <v>271.90300000000002</v>
      </c>
      <c r="IR79" s="675">
        <v>167491</v>
      </c>
      <c r="IS79" s="675">
        <v>37</v>
      </c>
      <c r="IT79" s="675">
        <v>0</v>
      </c>
      <c r="IU79" s="675">
        <v>0</v>
      </c>
      <c r="IV79" s="675">
        <v>0</v>
      </c>
      <c r="IW79" s="675">
        <v>6160</v>
      </c>
      <c r="IX79" s="675">
        <v>0</v>
      </c>
      <c r="IY79" s="675">
        <v>0</v>
      </c>
      <c r="IZ79" s="675">
        <v>37</v>
      </c>
      <c r="JA79" s="675">
        <v>0</v>
      </c>
      <c r="JB79" s="675">
        <v>0</v>
      </c>
      <c r="JC79" s="675">
        <v>0</v>
      </c>
      <c r="JD79" s="675">
        <v>0</v>
      </c>
      <c r="JE79" s="675">
        <v>0</v>
      </c>
      <c r="JF79" s="675">
        <v>0</v>
      </c>
      <c r="JG79" s="675">
        <v>0</v>
      </c>
      <c r="JH79" s="675">
        <v>0</v>
      </c>
      <c r="JI79" s="675">
        <v>0</v>
      </c>
      <c r="JJ79" s="675">
        <v>0</v>
      </c>
      <c r="JK79" s="675">
        <v>0</v>
      </c>
      <c r="JL79" s="675">
        <v>0</v>
      </c>
      <c r="JM79" s="675">
        <v>0</v>
      </c>
      <c r="JN79" s="675">
        <v>32469</v>
      </c>
      <c r="JO79" s="675">
        <v>0</v>
      </c>
      <c r="JP79" s="675">
        <v>0</v>
      </c>
      <c r="JQ79" s="675">
        <v>0</v>
      </c>
      <c r="JR79" s="675">
        <v>0</v>
      </c>
      <c r="JS79" s="675">
        <v>0</v>
      </c>
      <c r="JT79" s="675">
        <v>0</v>
      </c>
      <c r="JU79" s="675">
        <v>9199</v>
      </c>
      <c r="JV79" s="675">
        <v>0</v>
      </c>
      <c r="JW79" s="675">
        <v>0</v>
      </c>
      <c r="JX79" s="675">
        <v>0</v>
      </c>
      <c r="JY79" s="675">
        <v>0</v>
      </c>
      <c r="JZ79" s="675">
        <v>0</v>
      </c>
      <c r="KA79" s="675">
        <v>0</v>
      </c>
      <c r="KB79" s="675">
        <v>0</v>
      </c>
      <c r="KC79" s="675">
        <v>0</v>
      </c>
      <c r="KD79" s="675">
        <v>9199</v>
      </c>
      <c r="KE79" s="675">
        <v>7260</v>
      </c>
      <c r="KF79" s="675">
        <v>0</v>
      </c>
      <c r="KG79" s="675">
        <v>0</v>
      </c>
      <c r="KH79" s="675">
        <v>0</v>
      </c>
      <c r="KI79" s="675">
        <v>0</v>
      </c>
    </row>
    <row r="80" spans="1:295" ht="12.5" x14ac:dyDescent="0.25">
      <c r="A80" s="675">
        <v>35795</v>
      </c>
      <c r="B80" s="675">
        <v>57806</v>
      </c>
      <c r="C80" s="675">
        <v>9</v>
      </c>
      <c r="D80" s="675">
        <v>2022</v>
      </c>
      <c r="E80" s="675">
        <v>6160</v>
      </c>
      <c r="F80" s="675">
        <v>0</v>
      </c>
      <c r="G80" s="675">
        <v>971.61</v>
      </c>
      <c r="H80" s="675">
        <v>851.64300000000003</v>
      </c>
      <c r="I80" s="675">
        <v>851.64300000000003</v>
      </c>
      <c r="J80" s="675">
        <v>971.61</v>
      </c>
      <c r="K80" s="675">
        <v>0</v>
      </c>
      <c r="L80" s="675">
        <v>6160</v>
      </c>
      <c r="M80" s="675">
        <v>0</v>
      </c>
      <c r="N80" s="675">
        <v>0</v>
      </c>
      <c r="O80" s="675">
        <v>0</v>
      </c>
      <c r="P80" s="675">
        <v>1040.066</v>
      </c>
      <c r="Q80" s="675">
        <v>0</v>
      </c>
      <c r="R80" s="675">
        <v>418552</v>
      </c>
      <c r="S80" s="675">
        <v>402.428</v>
      </c>
      <c r="T80" s="675">
        <v>0</v>
      </c>
      <c r="U80" s="675">
        <v>222576</v>
      </c>
      <c r="V80" s="675">
        <v>227.983</v>
      </c>
      <c r="W80" s="675">
        <v>140437</v>
      </c>
      <c r="X80" s="675">
        <v>140437</v>
      </c>
      <c r="Y80" s="675">
        <v>0</v>
      </c>
      <c r="Z80" s="675">
        <v>0</v>
      </c>
      <c r="AA80" s="675">
        <v>0</v>
      </c>
      <c r="AB80" s="675">
        <v>0</v>
      </c>
      <c r="AC80" s="675">
        <v>0</v>
      </c>
      <c r="AD80" s="675" t="s">
        <v>316</v>
      </c>
      <c r="AE80" s="675">
        <v>0</v>
      </c>
      <c r="AF80" s="675">
        <v>0</v>
      </c>
      <c r="AG80" s="675">
        <v>0</v>
      </c>
      <c r="AH80" s="675">
        <v>0</v>
      </c>
      <c r="AI80" s="675">
        <v>0</v>
      </c>
      <c r="AJ80" s="675">
        <v>6160</v>
      </c>
      <c r="AK80" s="675" t="s">
        <v>671</v>
      </c>
      <c r="AL80" s="675" t="s">
        <v>326</v>
      </c>
      <c r="AM80" s="675">
        <v>0</v>
      </c>
      <c r="AN80" s="675">
        <v>0</v>
      </c>
      <c r="AO80" s="675">
        <v>0</v>
      </c>
      <c r="AP80" s="675">
        <v>0</v>
      </c>
      <c r="AQ80" s="675">
        <v>0</v>
      </c>
      <c r="AR80" s="675">
        <v>0</v>
      </c>
      <c r="AS80" s="675">
        <v>0</v>
      </c>
      <c r="AT80" s="675">
        <v>0</v>
      </c>
      <c r="AU80" s="675">
        <v>0</v>
      </c>
      <c r="AV80" s="675">
        <v>-89450</v>
      </c>
      <c r="AW80" s="675">
        <v>10556967</v>
      </c>
      <c r="AX80" s="675">
        <v>10381815</v>
      </c>
      <c r="AY80" s="675">
        <v>7082160</v>
      </c>
      <c r="AZ80" s="675">
        <v>418552</v>
      </c>
      <c r="BA80" s="675">
        <v>0</v>
      </c>
      <c r="BB80" s="675">
        <v>12217</v>
      </c>
      <c r="BC80" s="675">
        <v>12138</v>
      </c>
      <c r="BD80" s="675">
        <v>28.333000000000002</v>
      </c>
      <c r="BE80" s="675">
        <v>79</v>
      </c>
      <c r="BF80" s="675">
        <v>9615875</v>
      </c>
      <c r="BG80" s="675">
        <v>0</v>
      </c>
      <c r="BH80" s="675">
        <v>0</v>
      </c>
      <c r="BI80" s="675">
        <v>0</v>
      </c>
      <c r="BJ80" s="675">
        <v>12</v>
      </c>
      <c r="BK80" s="675">
        <v>0</v>
      </c>
      <c r="BL80" s="675">
        <v>0</v>
      </c>
      <c r="BM80" s="675">
        <v>0</v>
      </c>
      <c r="BN80" s="675">
        <v>0</v>
      </c>
      <c r="BO80" s="675">
        <v>0</v>
      </c>
      <c r="BP80" s="675">
        <v>0</v>
      </c>
      <c r="BQ80" s="675">
        <v>639</v>
      </c>
      <c r="BR80" s="675">
        <v>0</v>
      </c>
      <c r="BS80" s="675">
        <v>0</v>
      </c>
      <c r="BT80" s="675">
        <v>0</v>
      </c>
      <c r="BU80" s="675">
        <v>0</v>
      </c>
      <c r="BV80" s="675">
        <v>0</v>
      </c>
      <c r="BW80" s="675">
        <v>0</v>
      </c>
      <c r="BX80" s="675">
        <v>0</v>
      </c>
      <c r="BY80" s="675">
        <v>0</v>
      </c>
      <c r="BZ80" s="675">
        <v>0</v>
      </c>
      <c r="CA80" s="675">
        <v>0</v>
      </c>
      <c r="CB80" s="675">
        <v>0</v>
      </c>
      <c r="CC80" s="675">
        <v>0</v>
      </c>
      <c r="CD80" s="675">
        <v>0</v>
      </c>
      <c r="CE80" s="675">
        <v>0</v>
      </c>
      <c r="CF80" s="675">
        <v>0</v>
      </c>
      <c r="CG80" s="675">
        <v>0</v>
      </c>
      <c r="CH80" s="675">
        <v>177574</v>
      </c>
      <c r="CI80" s="675">
        <v>0</v>
      </c>
      <c r="CJ80" s="675">
        <v>4</v>
      </c>
      <c r="CK80" s="675">
        <v>0</v>
      </c>
      <c r="CL80" s="675">
        <v>0</v>
      </c>
      <c r="CM80" s="675">
        <v>0</v>
      </c>
      <c r="CN80" s="675">
        <v>0</v>
      </c>
      <c r="CO80" s="675">
        <v>1</v>
      </c>
      <c r="CP80" s="675">
        <v>0</v>
      </c>
      <c r="CQ80" s="675">
        <v>0</v>
      </c>
      <c r="CR80" s="675">
        <v>1096.539</v>
      </c>
      <c r="CS80" s="675">
        <v>0</v>
      </c>
      <c r="CT80" s="675">
        <v>0</v>
      </c>
      <c r="CU80" s="675">
        <v>0</v>
      </c>
      <c r="CV80" s="675">
        <v>0</v>
      </c>
      <c r="CW80" s="675">
        <v>0</v>
      </c>
      <c r="CX80" s="675">
        <v>0</v>
      </c>
      <c r="CY80" s="675">
        <v>0</v>
      </c>
      <c r="CZ80" s="675">
        <v>0</v>
      </c>
      <c r="DA80" s="675">
        <v>0</v>
      </c>
      <c r="DB80" s="675">
        <v>5246097</v>
      </c>
      <c r="DC80" s="675">
        <v>0</v>
      </c>
      <c r="DD80" s="675">
        <v>0</v>
      </c>
      <c r="DE80" s="675">
        <v>1524670</v>
      </c>
      <c r="DF80" s="675">
        <v>1524670</v>
      </c>
      <c r="DG80" s="675">
        <v>247.51300000000001</v>
      </c>
      <c r="DH80" s="675">
        <v>0</v>
      </c>
      <c r="DI80" s="675">
        <v>0</v>
      </c>
      <c r="DJ80" s="675">
        <v>0</v>
      </c>
      <c r="DK80" s="675">
        <v>1844</v>
      </c>
      <c r="DL80" s="675">
        <v>0</v>
      </c>
      <c r="DM80" s="675">
        <v>615100</v>
      </c>
      <c r="DN80" s="675">
        <v>2343</v>
      </c>
      <c r="DO80" s="675">
        <v>0</v>
      </c>
      <c r="DP80" s="675">
        <v>0</v>
      </c>
      <c r="DQ80" s="675">
        <v>0</v>
      </c>
      <c r="DR80" s="675">
        <v>0</v>
      </c>
      <c r="DS80" s="675">
        <v>0</v>
      </c>
      <c r="DT80" s="675">
        <v>0</v>
      </c>
      <c r="DU80" s="675">
        <v>0</v>
      </c>
      <c r="DV80" s="675">
        <v>0</v>
      </c>
      <c r="DW80" s="675">
        <v>0</v>
      </c>
      <c r="DX80" s="675">
        <v>0</v>
      </c>
      <c r="DY80" s="675">
        <v>0</v>
      </c>
      <c r="DZ80" s="675">
        <v>0</v>
      </c>
      <c r="EA80" s="675">
        <v>0</v>
      </c>
      <c r="EB80" s="675">
        <v>0</v>
      </c>
      <c r="EC80" s="675">
        <v>16.458000000000002</v>
      </c>
      <c r="ED80" s="675">
        <v>116588</v>
      </c>
      <c r="EE80" s="675">
        <v>0</v>
      </c>
      <c r="EF80" s="675">
        <v>0</v>
      </c>
      <c r="EG80" s="675">
        <v>0</v>
      </c>
      <c r="EH80" s="675">
        <v>500855</v>
      </c>
      <c r="EI80" s="675">
        <v>0</v>
      </c>
      <c r="EJ80" s="675">
        <v>0</v>
      </c>
      <c r="EK80" s="675">
        <v>23.603000000000002</v>
      </c>
      <c r="EL80" s="675">
        <v>0</v>
      </c>
      <c r="EM80" s="675">
        <v>0.65800000000000003</v>
      </c>
      <c r="EN80" s="675">
        <v>1.7050000000000001</v>
      </c>
      <c r="EO80" s="675">
        <v>0</v>
      </c>
      <c r="EP80" s="675">
        <v>0</v>
      </c>
      <c r="EQ80" s="675">
        <v>25.966000000000001</v>
      </c>
      <c r="ER80" s="675">
        <v>0</v>
      </c>
      <c r="ES80" s="675">
        <v>81.308000000000007</v>
      </c>
      <c r="ET80" s="675">
        <v>0</v>
      </c>
      <c r="EU80" s="675">
        <v>0</v>
      </c>
      <c r="EV80" s="675">
        <v>0</v>
      </c>
      <c r="EW80" s="675">
        <v>0</v>
      </c>
      <c r="EX80" s="675">
        <v>0</v>
      </c>
      <c r="EY80" s="675">
        <v>0</v>
      </c>
      <c r="EZ80" s="675">
        <v>9201373</v>
      </c>
      <c r="FA80" s="675">
        <v>0</v>
      </c>
      <c r="FB80" s="675">
        <v>9617503</v>
      </c>
      <c r="FC80" s="675">
        <v>0</v>
      </c>
      <c r="FD80" s="675">
        <v>0</v>
      </c>
      <c r="FE80" s="675">
        <v>978131</v>
      </c>
      <c r="FF80" s="675">
        <v>202311</v>
      </c>
      <c r="FG80" s="675">
        <v>6.3574999999999993E-2</v>
      </c>
      <c r="FH80" s="675">
        <v>2.6298999999999999E-2</v>
      </c>
      <c r="FI80" s="675">
        <v>0</v>
      </c>
      <c r="FJ80" s="675">
        <v>0</v>
      </c>
      <c r="FK80" s="675">
        <v>1561.0260000000001</v>
      </c>
      <c r="FL80" s="675">
        <v>10975519</v>
      </c>
      <c r="FM80" s="675">
        <v>0</v>
      </c>
      <c r="FN80" s="675">
        <v>0</v>
      </c>
      <c r="FO80" s="675">
        <v>0</v>
      </c>
      <c r="FP80" s="675">
        <v>0</v>
      </c>
      <c r="FQ80" s="675">
        <v>0</v>
      </c>
      <c r="FR80" s="675">
        <v>0</v>
      </c>
      <c r="FS80" s="675">
        <v>0</v>
      </c>
      <c r="FT80" s="675">
        <v>0</v>
      </c>
      <c r="FU80" s="675">
        <v>0</v>
      </c>
      <c r="FV80" s="675">
        <v>0</v>
      </c>
      <c r="FW80" s="675">
        <v>0</v>
      </c>
      <c r="FX80" s="675">
        <v>0</v>
      </c>
      <c r="FY80" s="675">
        <v>0</v>
      </c>
      <c r="FZ80" s="675">
        <v>0</v>
      </c>
      <c r="GA80" s="675">
        <v>0</v>
      </c>
      <c r="GB80" s="675">
        <v>888934</v>
      </c>
      <c r="GC80" s="675">
        <v>888934</v>
      </c>
      <c r="GD80" s="675">
        <v>94.001000000000005</v>
      </c>
      <c r="GE80" s="675">
        <v>0</v>
      </c>
      <c r="GF80" s="675">
        <v>0</v>
      </c>
      <c r="GG80" s="675">
        <v>0</v>
      </c>
      <c r="GH80" s="675">
        <v>0</v>
      </c>
      <c r="GI80" s="675">
        <v>0</v>
      </c>
      <c r="GJ80" s="675">
        <v>0</v>
      </c>
      <c r="GK80" s="675">
        <v>0</v>
      </c>
      <c r="GL80" s="675">
        <v>0</v>
      </c>
      <c r="GM80" s="675">
        <v>0</v>
      </c>
      <c r="GN80" s="675">
        <v>0</v>
      </c>
      <c r="GO80" s="675">
        <v>0</v>
      </c>
      <c r="GP80" s="675">
        <v>0</v>
      </c>
      <c r="GQ80" s="675">
        <v>0</v>
      </c>
      <c r="GR80" s="675">
        <v>0</v>
      </c>
      <c r="GS80" s="675">
        <v>0</v>
      </c>
      <c r="GT80" s="675">
        <v>0</v>
      </c>
      <c r="GU80" s="675">
        <v>0</v>
      </c>
      <c r="GV80" s="675">
        <v>0</v>
      </c>
      <c r="GW80" s="675">
        <v>0</v>
      </c>
      <c r="GX80" s="675">
        <v>0</v>
      </c>
      <c r="GY80" s="675">
        <v>0</v>
      </c>
      <c r="GZ80" s="675">
        <v>0</v>
      </c>
      <c r="HA80" s="675">
        <v>0</v>
      </c>
      <c r="HB80" s="675">
        <v>298386780</v>
      </c>
      <c r="HC80" s="675">
        <v>4.5690999999999996E-2</v>
      </c>
      <c r="HD80" s="675">
        <v>177574</v>
      </c>
      <c r="HE80" s="675">
        <v>0</v>
      </c>
      <c r="HF80" s="675">
        <v>936807</v>
      </c>
      <c r="HG80" s="675">
        <v>13552</v>
      </c>
      <c r="HH80" s="675">
        <v>220274</v>
      </c>
      <c r="HI80" s="675">
        <v>0</v>
      </c>
      <c r="HJ80" s="675">
        <v>9444</v>
      </c>
      <c r="HK80" s="675">
        <v>2070</v>
      </c>
      <c r="HL80" s="675">
        <v>1980</v>
      </c>
      <c r="HM80" s="675">
        <v>6000</v>
      </c>
      <c r="HN80" s="675">
        <v>0</v>
      </c>
      <c r="HO80" s="675">
        <v>0</v>
      </c>
      <c r="HP80" s="675">
        <v>0</v>
      </c>
      <c r="HQ80" s="675">
        <v>0</v>
      </c>
      <c r="HR80" s="675">
        <v>0</v>
      </c>
      <c r="HS80" s="675">
        <v>9198951</v>
      </c>
      <c r="HT80" s="675">
        <v>202311</v>
      </c>
      <c r="HU80" s="675">
        <v>0</v>
      </c>
      <c r="HV80" s="675">
        <v>0</v>
      </c>
      <c r="HW80" s="675">
        <v>0</v>
      </c>
      <c r="HX80" s="675">
        <v>101</v>
      </c>
      <c r="HY80" s="675">
        <v>140</v>
      </c>
      <c r="HZ80" s="675">
        <v>143</v>
      </c>
      <c r="IA80" s="675">
        <v>319</v>
      </c>
      <c r="IB80" s="675">
        <v>262</v>
      </c>
      <c r="IC80" s="675">
        <v>965</v>
      </c>
      <c r="ID80" s="675">
        <v>0</v>
      </c>
      <c r="IE80" s="675">
        <v>0</v>
      </c>
      <c r="IF80" s="675">
        <v>0</v>
      </c>
      <c r="IG80" s="675">
        <v>22</v>
      </c>
      <c r="IH80" s="675">
        <v>357.59000000000003</v>
      </c>
      <c r="II80" s="675">
        <v>0</v>
      </c>
      <c r="IJ80" s="675">
        <v>227.983</v>
      </c>
      <c r="IK80" s="675">
        <v>0</v>
      </c>
      <c r="IL80" s="675">
        <v>0</v>
      </c>
      <c r="IM80" s="675">
        <v>2</v>
      </c>
      <c r="IN80" s="675">
        <v>0</v>
      </c>
      <c r="IO80" s="675">
        <v>2</v>
      </c>
      <c r="IP80" s="675">
        <v>0</v>
      </c>
      <c r="IQ80" s="675">
        <v>227.983</v>
      </c>
      <c r="IR80" s="675">
        <v>140437</v>
      </c>
      <c r="IS80" s="675">
        <v>0</v>
      </c>
      <c r="IT80" s="675">
        <v>0</v>
      </c>
      <c r="IU80" s="675">
        <v>6000</v>
      </c>
      <c r="IV80" s="675">
        <v>0</v>
      </c>
      <c r="IW80" s="675">
        <v>6160</v>
      </c>
      <c r="IX80" s="675">
        <v>0</v>
      </c>
      <c r="IY80" s="675">
        <v>0</v>
      </c>
      <c r="IZ80" s="675">
        <v>0</v>
      </c>
      <c r="JA80" s="675">
        <v>0</v>
      </c>
      <c r="JB80" s="675">
        <v>0</v>
      </c>
      <c r="JC80" s="675">
        <v>0</v>
      </c>
      <c r="JD80" s="675">
        <v>0</v>
      </c>
      <c r="JE80" s="675">
        <v>0</v>
      </c>
      <c r="JF80" s="675">
        <v>0</v>
      </c>
      <c r="JG80" s="675">
        <v>0</v>
      </c>
      <c r="JH80" s="675">
        <v>0</v>
      </c>
      <c r="JI80" s="675">
        <v>0</v>
      </c>
      <c r="JJ80" s="675">
        <v>0</v>
      </c>
      <c r="JK80" s="675">
        <v>0</v>
      </c>
      <c r="JL80" s="675">
        <v>0</v>
      </c>
      <c r="JM80" s="675">
        <v>0</v>
      </c>
      <c r="JN80" s="675">
        <v>32469</v>
      </c>
      <c r="JO80" s="675">
        <v>8.4560000000000013</v>
      </c>
      <c r="JP80" s="675">
        <v>66.369</v>
      </c>
      <c r="JQ80" s="675">
        <v>19.176000000000002</v>
      </c>
      <c r="JR80" s="675">
        <v>67530</v>
      </c>
      <c r="JS80" s="675">
        <v>616754</v>
      </c>
      <c r="JT80" s="675">
        <v>204650</v>
      </c>
      <c r="JU80" s="675">
        <v>12217</v>
      </c>
      <c r="JV80" s="675">
        <v>0</v>
      </c>
      <c r="JW80" s="675">
        <v>0</v>
      </c>
      <c r="JX80" s="675">
        <v>0</v>
      </c>
      <c r="JY80" s="675">
        <v>0</v>
      </c>
      <c r="JZ80" s="675">
        <v>0</v>
      </c>
      <c r="KA80" s="675">
        <v>0</v>
      </c>
      <c r="KB80" s="675">
        <v>0</v>
      </c>
      <c r="KC80" s="675">
        <v>0</v>
      </c>
      <c r="KD80" s="675">
        <v>12217</v>
      </c>
      <c r="KE80" s="675">
        <v>7260</v>
      </c>
      <c r="KF80" s="675">
        <v>0</v>
      </c>
      <c r="KG80" s="675">
        <v>0</v>
      </c>
      <c r="KH80" s="675">
        <v>0</v>
      </c>
      <c r="KI80" s="675">
        <v>0</v>
      </c>
    </row>
    <row r="81" spans="1:295" ht="12.5" x14ac:dyDescent="0.25">
      <c r="A81" s="675">
        <v>35795</v>
      </c>
      <c r="B81" s="675">
        <v>71806</v>
      </c>
      <c r="C81" s="675">
        <v>9</v>
      </c>
      <c r="D81" s="675">
        <v>2022</v>
      </c>
      <c r="E81" s="675">
        <v>6160</v>
      </c>
      <c r="F81" s="675">
        <v>0</v>
      </c>
      <c r="G81" s="675">
        <v>4121.9570000000003</v>
      </c>
      <c r="H81" s="675">
        <v>3852.0820000000003</v>
      </c>
      <c r="I81" s="675">
        <v>3852.0820000000003</v>
      </c>
      <c r="J81" s="675">
        <v>4121.9570000000003</v>
      </c>
      <c r="K81" s="675">
        <v>0</v>
      </c>
      <c r="L81" s="675">
        <v>6160</v>
      </c>
      <c r="M81" s="675">
        <v>0</v>
      </c>
      <c r="N81" s="675">
        <v>0</v>
      </c>
      <c r="O81" s="675">
        <v>0</v>
      </c>
      <c r="P81" s="675">
        <v>3872.0680000000002</v>
      </c>
      <c r="Q81" s="675">
        <v>0</v>
      </c>
      <c r="R81" s="675">
        <v>1558229</v>
      </c>
      <c r="S81" s="675">
        <v>402.428</v>
      </c>
      <c r="T81" s="675">
        <v>0</v>
      </c>
      <c r="U81" s="675">
        <v>828630</v>
      </c>
      <c r="V81" s="675">
        <v>1064.2429999999999</v>
      </c>
      <c r="W81" s="675">
        <v>655571</v>
      </c>
      <c r="X81" s="675">
        <v>655571</v>
      </c>
      <c r="Y81" s="675">
        <v>0</v>
      </c>
      <c r="Z81" s="675">
        <v>0</v>
      </c>
      <c r="AA81" s="675">
        <v>0</v>
      </c>
      <c r="AB81" s="675">
        <v>0</v>
      </c>
      <c r="AC81" s="675">
        <v>0</v>
      </c>
      <c r="AD81" s="675" t="s">
        <v>316</v>
      </c>
      <c r="AE81" s="675">
        <v>0</v>
      </c>
      <c r="AF81" s="675">
        <v>0</v>
      </c>
      <c r="AG81" s="675">
        <v>0</v>
      </c>
      <c r="AH81" s="675">
        <v>0</v>
      </c>
      <c r="AI81" s="675">
        <v>0</v>
      </c>
      <c r="AJ81" s="675">
        <v>6160</v>
      </c>
      <c r="AK81" s="675" t="s">
        <v>671</v>
      </c>
      <c r="AL81" s="675" t="s">
        <v>900</v>
      </c>
      <c r="AM81" s="675">
        <v>0</v>
      </c>
      <c r="AN81" s="675">
        <v>0</v>
      </c>
      <c r="AO81" s="675">
        <v>0</v>
      </c>
      <c r="AP81" s="675">
        <v>0</v>
      </c>
      <c r="AQ81" s="675">
        <v>0</v>
      </c>
      <c r="AR81" s="675">
        <v>0</v>
      </c>
      <c r="AS81" s="675">
        <v>0</v>
      </c>
      <c r="AT81" s="675">
        <v>0</v>
      </c>
      <c r="AU81" s="675">
        <v>0</v>
      </c>
      <c r="AV81" s="675">
        <v>-81733</v>
      </c>
      <c r="AW81" s="675">
        <v>43861694</v>
      </c>
      <c r="AX81" s="675">
        <v>43117977</v>
      </c>
      <c r="AY81" s="675">
        <v>28961039</v>
      </c>
      <c r="AZ81" s="675">
        <v>1558229</v>
      </c>
      <c r="BA81" s="675">
        <v>0</v>
      </c>
      <c r="BB81" s="675">
        <v>88869</v>
      </c>
      <c r="BC81" s="675">
        <v>88295</v>
      </c>
      <c r="BD81" s="675">
        <v>206.09800000000001</v>
      </c>
      <c r="BE81" s="675">
        <v>574</v>
      </c>
      <c r="BF81" s="675">
        <v>39330893</v>
      </c>
      <c r="BG81" s="675">
        <v>0</v>
      </c>
      <c r="BH81" s="675">
        <v>0</v>
      </c>
      <c r="BI81" s="675">
        <v>0</v>
      </c>
      <c r="BJ81" s="675">
        <v>12</v>
      </c>
      <c r="BK81" s="675">
        <v>0</v>
      </c>
      <c r="BL81" s="675">
        <v>0</v>
      </c>
      <c r="BM81" s="675">
        <v>0</v>
      </c>
      <c r="BN81" s="675">
        <v>0</v>
      </c>
      <c r="BO81" s="675">
        <v>0</v>
      </c>
      <c r="BP81" s="675">
        <v>0</v>
      </c>
      <c r="BQ81" s="675">
        <v>177</v>
      </c>
      <c r="BR81" s="675">
        <v>0</v>
      </c>
      <c r="BS81" s="675">
        <v>0</v>
      </c>
      <c r="BT81" s="675">
        <v>0</v>
      </c>
      <c r="BU81" s="675">
        <v>0</v>
      </c>
      <c r="BV81" s="675">
        <v>0</v>
      </c>
      <c r="BW81" s="675">
        <v>0</v>
      </c>
      <c r="BX81" s="675">
        <v>0</v>
      </c>
      <c r="BY81" s="675">
        <v>0</v>
      </c>
      <c r="BZ81" s="675">
        <v>0</v>
      </c>
      <c r="CA81" s="675">
        <v>592.654</v>
      </c>
      <c r="CB81" s="675">
        <v>505399</v>
      </c>
      <c r="CC81" s="675">
        <v>0</v>
      </c>
      <c r="CD81" s="675">
        <v>0</v>
      </c>
      <c r="CE81" s="675">
        <v>0</v>
      </c>
      <c r="CF81" s="675">
        <v>0</v>
      </c>
      <c r="CG81" s="675">
        <v>0</v>
      </c>
      <c r="CH81" s="675">
        <v>753340</v>
      </c>
      <c r="CI81" s="675">
        <v>0</v>
      </c>
      <c r="CJ81" s="675">
        <v>4</v>
      </c>
      <c r="CK81" s="675">
        <v>0</v>
      </c>
      <c r="CL81" s="675">
        <v>0</v>
      </c>
      <c r="CM81" s="675">
        <v>0</v>
      </c>
      <c r="CN81" s="675">
        <v>0</v>
      </c>
      <c r="CO81" s="675">
        <v>1</v>
      </c>
      <c r="CP81" s="675">
        <v>8.4000000000000005E-2</v>
      </c>
      <c r="CQ81" s="675">
        <v>0</v>
      </c>
      <c r="CR81" s="675">
        <v>3905.0910000000003</v>
      </c>
      <c r="CS81" s="675">
        <v>0</v>
      </c>
      <c r="CT81" s="675">
        <v>0</v>
      </c>
      <c r="CU81" s="675">
        <v>0</v>
      </c>
      <c r="CV81" s="675">
        <v>0</v>
      </c>
      <c r="CW81" s="675">
        <v>0</v>
      </c>
      <c r="CX81" s="675">
        <v>0</v>
      </c>
      <c r="CY81" s="675">
        <v>0</v>
      </c>
      <c r="CZ81" s="675">
        <v>0</v>
      </c>
      <c r="DA81" s="675">
        <v>0</v>
      </c>
      <c r="DB81" s="675">
        <v>23600844</v>
      </c>
      <c r="DC81" s="675">
        <v>0</v>
      </c>
      <c r="DD81" s="675">
        <v>0</v>
      </c>
      <c r="DE81" s="675">
        <v>5042399</v>
      </c>
      <c r="DF81" s="675">
        <v>5043646</v>
      </c>
      <c r="DG81" s="675">
        <v>818.57500000000005</v>
      </c>
      <c r="DH81" s="675">
        <v>0</v>
      </c>
      <c r="DI81" s="675">
        <v>1247</v>
      </c>
      <c r="DJ81" s="675">
        <v>0</v>
      </c>
      <c r="DK81" s="675">
        <v>0</v>
      </c>
      <c r="DL81" s="675">
        <v>0</v>
      </c>
      <c r="DM81" s="675">
        <v>2503678</v>
      </c>
      <c r="DN81" s="675">
        <v>9049</v>
      </c>
      <c r="DO81" s="675">
        <v>0</v>
      </c>
      <c r="DP81" s="675">
        <v>0</v>
      </c>
      <c r="DQ81" s="675">
        <v>0</v>
      </c>
      <c r="DR81" s="675">
        <v>0</v>
      </c>
      <c r="DS81" s="675">
        <v>0</v>
      </c>
      <c r="DT81" s="675">
        <v>0</v>
      </c>
      <c r="DU81" s="675">
        <v>0</v>
      </c>
      <c r="DV81" s="675">
        <v>0</v>
      </c>
      <c r="DW81" s="675">
        <v>0</v>
      </c>
      <c r="DX81" s="675">
        <v>0</v>
      </c>
      <c r="DY81" s="675">
        <v>0</v>
      </c>
      <c r="DZ81" s="675">
        <v>0</v>
      </c>
      <c r="EA81" s="675">
        <v>0</v>
      </c>
      <c r="EB81" s="675">
        <v>0</v>
      </c>
      <c r="EC81" s="675">
        <v>50.170999999999999</v>
      </c>
      <c r="ED81" s="675">
        <v>355410</v>
      </c>
      <c r="EE81" s="675">
        <v>0</v>
      </c>
      <c r="EF81" s="675">
        <v>0</v>
      </c>
      <c r="EG81" s="675">
        <v>0</v>
      </c>
      <c r="EH81" s="675">
        <v>2029446</v>
      </c>
      <c r="EI81" s="675">
        <v>0</v>
      </c>
      <c r="EJ81" s="675">
        <v>0</v>
      </c>
      <c r="EK81" s="675">
        <v>83.814000000000007</v>
      </c>
      <c r="EL81" s="675">
        <v>0</v>
      </c>
      <c r="EM81" s="675">
        <v>14.14</v>
      </c>
      <c r="EN81" s="675">
        <v>7.1190000000000007</v>
      </c>
      <c r="EO81" s="675">
        <v>0</v>
      </c>
      <c r="EP81" s="675">
        <v>0</v>
      </c>
      <c r="EQ81" s="675">
        <v>105.07300000000001</v>
      </c>
      <c r="ER81" s="675">
        <v>0</v>
      </c>
      <c r="ES81" s="675">
        <v>329.45699999999999</v>
      </c>
      <c r="ET81" s="675">
        <v>0</v>
      </c>
      <c r="EU81" s="675">
        <v>0</v>
      </c>
      <c r="EV81" s="675">
        <v>0</v>
      </c>
      <c r="EW81" s="675">
        <v>0</v>
      </c>
      <c r="EX81" s="675">
        <v>0</v>
      </c>
      <c r="EY81" s="675">
        <v>0</v>
      </c>
      <c r="EZ81" s="675">
        <v>38289726</v>
      </c>
      <c r="FA81" s="675">
        <v>0</v>
      </c>
      <c r="FB81" s="675">
        <v>39838332</v>
      </c>
      <c r="FC81" s="675">
        <v>0</v>
      </c>
      <c r="FD81" s="675">
        <v>0</v>
      </c>
      <c r="FE81" s="675">
        <v>4000757</v>
      </c>
      <c r="FF81" s="675">
        <v>827494</v>
      </c>
      <c r="FG81" s="675">
        <v>6.3574999999999993E-2</v>
      </c>
      <c r="FH81" s="675">
        <v>2.6298999999999999E-2</v>
      </c>
      <c r="FI81" s="675">
        <v>0</v>
      </c>
      <c r="FJ81" s="675">
        <v>0</v>
      </c>
      <c r="FK81" s="675">
        <v>6384.915</v>
      </c>
      <c r="FL81" s="675">
        <v>45419923</v>
      </c>
      <c r="FM81" s="675">
        <v>0</v>
      </c>
      <c r="FN81" s="675">
        <v>0</v>
      </c>
      <c r="FO81" s="675">
        <v>0</v>
      </c>
      <c r="FP81" s="675">
        <v>0</v>
      </c>
      <c r="FQ81" s="675">
        <v>0</v>
      </c>
      <c r="FR81" s="675">
        <v>0</v>
      </c>
      <c r="FS81" s="675">
        <v>0</v>
      </c>
      <c r="FT81" s="675">
        <v>0</v>
      </c>
      <c r="FU81" s="675">
        <v>0</v>
      </c>
      <c r="FV81" s="675">
        <v>0</v>
      </c>
      <c r="FW81" s="675">
        <v>0</v>
      </c>
      <c r="FX81" s="675">
        <v>0</v>
      </c>
      <c r="FY81" s="675">
        <v>0</v>
      </c>
      <c r="FZ81" s="675">
        <v>0</v>
      </c>
      <c r="GA81" s="675">
        <v>0</v>
      </c>
      <c r="GB81" s="675">
        <v>1582731</v>
      </c>
      <c r="GC81" s="675">
        <v>1582731</v>
      </c>
      <c r="GD81" s="675">
        <v>164.80200000000002</v>
      </c>
      <c r="GE81" s="675">
        <v>0</v>
      </c>
      <c r="GF81" s="675">
        <v>0</v>
      </c>
      <c r="GG81" s="675">
        <v>0</v>
      </c>
      <c r="GH81" s="675">
        <v>0</v>
      </c>
      <c r="GI81" s="675">
        <v>0</v>
      </c>
      <c r="GJ81" s="675">
        <v>0</v>
      </c>
      <c r="GK81" s="675">
        <v>0</v>
      </c>
      <c r="GL81" s="675">
        <v>0</v>
      </c>
      <c r="GM81" s="675">
        <v>0</v>
      </c>
      <c r="GN81" s="675">
        <v>0</v>
      </c>
      <c r="GO81" s="675">
        <v>0</v>
      </c>
      <c r="GP81" s="675">
        <v>0</v>
      </c>
      <c r="GQ81" s="675">
        <v>0</v>
      </c>
      <c r="GR81" s="675">
        <v>0</v>
      </c>
      <c r="GS81" s="675">
        <v>0</v>
      </c>
      <c r="GT81" s="675">
        <v>0</v>
      </c>
      <c r="GU81" s="675">
        <v>0</v>
      </c>
      <c r="GV81" s="675">
        <v>0</v>
      </c>
      <c r="GW81" s="675">
        <v>0</v>
      </c>
      <c r="GX81" s="675">
        <v>0</v>
      </c>
      <c r="GY81" s="675">
        <v>0</v>
      </c>
      <c r="GZ81" s="675">
        <v>0</v>
      </c>
      <c r="HA81" s="675">
        <v>0</v>
      </c>
      <c r="HB81" s="675">
        <v>298386780</v>
      </c>
      <c r="HC81" s="675">
        <v>4.5690999999999996E-2</v>
      </c>
      <c r="HD81" s="675">
        <v>753340</v>
      </c>
      <c r="HE81" s="675">
        <v>0</v>
      </c>
      <c r="HF81" s="675">
        <v>4237290</v>
      </c>
      <c r="HG81" s="675">
        <v>48664</v>
      </c>
      <c r="HH81" s="675">
        <v>851775</v>
      </c>
      <c r="HI81" s="675">
        <v>0</v>
      </c>
      <c r="HJ81" s="675">
        <v>40065</v>
      </c>
      <c r="HK81" s="675">
        <v>9576</v>
      </c>
      <c r="HL81" s="675">
        <v>2087</v>
      </c>
      <c r="HM81" s="675">
        <v>204000</v>
      </c>
      <c r="HN81" s="675">
        <v>365711</v>
      </c>
      <c r="HO81" s="675">
        <v>99000</v>
      </c>
      <c r="HP81" s="675">
        <v>0</v>
      </c>
      <c r="HQ81" s="675">
        <v>0</v>
      </c>
      <c r="HR81" s="675">
        <v>0</v>
      </c>
      <c r="HS81" s="675">
        <v>38280103</v>
      </c>
      <c r="HT81" s="675">
        <v>827494</v>
      </c>
      <c r="HU81" s="675">
        <v>0</v>
      </c>
      <c r="HV81" s="675">
        <v>0</v>
      </c>
      <c r="HW81" s="675">
        <v>0</v>
      </c>
      <c r="HX81" s="675">
        <v>522</v>
      </c>
      <c r="HY81" s="675">
        <v>724</v>
      </c>
      <c r="HZ81" s="675">
        <v>766</v>
      </c>
      <c r="IA81" s="675">
        <v>794</v>
      </c>
      <c r="IB81" s="675">
        <v>470</v>
      </c>
      <c r="IC81" s="675">
        <v>3276</v>
      </c>
      <c r="ID81" s="675">
        <v>0</v>
      </c>
      <c r="IE81" s="675">
        <v>0</v>
      </c>
      <c r="IF81" s="675">
        <v>0</v>
      </c>
      <c r="IG81" s="675">
        <v>79</v>
      </c>
      <c r="IH81" s="675">
        <v>1382.758</v>
      </c>
      <c r="II81" s="675">
        <v>0</v>
      </c>
      <c r="IJ81" s="675">
        <v>1064.2429999999999</v>
      </c>
      <c r="IK81" s="675">
        <v>0</v>
      </c>
      <c r="IL81" s="675">
        <v>36</v>
      </c>
      <c r="IM81" s="675">
        <v>8</v>
      </c>
      <c r="IN81" s="675">
        <v>0</v>
      </c>
      <c r="IO81" s="675">
        <v>44</v>
      </c>
      <c r="IP81" s="675">
        <v>0</v>
      </c>
      <c r="IQ81" s="675">
        <v>1064.2429999999999</v>
      </c>
      <c r="IR81" s="675">
        <v>655571</v>
      </c>
      <c r="IS81" s="675">
        <v>0</v>
      </c>
      <c r="IT81" s="675">
        <v>180000</v>
      </c>
      <c r="IU81" s="675">
        <v>24000</v>
      </c>
      <c r="IV81" s="675">
        <v>0</v>
      </c>
      <c r="IW81" s="675">
        <v>6160</v>
      </c>
      <c r="IX81" s="675">
        <v>0</v>
      </c>
      <c r="IY81" s="675">
        <v>0</v>
      </c>
      <c r="IZ81" s="675">
        <v>0</v>
      </c>
      <c r="JA81" s="675">
        <v>0</v>
      </c>
      <c r="JB81" s="675">
        <v>1</v>
      </c>
      <c r="JC81" s="675">
        <v>19828</v>
      </c>
      <c r="JD81" s="675">
        <v>14</v>
      </c>
      <c r="JE81" s="675">
        <v>160278</v>
      </c>
      <c r="JF81" s="675">
        <v>31</v>
      </c>
      <c r="JG81" s="675">
        <v>161105</v>
      </c>
      <c r="JH81" s="675">
        <v>24500</v>
      </c>
      <c r="JI81" s="675">
        <v>0</v>
      </c>
      <c r="JJ81" s="675">
        <v>0</v>
      </c>
      <c r="JK81" s="675">
        <v>0</v>
      </c>
      <c r="JL81" s="675">
        <v>0</v>
      </c>
      <c r="JM81" s="675">
        <v>0</v>
      </c>
      <c r="JN81" s="675">
        <v>32469</v>
      </c>
      <c r="JO81" s="675">
        <v>21.961000000000002</v>
      </c>
      <c r="JP81" s="675">
        <v>84.876000000000005</v>
      </c>
      <c r="JQ81" s="675">
        <v>57.965000000000003</v>
      </c>
      <c r="JR81" s="675">
        <v>175381</v>
      </c>
      <c r="JS81" s="675">
        <v>788736</v>
      </c>
      <c r="JT81" s="675">
        <v>618614</v>
      </c>
      <c r="JU81" s="675">
        <v>88869</v>
      </c>
      <c r="JV81" s="675">
        <v>0</v>
      </c>
      <c r="JW81" s="675">
        <v>0</v>
      </c>
      <c r="JX81" s="675">
        <v>0</v>
      </c>
      <c r="JY81" s="675">
        <v>0</v>
      </c>
      <c r="JZ81" s="675">
        <v>0</v>
      </c>
      <c r="KA81" s="675">
        <v>0</v>
      </c>
      <c r="KB81" s="675">
        <v>0</v>
      </c>
      <c r="KC81" s="675">
        <v>0</v>
      </c>
      <c r="KD81" s="675">
        <v>88869</v>
      </c>
      <c r="KE81" s="675">
        <v>7260</v>
      </c>
      <c r="KF81" s="675">
        <v>0</v>
      </c>
      <c r="KG81" s="675">
        <v>0</v>
      </c>
      <c r="KH81" s="675">
        <v>0</v>
      </c>
      <c r="KI81" s="675">
        <v>0</v>
      </c>
    </row>
    <row r="82" spans="1:295" ht="12.5" x14ac:dyDescent="0.25">
      <c r="A82" s="675">
        <v>35795</v>
      </c>
      <c r="B82" s="675">
        <v>101806</v>
      </c>
      <c r="C82" s="675">
        <v>9</v>
      </c>
      <c r="D82" s="675">
        <v>2022</v>
      </c>
      <c r="E82" s="675">
        <v>6160</v>
      </c>
      <c r="F82" s="675">
        <v>0</v>
      </c>
      <c r="G82" s="675">
        <v>1342.953</v>
      </c>
      <c r="H82" s="675">
        <v>1219.385</v>
      </c>
      <c r="I82" s="675">
        <v>1219.385</v>
      </c>
      <c r="J82" s="675">
        <v>1342.953</v>
      </c>
      <c r="K82" s="675">
        <v>0</v>
      </c>
      <c r="L82" s="675">
        <v>6160</v>
      </c>
      <c r="M82" s="675">
        <v>0</v>
      </c>
      <c r="N82" s="675">
        <v>0</v>
      </c>
      <c r="O82" s="675">
        <v>0</v>
      </c>
      <c r="P82" s="675">
        <v>1255.23</v>
      </c>
      <c r="Q82" s="675">
        <v>0</v>
      </c>
      <c r="R82" s="675">
        <v>505140</v>
      </c>
      <c r="S82" s="675">
        <v>402.428</v>
      </c>
      <c r="T82" s="675">
        <v>0</v>
      </c>
      <c r="U82" s="675">
        <v>268619</v>
      </c>
      <c r="V82" s="675">
        <v>811.73500000000001</v>
      </c>
      <c r="W82" s="675">
        <v>500026</v>
      </c>
      <c r="X82" s="675">
        <v>500026</v>
      </c>
      <c r="Y82" s="675">
        <v>0</v>
      </c>
      <c r="Z82" s="675">
        <v>0</v>
      </c>
      <c r="AA82" s="675">
        <v>0</v>
      </c>
      <c r="AB82" s="675">
        <v>0</v>
      </c>
      <c r="AC82" s="675">
        <v>0</v>
      </c>
      <c r="AD82" s="675" t="s">
        <v>316</v>
      </c>
      <c r="AE82" s="675">
        <v>0</v>
      </c>
      <c r="AF82" s="675">
        <v>0</v>
      </c>
      <c r="AG82" s="675">
        <v>0</v>
      </c>
      <c r="AH82" s="675">
        <v>0</v>
      </c>
      <c r="AI82" s="675">
        <v>0</v>
      </c>
      <c r="AJ82" s="675">
        <v>6160</v>
      </c>
      <c r="AK82" s="675" t="s">
        <v>671</v>
      </c>
      <c r="AL82" s="675" t="s">
        <v>450</v>
      </c>
      <c r="AM82" s="675">
        <v>0</v>
      </c>
      <c r="AN82" s="675">
        <v>0</v>
      </c>
      <c r="AO82" s="675">
        <v>0</v>
      </c>
      <c r="AP82" s="675">
        <v>0</v>
      </c>
      <c r="AQ82" s="675">
        <v>0</v>
      </c>
      <c r="AR82" s="675">
        <v>0</v>
      </c>
      <c r="AS82" s="675">
        <v>0</v>
      </c>
      <c r="AT82" s="675">
        <v>0</v>
      </c>
      <c r="AU82" s="675">
        <v>0</v>
      </c>
      <c r="AV82" s="675">
        <v>-2509</v>
      </c>
      <c r="AW82" s="675">
        <v>15410173</v>
      </c>
      <c r="AX82" s="675">
        <v>15168302</v>
      </c>
      <c r="AY82" s="675">
        <v>10213175</v>
      </c>
      <c r="AZ82" s="675">
        <v>505140</v>
      </c>
      <c r="BA82" s="675">
        <v>0</v>
      </c>
      <c r="BB82" s="675">
        <v>28430</v>
      </c>
      <c r="BC82" s="675">
        <v>28247</v>
      </c>
      <c r="BD82" s="675">
        <v>65.933000000000007</v>
      </c>
      <c r="BE82" s="675">
        <v>183</v>
      </c>
      <c r="BF82" s="675">
        <v>13944744</v>
      </c>
      <c r="BG82" s="675">
        <v>0</v>
      </c>
      <c r="BH82" s="675">
        <v>0</v>
      </c>
      <c r="BI82" s="675">
        <v>0</v>
      </c>
      <c r="BJ82" s="675">
        <v>12</v>
      </c>
      <c r="BK82" s="675">
        <v>0</v>
      </c>
      <c r="BL82" s="675">
        <v>0</v>
      </c>
      <c r="BM82" s="675">
        <v>0</v>
      </c>
      <c r="BN82" s="675">
        <v>0</v>
      </c>
      <c r="BO82" s="675">
        <v>0</v>
      </c>
      <c r="BP82" s="675">
        <v>0</v>
      </c>
      <c r="BQ82" s="675">
        <v>582</v>
      </c>
      <c r="BR82" s="675">
        <v>0</v>
      </c>
      <c r="BS82" s="675">
        <v>0</v>
      </c>
      <c r="BT82" s="675">
        <v>0</v>
      </c>
      <c r="BU82" s="675">
        <v>0</v>
      </c>
      <c r="BV82" s="675">
        <v>0</v>
      </c>
      <c r="BW82" s="675">
        <v>0</v>
      </c>
      <c r="BX82" s="675">
        <v>0</v>
      </c>
      <c r="BY82" s="675">
        <v>0</v>
      </c>
      <c r="BZ82" s="675">
        <v>0</v>
      </c>
      <c r="CA82" s="675">
        <v>0</v>
      </c>
      <c r="CB82" s="675">
        <v>0</v>
      </c>
      <c r="CC82" s="675">
        <v>0</v>
      </c>
      <c r="CD82" s="675">
        <v>0</v>
      </c>
      <c r="CE82" s="675">
        <v>0</v>
      </c>
      <c r="CF82" s="675">
        <v>0</v>
      </c>
      <c r="CG82" s="675">
        <v>0</v>
      </c>
      <c r="CH82" s="675">
        <v>245442</v>
      </c>
      <c r="CI82" s="675">
        <v>0</v>
      </c>
      <c r="CJ82" s="675">
        <v>4</v>
      </c>
      <c r="CK82" s="675">
        <v>0</v>
      </c>
      <c r="CL82" s="675">
        <v>0</v>
      </c>
      <c r="CM82" s="675">
        <v>0</v>
      </c>
      <c r="CN82" s="675">
        <v>0</v>
      </c>
      <c r="CO82" s="675">
        <v>1</v>
      </c>
      <c r="CP82" s="675">
        <v>0</v>
      </c>
      <c r="CQ82" s="675">
        <v>0</v>
      </c>
      <c r="CR82" s="675">
        <v>1253.94</v>
      </c>
      <c r="CS82" s="675">
        <v>0</v>
      </c>
      <c r="CT82" s="675">
        <v>0</v>
      </c>
      <c r="CU82" s="675">
        <v>0</v>
      </c>
      <c r="CV82" s="675">
        <v>0</v>
      </c>
      <c r="CW82" s="675">
        <v>0</v>
      </c>
      <c r="CX82" s="675">
        <v>0</v>
      </c>
      <c r="CY82" s="675">
        <v>0</v>
      </c>
      <c r="CZ82" s="675">
        <v>0</v>
      </c>
      <c r="DA82" s="675">
        <v>0</v>
      </c>
      <c r="DB82" s="675">
        <v>7511377</v>
      </c>
      <c r="DC82" s="675">
        <v>0</v>
      </c>
      <c r="DD82" s="675">
        <v>0</v>
      </c>
      <c r="DE82" s="675">
        <v>2443892</v>
      </c>
      <c r="DF82" s="675">
        <v>2443892</v>
      </c>
      <c r="DG82" s="675">
        <v>396.738</v>
      </c>
      <c r="DH82" s="675">
        <v>0</v>
      </c>
      <c r="DI82" s="675">
        <v>0</v>
      </c>
      <c r="DJ82" s="675">
        <v>0</v>
      </c>
      <c r="DK82" s="675">
        <v>938</v>
      </c>
      <c r="DL82" s="675">
        <v>0</v>
      </c>
      <c r="DM82" s="675">
        <v>889398</v>
      </c>
      <c r="DN82" s="675">
        <v>3388</v>
      </c>
      <c r="DO82" s="675">
        <v>0</v>
      </c>
      <c r="DP82" s="675">
        <v>0</v>
      </c>
      <c r="DQ82" s="675">
        <v>0</v>
      </c>
      <c r="DR82" s="675">
        <v>0</v>
      </c>
      <c r="DS82" s="675">
        <v>0</v>
      </c>
      <c r="DT82" s="675">
        <v>0</v>
      </c>
      <c r="DU82" s="675">
        <v>0</v>
      </c>
      <c r="DV82" s="675">
        <v>0</v>
      </c>
      <c r="DW82" s="675">
        <v>0</v>
      </c>
      <c r="DX82" s="675">
        <v>0</v>
      </c>
      <c r="DY82" s="675">
        <v>0</v>
      </c>
      <c r="DZ82" s="675">
        <v>0</v>
      </c>
      <c r="EA82" s="675">
        <v>0</v>
      </c>
      <c r="EB82" s="675">
        <v>0</v>
      </c>
      <c r="EC82" s="675">
        <v>20.190000000000001</v>
      </c>
      <c r="ED82" s="675">
        <v>143025</v>
      </c>
      <c r="EE82" s="675">
        <v>0</v>
      </c>
      <c r="EF82" s="675">
        <v>0</v>
      </c>
      <c r="EG82" s="675">
        <v>0</v>
      </c>
      <c r="EH82" s="675">
        <v>749761</v>
      </c>
      <c r="EI82" s="675">
        <v>0</v>
      </c>
      <c r="EJ82" s="675">
        <v>0</v>
      </c>
      <c r="EK82" s="675">
        <v>31.305000000000003</v>
      </c>
      <c r="EL82" s="675">
        <v>0</v>
      </c>
      <c r="EM82" s="675">
        <v>5.03</v>
      </c>
      <c r="EN82" s="675">
        <v>2.5420000000000003</v>
      </c>
      <c r="EO82" s="675">
        <v>0</v>
      </c>
      <c r="EP82" s="675">
        <v>0</v>
      </c>
      <c r="EQ82" s="675">
        <v>38.877000000000002</v>
      </c>
      <c r="ER82" s="675">
        <v>0</v>
      </c>
      <c r="ES82" s="675">
        <v>121.715</v>
      </c>
      <c r="ET82" s="675">
        <v>0</v>
      </c>
      <c r="EU82" s="675">
        <v>0</v>
      </c>
      <c r="EV82" s="675">
        <v>0</v>
      </c>
      <c r="EW82" s="675">
        <v>0</v>
      </c>
      <c r="EX82" s="675">
        <v>0</v>
      </c>
      <c r="EY82" s="675">
        <v>0</v>
      </c>
      <c r="EZ82" s="675">
        <v>13456448</v>
      </c>
      <c r="FA82" s="675">
        <v>0</v>
      </c>
      <c r="FB82" s="675">
        <v>13958017</v>
      </c>
      <c r="FC82" s="675">
        <v>0</v>
      </c>
      <c r="FD82" s="675">
        <v>0</v>
      </c>
      <c r="FE82" s="675">
        <v>1418466</v>
      </c>
      <c r="FF82" s="675">
        <v>293388</v>
      </c>
      <c r="FG82" s="675">
        <v>6.3574999999999993E-2</v>
      </c>
      <c r="FH82" s="675">
        <v>2.6298999999999999E-2</v>
      </c>
      <c r="FI82" s="675">
        <v>0</v>
      </c>
      <c r="FJ82" s="675">
        <v>0</v>
      </c>
      <c r="FK82" s="675">
        <v>2263.768</v>
      </c>
      <c r="FL82" s="675">
        <v>15915313</v>
      </c>
      <c r="FM82" s="675">
        <v>0</v>
      </c>
      <c r="FN82" s="675">
        <v>0</v>
      </c>
      <c r="FO82" s="675">
        <v>12549</v>
      </c>
      <c r="FP82" s="675">
        <v>0</v>
      </c>
      <c r="FQ82" s="675">
        <v>12549</v>
      </c>
      <c r="FR82" s="675">
        <v>12549</v>
      </c>
      <c r="FS82" s="675">
        <v>0</v>
      </c>
      <c r="FT82" s="675">
        <v>0</v>
      </c>
      <c r="FU82" s="675">
        <v>0</v>
      </c>
      <c r="FV82" s="675">
        <v>0</v>
      </c>
      <c r="FW82" s="675">
        <v>0</v>
      </c>
      <c r="FX82" s="675">
        <v>0</v>
      </c>
      <c r="FY82" s="675">
        <v>0</v>
      </c>
      <c r="FZ82" s="675">
        <v>0</v>
      </c>
      <c r="GA82" s="675">
        <v>0</v>
      </c>
      <c r="GB82" s="675">
        <v>785887</v>
      </c>
      <c r="GC82" s="675">
        <v>785887</v>
      </c>
      <c r="GD82" s="675">
        <v>84.691000000000003</v>
      </c>
      <c r="GE82" s="675">
        <v>0</v>
      </c>
      <c r="GF82" s="675">
        <v>0</v>
      </c>
      <c r="GG82" s="675">
        <v>0</v>
      </c>
      <c r="GH82" s="675">
        <v>0</v>
      </c>
      <c r="GI82" s="675">
        <v>0</v>
      </c>
      <c r="GJ82" s="675">
        <v>0</v>
      </c>
      <c r="GK82" s="675">
        <v>0</v>
      </c>
      <c r="GL82" s="675">
        <v>0</v>
      </c>
      <c r="GM82" s="675">
        <v>0</v>
      </c>
      <c r="GN82" s="675">
        <v>0</v>
      </c>
      <c r="GO82" s="675">
        <v>0</v>
      </c>
      <c r="GP82" s="675">
        <v>0</v>
      </c>
      <c r="GQ82" s="675">
        <v>0</v>
      </c>
      <c r="GR82" s="675">
        <v>0</v>
      </c>
      <c r="GS82" s="675">
        <v>0</v>
      </c>
      <c r="GT82" s="675">
        <v>0</v>
      </c>
      <c r="GU82" s="675">
        <v>0</v>
      </c>
      <c r="GV82" s="675">
        <v>0</v>
      </c>
      <c r="GW82" s="675">
        <v>0</v>
      </c>
      <c r="GX82" s="675">
        <v>0</v>
      </c>
      <c r="GY82" s="675">
        <v>0</v>
      </c>
      <c r="GZ82" s="675">
        <v>0</v>
      </c>
      <c r="HA82" s="675">
        <v>0</v>
      </c>
      <c r="HB82" s="675">
        <v>298386780</v>
      </c>
      <c r="HC82" s="675">
        <v>4.5690999999999996E-2</v>
      </c>
      <c r="HD82" s="675">
        <v>245442</v>
      </c>
      <c r="HE82" s="675">
        <v>0</v>
      </c>
      <c r="HF82" s="675">
        <v>1341324</v>
      </c>
      <c r="HG82" s="675">
        <v>1848</v>
      </c>
      <c r="HH82" s="675">
        <v>388120</v>
      </c>
      <c r="HI82" s="675">
        <v>0</v>
      </c>
      <c r="HJ82" s="675">
        <v>13054</v>
      </c>
      <c r="HK82" s="675">
        <v>3492</v>
      </c>
      <c r="HL82" s="675">
        <v>803</v>
      </c>
      <c r="HM82" s="675">
        <v>10000</v>
      </c>
      <c r="HN82" s="675">
        <v>0</v>
      </c>
      <c r="HO82" s="675">
        <v>28000</v>
      </c>
      <c r="HP82" s="675">
        <v>0</v>
      </c>
      <c r="HQ82" s="675">
        <v>0</v>
      </c>
      <c r="HR82" s="675">
        <v>0</v>
      </c>
      <c r="HS82" s="675">
        <v>13452877</v>
      </c>
      <c r="HT82" s="675">
        <v>293388</v>
      </c>
      <c r="HU82" s="675">
        <v>0</v>
      </c>
      <c r="HV82" s="675">
        <v>0</v>
      </c>
      <c r="HW82" s="675">
        <v>0</v>
      </c>
      <c r="HX82" s="675">
        <v>42</v>
      </c>
      <c r="HY82" s="675">
        <v>113</v>
      </c>
      <c r="HZ82" s="675">
        <v>248</v>
      </c>
      <c r="IA82" s="675">
        <v>522</v>
      </c>
      <c r="IB82" s="675">
        <v>587</v>
      </c>
      <c r="IC82" s="675">
        <v>1512</v>
      </c>
      <c r="ID82" s="675">
        <v>0</v>
      </c>
      <c r="IE82" s="675">
        <v>0</v>
      </c>
      <c r="IF82" s="675">
        <v>0</v>
      </c>
      <c r="IG82" s="675">
        <v>3</v>
      </c>
      <c r="IH82" s="675">
        <v>630.06799999999998</v>
      </c>
      <c r="II82" s="675">
        <v>0</v>
      </c>
      <c r="IJ82" s="675">
        <v>811.73500000000001</v>
      </c>
      <c r="IK82" s="675">
        <v>0</v>
      </c>
      <c r="IL82" s="675">
        <v>2</v>
      </c>
      <c r="IM82" s="675">
        <v>0</v>
      </c>
      <c r="IN82" s="675">
        <v>0</v>
      </c>
      <c r="IO82" s="675">
        <v>2</v>
      </c>
      <c r="IP82" s="675">
        <v>0</v>
      </c>
      <c r="IQ82" s="675">
        <v>811.73500000000001</v>
      </c>
      <c r="IR82" s="675">
        <v>500026</v>
      </c>
      <c r="IS82" s="675">
        <v>0</v>
      </c>
      <c r="IT82" s="675">
        <v>10000</v>
      </c>
      <c r="IU82" s="675">
        <v>0</v>
      </c>
      <c r="IV82" s="675">
        <v>0</v>
      </c>
      <c r="IW82" s="675">
        <v>6160</v>
      </c>
      <c r="IX82" s="675">
        <v>0</v>
      </c>
      <c r="IY82" s="675">
        <v>0</v>
      </c>
      <c r="IZ82" s="675">
        <v>0</v>
      </c>
      <c r="JA82" s="675">
        <v>0</v>
      </c>
      <c r="JB82" s="675">
        <v>0</v>
      </c>
      <c r="JC82" s="675">
        <v>0</v>
      </c>
      <c r="JD82" s="675">
        <v>0</v>
      </c>
      <c r="JE82" s="675">
        <v>0</v>
      </c>
      <c r="JF82" s="675">
        <v>0</v>
      </c>
      <c r="JG82" s="675">
        <v>0</v>
      </c>
      <c r="JH82" s="675">
        <v>0</v>
      </c>
      <c r="JI82" s="675">
        <v>0</v>
      </c>
      <c r="JJ82" s="675">
        <v>0</v>
      </c>
      <c r="JK82" s="675">
        <v>0</v>
      </c>
      <c r="JL82" s="675">
        <v>0</v>
      </c>
      <c r="JM82" s="675">
        <v>0</v>
      </c>
      <c r="JN82" s="675">
        <v>32469</v>
      </c>
      <c r="JO82" s="675">
        <v>26.528000000000002</v>
      </c>
      <c r="JP82" s="675">
        <v>33.85</v>
      </c>
      <c r="JQ82" s="675">
        <v>24.313000000000002</v>
      </c>
      <c r="JR82" s="675">
        <v>211853</v>
      </c>
      <c r="JS82" s="675">
        <v>314561</v>
      </c>
      <c r="JT82" s="675">
        <v>259473</v>
      </c>
      <c r="JU82" s="675">
        <v>28430</v>
      </c>
      <c r="JV82" s="675">
        <v>0</v>
      </c>
      <c r="JW82" s="675">
        <v>0</v>
      </c>
      <c r="JX82" s="675">
        <v>0</v>
      </c>
      <c r="JY82" s="675">
        <v>0</v>
      </c>
      <c r="JZ82" s="675">
        <v>0</v>
      </c>
      <c r="KA82" s="675">
        <v>0</v>
      </c>
      <c r="KB82" s="675">
        <v>0</v>
      </c>
      <c r="KC82" s="675">
        <v>0</v>
      </c>
      <c r="KD82" s="675">
        <v>28430</v>
      </c>
      <c r="KE82" s="675">
        <v>7260</v>
      </c>
      <c r="KF82" s="675">
        <v>0</v>
      </c>
      <c r="KG82" s="675">
        <v>0</v>
      </c>
      <c r="KH82" s="675">
        <v>0</v>
      </c>
      <c r="KI82" s="675">
        <v>0</v>
      </c>
    </row>
    <row r="83" spans="1:295" ht="12.5" x14ac:dyDescent="0.25">
      <c r="A83" s="675">
        <v>35795</v>
      </c>
      <c r="B83" s="675">
        <v>152806</v>
      </c>
      <c r="C83" s="675">
        <v>9</v>
      </c>
      <c r="D83" s="675">
        <v>2022</v>
      </c>
      <c r="E83" s="675">
        <v>6160</v>
      </c>
      <c r="F83" s="675">
        <v>0</v>
      </c>
      <c r="G83" s="675">
        <v>167.755</v>
      </c>
      <c r="H83" s="675">
        <v>143.47900000000001</v>
      </c>
      <c r="I83" s="675">
        <v>143.47900000000001</v>
      </c>
      <c r="J83" s="675">
        <v>167.755</v>
      </c>
      <c r="K83" s="675">
        <v>0</v>
      </c>
      <c r="L83" s="675">
        <v>6160</v>
      </c>
      <c r="M83" s="675">
        <v>0</v>
      </c>
      <c r="N83" s="675">
        <v>0</v>
      </c>
      <c r="O83" s="675">
        <v>0</v>
      </c>
      <c r="P83" s="675">
        <v>137.048</v>
      </c>
      <c r="Q83" s="675">
        <v>0</v>
      </c>
      <c r="R83" s="675">
        <v>55152</v>
      </c>
      <c r="S83" s="675">
        <v>402.428</v>
      </c>
      <c r="T83" s="675">
        <v>0</v>
      </c>
      <c r="U83" s="675">
        <v>29328</v>
      </c>
      <c r="V83" s="675">
        <v>0</v>
      </c>
      <c r="W83" s="675">
        <v>0</v>
      </c>
      <c r="X83" s="675">
        <v>0</v>
      </c>
      <c r="Y83" s="675">
        <v>0</v>
      </c>
      <c r="Z83" s="675">
        <v>0</v>
      </c>
      <c r="AA83" s="675">
        <v>0</v>
      </c>
      <c r="AB83" s="675">
        <v>0</v>
      </c>
      <c r="AC83" s="675">
        <v>0</v>
      </c>
      <c r="AD83" s="675" t="s">
        <v>316</v>
      </c>
      <c r="AE83" s="675">
        <v>0</v>
      </c>
      <c r="AF83" s="675">
        <v>0</v>
      </c>
      <c r="AG83" s="675">
        <v>0</v>
      </c>
      <c r="AH83" s="675">
        <v>0</v>
      </c>
      <c r="AI83" s="675">
        <v>0</v>
      </c>
      <c r="AJ83" s="675">
        <v>6160</v>
      </c>
      <c r="AK83" s="675" t="s">
        <v>671</v>
      </c>
      <c r="AL83" s="675" t="s">
        <v>543</v>
      </c>
      <c r="AM83" s="675">
        <v>0</v>
      </c>
      <c r="AN83" s="675">
        <v>0</v>
      </c>
      <c r="AO83" s="675">
        <v>0</v>
      </c>
      <c r="AP83" s="675">
        <v>0</v>
      </c>
      <c r="AQ83" s="675">
        <v>0</v>
      </c>
      <c r="AR83" s="675">
        <v>0</v>
      </c>
      <c r="AS83" s="675">
        <v>0</v>
      </c>
      <c r="AT83" s="675">
        <v>0</v>
      </c>
      <c r="AU83" s="675">
        <v>0</v>
      </c>
      <c r="AV83" s="675">
        <v>-1420</v>
      </c>
      <c r="AW83" s="675">
        <v>2028141</v>
      </c>
      <c r="AX83" s="675">
        <v>2030154</v>
      </c>
      <c r="AY83" s="675">
        <v>1361100</v>
      </c>
      <c r="AZ83" s="675">
        <v>55152</v>
      </c>
      <c r="BA83" s="675">
        <v>0</v>
      </c>
      <c r="BB83" s="675">
        <v>0</v>
      </c>
      <c r="BC83" s="675">
        <v>0</v>
      </c>
      <c r="BD83" s="675">
        <v>0</v>
      </c>
      <c r="BE83" s="675">
        <v>0</v>
      </c>
      <c r="BF83" s="675">
        <v>1857304</v>
      </c>
      <c r="BG83" s="675">
        <v>0</v>
      </c>
      <c r="BH83" s="675">
        <v>0</v>
      </c>
      <c r="BI83" s="675">
        <v>0</v>
      </c>
      <c r="BJ83" s="675">
        <v>12</v>
      </c>
      <c r="BK83" s="675">
        <v>0</v>
      </c>
      <c r="BL83" s="675">
        <v>0</v>
      </c>
      <c r="BM83" s="675">
        <v>0</v>
      </c>
      <c r="BN83" s="675">
        <v>0</v>
      </c>
      <c r="BO83" s="675">
        <v>0</v>
      </c>
      <c r="BP83" s="675">
        <v>0</v>
      </c>
      <c r="BQ83" s="675">
        <v>748</v>
      </c>
      <c r="BR83" s="675">
        <v>0</v>
      </c>
      <c r="BS83" s="675">
        <v>0</v>
      </c>
      <c r="BT83" s="675">
        <v>0</v>
      </c>
      <c r="BU83" s="675">
        <v>0</v>
      </c>
      <c r="BV83" s="675">
        <v>0</v>
      </c>
      <c r="BW83" s="675">
        <v>0</v>
      </c>
      <c r="BX83" s="675">
        <v>0</v>
      </c>
      <c r="BY83" s="675">
        <v>0</v>
      </c>
      <c r="BZ83" s="675">
        <v>0</v>
      </c>
      <c r="CA83" s="675">
        <v>0</v>
      </c>
      <c r="CB83" s="675">
        <v>0</v>
      </c>
      <c r="CC83" s="675">
        <v>0</v>
      </c>
      <c r="CD83" s="675">
        <v>0</v>
      </c>
      <c r="CE83" s="675">
        <v>0</v>
      </c>
      <c r="CF83" s="675">
        <v>0</v>
      </c>
      <c r="CG83" s="675">
        <v>0</v>
      </c>
      <c r="CH83" s="675">
        <v>0</v>
      </c>
      <c r="CI83" s="675">
        <v>0</v>
      </c>
      <c r="CJ83" s="675">
        <v>4</v>
      </c>
      <c r="CK83" s="675">
        <v>0</v>
      </c>
      <c r="CL83" s="675">
        <v>0</v>
      </c>
      <c r="CM83" s="675">
        <v>0</v>
      </c>
      <c r="CN83" s="675">
        <v>0</v>
      </c>
      <c r="CO83" s="675">
        <v>1</v>
      </c>
      <c r="CP83" s="675">
        <v>0</v>
      </c>
      <c r="CQ83" s="675">
        <v>0</v>
      </c>
      <c r="CR83" s="675">
        <v>137.50900000000001</v>
      </c>
      <c r="CS83" s="675">
        <v>0</v>
      </c>
      <c r="CT83" s="675">
        <v>0</v>
      </c>
      <c r="CU83" s="675">
        <v>0</v>
      </c>
      <c r="CV83" s="675">
        <v>0</v>
      </c>
      <c r="CW83" s="675">
        <v>0</v>
      </c>
      <c r="CX83" s="675">
        <v>0</v>
      </c>
      <c r="CY83" s="675">
        <v>0</v>
      </c>
      <c r="CZ83" s="675">
        <v>0</v>
      </c>
      <c r="DA83" s="675">
        <v>0</v>
      </c>
      <c r="DB83" s="675">
        <v>883827</v>
      </c>
      <c r="DC83" s="675">
        <v>0</v>
      </c>
      <c r="DD83" s="675">
        <v>0</v>
      </c>
      <c r="DE83" s="675">
        <v>206975</v>
      </c>
      <c r="DF83" s="675">
        <v>206975</v>
      </c>
      <c r="DG83" s="675">
        <v>33.6</v>
      </c>
      <c r="DH83" s="675">
        <v>0</v>
      </c>
      <c r="DI83" s="675">
        <v>0</v>
      </c>
      <c r="DJ83" s="675">
        <v>0</v>
      </c>
      <c r="DK83" s="675">
        <v>3589</v>
      </c>
      <c r="DL83" s="675">
        <v>0</v>
      </c>
      <c r="DM83" s="675">
        <v>528360</v>
      </c>
      <c r="DN83" s="675">
        <v>2013</v>
      </c>
      <c r="DO83" s="675">
        <v>0</v>
      </c>
      <c r="DP83" s="675">
        <v>0</v>
      </c>
      <c r="DQ83" s="675">
        <v>0</v>
      </c>
      <c r="DR83" s="675">
        <v>0</v>
      </c>
      <c r="DS83" s="675">
        <v>0</v>
      </c>
      <c r="DT83" s="675">
        <v>0</v>
      </c>
      <c r="DU83" s="675">
        <v>0</v>
      </c>
      <c r="DV83" s="675">
        <v>0</v>
      </c>
      <c r="DW83" s="675">
        <v>0</v>
      </c>
      <c r="DX83" s="675">
        <v>0</v>
      </c>
      <c r="DY83" s="675">
        <v>0</v>
      </c>
      <c r="DZ83" s="675">
        <v>0</v>
      </c>
      <c r="EA83" s="675">
        <v>0</v>
      </c>
      <c r="EB83" s="675">
        <v>0</v>
      </c>
      <c r="EC83" s="675">
        <v>9.9130000000000003</v>
      </c>
      <c r="ED83" s="675">
        <v>70223</v>
      </c>
      <c r="EE83" s="675">
        <v>0</v>
      </c>
      <c r="EF83" s="675">
        <v>0</v>
      </c>
      <c r="EG83" s="675">
        <v>0</v>
      </c>
      <c r="EH83" s="675">
        <v>460150</v>
      </c>
      <c r="EI83" s="675">
        <v>0</v>
      </c>
      <c r="EJ83" s="675">
        <v>0</v>
      </c>
      <c r="EK83" s="675">
        <v>23.253</v>
      </c>
      <c r="EL83" s="675">
        <v>0</v>
      </c>
      <c r="EM83" s="675">
        <v>8.7000000000000008E-2</v>
      </c>
      <c r="EN83" s="675">
        <v>0.93600000000000005</v>
      </c>
      <c r="EO83" s="675">
        <v>0</v>
      </c>
      <c r="EP83" s="675">
        <v>0</v>
      </c>
      <c r="EQ83" s="675">
        <v>24.276</v>
      </c>
      <c r="ER83" s="675">
        <v>0</v>
      </c>
      <c r="ES83" s="675">
        <v>74.7</v>
      </c>
      <c r="ET83" s="675">
        <v>0</v>
      </c>
      <c r="EU83" s="675">
        <v>0</v>
      </c>
      <c r="EV83" s="675">
        <v>0</v>
      </c>
      <c r="EW83" s="675">
        <v>0</v>
      </c>
      <c r="EX83" s="675">
        <v>0</v>
      </c>
      <c r="EY83" s="675">
        <v>0</v>
      </c>
      <c r="EZ83" s="675">
        <v>1802152</v>
      </c>
      <c r="FA83" s="675">
        <v>0</v>
      </c>
      <c r="FB83" s="675">
        <v>1855291</v>
      </c>
      <c r="FC83" s="675">
        <v>0</v>
      </c>
      <c r="FD83" s="675">
        <v>0</v>
      </c>
      <c r="FE83" s="675">
        <v>188926</v>
      </c>
      <c r="FF83" s="675">
        <v>39076</v>
      </c>
      <c r="FG83" s="675">
        <v>6.3574999999999993E-2</v>
      </c>
      <c r="FH83" s="675">
        <v>2.6298999999999999E-2</v>
      </c>
      <c r="FI83" s="675">
        <v>0</v>
      </c>
      <c r="FJ83" s="675">
        <v>0</v>
      </c>
      <c r="FK83" s="675">
        <v>301.512</v>
      </c>
      <c r="FL83" s="675">
        <v>2083293</v>
      </c>
      <c r="FM83" s="675">
        <v>0</v>
      </c>
      <c r="FN83" s="675">
        <v>0</v>
      </c>
      <c r="FO83" s="675">
        <v>0</v>
      </c>
      <c r="FP83" s="675">
        <v>0</v>
      </c>
      <c r="FQ83" s="675">
        <v>0</v>
      </c>
      <c r="FR83" s="675">
        <v>0</v>
      </c>
      <c r="FS83" s="675">
        <v>0</v>
      </c>
      <c r="FT83" s="675">
        <v>0</v>
      </c>
      <c r="FU83" s="675">
        <v>0</v>
      </c>
      <c r="FV83" s="675">
        <v>0</v>
      </c>
      <c r="FW83" s="675">
        <v>0</v>
      </c>
      <c r="FX83" s="675">
        <v>0</v>
      </c>
      <c r="FY83" s="675">
        <v>0</v>
      </c>
      <c r="FZ83" s="675">
        <v>0</v>
      </c>
      <c r="GA83" s="675">
        <v>0</v>
      </c>
      <c r="GB83" s="675">
        <v>0</v>
      </c>
      <c r="GC83" s="675">
        <v>0</v>
      </c>
      <c r="GD83" s="675">
        <v>0</v>
      </c>
      <c r="GE83" s="675">
        <v>0</v>
      </c>
      <c r="GF83" s="675">
        <v>0</v>
      </c>
      <c r="GG83" s="675">
        <v>0</v>
      </c>
      <c r="GH83" s="675">
        <v>0</v>
      </c>
      <c r="GI83" s="675">
        <v>0</v>
      </c>
      <c r="GJ83" s="675">
        <v>0</v>
      </c>
      <c r="GK83" s="675">
        <v>0</v>
      </c>
      <c r="GL83" s="675">
        <v>0</v>
      </c>
      <c r="GM83" s="675">
        <v>0</v>
      </c>
      <c r="GN83" s="675">
        <v>0</v>
      </c>
      <c r="GO83" s="675">
        <v>0</v>
      </c>
      <c r="GP83" s="675">
        <v>0</v>
      </c>
      <c r="GQ83" s="675">
        <v>0</v>
      </c>
      <c r="GR83" s="675">
        <v>0</v>
      </c>
      <c r="GS83" s="675">
        <v>0</v>
      </c>
      <c r="GT83" s="675">
        <v>0</v>
      </c>
      <c r="GU83" s="675">
        <v>0</v>
      </c>
      <c r="GV83" s="675">
        <v>0</v>
      </c>
      <c r="GW83" s="675">
        <v>0</v>
      </c>
      <c r="GX83" s="675">
        <v>0</v>
      </c>
      <c r="GY83" s="675">
        <v>0</v>
      </c>
      <c r="GZ83" s="675">
        <v>0</v>
      </c>
      <c r="HA83" s="675">
        <v>0</v>
      </c>
      <c r="HB83" s="675">
        <v>0</v>
      </c>
      <c r="HC83" s="675">
        <v>4.5690999999999996E-2</v>
      </c>
      <c r="HD83" s="675">
        <v>0</v>
      </c>
      <c r="HE83" s="675">
        <v>0</v>
      </c>
      <c r="HF83" s="675">
        <v>157827</v>
      </c>
      <c r="HG83" s="675">
        <v>15400</v>
      </c>
      <c r="HH83" s="675">
        <v>48771</v>
      </c>
      <c r="HI83" s="675">
        <v>0</v>
      </c>
      <c r="HJ83" s="675">
        <v>1631</v>
      </c>
      <c r="HK83" s="675">
        <v>0</v>
      </c>
      <c r="HL83" s="675">
        <v>0</v>
      </c>
      <c r="HM83" s="675">
        <v>0</v>
      </c>
      <c r="HN83" s="675">
        <v>0</v>
      </c>
      <c r="HO83" s="675">
        <v>12500</v>
      </c>
      <c r="HP83" s="675">
        <v>0</v>
      </c>
      <c r="HQ83" s="675">
        <v>0</v>
      </c>
      <c r="HR83" s="675">
        <v>0</v>
      </c>
      <c r="HS83" s="675">
        <v>1800139</v>
      </c>
      <c r="HT83" s="675">
        <v>39076</v>
      </c>
      <c r="HU83" s="675">
        <v>0</v>
      </c>
      <c r="HV83" s="675">
        <v>0</v>
      </c>
      <c r="HW83" s="675">
        <v>0</v>
      </c>
      <c r="HX83" s="675">
        <v>33</v>
      </c>
      <c r="HY83" s="675">
        <v>20</v>
      </c>
      <c r="HZ83" s="675">
        <v>17</v>
      </c>
      <c r="IA83" s="675">
        <v>34</v>
      </c>
      <c r="IB83" s="675">
        <v>30</v>
      </c>
      <c r="IC83" s="675">
        <v>134</v>
      </c>
      <c r="ID83" s="675">
        <v>0</v>
      </c>
      <c r="IE83" s="675">
        <v>0</v>
      </c>
      <c r="IF83" s="675">
        <v>0</v>
      </c>
      <c r="IG83" s="675">
        <v>25</v>
      </c>
      <c r="IH83" s="675">
        <v>79.174000000000007</v>
      </c>
      <c r="II83" s="675">
        <v>0</v>
      </c>
      <c r="IJ83" s="675">
        <v>0</v>
      </c>
      <c r="IK83" s="675">
        <v>0</v>
      </c>
      <c r="IL83" s="675">
        <v>0</v>
      </c>
      <c r="IM83" s="675">
        <v>0</v>
      </c>
      <c r="IN83" s="675">
        <v>0</v>
      </c>
      <c r="IO83" s="675">
        <v>0</v>
      </c>
      <c r="IP83" s="675">
        <v>0</v>
      </c>
      <c r="IQ83" s="675">
        <v>0</v>
      </c>
      <c r="IR83" s="675">
        <v>0</v>
      </c>
      <c r="IS83" s="675">
        <v>0</v>
      </c>
      <c r="IT83" s="675">
        <v>0</v>
      </c>
      <c r="IU83" s="675">
        <v>0</v>
      </c>
      <c r="IV83" s="675">
        <v>0</v>
      </c>
      <c r="IW83" s="675">
        <v>6160</v>
      </c>
      <c r="IX83" s="675">
        <v>0</v>
      </c>
      <c r="IY83" s="675">
        <v>0</v>
      </c>
      <c r="IZ83" s="675">
        <v>0</v>
      </c>
      <c r="JA83" s="675">
        <v>0</v>
      </c>
      <c r="JB83" s="675">
        <v>0</v>
      </c>
      <c r="JC83" s="675">
        <v>0</v>
      </c>
      <c r="JD83" s="675">
        <v>0</v>
      </c>
      <c r="JE83" s="675">
        <v>0</v>
      </c>
      <c r="JF83" s="675">
        <v>0</v>
      </c>
      <c r="JG83" s="675">
        <v>0</v>
      </c>
      <c r="JH83" s="675">
        <v>0</v>
      </c>
      <c r="JI83" s="675">
        <v>0</v>
      </c>
      <c r="JJ83" s="675">
        <v>0</v>
      </c>
      <c r="JK83" s="675">
        <v>0</v>
      </c>
      <c r="JL83" s="675">
        <v>0</v>
      </c>
      <c r="JM83" s="675">
        <v>0</v>
      </c>
      <c r="JN83" s="675">
        <v>32469</v>
      </c>
      <c r="JO83" s="675">
        <v>0</v>
      </c>
      <c r="JP83" s="675">
        <v>0</v>
      </c>
      <c r="JQ83" s="675">
        <v>0</v>
      </c>
      <c r="JR83" s="675">
        <v>0</v>
      </c>
      <c r="JS83" s="675">
        <v>0</v>
      </c>
      <c r="JT83" s="675">
        <v>0</v>
      </c>
      <c r="JU83" s="675">
        <v>0</v>
      </c>
      <c r="JV83" s="675">
        <v>0</v>
      </c>
      <c r="JW83" s="675">
        <v>0</v>
      </c>
      <c r="JX83" s="675">
        <v>0</v>
      </c>
      <c r="JY83" s="675">
        <v>0</v>
      </c>
      <c r="JZ83" s="675">
        <v>0</v>
      </c>
      <c r="KA83" s="675">
        <v>0</v>
      </c>
      <c r="KB83" s="675">
        <v>0</v>
      </c>
      <c r="KC83" s="675">
        <v>0</v>
      </c>
      <c r="KD83" s="675">
        <v>0</v>
      </c>
      <c r="KE83" s="675">
        <v>7260</v>
      </c>
      <c r="KF83" s="675">
        <v>0</v>
      </c>
      <c r="KG83" s="675">
        <v>0</v>
      </c>
      <c r="KH83" s="675">
        <v>0</v>
      </c>
      <c r="KI83" s="675">
        <v>0</v>
      </c>
    </row>
    <row r="84" spans="1:295" ht="12.5" x14ac:dyDescent="0.25">
      <c r="A84" s="675">
        <v>35795</v>
      </c>
      <c r="B84" s="675">
        <v>227806</v>
      </c>
      <c r="C84" s="675">
        <v>9</v>
      </c>
      <c r="D84" s="675">
        <v>2022</v>
      </c>
      <c r="E84" s="675">
        <v>6160</v>
      </c>
      <c r="F84" s="675">
        <v>0</v>
      </c>
      <c r="G84" s="675">
        <v>463.83300000000003</v>
      </c>
      <c r="H84" s="675">
        <v>291.88900000000001</v>
      </c>
      <c r="I84" s="675">
        <v>291.88900000000001</v>
      </c>
      <c r="J84" s="675">
        <v>463.83300000000003</v>
      </c>
      <c r="K84" s="675">
        <v>0</v>
      </c>
      <c r="L84" s="675">
        <v>6160</v>
      </c>
      <c r="M84" s="675">
        <v>0</v>
      </c>
      <c r="N84" s="675">
        <v>0</v>
      </c>
      <c r="O84" s="675">
        <v>0</v>
      </c>
      <c r="P84" s="675">
        <v>585.65800000000002</v>
      </c>
      <c r="Q84" s="675">
        <v>0</v>
      </c>
      <c r="R84" s="675">
        <v>235685</v>
      </c>
      <c r="S84" s="675">
        <v>402.428</v>
      </c>
      <c r="T84" s="675">
        <v>0</v>
      </c>
      <c r="U84" s="675">
        <v>125330</v>
      </c>
      <c r="V84" s="675">
        <v>17.242000000000001</v>
      </c>
      <c r="W84" s="675">
        <v>10621</v>
      </c>
      <c r="X84" s="675">
        <v>10621</v>
      </c>
      <c r="Y84" s="675">
        <v>0</v>
      </c>
      <c r="Z84" s="675">
        <v>0</v>
      </c>
      <c r="AA84" s="675">
        <v>0</v>
      </c>
      <c r="AB84" s="675">
        <v>0</v>
      </c>
      <c r="AC84" s="675">
        <v>0</v>
      </c>
      <c r="AD84" s="675" t="s">
        <v>316</v>
      </c>
      <c r="AE84" s="675">
        <v>0</v>
      </c>
      <c r="AF84" s="675">
        <v>0</v>
      </c>
      <c r="AG84" s="675">
        <v>0</v>
      </c>
      <c r="AH84" s="675">
        <v>0</v>
      </c>
      <c r="AI84" s="675">
        <v>0</v>
      </c>
      <c r="AJ84" s="675">
        <v>6160</v>
      </c>
      <c r="AK84" s="675" t="s">
        <v>671</v>
      </c>
      <c r="AL84" s="675" t="s">
        <v>86</v>
      </c>
      <c r="AM84" s="675">
        <v>0</v>
      </c>
      <c r="AN84" s="675">
        <v>0</v>
      </c>
      <c r="AO84" s="675">
        <v>0</v>
      </c>
      <c r="AP84" s="675">
        <v>0</v>
      </c>
      <c r="AQ84" s="675">
        <v>0</v>
      </c>
      <c r="AR84" s="675">
        <v>0</v>
      </c>
      <c r="AS84" s="675">
        <v>0</v>
      </c>
      <c r="AT84" s="675">
        <v>0</v>
      </c>
      <c r="AU84" s="675">
        <v>0</v>
      </c>
      <c r="AV84" s="675">
        <v>-71368</v>
      </c>
      <c r="AW84" s="675">
        <v>7948255</v>
      </c>
      <c r="AX84" s="675">
        <v>7879928</v>
      </c>
      <c r="AY84" s="675">
        <v>5508924</v>
      </c>
      <c r="AZ84" s="675">
        <v>235685</v>
      </c>
      <c r="BA84" s="675">
        <v>0</v>
      </c>
      <c r="BB84" s="675">
        <v>934</v>
      </c>
      <c r="BC84" s="675">
        <v>928</v>
      </c>
      <c r="BD84" s="675">
        <v>2.1670000000000003</v>
      </c>
      <c r="BE84" s="675">
        <v>6</v>
      </c>
      <c r="BF84" s="675">
        <v>7072651</v>
      </c>
      <c r="BG84" s="675">
        <v>0</v>
      </c>
      <c r="BH84" s="675">
        <v>0</v>
      </c>
      <c r="BI84" s="675">
        <v>0</v>
      </c>
      <c r="BJ84" s="675">
        <v>12</v>
      </c>
      <c r="BK84" s="675">
        <v>0</v>
      </c>
      <c r="BL84" s="675">
        <v>0</v>
      </c>
      <c r="BM84" s="675">
        <v>0</v>
      </c>
      <c r="BN84" s="675">
        <v>0</v>
      </c>
      <c r="BO84" s="675">
        <v>0</v>
      </c>
      <c r="BP84" s="675">
        <v>0</v>
      </c>
      <c r="BQ84" s="675">
        <v>725</v>
      </c>
      <c r="BR84" s="675">
        <v>0</v>
      </c>
      <c r="BS84" s="675">
        <v>0</v>
      </c>
      <c r="BT84" s="675">
        <v>0</v>
      </c>
      <c r="BU84" s="675">
        <v>0</v>
      </c>
      <c r="BV84" s="675">
        <v>0</v>
      </c>
      <c r="BW84" s="675">
        <v>0</v>
      </c>
      <c r="BX84" s="675">
        <v>0</v>
      </c>
      <c r="BY84" s="675">
        <v>0</v>
      </c>
      <c r="BZ84" s="675">
        <v>0</v>
      </c>
      <c r="CA84" s="675">
        <v>0</v>
      </c>
      <c r="CB84" s="675">
        <v>0</v>
      </c>
      <c r="CC84" s="675">
        <v>0</v>
      </c>
      <c r="CD84" s="675">
        <v>0</v>
      </c>
      <c r="CE84" s="675">
        <v>0</v>
      </c>
      <c r="CF84" s="675">
        <v>0</v>
      </c>
      <c r="CG84" s="675">
        <v>0</v>
      </c>
      <c r="CH84" s="675">
        <v>84771</v>
      </c>
      <c r="CI84" s="675">
        <v>0</v>
      </c>
      <c r="CJ84" s="675">
        <v>4</v>
      </c>
      <c r="CK84" s="675">
        <v>0</v>
      </c>
      <c r="CL84" s="675">
        <v>0</v>
      </c>
      <c r="CM84" s="675">
        <v>0</v>
      </c>
      <c r="CN84" s="675">
        <v>0</v>
      </c>
      <c r="CO84" s="675">
        <v>1</v>
      </c>
      <c r="CP84" s="675">
        <v>0.65900000000000003</v>
      </c>
      <c r="CQ84" s="675">
        <v>0</v>
      </c>
      <c r="CR84" s="675">
        <v>559.94500000000005</v>
      </c>
      <c r="CS84" s="675">
        <v>0</v>
      </c>
      <c r="CT84" s="675">
        <v>0</v>
      </c>
      <c r="CU84" s="675">
        <v>0</v>
      </c>
      <c r="CV84" s="675">
        <v>0</v>
      </c>
      <c r="CW84" s="675">
        <v>0</v>
      </c>
      <c r="CX84" s="675">
        <v>0</v>
      </c>
      <c r="CY84" s="675">
        <v>0</v>
      </c>
      <c r="CZ84" s="675">
        <v>0</v>
      </c>
      <c r="DA84" s="675">
        <v>0</v>
      </c>
      <c r="DB84" s="675">
        <v>1287107</v>
      </c>
      <c r="DC84" s="675">
        <v>0</v>
      </c>
      <c r="DD84" s="675">
        <v>0</v>
      </c>
      <c r="DE84" s="675">
        <v>446136</v>
      </c>
      <c r="DF84" s="675">
        <v>576654</v>
      </c>
      <c r="DG84" s="675">
        <v>72.424999999999997</v>
      </c>
      <c r="DH84" s="675">
        <v>0</v>
      </c>
      <c r="DI84" s="675">
        <v>9783</v>
      </c>
      <c r="DJ84" s="675">
        <v>0</v>
      </c>
      <c r="DK84" s="675">
        <v>3223</v>
      </c>
      <c r="DL84" s="675">
        <v>0</v>
      </c>
      <c r="DM84" s="675">
        <v>4826517</v>
      </c>
      <c r="DN84" s="675">
        <v>16438</v>
      </c>
      <c r="DO84" s="675">
        <v>0</v>
      </c>
      <c r="DP84" s="675">
        <v>0</v>
      </c>
      <c r="DQ84" s="675">
        <v>0</v>
      </c>
      <c r="DR84" s="675">
        <v>0</v>
      </c>
      <c r="DS84" s="675">
        <v>0</v>
      </c>
      <c r="DT84" s="675">
        <v>0</v>
      </c>
      <c r="DU84" s="675">
        <v>0</v>
      </c>
      <c r="DV84" s="675">
        <v>0</v>
      </c>
      <c r="DW84" s="675">
        <v>0</v>
      </c>
      <c r="DX84" s="675">
        <v>0</v>
      </c>
      <c r="DY84" s="675">
        <v>0</v>
      </c>
      <c r="DZ84" s="675">
        <v>0</v>
      </c>
      <c r="EA84" s="675">
        <v>0</v>
      </c>
      <c r="EB84" s="675">
        <v>0</v>
      </c>
      <c r="EC84" s="675">
        <v>13.364000000000001</v>
      </c>
      <c r="ED84" s="675">
        <v>94670</v>
      </c>
      <c r="EE84" s="675">
        <v>0</v>
      </c>
      <c r="EF84" s="675">
        <v>0</v>
      </c>
      <c r="EG84" s="675">
        <v>0</v>
      </c>
      <c r="EH84" s="675">
        <v>72509</v>
      </c>
      <c r="EI84" s="675">
        <v>4164855</v>
      </c>
      <c r="EJ84" s="675">
        <v>169.029</v>
      </c>
      <c r="EK84" s="675">
        <v>1.4020000000000001</v>
      </c>
      <c r="EL84" s="675">
        <v>0</v>
      </c>
      <c r="EM84" s="675">
        <v>0</v>
      </c>
      <c r="EN84" s="675">
        <v>1.5130000000000001</v>
      </c>
      <c r="EO84" s="675">
        <v>0</v>
      </c>
      <c r="EP84" s="675">
        <v>0</v>
      </c>
      <c r="EQ84" s="675">
        <v>171.94400000000002</v>
      </c>
      <c r="ER84" s="675">
        <v>0</v>
      </c>
      <c r="ES84" s="675">
        <v>11.771000000000001</v>
      </c>
      <c r="ET84" s="675">
        <v>0</v>
      </c>
      <c r="EU84" s="675">
        <v>0</v>
      </c>
      <c r="EV84" s="675">
        <v>0</v>
      </c>
      <c r="EW84" s="675">
        <v>0</v>
      </c>
      <c r="EX84" s="675">
        <v>0</v>
      </c>
      <c r="EY84" s="675">
        <v>0</v>
      </c>
      <c r="EZ84" s="675">
        <v>7011691</v>
      </c>
      <c r="FA84" s="675">
        <v>0</v>
      </c>
      <c r="FB84" s="675">
        <v>7230932</v>
      </c>
      <c r="FC84" s="675">
        <v>0</v>
      </c>
      <c r="FD84" s="675">
        <v>0</v>
      </c>
      <c r="FE84" s="675">
        <v>719433</v>
      </c>
      <c r="FF84" s="675">
        <v>148804</v>
      </c>
      <c r="FG84" s="675">
        <v>6.3574999999999993E-2</v>
      </c>
      <c r="FH84" s="675">
        <v>2.6298999999999999E-2</v>
      </c>
      <c r="FI84" s="675">
        <v>0</v>
      </c>
      <c r="FJ84" s="675">
        <v>0</v>
      </c>
      <c r="FK84" s="675">
        <v>1148.163</v>
      </c>
      <c r="FL84" s="675">
        <v>8183940</v>
      </c>
      <c r="FM84" s="675">
        <v>0</v>
      </c>
      <c r="FN84" s="675">
        <v>0</v>
      </c>
      <c r="FO84" s="675">
        <v>0</v>
      </c>
      <c r="FP84" s="675">
        <v>0</v>
      </c>
      <c r="FQ84" s="675">
        <v>0</v>
      </c>
      <c r="FR84" s="675">
        <v>0</v>
      </c>
      <c r="FS84" s="675">
        <v>0</v>
      </c>
      <c r="FT84" s="675">
        <v>0</v>
      </c>
      <c r="FU84" s="675">
        <v>0</v>
      </c>
      <c r="FV84" s="675">
        <v>0</v>
      </c>
      <c r="FW84" s="675">
        <v>0</v>
      </c>
      <c r="FX84" s="675">
        <v>0</v>
      </c>
      <c r="FY84" s="675">
        <v>0</v>
      </c>
      <c r="FZ84" s="675">
        <v>0</v>
      </c>
      <c r="GA84" s="675">
        <v>0</v>
      </c>
      <c r="GB84" s="675">
        <v>0</v>
      </c>
      <c r="GC84" s="675">
        <v>0</v>
      </c>
      <c r="GD84" s="675">
        <v>0</v>
      </c>
      <c r="GE84" s="675">
        <v>0</v>
      </c>
      <c r="GF84" s="675">
        <v>0</v>
      </c>
      <c r="GG84" s="675">
        <v>0</v>
      </c>
      <c r="GH84" s="675">
        <v>0</v>
      </c>
      <c r="GI84" s="675">
        <v>0</v>
      </c>
      <c r="GJ84" s="675">
        <v>0</v>
      </c>
      <c r="GK84" s="675">
        <v>0</v>
      </c>
      <c r="GL84" s="675">
        <v>0</v>
      </c>
      <c r="GM84" s="675">
        <v>0</v>
      </c>
      <c r="GN84" s="675">
        <v>0</v>
      </c>
      <c r="GO84" s="675">
        <v>0</v>
      </c>
      <c r="GP84" s="675">
        <v>0</v>
      </c>
      <c r="GQ84" s="675">
        <v>0</v>
      </c>
      <c r="GR84" s="675">
        <v>0</v>
      </c>
      <c r="GS84" s="675">
        <v>0</v>
      </c>
      <c r="GT84" s="675">
        <v>0</v>
      </c>
      <c r="GU84" s="675">
        <v>0</v>
      </c>
      <c r="GV84" s="675">
        <v>0</v>
      </c>
      <c r="GW84" s="675">
        <v>0</v>
      </c>
      <c r="GX84" s="675">
        <v>0</v>
      </c>
      <c r="GY84" s="675">
        <v>0</v>
      </c>
      <c r="GZ84" s="675">
        <v>0</v>
      </c>
      <c r="HA84" s="675">
        <v>0</v>
      </c>
      <c r="HB84" s="675">
        <v>298386780</v>
      </c>
      <c r="HC84" s="675">
        <v>4.5690999999999996E-2</v>
      </c>
      <c r="HD84" s="675">
        <v>84771</v>
      </c>
      <c r="HE84" s="675">
        <v>0</v>
      </c>
      <c r="HF84" s="675">
        <v>321078</v>
      </c>
      <c r="HG84" s="675">
        <v>10266</v>
      </c>
      <c r="HH84" s="675">
        <v>4528</v>
      </c>
      <c r="HI84" s="675">
        <v>0</v>
      </c>
      <c r="HJ84" s="675">
        <v>4508</v>
      </c>
      <c r="HK84" s="675">
        <v>4050</v>
      </c>
      <c r="HL84" s="675">
        <v>278</v>
      </c>
      <c r="HM84" s="675">
        <v>14000</v>
      </c>
      <c r="HN84" s="675">
        <v>0</v>
      </c>
      <c r="HO84" s="675">
        <v>0</v>
      </c>
      <c r="HP84" s="675">
        <v>124660</v>
      </c>
      <c r="HQ84" s="675">
        <v>0</v>
      </c>
      <c r="HR84" s="675">
        <v>0</v>
      </c>
      <c r="HS84" s="675">
        <v>6995247</v>
      </c>
      <c r="HT84" s="675">
        <v>148804</v>
      </c>
      <c r="HU84" s="675">
        <v>0</v>
      </c>
      <c r="HV84" s="675">
        <v>0</v>
      </c>
      <c r="HW84" s="675">
        <v>0</v>
      </c>
      <c r="HX84" s="675">
        <v>8</v>
      </c>
      <c r="HY84" s="675">
        <v>5</v>
      </c>
      <c r="HZ84" s="675">
        <v>3</v>
      </c>
      <c r="IA84" s="675">
        <v>5</v>
      </c>
      <c r="IB84" s="675">
        <v>245</v>
      </c>
      <c r="IC84" s="675">
        <v>266</v>
      </c>
      <c r="ID84" s="675">
        <v>98</v>
      </c>
      <c r="IE84" s="675">
        <v>0</v>
      </c>
      <c r="IF84" s="675">
        <v>0</v>
      </c>
      <c r="IG84" s="675">
        <v>16.666</v>
      </c>
      <c r="IH84" s="675">
        <v>7.3500000000000005</v>
      </c>
      <c r="II84" s="675">
        <v>453.30800000000005</v>
      </c>
      <c r="IJ84" s="675">
        <v>17.242000000000001</v>
      </c>
      <c r="IK84" s="675">
        <v>166.31700000000001</v>
      </c>
      <c r="IL84" s="675">
        <v>0</v>
      </c>
      <c r="IM84" s="675">
        <v>4</v>
      </c>
      <c r="IN84" s="675">
        <v>1</v>
      </c>
      <c r="IO84" s="675">
        <v>5</v>
      </c>
      <c r="IP84" s="675">
        <v>619.625</v>
      </c>
      <c r="IQ84" s="675">
        <v>17.242000000000001</v>
      </c>
      <c r="IR84" s="675">
        <v>10621</v>
      </c>
      <c r="IS84" s="675">
        <v>45737</v>
      </c>
      <c r="IT84" s="675">
        <v>0</v>
      </c>
      <c r="IU84" s="675">
        <v>12000</v>
      </c>
      <c r="IV84" s="675">
        <v>2000</v>
      </c>
      <c r="IW84" s="675">
        <v>6160</v>
      </c>
      <c r="IX84" s="675">
        <v>0</v>
      </c>
      <c r="IY84" s="675">
        <v>0</v>
      </c>
      <c r="IZ84" s="675">
        <v>170397</v>
      </c>
      <c r="JA84" s="675">
        <v>120735</v>
      </c>
      <c r="JB84" s="675">
        <v>0</v>
      </c>
      <c r="JC84" s="675">
        <v>0</v>
      </c>
      <c r="JD84" s="675">
        <v>0</v>
      </c>
      <c r="JE84" s="675">
        <v>0</v>
      </c>
      <c r="JF84" s="675">
        <v>0</v>
      </c>
      <c r="JG84" s="675">
        <v>0</v>
      </c>
      <c r="JH84" s="675">
        <v>0</v>
      </c>
      <c r="JI84" s="675">
        <v>0</v>
      </c>
      <c r="JJ84" s="675">
        <v>0</v>
      </c>
      <c r="JK84" s="675">
        <v>0</v>
      </c>
      <c r="JL84" s="675">
        <v>0</v>
      </c>
      <c r="JM84" s="675">
        <v>0</v>
      </c>
      <c r="JN84" s="675">
        <v>32469</v>
      </c>
      <c r="JO84" s="675">
        <v>0</v>
      </c>
      <c r="JP84" s="675">
        <v>0</v>
      </c>
      <c r="JQ84" s="675">
        <v>0</v>
      </c>
      <c r="JR84" s="675">
        <v>0</v>
      </c>
      <c r="JS84" s="675">
        <v>0</v>
      </c>
      <c r="JT84" s="675">
        <v>0</v>
      </c>
      <c r="JU84" s="675">
        <v>934</v>
      </c>
      <c r="JV84" s="675">
        <v>0</v>
      </c>
      <c r="JW84" s="675">
        <v>0</v>
      </c>
      <c r="JX84" s="675">
        <v>0</v>
      </c>
      <c r="JY84" s="675">
        <v>0</v>
      </c>
      <c r="JZ84" s="675">
        <v>0</v>
      </c>
      <c r="KA84" s="675">
        <v>0</v>
      </c>
      <c r="KB84" s="675">
        <v>0</v>
      </c>
      <c r="KC84" s="675">
        <v>0</v>
      </c>
      <c r="KD84" s="675">
        <v>934</v>
      </c>
      <c r="KE84" s="675">
        <v>7260</v>
      </c>
      <c r="KF84" s="675">
        <v>0</v>
      </c>
      <c r="KG84" s="675">
        <v>0</v>
      </c>
      <c r="KH84" s="675">
        <v>0</v>
      </c>
      <c r="KI84" s="675">
        <v>0</v>
      </c>
    </row>
    <row r="85" spans="1:295" ht="12.5" x14ac:dyDescent="0.25">
      <c r="A85" s="675">
        <v>35795</v>
      </c>
      <c r="B85" s="675">
        <v>15807</v>
      </c>
      <c r="C85" s="675">
        <v>9</v>
      </c>
      <c r="D85" s="675">
        <v>2022</v>
      </c>
      <c r="E85" s="675">
        <v>6160</v>
      </c>
      <c r="F85" s="675">
        <v>0</v>
      </c>
      <c r="G85" s="675">
        <v>669.57500000000005</v>
      </c>
      <c r="H85" s="675">
        <v>553.44400000000007</v>
      </c>
      <c r="I85" s="675">
        <v>553.44400000000007</v>
      </c>
      <c r="J85" s="675">
        <v>669.57500000000005</v>
      </c>
      <c r="K85" s="675">
        <v>0</v>
      </c>
      <c r="L85" s="675">
        <v>6160</v>
      </c>
      <c r="M85" s="675">
        <v>0</v>
      </c>
      <c r="N85" s="675">
        <v>0</v>
      </c>
      <c r="O85" s="675">
        <v>0</v>
      </c>
      <c r="P85" s="675">
        <v>741.60300000000007</v>
      </c>
      <c r="Q85" s="675">
        <v>0</v>
      </c>
      <c r="R85" s="675">
        <v>298442</v>
      </c>
      <c r="S85" s="675">
        <v>402.428</v>
      </c>
      <c r="T85" s="675">
        <v>0</v>
      </c>
      <c r="U85" s="675">
        <v>158703</v>
      </c>
      <c r="V85" s="675">
        <v>69.332000000000008</v>
      </c>
      <c r="W85" s="675">
        <v>42708</v>
      </c>
      <c r="X85" s="675">
        <v>42708</v>
      </c>
      <c r="Y85" s="675">
        <v>0</v>
      </c>
      <c r="Z85" s="675">
        <v>0</v>
      </c>
      <c r="AA85" s="675">
        <v>0</v>
      </c>
      <c r="AB85" s="675">
        <v>0</v>
      </c>
      <c r="AC85" s="675">
        <v>0</v>
      </c>
      <c r="AD85" s="675" t="s">
        <v>316</v>
      </c>
      <c r="AE85" s="675">
        <v>0</v>
      </c>
      <c r="AF85" s="675">
        <v>0</v>
      </c>
      <c r="AG85" s="675">
        <v>0</v>
      </c>
      <c r="AH85" s="675">
        <v>0</v>
      </c>
      <c r="AI85" s="675">
        <v>0</v>
      </c>
      <c r="AJ85" s="675">
        <v>6160</v>
      </c>
      <c r="AK85" s="675" t="s">
        <v>671</v>
      </c>
      <c r="AL85" s="675" t="s">
        <v>39</v>
      </c>
      <c r="AM85" s="675">
        <v>0</v>
      </c>
      <c r="AN85" s="675">
        <v>0</v>
      </c>
      <c r="AO85" s="675">
        <v>0</v>
      </c>
      <c r="AP85" s="675">
        <v>0</v>
      </c>
      <c r="AQ85" s="675">
        <v>0</v>
      </c>
      <c r="AR85" s="675">
        <v>0</v>
      </c>
      <c r="AS85" s="675">
        <v>0</v>
      </c>
      <c r="AT85" s="675">
        <v>0</v>
      </c>
      <c r="AU85" s="675">
        <v>0</v>
      </c>
      <c r="AV85" s="675">
        <v>-11370</v>
      </c>
      <c r="AW85" s="675">
        <v>7402610</v>
      </c>
      <c r="AX85" s="675">
        <v>7282428</v>
      </c>
      <c r="AY85" s="675">
        <v>5092041</v>
      </c>
      <c r="AZ85" s="675">
        <v>298442</v>
      </c>
      <c r="BA85" s="675">
        <v>0</v>
      </c>
      <c r="BB85" s="675">
        <v>14436</v>
      </c>
      <c r="BC85" s="675">
        <v>14343</v>
      </c>
      <c r="BD85" s="675">
        <v>33.478999999999999</v>
      </c>
      <c r="BE85" s="675">
        <v>93</v>
      </c>
      <c r="BF85" s="675">
        <v>6736362</v>
      </c>
      <c r="BG85" s="675">
        <v>0</v>
      </c>
      <c r="BH85" s="675">
        <v>0</v>
      </c>
      <c r="BI85" s="675">
        <v>0</v>
      </c>
      <c r="BJ85" s="675">
        <v>12</v>
      </c>
      <c r="BK85" s="675">
        <v>0</v>
      </c>
      <c r="BL85" s="675">
        <v>0</v>
      </c>
      <c r="BM85" s="675">
        <v>0</v>
      </c>
      <c r="BN85" s="675">
        <v>0</v>
      </c>
      <c r="BO85" s="675">
        <v>0</v>
      </c>
      <c r="BP85" s="675">
        <v>0</v>
      </c>
      <c r="BQ85" s="675">
        <v>685</v>
      </c>
      <c r="BR85" s="675">
        <v>0</v>
      </c>
      <c r="BS85" s="675">
        <v>0</v>
      </c>
      <c r="BT85" s="675">
        <v>0</v>
      </c>
      <c r="BU85" s="675">
        <v>0</v>
      </c>
      <c r="BV85" s="675">
        <v>0</v>
      </c>
      <c r="BW85" s="675">
        <v>0</v>
      </c>
      <c r="BX85" s="675">
        <v>0</v>
      </c>
      <c r="BY85" s="675">
        <v>0</v>
      </c>
      <c r="BZ85" s="675">
        <v>0</v>
      </c>
      <c r="CA85" s="675">
        <v>0</v>
      </c>
      <c r="CB85" s="675">
        <v>0</v>
      </c>
      <c r="CC85" s="675">
        <v>0</v>
      </c>
      <c r="CD85" s="675">
        <v>0</v>
      </c>
      <c r="CE85" s="675">
        <v>0</v>
      </c>
      <c r="CF85" s="675">
        <v>0</v>
      </c>
      <c r="CG85" s="675">
        <v>0</v>
      </c>
      <c r="CH85" s="675">
        <v>122373</v>
      </c>
      <c r="CI85" s="675">
        <v>0</v>
      </c>
      <c r="CJ85" s="675">
        <v>4</v>
      </c>
      <c r="CK85" s="675">
        <v>0</v>
      </c>
      <c r="CL85" s="675">
        <v>0</v>
      </c>
      <c r="CM85" s="675">
        <v>0</v>
      </c>
      <c r="CN85" s="675">
        <v>0</v>
      </c>
      <c r="CO85" s="675">
        <v>1</v>
      </c>
      <c r="CP85" s="675">
        <v>0.19600000000000001</v>
      </c>
      <c r="CQ85" s="675">
        <v>0</v>
      </c>
      <c r="CR85" s="675">
        <v>741.34199999999998</v>
      </c>
      <c r="CS85" s="675">
        <v>0</v>
      </c>
      <c r="CT85" s="675">
        <v>0</v>
      </c>
      <c r="CU85" s="675">
        <v>0</v>
      </c>
      <c r="CV85" s="675">
        <v>0</v>
      </c>
      <c r="CW85" s="675">
        <v>0</v>
      </c>
      <c r="CX85" s="675">
        <v>0</v>
      </c>
      <c r="CY85" s="675">
        <v>0</v>
      </c>
      <c r="CZ85" s="675">
        <v>0</v>
      </c>
      <c r="DA85" s="675">
        <v>0</v>
      </c>
      <c r="DB85" s="675">
        <v>3183555</v>
      </c>
      <c r="DC85" s="675">
        <v>0</v>
      </c>
      <c r="DD85" s="675">
        <v>0</v>
      </c>
      <c r="DE85" s="675">
        <v>1022170</v>
      </c>
      <c r="DF85" s="675">
        <v>1025080</v>
      </c>
      <c r="DG85" s="675">
        <v>165.93800000000002</v>
      </c>
      <c r="DH85" s="675">
        <v>0</v>
      </c>
      <c r="DI85" s="675">
        <v>2910</v>
      </c>
      <c r="DJ85" s="675">
        <v>0</v>
      </c>
      <c r="DK85" s="675">
        <v>2579</v>
      </c>
      <c r="DL85" s="675">
        <v>0</v>
      </c>
      <c r="DM85" s="675">
        <v>776534</v>
      </c>
      <c r="DN85" s="675">
        <v>2098</v>
      </c>
      <c r="DO85" s="675">
        <v>0</v>
      </c>
      <c r="DP85" s="675">
        <v>0</v>
      </c>
      <c r="DQ85" s="675">
        <v>0</v>
      </c>
      <c r="DR85" s="675">
        <v>0</v>
      </c>
      <c r="DS85" s="675">
        <v>0</v>
      </c>
      <c r="DT85" s="675">
        <v>0</v>
      </c>
      <c r="DU85" s="675">
        <v>0</v>
      </c>
      <c r="DV85" s="675">
        <v>0</v>
      </c>
      <c r="DW85" s="675">
        <v>0</v>
      </c>
      <c r="DX85" s="675">
        <v>0</v>
      </c>
      <c r="DY85" s="675">
        <v>0</v>
      </c>
      <c r="DZ85" s="675">
        <v>0</v>
      </c>
      <c r="EA85" s="675">
        <v>0</v>
      </c>
      <c r="EB85" s="675">
        <v>0</v>
      </c>
      <c r="EC85" s="675">
        <v>33.341000000000001</v>
      </c>
      <c r="ED85" s="675">
        <v>236187</v>
      </c>
      <c r="EE85" s="675">
        <v>0</v>
      </c>
      <c r="EF85" s="675">
        <v>0</v>
      </c>
      <c r="EG85" s="675">
        <v>0</v>
      </c>
      <c r="EH85" s="675">
        <v>316801</v>
      </c>
      <c r="EI85" s="675">
        <v>0</v>
      </c>
      <c r="EJ85" s="675">
        <v>0</v>
      </c>
      <c r="EK85" s="675">
        <v>13.423</v>
      </c>
      <c r="EL85" s="675">
        <v>0</v>
      </c>
      <c r="EM85" s="675">
        <v>1.19</v>
      </c>
      <c r="EN85" s="675">
        <v>1.518</v>
      </c>
      <c r="EO85" s="675">
        <v>0</v>
      </c>
      <c r="EP85" s="675">
        <v>0</v>
      </c>
      <c r="EQ85" s="675">
        <v>16.131</v>
      </c>
      <c r="ER85" s="675">
        <v>0</v>
      </c>
      <c r="ES85" s="675">
        <v>51.429000000000002</v>
      </c>
      <c r="ET85" s="675">
        <v>0</v>
      </c>
      <c r="EU85" s="675">
        <v>0</v>
      </c>
      <c r="EV85" s="675">
        <v>0</v>
      </c>
      <c r="EW85" s="675">
        <v>0</v>
      </c>
      <c r="EX85" s="675">
        <v>0</v>
      </c>
      <c r="EY85" s="675">
        <v>0</v>
      </c>
      <c r="EZ85" s="675">
        <v>6455474</v>
      </c>
      <c r="FA85" s="675">
        <v>0</v>
      </c>
      <c r="FB85" s="675">
        <v>6751725</v>
      </c>
      <c r="FC85" s="675">
        <v>0</v>
      </c>
      <c r="FD85" s="675">
        <v>0</v>
      </c>
      <c r="FE85" s="675">
        <v>685226</v>
      </c>
      <c r="FF85" s="675">
        <v>141728</v>
      </c>
      <c r="FG85" s="675">
        <v>6.3574999999999993E-2</v>
      </c>
      <c r="FH85" s="675">
        <v>2.6298999999999999E-2</v>
      </c>
      <c r="FI85" s="675">
        <v>0</v>
      </c>
      <c r="FJ85" s="675">
        <v>0</v>
      </c>
      <c r="FK85" s="675">
        <v>1093.57</v>
      </c>
      <c r="FL85" s="675">
        <v>7701052</v>
      </c>
      <c r="FM85" s="675">
        <v>0</v>
      </c>
      <c r="FN85" s="675">
        <v>0</v>
      </c>
      <c r="FO85" s="675">
        <v>12672</v>
      </c>
      <c r="FP85" s="675">
        <v>0</v>
      </c>
      <c r="FQ85" s="675">
        <v>12672</v>
      </c>
      <c r="FR85" s="675">
        <v>12672</v>
      </c>
      <c r="FS85" s="675">
        <v>0</v>
      </c>
      <c r="FT85" s="675">
        <v>0</v>
      </c>
      <c r="FU85" s="675">
        <v>0</v>
      </c>
      <c r="FV85" s="675">
        <v>0</v>
      </c>
      <c r="FW85" s="675">
        <v>0</v>
      </c>
      <c r="FX85" s="675">
        <v>0</v>
      </c>
      <c r="FY85" s="675">
        <v>0</v>
      </c>
      <c r="FZ85" s="675">
        <v>0</v>
      </c>
      <c r="GA85" s="675">
        <v>0</v>
      </c>
      <c r="GB85" s="675">
        <v>937672</v>
      </c>
      <c r="GC85" s="675">
        <v>937672</v>
      </c>
      <c r="GD85" s="675">
        <v>100</v>
      </c>
      <c r="GE85" s="675">
        <v>0</v>
      </c>
      <c r="GF85" s="675">
        <v>0</v>
      </c>
      <c r="GG85" s="675">
        <v>0</v>
      </c>
      <c r="GH85" s="675">
        <v>0</v>
      </c>
      <c r="GI85" s="675">
        <v>0</v>
      </c>
      <c r="GJ85" s="675">
        <v>0</v>
      </c>
      <c r="GK85" s="675">
        <v>0</v>
      </c>
      <c r="GL85" s="675">
        <v>0</v>
      </c>
      <c r="GM85" s="675">
        <v>0</v>
      </c>
      <c r="GN85" s="675">
        <v>0</v>
      </c>
      <c r="GO85" s="675">
        <v>0</v>
      </c>
      <c r="GP85" s="675">
        <v>0</v>
      </c>
      <c r="GQ85" s="675">
        <v>0</v>
      </c>
      <c r="GR85" s="675">
        <v>0</v>
      </c>
      <c r="GS85" s="675">
        <v>0</v>
      </c>
      <c r="GT85" s="675">
        <v>0</v>
      </c>
      <c r="GU85" s="675">
        <v>0</v>
      </c>
      <c r="GV85" s="675">
        <v>0</v>
      </c>
      <c r="GW85" s="675">
        <v>0</v>
      </c>
      <c r="GX85" s="675">
        <v>0</v>
      </c>
      <c r="GY85" s="675">
        <v>0</v>
      </c>
      <c r="GZ85" s="675">
        <v>0</v>
      </c>
      <c r="HA85" s="675">
        <v>0</v>
      </c>
      <c r="HB85" s="675">
        <v>298386780</v>
      </c>
      <c r="HC85" s="675">
        <v>4.5690999999999996E-2</v>
      </c>
      <c r="HD85" s="675">
        <v>122373</v>
      </c>
      <c r="HE85" s="675">
        <v>0</v>
      </c>
      <c r="HF85" s="675">
        <v>608788</v>
      </c>
      <c r="HG85" s="675">
        <v>19096</v>
      </c>
      <c r="HH85" s="675">
        <v>116887</v>
      </c>
      <c r="HI85" s="675">
        <v>0</v>
      </c>
      <c r="HJ85" s="675">
        <v>6508</v>
      </c>
      <c r="HK85" s="675">
        <v>2817</v>
      </c>
      <c r="HL85" s="675">
        <v>2065</v>
      </c>
      <c r="HM85" s="675">
        <v>3000</v>
      </c>
      <c r="HN85" s="675">
        <v>0</v>
      </c>
      <c r="HO85" s="675">
        <v>0</v>
      </c>
      <c r="HP85" s="675">
        <v>0</v>
      </c>
      <c r="HQ85" s="675">
        <v>0</v>
      </c>
      <c r="HR85" s="675">
        <v>0</v>
      </c>
      <c r="HS85" s="675">
        <v>6453283</v>
      </c>
      <c r="HT85" s="675">
        <v>141728</v>
      </c>
      <c r="HU85" s="675">
        <v>0</v>
      </c>
      <c r="HV85" s="675">
        <v>0</v>
      </c>
      <c r="HW85" s="675">
        <v>0</v>
      </c>
      <c r="HX85" s="675">
        <v>94</v>
      </c>
      <c r="HY85" s="675">
        <v>95</v>
      </c>
      <c r="HZ85" s="675">
        <v>119</v>
      </c>
      <c r="IA85" s="675">
        <v>126</v>
      </c>
      <c r="IB85" s="675">
        <v>216</v>
      </c>
      <c r="IC85" s="675">
        <v>650</v>
      </c>
      <c r="ID85" s="675">
        <v>0</v>
      </c>
      <c r="IE85" s="675">
        <v>0</v>
      </c>
      <c r="IF85" s="675">
        <v>0</v>
      </c>
      <c r="IG85" s="675">
        <v>31</v>
      </c>
      <c r="IH85" s="675">
        <v>189.75200000000001</v>
      </c>
      <c r="II85" s="675">
        <v>0</v>
      </c>
      <c r="IJ85" s="675">
        <v>69.332000000000008</v>
      </c>
      <c r="IK85" s="675">
        <v>0</v>
      </c>
      <c r="IL85" s="675">
        <v>0</v>
      </c>
      <c r="IM85" s="675">
        <v>1</v>
      </c>
      <c r="IN85" s="675">
        <v>0</v>
      </c>
      <c r="IO85" s="675">
        <v>1</v>
      </c>
      <c r="IP85" s="675">
        <v>0</v>
      </c>
      <c r="IQ85" s="675">
        <v>69.332000000000008</v>
      </c>
      <c r="IR85" s="675">
        <v>42708</v>
      </c>
      <c r="IS85" s="675">
        <v>0</v>
      </c>
      <c r="IT85" s="675">
        <v>0</v>
      </c>
      <c r="IU85" s="675">
        <v>3000</v>
      </c>
      <c r="IV85" s="675">
        <v>0</v>
      </c>
      <c r="IW85" s="675">
        <v>6160</v>
      </c>
      <c r="IX85" s="675">
        <v>0</v>
      </c>
      <c r="IY85" s="675">
        <v>0</v>
      </c>
      <c r="IZ85" s="675">
        <v>0</v>
      </c>
      <c r="JA85" s="675">
        <v>0</v>
      </c>
      <c r="JB85" s="675">
        <v>0</v>
      </c>
      <c r="JC85" s="675">
        <v>0</v>
      </c>
      <c r="JD85" s="675">
        <v>0</v>
      </c>
      <c r="JE85" s="675">
        <v>0</v>
      </c>
      <c r="JF85" s="675">
        <v>0</v>
      </c>
      <c r="JG85" s="675">
        <v>0</v>
      </c>
      <c r="JH85" s="675">
        <v>0</v>
      </c>
      <c r="JI85" s="675">
        <v>0</v>
      </c>
      <c r="JJ85" s="675">
        <v>0</v>
      </c>
      <c r="JK85" s="675">
        <v>0</v>
      </c>
      <c r="JL85" s="675">
        <v>0</v>
      </c>
      <c r="JM85" s="675">
        <v>0</v>
      </c>
      <c r="JN85" s="675">
        <v>32469</v>
      </c>
      <c r="JO85" s="675">
        <v>10.247</v>
      </c>
      <c r="JP85" s="675">
        <v>73.962000000000003</v>
      </c>
      <c r="JQ85" s="675">
        <v>15.791</v>
      </c>
      <c r="JR85" s="675">
        <v>81833</v>
      </c>
      <c r="JS85" s="675">
        <v>687314</v>
      </c>
      <c r="JT85" s="675">
        <v>168525</v>
      </c>
      <c r="JU85" s="675">
        <v>14436</v>
      </c>
      <c r="JV85" s="675">
        <v>0</v>
      </c>
      <c r="JW85" s="675">
        <v>0</v>
      </c>
      <c r="JX85" s="675">
        <v>0</v>
      </c>
      <c r="JY85" s="675">
        <v>0</v>
      </c>
      <c r="JZ85" s="675">
        <v>0</v>
      </c>
      <c r="KA85" s="675">
        <v>0</v>
      </c>
      <c r="KB85" s="675">
        <v>0</v>
      </c>
      <c r="KC85" s="675">
        <v>0</v>
      </c>
      <c r="KD85" s="675">
        <v>14436</v>
      </c>
      <c r="KE85" s="675">
        <v>7260</v>
      </c>
      <c r="KF85" s="675">
        <v>0</v>
      </c>
      <c r="KG85" s="675">
        <v>0</v>
      </c>
      <c r="KH85" s="675">
        <v>0</v>
      </c>
      <c r="KI85" s="675">
        <v>0</v>
      </c>
    </row>
    <row r="86" spans="1:295" ht="12.5" x14ac:dyDescent="0.25">
      <c r="A86" s="675">
        <v>35795</v>
      </c>
      <c r="B86" s="675">
        <v>57807</v>
      </c>
      <c r="C86" s="675">
        <v>9</v>
      </c>
      <c r="D86" s="675">
        <v>2022</v>
      </c>
      <c r="E86" s="675">
        <v>6160</v>
      </c>
      <c r="F86" s="675">
        <v>0</v>
      </c>
      <c r="G86" s="675">
        <v>5109.6000000000004</v>
      </c>
      <c r="H86" s="675">
        <v>4518.4630000000006</v>
      </c>
      <c r="I86" s="675">
        <v>4518.4630000000006</v>
      </c>
      <c r="J86" s="675">
        <v>5109.6000000000004</v>
      </c>
      <c r="K86" s="675">
        <v>0</v>
      </c>
      <c r="L86" s="675">
        <v>6160</v>
      </c>
      <c r="M86" s="675">
        <v>0</v>
      </c>
      <c r="N86" s="675">
        <v>0</v>
      </c>
      <c r="O86" s="675">
        <v>0</v>
      </c>
      <c r="P86" s="675">
        <v>5249.4450000000006</v>
      </c>
      <c r="Q86" s="675">
        <v>0</v>
      </c>
      <c r="R86" s="675">
        <v>2112524</v>
      </c>
      <c r="S86" s="675">
        <v>402.428</v>
      </c>
      <c r="T86" s="675">
        <v>0</v>
      </c>
      <c r="U86" s="675">
        <v>1123388</v>
      </c>
      <c r="V86" s="675">
        <v>488.24200000000002</v>
      </c>
      <c r="W86" s="675">
        <v>300756</v>
      </c>
      <c r="X86" s="675">
        <v>300756</v>
      </c>
      <c r="Y86" s="675">
        <v>0</v>
      </c>
      <c r="Z86" s="675">
        <v>0</v>
      </c>
      <c r="AA86" s="675">
        <v>0</v>
      </c>
      <c r="AB86" s="675">
        <v>0</v>
      </c>
      <c r="AC86" s="675">
        <v>0</v>
      </c>
      <c r="AD86" s="675" t="s">
        <v>316</v>
      </c>
      <c r="AE86" s="675">
        <v>0</v>
      </c>
      <c r="AF86" s="675">
        <v>0</v>
      </c>
      <c r="AG86" s="675">
        <v>0</v>
      </c>
      <c r="AH86" s="675">
        <v>0</v>
      </c>
      <c r="AI86" s="675">
        <v>0</v>
      </c>
      <c r="AJ86" s="675">
        <v>6160</v>
      </c>
      <c r="AK86" s="675" t="s">
        <v>671</v>
      </c>
      <c r="AL86" s="675" t="s">
        <v>18</v>
      </c>
      <c r="AM86" s="675">
        <v>0</v>
      </c>
      <c r="AN86" s="675">
        <v>0</v>
      </c>
      <c r="AO86" s="675">
        <v>0</v>
      </c>
      <c r="AP86" s="675">
        <v>0</v>
      </c>
      <c r="AQ86" s="675">
        <v>0</v>
      </c>
      <c r="AR86" s="675">
        <v>0</v>
      </c>
      <c r="AS86" s="675">
        <v>0</v>
      </c>
      <c r="AT86" s="675">
        <v>0</v>
      </c>
      <c r="AU86" s="675">
        <v>0</v>
      </c>
      <c r="AV86" s="675">
        <v>0</v>
      </c>
      <c r="AW86" s="675">
        <v>53598050</v>
      </c>
      <c r="AX86" s="675">
        <v>52683596</v>
      </c>
      <c r="AY86" s="675">
        <v>35938631</v>
      </c>
      <c r="AZ86" s="675">
        <v>2112524</v>
      </c>
      <c r="BA86" s="675">
        <v>0</v>
      </c>
      <c r="BB86" s="675">
        <v>110162</v>
      </c>
      <c r="BC86" s="675">
        <v>109451</v>
      </c>
      <c r="BD86" s="675">
        <v>255.48000000000002</v>
      </c>
      <c r="BE86" s="675">
        <v>711</v>
      </c>
      <c r="BF86" s="675">
        <v>48755373</v>
      </c>
      <c r="BG86" s="675">
        <v>0</v>
      </c>
      <c r="BH86" s="675">
        <v>0</v>
      </c>
      <c r="BI86" s="675">
        <v>0</v>
      </c>
      <c r="BJ86" s="675">
        <v>12</v>
      </c>
      <c r="BK86" s="675">
        <v>0</v>
      </c>
      <c r="BL86" s="675">
        <v>0</v>
      </c>
      <c r="BM86" s="675">
        <v>0</v>
      </c>
      <c r="BN86" s="675">
        <v>0</v>
      </c>
      <c r="BO86" s="675">
        <v>0</v>
      </c>
      <c r="BP86" s="675">
        <v>0</v>
      </c>
      <c r="BQ86" s="675">
        <v>74</v>
      </c>
      <c r="BR86" s="675">
        <v>0</v>
      </c>
      <c r="BS86" s="675">
        <v>0</v>
      </c>
      <c r="BT86" s="675">
        <v>0</v>
      </c>
      <c r="BU86" s="675">
        <v>0</v>
      </c>
      <c r="BV86" s="675">
        <v>0</v>
      </c>
      <c r="BW86" s="675">
        <v>0</v>
      </c>
      <c r="BX86" s="675">
        <v>0</v>
      </c>
      <c r="BY86" s="675">
        <v>0</v>
      </c>
      <c r="BZ86" s="675">
        <v>0</v>
      </c>
      <c r="CA86" s="675">
        <v>0</v>
      </c>
      <c r="CB86" s="675">
        <v>0</v>
      </c>
      <c r="CC86" s="675">
        <v>0</v>
      </c>
      <c r="CD86" s="675">
        <v>0</v>
      </c>
      <c r="CE86" s="675">
        <v>0</v>
      </c>
      <c r="CF86" s="675">
        <v>0</v>
      </c>
      <c r="CG86" s="675">
        <v>0</v>
      </c>
      <c r="CH86" s="675">
        <v>933844</v>
      </c>
      <c r="CI86" s="675">
        <v>0</v>
      </c>
      <c r="CJ86" s="675">
        <v>4</v>
      </c>
      <c r="CK86" s="675">
        <v>0</v>
      </c>
      <c r="CL86" s="675">
        <v>0</v>
      </c>
      <c r="CM86" s="675">
        <v>0</v>
      </c>
      <c r="CN86" s="675">
        <v>0</v>
      </c>
      <c r="CO86" s="675">
        <v>1</v>
      </c>
      <c r="CP86" s="675">
        <v>0</v>
      </c>
      <c r="CQ86" s="675">
        <v>0</v>
      </c>
      <c r="CR86" s="675">
        <v>5245.9560000000001</v>
      </c>
      <c r="CS86" s="675">
        <v>0</v>
      </c>
      <c r="CT86" s="675">
        <v>0</v>
      </c>
      <c r="CU86" s="675">
        <v>0</v>
      </c>
      <c r="CV86" s="675">
        <v>0</v>
      </c>
      <c r="CW86" s="675">
        <v>0</v>
      </c>
      <c r="CX86" s="675">
        <v>0</v>
      </c>
      <c r="CY86" s="675">
        <v>0</v>
      </c>
      <c r="CZ86" s="675">
        <v>0</v>
      </c>
      <c r="DA86" s="675">
        <v>0</v>
      </c>
      <c r="DB86" s="675">
        <v>27833603</v>
      </c>
      <c r="DC86" s="675">
        <v>0</v>
      </c>
      <c r="DD86" s="675">
        <v>0</v>
      </c>
      <c r="DE86" s="675">
        <v>5598952</v>
      </c>
      <c r="DF86" s="675">
        <v>5598952</v>
      </c>
      <c r="DG86" s="675">
        <v>908.92500000000007</v>
      </c>
      <c r="DH86" s="675">
        <v>0</v>
      </c>
      <c r="DI86" s="675">
        <v>0</v>
      </c>
      <c r="DJ86" s="675">
        <v>0</v>
      </c>
      <c r="DK86" s="675">
        <v>0</v>
      </c>
      <c r="DL86" s="675">
        <v>0</v>
      </c>
      <c r="DM86" s="675">
        <v>4904038</v>
      </c>
      <c r="DN86" s="675">
        <v>18679</v>
      </c>
      <c r="DO86" s="675">
        <v>0</v>
      </c>
      <c r="DP86" s="675">
        <v>0</v>
      </c>
      <c r="DQ86" s="675">
        <v>0</v>
      </c>
      <c r="DR86" s="675">
        <v>0</v>
      </c>
      <c r="DS86" s="675">
        <v>0</v>
      </c>
      <c r="DT86" s="675">
        <v>0</v>
      </c>
      <c r="DU86" s="675">
        <v>0</v>
      </c>
      <c r="DV86" s="675">
        <v>0</v>
      </c>
      <c r="DW86" s="675">
        <v>0</v>
      </c>
      <c r="DX86" s="675">
        <v>0</v>
      </c>
      <c r="DY86" s="675">
        <v>0</v>
      </c>
      <c r="DZ86" s="675">
        <v>0</v>
      </c>
      <c r="EA86" s="675">
        <v>7.0000000000000001E-3</v>
      </c>
      <c r="EB86" s="675">
        <v>0</v>
      </c>
      <c r="EC86" s="675">
        <v>182.84700000000001</v>
      </c>
      <c r="ED86" s="675">
        <v>1295282</v>
      </c>
      <c r="EE86" s="675">
        <v>0</v>
      </c>
      <c r="EF86" s="675">
        <v>0</v>
      </c>
      <c r="EG86" s="675">
        <v>0</v>
      </c>
      <c r="EH86" s="675">
        <v>3627435</v>
      </c>
      <c r="EI86" s="675">
        <v>0</v>
      </c>
      <c r="EJ86" s="675">
        <v>0</v>
      </c>
      <c r="EK86" s="675">
        <v>140.45699999999999</v>
      </c>
      <c r="EL86" s="675">
        <v>0</v>
      </c>
      <c r="EM86" s="675">
        <v>38.252000000000002</v>
      </c>
      <c r="EN86" s="675">
        <v>10.542</v>
      </c>
      <c r="EO86" s="675">
        <v>0</v>
      </c>
      <c r="EP86" s="675">
        <v>0</v>
      </c>
      <c r="EQ86" s="675">
        <v>189.25800000000001</v>
      </c>
      <c r="ER86" s="675">
        <v>0</v>
      </c>
      <c r="ES86" s="675">
        <v>588.87200000000007</v>
      </c>
      <c r="ET86" s="675">
        <v>0</v>
      </c>
      <c r="EU86" s="675">
        <v>0</v>
      </c>
      <c r="EV86" s="675">
        <v>0</v>
      </c>
      <c r="EW86" s="675">
        <v>0</v>
      </c>
      <c r="EX86" s="675">
        <v>0</v>
      </c>
      <c r="EY86" s="675">
        <v>0</v>
      </c>
      <c r="EZ86" s="675">
        <v>46698397</v>
      </c>
      <c r="FA86" s="675">
        <v>0</v>
      </c>
      <c r="FB86" s="675">
        <v>48791531</v>
      </c>
      <c r="FC86" s="675">
        <v>0</v>
      </c>
      <c r="FD86" s="675">
        <v>0</v>
      </c>
      <c r="FE86" s="675">
        <v>4959420</v>
      </c>
      <c r="FF86" s="675">
        <v>1025779</v>
      </c>
      <c r="FG86" s="675">
        <v>6.3574999999999993E-2</v>
      </c>
      <c r="FH86" s="675">
        <v>2.6298999999999999E-2</v>
      </c>
      <c r="FI86" s="675">
        <v>0</v>
      </c>
      <c r="FJ86" s="675">
        <v>0</v>
      </c>
      <c r="FK86" s="675">
        <v>7914.87</v>
      </c>
      <c r="FL86" s="675">
        <v>55710574</v>
      </c>
      <c r="FM86" s="675">
        <v>0</v>
      </c>
      <c r="FN86" s="675">
        <v>0</v>
      </c>
      <c r="FO86" s="675">
        <v>27331</v>
      </c>
      <c r="FP86" s="675">
        <v>0</v>
      </c>
      <c r="FQ86" s="675">
        <v>27331</v>
      </c>
      <c r="FR86" s="675">
        <v>27331</v>
      </c>
      <c r="FS86" s="675">
        <v>0</v>
      </c>
      <c r="FT86" s="675">
        <v>0</v>
      </c>
      <c r="FU86" s="675">
        <v>0</v>
      </c>
      <c r="FV86" s="675">
        <v>0</v>
      </c>
      <c r="FW86" s="675">
        <v>0</v>
      </c>
      <c r="FX86" s="675">
        <v>0</v>
      </c>
      <c r="FY86" s="675">
        <v>0</v>
      </c>
      <c r="FZ86" s="675">
        <v>0</v>
      </c>
      <c r="GA86" s="675">
        <v>0</v>
      </c>
      <c r="GB86" s="675">
        <v>3828749</v>
      </c>
      <c r="GC86" s="675">
        <v>3828749</v>
      </c>
      <c r="GD86" s="675">
        <v>401.87900000000002</v>
      </c>
      <c r="GE86" s="675">
        <v>0</v>
      </c>
      <c r="GF86" s="675">
        <v>0</v>
      </c>
      <c r="GG86" s="675">
        <v>0</v>
      </c>
      <c r="GH86" s="675">
        <v>0</v>
      </c>
      <c r="GI86" s="675">
        <v>0</v>
      </c>
      <c r="GJ86" s="675">
        <v>0</v>
      </c>
      <c r="GK86" s="675">
        <v>0</v>
      </c>
      <c r="GL86" s="675">
        <v>0</v>
      </c>
      <c r="GM86" s="675">
        <v>0</v>
      </c>
      <c r="GN86" s="675">
        <v>0</v>
      </c>
      <c r="GO86" s="675">
        <v>0</v>
      </c>
      <c r="GP86" s="675">
        <v>0</v>
      </c>
      <c r="GQ86" s="675">
        <v>0</v>
      </c>
      <c r="GR86" s="675">
        <v>0</v>
      </c>
      <c r="GS86" s="675">
        <v>0</v>
      </c>
      <c r="GT86" s="675">
        <v>0</v>
      </c>
      <c r="GU86" s="675">
        <v>0</v>
      </c>
      <c r="GV86" s="675">
        <v>0</v>
      </c>
      <c r="GW86" s="675">
        <v>0</v>
      </c>
      <c r="GX86" s="675">
        <v>0</v>
      </c>
      <c r="GY86" s="675">
        <v>0</v>
      </c>
      <c r="GZ86" s="675">
        <v>0</v>
      </c>
      <c r="HA86" s="675">
        <v>0</v>
      </c>
      <c r="HB86" s="675">
        <v>298386780</v>
      </c>
      <c r="HC86" s="675">
        <v>4.5690999999999996E-2</v>
      </c>
      <c r="HD86" s="675">
        <v>933844</v>
      </c>
      <c r="HE86" s="675">
        <v>0</v>
      </c>
      <c r="HF86" s="675">
        <v>4970309</v>
      </c>
      <c r="HG86" s="675">
        <v>134287</v>
      </c>
      <c r="HH86" s="675">
        <v>692771</v>
      </c>
      <c r="HI86" s="675">
        <v>0</v>
      </c>
      <c r="HJ86" s="675">
        <v>49665</v>
      </c>
      <c r="HK86" s="675">
        <v>16821</v>
      </c>
      <c r="HL86" s="675">
        <v>11396</v>
      </c>
      <c r="HM86" s="675">
        <v>307000</v>
      </c>
      <c r="HN86" s="675">
        <v>6402</v>
      </c>
      <c r="HO86" s="675">
        <v>0</v>
      </c>
      <c r="HP86" s="675">
        <v>0</v>
      </c>
      <c r="HQ86" s="675">
        <v>0</v>
      </c>
      <c r="HR86" s="675">
        <v>0</v>
      </c>
      <c r="HS86" s="675">
        <v>46679007</v>
      </c>
      <c r="HT86" s="675">
        <v>1025779</v>
      </c>
      <c r="HU86" s="675">
        <v>0</v>
      </c>
      <c r="HV86" s="675">
        <v>0</v>
      </c>
      <c r="HW86" s="675">
        <v>0</v>
      </c>
      <c r="HX86" s="675">
        <v>695</v>
      </c>
      <c r="HY86" s="675">
        <v>835</v>
      </c>
      <c r="HZ86" s="675">
        <v>562</v>
      </c>
      <c r="IA86" s="675">
        <v>715</v>
      </c>
      <c r="IB86" s="675">
        <v>822</v>
      </c>
      <c r="IC86" s="675">
        <v>3629</v>
      </c>
      <c r="ID86" s="675">
        <v>0</v>
      </c>
      <c r="IE86" s="675">
        <v>0</v>
      </c>
      <c r="IF86" s="675">
        <v>0</v>
      </c>
      <c r="IG86" s="675">
        <v>218</v>
      </c>
      <c r="IH86" s="675">
        <v>1124.633</v>
      </c>
      <c r="II86" s="675">
        <v>0</v>
      </c>
      <c r="IJ86" s="675">
        <v>488.24200000000002</v>
      </c>
      <c r="IK86" s="675">
        <v>0</v>
      </c>
      <c r="IL86" s="675">
        <v>39</v>
      </c>
      <c r="IM86" s="675">
        <v>36</v>
      </c>
      <c r="IN86" s="675">
        <v>2</v>
      </c>
      <c r="IO86" s="675">
        <v>77</v>
      </c>
      <c r="IP86" s="675">
        <v>0</v>
      </c>
      <c r="IQ86" s="675">
        <v>488.24200000000002</v>
      </c>
      <c r="IR86" s="675">
        <v>300756</v>
      </c>
      <c r="IS86" s="675">
        <v>0</v>
      </c>
      <c r="IT86" s="675">
        <v>195000</v>
      </c>
      <c r="IU86" s="675">
        <v>108000</v>
      </c>
      <c r="IV86" s="675">
        <v>4000</v>
      </c>
      <c r="IW86" s="675">
        <v>6160</v>
      </c>
      <c r="IX86" s="675">
        <v>0</v>
      </c>
      <c r="IY86" s="675">
        <v>0</v>
      </c>
      <c r="IZ86" s="675">
        <v>0</v>
      </c>
      <c r="JA86" s="675">
        <v>0</v>
      </c>
      <c r="JB86" s="675">
        <v>0</v>
      </c>
      <c r="JC86" s="675">
        <v>0</v>
      </c>
      <c r="JD86" s="675">
        <v>0</v>
      </c>
      <c r="JE86" s="675">
        <v>0</v>
      </c>
      <c r="JF86" s="675">
        <v>1</v>
      </c>
      <c r="JG86" s="675">
        <v>6402</v>
      </c>
      <c r="JH86" s="675">
        <v>0</v>
      </c>
      <c r="JI86" s="675">
        <v>0</v>
      </c>
      <c r="JJ86" s="675">
        <v>0</v>
      </c>
      <c r="JK86" s="675">
        <v>0</v>
      </c>
      <c r="JL86" s="675">
        <v>0</v>
      </c>
      <c r="JM86" s="675">
        <v>0</v>
      </c>
      <c r="JN86" s="675">
        <v>32469</v>
      </c>
      <c r="JO86" s="675">
        <v>37.630000000000003</v>
      </c>
      <c r="JP86" s="675">
        <v>260.33199999999999</v>
      </c>
      <c r="JQ86" s="675">
        <v>103.917</v>
      </c>
      <c r="JR86" s="675">
        <v>300513</v>
      </c>
      <c r="JS86" s="675">
        <v>2419213</v>
      </c>
      <c r="JT86" s="675">
        <v>1109023</v>
      </c>
      <c r="JU86" s="675">
        <v>110162</v>
      </c>
      <c r="JV86" s="675">
        <v>0</v>
      </c>
      <c r="JW86" s="675">
        <v>0</v>
      </c>
      <c r="JX86" s="675">
        <v>0</v>
      </c>
      <c r="JY86" s="675">
        <v>0</v>
      </c>
      <c r="JZ86" s="675">
        <v>0</v>
      </c>
      <c r="KA86" s="675">
        <v>0</v>
      </c>
      <c r="KB86" s="675">
        <v>0</v>
      </c>
      <c r="KC86" s="675">
        <v>0</v>
      </c>
      <c r="KD86" s="675">
        <v>110162</v>
      </c>
      <c r="KE86" s="675">
        <v>7260</v>
      </c>
      <c r="KF86" s="675">
        <v>0</v>
      </c>
      <c r="KG86" s="675">
        <v>0</v>
      </c>
      <c r="KH86" s="675">
        <v>0</v>
      </c>
      <c r="KI86" s="675">
        <v>0</v>
      </c>
    </row>
    <row r="87" spans="1:295" ht="12.5" x14ac:dyDescent="0.25">
      <c r="A87" s="675">
        <v>35795</v>
      </c>
      <c r="B87" s="675">
        <v>71807</v>
      </c>
      <c r="C87" s="675">
        <v>9</v>
      </c>
      <c r="D87" s="675">
        <v>2022</v>
      </c>
      <c r="E87" s="675">
        <v>6160</v>
      </c>
      <c r="F87" s="675">
        <v>0</v>
      </c>
      <c r="G87" s="675">
        <v>159.858</v>
      </c>
      <c r="H87" s="675">
        <v>156.809</v>
      </c>
      <c r="I87" s="675">
        <v>156.809</v>
      </c>
      <c r="J87" s="675">
        <v>159.858</v>
      </c>
      <c r="K87" s="675">
        <v>0</v>
      </c>
      <c r="L87" s="675">
        <v>6160</v>
      </c>
      <c r="M87" s="675">
        <v>0</v>
      </c>
      <c r="N87" s="675">
        <v>0</v>
      </c>
      <c r="O87" s="675">
        <v>0</v>
      </c>
      <c r="P87" s="675">
        <v>157.751</v>
      </c>
      <c r="Q87" s="675">
        <v>0</v>
      </c>
      <c r="R87" s="675">
        <v>63483</v>
      </c>
      <c r="S87" s="675">
        <v>402.428</v>
      </c>
      <c r="T87" s="675">
        <v>0</v>
      </c>
      <c r="U87" s="675">
        <v>33759</v>
      </c>
      <c r="V87" s="675">
        <v>136.858</v>
      </c>
      <c r="W87" s="675">
        <v>84304</v>
      </c>
      <c r="X87" s="675">
        <v>84304</v>
      </c>
      <c r="Y87" s="675">
        <v>0</v>
      </c>
      <c r="Z87" s="675">
        <v>0</v>
      </c>
      <c r="AA87" s="675">
        <v>0</v>
      </c>
      <c r="AB87" s="675">
        <v>0</v>
      </c>
      <c r="AC87" s="675">
        <v>0</v>
      </c>
      <c r="AD87" s="675" t="s">
        <v>316</v>
      </c>
      <c r="AE87" s="675">
        <v>0</v>
      </c>
      <c r="AF87" s="675">
        <v>0</v>
      </c>
      <c r="AG87" s="675">
        <v>0</v>
      </c>
      <c r="AH87" s="675">
        <v>0</v>
      </c>
      <c r="AI87" s="675">
        <v>0</v>
      </c>
      <c r="AJ87" s="675">
        <v>6160</v>
      </c>
      <c r="AK87" s="675" t="s">
        <v>671</v>
      </c>
      <c r="AL87" s="675" t="s">
        <v>64</v>
      </c>
      <c r="AM87" s="675">
        <v>0</v>
      </c>
      <c r="AN87" s="675">
        <v>0</v>
      </c>
      <c r="AO87" s="675">
        <v>0</v>
      </c>
      <c r="AP87" s="675">
        <v>0</v>
      </c>
      <c r="AQ87" s="675">
        <v>0</v>
      </c>
      <c r="AR87" s="675">
        <v>0</v>
      </c>
      <c r="AS87" s="675">
        <v>0</v>
      </c>
      <c r="AT87" s="675">
        <v>0</v>
      </c>
      <c r="AU87" s="675">
        <v>0</v>
      </c>
      <c r="AV87" s="675">
        <v>0</v>
      </c>
      <c r="AW87" s="675">
        <v>1850639</v>
      </c>
      <c r="AX87" s="675">
        <v>1850869</v>
      </c>
      <c r="AY87" s="675">
        <v>1265257</v>
      </c>
      <c r="AZ87" s="675">
        <v>63483</v>
      </c>
      <c r="BA87" s="675">
        <v>0</v>
      </c>
      <c r="BB87" s="675">
        <v>0</v>
      </c>
      <c r="BC87" s="675">
        <v>0</v>
      </c>
      <c r="BD87" s="675">
        <v>0</v>
      </c>
      <c r="BE87" s="675">
        <v>0</v>
      </c>
      <c r="BF87" s="675">
        <v>1705041</v>
      </c>
      <c r="BG87" s="675">
        <v>0</v>
      </c>
      <c r="BH87" s="675">
        <v>0</v>
      </c>
      <c r="BI87" s="675">
        <v>0</v>
      </c>
      <c r="BJ87" s="675">
        <v>12</v>
      </c>
      <c r="BK87" s="675">
        <v>0</v>
      </c>
      <c r="BL87" s="675">
        <v>0</v>
      </c>
      <c r="BM87" s="675">
        <v>0</v>
      </c>
      <c r="BN87" s="675">
        <v>0</v>
      </c>
      <c r="BO87" s="675">
        <v>0</v>
      </c>
      <c r="BP87" s="675">
        <v>0</v>
      </c>
      <c r="BQ87" s="675">
        <v>746</v>
      </c>
      <c r="BR87" s="675">
        <v>0</v>
      </c>
      <c r="BS87" s="675">
        <v>0</v>
      </c>
      <c r="BT87" s="675">
        <v>0</v>
      </c>
      <c r="BU87" s="675">
        <v>0</v>
      </c>
      <c r="BV87" s="675">
        <v>0</v>
      </c>
      <c r="BW87" s="675">
        <v>0</v>
      </c>
      <c r="BX87" s="675">
        <v>0</v>
      </c>
      <c r="BY87" s="675">
        <v>0</v>
      </c>
      <c r="BZ87" s="675">
        <v>0</v>
      </c>
      <c r="CA87" s="675">
        <v>0</v>
      </c>
      <c r="CB87" s="675">
        <v>0</v>
      </c>
      <c r="CC87" s="675">
        <v>0</v>
      </c>
      <c r="CD87" s="675">
        <v>0</v>
      </c>
      <c r="CE87" s="675">
        <v>0</v>
      </c>
      <c r="CF87" s="675">
        <v>0</v>
      </c>
      <c r="CG87" s="675">
        <v>0</v>
      </c>
      <c r="CH87" s="675">
        <v>0</v>
      </c>
      <c r="CI87" s="675">
        <v>0</v>
      </c>
      <c r="CJ87" s="675">
        <v>4</v>
      </c>
      <c r="CK87" s="675">
        <v>0</v>
      </c>
      <c r="CL87" s="675">
        <v>0</v>
      </c>
      <c r="CM87" s="675">
        <v>0</v>
      </c>
      <c r="CN87" s="675">
        <v>0</v>
      </c>
      <c r="CO87" s="675">
        <v>1</v>
      </c>
      <c r="CP87" s="675">
        <v>0</v>
      </c>
      <c r="CQ87" s="675">
        <v>0</v>
      </c>
      <c r="CR87" s="675">
        <v>173.60900000000001</v>
      </c>
      <c r="CS87" s="675">
        <v>0</v>
      </c>
      <c r="CT87" s="675">
        <v>0</v>
      </c>
      <c r="CU87" s="675">
        <v>0</v>
      </c>
      <c r="CV87" s="675">
        <v>0</v>
      </c>
      <c r="CW87" s="675">
        <v>0</v>
      </c>
      <c r="CX87" s="675">
        <v>0</v>
      </c>
      <c r="CY87" s="675">
        <v>0</v>
      </c>
      <c r="CZ87" s="675">
        <v>0</v>
      </c>
      <c r="DA87" s="675">
        <v>0</v>
      </c>
      <c r="DB87" s="675">
        <v>965939</v>
      </c>
      <c r="DC87" s="675">
        <v>0</v>
      </c>
      <c r="DD87" s="675">
        <v>0</v>
      </c>
      <c r="DE87" s="675">
        <v>304688</v>
      </c>
      <c r="DF87" s="675">
        <v>304688</v>
      </c>
      <c r="DG87" s="675">
        <v>49.463000000000001</v>
      </c>
      <c r="DH87" s="675">
        <v>0</v>
      </c>
      <c r="DI87" s="675">
        <v>0</v>
      </c>
      <c r="DJ87" s="675">
        <v>0</v>
      </c>
      <c r="DK87" s="675">
        <v>3556</v>
      </c>
      <c r="DL87" s="675">
        <v>0</v>
      </c>
      <c r="DM87" s="675">
        <v>60267</v>
      </c>
      <c r="DN87" s="675">
        <v>230</v>
      </c>
      <c r="DO87" s="675">
        <v>0</v>
      </c>
      <c r="DP87" s="675">
        <v>0</v>
      </c>
      <c r="DQ87" s="675">
        <v>0</v>
      </c>
      <c r="DR87" s="675">
        <v>0</v>
      </c>
      <c r="DS87" s="675">
        <v>0</v>
      </c>
      <c r="DT87" s="675">
        <v>0</v>
      </c>
      <c r="DU87" s="675">
        <v>0</v>
      </c>
      <c r="DV87" s="675">
        <v>0</v>
      </c>
      <c r="DW87" s="675">
        <v>0</v>
      </c>
      <c r="DX87" s="675">
        <v>0</v>
      </c>
      <c r="DY87" s="675">
        <v>0</v>
      </c>
      <c r="DZ87" s="675">
        <v>0</v>
      </c>
      <c r="EA87" s="675">
        <v>0</v>
      </c>
      <c r="EB87" s="675">
        <v>0</v>
      </c>
      <c r="EC87" s="675">
        <v>0</v>
      </c>
      <c r="ED87" s="675">
        <v>0</v>
      </c>
      <c r="EE87" s="675">
        <v>0</v>
      </c>
      <c r="EF87" s="675">
        <v>0</v>
      </c>
      <c r="EG87" s="675">
        <v>0</v>
      </c>
      <c r="EH87" s="675">
        <v>60497</v>
      </c>
      <c r="EI87" s="675">
        <v>0</v>
      </c>
      <c r="EJ87" s="675">
        <v>0</v>
      </c>
      <c r="EK87" s="675">
        <v>2.7120000000000002</v>
      </c>
      <c r="EL87" s="675">
        <v>0</v>
      </c>
      <c r="EM87" s="675">
        <v>0</v>
      </c>
      <c r="EN87" s="675">
        <v>0.33700000000000002</v>
      </c>
      <c r="EO87" s="675">
        <v>0</v>
      </c>
      <c r="EP87" s="675">
        <v>0</v>
      </c>
      <c r="EQ87" s="675">
        <v>3.0489999999999999</v>
      </c>
      <c r="ER87" s="675">
        <v>0</v>
      </c>
      <c r="ES87" s="675">
        <v>9.8209999999999997</v>
      </c>
      <c r="ET87" s="675">
        <v>0</v>
      </c>
      <c r="EU87" s="675">
        <v>0</v>
      </c>
      <c r="EV87" s="675">
        <v>0</v>
      </c>
      <c r="EW87" s="675">
        <v>0</v>
      </c>
      <c r="EX87" s="675">
        <v>0</v>
      </c>
      <c r="EY87" s="675">
        <v>0</v>
      </c>
      <c r="EZ87" s="675">
        <v>1641558</v>
      </c>
      <c r="FA87" s="675">
        <v>0</v>
      </c>
      <c r="FB87" s="675">
        <v>1704811</v>
      </c>
      <c r="FC87" s="675">
        <v>0</v>
      </c>
      <c r="FD87" s="675">
        <v>0</v>
      </c>
      <c r="FE87" s="675">
        <v>173438</v>
      </c>
      <c r="FF87" s="675">
        <v>35873</v>
      </c>
      <c r="FG87" s="675">
        <v>6.3574999999999993E-2</v>
      </c>
      <c r="FH87" s="675">
        <v>2.6298999999999999E-2</v>
      </c>
      <c r="FI87" s="675">
        <v>0</v>
      </c>
      <c r="FJ87" s="675">
        <v>0</v>
      </c>
      <c r="FK87" s="675">
        <v>276.79400000000004</v>
      </c>
      <c r="FL87" s="675">
        <v>1914122</v>
      </c>
      <c r="FM87" s="675">
        <v>0</v>
      </c>
      <c r="FN87" s="675">
        <v>0</v>
      </c>
      <c r="FO87" s="675">
        <v>0</v>
      </c>
      <c r="FP87" s="675">
        <v>0</v>
      </c>
      <c r="FQ87" s="675">
        <v>0</v>
      </c>
      <c r="FR87" s="675">
        <v>0</v>
      </c>
      <c r="FS87" s="675">
        <v>0</v>
      </c>
      <c r="FT87" s="675">
        <v>0</v>
      </c>
      <c r="FU87" s="675">
        <v>0</v>
      </c>
      <c r="FV87" s="675">
        <v>0</v>
      </c>
      <c r="FW87" s="675">
        <v>0</v>
      </c>
      <c r="FX87" s="675">
        <v>0</v>
      </c>
      <c r="FY87" s="675">
        <v>0</v>
      </c>
      <c r="FZ87" s="675">
        <v>0</v>
      </c>
      <c r="GA87" s="675">
        <v>0</v>
      </c>
      <c r="GB87" s="675">
        <v>0</v>
      </c>
      <c r="GC87" s="675">
        <v>0</v>
      </c>
      <c r="GD87" s="675">
        <v>0</v>
      </c>
      <c r="GE87" s="675">
        <v>0</v>
      </c>
      <c r="GF87" s="675">
        <v>0</v>
      </c>
      <c r="GG87" s="675">
        <v>0</v>
      </c>
      <c r="GH87" s="675">
        <v>0</v>
      </c>
      <c r="GI87" s="675">
        <v>0</v>
      </c>
      <c r="GJ87" s="675">
        <v>0</v>
      </c>
      <c r="GK87" s="675">
        <v>0</v>
      </c>
      <c r="GL87" s="675">
        <v>0</v>
      </c>
      <c r="GM87" s="675">
        <v>0</v>
      </c>
      <c r="GN87" s="675">
        <v>0</v>
      </c>
      <c r="GO87" s="675">
        <v>0</v>
      </c>
      <c r="GP87" s="675">
        <v>0</v>
      </c>
      <c r="GQ87" s="675">
        <v>0</v>
      </c>
      <c r="GR87" s="675">
        <v>0</v>
      </c>
      <c r="GS87" s="675">
        <v>0</v>
      </c>
      <c r="GT87" s="675">
        <v>0</v>
      </c>
      <c r="GU87" s="675">
        <v>0</v>
      </c>
      <c r="GV87" s="675">
        <v>0</v>
      </c>
      <c r="GW87" s="675">
        <v>0</v>
      </c>
      <c r="GX87" s="675">
        <v>0</v>
      </c>
      <c r="GY87" s="675">
        <v>0</v>
      </c>
      <c r="GZ87" s="675">
        <v>0</v>
      </c>
      <c r="HA87" s="675">
        <v>0</v>
      </c>
      <c r="HB87" s="675">
        <v>0</v>
      </c>
      <c r="HC87" s="675">
        <v>4.5690999999999996E-2</v>
      </c>
      <c r="HD87" s="675">
        <v>0</v>
      </c>
      <c r="HE87" s="675">
        <v>0</v>
      </c>
      <c r="HF87" s="675">
        <v>172490</v>
      </c>
      <c r="HG87" s="675">
        <v>0</v>
      </c>
      <c r="HH87" s="675">
        <v>115569</v>
      </c>
      <c r="HI87" s="675">
        <v>0</v>
      </c>
      <c r="HJ87" s="675">
        <v>1554</v>
      </c>
      <c r="HK87" s="675">
        <v>0</v>
      </c>
      <c r="HL87" s="675">
        <v>0</v>
      </c>
      <c r="HM87" s="675">
        <v>0</v>
      </c>
      <c r="HN87" s="675">
        <v>0</v>
      </c>
      <c r="HO87" s="675">
        <v>0</v>
      </c>
      <c r="HP87" s="675">
        <v>0</v>
      </c>
      <c r="HQ87" s="675">
        <v>0</v>
      </c>
      <c r="HR87" s="675">
        <v>0</v>
      </c>
      <c r="HS87" s="675">
        <v>1641328</v>
      </c>
      <c r="HT87" s="675">
        <v>35873</v>
      </c>
      <c r="HU87" s="675">
        <v>0</v>
      </c>
      <c r="HV87" s="675">
        <v>0</v>
      </c>
      <c r="HW87" s="675">
        <v>0</v>
      </c>
      <c r="HX87" s="675">
        <v>2</v>
      </c>
      <c r="HY87" s="675">
        <v>3</v>
      </c>
      <c r="HZ87" s="675">
        <v>5</v>
      </c>
      <c r="IA87" s="675">
        <v>108</v>
      </c>
      <c r="IB87" s="675">
        <v>68</v>
      </c>
      <c r="IC87" s="675">
        <v>186</v>
      </c>
      <c r="ID87" s="675">
        <v>0</v>
      </c>
      <c r="IE87" s="675">
        <v>0</v>
      </c>
      <c r="IF87" s="675">
        <v>0</v>
      </c>
      <c r="IG87" s="675">
        <v>0</v>
      </c>
      <c r="IH87" s="675">
        <v>187.613</v>
      </c>
      <c r="II87" s="675">
        <v>0</v>
      </c>
      <c r="IJ87" s="675">
        <v>136.858</v>
      </c>
      <c r="IK87" s="675">
        <v>0</v>
      </c>
      <c r="IL87" s="675">
        <v>0</v>
      </c>
      <c r="IM87" s="675">
        <v>0</v>
      </c>
      <c r="IN87" s="675">
        <v>0</v>
      </c>
      <c r="IO87" s="675">
        <v>0</v>
      </c>
      <c r="IP87" s="675">
        <v>0</v>
      </c>
      <c r="IQ87" s="675">
        <v>136.858</v>
      </c>
      <c r="IR87" s="675">
        <v>84304</v>
      </c>
      <c r="IS87" s="675">
        <v>0</v>
      </c>
      <c r="IT87" s="675">
        <v>0</v>
      </c>
      <c r="IU87" s="675">
        <v>0</v>
      </c>
      <c r="IV87" s="675">
        <v>0</v>
      </c>
      <c r="IW87" s="675">
        <v>6160</v>
      </c>
      <c r="IX87" s="675">
        <v>0</v>
      </c>
      <c r="IY87" s="675">
        <v>0</v>
      </c>
      <c r="IZ87" s="675">
        <v>0</v>
      </c>
      <c r="JA87" s="675">
        <v>0</v>
      </c>
      <c r="JB87" s="675">
        <v>0</v>
      </c>
      <c r="JC87" s="675">
        <v>0</v>
      </c>
      <c r="JD87" s="675">
        <v>0</v>
      </c>
      <c r="JE87" s="675">
        <v>0</v>
      </c>
      <c r="JF87" s="675">
        <v>0</v>
      </c>
      <c r="JG87" s="675">
        <v>0</v>
      </c>
      <c r="JH87" s="675">
        <v>0</v>
      </c>
      <c r="JI87" s="675">
        <v>0</v>
      </c>
      <c r="JJ87" s="675">
        <v>0</v>
      </c>
      <c r="JK87" s="675">
        <v>0</v>
      </c>
      <c r="JL87" s="675">
        <v>0</v>
      </c>
      <c r="JM87" s="675">
        <v>0</v>
      </c>
      <c r="JN87" s="675">
        <v>32469</v>
      </c>
      <c r="JO87" s="675">
        <v>0</v>
      </c>
      <c r="JP87" s="675">
        <v>0</v>
      </c>
      <c r="JQ87" s="675">
        <v>0</v>
      </c>
      <c r="JR87" s="675">
        <v>0</v>
      </c>
      <c r="JS87" s="675">
        <v>0</v>
      </c>
      <c r="JT87" s="675">
        <v>0</v>
      </c>
      <c r="JU87" s="675">
        <v>0</v>
      </c>
      <c r="JV87" s="675">
        <v>0</v>
      </c>
      <c r="JW87" s="675">
        <v>0</v>
      </c>
      <c r="JX87" s="675">
        <v>0</v>
      </c>
      <c r="JY87" s="675">
        <v>0</v>
      </c>
      <c r="JZ87" s="675">
        <v>0</v>
      </c>
      <c r="KA87" s="675">
        <v>0</v>
      </c>
      <c r="KB87" s="675">
        <v>0</v>
      </c>
      <c r="KC87" s="675">
        <v>0</v>
      </c>
      <c r="KD87" s="675">
        <v>0</v>
      </c>
      <c r="KE87" s="675">
        <v>7260</v>
      </c>
      <c r="KF87" s="675">
        <v>0</v>
      </c>
      <c r="KG87" s="675">
        <v>0</v>
      </c>
      <c r="KH87" s="675">
        <v>0</v>
      </c>
      <c r="KI87" s="675">
        <v>0</v>
      </c>
    </row>
    <row r="88" spans="1:295" ht="12.5" x14ac:dyDescent="0.25">
      <c r="A88" s="675">
        <v>35795</v>
      </c>
      <c r="B88" s="675">
        <v>108807</v>
      </c>
      <c r="C88" s="675">
        <v>9</v>
      </c>
      <c r="D88" s="675">
        <v>2022</v>
      </c>
      <c r="E88" s="675">
        <v>6160</v>
      </c>
      <c r="F88" s="675">
        <v>0</v>
      </c>
      <c r="G88" s="675">
        <v>58622.315000000002</v>
      </c>
      <c r="H88" s="675">
        <v>57195.517</v>
      </c>
      <c r="I88" s="675">
        <v>57195.517</v>
      </c>
      <c r="J88" s="675">
        <v>58622.315000000002</v>
      </c>
      <c r="K88" s="675">
        <v>0</v>
      </c>
      <c r="L88" s="675">
        <v>6160</v>
      </c>
      <c r="M88" s="675">
        <v>0</v>
      </c>
      <c r="N88" s="675">
        <v>0</v>
      </c>
      <c r="O88" s="675">
        <v>0</v>
      </c>
      <c r="P88" s="675">
        <v>57474.510999999999</v>
      </c>
      <c r="Q88" s="675">
        <v>0</v>
      </c>
      <c r="R88" s="675">
        <v>23129353</v>
      </c>
      <c r="S88" s="675">
        <v>402.428</v>
      </c>
      <c r="T88" s="675">
        <v>0</v>
      </c>
      <c r="U88" s="675">
        <v>12299622</v>
      </c>
      <c r="V88" s="675">
        <v>20523.075000000001</v>
      </c>
      <c r="W88" s="675">
        <v>12652288</v>
      </c>
      <c r="X88" s="675">
        <v>12652288</v>
      </c>
      <c r="Y88" s="675">
        <v>0</v>
      </c>
      <c r="Z88" s="675">
        <v>0</v>
      </c>
      <c r="AA88" s="675">
        <v>0</v>
      </c>
      <c r="AB88" s="675">
        <v>0</v>
      </c>
      <c r="AC88" s="675">
        <v>0</v>
      </c>
      <c r="AD88" s="675" t="s">
        <v>316</v>
      </c>
      <c r="AE88" s="675">
        <v>0</v>
      </c>
      <c r="AF88" s="675">
        <v>0</v>
      </c>
      <c r="AG88" s="675">
        <v>0</v>
      </c>
      <c r="AH88" s="675">
        <v>0</v>
      </c>
      <c r="AI88" s="675">
        <v>0</v>
      </c>
      <c r="AJ88" s="675">
        <v>6160</v>
      </c>
      <c r="AK88" s="675" t="s">
        <v>671</v>
      </c>
      <c r="AL88" s="675" t="s">
        <v>96</v>
      </c>
      <c r="AM88" s="675">
        <v>0</v>
      </c>
      <c r="AN88" s="675">
        <v>0</v>
      </c>
      <c r="AO88" s="675">
        <v>0</v>
      </c>
      <c r="AP88" s="675">
        <v>0</v>
      </c>
      <c r="AQ88" s="675">
        <v>0</v>
      </c>
      <c r="AR88" s="675">
        <v>0</v>
      </c>
      <c r="AS88" s="675">
        <v>0</v>
      </c>
      <c r="AT88" s="675">
        <v>0</v>
      </c>
      <c r="AU88" s="675">
        <v>0</v>
      </c>
      <c r="AV88" s="675">
        <v>-127499</v>
      </c>
      <c r="AW88" s="675">
        <v>633452058</v>
      </c>
      <c r="AX88" s="675">
        <v>622861016</v>
      </c>
      <c r="AY88" s="675">
        <v>428957697</v>
      </c>
      <c r="AZ88" s="675">
        <v>23129353</v>
      </c>
      <c r="BA88" s="675">
        <v>0</v>
      </c>
      <c r="BB88" s="675">
        <v>0</v>
      </c>
      <c r="BC88" s="675">
        <v>0</v>
      </c>
      <c r="BD88" s="675">
        <v>0</v>
      </c>
      <c r="BE88" s="675">
        <v>0</v>
      </c>
      <c r="BF88" s="675">
        <v>569868362</v>
      </c>
      <c r="BG88" s="675">
        <v>0</v>
      </c>
      <c r="BH88" s="675">
        <v>0</v>
      </c>
      <c r="BI88" s="675">
        <v>0</v>
      </c>
      <c r="BJ88" s="675">
        <v>12</v>
      </c>
      <c r="BK88" s="675">
        <v>0</v>
      </c>
      <c r="BL88" s="675">
        <v>0</v>
      </c>
      <c r="BM88" s="675">
        <v>0</v>
      </c>
      <c r="BN88" s="675">
        <v>0</v>
      </c>
      <c r="BO88" s="675">
        <v>0</v>
      </c>
      <c r="BP88" s="675">
        <v>0</v>
      </c>
      <c r="BQ88" s="675">
        <v>0</v>
      </c>
      <c r="BR88" s="675">
        <v>0</v>
      </c>
      <c r="BS88" s="675">
        <v>0</v>
      </c>
      <c r="BT88" s="675">
        <v>0</v>
      </c>
      <c r="BU88" s="675">
        <v>0</v>
      </c>
      <c r="BV88" s="675">
        <v>0</v>
      </c>
      <c r="BW88" s="675">
        <v>0</v>
      </c>
      <c r="BX88" s="675">
        <v>0</v>
      </c>
      <c r="BY88" s="675">
        <v>0</v>
      </c>
      <c r="BZ88" s="675">
        <v>0</v>
      </c>
      <c r="CA88" s="675">
        <v>5412.0910000000003</v>
      </c>
      <c r="CB88" s="675">
        <v>4615276</v>
      </c>
      <c r="CC88" s="675">
        <v>0</v>
      </c>
      <c r="CD88" s="675">
        <v>0</v>
      </c>
      <c r="CE88" s="675">
        <v>0</v>
      </c>
      <c r="CF88" s="675">
        <v>0</v>
      </c>
      <c r="CG88" s="675">
        <v>0</v>
      </c>
      <c r="CH88" s="675">
        <v>10713974</v>
      </c>
      <c r="CI88" s="675">
        <v>0</v>
      </c>
      <c r="CJ88" s="675">
        <v>4</v>
      </c>
      <c r="CK88" s="675">
        <v>0</v>
      </c>
      <c r="CL88" s="675">
        <v>0</v>
      </c>
      <c r="CM88" s="675">
        <v>0</v>
      </c>
      <c r="CN88" s="675">
        <v>0</v>
      </c>
      <c r="CO88" s="675">
        <v>1</v>
      </c>
      <c r="CP88" s="675">
        <v>0</v>
      </c>
      <c r="CQ88" s="675">
        <v>0</v>
      </c>
      <c r="CR88" s="675">
        <v>58257.523000000001</v>
      </c>
      <c r="CS88" s="675">
        <v>0</v>
      </c>
      <c r="CT88" s="675">
        <v>0</v>
      </c>
      <c r="CU88" s="675">
        <v>0</v>
      </c>
      <c r="CV88" s="675">
        <v>0</v>
      </c>
      <c r="CW88" s="675">
        <v>0</v>
      </c>
      <c r="CX88" s="675">
        <v>0</v>
      </c>
      <c r="CY88" s="675">
        <v>0</v>
      </c>
      <c r="CZ88" s="675">
        <v>0</v>
      </c>
      <c r="DA88" s="675">
        <v>0</v>
      </c>
      <c r="DB88" s="675">
        <v>352322751</v>
      </c>
      <c r="DC88" s="675">
        <v>0</v>
      </c>
      <c r="DD88" s="675">
        <v>0</v>
      </c>
      <c r="DE88" s="675">
        <v>88172830</v>
      </c>
      <c r="DF88" s="675">
        <v>88172830</v>
      </c>
      <c r="DG88" s="675">
        <v>14313.838</v>
      </c>
      <c r="DH88" s="675">
        <v>0</v>
      </c>
      <c r="DI88" s="675">
        <v>0</v>
      </c>
      <c r="DJ88" s="675">
        <v>0</v>
      </c>
      <c r="DK88" s="675">
        <v>0</v>
      </c>
      <c r="DL88" s="675">
        <v>0</v>
      </c>
      <c r="DM88" s="675">
        <v>32274239</v>
      </c>
      <c r="DN88" s="675">
        <v>122932</v>
      </c>
      <c r="DO88" s="675">
        <v>0</v>
      </c>
      <c r="DP88" s="675">
        <v>0</v>
      </c>
      <c r="DQ88" s="675">
        <v>0</v>
      </c>
      <c r="DR88" s="675">
        <v>0</v>
      </c>
      <c r="DS88" s="675">
        <v>0</v>
      </c>
      <c r="DT88" s="675">
        <v>0</v>
      </c>
      <c r="DU88" s="675">
        <v>0</v>
      </c>
      <c r="DV88" s="675">
        <v>0</v>
      </c>
      <c r="DW88" s="675">
        <v>0</v>
      </c>
      <c r="DX88" s="675">
        <v>0</v>
      </c>
      <c r="DY88" s="675">
        <v>0</v>
      </c>
      <c r="DZ88" s="675">
        <v>0</v>
      </c>
      <c r="EA88" s="675">
        <v>2.7470000000000003</v>
      </c>
      <c r="EB88" s="675">
        <v>0</v>
      </c>
      <c r="EC88" s="675">
        <v>1482.4170000000001</v>
      </c>
      <c r="ED88" s="675">
        <v>10501393</v>
      </c>
      <c r="EE88" s="675">
        <v>0</v>
      </c>
      <c r="EF88" s="675">
        <v>0</v>
      </c>
      <c r="EG88" s="675">
        <v>0</v>
      </c>
      <c r="EH88" s="675">
        <v>21885355</v>
      </c>
      <c r="EI88" s="675">
        <v>10423</v>
      </c>
      <c r="EJ88" s="675">
        <v>0.42300000000000004</v>
      </c>
      <c r="EK88" s="675">
        <v>537.66200000000003</v>
      </c>
      <c r="EL88" s="675">
        <v>12.968</v>
      </c>
      <c r="EM88" s="675">
        <v>462.923</v>
      </c>
      <c r="EN88" s="675">
        <v>104.39</v>
      </c>
      <c r="EO88" s="675">
        <v>0</v>
      </c>
      <c r="EP88" s="675">
        <v>0</v>
      </c>
      <c r="EQ88" s="675">
        <v>1114.838</v>
      </c>
      <c r="ER88" s="675">
        <v>6.6930000000000005</v>
      </c>
      <c r="ES88" s="675">
        <v>3552.8340000000003</v>
      </c>
      <c r="ET88" s="675">
        <v>0</v>
      </c>
      <c r="EU88" s="675">
        <v>0</v>
      </c>
      <c r="EV88" s="675">
        <v>0</v>
      </c>
      <c r="EW88" s="675">
        <v>0</v>
      </c>
      <c r="EX88" s="675">
        <v>0</v>
      </c>
      <c r="EY88" s="675">
        <v>0</v>
      </c>
      <c r="EZ88" s="675">
        <v>552904107</v>
      </c>
      <c r="FA88" s="675">
        <v>0</v>
      </c>
      <c r="FB88" s="675">
        <v>575910528</v>
      </c>
      <c r="FC88" s="675">
        <v>0</v>
      </c>
      <c r="FD88" s="675">
        <v>0</v>
      </c>
      <c r="FE88" s="675">
        <v>57967279</v>
      </c>
      <c r="FF88" s="675">
        <v>11989630</v>
      </c>
      <c r="FG88" s="675">
        <v>6.3574999999999993E-2</v>
      </c>
      <c r="FH88" s="675">
        <v>2.6298999999999999E-2</v>
      </c>
      <c r="FI88" s="675">
        <v>0</v>
      </c>
      <c r="FJ88" s="675">
        <v>0</v>
      </c>
      <c r="FK88" s="675">
        <v>92511.527000000002</v>
      </c>
      <c r="FL88" s="675">
        <v>656581411</v>
      </c>
      <c r="FM88" s="675">
        <v>0</v>
      </c>
      <c r="FN88" s="675">
        <v>0</v>
      </c>
      <c r="FO88" s="675">
        <v>1113661</v>
      </c>
      <c r="FP88" s="675">
        <v>325434</v>
      </c>
      <c r="FQ88" s="675">
        <v>1439095</v>
      </c>
      <c r="FR88" s="675">
        <v>1113661</v>
      </c>
      <c r="FS88" s="675">
        <v>0</v>
      </c>
      <c r="FT88" s="675">
        <v>0</v>
      </c>
      <c r="FU88" s="675">
        <v>0</v>
      </c>
      <c r="FV88" s="675">
        <v>0</v>
      </c>
      <c r="FW88" s="675">
        <v>0</v>
      </c>
      <c r="FX88" s="675">
        <v>0</v>
      </c>
      <c r="FY88" s="675">
        <v>0</v>
      </c>
      <c r="FZ88" s="675">
        <v>0</v>
      </c>
      <c r="GA88" s="675">
        <v>0</v>
      </c>
      <c r="GB88" s="675">
        <v>2497379</v>
      </c>
      <c r="GC88" s="675">
        <v>2497379</v>
      </c>
      <c r="GD88" s="675">
        <v>311.95999999999998</v>
      </c>
      <c r="GE88" s="675">
        <v>0</v>
      </c>
      <c r="GF88" s="675">
        <v>0</v>
      </c>
      <c r="GG88" s="675">
        <v>0</v>
      </c>
      <c r="GH88" s="675">
        <v>0</v>
      </c>
      <c r="GI88" s="675">
        <v>0</v>
      </c>
      <c r="GJ88" s="675">
        <v>0</v>
      </c>
      <c r="GK88" s="675">
        <v>0</v>
      </c>
      <c r="GL88" s="675">
        <v>0</v>
      </c>
      <c r="GM88" s="675">
        <v>0</v>
      </c>
      <c r="GN88" s="675">
        <v>0</v>
      </c>
      <c r="GO88" s="675">
        <v>0</v>
      </c>
      <c r="GP88" s="675">
        <v>0</v>
      </c>
      <c r="GQ88" s="675">
        <v>0</v>
      </c>
      <c r="GR88" s="675">
        <v>0</v>
      </c>
      <c r="GS88" s="675">
        <v>0</v>
      </c>
      <c r="GT88" s="675">
        <v>0</v>
      </c>
      <c r="GU88" s="675">
        <v>0</v>
      </c>
      <c r="GV88" s="675">
        <v>0</v>
      </c>
      <c r="GW88" s="675">
        <v>0</v>
      </c>
      <c r="GX88" s="675">
        <v>0</v>
      </c>
      <c r="GY88" s="675">
        <v>0</v>
      </c>
      <c r="GZ88" s="675">
        <v>0</v>
      </c>
      <c r="HA88" s="675">
        <v>0</v>
      </c>
      <c r="HB88" s="675">
        <v>298386780</v>
      </c>
      <c r="HC88" s="675">
        <v>4.5690999999999996E-2</v>
      </c>
      <c r="HD88" s="675">
        <v>10713974</v>
      </c>
      <c r="HE88" s="675">
        <v>0</v>
      </c>
      <c r="HF88" s="675">
        <v>62915069</v>
      </c>
      <c r="HG88" s="675">
        <v>298759</v>
      </c>
      <c r="HH88" s="675">
        <v>13992306</v>
      </c>
      <c r="HI88" s="675">
        <v>0</v>
      </c>
      <c r="HJ88" s="675">
        <v>569809</v>
      </c>
      <c r="HK88" s="675">
        <v>110727</v>
      </c>
      <c r="HL88" s="675">
        <v>0</v>
      </c>
      <c r="HM88" s="675">
        <v>4050000</v>
      </c>
      <c r="HN88" s="675">
        <v>0</v>
      </c>
      <c r="HO88" s="675">
        <v>0</v>
      </c>
      <c r="HP88" s="675">
        <v>0</v>
      </c>
      <c r="HQ88" s="675">
        <v>0</v>
      </c>
      <c r="HR88" s="675">
        <v>0</v>
      </c>
      <c r="HS88" s="675">
        <v>552781175</v>
      </c>
      <c r="HT88" s="675">
        <v>11989630</v>
      </c>
      <c r="HU88" s="675">
        <v>0</v>
      </c>
      <c r="HV88" s="675">
        <v>0</v>
      </c>
      <c r="HW88" s="675">
        <v>0</v>
      </c>
      <c r="HX88" s="675">
        <v>7543</v>
      </c>
      <c r="HY88" s="675">
        <v>9779</v>
      </c>
      <c r="HZ88" s="675">
        <v>13662</v>
      </c>
      <c r="IA88" s="675">
        <v>14008</v>
      </c>
      <c r="IB88" s="675">
        <v>11642</v>
      </c>
      <c r="IC88" s="675">
        <v>56634</v>
      </c>
      <c r="ID88" s="675">
        <v>0</v>
      </c>
      <c r="IE88" s="675">
        <v>10.965</v>
      </c>
      <c r="IF88" s="675">
        <v>0</v>
      </c>
      <c r="IG88" s="675">
        <v>485</v>
      </c>
      <c r="IH88" s="675">
        <v>22714.887999999999</v>
      </c>
      <c r="II88" s="675">
        <v>0</v>
      </c>
      <c r="IJ88" s="675">
        <v>20534.04</v>
      </c>
      <c r="IK88" s="675">
        <v>0</v>
      </c>
      <c r="IL88" s="675">
        <v>742</v>
      </c>
      <c r="IM88" s="675">
        <v>96</v>
      </c>
      <c r="IN88" s="675">
        <v>26</v>
      </c>
      <c r="IO88" s="675">
        <v>864</v>
      </c>
      <c r="IP88" s="675">
        <v>0</v>
      </c>
      <c r="IQ88" s="675">
        <v>20523.075000000001</v>
      </c>
      <c r="IR88" s="675">
        <v>12642156</v>
      </c>
      <c r="IS88" s="675">
        <v>0</v>
      </c>
      <c r="IT88" s="675">
        <v>3710000</v>
      </c>
      <c r="IU88" s="675">
        <v>288000</v>
      </c>
      <c r="IV88" s="675">
        <v>52000</v>
      </c>
      <c r="IW88" s="675">
        <v>6160</v>
      </c>
      <c r="IX88" s="675">
        <v>10132</v>
      </c>
      <c r="IY88" s="675">
        <v>0</v>
      </c>
      <c r="IZ88" s="675">
        <v>0</v>
      </c>
      <c r="JA88" s="675">
        <v>0</v>
      </c>
      <c r="JB88" s="675">
        <v>0</v>
      </c>
      <c r="JC88" s="675">
        <v>0</v>
      </c>
      <c r="JD88" s="675">
        <v>0</v>
      </c>
      <c r="JE88" s="675">
        <v>0</v>
      </c>
      <c r="JF88" s="675">
        <v>0</v>
      </c>
      <c r="JG88" s="675">
        <v>0</v>
      </c>
      <c r="JH88" s="675">
        <v>0</v>
      </c>
      <c r="JI88" s="675">
        <v>0</v>
      </c>
      <c r="JJ88" s="675">
        <v>0</v>
      </c>
      <c r="JK88" s="675">
        <v>0</v>
      </c>
      <c r="JL88" s="675">
        <v>0</v>
      </c>
      <c r="JM88" s="675">
        <v>0</v>
      </c>
      <c r="JN88" s="675">
        <v>32469</v>
      </c>
      <c r="JO88" s="675">
        <v>307.31800000000004</v>
      </c>
      <c r="JP88" s="675">
        <v>4.6420000000000003</v>
      </c>
      <c r="JQ88" s="675">
        <v>0</v>
      </c>
      <c r="JR88" s="675">
        <v>2454242</v>
      </c>
      <c r="JS88" s="675">
        <v>43137</v>
      </c>
      <c r="JT88" s="675">
        <v>0</v>
      </c>
      <c r="JU88" s="675">
        <v>0</v>
      </c>
      <c r="JV88" s="675">
        <v>0</v>
      </c>
      <c r="JW88" s="675">
        <v>0</v>
      </c>
      <c r="JX88" s="675">
        <v>0</v>
      </c>
      <c r="JY88" s="675">
        <v>0</v>
      </c>
      <c r="JZ88" s="675">
        <v>0</v>
      </c>
      <c r="KA88" s="675">
        <v>0</v>
      </c>
      <c r="KB88" s="675">
        <v>0</v>
      </c>
      <c r="KC88" s="675">
        <v>0</v>
      </c>
      <c r="KD88" s="675">
        <v>0</v>
      </c>
      <c r="KE88" s="675">
        <v>7260</v>
      </c>
      <c r="KF88" s="675">
        <v>0</v>
      </c>
      <c r="KG88" s="675">
        <v>0</v>
      </c>
      <c r="KH88" s="675">
        <v>0</v>
      </c>
      <c r="KI88" s="675">
        <v>0</v>
      </c>
    </row>
    <row r="89" spans="1:295" ht="12.5" x14ac:dyDescent="0.25">
      <c r="A89" s="675">
        <v>35795</v>
      </c>
      <c r="B89" s="675">
        <v>123807</v>
      </c>
      <c r="C89" s="675">
        <v>9</v>
      </c>
      <c r="D89" s="675">
        <v>2022</v>
      </c>
      <c r="E89" s="675">
        <v>6160</v>
      </c>
      <c r="F89" s="675">
        <v>0</v>
      </c>
      <c r="G89" s="675">
        <v>2014.38</v>
      </c>
      <c r="H89" s="675">
        <v>1703.2380000000001</v>
      </c>
      <c r="I89" s="675">
        <v>1703.2380000000001</v>
      </c>
      <c r="J89" s="675">
        <v>2014.38</v>
      </c>
      <c r="K89" s="675">
        <v>0</v>
      </c>
      <c r="L89" s="675">
        <v>6160</v>
      </c>
      <c r="M89" s="675">
        <v>0</v>
      </c>
      <c r="N89" s="675">
        <v>0</v>
      </c>
      <c r="O89" s="675">
        <v>0</v>
      </c>
      <c r="P89" s="675">
        <v>1998.9340000000002</v>
      </c>
      <c r="Q89" s="675">
        <v>0</v>
      </c>
      <c r="R89" s="675">
        <v>804427</v>
      </c>
      <c r="S89" s="675">
        <v>402.428</v>
      </c>
      <c r="T89" s="675">
        <v>0</v>
      </c>
      <c r="U89" s="675">
        <v>427775</v>
      </c>
      <c r="V89" s="675">
        <v>877.06700000000001</v>
      </c>
      <c r="W89" s="675">
        <v>540271</v>
      </c>
      <c r="X89" s="675">
        <v>540271</v>
      </c>
      <c r="Y89" s="675">
        <v>0</v>
      </c>
      <c r="Z89" s="675">
        <v>0</v>
      </c>
      <c r="AA89" s="675">
        <v>0</v>
      </c>
      <c r="AB89" s="675">
        <v>0</v>
      </c>
      <c r="AC89" s="675">
        <v>0</v>
      </c>
      <c r="AD89" s="675" t="s">
        <v>316</v>
      </c>
      <c r="AE89" s="675">
        <v>0</v>
      </c>
      <c r="AF89" s="675">
        <v>0</v>
      </c>
      <c r="AG89" s="675">
        <v>0</v>
      </c>
      <c r="AH89" s="675">
        <v>0</v>
      </c>
      <c r="AI89" s="675">
        <v>0</v>
      </c>
      <c r="AJ89" s="675">
        <v>6160</v>
      </c>
      <c r="AK89" s="675" t="s">
        <v>671</v>
      </c>
      <c r="AL89" s="675" t="s">
        <v>357</v>
      </c>
      <c r="AM89" s="675">
        <v>0</v>
      </c>
      <c r="AN89" s="675">
        <v>0</v>
      </c>
      <c r="AO89" s="675">
        <v>0</v>
      </c>
      <c r="AP89" s="675">
        <v>0</v>
      </c>
      <c r="AQ89" s="675">
        <v>0</v>
      </c>
      <c r="AR89" s="675">
        <v>0</v>
      </c>
      <c r="AS89" s="675">
        <v>0</v>
      </c>
      <c r="AT89" s="675">
        <v>0</v>
      </c>
      <c r="AU89" s="675">
        <v>0</v>
      </c>
      <c r="AV89" s="675">
        <v>0</v>
      </c>
      <c r="AW89" s="675">
        <v>22154777</v>
      </c>
      <c r="AX89" s="675">
        <v>21788783</v>
      </c>
      <c r="AY89" s="675">
        <v>15275723</v>
      </c>
      <c r="AZ89" s="675">
        <v>804427</v>
      </c>
      <c r="BA89" s="675">
        <v>0</v>
      </c>
      <c r="BB89" s="675">
        <v>0</v>
      </c>
      <c r="BC89" s="675">
        <v>0</v>
      </c>
      <c r="BD89" s="675">
        <v>0</v>
      </c>
      <c r="BE89" s="675">
        <v>0</v>
      </c>
      <c r="BF89" s="675">
        <v>20081606</v>
      </c>
      <c r="BG89" s="675">
        <v>0</v>
      </c>
      <c r="BH89" s="675">
        <v>0</v>
      </c>
      <c r="BI89" s="675">
        <v>0</v>
      </c>
      <c r="BJ89" s="675">
        <v>12</v>
      </c>
      <c r="BK89" s="675">
        <v>0</v>
      </c>
      <c r="BL89" s="675">
        <v>0</v>
      </c>
      <c r="BM89" s="675">
        <v>0</v>
      </c>
      <c r="BN89" s="675">
        <v>0</v>
      </c>
      <c r="BO89" s="675">
        <v>0</v>
      </c>
      <c r="BP89" s="675">
        <v>0</v>
      </c>
      <c r="BQ89" s="675">
        <v>508</v>
      </c>
      <c r="BR89" s="675">
        <v>0</v>
      </c>
      <c r="BS89" s="675">
        <v>0</v>
      </c>
      <c r="BT89" s="675">
        <v>0</v>
      </c>
      <c r="BU89" s="675">
        <v>0</v>
      </c>
      <c r="BV89" s="675">
        <v>0</v>
      </c>
      <c r="BW89" s="675">
        <v>0</v>
      </c>
      <c r="BX89" s="675">
        <v>0</v>
      </c>
      <c r="BY89" s="675">
        <v>0</v>
      </c>
      <c r="BZ89" s="675">
        <v>0</v>
      </c>
      <c r="CA89" s="675">
        <v>0</v>
      </c>
      <c r="CB89" s="675">
        <v>0</v>
      </c>
      <c r="CC89" s="675">
        <v>0</v>
      </c>
      <c r="CD89" s="675">
        <v>0</v>
      </c>
      <c r="CE89" s="675">
        <v>0</v>
      </c>
      <c r="CF89" s="675">
        <v>0</v>
      </c>
      <c r="CG89" s="675">
        <v>0</v>
      </c>
      <c r="CH89" s="675">
        <v>368154</v>
      </c>
      <c r="CI89" s="675">
        <v>0</v>
      </c>
      <c r="CJ89" s="675">
        <v>4</v>
      </c>
      <c r="CK89" s="675">
        <v>0</v>
      </c>
      <c r="CL89" s="675">
        <v>0</v>
      </c>
      <c r="CM89" s="675">
        <v>0</v>
      </c>
      <c r="CN89" s="675">
        <v>0</v>
      </c>
      <c r="CO89" s="675">
        <v>1</v>
      </c>
      <c r="CP89" s="675">
        <v>0</v>
      </c>
      <c r="CQ89" s="675">
        <v>0</v>
      </c>
      <c r="CR89" s="675">
        <v>2064.0700000000002</v>
      </c>
      <c r="CS89" s="675">
        <v>0</v>
      </c>
      <c r="CT89" s="675">
        <v>0</v>
      </c>
      <c r="CU89" s="675">
        <v>0</v>
      </c>
      <c r="CV89" s="675">
        <v>0</v>
      </c>
      <c r="CW89" s="675">
        <v>0</v>
      </c>
      <c r="CX89" s="675">
        <v>0</v>
      </c>
      <c r="CY89" s="675">
        <v>0</v>
      </c>
      <c r="CZ89" s="675">
        <v>0</v>
      </c>
      <c r="DA89" s="675">
        <v>0</v>
      </c>
      <c r="DB89" s="675">
        <v>10479150</v>
      </c>
      <c r="DC89" s="675">
        <v>0</v>
      </c>
      <c r="DD89" s="675">
        <v>0</v>
      </c>
      <c r="DE89" s="675">
        <v>3242455</v>
      </c>
      <c r="DF89" s="675">
        <v>3242455</v>
      </c>
      <c r="DG89" s="675">
        <v>526.375</v>
      </c>
      <c r="DH89" s="675">
        <v>0</v>
      </c>
      <c r="DI89" s="675">
        <v>0</v>
      </c>
      <c r="DJ89" s="675">
        <v>0</v>
      </c>
      <c r="DK89" s="675">
        <v>0</v>
      </c>
      <c r="DL89" s="675">
        <v>0</v>
      </c>
      <c r="DM89" s="675">
        <v>579941</v>
      </c>
      <c r="DN89" s="675">
        <v>2160</v>
      </c>
      <c r="DO89" s="675">
        <v>0</v>
      </c>
      <c r="DP89" s="675">
        <v>0</v>
      </c>
      <c r="DQ89" s="675">
        <v>0</v>
      </c>
      <c r="DR89" s="675">
        <v>0</v>
      </c>
      <c r="DS89" s="675">
        <v>0</v>
      </c>
      <c r="DT89" s="675">
        <v>0</v>
      </c>
      <c r="DU89" s="675">
        <v>0</v>
      </c>
      <c r="DV89" s="675">
        <v>0</v>
      </c>
      <c r="DW89" s="675">
        <v>0</v>
      </c>
      <c r="DX89" s="675">
        <v>0</v>
      </c>
      <c r="DY89" s="675">
        <v>0</v>
      </c>
      <c r="DZ89" s="675">
        <v>0</v>
      </c>
      <c r="EA89" s="675">
        <v>0</v>
      </c>
      <c r="EB89" s="675">
        <v>0</v>
      </c>
      <c r="EC89" s="675">
        <v>4.5330000000000004</v>
      </c>
      <c r="ED89" s="675">
        <v>32112</v>
      </c>
      <c r="EE89" s="675">
        <v>0</v>
      </c>
      <c r="EF89" s="675">
        <v>0</v>
      </c>
      <c r="EG89" s="675">
        <v>0</v>
      </c>
      <c r="EH89" s="675">
        <v>537242</v>
      </c>
      <c r="EI89" s="675">
        <v>0</v>
      </c>
      <c r="EJ89" s="675">
        <v>0</v>
      </c>
      <c r="EK89" s="675">
        <v>21.581</v>
      </c>
      <c r="EL89" s="675">
        <v>0</v>
      </c>
      <c r="EM89" s="675">
        <v>5.0339999999999998</v>
      </c>
      <c r="EN89" s="675">
        <v>1.474</v>
      </c>
      <c r="EO89" s="675">
        <v>0</v>
      </c>
      <c r="EP89" s="675">
        <v>0</v>
      </c>
      <c r="EQ89" s="675">
        <v>28.089000000000002</v>
      </c>
      <c r="ER89" s="675">
        <v>0</v>
      </c>
      <c r="ES89" s="675">
        <v>87.215000000000003</v>
      </c>
      <c r="ET89" s="675">
        <v>0</v>
      </c>
      <c r="EU89" s="675">
        <v>0</v>
      </c>
      <c r="EV89" s="675">
        <v>0</v>
      </c>
      <c r="EW89" s="675">
        <v>0</v>
      </c>
      <c r="EX89" s="675">
        <v>0</v>
      </c>
      <c r="EY89" s="675">
        <v>0</v>
      </c>
      <c r="EZ89" s="675">
        <v>19323570</v>
      </c>
      <c r="FA89" s="675">
        <v>0</v>
      </c>
      <c r="FB89" s="675">
        <v>20125837</v>
      </c>
      <c r="FC89" s="675">
        <v>0</v>
      </c>
      <c r="FD89" s="675">
        <v>0</v>
      </c>
      <c r="FE89" s="675">
        <v>2042710</v>
      </c>
      <c r="FF89" s="675">
        <v>422503</v>
      </c>
      <c r="FG89" s="675">
        <v>6.3574999999999993E-2</v>
      </c>
      <c r="FH89" s="675">
        <v>2.6298999999999999E-2</v>
      </c>
      <c r="FI89" s="675">
        <v>0</v>
      </c>
      <c r="FJ89" s="675">
        <v>0</v>
      </c>
      <c r="FK89" s="675">
        <v>3260.0160000000001</v>
      </c>
      <c r="FL89" s="675">
        <v>22959204</v>
      </c>
      <c r="FM89" s="675">
        <v>0</v>
      </c>
      <c r="FN89" s="675">
        <v>0</v>
      </c>
      <c r="FO89" s="675">
        <v>21694</v>
      </c>
      <c r="FP89" s="675">
        <v>16441</v>
      </c>
      <c r="FQ89" s="675">
        <v>38135</v>
      </c>
      <c r="FR89" s="675">
        <v>21694</v>
      </c>
      <c r="FS89" s="675">
        <v>0</v>
      </c>
      <c r="FT89" s="675">
        <v>0</v>
      </c>
      <c r="FU89" s="675">
        <v>0</v>
      </c>
      <c r="FV89" s="675">
        <v>0</v>
      </c>
      <c r="FW89" s="675">
        <v>0</v>
      </c>
      <c r="FX89" s="675">
        <v>0</v>
      </c>
      <c r="FY89" s="675">
        <v>0</v>
      </c>
      <c r="FZ89" s="675">
        <v>0</v>
      </c>
      <c r="GA89" s="675">
        <v>0</v>
      </c>
      <c r="GB89" s="675">
        <v>2707531</v>
      </c>
      <c r="GC89" s="675">
        <v>2707531</v>
      </c>
      <c r="GD89" s="675">
        <v>283.053</v>
      </c>
      <c r="GE89" s="675">
        <v>0</v>
      </c>
      <c r="GF89" s="675">
        <v>0</v>
      </c>
      <c r="GG89" s="675">
        <v>0</v>
      </c>
      <c r="GH89" s="675">
        <v>0</v>
      </c>
      <c r="GI89" s="675">
        <v>0</v>
      </c>
      <c r="GJ89" s="675">
        <v>0</v>
      </c>
      <c r="GK89" s="675">
        <v>0</v>
      </c>
      <c r="GL89" s="675">
        <v>0</v>
      </c>
      <c r="GM89" s="675">
        <v>0</v>
      </c>
      <c r="GN89" s="675">
        <v>0</v>
      </c>
      <c r="GO89" s="675">
        <v>0</v>
      </c>
      <c r="GP89" s="675">
        <v>0</v>
      </c>
      <c r="GQ89" s="675">
        <v>0</v>
      </c>
      <c r="GR89" s="675">
        <v>0</v>
      </c>
      <c r="GS89" s="675">
        <v>0</v>
      </c>
      <c r="GT89" s="675">
        <v>0</v>
      </c>
      <c r="GU89" s="675">
        <v>0</v>
      </c>
      <c r="GV89" s="675">
        <v>0</v>
      </c>
      <c r="GW89" s="675">
        <v>0</v>
      </c>
      <c r="GX89" s="675">
        <v>0</v>
      </c>
      <c r="GY89" s="675">
        <v>0</v>
      </c>
      <c r="GZ89" s="675">
        <v>0</v>
      </c>
      <c r="HA89" s="675">
        <v>0</v>
      </c>
      <c r="HB89" s="675">
        <v>298386780</v>
      </c>
      <c r="HC89" s="675">
        <v>4.5690999999999996E-2</v>
      </c>
      <c r="HD89" s="675">
        <v>368154</v>
      </c>
      <c r="HE89" s="675">
        <v>0</v>
      </c>
      <c r="HF89" s="675">
        <v>1873562</v>
      </c>
      <c r="HG89" s="675">
        <v>14784</v>
      </c>
      <c r="HH89" s="675">
        <v>556172</v>
      </c>
      <c r="HI89" s="675">
        <v>0</v>
      </c>
      <c r="HJ89" s="675">
        <v>19580</v>
      </c>
      <c r="HK89" s="675">
        <v>5688</v>
      </c>
      <c r="HL89" s="675">
        <v>2568</v>
      </c>
      <c r="HM89" s="675">
        <v>66000</v>
      </c>
      <c r="HN89" s="675">
        <v>0</v>
      </c>
      <c r="HO89" s="675">
        <v>0</v>
      </c>
      <c r="HP89" s="675">
        <v>0</v>
      </c>
      <c r="HQ89" s="675">
        <v>0</v>
      </c>
      <c r="HR89" s="675">
        <v>0</v>
      </c>
      <c r="HS89" s="675">
        <v>19321410</v>
      </c>
      <c r="HT89" s="675">
        <v>422503</v>
      </c>
      <c r="HU89" s="675">
        <v>0</v>
      </c>
      <c r="HV89" s="675">
        <v>0</v>
      </c>
      <c r="HW89" s="675">
        <v>0</v>
      </c>
      <c r="HX89" s="675">
        <v>208</v>
      </c>
      <c r="HY89" s="675">
        <v>209</v>
      </c>
      <c r="HZ89" s="675">
        <v>533</v>
      </c>
      <c r="IA89" s="675">
        <v>905</v>
      </c>
      <c r="IB89" s="675">
        <v>215</v>
      </c>
      <c r="IC89" s="675">
        <v>2070</v>
      </c>
      <c r="ID89" s="675">
        <v>0</v>
      </c>
      <c r="IE89" s="675">
        <v>0</v>
      </c>
      <c r="IF89" s="675">
        <v>0</v>
      </c>
      <c r="IG89" s="675">
        <v>24</v>
      </c>
      <c r="IH89" s="675">
        <v>902.88</v>
      </c>
      <c r="II89" s="675">
        <v>0</v>
      </c>
      <c r="IJ89" s="675">
        <v>877.06700000000001</v>
      </c>
      <c r="IK89" s="675">
        <v>0</v>
      </c>
      <c r="IL89" s="675">
        <v>9</v>
      </c>
      <c r="IM89" s="675">
        <v>7</v>
      </c>
      <c r="IN89" s="675">
        <v>0</v>
      </c>
      <c r="IO89" s="675">
        <v>16</v>
      </c>
      <c r="IP89" s="675">
        <v>0</v>
      </c>
      <c r="IQ89" s="675">
        <v>877.06700000000001</v>
      </c>
      <c r="IR89" s="675">
        <v>540271</v>
      </c>
      <c r="IS89" s="675">
        <v>0</v>
      </c>
      <c r="IT89" s="675">
        <v>45000</v>
      </c>
      <c r="IU89" s="675">
        <v>21000</v>
      </c>
      <c r="IV89" s="675">
        <v>0</v>
      </c>
      <c r="IW89" s="675">
        <v>6160</v>
      </c>
      <c r="IX89" s="675">
        <v>0</v>
      </c>
      <c r="IY89" s="675">
        <v>0</v>
      </c>
      <c r="IZ89" s="675">
        <v>0</v>
      </c>
      <c r="JA89" s="675">
        <v>0</v>
      </c>
      <c r="JB89" s="675">
        <v>0</v>
      </c>
      <c r="JC89" s="675">
        <v>0</v>
      </c>
      <c r="JD89" s="675">
        <v>0</v>
      </c>
      <c r="JE89" s="675">
        <v>0</v>
      </c>
      <c r="JF89" s="675">
        <v>0</v>
      </c>
      <c r="JG89" s="675">
        <v>0</v>
      </c>
      <c r="JH89" s="675">
        <v>0</v>
      </c>
      <c r="JI89" s="675">
        <v>0</v>
      </c>
      <c r="JJ89" s="675">
        <v>0</v>
      </c>
      <c r="JK89" s="675">
        <v>0</v>
      </c>
      <c r="JL89" s="675">
        <v>0</v>
      </c>
      <c r="JM89" s="675">
        <v>0</v>
      </c>
      <c r="JN89" s="675">
        <v>32469</v>
      </c>
      <c r="JO89" s="675">
        <v>14.452</v>
      </c>
      <c r="JP89" s="675">
        <v>198.96100000000001</v>
      </c>
      <c r="JQ89" s="675">
        <v>69.64</v>
      </c>
      <c r="JR89" s="675">
        <v>115414</v>
      </c>
      <c r="JS89" s="675">
        <v>1848905</v>
      </c>
      <c r="JT89" s="675">
        <v>743212</v>
      </c>
      <c r="JU89" s="675">
        <v>0</v>
      </c>
      <c r="JV89" s="675">
        <v>0</v>
      </c>
      <c r="JW89" s="675">
        <v>0</v>
      </c>
      <c r="JX89" s="675">
        <v>0</v>
      </c>
      <c r="JY89" s="675">
        <v>0</v>
      </c>
      <c r="JZ89" s="675">
        <v>0</v>
      </c>
      <c r="KA89" s="675">
        <v>0</v>
      </c>
      <c r="KB89" s="675">
        <v>0</v>
      </c>
      <c r="KC89" s="675">
        <v>0</v>
      </c>
      <c r="KD89" s="675">
        <v>0</v>
      </c>
      <c r="KE89" s="675">
        <v>7260</v>
      </c>
      <c r="KF89" s="675">
        <v>0</v>
      </c>
      <c r="KG89" s="675">
        <v>0</v>
      </c>
      <c r="KH89" s="675">
        <v>0</v>
      </c>
      <c r="KI89" s="675">
        <v>0</v>
      </c>
    </row>
    <row r="90" spans="1:295" ht="12.5" x14ac:dyDescent="0.25">
      <c r="A90" s="675">
        <v>35795</v>
      </c>
      <c r="B90" s="675">
        <v>161807</v>
      </c>
      <c r="C90" s="675">
        <v>9</v>
      </c>
      <c r="D90" s="675">
        <v>2022</v>
      </c>
      <c r="E90" s="675">
        <v>6160</v>
      </c>
      <c r="F90" s="675">
        <v>0</v>
      </c>
      <c r="G90" s="675">
        <v>9049.2569999999996</v>
      </c>
      <c r="H90" s="675">
        <v>8144.9110000000001</v>
      </c>
      <c r="I90" s="675">
        <v>8144.9110000000001</v>
      </c>
      <c r="J90" s="675">
        <v>9049.2569999999996</v>
      </c>
      <c r="K90" s="675">
        <v>0</v>
      </c>
      <c r="L90" s="675">
        <v>6160</v>
      </c>
      <c r="M90" s="675">
        <v>0</v>
      </c>
      <c r="N90" s="675">
        <v>0</v>
      </c>
      <c r="O90" s="675">
        <v>0</v>
      </c>
      <c r="P90" s="675">
        <v>9435.7610000000004</v>
      </c>
      <c r="Q90" s="675">
        <v>0</v>
      </c>
      <c r="R90" s="675">
        <v>3797214</v>
      </c>
      <c r="S90" s="675">
        <v>402.428</v>
      </c>
      <c r="T90" s="675">
        <v>0</v>
      </c>
      <c r="U90" s="675">
        <v>2019263</v>
      </c>
      <c r="V90" s="675">
        <v>2648.3490000000002</v>
      </c>
      <c r="W90" s="675">
        <v>1631375</v>
      </c>
      <c r="X90" s="675">
        <v>1631375</v>
      </c>
      <c r="Y90" s="675">
        <v>0</v>
      </c>
      <c r="Z90" s="675">
        <v>0</v>
      </c>
      <c r="AA90" s="675">
        <v>0</v>
      </c>
      <c r="AB90" s="675">
        <v>0</v>
      </c>
      <c r="AC90" s="675">
        <v>0</v>
      </c>
      <c r="AD90" s="675" t="s">
        <v>316</v>
      </c>
      <c r="AE90" s="675">
        <v>0</v>
      </c>
      <c r="AF90" s="675">
        <v>0</v>
      </c>
      <c r="AG90" s="675">
        <v>0</v>
      </c>
      <c r="AH90" s="675">
        <v>0</v>
      </c>
      <c r="AI90" s="675">
        <v>0</v>
      </c>
      <c r="AJ90" s="675">
        <v>6160</v>
      </c>
      <c r="AK90" s="675" t="s">
        <v>671</v>
      </c>
      <c r="AL90" s="675" t="s">
        <v>901</v>
      </c>
      <c r="AM90" s="675">
        <v>0</v>
      </c>
      <c r="AN90" s="675">
        <v>0</v>
      </c>
      <c r="AO90" s="675">
        <v>0</v>
      </c>
      <c r="AP90" s="675">
        <v>0</v>
      </c>
      <c r="AQ90" s="675">
        <v>0</v>
      </c>
      <c r="AR90" s="675">
        <v>0</v>
      </c>
      <c r="AS90" s="675">
        <v>0</v>
      </c>
      <c r="AT90" s="675">
        <v>0</v>
      </c>
      <c r="AU90" s="675">
        <v>0</v>
      </c>
      <c r="AV90" s="675">
        <v>-73302</v>
      </c>
      <c r="AW90" s="675">
        <v>96626301</v>
      </c>
      <c r="AX90" s="675">
        <v>95001638</v>
      </c>
      <c r="AY90" s="675">
        <v>64522232</v>
      </c>
      <c r="AZ90" s="675">
        <v>3797214</v>
      </c>
      <c r="BA90" s="675">
        <v>0</v>
      </c>
      <c r="BB90" s="675">
        <v>195101</v>
      </c>
      <c r="BC90" s="675">
        <v>193842</v>
      </c>
      <c r="BD90" s="675">
        <v>452.46300000000002</v>
      </c>
      <c r="BE90" s="675">
        <v>1259</v>
      </c>
      <c r="BF90" s="675">
        <v>87951019</v>
      </c>
      <c r="BG90" s="675">
        <v>0</v>
      </c>
      <c r="BH90" s="675">
        <v>0</v>
      </c>
      <c r="BI90" s="675">
        <v>0</v>
      </c>
      <c r="BJ90" s="675">
        <v>12</v>
      </c>
      <c r="BK90" s="675">
        <v>0</v>
      </c>
      <c r="BL90" s="675">
        <v>0</v>
      </c>
      <c r="BM90" s="675">
        <v>0</v>
      </c>
      <c r="BN90" s="675">
        <v>0</v>
      </c>
      <c r="BO90" s="675">
        <v>0</v>
      </c>
      <c r="BP90" s="675">
        <v>0</v>
      </c>
      <c r="BQ90" s="675">
        <v>0</v>
      </c>
      <c r="BR90" s="675">
        <v>0</v>
      </c>
      <c r="BS90" s="675">
        <v>0</v>
      </c>
      <c r="BT90" s="675">
        <v>0</v>
      </c>
      <c r="BU90" s="675">
        <v>0</v>
      </c>
      <c r="BV90" s="675">
        <v>0</v>
      </c>
      <c r="BW90" s="675">
        <v>0</v>
      </c>
      <c r="BX90" s="675">
        <v>0</v>
      </c>
      <c r="BY90" s="675">
        <v>0</v>
      </c>
      <c r="BZ90" s="675">
        <v>0</v>
      </c>
      <c r="CA90" s="675">
        <v>0</v>
      </c>
      <c r="CB90" s="675">
        <v>0</v>
      </c>
      <c r="CC90" s="675">
        <v>0</v>
      </c>
      <c r="CD90" s="675">
        <v>0</v>
      </c>
      <c r="CE90" s="675">
        <v>0</v>
      </c>
      <c r="CF90" s="675">
        <v>0</v>
      </c>
      <c r="CG90" s="675">
        <v>0</v>
      </c>
      <c r="CH90" s="675">
        <v>1653867</v>
      </c>
      <c r="CI90" s="675">
        <v>0</v>
      </c>
      <c r="CJ90" s="675">
        <v>4</v>
      </c>
      <c r="CK90" s="675">
        <v>0</v>
      </c>
      <c r="CL90" s="675">
        <v>0</v>
      </c>
      <c r="CM90" s="675">
        <v>0</v>
      </c>
      <c r="CN90" s="675">
        <v>0</v>
      </c>
      <c r="CO90" s="675">
        <v>1</v>
      </c>
      <c r="CP90" s="675">
        <v>0</v>
      </c>
      <c r="CQ90" s="675">
        <v>0</v>
      </c>
      <c r="CR90" s="675">
        <v>9538.2240000000002</v>
      </c>
      <c r="CS90" s="675">
        <v>0</v>
      </c>
      <c r="CT90" s="675">
        <v>0</v>
      </c>
      <c r="CU90" s="675">
        <v>0</v>
      </c>
      <c r="CV90" s="675">
        <v>0</v>
      </c>
      <c r="CW90" s="675">
        <v>0</v>
      </c>
      <c r="CX90" s="675">
        <v>0</v>
      </c>
      <c r="CY90" s="675">
        <v>0</v>
      </c>
      <c r="CZ90" s="675">
        <v>0</v>
      </c>
      <c r="DA90" s="675">
        <v>0</v>
      </c>
      <c r="DB90" s="675">
        <v>50172419</v>
      </c>
      <c r="DC90" s="675">
        <v>0</v>
      </c>
      <c r="DD90" s="675">
        <v>0</v>
      </c>
      <c r="DE90" s="675">
        <v>10125761</v>
      </c>
      <c r="DF90" s="675">
        <v>10125761</v>
      </c>
      <c r="DG90" s="675">
        <v>1643.8</v>
      </c>
      <c r="DH90" s="675">
        <v>0</v>
      </c>
      <c r="DI90" s="675">
        <v>0</v>
      </c>
      <c r="DJ90" s="675">
        <v>0</v>
      </c>
      <c r="DK90" s="675">
        <v>0</v>
      </c>
      <c r="DL90" s="675">
        <v>0</v>
      </c>
      <c r="DM90" s="675">
        <v>7336452</v>
      </c>
      <c r="DN90" s="675">
        <v>27944</v>
      </c>
      <c r="DO90" s="675">
        <v>0</v>
      </c>
      <c r="DP90" s="675">
        <v>0</v>
      </c>
      <c r="DQ90" s="675">
        <v>0</v>
      </c>
      <c r="DR90" s="675">
        <v>0</v>
      </c>
      <c r="DS90" s="675">
        <v>0</v>
      </c>
      <c r="DT90" s="675">
        <v>0</v>
      </c>
      <c r="DU90" s="675">
        <v>0</v>
      </c>
      <c r="DV90" s="675">
        <v>0</v>
      </c>
      <c r="DW90" s="675">
        <v>0</v>
      </c>
      <c r="DX90" s="675">
        <v>0</v>
      </c>
      <c r="DY90" s="675">
        <v>0</v>
      </c>
      <c r="DZ90" s="675">
        <v>0</v>
      </c>
      <c r="EA90" s="675">
        <v>0.42300000000000004</v>
      </c>
      <c r="EB90" s="675">
        <v>0</v>
      </c>
      <c r="EC90" s="675">
        <v>145.434</v>
      </c>
      <c r="ED90" s="675">
        <v>1030250</v>
      </c>
      <c r="EE90" s="675">
        <v>0</v>
      </c>
      <c r="EF90" s="675">
        <v>0</v>
      </c>
      <c r="EG90" s="675">
        <v>0</v>
      </c>
      <c r="EH90" s="675">
        <v>6334146</v>
      </c>
      <c r="EI90" s="675">
        <v>0</v>
      </c>
      <c r="EJ90" s="675">
        <v>0</v>
      </c>
      <c r="EK90" s="675">
        <v>275.48200000000003</v>
      </c>
      <c r="EL90" s="675">
        <v>0</v>
      </c>
      <c r="EM90" s="675">
        <v>36.882000000000005</v>
      </c>
      <c r="EN90" s="675">
        <v>17.62</v>
      </c>
      <c r="EO90" s="675">
        <v>0</v>
      </c>
      <c r="EP90" s="675">
        <v>0</v>
      </c>
      <c r="EQ90" s="675">
        <v>330.82800000000003</v>
      </c>
      <c r="ER90" s="675">
        <v>0.42100000000000004</v>
      </c>
      <c r="ES90" s="675">
        <v>1028.2750000000001</v>
      </c>
      <c r="ET90" s="675">
        <v>0</v>
      </c>
      <c r="EU90" s="675">
        <v>0</v>
      </c>
      <c r="EV90" s="675">
        <v>0</v>
      </c>
      <c r="EW90" s="675">
        <v>0</v>
      </c>
      <c r="EX90" s="675">
        <v>0</v>
      </c>
      <c r="EY90" s="675">
        <v>0</v>
      </c>
      <c r="EZ90" s="675">
        <v>84204791</v>
      </c>
      <c r="FA90" s="675">
        <v>0</v>
      </c>
      <c r="FB90" s="675">
        <v>87972801</v>
      </c>
      <c r="FC90" s="675">
        <v>0</v>
      </c>
      <c r="FD90" s="675">
        <v>0</v>
      </c>
      <c r="FE90" s="675">
        <v>8946419</v>
      </c>
      <c r="FF90" s="675">
        <v>1850428</v>
      </c>
      <c r="FG90" s="675">
        <v>6.3574999999999993E-2</v>
      </c>
      <c r="FH90" s="675">
        <v>2.6298999999999999E-2</v>
      </c>
      <c r="FI90" s="675">
        <v>0</v>
      </c>
      <c r="FJ90" s="675">
        <v>0</v>
      </c>
      <c r="FK90" s="675">
        <v>14277.829000000002</v>
      </c>
      <c r="FL90" s="675">
        <v>100423515</v>
      </c>
      <c r="FM90" s="675">
        <v>0</v>
      </c>
      <c r="FN90" s="675">
        <v>0</v>
      </c>
      <c r="FO90" s="675">
        <v>0</v>
      </c>
      <c r="FP90" s="675">
        <v>0</v>
      </c>
      <c r="FQ90" s="675">
        <v>0</v>
      </c>
      <c r="FR90" s="675">
        <v>0</v>
      </c>
      <c r="FS90" s="675">
        <v>0</v>
      </c>
      <c r="FT90" s="675">
        <v>0</v>
      </c>
      <c r="FU90" s="675">
        <v>0</v>
      </c>
      <c r="FV90" s="675">
        <v>0</v>
      </c>
      <c r="FW90" s="675">
        <v>0</v>
      </c>
      <c r="FX90" s="675">
        <v>0</v>
      </c>
      <c r="FY90" s="675">
        <v>0</v>
      </c>
      <c r="FZ90" s="675">
        <v>0</v>
      </c>
      <c r="GA90" s="675">
        <v>0</v>
      </c>
      <c r="GB90" s="675">
        <v>5591139</v>
      </c>
      <c r="GC90" s="675">
        <v>5591139</v>
      </c>
      <c r="GD90" s="675">
        <v>573.51800000000003</v>
      </c>
      <c r="GE90" s="675">
        <v>0</v>
      </c>
      <c r="GF90" s="675">
        <v>0</v>
      </c>
      <c r="GG90" s="675">
        <v>0</v>
      </c>
      <c r="GH90" s="675">
        <v>0</v>
      </c>
      <c r="GI90" s="675">
        <v>0</v>
      </c>
      <c r="GJ90" s="675">
        <v>0</v>
      </c>
      <c r="GK90" s="675">
        <v>0</v>
      </c>
      <c r="GL90" s="675">
        <v>0</v>
      </c>
      <c r="GM90" s="675">
        <v>0</v>
      </c>
      <c r="GN90" s="675">
        <v>0</v>
      </c>
      <c r="GO90" s="675">
        <v>0</v>
      </c>
      <c r="GP90" s="675">
        <v>0</v>
      </c>
      <c r="GQ90" s="675">
        <v>0</v>
      </c>
      <c r="GR90" s="675">
        <v>0</v>
      </c>
      <c r="GS90" s="675">
        <v>0</v>
      </c>
      <c r="GT90" s="675">
        <v>0</v>
      </c>
      <c r="GU90" s="675">
        <v>0</v>
      </c>
      <c r="GV90" s="675">
        <v>0</v>
      </c>
      <c r="GW90" s="675">
        <v>0</v>
      </c>
      <c r="GX90" s="675">
        <v>0</v>
      </c>
      <c r="GY90" s="675">
        <v>0</v>
      </c>
      <c r="GZ90" s="675">
        <v>0</v>
      </c>
      <c r="HA90" s="675">
        <v>0</v>
      </c>
      <c r="HB90" s="675">
        <v>298386780</v>
      </c>
      <c r="HC90" s="675">
        <v>4.5690999999999996E-2</v>
      </c>
      <c r="HD90" s="675">
        <v>1653867</v>
      </c>
      <c r="HE90" s="675">
        <v>0</v>
      </c>
      <c r="HF90" s="675">
        <v>8959402</v>
      </c>
      <c r="HG90" s="675">
        <v>159543</v>
      </c>
      <c r="HH90" s="675">
        <v>1555185</v>
      </c>
      <c r="HI90" s="675">
        <v>0</v>
      </c>
      <c r="HJ90" s="675">
        <v>87959</v>
      </c>
      <c r="HK90" s="675">
        <v>31662</v>
      </c>
      <c r="HL90" s="675">
        <v>19324</v>
      </c>
      <c r="HM90" s="675">
        <v>772000</v>
      </c>
      <c r="HN90" s="675">
        <v>1336739</v>
      </c>
      <c r="HO90" s="675">
        <v>0</v>
      </c>
      <c r="HP90" s="675">
        <v>0</v>
      </c>
      <c r="HQ90" s="675">
        <v>0</v>
      </c>
      <c r="HR90" s="675">
        <v>0</v>
      </c>
      <c r="HS90" s="675">
        <v>84175587</v>
      </c>
      <c r="HT90" s="675">
        <v>1850428</v>
      </c>
      <c r="HU90" s="675">
        <v>0</v>
      </c>
      <c r="HV90" s="675">
        <v>0</v>
      </c>
      <c r="HW90" s="675">
        <v>0</v>
      </c>
      <c r="HX90" s="675">
        <v>1266</v>
      </c>
      <c r="HY90" s="675">
        <v>1371</v>
      </c>
      <c r="HZ90" s="675">
        <v>1025</v>
      </c>
      <c r="IA90" s="675">
        <v>1765</v>
      </c>
      <c r="IB90" s="675">
        <v>1141</v>
      </c>
      <c r="IC90" s="675">
        <v>6568</v>
      </c>
      <c r="ID90" s="675">
        <v>0</v>
      </c>
      <c r="IE90" s="675">
        <v>0</v>
      </c>
      <c r="IF90" s="675">
        <v>0</v>
      </c>
      <c r="IG90" s="675">
        <v>259</v>
      </c>
      <c r="IH90" s="675">
        <v>2524.663</v>
      </c>
      <c r="II90" s="675">
        <v>0</v>
      </c>
      <c r="IJ90" s="675">
        <v>2648.3490000000002</v>
      </c>
      <c r="IK90" s="675">
        <v>0</v>
      </c>
      <c r="IL90" s="675">
        <v>116</v>
      </c>
      <c r="IM90" s="675">
        <v>62</v>
      </c>
      <c r="IN90" s="675">
        <v>3</v>
      </c>
      <c r="IO90" s="675">
        <v>181</v>
      </c>
      <c r="IP90" s="675">
        <v>0</v>
      </c>
      <c r="IQ90" s="675">
        <v>2648.3490000000002</v>
      </c>
      <c r="IR90" s="675">
        <v>1631375</v>
      </c>
      <c r="IS90" s="675">
        <v>0</v>
      </c>
      <c r="IT90" s="675">
        <v>580000</v>
      </c>
      <c r="IU90" s="675">
        <v>186000</v>
      </c>
      <c r="IV90" s="675">
        <v>6000</v>
      </c>
      <c r="IW90" s="675">
        <v>6160</v>
      </c>
      <c r="IX90" s="675">
        <v>0</v>
      </c>
      <c r="IY90" s="675">
        <v>0</v>
      </c>
      <c r="IZ90" s="675">
        <v>0</v>
      </c>
      <c r="JA90" s="675">
        <v>0</v>
      </c>
      <c r="JB90" s="675">
        <v>20</v>
      </c>
      <c r="JC90" s="675">
        <v>373384</v>
      </c>
      <c r="JD90" s="675">
        <v>64</v>
      </c>
      <c r="JE90" s="675">
        <v>621868</v>
      </c>
      <c r="JF90" s="675">
        <v>61</v>
      </c>
      <c r="JG90" s="675">
        <v>302987</v>
      </c>
      <c r="JH90" s="675">
        <v>38500</v>
      </c>
      <c r="JI90" s="675">
        <v>0</v>
      </c>
      <c r="JJ90" s="675">
        <v>0</v>
      </c>
      <c r="JK90" s="675">
        <v>0</v>
      </c>
      <c r="JL90" s="675">
        <v>0</v>
      </c>
      <c r="JM90" s="675">
        <v>0</v>
      </c>
      <c r="JN90" s="675">
        <v>32469</v>
      </c>
      <c r="JO90" s="675">
        <v>45.24</v>
      </c>
      <c r="JP90" s="675">
        <v>295.80700000000002</v>
      </c>
      <c r="JQ90" s="675">
        <v>232.471</v>
      </c>
      <c r="JR90" s="675">
        <v>361287</v>
      </c>
      <c r="JS90" s="675">
        <v>2748875</v>
      </c>
      <c r="JT90" s="675">
        <v>2480977</v>
      </c>
      <c r="JU90" s="675">
        <v>195101</v>
      </c>
      <c r="JV90" s="675">
        <v>0</v>
      </c>
      <c r="JW90" s="675">
        <v>0</v>
      </c>
      <c r="JX90" s="675">
        <v>0</v>
      </c>
      <c r="JY90" s="675">
        <v>0</v>
      </c>
      <c r="JZ90" s="675">
        <v>0</v>
      </c>
      <c r="KA90" s="675">
        <v>0</v>
      </c>
      <c r="KB90" s="675">
        <v>0</v>
      </c>
      <c r="KC90" s="675">
        <v>0</v>
      </c>
      <c r="KD90" s="675">
        <v>195101</v>
      </c>
      <c r="KE90" s="675">
        <v>7260</v>
      </c>
      <c r="KF90" s="675">
        <v>0</v>
      </c>
      <c r="KG90" s="675">
        <v>0</v>
      </c>
      <c r="KH90" s="675">
        <v>0</v>
      </c>
      <c r="KI90" s="675">
        <v>0</v>
      </c>
    </row>
    <row r="91" spans="1:295" ht="12.5" x14ac:dyDescent="0.25">
      <c r="A91" s="675">
        <v>35795</v>
      </c>
      <c r="B91" s="675">
        <v>178807</v>
      </c>
      <c r="C91" s="675">
        <v>9</v>
      </c>
      <c r="D91" s="675">
        <v>2022</v>
      </c>
      <c r="E91" s="675">
        <v>6160</v>
      </c>
      <c r="F91" s="675">
        <v>0</v>
      </c>
      <c r="G91" s="675">
        <v>109.93</v>
      </c>
      <c r="H91" s="675">
        <v>106.396</v>
      </c>
      <c r="I91" s="675">
        <v>106.396</v>
      </c>
      <c r="J91" s="675">
        <v>109.93</v>
      </c>
      <c r="K91" s="675">
        <v>0</v>
      </c>
      <c r="L91" s="675">
        <v>6160</v>
      </c>
      <c r="M91" s="675">
        <v>0</v>
      </c>
      <c r="N91" s="675">
        <v>0</v>
      </c>
      <c r="O91" s="675">
        <v>0</v>
      </c>
      <c r="P91" s="675">
        <v>109.02800000000001</v>
      </c>
      <c r="Q91" s="675">
        <v>0</v>
      </c>
      <c r="R91" s="675">
        <v>43876</v>
      </c>
      <c r="S91" s="675">
        <v>402.428</v>
      </c>
      <c r="T91" s="675">
        <v>0</v>
      </c>
      <c r="U91" s="675">
        <v>23332</v>
      </c>
      <c r="V91" s="675">
        <v>4.548</v>
      </c>
      <c r="W91" s="675">
        <v>2802</v>
      </c>
      <c r="X91" s="675">
        <v>2802</v>
      </c>
      <c r="Y91" s="675">
        <v>0</v>
      </c>
      <c r="Z91" s="675">
        <v>0</v>
      </c>
      <c r="AA91" s="675">
        <v>0</v>
      </c>
      <c r="AB91" s="675">
        <v>0</v>
      </c>
      <c r="AC91" s="675">
        <v>0</v>
      </c>
      <c r="AD91" s="675" t="s">
        <v>316</v>
      </c>
      <c r="AE91" s="675">
        <v>0</v>
      </c>
      <c r="AF91" s="675">
        <v>0</v>
      </c>
      <c r="AG91" s="675">
        <v>0</v>
      </c>
      <c r="AH91" s="675">
        <v>0</v>
      </c>
      <c r="AI91" s="675">
        <v>0</v>
      </c>
      <c r="AJ91" s="675">
        <v>6160</v>
      </c>
      <c r="AK91" s="675" t="s">
        <v>671</v>
      </c>
      <c r="AL91" s="675" t="s">
        <v>69</v>
      </c>
      <c r="AM91" s="675">
        <v>0</v>
      </c>
      <c r="AN91" s="675">
        <v>0</v>
      </c>
      <c r="AO91" s="675">
        <v>0</v>
      </c>
      <c r="AP91" s="675">
        <v>0</v>
      </c>
      <c r="AQ91" s="675">
        <v>0</v>
      </c>
      <c r="AR91" s="675">
        <v>0</v>
      </c>
      <c r="AS91" s="675">
        <v>0</v>
      </c>
      <c r="AT91" s="675">
        <v>0</v>
      </c>
      <c r="AU91" s="675">
        <v>0</v>
      </c>
      <c r="AV91" s="675">
        <v>-732</v>
      </c>
      <c r="AW91" s="675">
        <v>975155</v>
      </c>
      <c r="AX91" s="675">
        <v>955324</v>
      </c>
      <c r="AY91" s="675">
        <v>659013</v>
      </c>
      <c r="AZ91" s="675">
        <v>43876</v>
      </c>
      <c r="BA91" s="675">
        <v>0</v>
      </c>
      <c r="BB91" s="675">
        <v>0</v>
      </c>
      <c r="BC91" s="675">
        <v>0</v>
      </c>
      <c r="BD91" s="675">
        <v>0</v>
      </c>
      <c r="BE91" s="675">
        <v>0</v>
      </c>
      <c r="BF91" s="675">
        <v>889950</v>
      </c>
      <c r="BG91" s="675">
        <v>0</v>
      </c>
      <c r="BH91" s="675">
        <v>0</v>
      </c>
      <c r="BI91" s="675">
        <v>0</v>
      </c>
      <c r="BJ91" s="675">
        <v>12</v>
      </c>
      <c r="BK91" s="675">
        <v>0</v>
      </c>
      <c r="BL91" s="675">
        <v>0</v>
      </c>
      <c r="BM91" s="675">
        <v>0</v>
      </c>
      <c r="BN91" s="675">
        <v>0</v>
      </c>
      <c r="BO91" s="675">
        <v>0</v>
      </c>
      <c r="BP91" s="675">
        <v>0</v>
      </c>
      <c r="BQ91" s="675">
        <v>754</v>
      </c>
      <c r="BR91" s="675">
        <v>0</v>
      </c>
      <c r="BS91" s="675">
        <v>0</v>
      </c>
      <c r="BT91" s="675">
        <v>0</v>
      </c>
      <c r="BU91" s="675">
        <v>0</v>
      </c>
      <c r="BV91" s="675">
        <v>0</v>
      </c>
      <c r="BW91" s="675">
        <v>0</v>
      </c>
      <c r="BX91" s="675">
        <v>0</v>
      </c>
      <c r="BY91" s="675">
        <v>0</v>
      </c>
      <c r="BZ91" s="675">
        <v>0</v>
      </c>
      <c r="CA91" s="675">
        <v>0</v>
      </c>
      <c r="CB91" s="675">
        <v>0</v>
      </c>
      <c r="CC91" s="675">
        <v>0</v>
      </c>
      <c r="CD91" s="675">
        <v>0</v>
      </c>
      <c r="CE91" s="675">
        <v>0</v>
      </c>
      <c r="CF91" s="675">
        <v>0</v>
      </c>
      <c r="CG91" s="675">
        <v>0</v>
      </c>
      <c r="CH91" s="675">
        <v>20091</v>
      </c>
      <c r="CI91" s="675">
        <v>0</v>
      </c>
      <c r="CJ91" s="675">
        <v>4</v>
      </c>
      <c r="CK91" s="675">
        <v>0</v>
      </c>
      <c r="CL91" s="675">
        <v>0</v>
      </c>
      <c r="CM91" s="675">
        <v>0</v>
      </c>
      <c r="CN91" s="675">
        <v>0</v>
      </c>
      <c r="CO91" s="675">
        <v>1</v>
      </c>
      <c r="CP91" s="675">
        <v>0</v>
      </c>
      <c r="CQ91" s="675">
        <v>0</v>
      </c>
      <c r="CR91" s="675">
        <v>126.53</v>
      </c>
      <c r="CS91" s="675">
        <v>0</v>
      </c>
      <c r="CT91" s="675">
        <v>0</v>
      </c>
      <c r="CU91" s="675">
        <v>0</v>
      </c>
      <c r="CV91" s="675">
        <v>0</v>
      </c>
      <c r="CW91" s="675">
        <v>0</v>
      </c>
      <c r="CX91" s="675">
        <v>0</v>
      </c>
      <c r="CY91" s="675">
        <v>0</v>
      </c>
      <c r="CZ91" s="675">
        <v>0</v>
      </c>
      <c r="DA91" s="675">
        <v>0</v>
      </c>
      <c r="DB91" s="675">
        <v>631292</v>
      </c>
      <c r="DC91" s="675">
        <v>0</v>
      </c>
      <c r="DD91" s="675">
        <v>0</v>
      </c>
      <c r="DE91" s="675">
        <v>36729</v>
      </c>
      <c r="DF91" s="675">
        <v>36729</v>
      </c>
      <c r="DG91" s="675">
        <v>5.9630000000000001</v>
      </c>
      <c r="DH91" s="675">
        <v>0</v>
      </c>
      <c r="DI91" s="675">
        <v>0</v>
      </c>
      <c r="DJ91" s="675">
        <v>0</v>
      </c>
      <c r="DK91" s="675">
        <v>3680</v>
      </c>
      <c r="DL91" s="675">
        <v>0</v>
      </c>
      <c r="DM91" s="675">
        <v>92257</v>
      </c>
      <c r="DN91" s="675">
        <v>260</v>
      </c>
      <c r="DO91" s="675">
        <v>0</v>
      </c>
      <c r="DP91" s="675">
        <v>0</v>
      </c>
      <c r="DQ91" s="675">
        <v>0</v>
      </c>
      <c r="DR91" s="675">
        <v>0</v>
      </c>
      <c r="DS91" s="675">
        <v>0</v>
      </c>
      <c r="DT91" s="675">
        <v>0</v>
      </c>
      <c r="DU91" s="675">
        <v>0</v>
      </c>
      <c r="DV91" s="675">
        <v>0</v>
      </c>
      <c r="DW91" s="675">
        <v>0</v>
      </c>
      <c r="DX91" s="675">
        <v>0</v>
      </c>
      <c r="DY91" s="675">
        <v>0</v>
      </c>
      <c r="DZ91" s="675">
        <v>0</v>
      </c>
      <c r="EA91" s="675">
        <v>0</v>
      </c>
      <c r="EB91" s="675">
        <v>0</v>
      </c>
      <c r="EC91" s="675">
        <v>0</v>
      </c>
      <c r="ED91" s="675">
        <v>0</v>
      </c>
      <c r="EE91" s="675">
        <v>0</v>
      </c>
      <c r="EF91" s="675">
        <v>0</v>
      </c>
      <c r="EG91" s="675">
        <v>0</v>
      </c>
      <c r="EH91" s="675">
        <v>68413</v>
      </c>
      <c r="EI91" s="675">
        <v>0</v>
      </c>
      <c r="EJ91" s="675">
        <v>0</v>
      </c>
      <c r="EK91" s="675">
        <v>3.282</v>
      </c>
      <c r="EL91" s="675">
        <v>0</v>
      </c>
      <c r="EM91" s="675">
        <v>0</v>
      </c>
      <c r="EN91" s="675">
        <v>0.252</v>
      </c>
      <c r="EO91" s="675">
        <v>0</v>
      </c>
      <c r="EP91" s="675">
        <v>0</v>
      </c>
      <c r="EQ91" s="675">
        <v>3.5340000000000003</v>
      </c>
      <c r="ER91" s="675">
        <v>0</v>
      </c>
      <c r="ES91" s="675">
        <v>11.106</v>
      </c>
      <c r="ET91" s="675">
        <v>0</v>
      </c>
      <c r="EU91" s="675">
        <v>0</v>
      </c>
      <c r="EV91" s="675">
        <v>0</v>
      </c>
      <c r="EW91" s="675">
        <v>0</v>
      </c>
      <c r="EX91" s="675">
        <v>0</v>
      </c>
      <c r="EY91" s="675">
        <v>0</v>
      </c>
      <c r="EZ91" s="675">
        <v>846074</v>
      </c>
      <c r="FA91" s="675">
        <v>0</v>
      </c>
      <c r="FB91" s="675">
        <v>889690</v>
      </c>
      <c r="FC91" s="675">
        <v>0</v>
      </c>
      <c r="FD91" s="675">
        <v>0</v>
      </c>
      <c r="FE91" s="675">
        <v>90526</v>
      </c>
      <c r="FF91" s="675">
        <v>18724</v>
      </c>
      <c r="FG91" s="675">
        <v>6.3574999999999993E-2</v>
      </c>
      <c r="FH91" s="675">
        <v>2.6298999999999999E-2</v>
      </c>
      <c r="FI91" s="675">
        <v>0</v>
      </c>
      <c r="FJ91" s="675">
        <v>0</v>
      </c>
      <c r="FK91" s="675">
        <v>144.47300000000001</v>
      </c>
      <c r="FL91" s="675">
        <v>1019031</v>
      </c>
      <c r="FM91" s="675">
        <v>0</v>
      </c>
      <c r="FN91" s="675">
        <v>0</v>
      </c>
      <c r="FO91" s="675">
        <v>0</v>
      </c>
      <c r="FP91" s="675">
        <v>0</v>
      </c>
      <c r="FQ91" s="675">
        <v>0</v>
      </c>
      <c r="FR91" s="675">
        <v>0</v>
      </c>
      <c r="FS91" s="675">
        <v>0</v>
      </c>
      <c r="FT91" s="675">
        <v>0</v>
      </c>
      <c r="FU91" s="675">
        <v>0</v>
      </c>
      <c r="FV91" s="675">
        <v>0</v>
      </c>
      <c r="FW91" s="675">
        <v>0</v>
      </c>
      <c r="FX91" s="675">
        <v>0</v>
      </c>
      <c r="FY91" s="675">
        <v>0</v>
      </c>
      <c r="FZ91" s="675">
        <v>0</v>
      </c>
      <c r="GA91" s="675">
        <v>0</v>
      </c>
      <c r="GB91" s="675">
        <v>0</v>
      </c>
      <c r="GC91" s="675">
        <v>0</v>
      </c>
      <c r="GD91" s="675">
        <v>0</v>
      </c>
      <c r="GE91" s="675">
        <v>0</v>
      </c>
      <c r="GF91" s="675">
        <v>0</v>
      </c>
      <c r="GG91" s="675">
        <v>0</v>
      </c>
      <c r="GH91" s="675">
        <v>0</v>
      </c>
      <c r="GI91" s="675">
        <v>0</v>
      </c>
      <c r="GJ91" s="675">
        <v>0</v>
      </c>
      <c r="GK91" s="675">
        <v>0</v>
      </c>
      <c r="GL91" s="675">
        <v>0</v>
      </c>
      <c r="GM91" s="675">
        <v>0</v>
      </c>
      <c r="GN91" s="675">
        <v>0</v>
      </c>
      <c r="GO91" s="675">
        <v>0</v>
      </c>
      <c r="GP91" s="675">
        <v>0</v>
      </c>
      <c r="GQ91" s="675">
        <v>0</v>
      </c>
      <c r="GR91" s="675">
        <v>0</v>
      </c>
      <c r="GS91" s="675">
        <v>0</v>
      </c>
      <c r="GT91" s="675">
        <v>0</v>
      </c>
      <c r="GU91" s="675">
        <v>0</v>
      </c>
      <c r="GV91" s="675">
        <v>0</v>
      </c>
      <c r="GW91" s="675">
        <v>0</v>
      </c>
      <c r="GX91" s="675">
        <v>0</v>
      </c>
      <c r="GY91" s="675">
        <v>0</v>
      </c>
      <c r="GZ91" s="675">
        <v>0</v>
      </c>
      <c r="HA91" s="675">
        <v>0</v>
      </c>
      <c r="HB91" s="675">
        <v>298386780</v>
      </c>
      <c r="HC91" s="675">
        <v>4.5690999999999996E-2</v>
      </c>
      <c r="HD91" s="675">
        <v>20091</v>
      </c>
      <c r="HE91" s="675">
        <v>0</v>
      </c>
      <c r="HF91" s="675">
        <v>117036</v>
      </c>
      <c r="HG91" s="675">
        <v>3080</v>
      </c>
      <c r="HH91" s="675">
        <v>5425</v>
      </c>
      <c r="HI91" s="675">
        <v>0</v>
      </c>
      <c r="HJ91" s="675">
        <v>1069</v>
      </c>
      <c r="HK91" s="675">
        <v>0</v>
      </c>
      <c r="HL91" s="675">
        <v>0</v>
      </c>
      <c r="HM91" s="675">
        <v>0</v>
      </c>
      <c r="HN91" s="675">
        <v>0</v>
      </c>
      <c r="HO91" s="675">
        <v>0</v>
      </c>
      <c r="HP91" s="675">
        <v>0</v>
      </c>
      <c r="HQ91" s="675">
        <v>0</v>
      </c>
      <c r="HR91" s="675">
        <v>0</v>
      </c>
      <c r="HS91" s="675">
        <v>845814</v>
      </c>
      <c r="HT91" s="675">
        <v>18724</v>
      </c>
      <c r="HU91" s="675">
        <v>0</v>
      </c>
      <c r="HV91" s="675">
        <v>0</v>
      </c>
      <c r="HW91" s="675">
        <v>0</v>
      </c>
      <c r="HX91" s="675">
        <v>3</v>
      </c>
      <c r="HY91" s="675">
        <v>10</v>
      </c>
      <c r="HZ91" s="675">
        <v>2</v>
      </c>
      <c r="IA91" s="675">
        <v>5</v>
      </c>
      <c r="IB91" s="675">
        <v>4</v>
      </c>
      <c r="IC91" s="675">
        <v>24</v>
      </c>
      <c r="ID91" s="675">
        <v>0</v>
      </c>
      <c r="IE91" s="675">
        <v>0</v>
      </c>
      <c r="IF91" s="675">
        <v>0</v>
      </c>
      <c r="IG91" s="675">
        <v>5</v>
      </c>
      <c r="IH91" s="675">
        <v>8.8070000000000004</v>
      </c>
      <c r="II91" s="675">
        <v>0</v>
      </c>
      <c r="IJ91" s="675">
        <v>4.548</v>
      </c>
      <c r="IK91" s="675">
        <v>0</v>
      </c>
      <c r="IL91" s="675">
        <v>0</v>
      </c>
      <c r="IM91" s="675">
        <v>0</v>
      </c>
      <c r="IN91" s="675">
        <v>0</v>
      </c>
      <c r="IO91" s="675">
        <v>0</v>
      </c>
      <c r="IP91" s="675">
        <v>0</v>
      </c>
      <c r="IQ91" s="675">
        <v>4.548</v>
      </c>
      <c r="IR91" s="675">
        <v>2802</v>
      </c>
      <c r="IS91" s="675">
        <v>0</v>
      </c>
      <c r="IT91" s="675">
        <v>0</v>
      </c>
      <c r="IU91" s="675">
        <v>0</v>
      </c>
      <c r="IV91" s="675">
        <v>0</v>
      </c>
      <c r="IW91" s="675">
        <v>6160</v>
      </c>
      <c r="IX91" s="675">
        <v>0</v>
      </c>
      <c r="IY91" s="675">
        <v>0</v>
      </c>
      <c r="IZ91" s="675">
        <v>0</v>
      </c>
      <c r="JA91" s="675">
        <v>0</v>
      </c>
      <c r="JB91" s="675">
        <v>0</v>
      </c>
      <c r="JC91" s="675">
        <v>0</v>
      </c>
      <c r="JD91" s="675">
        <v>0</v>
      </c>
      <c r="JE91" s="675">
        <v>0</v>
      </c>
      <c r="JF91" s="675">
        <v>0</v>
      </c>
      <c r="JG91" s="675">
        <v>0</v>
      </c>
      <c r="JH91" s="675">
        <v>0</v>
      </c>
      <c r="JI91" s="675">
        <v>0</v>
      </c>
      <c r="JJ91" s="675">
        <v>0</v>
      </c>
      <c r="JK91" s="675">
        <v>0</v>
      </c>
      <c r="JL91" s="675">
        <v>0</v>
      </c>
      <c r="JM91" s="675">
        <v>0</v>
      </c>
      <c r="JN91" s="675">
        <v>32469</v>
      </c>
      <c r="JO91" s="675">
        <v>0</v>
      </c>
      <c r="JP91" s="675">
        <v>0</v>
      </c>
      <c r="JQ91" s="675">
        <v>0</v>
      </c>
      <c r="JR91" s="675">
        <v>0</v>
      </c>
      <c r="JS91" s="675">
        <v>0</v>
      </c>
      <c r="JT91" s="675">
        <v>0</v>
      </c>
      <c r="JU91" s="675">
        <v>0</v>
      </c>
      <c r="JV91" s="675">
        <v>0</v>
      </c>
      <c r="JW91" s="675">
        <v>0</v>
      </c>
      <c r="JX91" s="675">
        <v>0</v>
      </c>
      <c r="JY91" s="675">
        <v>0</v>
      </c>
      <c r="JZ91" s="675">
        <v>0</v>
      </c>
      <c r="KA91" s="675">
        <v>0</v>
      </c>
      <c r="KB91" s="675">
        <v>0</v>
      </c>
      <c r="KC91" s="675">
        <v>0</v>
      </c>
      <c r="KD91" s="675">
        <v>0</v>
      </c>
      <c r="KE91" s="675">
        <v>7260</v>
      </c>
      <c r="KF91" s="675">
        <v>0</v>
      </c>
      <c r="KG91" s="675">
        <v>0</v>
      </c>
      <c r="KH91" s="675">
        <v>0</v>
      </c>
      <c r="KI91" s="675">
        <v>0</v>
      </c>
    </row>
    <row r="92" spans="1:295" ht="12.5" x14ac:dyDescent="0.25">
      <c r="A92" s="675">
        <v>35795</v>
      </c>
      <c r="B92" s="675">
        <v>57808</v>
      </c>
      <c r="C92" s="675">
        <v>9</v>
      </c>
      <c r="D92" s="675">
        <v>2022</v>
      </c>
      <c r="E92" s="675">
        <v>6160</v>
      </c>
      <c r="F92" s="675">
        <v>0</v>
      </c>
      <c r="G92" s="675">
        <v>1759.07</v>
      </c>
      <c r="H92" s="675">
        <v>1731.5520000000001</v>
      </c>
      <c r="I92" s="675">
        <v>1731.5520000000001</v>
      </c>
      <c r="J92" s="675">
        <v>1759.07</v>
      </c>
      <c r="K92" s="675">
        <v>0</v>
      </c>
      <c r="L92" s="675">
        <v>6160</v>
      </c>
      <c r="M92" s="675">
        <v>0</v>
      </c>
      <c r="N92" s="675">
        <v>0</v>
      </c>
      <c r="O92" s="675">
        <v>0</v>
      </c>
      <c r="P92" s="675">
        <v>2105.4680000000003</v>
      </c>
      <c r="Q92" s="675">
        <v>0</v>
      </c>
      <c r="R92" s="675">
        <v>847299</v>
      </c>
      <c r="S92" s="675">
        <v>402.428</v>
      </c>
      <c r="T92" s="675">
        <v>0</v>
      </c>
      <c r="U92" s="675">
        <v>450572</v>
      </c>
      <c r="V92" s="675">
        <v>776.71900000000005</v>
      </c>
      <c r="W92" s="675">
        <v>478457</v>
      </c>
      <c r="X92" s="675">
        <v>478457</v>
      </c>
      <c r="Y92" s="675">
        <v>0</v>
      </c>
      <c r="Z92" s="675">
        <v>0</v>
      </c>
      <c r="AA92" s="675">
        <v>0</v>
      </c>
      <c r="AB92" s="675">
        <v>0</v>
      </c>
      <c r="AC92" s="675">
        <v>0</v>
      </c>
      <c r="AD92" s="675" t="s">
        <v>316</v>
      </c>
      <c r="AE92" s="675">
        <v>0</v>
      </c>
      <c r="AF92" s="675">
        <v>0</v>
      </c>
      <c r="AG92" s="675">
        <v>0</v>
      </c>
      <c r="AH92" s="675">
        <v>0</v>
      </c>
      <c r="AI92" s="675">
        <v>0</v>
      </c>
      <c r="AJ92" s="675">
        <v>6160</v>
      </c>
      <c r="AK92" s="675" t="s">
        <v>671</v>
      </c>
      <c r="AL92" s="675" t="s">
        <v>43</v>
      </c>
      <c r="AM92" s="675">
        <v>0</v>
      </c>
      <c r="AN92" s="675">
        <v>0</v>
      </c>
      <c r="AO92" s="675">
        <v>0</v>
      </c>
      <c r="AP92" s="675">
        <v>0</v>
      </c>
      <c r="AQ92" s="675">
        <v>0</v>
      </c>
      <c r="AR92" s="675">
        <v>0</v>
      </c>
      <c r="AS92" s="675">
        <v>0</v>
      </c>
      <c r="AT92" s="675">
        <v>0</v>
      </c>
      <c r="AU92" s="675">
        <v>0</v>
      </c>
      <c r="AV92" s="675">
        <v>-419797</v>
      </c>
      <c r="AW92" s="675">
        <v>16438301</v>
      </c>
      <c r="AX92" s="675">
        <v>16118699</v>
      </c>
      <c r="AY92" s="675">
        <v>11186509</v>
      </c>
      <c r="AZ92" s="675">
        <v>847299</v>
      </c>
      <c r="BA92" s="675">
        <v>0</v>
      </c>
      <c r="BB92" s="675">
        <v>37925</v>
      </c>
      <c r="BC92" s="675">
        <v>37680</v>
      </c>
      <c r="BD92" s="675">
        <v>87.954000000000008</v>
      </c>
      <c r="BE92" s="675">
        <v>245</v>
      </c>
      <c r="BF92" s="675">
        <v>15068455</v>
      </c>
      <c r="BG92" s="675">
        <v>0</v>
      </c>
      <c r="BH92" s="675">
        <v>0</v>
      </c>
      <c r="BI92" s="675">
        <v>0</v>
      </c>
      <c r="BJ92" s="675">
        <v>12</v>
      </c>
      <c r="BK92" s="675">
        <v>0</v>
      </c>
      <c r="BL92" s="675">
        <v>0</v>
      </c>
      <c r="BM92" s="675">
        <v>0</v>
      </c>
      <c r="BN92" s="675">
        <v>0</v>
      </c>
      <c r="BO92" s="675">
        <v>0</v>
      </c>
      <c r="BP92" s="675">
        <v>0</v>
      </c>
      <c r="BQ92" s="675">
        <v>503</v>
      </c>
      <c r="BR92" s="675">
        <v>0</v>
      </c>
      <c r="BS92" s="675">
        <v>0</v>
      </c>
      <c r="BT92" s="675">
        <v>0</v>
      </c>
      <c r="BU92" s="675">
        <v>0</v>
      </c>
      <c r="BV92" s="675">
        <v>0</v>
      </c>
      <c r="BW92" s="675">
        <v>0</v>
      </c>
      <c r="BX92" s="675">
        <v>0</v>
      </c>
      <c r="BY92" s="675">
        <v>0</v>
      </c>
      <c r="BZ92" s="675">
        <v>0</v>
      </c>
      <c r="CA92" s="675">
        <v>0</v>
      </c>
      <c r="CB92" s="675">
        <v>0</v>
      </c>
      <c r="CC92" s="675">
        <v>0</v>
      </c>
      <c r="CD92" s="675">
        <v>0</v>
      </c>
      <c r="CE92" s="675">
        <v>0</v>
      </c>
      <c r="CF92" s="675">
        <v>0</v>
      </c>
      <c r="CG92" s="675">
        <v>0</v>
      </c>
      <c r="CH92" s="675">
        <v>321492</v>
      </c>
      <c r="CI92" s="675">
        <v>0</v>
      </c>
      <c r="CJ92" s="675">
        <v>4</v>
      </c>
      <c r="CK92" s="675">
        <v>0</v>
      </c>
      <c r="CL92" s="675">
        <v>0</v>
      </c>
      <c r="CM92" s="675">
        <v>0</v>
      </c>
      <c r="CN92" s="675">
        <v>0</v>
      </c>
      <c r="CO92" s="675">
        <v>1</v>
      </c>
      <c r="CP92" s="675">
        <v>0</v>
      </c>
      <c r="CQ92" s="675">
        <v>0</v>
      </c>
      <c r="CR92" s="675">
        <v>2158.06</v>
      </c>
      <c r="CS92" s="675">
        <v>0</v>
      </c>
      <c r="CT92" s="675">
        <v>0</v>
      </c>
      <c r="CU92" s="675">
        <v>0</v>
      </c>
      <c r="CV92" s="675">
        <v>0</v>
      </c>
      <c r="CW92" s="675">
        <v>0</v>
      </c>
      <c r="CX92" s="675">
        <v>0</v>
      </c>
      <c r="CY92" s="675">
        <v>0</v>
      </c>
      <c r="CZ92" s="675">
        <v>0</v>
      </c>
      <c r="DA92" s="675">
        <v>0</v>
      </c>
      <c r="DB92" s="675">
        <v>10666311</v>
      </c>
      <c r="DC92" s="675">
        <v>0</v>
      </c>
      <c r="DD92" s="675">
        <v>0</v>
      </c>
      <c r="DE92" s="675">
        <v>985287</v>
      </c>
      <c r="DF92" s="675">
        <v>985287</v>
      </c>
      <c r="DG92" s="675">
        <v>159.95000000000002</v>
      </c>
      <c r="DH92" s="675">
        <v>0</v>
      </c>
      <c r="DI92" s="675">
        <v>0</v>
      </c>
      <c r="DJ92" s="675">
        <v>0</v>
      </c>
      <c r="DK92" s="675">
        <v>0</v>
      </c>
      <c r="DL92" s="675">
        <v>0</v>
      </c>
      <c r="DM92" s="675">
        <v>432060</v>
      </c>
      <c r="DN92" s="675">
        <v>1646</v>
      </c>
      <c r="DO92" s="675">
        <v>0</v>
      </c>
      <c r="DP92" s="675">
        <v>0</v>
      </c>
      <c r="DQ92" s="675">
        <v>0</v>
      </c>
      <c r="DR92" s="675">
        <v>0</v>
      </c>
      <c r="DS92" s="675">
        <v>0</v>
      </c>
      <c r="DT92" s="675">
        <v>0</v>
      </c>
      <c r="DU92" s="675">
        <v>0</v>
      </c>
      <c r="DV92" s="675">
        <v>0</v>
      </c>
      <c r="DW92" s="675">
        <v>0</v>
      </c>
      <c r="DX92" s="675">
        <v>0</v>
      </c>
      <c r="DY92" s="675">
        <v>0</v>
      </c>
      <c r="DZ92" s="675">
        <v>0</v>
      </c>
      <c r="EA92" s="675">
        <v>0</v>
      </c>
      <c r="EB92" s="675">
        <v>0</v>
      </c>
      <c r="EC92" s="675">
        <v>9.6669999999999998</v>
      </c>
      <c r="ED92" s="675">
        <v>68481</v>
      </c>
      <c r="EE92" s="675">
        <v>0</v>
      </c>
      <c r="EF92" s="675">
        <v>0</v>
      </c>
      <c r="EG92" s="675">
        <v>0</v>
      </c>
      <c r="EH92" s="675">
        <v>365225</v>
      </c>
      <c r="EI92" s="675">
        <v>0</v>
      </c>
      <c r="EJ92" s="675">
        <v>0</v>
      </c>
      <c r="EK92" s="675">
        <v>15.55</v>
      </c>
      <c r="EL92" s="675">
        <v>0</v>
      </c>
      <c r="EM92" s="675">
        <v>1.36</v>
      </c>
      <c r="EN92" s="675">
        <v>1.7120000000000002</v>
      </c>
      <c r="EO92" s="675">
        <v>0</v>
      </c>
      <c r="EP92" s="675">
        <v>0</v>
      </c>
      <c r="EQ92" s="675">
        <v>18.622</v>
      </c>
      <c r="ER92" s="675">
        <v>0</v>
      </c>
      <c r="ES92" s="675">
        <v>59.29</v>
      </c>
      <c r="ET92" s="675">
        <v>0</v>
      </c>
      <c r="EU92" s="675">
        <v>0</v>
      </c>
      <c r="EV92" s="675">
        <v>0</v>
      </c>
      <c r="EW92" s="675">
        <v>0</v>
      </c>
      <c r="EX92" s="675">
        <v>0</v>
      </c>
      <c r="EY92" s="675">
        <v>0</v>
      </c>
      <c r="EZ92" s="675">
        <v>14268899</v>
      </c>
      <c r="FA92" s="675">
        <v>0</v>
      </c>
      <c r="FB92" s="675">
        <v>15114308</v>
      </c>
      <c r="FC92" s="675">
        <v>0</v>
      </c>
      <c r="FD92" s="675">
        <v>0</v>
      </c>
      <c r="FE92" s="675">
        <v>1532770</v>
      </c>
      <c r="FF92" s="675">
        <v>317030</v>
      </c>
      <c r="FG92" s="675">
        <v>6.3574999999999993E-2</v>
      </c>
      <c r="FH92" s="675">
        <v>2.6298999999999999E-2</v>
      </c>
      <c r="FI92" s="675">
        <v>0</v>
      </c>
      <c r="FJ92" s="675">
        <v>0</v>
      </c>
      <c r="FK92" s="675">
        <v>2446.1890000000003</v>
      </c>
      <c r="FL92" s="675">
        <v>17285600</v>
      </c>
      <c r="FM92" s="675">
        <v>0</v>
      </c>
      <c r="FN92" s="675">
        <v>0</v>
      </c>
      <c r="FO92" s="675">
        <v>44880</v>
      </c>
      <c r="FP92" s="675">
        <v>0</v>
      </c>
      <c r="FQ92" s="675">
        <v>44880</v>
      </c>
      <c r="FR92" s="675">
        <v>44880</v>
      </c>
      <c r="FS92" s="675">
        <v>0</v>
      </c>
      <c r="FT92" s="675">
        <v>0</v>
      </c>
      <c r="FU92" s="675">
        <v>0</v>
      </c>
      <c r="FV92" s="675">
        <v>0</v>
      </c>
      <c r="FW92" s="675">
        <v>0</v>
      </c>
      <c r="FX92" s="675">
        <v>0</v>
      </c>
      <c r="FY92" s="675">
        <v>0</v>
      </c>
      <c r="FZ92" s="675">
        <v>0</v>
      </c>
      <c r="GA92" s="675">
        <v>0</v>
      </c>
      <c r="GB92" s="675">
        <v>71043</v>
      </c>
      <c r="GC92" s="675">
        <v>71043</v>
      </c>
      <c r="GD92" s="675">
        <v>8.8960000000000008</v>
      </c>
      <c r="GE92" s="675">
        <v>0</v>
      </c>
      <c r="GF92" s="675">
        <v>0</v>
      </c>
      <c r="GG92" s="675">
        <v>0</v>
      </c>
      <c r="GH92" s="675">
        <v>0</v>
      </c>
      <c r="GI92" s="675">
        <v>0</v>
      </c>
      <c r="GJ92" s="675">
        <v>0</v>
      </c>
      <c r="GK92" s="675">
        <v>0</v>
      </c>
      <c r="GL92" s="675">
        <v>0</v>
      </c>
      <c r="GM92" s="675">
        <v>0</v>
      </c>
      <c r="GN92" s="675">
        <v>0</v>
      </c>
      <c r="GO92" s="675">
        <v>0</v>
      </c>
      <c r="GP92" s="675">
        <v>0</v>
      </c>
      <c r="GQ92" s="675">
        <v>0</v>
      </c>
      <c r="GR92" s="675">
        <v>0</v>
      </c>
      <c r="GS92" s="675">
        <v>0</v>
      </c>
      <c r="GT92" s="675">
        <v>0</v>
      </c>
      <c r="GU92" s="675">
        <v>0</v>
      </c>
      <c r="GV92" s="675">
        <v>0</v>
      </c>
      <c r="GW92" s="675">
        <v>0</v>
      </c>
      <c r="GX92" s="675">
        <v>0</v>
      </c>
      <c r="GY92" s="675">
        <v>0</v>
      </c>
      <c r="GZ92" s="675">
        <v>0</v>
      </c>
      <c r="HA92" s="675">
        <v>0</v>
      </c>
      <c r="HB92" s="675">
        <v>298386780</v>
      </c>
      <c r="HC92" s="675">
        <v>4.5690999999999996E-2</v>
      </c>
      <c r="HD92" s="675">
        <v>321492</v>
      </c>
      <c r="HE92" s="675">
        <v>0</v>
      </c>
      <c r="HF92" s="675">
        <v>1904707</v>
      </c>
      <c r="HG92" s="675">
        <v>3080</v>
      </c>
      <c r="HH92" s="675">
        <v>455841</v>
      </c>
      <c r="HI92" s="675">
        <v>0</v>
      </c>
      <c r="HJ92" s="675">
        <v>17098</v>
      </c>
      <c r="HK92" s="675">
        <v>2178</v>
      </c>
      <c r="HL92" s="675">
        <v>685</v>
      </c>
      <c r="HM92" s="675">
        <v>15000</v>
      </c>
      <c r="HN92" s="675">
        <v>0</v>
      </c>
      <c r="HO92" s="675">
        <v>0</v>
      </c>
      <c r="HP92" s="675">
        <v>0</v>
      </c>
      <c r="HQ92" s="675">
        <v>0</v>
      </c>
      <c r="HR92" s="675">
        <v>0</v>
      </c>
      <c r="HS92" s="675">
        <v>14267009</v>
      </c>
      <c r="HT92" s="675">
        <v>317030</v>
      </c>
      <c r="HU92" s="675">
        <v>0</v>
      </c>
      <c r="HV92" s="675">
        <v>0</v>
      </c>
      <c r="HW92" s="675">
        <v>0</v>
      </c>
      <c r="HX92" s="675">
        <v>64</v>
      </c>
      <c r="HY92" s="675">
        <v>99</v>
      </c>
      <c r="HZ92" s="675">
        <v>136</v>
      </c>
      <c r="IA92" s="675">
        <v>151</v>
      </c>
      <c r="IB92" s="675">
        <v>176</v>
      </c>
      <c r="IC92" s="675">
        <v>626</v>
      </c>
      <c r="ID92" s="675">
        <v>0</v>
      </c>
      <c r="IE92" s="675">
        <v>0</v>
      </c>
      <c r="IF92" s="675">
        <v>0</v>
      </c>
      <c r="IG92" s="675">
        <v>5</v>
      </c>
      <c r="IH92" s="675">
        <v>740.005</v>
      </c>
      <c r="II92" s="675">
        <v>0</v>
      </c>
      <c r="IJ92" s="675">
        <v>776.71900000000005</v>
      </c>
      <c r="IK92" s="675">
        <v>0</v>
      </c>
      <c r="IL92" s="675">
        <v>3</v>
      </c>
      <c r="IM92" s="675">
        <v>0</v>
      </c>
      <c r="IN92" s="675">
        <v>0</v>
      </c>
      <c r="IO92" s="675">
        <v>3</v>
      </c>
      <c r="IP92" s="675">
        <v>0</v>
      </c>
      <c r="IQ92" s="675">
        <v>776.71900000000005</v>
      </c>
      <c r="IR92" s="675">
        <v>478457</v>
      </c>
      <c r="IS92" s="675">
        <v>0</v>
      </c>
      <c r="IT92" s="675">
        <v>15000</v>
      </c>
      <c r="IU92" s="675">
        <v>0</v>
      </c>
      <c r="IV92" s="675">
        <v>0</v>
      </c>
      <c r="IW92" s="675">
        <v>6160</v>
      </c>
      <c r="IX92" s="675">
        <v>0</v>
      </c>
      <c r="IY92" s="675">
        <v>0</v>
      </c>
      <c r="IZ92" s="675">
        <v>0</v>
      </c>
      <c r="JA92" s="675">
        <v>0</v>
      </c>
      <c r="JB92" s="675">
        <v>0</v>
      </c>
      <c r="JC92" s="675">
        <v>0</v>
      </c>
      <c r="JD92" s="675">
        <v>0</v>
      </c>
      <c r="JE92" s="675">
        <v>0</v>
      </c>
      <c r="JF92" s="675">
        <v>0</v>
      </c>
      <c r="JG92" s="675">
        <v>0</v>
      </c>
      <c r="JH92" s="675">
        <v>0</v>
      </c>
      <c r="JI92" s="675">
        <v>0</v>
      </c>
      <c r="JJ92" s="675">
        <v>0</v>
      </c>
      <c r="JK92" s="675">
        <v>0</v>
      </c>
      <c r="JL92" s="675">
        <v>0</v>
      </c>
      <c r="JM92" s="675">
        <v>0</v>
      </c>
      <c r="JN92" s="675">
        <v>32469</v>
      </c>
      <c r="JO92" s="675">
        <v>8.8960000000000008</v>
      </c>
      <c r="JP92" s="675">
        <v>0</v>
      </c>
      <c r="JQ92" s="675">
        <v>0</v>
      </c>
      <c r="JR92" s="675">
        <v>71043</v>
      </c>
      <c r="JS92" s="675">
        <v>0</v>
      </c>
      <c r="JT92" s="675">
        <v>0</v>
      </c>
      <c r="JU92" s="675">
        <v>37925</v>
      </c>
      <c r="JV92" s="675">
        <v>0</v>
      </c>
      <c r="JW92" s="675">
        <v>0</v>
      </c>
      <c r="JX92" s="675">
        <v>0</v>
      </c>
      <c r="JY92" s="675">
        <v>0</v>
      </c>
      <c r="JZ92" s="675">
        <v>0</v>
      </c>
      <c r="KA92" s="675">
        <v>0</v>
      </c>
      <c r="KB92" s="675">
        <v>0</v>
      </c>
      <c r="KC92" s="675">
        <v>0</v>
      </c>
      <c r="KD92" s="675">
        <v>37926</v>
      </c>
      <c r="KE92" s="675">
        <v>7260</v>
      </c>
      <c r="KF92" s="675">
        <v>0</v>
      </c>
      <c r="KG92" s="675">
        <v>0</v>
      </c>
      <c r="KH92" s="675">
        <v>0</v>
      </c>
      <c r="KI92" s="675">
        <v>0</v>
      </c>
    </row>
    <row r="93" spans="1:295" ht="12.5" x14ac:dyDescent="0.25">
      <c r="A93" s="675">
        <v>35795</v>
      </c>
      <c r="B93" s="675">
        <v>108808</v>
      </c>
      <c r="C93" s="675">
        <v>9</v>
      </c>
      <c r="D93" s="675">
        <v>2022</v>
      </c>
      <c r="E93" s="675">
        <v>6160</v>
      </c>
      <c r="F93" s="675">
        <v>0</v>
      </c>
      <c r="G93" s="675">
        <v>4665.0030000000006</v>
      </c>
      <c r="H93" s="675">
        <v>4290.5650000000005</v>
      </c>
      <c r="I93" s="675">
        <v>4290.5650000000005</v>
      </c>
      <c r="J93" s="675">
        <v>4665.0030000000006</v>
      </c>
      <c r="K93" s="675">
        <v>0</v>
      </c>
      <c r="L93" s="675">
        <v>6160</v>
      </c>
      <c r="M93" s="675">
        <v>0</v>
      </c>
      <c r="N93" s="675">
        <v>0</v>
      </c>
      <c r="O93" s="675">
        <v>0</v>
      </c>
      <c r="P93" s="675">
        <v>4430.2809999999999</v>
      </c>
      <c r="Q93" s="675">
        <v>0</v>
      </c>
      <c r="R93" s="675">
        <v>1782869</v>
      </c>
      <c r="S93" s="675">
        <v>402.428</v>
      </c>
      <c r="T93" s="675">
        <v>0</v>
      </c>
      <c r="U93" s="675">
        <v>948088</v>
      </c>
      <c r="V93" s="675">
        <v>1291.258</v>
      </c>
      <c r="W93" s="675">
        <v>1569455</v>
      </c>
      <c r="X93" s="675">
        <v>1569455</v>
      </c>
      <c r="Y93" s="675">
        <v>0</v>
      </c>
      <c r="Z93" s="675">
        <v>0</v>
      </c>
      <c r="AA93" s="675">
        <v>0</v>
      </c>
      <c r="AB93" s="675">
        <v>0</v>
      </c>
      <c r="AC93" s="675">
        <v>0</v>
      </c>
      <c r="AD93" s="675" t="s">
        <v>316</v>
      </c>
      <c r="AE93" s="675">
        <v>0</v>
      </c>
      <c r="AF93" s="675">
        <v>0</v>
      </c>
      <c r="AG93" s="675">
        <v>0</v>
      </c>
      <c r="AH93" s="675">
        <v>0</v>
      </c>
      <c r="AI93" s="675">
        <v>0</v>
      </c>
      <c r="AJ93" s="675">
        <v>6160</v>
      </c>
      <c r="AK93" s="675" t="s">
        <v>671</v>
      </c>
      <c r="AL93" s="675" t="s">
        <v>89</v>
      </c>
      <c r="AM93" s="675">
        <v>0</v>
      </c>
      <c r="AN93" s="675">
        <v>0</v>
      </c>
      <c r="AO93" s="675">
        <v>0</v>
      </c>
      <c r="AP93" s="675">
        <v>0</v>
      </c>
      <c r="AQ93" s="675">
        <v>0</v>
      </c>
      <c r="AR93" s="675">
        <v>0</v>
      </c>
      <c r="AS93" s="675">
        <v>0</v>
      </c>
      <c r="AT93" s="675">
        <v>0</v>
      </c>
      <c r="AU93" s="675">
        <v>0</v>
      </c>
      <c r="AV93" s="675">
        <v>0</v>
      </c>
      <c r="AW93" s="675">
        <v>50775529</v>
      </c>
      <c r="AX93" s="675">
        <v>49931705</v>
      </c>
      <c r="AY93" s="675">
        <v>34002189</v>
      </c>
      <c r="AZ93" s="675">
        <v>1782869</v>
      </c>
      <c r="BA93" s="675">
        <v>0</v>
      </c>
      <c r="BB93" s="675">
        <v>100577</v>
      </c>
      <c r="BC93" s="675">
        <v>99928</v>
      </c>
      <c r="BD93" s="675">
        <v>233.25</v>
      </c>
      <c r="BE93" s="675">
        <v>649</v>
      </c>
      <c r="BF93" s="675">
        <v>45640315</v>
      </c>
      <c r="BG93" s="675">
        <v>0</v>
      </c>
      <c r="BH93" s="675">
        <v>0</v>
      </c>
      <c r="BI93" s="675">
        <v>0</v>
      </c>
      <c r="BJ93" s="675">
        <v>12</v>
      </c>
      <c r="BK93" s="675">
        <v>0</v>
      </c>
      <c r="BL93" s="675">
        <v>0</v>
      </c>
      <c r="BM93" s="675">
        <v>0</v>
      </c>
      <c r="BN93" s="675">
        <v>0</v>
      </c>
      <c r="BO93" s="675">
        <v>0</v>
      </c>
      <c r="BP93" s="675">
        <v>0</v>
      </c>
      <c r="BQ93" s="675">
        <v>109</v>
      </c>
      <c r="BR93" s="675">
        <v>0</v>
      </c>
      <c r="BS93" s="675">
        <v>0</v>
      </c>
      <c r="BT93" s="675">
        <v>0</v>
      </c>
      <c r="BU93" s="675">
        <v>0</v>
      </c>
      <c r="BV93" s="675">
        <v>0</v>
      </c>
      <c r="BW93" s="675">
        <v>0</v>
      </c>
      <c r="BX93" s="675">
        <v>0</v>
      </c>
      <c r="BY93" s="675">
        <v>0</v>
      </c>
      <c r="BZ93" s="675">
        <v>0</v>
      </c>
      <c r="CA93" s="675">
        <v>515.07799999999997</v>
      </c>
      <c r="CB93" s="675">
        <v>439244</v>
      </c>
      <c r="CC93" s="675">
        <v>0</v>
      </c>
      <c r="CD93" s="675">
        <v>0</v>
      </c>
      <c r="CE93" s="675">
        <v>0</v>
      </c>
      <c r="CF93" s="675">
        <v>0</v>
      </c>
      <c r="CG93" s="675">
        <v>0</v>
      </c>
      <c r="CH93" s="675">
        <v>852589</v>
      </c>
      <c r="CI93" s="675">
        <v>0</v>
      </c>
      <c r="CJ93" s="675">
        <v>4</v>
      </c>
      <c r="CK93" s="675">
        <v>0</v>
      </c>
      <c r="CL93" s="675">
        <v>0</v>
      </c>
      <c r="CM93" s="675">
        <v>0</v>
      </c>
      <c r="CN93" s="675">
        <v>0</v>
      </c>
      <c r="CO93" s="675">
        <v>1</v>
      </c>
      <c r="CP93" s="675">
        <v>0</v>
      </c>
      <c r="CQ93" s="675">
        <v>0</v>
      </c>
      <c r="CR93" s="675">
        <v>4557.42</v>
      </c>
      <c r="CS93" s="675">
        <v>0</v>
      </c>
      <c r="CT93" s="675">
        <v>0</v>
      </c>
      <c r="CU93" s="675">
        <v>0</v>
      </c>
      <c r="CV93" s="675">
        <v>0</v>
      </c>
      <c r="CW93" s="675">
        <v>0</v>
      </c>
      <c r="CX93" s="675">
        <v>0</v>
      </c>
      <c r="CY93" s="675">
        <v>0</v>
      </c>
      <c r="CZ93" s="675">
        <v>0</v>
      </c>
      <c r="DA93" s="675">
        <v>0</v>
      </c>
      <c r="DB93" s="675">
        <v>26429758</v>
      </c>
      <c r="DC93" s="675">
        <v>0</v>
      </c>
      <c r="DD93" s="675">
        <v>0</v>
      </c>
      <c r="DE93" s="675">
        <v>6333298</v>
      </c>
      <c r="DF93" s="675">
        <v>6333298</v>
      </c>
      <c r="DG93" s="675">
        <v>1028.1380000000001</v>
      </c>
      <c r="DH93" s="675">
        <v>0</v>
      </c>
      <c r="DI93" s="675">
        <v>0</v>
      </c>
      <c r="DJ93" s="675">
        <v>0</v>
      </c>
      <c r="DK93" s="675">
        <v>0</v>
      </c>
      <c r="DL93" s="675">
        <v>0</v>
      </c>
      <c r="DM93" s="675">
        <v>2130738</v>
      </c>
      <c r="DN93" s="675">
        <v>8116</v>
      </c>
      <c r="DO93" s="675">
        <v>0</v>
      </c>
      <c r="DP93" s="675">
        <v>0</v>
      </c>
      <c r="DQ93" s="675">
        <v>0</v>
      </c>
      <c r="DR93" s="675">
        <v>0</v>
      </c>
      <c r="DS93" s="675">
        <v>0</v>
      </c>
      <c r="DT93" s="675">
        <v>0</v>
      </c>
      <c r="DU93" s="675">
        <v>0</v>
      </c>
      <c r="DV93" s="675">
        <v>0</v>
      </c>
      <c r="DW93" s="675">
        <v>0</v>
      </c>
      <c r="DX93" s="675">
        <v>0</v>
      </c>
      <c r="DY93" s="675">
        <v>0</v>
      </c>
      <c r="DZ93" s="675">
        <v>0</v>
      </c>
      <c r="EA93" s="675">
        <v>0.25800000000000001</v>
      </c>
      <c r="EB93" s="675">
        <v>0</v>
      </c>
      <c r="EC93" s="675">
        <v>21.208000000000002</v>
      </c>
      <c r="ED93" s="675">
        <v>150237</v>
      </c>
      <c r="EE93" s="675">
        <v>0</v>
      </c>
      <c r="EF93" s="675">
        <v>0</v>
      </c>
      <c r="EG93" s="675">
        <v>0</v>
      </c>
      <c r="EH93" s="675">
        <v>1988617</v>
      </c>
      <c r="EI93" s="675">
        <v>0</v>
      </c>
      <c r="EJ93" s="675">
        <v>0</v>
      </c>
      <c r="EK93" s="675">
        <v>80.444000000000003</v>
      </c>
      <c r="EL93" s="675">
        <v>0</v>
      </c>
      <c r="EM93" s="675">
        <v>15.399000000000001</v>
      </c>
      <c r="EN93" s="675">
        <v>6.8020000000000005</v>
      </c>
      <c r="EO93" s="675">
        <v>0</v>
      </c>
      <c r="EP93" s="675">
        <v>0</v>
      </c>
      <c r="EQ93" s="675">
        <v>102.90300000000001</v>
      </c>
      <c r="ER93" s="675">
        <v>0</v>
      </c>
      <c r="ES93" s="675">
        <v>322.82900000000001</v>
      </c>
      <c r="ET93" s="675">
        <v>0</v>
      </c>
      <c r="EU93" s="675">
        <v>0</v>
      </c>
      <c r="EV93" s="675">
        <v>0</v>
      </c>
      <c r="EW93" s="675">
        <v>0</v>
      </c>
      <c r="EX93" s="675">
        <v>0</v>
      </c>
      <c r="EY93" s="675">
        <v>0</v>
      </c>
      <c r="EZ93" s="675">
        <v>44328911</v>
      </c>
      <c r="FA93" s="675">
        <v>0</v>
      </c>
      <c r="FB93" s="675">
        <v>46103015</v>
      </c>
      <c r="FC93" s="675">
        <v>0</v>
      </c>
      <c r="FD93" s="675">
        <v>0</v>
      </c>
      <c r="FE93" s="675">
        <v>4642554</v>
      </c>
      <c r="FF93" s="675">
        <v>960240</v>
      </c>
      <c r="FG93" s="675">
        <v>6.3574999999999993E-2</v>
      </c>
      <c r="FH93" s="675">
        <v>2.6298999999999999E-2</v>
      </c>
      <c r="FI93" s="675">
        <v>0</v>
      </c>
      <c r="FJ93" s="675">
        <v>0</v>
      </c>
      <c r="FK93" s="675">
        <v>7409.1760000000004</v>
      </c>
      <c r="FL93" s="675">
        <v>52558398</v>
      </c>
      <c r="FM93" s="675">
        <v>0</v>
      </c>
      <c r="FN93" s="675">
        <v>0</v>
      </c>
      <c r="FO93" s="675">
        <v>9922</v>
      </c>
      <c r="FP93" s="675">
        <v>0</v>
      </c>
      <c r="FQ93" s="675">
        <v>15622</v>
      </c>
      <c r="FR93" s="675">
        <v>9922</v>
      </c>
      <c r="FS93" s="675">
        <v>5700</v>
      </c>
      <c r="FT93" s="675">
        <v>0</v>
      </c>
      <c r="FU93" s="675">
        <v>0</v>
      </c>
      <c r="FV93" s="675">
        <v>0</v>
      </c>
      <c r="FW93" s="675">
        <v>0</v>
      </c>
      <c r="FX93" s="675">
        <v>0</v>
      </c>
      <c r="FY93" s="675">
        <v>0</v>
      </c>
      <c r="FZ93" s="675">
        <v>0</v>
      </c>
      <c r="GA93" s="675">
        <v>0</v>
      </c>
      <c r="GB93" s="675">
        <v>2667105</v>
      </c>
      <c r="GC93" s="675">
        <v>2667105</v>
      </c>
      <c r="GD93" s="675">
        <v>271.53500000000003</v>
      </c>
      <c r="GE93" s="675">
        <v>0</v>
      </c>
      <c r="GF93" s="675">
        <v>0</v>
      </c>
      <c r="GG93" s="675">
        <v>0</v>
      </c>
      <c r="GH93" s="675">
        <v>0</v>
      </c>
      <c r="GI93" s="675">
        <v>0</v>
      </c>
      <c r="GJ93" s="675">
        <v>0</v>
      </c>
      <c r="GK93" s="675">
        <v>0</v>
      </c>
      <c r="GL93" s="675">
        <v>0</v>
      </c>
      <c r="GM93" s="675">
        <v>0</v>
      </c>
      <c r="GN93" s="675">
        <v>0</v>
      </c>
      <c r="GO93" s="675">
        <v>0</v>
      </c>
      <c r="GP93" s="675">
        <v>0</v>
      </c>
      <c r="GQ93" s="675">
        <v>0</v>
      </c>
      <c r="GR93" s="675">
        <v>0</v>
      </c>
      <c r="GS93" s="675">
        <v>0</v>
      </c>
      <c r="GT93" s="675">
        <v>0</v>
      </c>
      <c r="GU93" s="675">
        <v>0</v>
      </c>
      <c r="GV93" s="675">
        <v>0</v>
      </c>
      <c r="GW93" s="675">
        <v>0</v>
      </c>
      <c r="GX93" s="675">
        <v>0</v>
      </c>
      <c r="GY93" s="675">
        <v>0</v>
      </c>
      <c r="GZ93" s="675">
        <v>0</v>
      </c>
      <c r="HA93" s="675">
        <v>0</v>
      </c>
      <c r="HB93" s="675">
        <v>298386780</v>
      </c>
      <c r="HC93" s="675">
        <v>4.5690999999999996E-2</v>
      </c>
      <c r="HD93" s="675">
        <v>852589</v>
      </c>
      <c r="HE93" s="675">
        <v>0</v>
      </c>
      <c r="HF93" s="675">
        <v>4719622</v>
      </c>
      <c r="HG93" s="675">
        <v>47432</v>
      </c>
      <c r="HH93" s="675">
        <v>1371470</v>
      </c>
      <c r="HI93" s="675">
        <v>0</v>
      </c>
      <c r="HJ93" s="675">
        <v>45344</v>
      </c>
      <c r="HK93" s="675">
        <v>9837</v>
      </c>
      <c r="HL93" s="675">
        <v>6762</v>
      </c>
      <c r="HM93" s="675">
        <v>194000</v>
      </c>
      <c r="HN93" s="675">
        <v>0</v>
      </c>
      <c r="HO93" s="675">
        <v>23400</v>
      </c>
      <c r="HP93" s="675">
        <v>0</v>
      </c>
      <c r="HQ93" s="675">
        <v>0</v>
      </c>
      <c r="HR93" s="675">
        <v>0</v>
      </c>
      <c r="HS93" s="675">
        <v>44320146</v>
      </c>
      <c r="HT93" s="675">
        <v>960240</v>
      </c>
      <c r="HU93" s="675">
        <v>0</v>
      </c>
      <c r="HV93" s="675">
        <v>0</v>
      </c>
      <c r="HW93" s="675">
        <v>0</v>
      </c>
      <c r="HX93" s="675">
        <v>322</v>
      </c>
      <c r="HY93" s="675">
        <v>957</v>
      </c>
      <c r="HZ93" s="675">
        <v>1256</v>
      </c>
      <c r="IA93" s="675">
        <v>1058</v>
      </c>
      <c r="IB93" s="675">
        <v>497</v>
      </c>
      <c r="IC93" s="675">
        <v>4090</v>
      </c>
      <c r="ID93" s="675">
        <v>0</v>
      </c>
      <c r="IE93" s="675">
        <v>818.322</v>
      </c>
      <c r="IF93" s="675">
        <v>58.175000000000004</v>
      </c>
      <c r="IG93" s="675">
        <v>77</v>
      </c>
      <c r="IH93" s="675">
        <v>2226.422</v>
      </c>
      <c r="II93" s="675">
        <v>0</v>
      </c>
      <c r="IJ93" s="675">
        <v>2167.7550000000001</v>
      </c>
      <c r="IK93" s="675">
        <v>0</v>
      </c>
      <c r="IL93" s="675">
        <v>35</v>
      </c>
      <c r="IM93" s="675">
        <v>5</v>
      </c>
      <c r="IN93" s="675">
        <v>2</v>
      </c>
      <c r="IO93" s="675">
        <v>42</v>
      </c>
      <c r="IP93" s="675">
        <v>0</v>
      </c>
      <c r="IQ93" s="675">
        <v>1291.258</v>
      </c>
      <c r="IR93" s="675">
        <v>795411</v>
      </c>
      <c r="IS93" s="675">
        <v>0</v>
      </c>
      <c r="IT93" s="675">
        <v>175000</v>
      </c>
      <c r="IU93" s="675">
        <v>15000</v>
      </c>
      <c r="IV93" s="675">
        <v>4000</v>
      </c>
      <c r="IW93" s="675">
        <v>6160</v>
      </c>
      <c r="IX93" s="675">
        <v>756126</v>
      </c>
      <c r="IY93" s="675">
        <v>17918</v>
      </c>
      <c r="IZ93" s="675">
        <v>0</v>
      </c>
      <c r="JA93" s="675">
        <v>0</v>
      </c>
      <c r="JB93" s="675">
        <v>0</v>
      </c>
      <c r="JC93" s="675">
        <v>0</v>
      </c>
      <c r="JD93" s="675">
        <v>0</v>
      </c>
      <c r="JE93" s="675">
        <v>0</v>
      </c>
      <c r="JF93" s="675">
        <v>0</v>
      </c>
      <c r="JG93" s="675">
        <v>0</v>
      </c>
      <c r="JH93" s="675">
        <v>0</v>
      </c>
      <c r="JI93" s="675">
        <v>0</v>
      </c>
      <c r="JJ93" s="675">
        <v>0</v>
      </c>
      <c r="JK93" s="675">
        <v>0</v>
      </c>
      <c r="JL93" s="675">
        <v>0</v>
      </c>
      <c r="JM93" s="675">
        <v>0</v>
      </c>
      <c r="JN93" s="675">
        <v>32469</v>
      </c>
      <c r="JO93" s="675">
        <v>0.52300000000000002</v>
      </c>
      <c r="JP93" s="675">
        <v>166.28</v>
      </c>
      <c r="JQ93" s="675">
        <v>104.732</v>
      </c>
      <c r="JR93" s="675">
        <v>4177</v>
      </c>
      <c r="JS93" s="675">
        <v>1545207</v>
      </c>
      <c r="JT93" s="675">
        <v>1117721</v>
      </c>
      <c r="JU93" s="675">
        <v>100577</v>
      </c>
      <c r="JV93" s="675">
        <v>0</v>
      </c>
      <c r="JW93" s="675">
        <v>0</v>
      </c>
      <c r="JX93" s="675">
        <v>0</v>
      </c>
      <c r="JY93" s="675">
        <v>0</v>
      </c>
      <c r="JZ93" s="675">
        <v>0</v>
      </c>
      <c r="KA93" s="675">
        <v>0</v>
      </c>
      <c r="KB93" s="675">
        <v>0</v>
      </c>
      <c r="KC93" s="675">
        <v>0</v>
      </c>
      <c r="KD93" s="675">
        <v>100577</v>
      </c>
      <c r="KE93" s="675">
        <v>7260</v>
      </c>
      <c r="KF93" s="675">
        <v>0</v>
      </c>
      <c r="KG93" s="675">
        <v>0</v>
      </c>
      <c r="KH93" s="675">
        <v>0</v>
      </c>
      <c r="KI93" s="675">
        <v>0</v>
      </c>
    </row>
    <row r="94" spans="1:295" ht="12.5" x14ac:dyDescent="0.25">
      <c r="A94" s="675">
        <v>35795</v>
      </c>
      <c r="B94" s="675">
        <v>178808</v>
      </c>
      <c r="C94" s="675">
        <v>9</v>
      </c>
      <c r="D94" s="675">
        <v>2022</v>
      </c>
      <c r="E94" s="675">
        <v>6160</v>
      </c>
      <c r="F94" s="675">
        <v>0</v>
      </c>
      <c r="G94" s="675">
        <v>467.95500000000004</v>
      </c>
      <c r="H94" s="675">
        <v>459.971</v>
      </c>
      <c r="I94" s="675">
        <v>459.971</v>
      </c>
      <c r="J94" s="675">
        <v>467.95500000000004</v>
      </c>
      <c r="K94" s="675">
        <v>0</v>
      </c>
      <c r="L94" s="675">
        <v>6160</v>
      </c>
      <c r="M94" s="675">
        <v>0</v>
      </c>
      <c r="N94" s="675">
        <v>0</v>
      </c>
      <c r="O94" s="675">
        <v>0</v>
      </c>
      <c r="P94" s="675">
        <v>482.363</v>
      </c>
      <c r="Q94" s="675">
        <v>0</v>
      </c>
      <c r="R94" s="675">
        <v>194116</v>
      </c>
      <c r="S94" s="675">
        <v>402.428</v>
      </c>
      <c r="T94" s="675">
        <v>0</v>
      </c>
      <c r="U94" s="675">
        <v>103226</v>
      </c>
      <c r="V94" s="675">
        <v>3.6670000000000003</v>
      </c>
      <c r="W94" s="675">
        <v>2259</v>
      </c>
      <c r="X94" s="675">
        <v>2259</v>
      </c>
      <c r="Y94" s="675">
        <v>0</v>
      </c>
      <c r="Z94" s="675">
        <v>0</v>
      </c>
      <c r="AA94" s="675">
        <v>0</v>
      </c>
      <c r="AB94" s="675">
        <v>0</v>
      </c>
      <c r="AC94" s="675">
        <v>0</v>
      </c>
      <c r="AD94" s="675" t="s">
        <v>316</v>
      </c>
      <c r="AE94" s="675">
        <v>0</v>
      </c>
      <c r="AF94" s="675">
        <v>0</v>
      </c>
      <c r="AG94" s="675">
        <v>0</v>
      </c>
      <c r="AH94" s="675">
        <v>0</v>
      </c>
      <c r="AI94" s="675">
        <v>0</v>
      </c>
      <c r="AJ94" s="675">
        <v>6160</v>
      </c>
      <c r="AK94" s="675" t="s">
        <v>671</v>
      </c>
      <c r="AL94" s="675" t="s">
        <v>100</v>
      </c>
      <c r="AM94" s="675">
        <v>0</v>
      </c>
      <c r="AN94" s="675">
        <v>0</v>
      </c>
      <c r="AO94" s="675">
        <v>0</v>
      </c>
      <c r="AP94" s="675">
        <v>0</v>
      </c>
      <c r="AQ94" s="675">
        <v>0</v>
      </c>
      <c r="AR94" s="675">
        <v>0</v>
      </c>
      <c r="AS94" s="675">
        <v>0</v>
      </c>
      <c r="AT94" s="675">
        <v>0</v>
      </c>
      <c r="AU94" s="675">
        <v>0</v>
      </c>
      <c r="AV94" s="675">
        <v>-46881</v>
      </c>
      <c r="AW94" s="675">
        <v>3946619</v>
      </c>
      <c r="AX94" s="675">
        <v>3862008</v>
      </c>
      <c r="AY94" s="675">
        <v>2620412</v>
      </c>
      <c r="AZ94" s="675">
        <v>194116</v>
      </c>
      <c r="BA94" s="675">
        <v>0</v>
      </c>
      <c r="BB94" s="675">
        <v>10089</v>
      </c>
      <c r="BC94" s="675">
        <v>10024</v>
      </c>
      <c r="BD94" s="675">
        <v>23.398</v>
      </c>
      <c r="BE94" s="675">
        <v>65</v>
      </c>
      <c r="BF94" s="675">
        <v>3612638</v>
      </c>
      <c r="BG94" s="675">
        <v>0</v>
      </c>
      <c r="BH94" s="675">
        <v>0</v>
      </c>
      <c r="BI94" s="675">
        <v>0</v>
      </c>
      <c r="BJ94" s="675">
        <v>12</v>
      </c>
      <c r="BK94" s="675">
        <v>0</v>
      </c>
      <c r="BL94" s="675">
        <v>0</v>
      </c>
      <c r="BM94" s="675">
        <v>0</v>
      </c>
      <c r="BN94" s="675">
        <v>0</v>
      </c>
      <c r="BO94" s="675">
        <v>0</v>
      </c>
      <c r="BP94" s="675">
        <v>0</v>
      </c>
      <c r="BQ94" s="675">
        <v>699</v>
      </c>
      <c r="BR94" s="675">
        <v>0</v>
      </c>
      <c r="BS94" s="675">
        <v>0</v>
      </c>
      <c r="BT94" s="675">
        <v>0</v>
      </c>
      <c r="BU94" s="675">
        <v>0</v>
      </c>
      <c r="BV94" s="675">
        <v>0</v>
      </c>
      <c r="BW94" s="675">
        <v>0</v>
      </c>
      <c r="BX94" s="675">
        <v>0</v>
      </c>
      <c r="BY94" s="675">
        <v>0</v>
      </c>
      <c r="BZ94" s="675">
        <v>0</v>
      </c>
      <c r="CA94" s="675">
        <v>0</v>
      </c>
      <c r="CB94" s="675">
        <v>0</v>
      </c>
      <c r="CC94" s="675">
        <v>0</v>
      </c>
      <c r="CD94" s="675">
        <v>0</v>
      </c>
      <c r="CE94" s="675">
        <v>0</v>
      </c>
      <c r="CF94" s="675">
        <v>0</v>
      </c>
      <c r="CG94" s="675">
        <v>0</v>
      </c>
      <c r="CH94" s="675">
        <v>85525</v>
      </c>
      <c r="CI94" s="675">
        <v>0</v>
      </c>
      <c r="CJ94" s="675">
        <v>4</v>
      </c>
      <c r="CK94" s="675">
        <v>0</v>
      </c>
      <c r="CL94" s="675">
        <v>0</v>
      </c>
      <c r="CM94" s="675">
        <v>0</v>
      </c>
      <c r="CN94" s="675">
        <v>0</v>
      </c>
      <c r="CO94" s="675">
        <v>1</v>
      </c>
      <c r="CP94" s="675">
        <v>0</v>
      </c>
      <c r="CQ94" s="675">
        <v>0</v>
      </c>
      <c r="CR94" s="675">
        <v>480.54200000000003</v>
      </c>
      <c r="CS94" s="675">
        <v>0</v>
      </c>
      <c r="CT94" s="675">
        <v>0</v>
      </c>
      <c r="CU94" s="675">
        <v>0</v>
      </c>
      <c r="CV94" s="675">
        <v>0</v>
      </c>
      <c r="CW94" s="675">
        <v>0</v>
      </c>
      <c r="CX94" s="675">
        <v>0</v>
      </c>
      <c r="CY94" s="675">
        <v>0</v>
      </c>
      <c r="CZ94" s="675">
        <v>0</v>
      </c>
      <c r="DA94" s="675">
        <v>0</v>
      </c>
      <c r="DB94" s="675">
        <v>2810676</v>
      </c>
      <c r="DC94" s="675">
        <v>0</v>
      </c>
      <c r="DD94" s="675">
        <v>0</v>
      </c>
      <c r="DE94" s="675">
        <v>9856</v>
      </c>
      <c r="DF94" s="675">
        <v>9856</v>
      </c>
      <c r="DG94" s="675">
        <v>1.6</v>
      </c>
      <c r="DH94" s="675">
        <v>0</v>
      </c>
      <c r="DI94" s="675">
        <v>0</v>
      </c>
      <c r="DJ94" s="675">
        <v>0</v>
      </c>
      <c r="DK94" s="675">
        <v>2809</v>
      </c>
      <c r="DL94" s="675">
        <v>0</v>
      </c>
      <c r="DM94" s="675">
        <v>245524</v>
      </c>
      <c r="DN94" s="675">
        <v>849</v>
      </c>
      <c r="DO94" s="675">
        <v>0</v>
      </c>
      <c r="DP94" s="675">
        <v>0</v>
      </c>
      <c r="DQ94" s="675">
        <v>0</v>
      </c>
      <c r="DR94" s="675">
        <v>0</v>
      </c>
      <c r="DS94" s="675">
        <v>0</v>
      </c>
      <c r="DT94" s="675">
        <v>0</v>
      </c>
      <c r="DU94" s="675">
        <v>0</v>
      </c>
      <c r="DV94" s="675">
        <v>0</v>
      </c>
      <c r="DW94" s="675">
        <v>0</v>
      </c>
      <c r="DX94" s="675">
        <v>0</v>
      </c>
      <c r="DY94" s="675">
        <v>0</v>
      </c>
      <c r="DZ94" s="675">
        <v>0</v>
      </c>
      <c r="EA94" s="675">
        <v>0</v>
      </c>
      <c r="EB94" s="675">
        <v>0</v>
      </c>
      <c r="EC94" s="675">
        <v>8.8570000000000011</v>
      </c>
      <c r="ED94" s="675">
        <v>62743</v>
      </c>
      <c r="EE94" s="675">
        <v>0</v>
      </c>
      <c r="EF94" s="675">
        <v>0</v>
      </c>
      <c r="EG94" s="675">
        <v>0</v>
      </c>
      <c r="EH94" s="675">
        <v>160898</v>
      </c>
      <c r="EI94" s="675">
        <v>0</v>
      </c>
      <c r="EJ94" s="675">
        <v>0</v>
      </c>
      <c r="EK94" s="675">
        <v>6.9</v>
      </c>
      <c r="EL94" s="675">
        <v>0</v>
      </c>
      <c r="EM94" s="675">
        <v>0</v>
      </c>
      <c r="EN94" s="675">
        <v>1.0840000000000001</v>
      </c>
      <c r="EO94" s="675">
        <v>0</v>
      </c>
      <c r="EP94" s="675">
        <v>0</v>
      </c>
      <c r="EQ94" s="675">
        <v>7.984</v>
      </c>
      <c r="ER94" s="675">
        <v>0</v>
      </c>
      <c r="ES94" s="675">
        <v>26.12</v>
      </c>
      <c r="ET94" s="675">
        <v>0</v>
      </c>
      <c r="EU94" s="675">
        <v>0</v>
      </c>
      <c r="EV94" s="675">
        <v>0</v>
      </c>
      <c r="EW94" s="675">
        <v>0</v>
      </c>
      <c r="EX94" s="675">
        <v>0</v>
      </c>
      <c r="EY94" s="675">
        <v>0</v>
      </c>
      <c r="EZ94" s="675">
        <v>3418522</v>
      </c>
      <c r="FA94" s="675">
        <v>0</v>
      </c>
      <c r="FB94" s="675">
        <v>3611724</v>
      </c>
      <c r="FC94" s="675">
        <v>0</v>
      </c>
      <c r="FD94" s="675">
        <v>0</v>
      </c>
      <c r="FE94" s="675">
        <v>367479</v>
      </c>
      <c r="FF94" s="675">
        <v>76007</v>
      </c>
      <c r="FG94" s="675">
        <v>6.3574999999999993E-2</v>
      </c>
      <c r="FH94" s="675">
        <v>2.6298999999999999E-2</v>
      </c>
      <c r="FI94" s="675">
        <v>0</v>
      </c>
      <c r="FJ94" s="675">
        <v>0</v>
      </c>
      <c r="FK94" s="675">
        <v>586.47</v>
      </c>
      <c r="FL94" s="675">
        <v>4140735</v>
      </c>
      <c r="FM94" s="675">
        <v>0</v>
      </c>
      <c r="FN94" s="675">
        <v>0</v>
      </c>
      <c r="FO94" s="675">
        <v>0</v>
      </c>
      <c r="FP94" s="675">
        <v>0</v>
      </c>
      <c r="FQ94" s="675">
        <v>0</v>
      </c>
      <c r="FR94" s="675">
        <v>0</v>
      </c>
      <c r="FS94" s="675">
        <v>0</v>
      </c>
      <c r="FT94" s="675">
        <v>0</v>
      </c>
      <c r="FU94" s="675">
        <v>0</v>
      </c>
      <c r="FV94" s="675">
        <v>0</v>
      </c>
      <c r="FW94" s="675">
        <v>0</v>
      </c>
      <c r="FX94" s="675">
        <v>0</v>
      </c>
      <c r="FY94" s="675">
        <v>0</v>
      </c>
      <c r="FZ94" s="675">
        <v>0</v>
      </c>
      <c r="GA94" s="675">
        <v>0</v>
      </c>
      <c r="GB94" s="675">
        <v>0</v>
      </c>
      <c r="GC94" s="675">
        <v>0</v>
      </c>
      <c r="GD94" s="675">
        <v>0</v>
      </c>
      <c r="GE94" s="675">
        <v>0</v>
      </c>
      <c r="GF94" s="675">
        <v>0</v>
      </c>
      <c r="GG94" s="675">
        <v>0</v>
      </c>
      <c r="GH94" s="675">
        <v>0</v>
      </c>
      <c r="GI94" s="675">
        <v>0</v>
      </c>
      <c r="GJ94" s="675">
        <v>0</v>
      </c>
      <c r="GK94" s="675">
        <v>0</v>
      </c>
      <c r="GL94" s="675">
        <v>0</v>
      </c>
      <c r="GM94" s="675">
        <v>0</v>
      </c>
      <c r="GN94" s="675">
        <v>0</v>
      </c>
      <c r="GO94" s="675">
        <v>0</v>
      </c>
      <c r="GP94" s="675">
        <v>0</v>
      </c>
      <c r="GQ94" s="675">
        <v>0</v>
      </c>
      <c r="GR94" s="675">
        <v>0</v>
      </c>
      <c r="GS94" s="675">
        <v>0</v>
      </c>
      <c r="GT94" s="675">
        <v>0</v>
      </c>
      <c r="GU94" s="675">
        <v>0</v>
      </c>
      <c r="GV94" s="675">
        <v>0</v>
      </c>
      <c r="GW94" s="675">
        <v>0</v>
      </c>
      <c r="GX94" s="675">
        <v>0</v>
      </c>
      <c r="GY94" s="675">
        <v>0</v>
      </c>
      <c r="GZ94" s="675">
        <v>0</v>
      </c>
      <c r="HA94" s="675">
        <v>0</v>
      </c>
      <c r="HB94" s="675">
        <v>298386780</v>
      </c>
      <c r="HC94" s="675">
        <v>4.5690999999999996E-2</v>
      </c>
      <c r="HD94" s="675">
        <v>85525</v>
      </c>
      <c r="HE94" s="675">
        <v>0</v>
      </c>
      <c r="HF94" s="675">
        <v>505968</v>
      </c>
      <c r="HG94" s="675">
        <v>21815</v>
      </c>
      <c r="HH94" s="675">
        <v>1053</v>
      </c>
      <c r="HI94" s="675">
        <v>0</v>
      </c>
      <c r="HJ94" s="675">
        <v>4549</v>
      </c>
      <c r="HK94" s="675">
        <v>0</v>
      </c>
      <c r="HL94" s="675">
        <v>0</v>
      </c>
      <c r="HM94" s="675">
        <v>0</v>
      </c>
      <c r="HN94" s="675">
        <v>0</v>
      </c>
      <c r="HO94" s="675">
        <v>0</v>
      </c>
      <c r="HP94" s="675">
        <v>0</v>
      </c>
      <c r="HQ94" s="675">
        <v>0</v>
      </c>
      <c r="HR94" s="675">
        <v>0</v>
      </c>
      <c r="HS94" s="675">
        <v>3417608</v>
      </c>
      <c r="HT94" s="675">
        <v>76007</v>
      </c>
      <c r="HU94" s="675">
        <v>0</v>
      </c>
      <c r="HV94" s="675">
        <v>0</v>
      </c>
      <c r="HW94" s="675">
        <v>0</v>
      </c>
      <c r="HX94" s="675">
        <v>5</v>
      </c>
      <c r="HY94" s="675">
        <v>2</v>
      </c>
      <c r="HZ94" s="675">
        <v>0</v>
      </c>
      <c r="IA94" s="675">
        <v>0</v>
      </c>
      <c r="IB94" s="675">
        <v>0</v>
      </c>
      <c r="IC94" s="675">
        <v>6</v>
      </c>
      <c r="ID94" s="675">
        <v>0</v>
      </c>
      <c r="IE94" s="675">
        <v>0</v>
      </c>
      <c r="IF94" s="675">
        <v>0</v>
      </c>
      <c r="IG94" s="675">
        <v>35.414000000000001</v>
      </c>
      <c r="IH94" s="675">
        <v>1.71</v>
      </c>
      <c r="II94" s="675">
        <v>0</v>
      </c>
      <c r="IJ94" s="675">
        <v>3.6670000000000003</v>
      </c>
      <c r="IK94" s="675">
        <v>0</v>
      </c>
      <c r="IL94" s="675">
        <v>0</v>
      </c>
      <c r="IM94" s="675">
        <v>0</v>
      </c>
      <c r="IN94" s="675">
        <v>0</v>
      </c>
      <c r="IO94" s="675">
        <v>0</v>
      </c>
      <c r="IP94" s="675">
        <v>0</v>
      </c>
      <c r="IQ94" s="675">
        <v>3.6670000000000003</v>
      </c>
      <c r="IR94" s="675">
        <v>2259</v>
      </c>
      <c r="IS94" s="675">
        <v>0</v>
      </c>
      <c r="IT94" s="675">
        <v>0</v>
      </c>
      <c r="IU94" s="675">
        <v>0</v>
      </c>
      <c r="IV94" s="675">
        <v>0</v>
      </c>
      <c r="IW94" s="675">
        <v>6160</v>
      </c>
      <c r="IX94" s="675">
        <v>0</v>
      </c>
      <c r="IY94" s="675">
        <v>0</v>
      </c>
      <c r="IZ94" s="675">
        <v>0</v>
      </c>
      <c r="JA94" s="675">
        <v>0</v>
      </c>
      <c r="JB94" s="675">
        <v>0</v>
      </c>
      <c r="JC94" s="675">
        <v>0</v>
      </c>
      <c r="JD94" s="675">
        <v>0</v>
      </c>
      <c r="JE94" s="675">
        <v>0</v>
      </c>
      <c r="JF94" s="675">
        <v>0</v>
      </c>
      <c r="JG94" s="675">
        <v>0</v>
      </c>
      <c r="JH94" s="675">
        <v>0</v>
      </c>
      <c r="JI94" s="675">
        <v>0</v>
      </c>
      <c r="JJ94" s="675">
        <v>0</v>
      </c>
      <c r="JK94" s="675">
        <v>0</v>
      </c>
      <c r="JL94" s="675">
        <v>0</v>
      </c>
      <c r="JM94" s="675">
        <v>0</v>
      </c>
      <c r="JN94" s="675">
        <v>32469</v>
      </c>
      <c r="JO94" s="675">
        <v>0</v>
      </c>
      <c r="JP94" s="675">
        <v>0</v>
      </c>
      <c r="JQ94" s="675">
        <v>0</v>
      </c>
      <c r="JR94" s="675">
        <v>0</v>
      </c>
      <c r="JS94" s="675">
        <v>0</v>
      </c>
      <c r="JT94" s="675">
        <v>0</v>
      </c>
      <c r="JU94" s="675">
        <v>10089</v>
      </c>
      <c r="JV94" s="675">
        <v>0</v>
      </c>
      <c r="JW94" s="675">
        <v>0</v>
      </c>
      <c r="JX94" s="675">
        <v>0</v>
      </c>
      <c r="JY94" s="675">
        <v>0</v>
      </c>
      <c r="JZ94" s="675">
        <v>0</v>
      </c>
      <c r="KA94" s="675">
        <v>0</v>
      </c>
      <c r="KB94" s="675">
        <v>0</v>
      </c>
      <c r="KC94" s="675">
        <v>0</v>
      </c>
      <c r="KD94" s="675">
        <v>10089</v>
      </c>
      <c r="KE94" s="675">
        <v>7260</v>
      </c>
      <c r="KF94" s="675">
        <v>0</v>
      </c>
      <c r="KG94" s="675">
        <v>0</v>
      </c>
      <c r="KH94" s="675">
        <v>0</v>
      </c>
      <c r="KI94" s="675">
        <v>0</v>
      </c>
    </row>
    <row r="95" spans="1:295" ht="12.5" x14ac:dyDescent="0.25">
      <c r="A95" s="675">
        <v>35795</v>
      </c>
      <c r="B95" s="675">
        <v>15809</v>
      </c>
      <c r="C95" s="675">
        <v>9</v>
      </c>
      <c r="D95" s="675">
        <v>2022</v>
      </c>
      <c r="E95" s="675">
        <v>6160</v>
      </c>
      <c r="F95" s="675">
        <v>0</v>
      </c>
      <c r="G95" s="675">
        <v>218.58</v>
      </c>
      <c r="H95" s="675">
        <v>215.39400000000001</v>
      </c>
      <c r="I95" s="675">
        <v>215.39400000000001</v>
      </c>
      <c r="J95" s="675">
        <v>218.58</v>
      </c>
      <c r="K95" s="675">
        <v>0</v>
      </c>
      <c r="L95" s="675">
        <v>6160</v>
      </c>
      <c r="M95" s="675">
        <v>0</v>
      </c>
      <c r="N95" s="675">
        <v>0</v>
      </c>
      <c r="O95" s="675">
        <v>0</v>
      </c>
      <c r="P95" s="675">
        <v>215.19500000000002</v>
      </c>
      <c r="Q95" s="675">
        <v>0</v>
      </c>
      <c r="R95" s="675">
        <v>86600</v>
      </c>
      <c r="S95" s="675">
        <v>402.428</v>
      </c>
      <c r="T95" s="675">
        <v>0</v>
      </c>
      <c r="U95" s="675">
        <v>46052</v>
      </c>
      <c r="V95" s="675">
        <v>39.292000000000002</v>
      </c>
      <c r="W95" s="675">
        <v>24204</v>
      </c>
      <c r="X95" s="675">
        <v>24204</v>
      </c>
      <c r="Y95" s="675">
        <v>0</v>
      </c>
      <c r="Z95" s="675">
        <v>0</v>
      </c>
      <c r="AA95" s="675">
        <v>0</v>
      </c>
      <c r="AB95" s="675">
        <v>0</v>
      </c>
      <c r="AC95" s="675">
        <v>0</v>
      </c>
      <c r="AD95" s="675" t="s">
        <v>316</v>
      </c>
      <c r="AE95" s="675">
        <v>0</v>
      </c>
      <c r="AF95" s="675">
        <v>0</v>
      </c>
      <c r="AG95" s="675">
        <v>0</v>
      </c>
      <c r="AH95" s="675">
        <v>0</v>
      </c>
      <c r="AI95" s="675">
        <v>0</v>
      </c>
      <c r="AJ95" s="675">
        <v>6160</v>
      </c>
      <c r="AK95" s="675" t="s">
        <v>671</v>
      </c>
      <c r="AL95" s="675" t="s">
        <v>38</v>
      </c>
      <c r="AM95" s="675">
        <v>0</v>
      </c>
      <c r="AN95" s="675">
        <v>0</v>
      </c>
      <c r="AO95" s="675">
        <v>0</v>
      </c>
      <c r="AP95" s="675">
        <v>0</v>
      </c>
      <c r="AQ95" s="675">
        <v>0</v>
      </c>
      <c r="AR95" s="675">
        <v>0</v>
      </c>
      <c r="AS95" s="675">
        <v>0</v>
      </c>
      <c r="AT95" s="675">
        <v>0</v>
      </c>
      <c r="AU95" s="675">
        <v>0</v>
      </c>
      <c r="AV95" s="675">
        <v>-39727</v>
      </c>
      <c r="AW95" s="675">
        <v>2445133</v>
      </c>
      <c r="AX95" s="675">
        <v>2405685</v>
      </c>
      <c r="AY95" s="675">
        <v>1701526</v>
      </c>
      <c r="AZ95" s="675">
        <v>86600</v>
      </c>
      <c r="BA95" s="675">
        <v>0</v>
      </c>
      <c r="BB95" s="675">
        <v>0</v>
      </c>
      <c r="BC95" s="675">
        <v>0</v>
      </c>
      <c r="BD95" s="675">
        <v>0</v>
      </c>
      <c r="BE95" s="675">
        <v>0</v>
      </c>
      <c r="BF95" s="675">
        <v>2219785</v>
      </c>
      <c r="BG95" s="675">
        <v>0</v>
      </c>
      <c r="BH95" s="675">
        <v>0</v>
      </c>
      <c r="BI95" s="675">
        <v>0</v>
      </c>
      <c r="BJ95" s="675">
        <v>12</v>
      </c>
      <c r="BK95" s="675">
        <v>0</v>
      </c>
      <c r="BL95" s="675">
        <v>0</v>
      </c>
      <c r="BM95" s="675">
        <v>0</v>
      </c>
      <c r="BN95" s="675">
        <v>0</v>
      </c>
      <c r="BO95" s="675">
        <v>0</v>
      </c>
      <c r="BP95" s="675">
        <v>0</v>
      </c>
      <c r="BQ95" s="675">
        <v>737</v>
      </c>
      <c r="BR95" s="675">
        <v>0</v>
      </c>
      <c r="BS95" s="675">
        <v>0</v>
      </c>
      <c r="BT95" s="675">
        <v>0</v>
      </c>
      <c r="BU95" s="675">
        <v>0</v>
      </c>
      <c r="BV95" s="675">
        <v>0</v>
      </c>
      <c r="BW95" s="675">
        <v>0</v>
      </c>
      <c r="BX95" s="675">
        <v>0</v>
      </c>
      <c r="BY95" s="675">
        <v>0</v>
      </c>
      <c r="BZ95" s="675">
        <v>0</v>
      </c>
      <c r="CA95" s="675">
        <v>0</v>
      </c>
      <c r="CB95" s="675">
        <v>0</v>
      </c>
      <c r="CC95" s="675">
        <v>0</v>
      </c>
      <c r="CD95" s="675">
        <v>0</v>
      </c>
      <c r="CE95" s="675">
        <v>0</v>
      </c>
      <c r="CF95" s="675">
        <v>0</v>
      </c>
      <c r="CG95" s="675">
        <v>0</v>
      </c>
      <c r="CH95" s="675">
        <v>39948</v>
      </c>
      <c r="CI95" s="675">
        <v>0</v>
      </c>
      <c r="CJ95" s="675">
        <v>4</v>
      </c>
      <c r="CK95" s="675">
        <v>0</v>
      </c>
      <c r="CL95" s="675">
        <v>0</v>
      </c>
      <c r="CM95" s="675">
        <v>0</v>
      </c>
      <c r="CN95" s="675">
        <v>0</v>
      </c>
      <c r="CO95" s="675">
        <v>1</v>
      </c>
      <c r="CP95" s="675">
        <v>0</v>
      </c>
      <c r="CQ95" s="675">
        <v>0</v>
      </c>
      <c r="CR95" s="675">
        <v>220.05800000000002</v>
      </c>
      <c r="CS95" s="675">
        <v>0</v>
      </c>
      <c r="CT95" s="675">
        <v>0</v>
      </c>
      <c r="CU95" s="675">
        <v>0</v>
      </c>
      <c r="CV95" s="675">
        <v>0</v>
      </c>
      <c r="CW95" s="675">
        <v>0</v>
      </c>
      <c r="CX95" s="675">
        <v>0</v>
      </c>
      <c r="CY95" s="675">
        <v>0</v>
      </c>
      <c r="CZ95" s="675">
        <v>0</v>
      </c>
      <c r="DA95" s="675">
        <v>0</v>
      </c>
      <c r="DB95" s="675">
        <v>1202930</v>
      </c>
      <c r="DC95" s="675">
        <v>0</v>
      </c>
      <c r="DD95" s="675">
        <v>0</v>
      </c>
      <c r="DE95" s="675">
        <v>411948</v>
      </c>
      <c r="DF95" s="675">
        <v>411948</v>
      </c>
      <c r="DG95" s="675">
        <v>66.875</v>
      </c>
      <c r="DH95" s="675">
        <v>0</v>
      </c>
      <c r="DI95" s="675">
        <v>0</v>
      </c>
      <c r="DJ95" s="675">
        <v>0</v>
      </c>
      <c r="DK95" s="675">
        <v>3412</v>
      </c>
      <c r="DL95" s="675">
        <v>0</v>
      </c>
      <c r="DM95" s="675">
        <v>255075</v>
      </c>
      <c r="DN95" s="675">
        <v>500</v>
      </c>
      <c r="DO95" s="675">
        <v>0</v>
      </c>
      <c r="DP95" s="675">
        <v>0</v>
      </c>
      <c r="DQ95" s="675">
        <v>0</v>
      </c>
      <c r="DR95" s="675">
        <v>0</v>
      </c>
      <c r="DS95" s="675">
        <v>0</v>
      </c>
      <c r="DT95" s="675">
        <v>0</v>
      </c>
      <c r="DU95" s="675">
        <v>0</v>
      </c>
      <c r="DV95" s="675">
        <v>0</v>
      </c>
      <c r="DW95" s="675">
        <v>0</v>
      </c>
      <c r="DX95" s="675">
        <v>0</v>
      </c>
      <c r="DY95" s="675">
        <v>0</v>
      </c>
      <c r="DZ95" s="675">
        <v>0</v>
      </c>
      <c r="EA95" s="675">
        <v>0</v>
      </c>
      <c r="EB95" s="675">
        <v>0</v>
      </c>
      <c r="EC95" s="675">
        <v>9.6219999999999999</v>
      </c>
      <c r="ED95" s="675">
        <v>68162</v>
      </c>
      <c r="EE95" s="675">
        <v>0</v>
      </c>
      <c r="EF95" s="675">
        <v>0</v>
      </c>
      <c r="EG95" s="675">
        <v>0</v>
      </c>
      <c r="EH95" s="675">
        <v>63522</v>
      </c>
      <c r="EI95" s="675">
        <v>0</v>
      </c>
      <c r="EJ95" s="675">
        <v>0</v>
      </c>
      <c r="EK95" s="675">
        <v>2.31</v>
      </c>
      <c r="EL95" s="675">
        <v>0</v>
      </c>
      <c r="EM95" s="675">
        <v>0.499</v>
      </c>
      <c r="EN95" s="675">
        <v>0.377</v>
      </c>
      <c r="EO95" s="675">
        <v>0</v>
      </c>
      <c r="EP95" s="675">
        <v>0</v>
      </c>
      <c r="EQ95" s="675">
        <v>3.1859999999999999</v>
      </c>
      <c r="ER95" s="675">
        <v>0</v>
      </c>
      <c r="ES95" s="675">
        <v>10.312000000000001</v>
      </c>
      <c r="ET95" s="675">
        <v>0</v>
      </c>
      <c r="EU95" s="675">
        <v>0</v>
      </c>
      <c r="EV95" s="675">
        <v>0</v>
      </c>
      <c r="EW95" s="675">
        <v>0</v>
      </c>
      <c r="EX95" s="675">
        <v>0</v>
      </c>
      <c r="EY95" s="675">
        <v>0</v>
      </c>
      <c r="EZ95" s="675">
        <v>2133185</v>
      </c>
      <c r="FA95" s="675">
        <v>0</v>
      </c>
      <c r="FB95" s="675">
        <v>2219285</v>
      </c>
      <c r="FC95" s="675">
        <v>0</v>
      </c>
      <c r="FD95" s="675">
        <v>0</v>
      </c>
      <c r="FE95" s="675">
        <v>225797</v>
      </c>
      <c r="FF95" s="675">
        <v>46703</v>
      </c>
      <c r="FG95" s="675">
        <v>6.3574999999999993E-2</v>
      </c>
      <c r="FH95" s="675">
        <v>2.6298999999999999E-2</v>
      </c>
      <c r="FI95" s="675">
        <v>0</v>
      </c>
      <c r="FJ95" s="675">
        <v>0</v>
      </c>
      <c r="FK95" s="675">
        <v>360.35599999999999</v>
      </c>
      <c r="FL95" s="675">
        <v>2531733</v>
      </c>
      <c r="FM95" s="675">
        <v>0</v>
      </c>
      <c r="FN95" s="675">
        <v>0</v>
      </c>
      <c r="FO95" s="675">
        <v>0</v>
      </c>
      <c r="FP95" s="675">
        <v>0</v>
      </c>
      <c r="FQ95" s="675">
        <v>0</v>
      </c>
      <c r="FR95" s="675">
        <v>0</v>
      </c>
      <c r="FS95" s="675">
        <v>0</v>
      </c>
      <c r="FT95" s="675">
        <v>0</v>
      </c>
      <c r="FU95" s="675">
        <v>0</v>
      </c>
      <c r="FV95" s="675">
        <v>0</v>
      </c>
      <c r="FW95" s="675">
        <v>0</v>
      </c>
      <c r="FX95" s="675">
        <v>0</v>
      </c>
      <c r="FY95" s="675">
        <v>0</v>
      </c>
      <c r="FZ95" s="675">
        <v>0</v>
      </c>
      <c r="GA95" s="675">
        <v>0</v>
      </c>
      <c r="GB95" s="675">
        <v>0</v>
      </c>
      <c r="GC95" s="675">
        <v>0</v>
      </c>
      <c r="GD95" s="675">
        <v>0</v>
      </c>
      <c r="GE95" s="675">
        <v>0</v>
      </c>
      <c r="GF95" s="675">
        <v>0</v>
      </c>
      <c r="GG95" s="675">
        <v>0</v>
      </c>
      <c r="GH95" s="675">
        <v>0</v>
      </c>
      <c r="GI95" s="675">
        <v>0</v>
      </c>
      <c r="GJ95" s="675">
        <v>0</v>
      </c>
      <c r="GK95" s="675">
        <v>0</v>
      </c>
      <c r="GL95" s="675">
        <v>0</v>
      </c>
      <c r="GM95" s="675">
        <v>0</v>
      </c>
      <c r="GN95" s="675">
        <v>0</v>
      </c>
      <c r="GO95" s="675">
        <v>0</v>
      </c>
      <c r="GP95" s="675">
        <v>0</v>
      </c>
      <c r="GQ95" s="675">
        <v>0</v>
      </c>
      <c r="GR95" s="675">
        <v>0</v>
      </c>
      <c r="GS95" s="675">
        <v>0</v>
      </c>
      <c r="GT95" s="675">
        <v>0</v>
      </c>
      <c r="GU95" s="675">
        <v>0</v>
      </c>
      <c r="GV95" s="675">
        <v>0</v>
      </c>
      <c r="GW95" s="675">
        <v>0</v>
      </c>
      <c r="GX95" s="675">
        <v>0</v>
      </c>
      <c r="GY95" s="675">
        <v>0</v>
      </c>
      <c r="GZ95" s="675">
        <v>0</v>
      </c>
      <c r="HA95" s="675">
        <v>0</v>
      </c>
      <c r="HB95" s="675">
        <v>298386780</v>
      </c>
      <c r="HC95" s="675">
        <v>4.5690999999999996E-2</v>
      </c>
      <c r="HD95" s="675">
        <v>39948</v>
      </c>
      <c r="HE95" s="675">
        <v>0</v>
      </c>
      <c r="HF95" s="675">
        <v>236933</v>
      </c>
      <c r="HG95" s="675">
        <v>11088</v>
      </c>
      <c r="HH95" s="675">
        <v>74982</v>
      </c>
      <c r="HI95" s="675">
        <v>0</v>
      </c>
      <c r="HJ95" s="675">
        <v>2125</v>
      </c>
      <c r="HK95" s="675">
        <v>0</v>
      </c>
      <c r="HL95" s="675">
        <v>0</v>
      </c>
      <c r="HM95" s="675">
        <v>0</v>
      </c>
      <c r="HN95" s="675">
        <v>0</v>
      </c>
      <c r="HO95" s="675">
        <v>0</v>
      </c>
      <c r="HP95" s="675">
        <v>0</v>
      </c>
      <c r="HQ95" s="675">
        <v>0</v>
      </c>
      <c r="HR95" s="675">
        <v>0</v>
      </c>
      <c r="HS95" s="675">
        <v>2132685</v>
      </c>
      <c r="HT95" s="675">
        <v>46703</v>
      </c>
      <c r="HU95" s="675">
        <v>0</v>
      </c>
      <c r="HV95" s="675">
        <v>0</v>
      </c>
      <c r="HW95" s="675">
        <v>0</v>
      </c>
      <c r="HX95" s="675">
        <v>9</v>
      </c>
      <c r="HY95" s="675">
        <v>11</v>
      </c>
      <c r="HZ95" s="675">
        <v>38</v>
      </c>
      <c r="IA95" s="675">
        <v>71</v>
      </c>
      <c r="IB95" s="675">
        <v>124</v>
      </c>
      <c r="IC95" s="675">
        <v>253</v>
      </c>
      <c r="ID95" s="675">
        <v>0</v>
      </c>
      <c r="IE95" s="675">
        <v>0</v>
      </c>
      <c r="IF95" s="675">
        <v>0</v>
      </c>
      <c r="IG95" s="675">
        <v>18</v>
      </c>
      <c r="IH95" s="675">
        <v>121.72500000000001</v>
      </c>
      <c r="II95" s="675">
        <v>0</v>
      </c>
      <c r="IJ95" s="675">
        <v>39.292000000000002</v>
      </c>
      <c r="IK95" s="675">
        <v>0</v>
      </c>
      <c r="IL95" s="675">
        <v>0</v>
      </c>
      <c r="IM95" s="675">
        <v>0</v>
      </c>
      <c r="IN95" s="675">
        <v>0</v>
      </c>
      <c r="IO95" s="675">
        <v>0</v>
      </c>
      <c r="IP95" s="675">
        <v>0</v>
      </c>
      <c r="IQ95" s="675">
        <v>39.292000000000002</v>
      </c>
      <c r="IR95" s="675">
        <v>24204</v>
      </c>
      <c r="IS95" s="675">
        <v>0</v>
      </c>
      <c r="IT95" s="675">
        <v>0</v>
      </c>
      <c r="IU95" s="675">
        <v>0</v>
      </c>
      <c r="IV95" s="675">
        <v>0</v>
      </c>
      <c r="IW95" s="675">
        <v>6160</v>
      </c>
      <c r="IX95" s="675">
        <v>0</v>
      </c>
      <c r="IY95" s="675">
        <v>0</v>
      </c>
      <c r="IZ95" s="675">
        <v>0</v>
      </c>
      <c r="JA95" s="675">
        <v>0</v>
      </c>
      <c r="JB95" s="675">
        <v>0</v>
      </c>
      <c r="JC95" s="675">
        <v>0</v>
      </c>
      <c r="JD95" s="675">
        <v>0</v>
      </c>
      <c r="JE95" s="675">
        <v>0</v>
      </c>
      <c r="JF95" s="675">
        <v>0</v>
      </c>
      <c r="JG95" s="675">
        <v>0</v>
      </c>
      <c r="JH95" s="675">
        <v>0</v>
      </c>
      <c r="JI95" s="675">
        <v>0</v>
      </c>
      <c r="JJ95" s="675">
        <v>0</v>
      </c>
      <c r="JK95" s="675">
        <v>0</v>
      </c>
      <c r="JL95" s="675">
        <v>0</v>
      </c>
      <c r="JM95" s="675">
        <v>0</v>
      </c>
      <c r="JN95" s="675">
        <v>34493</v>
      </c>
      <c r="JO95" s="675">
        <v>0</v>
      </c>
      <c r="JP95" s="675">
        <v>0</v>
      </c>
      <c r="JQ95" s="675">
        <v>0</v>
      </c>
      <c r="JR95" s="675">
        <v>0</v>
      </c>
      <c r="JS95" s="675">
        <v>0</v>
      </c>
      <c r="JT95" s="675">
        <v>0</v>
      </c>
      <c r="JU95" s="675">
        <v>0</v>
      </c>
      <c r="JV95" s="675">
        <v>0</v>
      </c>
      <c r="JW95" s="675">
        <v>0</v>
      </c>
      <c r="JX95" s="675">
        <v>0</v>
      </c>
      <c r="JY95" s="675">
        <v>0</v>
      </c>
      <c r="JZ95" s="675">
        <v>0</v>
      </c>
      <c r="KA95" s="675">
        <v>0</v>
      </c>
      <c r="KB95" s="675">
        <v>0</v>
      </c>
      <c r="KC95" s="675">
        <v>0</v>
      </c>
      <c r="KD95" s="675">
        <v>0</v>
      </c>
      <c r="KE95" s="675">
        <v>7260</v>
      </c>
      <c r="KF95" s="675">
        <v>0</v>
      </c>
      <c r="KG95" s="675">
        <v>0</v>
      </c>
      <c r="KH95" s="675">
        <v>0</v>
      </c>
      <c r="KI95" s="675">
        <v>0</v>
      </c>
    </row>
    <row r="96" spans="1:295" ht="12.5" x14ac:dyDescent="0.25">
      <c r="A96" s="675">
        <v>35795</v>
      </c>
      <c r="B96" s="675">
        <v>57809</v>
      </c>
      <c r="C96" s="675">
        <v>9</v>
      </c>
      <c r="D96" s="675">
        <v>2022</v>
      </c>
      <c r="E96" s="675">
        <v>6160</v>
      </c>
      <c r="F96" s="675">
        <v>0</v>
      </c>
      <c r="G96" s="675">
        <v>91.850000000000009</v>
      </c>
      <c r="H96" s="675">
        <v>91.817000000000007</v>
      </c>
      <c r="I96" s="675">
        <v>91.817000000000007</v>
      </c>
      <c r="J96" s="675">
        <v>91.850000000000009</v>
      </c>
      <c r="K96" s="675">
        <v>0</v>
      </c>
      <c r="L96" s="675">
        <v>6160</v>
      </c>
      <c r="M96" s="675">
        <v>0</v>
      </c>
      <c r="N96" s="675">
        <v>0</v>
      </c>
      <c r="O96" s="675">
        <v>0</v>
      </c>
      <c r="P96" s="675">
        <v>87.222000000000008</v>
      </c>
      <c r="Q96" s="675">
        <v>0</v>
      </c>
      <c r="R96" s="675">
        <v>35101</v>
      </c>
      <c r="S96" s="675">
        <v>402.428</v>
      </c>
      <c r="T96" s="675">
        <v>0</v>
      </c>
      <c r="U96" s="675">
        <v>18667</v>
      </c>
      <c r="V96" s="675">
        <v>8.359</v>
      </c>
      <c r="W96" s="675">
        <v>5149</v>
      </c>
      <c r="X96" s="675">
        <v>5149</v>
      </c>
      <c r="Y96" s="675">
        <v>0</v>
      </c>
      <c r="Z96" s="675">
        <v>0</v>
      </c>
      <c r="AA96" s="675">
        <v>0</v>
      </c>
      <c r="AB96" s="675">
        <v>0</v>
      </c>
      <c r="AC96" s="675">
        <v>0</v>
      </c>
      <c r="AD96" s="675" t="s">
        <v>316</v>
      </c>
      <c r="AE96" s="675">
        <v>0</v>
      </c>
      <c r="AF96" s="675">
        <v>0</v>
      </c>
      <c r="AG96" s="675">
        <v>0</v>
      </c>
      <c r="AH96" s="675">
        <v>0</v>
      </c>
      <c r="AI96" s="675">
        <v>0</v>
      </c>
      <c r="AJ96" s="675">
        <v>6160</v>
      </c>
      <c r="AK96" s="675" t="s">
        <v>671</v>
      </c>
      <c r="AL96" s="675" t="s">
        <v>327</v>
      </c>
      <c r="AM96" s="675">
        <v>0</v>
      </c>
      <c r="AN96" s="675">
        <v>0</v>
      </c>
      <c r="AO96" s="675">
        <v>0</v>
      </c>
      <c r="AP96" s="675">
        <v>0</v>
      </c>
      <c r="AQ96" s="675">
        <v>0</v>
      </c>
      <c r="AR96" s="675">
        <v>0</v>
      </c>
      <c r="AS96" s="675">
        <v>0</v>
      </c>
      <c r="AT96" s="675">
        <v>0</v>
      </c>
      <c r="AU96" s="675">
        <v>0</v>
      </c>
      <c r="AV96" s="675">
        <v>-64782</v>
      </c>
      <c r="AW96" s="675">
        <v>1034975</v>
      </c>
      <c r="AX96" s="675">
        <v>990856</v>
      </c>
      <c r="AY96" s="675">
        <v>651906</v>
      </c>
      <c r="AZ96" s="675">
        <v>35101</v>
      </c>
      <c r="BA96" s="675">
        <v>0</v>
      </c>
      <c r="BB96" s="675">
        <v>0</v>
      </c>
      <c r="BC96" s="675">
        <v>0</v>
      </c>
      <c r="BD96" s="675">
        <v>0</v>
      </c>
      <c r="BE96" s="675">
        <v>0</v>
      </c>
      <c r="BF96" s="675">
        <v>913782</v>
      </c>
      <c r="BG96" s="675">
        <v>0</v>
      </c>
      <c r="BH96" s="675">
        <v>0</v>
      </c>
      <c r="BI96" s="675">
        <v>0</v>
      </c>
      <c r="BJ96" s="675">
        <v>12</v>
      </c>
      <c r="BK96" s="675">
        <v>0</v>
      </c>
      <c r="BL96" s="675">
        <v>0</v>
      </c>
      <c r="BM96" s="675">
        <v>0</v>
      </c>
      <c r="BN96" s="675">
        <v>0</v>
      </c>
      <c r="BO96" s="675">
        <v>0</v>
      </c>
      <c r="BP96" s="675">
        <v>0</v>
      </c>
      <c r="BQ96" s="675">
        <v>756</v>
      </c>
      <c r="BR96" s="675">
        <v>0</v>
      </c>
      <c r="BS96" s="675">
        <v>0</v>
      </c>
      <c r="BT96" s="675">
        <v>0</v>
      </c>
      <c r="BU96" s="675">
        <v>0</v>
      </c>
      <c r="BV96" s="675">
        <v>0</v>
      </c>
      <c r="BW96" s="675">
        <v>0</v>
      </c>
      <c r="BX96" s="675">
        <v>0</v>
      </c>
      <c r="BY96" s="675">
        <v>0</v>
      </c>
      <c r="BZ96" s="675">
        <v>0</v>
      </c>
      <c r="CA96" s="675">
        <v>0</v>
      </c>
      <c r="CB96" s="675">
        <v>0</v>
      </c>
      <c r="CC96" s="675">
        <v>0</v>
      </c>
      <c r="CD96" s="675">
        <v>0</v>
      </c>
      <c r="CE96" s="675">
        <v>0</v>
      </c>
      <c r="CF96" s="675">
        <v>0</v>
      </c>
      <c r="CG96" s="675">
        <v>0</v>
      </c>
      <c r="CH96" s="675">
        <v>44123</v>
      </c>
      <c r="CI96" s="675">
        <v>0</v>
      </c>
      <c r="CJ96" s="675">
        <v>4</v>
      </c>
      <c r="CK96" s="675">
        <v>0</v>
      </c>
      <c r="CL96" s="675">
        <v>0</v>
      </c>
      <c r="CM96" s="675">
        <v>0</v>
      </c>
      <c r="CN96" s="675">
        <v>0</v>
      </c>
      <c r="CO96" s="675">
        <v>1</v>
      </c>
      <c r="CP96" s="675">
        <v>0</v>
      </c>
      <c r="CQ96" s="675">
        <v>0</v>
      </c>
      <c r="CR96" s="675">
        <v>88.972999999999999</v>
      </c>
      <c r="CS96" s="675">
        <v>0</v>
      </c>
      <c r="CT96" s="675">
        <v>0</v>
      </c>
      <c r="CU96" s="675">
        <v>0</v>
      </c>
      <c r="CV96" s="675">
        <v>0</v>
      </c>
      <c r="CW96" s="675">
        <v>0</v>
      </c>
      <c r="CX96" s="675">
        <v>0</v>
      </c>
      <c r="CY96" s="675">
        <v>0</v>
      </c>
      <c r="CZ96" s="675">
        <v>0</v>
      </c>
      <c r="DA96" s="675">
        <v>0</v>
      </c>
      <c r="DB96" s="675">
        <v>547273</v>
      </c>
      <c r="DC96" s="675">
        <v>0</v>
      </c>
      <c r="DD96" s="675">
        <v>0</v>
      </c>
      <c r="DE96" s="675">
        <v>196811</v>
      </c>
      <c r="DF96" s="675">
        <v>196811</v>
      </c>
      <c r="DG96" s="675">
        <v>31.95</v>
      </c>
      <c r="DH96" s="675">
        <v>0</v>
      </c>
      <c r="DI96" s="675">
        <v>0</v>
      </c>
      <c r="DJ96" s="675">
        <v>0</v>
      </c>
      <c r="DK96" s="675">
        <v>3716</v>
      </c>
      <c r="DL96" s="675">
        <v>0</v>
      </c>
      <c r="DM96" s="675">
        <v>19329</v>
      </c>
      <c r="DN96" s="675">
        <v>4</v>
      </c>
      <c r="DO96" s="675">
        <v>0</v>
      </c>
      <c r="DP96" s="675">
        <v>0</v>
      </c>
      <c r="DQ96" s="675">
        <v>0</v>
      </c>
      <c r="DR96" s="675">
        <v>0</v>
      </c>
      <c r="DS96" s="675">
        <v>0</v>
      </c>
      <c r="DT96" s="675">
        <v>0</v>
      </c>
      <c r="DU96" s="675">
        <v>0</v>
      </c>
      <c r="DV96" s="675">
        <v>0</v>
      </c>
      <c r="DW96" s="675">
        <v>0</v>
      </c>
      <c r="DX96" s="675">
        <v>0</v>
      </c>
      <c r="DY96" s="675">
        <v>0</v>
      </c>
      <c r="DZ96" s="675">
        <v>0</v>
      </c>
      <c r="EA96" s="675">
        <v>0</v>
      </c>
      <c r="EB96" s="675">
        <v>0</v>
      </c>
      <c r="EC96" s="675">
        <v>0</v>
      </c>
      <c r="ED96" s="675">
        <v>0</v>
      </c>
      <c r="EE96" s="675">
        <v>0</v>
      </c>
      <c r="EF96" s="675">
        <v>0</v>
      </c>
      <c r="EG96" s="675">
        <v>0</v>
      </c>
      <c r="EH96" s="675">
        <v>1016</v>
      </c>
      <c r="EI96" s="675">
        <v>0</v>
      </c>
      <c r="EJ96" s="675">
        <v>0</v>
      </c>
      <c r="EK96" s="675">
        <v>0</v>
      </c>
      <c r="EL96" s="675">
        <v>0</v>
      </c>
      <c r="EM96" s="675">
        <v>0</v>
      </c>
      <c r="EN96" s="675">
        <v>3.3000000000000002E-2</v>
      </c>
      <c r="EO96" s="675">
        <v>0</v>
      </c>
      <c r="EP96" s="675">
        <v>0</v>
      </c>
      <c r="EQ96" s="675">
        <v>3.3000000000000002E-2</v>
      </c>
      <c r="ER96" s="675">
        <v>0</v>
      </c>
      <c r="ES96" s="675">
        <v>0.16500000000000001</v>
      </c>
      <c r="ET96" s="675">
        <v>0</v>
      </c>
      <c r="EU96" s="675">
        <v>0</v>
      </c>
      <c r="EV96" s="675">
        <v>0</v>
      </c>
      <c r="EW96" s="675">
        <v>0</v>
      </c>
      <c r="EX96" s="675">
        <v>0</v>
      </c>
      <c r="EY96" s="675">
        <v>0</v>
      </c>
      <c r="EZ96" s="675">
        <v>878681</v>
      </c>
      <c r="FA96" s="675">
        <v>0</v>
      </c>
      <c r="FB96" s="675">
        <v>913778</v>
      </c>
      <c r="FC96" s="675">
        <v>0</v>
      </c>
      <c r="FD96" s="675">
        <v>0</v>
      </c>
      <c r="FE96" s="675">
        <v>92950</v>
      </c>
      <c r="FF96" s="675">
        <v>19225</v>
      </c>
      <c r="FG96" s="675">
        <v>6.3574999999999993E-2</v>
      </c>
      <c r="FH96" s="675">
        <v>2.6298999999999999E-2</v>
      </c>
      <c r="FI96" s="675">
        <v>0</v>
      </c>
      <c r="FJ96" s="675">
        <v>0</v>
      </c>
      <c r="FK96" s="675">
        <v>148.34200000000001</v>
      </c>
      <c r="FL96" s="675">
        <v>1070076</v>
      </c>
      <c r="FM96" s="675">
        <v>0</v>
      </c>
      <c r="FN96" s="675">
        <v>0</v>
      </c>
      <c r="FO96" s="675">
        <v>0</v>
      </c>
      <c r="FP96" s="675">
        <v>0</v>
      </c>
      <c r="FQ96" s="675">
        <v>0</v>
      </c>
      <c r="FR96" s="675">
        <v>0</v>
      </c>
      <c r="FS96" s="675">
        <v>0</v>
      </c>
      <c r="FT96" s="675">
        <v>0</v>
      </c>
      <c r="FU96" s="675">
        <v>0</v>
      </c>
      <c r="FV96" s="675">
        <v>0</v>
      </c>
      <c r="FW96" s="675">
        <v>0</v>
      </c>
      <c r="FX96" s="675">
        <v>0</v>
      </c>
      <c r="FY96" s="675">
        <v>0</v>
      </c>
      <c r="FZ96" s="675">
        <v>0</v>
      </c>
      <c r="GA96" s="675">
        <v>0</v>
      </c>
      <c r="GB96" s="675">
        <v>0</v>
      </c>
      <c r="GC96" s="675">
        <v>0</v>
      </c>
      <c r="GD96" s="675">
        <v>0</v>
      </c>
      <c r="GE96" s="675">
        <v>0</v>
      </c>
      <c r="GF96" s="675">
        <v>0</v>
      </c>
      <c r="GG96" s="675">
        <v>0</v>
      </c>
      <c r="GH96" s="675">
        <v>0</v>
      </c>
      <c r="GI96" s="675">
        <v>0</v>
      </c>
      <c r="GJ96" s="675">
        <v>0</v>
      </c>
      <c r="GK96" s="675">
        <v>0</v>
      </c>
      <c r="GL96" s="675">
        <v>0</v>
      </c>
      <c r="GM96" s="675">
        <v>0</v>
      </c>
      <c r="GN96" s="675">
        <v>0</v>
      </c>
      <c r="GO96" s="675">
        <v>0</v>
      </c>
      <c r="GP96" s="675">
        <v>0</v>
      </c>
      <c r="GQ96" s="675">
        <v>0</v>
      </c>
      <c r="GR96" s="675">
        <v>0</v>
      </c>
      <c r="GS96" s="675">
        <v>0</v>
      </c>
      <c r="GT96" s="675">
        <v>0</v>
      </c>
      <c r="GU96" s="675">
        <v>0</v>
      </c>
      <c r="GV96" s="675">
        <v>0</v>
      </c>
      <c r="GW96" s="675">
        <v>0</v>
      </c>
      <c r="GX96" s="675">
        <v>0</v>
      </c>
      <c r="GY96" s="675">
        <v>0</v>
      </c>
      <c r="GZ96" s="675">
        <v>0</v>
      </c>
      <c r="HA96" s="675">
        <v>0</v>
      </c>
      <c r="HB96" s="675">
        <v>298386780</v>
      </c>
      <c r="HC96" s="675">
        <v>4.5690999999999996E-2</v>
      </c>
      <c r="HD96" s="675">
        <v>16787</v>
      </c>
      <c r="HE96" s="675">
        <v>0</v>
      </c>
      <c r="HF96" s="675">
        <v>100999</v>
      </c>
      <c r="HG96" s="675">
        <v>642</v>
      </c>
      <c r="HH96" s="675">
        <v>35482</v>
      </c>
      <c r="HI96" s="675">
        <v>0</v>
      </c>
      <c r="HJ96" s="675">
        <v>893</v>
      </c>
      <c r="HK96" s="675">
        <v>0</v>
      </c>
      <c r="HL96" s="675">
        <v>0</v>
      </c>
      <c r="HM96" s="675">
        <v>0</v>
      </c>
      <c r="HN96" s="675">
        <v>0</v>
      </c>
      <c r="HO96" s="675">
        <v>7200</v>
      </c>
      <c r="HP96" s="675">
        <v>0</v>
      </c>
      <c r="HQ96" s="675">
        <v>0</v>
      </c>
      <c r="HR96" s="675">
        <v>0</v>
      </c>
      <c r="HS96" s="675">
        <v>878677</v>
      </c>
      <c r="HT96" s="675">
        <v>19225</v>
      </c>
      <c r="HU96" s="675">
        <v>0</v>
      </c>
      <c r="HV96" s="675">
        <v>0</v>
      </c>
      <c r="HW96" s="675">
        <v>0</v>
      </c>
      <c r="HX96" s="675">
        <v>8</v>
      </c>
      <c r="HY96" s="675">
        <v>7</v>
      </c>
      <c r="HZ96" s="675">
        <v>18</v>
      </c>
      <c r="IA96" s="675">
        <v>39</v>
      </c>
      <c r="IB96" s="675">
        <v>50</v>
      </c>
      <c r="IC96" s="675">
        <v>122</v>
      </c>
      <c r="ID96" s="675">
        <v>0</v>
      </c>
      <c r="IE96" s="675">
        <v>0</v>
      </c>
      <c r="IF96" s="675">
        <v>0</v>
      </c>
      <c r="IG96" s="675">
        <v>1.042</v>
      </c>
      <c r="IH96" s="675">
        <v>57.601000000000006</v>
      </c>
      <c r="II96" s="675">
        <v>0</v>
      </c>
      <c r="IJ96" s="675">
        <v>8.359</v>
      </c>
      <c r="IK96" s="675">
        <v>0</v>
      </c>
      <c r="IL96" s="675">
        <v>0</v>
      </c>
      <c r="IM96" s="675">
        <v>0</v>
      </c>
      <c r="IN96" s="675">
        <v>0</v>
      </c>
      <c r="IO96" s="675">
        <v>0</v>
      </c>
      <c r="IP96" s="675">
        <v>0</v>
      </c>
      <c r="IQ96" s="675">
        <v>8.359</v>
      </c>
      <c r="IR96" s="675">
        <v>5149</v>
      </c>
      <c r="IS96" s="675">
        <v>0</v>
      </c>
      <c r="IT96" s="675">
        <v>0</v>
      </c>
      <c r="IU96" s="675">
        <v>0</v>
      </c>
      <c r="IV96" s="675">
        <v>0</v>
      </c>
      <c r="IW96" s="675">
        <v>6160</v>
      </c>
      <c r="IX96" s="675">
        <v>0</v>
      </c>
      <c r="IY96" s="675">
        <v>0</v>
      </c>
      <c r="IZ96" s="675">
        <v>0</v>
      </c>
      <c r="JA96" s="675">
        <v>0</v>
      </c>
      <c r="JB96" s="675">
        <v>0</v>
      </c>
      <c r="JC96" s="675">
        <v>0</v>
      </c>
      <c r="JD96" s="675">
        <v>0</v>
      </c>
      <c r="JE96" s="675">
        <v>0</v>
      </c>
      <c r="JF96" s="675">
        <v>0</v>
      </c>
      <c r="JG96" s="675">
        <v>0</v>
      </c>
      <c r="JH96" s="675">
        <v>0</v>
      </c>
      <c r="JI96" s="675">
        <v>0</v>
      </c>
      <c r="JJ96" s="675">
        <v>0</v>
      </c>
      <c r="JK96" s="675">
        <v>0</v>
      </c>
      <c r="JL96" s="675">
        <v>0</v>
      </c>
      <c r="JM96" s="675">
        <v>0</v>
      </c>
      <c r="JN96" s="675">
        <v>32469</v>
      </c>
      <c r="JO96" s="675">
        <v>0</v>
      </c>
      <c r="JP96" s="675">
        <v>0</v>
      </c>
      <c r="JQ96" s="675">
        <v>0</v>
      </c>
      <c r="JR96" s="675">
        <v>0</v>
      </c>
      <c r="JS96" s="675">
        <v>0</v>
      </c>
      <c r="JT96" s="675">
        <v>0</v>
      </c>
      <c r="JU96" s="675">
        <v>0</v>
      </c>
      <c r="JV96" s="675">
        <v>0</v>
      </c>
      <c r="JW96" s="675">
        <v>0</v>
      </c>
      <c r="JX96" s="675">
        <v>0</v>
      </c>
      <c r="JY96" s="675">
        <v>0</v>
      </c>
      <c r="JZ96" s="675">
        <v>0</v>
      </c>
      <c r="KA96" s="675">
        <v>0</v>
      </c>
      <c r="KB96" s="675">
        <v>0</v>
      </c>
      <c r="KC96" s="675">
        <v>0</v>
      </c>
      <c r="KD96" s="675">
        <v>0</v>
      </c>
      <c r="KE96" s="675">
        <v>7260</v>
      </c>
      <c r="KF96" s="675">
        <v>27336</v>
      </c>
      <c r="KG96" s="675">
        <v>0</v>
      </c>
      <c r="KH96" s="675">
        <v>0</v>
      </c>
      <c r="KI96" s="675">
        <v>0</v>
      </c>
    </row>
    <row r="97" spans="1:295" ht="12.5" x14ac:dyDescent="0.25">
      <c r="A97" s="675">
        <v>35795</v>
      </c>
      <c r="B97" s="675">
        <v>71809</v>
      </c>
      <c r="C97" s="675">
        <v>9</v>
      </c>
      <c r="D97" s="675">
        <v>2022</v>
      </c>
      <c r="E97" s="675">
        <v>6160</v>
      </c>
      <c r="F97" s="675">
        <v>0</v>
      </c>
      <c r="G97" s="675">
        <v>273.32300000000004</v>
      </c>
      <c r="H97" s="675">
        <v>272.435</v>
      </c>
      <c r="I97" s="675">
        <v>272.435</v>
      </c>
      <c r="J97" s="675">
        <v>273.32300000000004</v>
      </c>
      <c r="K97" s="675">
        <v>0</v>
      </c>
      <c r="L97" s="675">
        <v>6160</v>
      </c>
      <c r="M97" s="675">
        <v>0</v>
      </c>
      <c r="N97" s="675">
        <v>0</v>
      </c>
      <c r="O97" s="675">
        <v>0</v>
      </c>
      <c r="P97" s="675">
        <v>227.08700000000002</v>
      </c>
      <c r="Q97" s="675">
        <v>0</v>
      </c>
      <c r="R97" s="675">
        <v>91386</v>
      </c>
      <c r="S97" s="675">
        <v>402.428</v>
      </c>
      <c r="T97" s="675">
        <v>0</v>
      </c>
      <c r="U97" s="675">
        <v>48597</v>
      </c>
      <c r="V97" s="675">
        <v>101.033</v>
      </c>
      <c r="W97" s="675">
        <v>62813</v>
      </c>
      <c r="X97" s="675">
        <v>62813</v>
      </c>
      <c r="Y97" s="675">
        <v>0</v>
      </c>
      <c r="Z97" s="675">
        <v>0</v>
      </c>
      <c r="AA97" s="675">
        <v>0</v>
      </c>
      <c r="AB97" s="675">
        <v>0</v>
      </c>
      <c r="AC97" s="675">
        <v>0</v>
      </c>
      <c r="AD97" s="675" t="s">
        <v>316</v>
      </c>
      <c r="AE97" s="675">
        <v>0</v>
      </c>
      <c r="AF97" s="675">
        <v>0</v>
      </c>
      <c r="AG97" s="675">
        <v>0</v>
      </c>
      <c r="AH97" s="675">
        <v>0</v>
      </c>
      <c r="AI97" s="675">
        <v>0</v>
      </c>
      <c r="AJ97" s="675">
        <v>6160</v>
      </c>
      <c r="AK97" s="675" t="s">
        <v>671</v>
      </c>
      <c r="AL97" s="675" t="s">
        <v>340</v>
      </c>
      <c r="AM97" s="675">
        <v>0</v>
      </c>
      <c r="AN97" s="675">
        <v>0</v>
      </c>
      <c r="AO97" s="675">
        <v>0</v>
      </c>
      <c r="AP97" s="675">
        <v>0</v>
      </c>
      <c r="AQ97" s="675">
        <v>0</v>
      </c>
      <c r="AR97" s="675">
        <v>0</v>
      </c>
      <c r="AS97" s="675">
        <v>0</v>
      </c>
      <c r="AT97" s="675">
        <v>0</v>
      </c>
      <c r="AU97" s="675">
        <v>0</v>
      </c>
      <c r="AV97" s="675">
        <v>0</v>
      </c>
      <c r="AW97" s="675">
        <v>2715192</v>
      </c>
      <c r="AX97" s="675">
        <v>2665404</v>
      </c>
      <c r="AY97" s="675">
        <v>1739205</v>
      </c>
      <c r="AZ97" s="675">
        <v>91386</v>
      </c>
      <c r="BA97" s="675">
        <v>0</v>
      </c>
      <c r="BB97" s="675">
        <v>0</v>
      </c>
      <c r="BC97" s="675">
        <v>0</v>
      </c>
      <c r="BD97" s="675">
        <v>0</v>
      </c>
      <c r="BE97" s="675">
        <v>0</v>
      </c>
      <c r="BF97" s="675">
        <v>2455370</v>
      </c>
      <c r="BG97" s="675">
        <v>0</v>
      </c>
      <c r="BH97" s="675">
        <v>0</v>
      </c>
      <c r="BI97" s="675">
        <v>0</v>
      </c>
      <c r="BJ97" s="675">
        <v>12</v>
      </c>
      <c r="BK97" s="675">
        <v>0</v>
      </c>
      <c r="BL97" s="675">
        <v>0</v>
      </c>
      <c r="BM97" s="675">
        <v>0</v>
      </c>
      <c r="BN97" s="675">
        <v>0</v>
      </c>
      <c r="BO97" s="675">
        <v>0</v>
      </c>
      <c r="BP97" s="675">
        <v>0</v>
      </c>
      <c r="BQ97" s="675">
        <v>728</v>
      </c>
      <c r="BR97" s="675">
        <v>0</v>
      </c>
      <c r="BS97" s="675">
        <v>0</v>
      </c>
      <c r="BT97" s="675">
        <v>0</v>
      </c>
      <c r="BU97" s="675">
        <v>0</v>
      </c>
      <c r="BV97" s="675">
        <v>0</v>
      </c>
      <c r="BW97" s="675">
        <v>0</v>
      </c>
      <c r="BX97" s="675">
        <v>0</v>
      </c>
      <c r="BY97" s="675">
        <v>0</v>
      </c>
      <c r="BZ97" s="675">
        <v>0</v>
      </c>
      <c r="CA97" s="675">
        <v>0</v>
      </c>
      <c r="CB97" s="675">
        <v>0</v>
      </c>
      <c r="CC97" s="675">
        <v>0</v>
      </c>
      <c r="CD97" s="675">
        <v>0</v>
      </c>
      <c r="CE97" s="675">
        <v>0</v>
      </c>
      <c r="CF97" s="675">
        <v>0</v>
      </c>
      <c r="CG97" s="675">
        <v>0</v>
      </c>
      <c r="CH97" s="675">
        <v>49953</v>
      </c>
      <c r="CI97" s="675">
        <v>0</v>
      </c>
      <c r="CJ97" s="675">
        <v>4</v>
      </c>
      <c r="CK97" s="675">
        <v>0</v>
      </c>
      <c r="CL97" s="675">
        <v>0</v>
      </c>
      <c r="CM97" s="675">
        <v>0</v>
      </c>
      <c r="CN97" s="675">
        <v>0</v>
      </c>
      <c r="CO97" s="675">
        <v>1</v>
      </c>
      <c r="CP97" s="675">
        <v>0</v>
      </c>
      <c r="CQ97" s="675">
        <v>0</v>
      </c>
      <c r="CR97" s="675">
        <v>236.167</v>
      </c>
      <c r="CS97" s="675">
        <v>0</v>
      </c>
      <c r="CT97" s="675">
        <v>0</v>
      </c>
      <c r="CU97" s="675">
        <v>0</v>
      </c>
      <c r="CV97" s="675">
        <v>0</v>
      </c>
      <c r="CW97" s="675">
        <v>0</v>
      </c>
      <c r="CX97" s="675">
        <v>0</v>
      </c>
      <c r="CY97" s="675">
        <v>0</v>
      </c>
      <c r="CZ97" s="675">
        <v>0</v>
      </c>
      <c r="DA97" s="675">
        <v>0</v>
      </c>
      <c r="DB97" s="675">
        <v>1660532</v>
      </c>
      <c r="DC97" s="675">
        <v>0</v>
      </c>
      <c r="DD97" s="675">
        <v>0</v>
      </c>
      <c r="DE97" s="675">
        <v>287363</v>
      </c>
      <c r="DF97" s="675">
        <v>287363</v>
      </c>
      <c r="DG97" s="675">
        <v>46.65</v>
      </c>
      <c r="DH97" s="675">
        <v>0</v>
      </c>
      <c r="DI97" s="675">
        <v>0</v>
      </c>
      <c r="DJ97" s="675">
        <v>0</v>
      </c>
      <c r="DK97" s="675">
        <v>3271</v>
      </c>
      <c r="DL97" s="675">
        <v>0</v>
      </c>
      <c r="DM97" s="675">
        <v>61078</v>
      </c>
      <c r="DN97" s="675">
        <v>165</v>
      </c>
      <c r="DO97" s="675">
        <v>0</v>
      </c>
      <c r="DP97" s="675">
        <v>0</v>
      </c>
      <c r="DQ97" s="675">
        <v>0</v>
      </c>
      <c r="DR97" s="675">
        <v>0</v>
      </c>
      <c r="DS97" s="675">
        <v>0</v>
      </c>
      <c r="DT97" s="675">
        <v>0</v>
      </c>
      <c r="DU97" s="675">
        <v>0</v>
      </c>
      <c r="DV97" s="675">
        <v>0</v>
      </c>
      <c r="DW97" s="675">
        <v>0</v>
      </c>
      <c r="DX97" s="675">
        <v>0</v>
      </c>
      <c r="DY97" s="675">
        <v>0</v>
      </c>
      <c r="DZ97" s="675">
        <v>0</v>
      </c>
      <c r="EA97" s="675">
        <v>0</v>
      </c>
      <c r="EB97" s="675">
        <v>0</v>
      </c>
      <c r="EC97" s="675">
        <v>3.1680000000000001</v>
      </c>
      <c r="ED97" s="675">
        <v>22442</v>
      </c>
      <c r="EE97" s="675">
        <v>0</v>
      </c>
      <c r="EF97" s="675">
        <v>0</v>
      </c>
      <c r="EG97" s="675">
        <v>0</v>
      </c>
      <c r="EH97" s="675">
        <v>21141</v>
      </c>
      <c r="EI97" s="675">
        <v>0</v>
      </c>
      <c r="EJ97" s="675">
        <v>0</v>
      </c>
      <c r="EK97" s="675">
        <v>0.504</v>
      </c>
      <c r="EL97" s="675">
        <v>0</v>
      </c>
      <c r="EM97" s="675">
        <v>0</v>
      </c>
      <c r="EN97" s="675">
        <v>0.38400000000000001</v>
      </c>
      <c r="EO97" s="675">
        <v>0</v>
      </c>
      <c r="EP97" s="675">
        <v>0</v>
      </c>
      <c r="EQ97" s="675">
        <v>0.88800000000000001</v>
      </c>
      <c r="ER97" s="675">
        <v>0</v>
      </c>
      <c r="ES97" s="675">
        <v>3.4320000000000004</v>
      </c>
      <c r="ET97" s="675">
        <v>0</v>
      </c>
      <c r="EU97" s="675">
        <v>0</v>
      </c>
      <c r="EV97" s="675">
        <v>0</v>
      </c>
      <c r="EW97" s="675">
        <v>0</v>
      </c>
      <c r="EX97" s="675">
        <v>0</v>
      </c>
      <c r="EY97" s="675">
        <v>0</v>
      </c>
      <c r="EZ97" s="675">
        <v>2363984</v>
      </c>
      <c r="FA97" s="675">
        <v>0</v>
      </c>
      <c r="FB97" s="675">
        <v>2455205</v>
      </c>
      <c r="FC97" s="675">
        <v>0</v>
      </c>
      <c r="FD97" s="675">
        <v>0</v>
      </c>
      <c r="FE97" s="675">
        <v>249761</v>
      </c>
      <c r="FF97" s="675">
        <v>51659</v>
      </c>
      <c r="FG97" s="675">
        <v>6.3574999999999993E-2</v>
      </c>
      <c r="FH97" s="675">
        <v>2.6298999999999999E-2</v>
      </c>
      <c r="FI97" s="675">
        <v>0</v>
      </c>
      <c r="FJ97" s="675">
        <v>0</v>
      </c>
      <c r="FK97" s="675">
        <v>398.601</v>
      </c>
      <c r="FL97" s="675">
        <v>2806578</v>
      </c>
      <c r="FM97" s="675">
        <v>0</v>
      </c>
      <c r="FN97" s="675">
        <v>0</v>
      </c>
      <c r="FO97" s="675">
        <v>0</v>
      </c>
      <c r="FP97" s="675">
        <v>0</v>
      </c>
      <c r="FQ97" s="675">
        <v>0</v>
      </c>
      <c r="FR97" s="675">
        <v>0</v>
      </c>
      <c r="FS97" s="675">
        <v>0</v>
      </c>
      <c r="FT97" s="675">
        <v>0</v>
      </c>
      <c r="FU97" s="675">
        <v>0</v>
      </c>
      <c r="FV97" s="675">
        <v>0</v>
      </c>
      <c r="FW97" s="675">
        <v>0</v>
      </c>
      <c r="FX97" s="675">
        <v>0</v>
      </c>
      <c r="FY97" s="675">
        <v>0</v>
      </c>
      <c r="FZ97" s="675">
        <v>0</v>
      </c>
      <c r="GA97" s="675">
        <v>0</v>
      </c>
      <c r="GB97" s="675">
        <v>0</v>
      </c>
      <c r="GC97" s="675">
        <v>0</v>
      </c>
      <c r="GD97" s="675">
        <v>0</v>
      </c>
      <c r="GE97" s="675">
        <v>0</v>
      </c>
      <c r="GF97" s="675">
        <v>0</v>
      </c>
      <c r="GG97" s="675">
        <v>0</v>
      </c>
      <c r="GH97" s="675">
        <v>0</v>
      </c>
      <c r="GI97" s="675">
        <v>0</v>
      </c>
      <c r="GJ97" s="675">
        <v>0</v>
      </c>
      <c r="GK97" s="675">
        <v>0</v>
      </c>
      <c r="GL97" s="675">
        <v>0</v>
      </c>
      <c r="GM97" s="675">
        <v>0</v>
      </c>
      <c r="GN97" s="675">
        <v>0</v>
      </c>
      <c r="GO97" s="675">
        <v>0</v>
      </c>
      <c r="GP97" s="675">
        <v>0</v>
      </c>
      <c r="GQ97" s="675">
        <v>0</v>
      </c>
      <c r="GR97" s="675">
        <v>0</v>
      </c>
      <c r="GS97" s="675">
        <v>0</v>
      </c>
      <c r="GT97" s="675">
        <v>0</v>
      </c>
      <c r="GU97" s="675">
        <v>0</v>
      </c>
      <c r="GV97" s="675">
        <v>0</v>
      </c>
      <c r="GW97" s="675">
        <v>0</v>
      </c>
      <c r="GX97" s="675">
        <v>0</v>
      </c>
      <c r="GY97" s="675">
        <v>0</v>
      </c>
      <c r="GZ97" s="675">
        <v>0</v>
      </c>
      <c r="HA97" s="675">
        <v>0</v>
      </c>
      <c r="HB97" s="675">
        <v>298386780</v>
      </c>
      <c r="HC97" s="675">
        <v>4.5690999999999996E-2</v>
      </c>
      <c r="HD97" s="675">
        <v>49953</v>
      </c>
      <c r="HE97" s="675">
        <v>0</v>
      </c>
      <c r="HF97" s="675">
        <v>299679</v>
      </c>
      <c r="HG97" s="675">
        <v>616</v>
      </c>
      <c r="HH97" s="675">
        <v>71467</v>
      </c>
      <c r="HI97" s="675">
        <v>0</v>
      </c>
      <c r="HJ97" s="675">
        <v>2657</v>
      </c>
      <c r="HK97" s="675">
        <v>0</v>
      </c>
      <c r="HL97" s="675">
        <v>0</v>
      </c>
      <c r="HM97" s="675">
        <v>0</v>
      </c>
      <c r="HN97" s="675">
        <v>0</v>
      </c>
      <c r="HO97" s="675">
        <v>9000</v>
      </c>
      <c r="HP97" s="675">
        <v>0</v>
      </c>
      <c r="HQ97" s="675">
        <v>0</v>
      </c>
      <c r="HR97" s="675">
        <v>0</v>
      </c>
      <c r="HS97" s="675">
        <v>2363819</v>
      </c>
      <c r="HT97" s="675">
        <v>51659</v>
      </c>
      <c r="HU97" s="675">
        <v>0</v>
      </c>
      <c r="HV97" s="675">
        <v>0</v>
      </c>
      <c r="HW97" s="675">
        <v>0</v>
      </c>
      <c r="HX97" s="675">
        <v>48</v>
      </c>
      <c r="HY97" s="675">
        <v>57</v>
      </c>
      <c r="HZ97" s="675">
        <v>66</v>
      </c>
      <c r="IA97" s="675">
        <v>19</v>
      </c>
      <c r="IB97" s="675">
        <v>3</v>
      </c>
      <c r="IC97" s="675">
        <v>193</v>
      </c>
      <c r="ID97" s="675">
        <v>0</v>
      </c>
      <c r="IE97" s="675">
        <v>0.625</v>
      </c>
      <c r="IF97" s="675">
        <v>0</v>
      </c>
      <c r="IG97" s="675">
        <v>1</v>
      </c>
      <c r="IH97" s="675">
        <v>116.018</v>
      </c>
      <c r="II97" s="675">
        <v>0</v>
      </c>
      <c r="IJ97" s="675">
        <v>101.658</v>
      </c>
      <c r="IK97" s="675">
        <v>0</v>
      </c>
      <c r="IL97" s="675">
        <v>0</v>
      </c>
      <c r="IM97" s="675">
        <v>0</v>
      </c>
      <c r="IN97" s="675">
        <v>0</v>
      </c>
      <c r="IO97" s="675">
        <v>0</v>
      </c>
      <c r="IP97" s="675">
        <v>0</v>
      </c>
      <c r="IQ97" s="675">
        <v>101.033</v>
      </c>
      <c r="IR97" s="675">
        <v>62236</v>
      </c>
      <c r="IS97" s="675">
        <v>0</v>
      </c>
      <c r="IT97" s="675">
        <v>0</v>
      </c>
      <c r="IU97" s="675">
        <v>0</v>
      </c>
      <c r="IV97" s="675">
        <v>0</v>
      </c>
      <c r="IW97" s="675">
        <v>6160</v>
      </c>
      <c r="IX97" s="675">
        <v>577</v>
      </c>
      <c r="IY97" s="675">
        <v>0</v>
      </c>
      <c r="IZ97" s="675">
        <v>0</v>
      </c>
      <c r="JA97" s="675">
        <v>0</v>
      </c>
      <c r="JB97" s="675">
        <v>0</v>
      </c>
      <c r="JC97" s="675">
        <v>0</v>
      </c>
      <c r="JD97" s="675">
        <v>0</v>
      </c>
      <c r="JE97" s="675">
        <v>0</v>
      </c>
      <c r="JF97" s="675">
        <v>0</v>
      </c>
      <c r="JG97" s="675">
        <v>0</v>
      </c>
      <c r="JH97" s="675">
        <v>0</v>
      </c>
      <c r="JI97" s="675">
        <v>0</v>
      </c>
      <c r="JJ97" s="675">
        <v>0</v>
      </c>
      <c r="JK97" s="675">
        <v>0</v>
      </c>
      <c r="JL97" s="675">
        <v>0</v>
      </c>
      <c r="JM97" s="675">
        <v>0</v>
      </c>
      <c r="JN97" s="675">
        <v>32469</v>
      </c>
      <c r="JO97" s="675">
        <v>0</v>
      </c>
      <c r="JP97" s="675">
        <v>0</v>
      </c>
      <c r="JQ97" s="675">
        <v>0</v>
      </c>
      <c r="JR97" s="675">
        <v>0</v>
      </c>
      <c r="JS97" s="675">
        <v>0</v>
      </c>
      <c r="JT97" s="675">
        <v>0</v>
      </c>
      <c r="JU97" s="675">
        <v>0</v>
      </c>
      <c r="JV97" s="675">
        <v>0</v>
      </c>
      <c r="JW97" s="675">
        <v>0</v>
      </c>
      <c r="JX97" s="675">
        <v>0</v>
      </c>
      <c r="JY97" s="675">
        <v>0</v>
      </c>
      <c r="JZ97" s="675">
        <v>0</v>
      </c>
      <c r="KA97" s="675">
        <v>0</v>
      </c>
      <c r="KB97" s="675">
        <v>0</v>
      </c>
      <c r="KC97" s="675">
        <v>0</v>
      </c>
      <c r="KD97" s="675">
        <v>0</v>
      </c>
      <c r="KE97" s="675">
        <v>7260</v>
      </c>
      <c r="KF97" s="675">
        <v>0</v>
      </c>
      <c r="KG97" s="675">
        <v>0</v>
      </c>
      <c r="KH97" s="675">
        <v>0</v>
      </c>
      <c r="KI97" s="675">
        <v>0</v>
      </c>
    </row>
    <row r="98" spans="1:295" ht="12.5" x14ac:dyDescent="0.25">
      <c r="A98" s="675">
        <v>35795</v>
      </c>
      <c r="B98" s="675">
        <v>108809</v>
      </c>
      <c r="C98" s="675">
        <v>9</v>
      </c>
      <c r="D98" s="675">
        <v>2022</v>
      </c>
      <c r="E98" s="675">
        <v>6160</v>
      </c>
      <c r="F98" s="675">
        <v>0</v>
      </c>
      <c r="G98" s="675">
        <v>268.512</v>
      </c>
      <c r="H98" s="675">
        <v>252.32400000000001</v>
      </c>
      <c r="I98" s="675">
        <v>252.32400000000001</v>
      </c>
      <c r="J98" s="675">
        <v>268.512</v>
      </c>
      <c r="K98" s="675">
        <v>0</v>
      </c>
      <c r="L98" s="675">
        <v>6160</v>
      </c>
      <c r="M98" s="675">
        <v>0</v>
      </c>
      <c r="N98" s="675">
        <v>0</v>
      </c>
      <c r="O98" s="675">
        <v>0</v>
      </c>
      <c r="P98" s="675">
        <v>268.26300000000003</v>
      </c>
      <c r="Q98" s="675">
        <v>0</v>
      </c>
      <c r="R98" s="675">
        <v>107957</v>
      </c>
      <c r="S98" s="675">
        <v>402.428</v>
      </c>
      <c r="T98" s="675">
        <v>0</v>
      </c>
      <c r="U98" s="675">
        <v>57408</v>
      </c>
      <c r="V98" s="675">
        <v>101.858</v>
      </c>
      <c r="W98" s="675">
        <v>135180</v>
      </c>
      <c r="X98" s="675">
        <v>135180</v>
      </c>
      <c r="Y98" s="675">
        <v>0</v>
      </c>
      <c r="Z98" s="675">
        <v>0</v>
      </c>
      <c r="AA98" s="675">
        <v>0</v>
      </c>
      <c r="AB98" s="675">
        <v>0</v>
      </c>
      <c r="AC98" s="675">
        <v>0</v>
      </c>
      <c r="AD98" s="675" t="s">
        <v>316</v>
      </c>
      <c r="AE98" s="675">
        <v>0</v>
      </c>
      <c r="AF98" s="675">
        <v>0</v>
      </c>
      <c r="AG98" s="675">
        <v>0</v>
      </c>
      <c r="AH98" s="675">
        <v>0</v>
      </c>
      <c r="AI98" s="675">
        <v>0</v>
      </c>
      <c r="AJ98" s="675">
        <v>6160</v>
      </c>
      <c r="AK98" s="675" t="s">
        <v>671</v>
      </c>
      <c r="AL98" s="675" t="s">
        <v>118</v>
      </c>
      <c r="AM98" s="675">
        <v>0</v>
      </c>
      <c r="AN98" s="675">
        <v>0</v>
      </c>
      <c r="AO98" s="675">
        <v>0</v>
      </c>
      <c r="AP98" s="675">
        <v>0</v>
      </c>
      <c r="AQ98" s="675">
        <v>0</v>
      </c>
      <c r="AR98" s="675">
        <v>0</v>
      </c>
      <c r="AS98" s="675">
        <v>0</v>
      </c>
      <c r="AT98" s="675">
        <v>0</v>
      </c>
      <c r="AU98" s="675">
        <v>0</v>
      </c>
      <c r="AV98" s="675">
        <v>-1638</v>
      </c>
      <c r="AW98" s="675">
        <v>3088561</v>
      </c>
      <c r="AX98" s="675">
        <v>3040728</v>
      </c>
      <c r="AY98" s="675">
        <v>2036966</v>
      </c>
      <c r="AZ98" s="675">
        <v>107957</v>
      </c>
      <c r="BA98" s="675">
        <v>0</v>
      </c>
      <c r="BB98" s="675">
        <v>4959</v>
      </c>
      <c r="BC98" s="675">
        <v>4927</v>
      </c>
      <c r="BD98" s="675">
        <v>11.5</v>
      </c>
      <c r="BE98" s="675">
        <v>32</v>
      </c>
      <c r="BF98" s="675">
        <v>2804416</v>
      </c>
      <c r="BG98" s="675">
        <v>0</v>
      </c>
      <c r="BH98" s="675">
        <v>0</v>
      </c>
      <c r="BI98" s="675">
        <v>0</v>
      </c>
      <c r="BJ98" s="675">
        <v>12</v>
      </c>
      <c r="BK98" s="675">
        <v>0</v>
      </c>
      <c r="BL98" s="675">
        <v>0</v>
      </c>
      <c r="BM98" s="675">
        <v>0</v>
      </c>
      <c r="BN98" s="675">
        <v>0</v>
      </c>
      <c r="BO98" s="675">
        <v>0</v>
      </c>
      <c r="BP98" s="675">
        <v>0</v>
      </c>
      <c r="BQ98" s="675">
        <v>731</v>
      </c>
      <c r="BR98" s="675">
        <v>0</v>
      </c>
      <c r="BS98" s="675">
        <v>0</v>
      </c>
      <c r="BT98" s="675">
        <v>0</v>
      </c>
      <c r="BU98" s="675">
        <v>0</v>
      </c>
      <c r="BV98" s="675">
        <v>0</v>
      </c>
      <c r="BW98" s="675">
        <v>0</v>
      </c>
      <c r="BX98" s="675">
        <v>0</v>
      </c>
      <c r="BY98" s="675">
        <v>0</v>
      </c>
      <c r="BZ98" s="675">
        <v>0</v>
      </c>
      <c r="CA98" s="675">
        <v>0</v>
      </c>
      <c r="CB98" s="675">
        <v>0</v>
      </c>
      <c r="CC98" s="675">
        <v>0</v>
      </c>
      <c r="CD98" s="675">
        <v>0</v>
      </c>
      <c r="CE98" s="675">
        <v>0</v>
      </c>
      <c r="CF98" s="675">
        <v>0</v>
      </c>
      <c r="CG98" s="675">
        <v>0</v>
      </c>
      <c r="CH98" s="675">
        <v>49074</v>
      </c>
      <c r="CI98" s="675">
        <v>0</v>
      </c>
      <c r="CJ98" s="675">
        <v>4</v>
      </c>
      <c r="CK98" s="675">
        <v>0</v>
      </c>
      <c r="CL98" s="675">
        <v>0</v>
      </c>
      <c r="CM98" s="675">
        <v>0</v>
      </c>
      <c r="CN98" s="675">
        <v>0</v>
      </c>
      <c r="CO98" s="675">
        <v>1</v>
      </c>
      <c r="CP98" s="675">
        <v>0</v>
      </c>
      <c r="CQ98" s="675">
        <v>0</v>
      </c>
      <c r="CR98" s="675">
        <v>276.637</v>
      </c>
      <c r="CS98" s="675">
        <v>0</v>
      </c>
      <c r="CT98" s="675">
        <v>0</v>
      </c>
      <c r="CU98" s="675">
        <v>0</v>
      </c>
      <c r="CV98" s="675">
        <v>0</v>
      </c>
      <c r="CW98" s="675">
        <v>0</v>
      </c>
      <c r="CX98" s="675">
        <v>0</v>
      </c>
      <c r="CY98" s="675">
        <v>0</v>
      </c>
      <c r="CZ98" s="675">
        <v>0</v>
      </c>
      <c r="DA98" s="675">
        <v>0</v>
      </c>
      <c r="DB98" s="675">
        <v>1554309</v>
      </c>
      <c r="DC98" s="675">
        <v>0</v>
      </c>
      <c r="DD98" s="675">
        <v>0</v>
      </c>
      <c r="DE98" s="675">
        <v>405326</v>
      </c>
      <c r="DF98" s="675">
        <v>405326</v>
      </c>
      <c r="DG98" s="675">
        <v>65.8</v>
      </c>
      <c r="DH98" s="675">
        <v>0</v>
      </c>
      <c r="DI98" s="675">
        <v>0</v>
      </c>
      <c r="DJ98" s="675">
        <v>0</v>
      </c>
      <c r="DK98" s="675">
        <v>3321</v>
      </c>
      <c r="DL98" s="675">
        <v>0</v>
      </c>
      <c r="DM98" s="675">
        <v>317335</v>
      </c>
      <c r="DN98" s="675">
        <v>1209</v>
      </c>
      <c r="DO98" s="675">
        <v>0</v>
      </c>
      <c r="DP98" s="675">
        <v>0</v>
      </c>
      <c r="DQ98" s="675">
        <v>0</v>
      </c>
      <c r="DR98" s="675">
        <v>0</v>
      </c>
      <c r="DS98" s="675">
        <v>0</v>
      </c>
      <c r="DT98" s="675">
        <v>0</v>
      </c>
      <c r="DU98" s="675">
        <v>0</v>
      </c>
      <c r="DV98" s="675">
        <v>0</v>
      </c>
      <c r="DW98" s="675">
        <v>0</v>
      </c>
      <c r="DX98" s="675">
        <v>0</v>
      </c>
      <c r="DY98" s="675">
        <v>0</v>
      </c>
      <c r="DZ98" s="675">
        <v>0</v>
      </c>
      <c r="EA98" s="675">
        <v>8.2000000000000003E-2</v>
      </c>
      <c r="EB98" s="675">
        <v>0</v>
      </c>
      <c r="EC98" s="675">
        <v>1</v>
      </c>
      <c r="ED98" s="675">
        <v>7084</v>
      </c>
      <c r="EE98" s="675">
        <v>0</v>
      </c>
      <c r="EF98" s="675">
        <v>0</v>
      </c>
      <c r="EG98" s="675">
        <v>0</v>
      </c>
      <c r="EH98" s="675">
        <v>311460</v>
      </c>
      <c r="EI98" s="675">
        <v>0</v>
      </c>
      <c r="EJ98" s="675">
        <v>0</v>
      </c>
      <c r="EK98" s="675">
        <v>15.189</v>
      </c>
      <c r="EL98" s="675">
        <v>0</v>
      </c>
      <c r="EM98" s="675">
        <v>0</v>
      </c>
      <c r="EN98" s="675">
        <v>0.91700000000000004</v>
      </c>
      <c r="EO98" s="675">
        <v>0</v>
      </c>
      <c r="EP98" s="675">
        <v>0</v>
      </c>
      <c r="EQ98" s="675">
        <v>16.188000000000002</v>
      </c>
      <c r="ER98" s="675">
        <v>0</v>
      </c>
      <c r="ES98" s="675">
        <v>50.562000000000005</v>
      </c>
      <c r="ET98" s="675">
        <v>0</v>
      </c>
      <c r="EU98" s="675">
        <v>0</v>
      </c>
      <c r="EV98" s="675">
        <v>0</v>
      </c>
      <c r="EW98" s="675">
        <v>0</v>
      </c>
      <c r="EX98" s="675">
        <v>0</v>
      </c>
      <c r="EY98" s="675">
        <v>0</v>
      </c>
      <c r="EZ98" s="675">
        <v>2696459</v>
      </c>
      <c r="FA98" s="675">
        <v>0</v>
      </c>
      <c r="FB98" s="675">
        <v>2803175</v>
      </c>
      <c r="FC98" s="675">
        <v>0</v>
      </c>
      <c r="FD98" s="675">
        <v>0</v>
      </c>
      <c r="FE98" s="675">
        <v>285266</v>
      </c>
      <c r="FF98" s="675">
        <v>59003</v>
      </c>
      <c r="FG98" s="675">
        <v>6.3574999999999993E-2</v>
      </c>
      <c r="FH98" s="675">
        <v>2.6298999999999999E-2</v>
      </c>
      <c r="FI98" s="675">
        <v>0</v>
      </c>
      <c r="FJ98" s="675">
        <v>0</v>
      </c>
      <c r="FK98" s="675">
        <v>455.26400000000001</v>
      </c>
      <c r="FL98" s="675">
        <v>3196518</v>
      </c>
      <c r="FM98" s="675">
        <v>0</v>
      </c>
      <c r="FN98" s="675">
        <v>0</v>
      </c>
      <c r="FO98" s="675">
        <v>0</v>
      </c>
      <c r="FP98" s="675">
        <v>0</v>
      </c>
      <c r="FQ98" s="675">
        <v>0</v>
      </c>
      <c r="FR98" s="675">
        <v>0</v>
      </c>
      <c r="FS98" s="675">
        <v>0</v>
      </c>
      <c r="FT98" s="675">
        <v>0</v>
      </c>
      <c r="FU98" s="675">
        <v>0</v>
      </c>
      <c r="FV98" s="675">
        <v>0</v>
      </c>
      <c r="FW98" s="675">
        <v>0</v>
      </c>
      <c r="FX98" s="675">
        <v>0</v>
      </c>
      <c r="FY98" s="675">
        <v>0</v>
      </c>
      <c r="FZ98" s="675">
        <v>0</v>
      </c>
      <c r="GA98" s="675">
        <v>0</v>
      </c>
      <c r="GB98" s="675">
        <v>0</v>
      </c>
      <c r="GC98" s="675">
        <v>0</v>
      </c>
      <c r="GD98" s="675">
        <v>0</v>
      </c>
      <c r="GE98" s="675">
        <v>0</v>
      </c>
      <c r="GF98" s="675">
        <v>0</v>
      </c>
      <c r="GG98" s="675">
        <v>0</v>
      </c>
      <c r="GH98" s="675">
        <v>0</v>
      </c>
      <c r="GI98" s="675">
        <v>0</v>
      </c>
      <c r="GJ98" s="675">
        <v>0</v>
      </c>
      <c r="GK98" s="675">
        <v>0</v>
      </c>
      <c r="GL98" s="675">
        <v>0</v>
      </c>
      <c r="GM98" s="675">
        <v>0</v>
      </c>
      <c r="GN98" s="675">
        <v>0</v>
      </c>
      <c r="GO98" s="675">
        <v>0</v>
      </c>
      <c r="GP98" s="675">
        <v>0</v>
      </c>
      <c r="GQ98" s="675">
        <v>0</v>
      </c>
      <c r="GR98" s="675">
        <v>0</v>
      </c>
      <c r="GS98" s="675">
        <v>0</v>
      </c>
      <c r="GT98" s="675">
        <v>0</v>
      </c>
      <c r="GU98" s="675">
        <v>0</v>
      </c>
      <c r="GV98" s="675">
        <v>0</v>
      </c>
      <c r="GW98" s="675">
        <v>0</v>
      </c>
      <c r="GX98" s="675">
        <v>0</v>
      </c>
      <c r="GY98" s="675">
        <v>0</v>
      </c>
      <c r="GZ98" s="675">
        <v>0</v>
      </c>
      <c r="HA98" s="675">
        <v>0</v>
      </c>
      <c r="HB98" s="675">
        <v>298386780</v>
      </c>
      <c r="HC98" s="675">
        <v>4.5690999999999996E-2</v>
      </c>
      <c r="HD98" s="675">
        <v>49074</v>
      </c>
      <c r="HE98" s="675">
        <v>0</v>
      </c>
      <c r="HF98" s="675">
        <v>277556</v>
      </c>
      <c r="HG98" s="675">
        <v>1848</v>
      </c>
      <c r="HH98" s="675">
        <v>104084</v>
      </c>
      <c r="HI98" s="675">
        <v>0</v>
      </c>
      <c r="HJ98" s="675">
        <v>2610</v>
      </c>
      <c r="HK98" s="675">
        <v>0</v>
      </c>
      <c r="HL98" s="675">
        <v>0</v>
      </c>
      <c r="HM98" s="675">
        <v>0</v>
      </c>
      <c r="HN98" s="675">
        <v>0</v>
      </c>
      <c r="HO98" s="675">
        <v>0</v>
      </c>
      <c r="HP98" s="675">
        <v>0</v>
      </c>
      <c r="HQ98" s="675">
        <v>0</v>
      </c>
      <c r="HR98" s="675">
        <v>0</v>
      </c>
      <c r="HS98" s="675">
        <v>2695218</v>
      </c>
      <c r="HT98" s="675">
        <v>59003</v>
      </c>
      <c r="HU98" s="675">
        <v>0</v>
      </c>
      <c r="HV98" s="675">
        <v>0</v>
      </c>
      <c r="HW98" s="675">
        <v>0</v>
      </c>
      <c r="HX98" s="675">
        <v>12</v>
      </c>
      <c r="HY98" s="675">
        <v>19</v>
      </c>
      <c r="HZ98" s="675">
        <v>136</v>
      </c>
      <c r="IA98" s="675">
        <v>35</v>
      </c>
      <c r="IB98" s="675">
        <v>56</v>
      </c>
      <c r="IC98" s="675">
        <v>258</v>
      </c>
      <c r="ID98" s="675">
        <v>0</v>
      </c>
      <c r="IE98" s="675">
        <v>69.102000000000004</v>
      </c>
      <c r="IF98" s="675">
        <v>27.877000000000002</v>
      </c>
      <c r="IG98" s="675">
        <v>3</v>
      </c>
      <c r="IH98" s="675">
        <v>168.96800000000002</v>
      </c>
      <c r="II98" s="675">
        <v>0</v>
      </c>
      <c r="IJ98" s="675">
        <v>198.83700000000002</v>
      </c>
      <c r="IK98" s="675">
        <v>0</v>
      </c>
      <c r="IL98" s="675">
        <v>0</v>
      </c>
      <c r="IM98" s="675">
        <v>0</v>
      </c>
      <c r="IN98" s="675">
        <v>0</v>
      </c>
      <c r="IO98" s="675">
        <v>0</v>
      </c>
      <c r="IP98" s="675">
        <v>0</v>
      </c>
      <c r="IQ98" s="675">
        <v>101.858</v>
      </c>
      <c r="IR98" s="675">
        <v>62744</v>
      </c>
      <c r="IS98" s="675">
        <v>0</v>
      </c>
      <c r="IT98" s="675">
        <v>0</v>
      </c>
      <c r="IU98" s="675">
        <v>0</v>
      </c>
      <c r="IV98" s="675">
        <v>0</v>
      </c>
      <c r="IW98" s="675">
        <v>6160</v>
      </c>
      <c r="IX98" s="675">
        <v>63850</v>
      </c>
      <c r="IY98" s="675">
        <v>8586</v>
      </c>
      <c r="IZ98" s="675">
        <v>0</v>
      </c>
      <c r="JA98" s="675">
        <v>0</v>
      </c>
      <c r="JB98" s="675">
        <v>0</v>
      </c>
      <c r="JC98" s="675">
        <v>0</v>
      </c>
      <c r="JD98" s="675">
        <v>0</v>
      </c>
      <c r="JE98" s="675">
        <v>0</v>
      </c>
      <c r="JF98" s="675">
        <v>0</v>
      </c>
      <c r="JG98" s="675">
        <v>0</v>
      </c>
      <c r="JH98" s="675">
        <v>0</v>
      </c>
      <c r="JI98" s="675">
        <v>0</v>
      </c>
      <c r="JJ98" s="675">
        <v>0</v>
      </c>
      <c r="JK98" s="675">
        <v>0</v>
      </c>
      <c r="JL98" s="675">
        <v>0</v>
      </c>
      <c r="JM98" s="675">
        <v>0</v>
      </c>
      <c r="JN98" s="675">
        <v>32469</v>
      </c>
      <c r="JO98" s="675">
        <v>0</v>
      </c>
      <c r="JP98" s="675">
        <v>0</v>
      </c>
      <c r="JQ98" s="675">
        <v>0</v>
      </c>
      <c r="JR98" s="675">
        <v>0</v>
      </c>
      <c r="JS98" s="675">
        <v>0</v>
      </c>
      <c r="JT98" s="675">
        <v>0</v>
      </c>
      <c r="JU98" s="675">
        <v>4959</v>
      </c>
      <c r="JV98" s="675">
        <v>0</v>
      </c>
      <c r="JW98" s="675">
        <v>0</v>
      </c>
      <c r="JX98" s="675">
        <v>0</v>
      </c>
      <c r="JY98" s="675">
        <v>0</v>
      </c>
      <c r="JZ98" s="675">
        <v>0</v>
      </c>
      <c r="KA98" s="675">
        <v>0</v>
      </c>
      <c r="KB98" s="675">
        <v>0</v>
      </c>
      <c r="KC98" s="675">
        <v>0</v>
      </c>
      <c r="KD98" s="675">
        <v>4959</v>
      </c>
      <c r="KE98" s="675">
        <v>7260</v>
      </c>
      <c r="KF98" s="675">
        <v>0</v>
      </c>
      <c r="KG98" s="675">
        <v>0</v>
      </c>
      <c r="KH98" s="675">
        <v>0</v>
      </c>
      <c r="KI98" s="675">
        <v>0</v>
      </c>
    </row>
    <row r="99" spans="1:295" ht="12.5" x14ac:dyDescent="0.25">
      <c r="A99" s="675">
        <v>35795</v>
      </c>
      <c r="B99" s="675">
        <v>220809</v>
      </c>
      <c r="C99" s="675">
        <v>9</v>
      </c>
      <c r="D99" s="675">
        <v>2022</v>
      </c>
      <c r="E99" s="675">
        <v>6160</v>
      </c>
      <c r="F99" s="675">
        <v>0</v>
      </c>
      <c r="G99" s="675">
        <v>616.88200000000006</v>
      </c>
      <c r="H99" s="675">
        <v>564.61200000000008</v>
      </c>
      <c r="I99" s="675">
        <v>564.61200000000008</v>
      </c>
      <c r="J99" s="675">
        <v>616.88200000000006</v>
      </c>
      <c r="K99" s="675">
        <v>0</v>
      </c>
      <c r="L99" s="675">
        <v>6160</v>
      </c>
      <c r="M99" s="675">
        <v>0</v>
      </c>
      <c r="N99" s="675">
        <v>0</v>
      </c>
      <c r="O99" s="675">
        <v>0</v>
      </c>
      <c r="P99" s="675">
        <v>608.03</v>
      </c>
      <c r="Q99" s="675">
        <v>0</v>
      </c>
      <c r="R99" s="675">
        <v>244688</v>
      </c>
      <c r="S99" s="675">
        <v>402.428</v>
      </c>
      <c r="T99" s="675">
        <v>0</v>
      </c>
      <c r="U99" s="675">
        <v>130119</v>
      </c>
      <c r="V99" s="675">
        <v>18.087</v>
      </c>
      <c r="W99" s="675">
        <v>11142</v>
      </c>
      <c r="X99" s="675">
        <v>11142</v>
      </c>
      <c r="Y99" s="675">
        <v>0</v>
      </c>
      <c r="Z99" s="675">
        <v>0</v>
      </c>
      <c r="AA99" s="675">
        <v>0</v>
      </c>
      <c r="AB99" s="675">
        <v>0</v>
      </c>
      <c r="AC99" s="675">
        <v>0</v>
      </c>
      <c r="AD99" s="675" t="s">
        <v>316</v>
      </c>
      <c r="AE99" s="675">
        <v>0</v>
      </c>
      <c r="AF99" s="675">
        <v>0</v>
      </c>
      <c r="AG99" s="675">
        <v>0</v>
      </c>
      <c r="AH99" s="675">
        <v>0</v>
      </c>
      <c r="AI99" s="675">
        <v>0</v>
      </c>
      <c r="AJ99" s="675">
        <v>6160</v>
      </c>
      <c r="AK99" s="675" t="s">
        <v>671</v>
      </c>
      <c r="AL99" s="675" t="s">
        <v>78</v>
      </c>
      <c r="AM99" s="675">
        <v>0</v>
      </c>
      <c r="AN99" s="675">
        <v>0</v>
      </c>
      <c r="AO99" s="675">
        <v>0</v>
      </c>
      <c r="AP99" s="675">
        <v>0</v>
      </c>
      <c r="AQ99" s="675">
        <v>0</v>
      </c>
      <c r="AR99" s="675">
        <v>0</v>
      </c>
      <c r="AS99" s="675">
        <v>0</v>
      </c>
      <c r="AT99" s="675">
        <v>0</v>
      </c>
      <c r="AU99" s="675">
        <v>0</v>
      </c>
      <c r="AV99" s="675">
        <v>-27573</v>
      </c>
      <c r="AW99" s="675">
        <v>5448714</v>
      </c>
      <c r="AX99" s="675">
        <v>5336953</v>
      </c>
      <c r="AY99" s="675">
        <v>3678069</v>
      </c>
      <c r="AZ99" s="675">
        <v>244688</v>
      </c>
      <c r="BA99" s="675">
        <v>0</v>
      </c>
      <c r="BB99" s="675">
        <v>0</v>
      </c>
      <c r="BC99" s="675">
        <v>0</v>
      </c>
      <c r="BD99" s="675">
        <v>0</v>
      </c>
      <c r="BE99" s="675">
        <v>0</v>
      </c>
      <c r="BF99" s="675">
        <v>4969469</v>
      </c>
      <c r="BG99" s="675">
        <v>0</v>
      </c>
      <c r="BH99" s="675">
        <v>0</v>
      </c>
      <c r="BI99" s="675">
        <v>0</v>
      </c>
      <c r="BJ99" s="675">
        <v>12</v>
      </c>
      <c r="BK99" s="675">
        <v>0</v>
      </c>
      <c r="BL99" s="675">
        <v>0</v>
      </c>
      <c r="BM99" s="675">
        <v>0</v>
      </c>
      <c r="BN99" s="675">
        <v>0</v>
      </c>
      <c r="BO99" s="675">
        <v>0</v>
      </c>
      <c r="BP99" s="675">
        <v>0</v>
      </c>
      <c r="BQ99" s="675">
        <v>683</v>
      </c>
      <c r="BR99" s="675">
        <v>0</v>
      </c>
      <c r="BS99" s="675">
        <v>0</v>
      </c>
      <c r="BT99" s="675">
        <v>0</v>
      </c>
      <c r="BU99" s="675">
        <v>0</v>
      </c>
      <c r="BV99" s="675">
        <v>0</v>
      </c>
      <c r="BW99" s="675">
        <v>0</v>
      </c>
      <c r="BX99" s="675">
        <v>0</v>
      </c>
      <c r="BY99" s="675">
        <v>0</v>
      </c>
      <c r="BZ99" s="675">
        <v>0</v>
      </c>
      <c r="CA99" s="675">
        <v>0</v>
      </c>
      <c r="CB99" s="675">
        <v>0</v>
      </c>
      <c r="CC99" s="675">
        <v>0</v>
      </c>
      <c r="CD99" s="675">
        <v>0</v>
      </c>
      <c r="CE99" s="675">
        <v>0</v>
      </c>
      <c r="CF99" s="675">
        <v>0</v>
      </c>
      <c r="CG99" s="675">
        <v>0</v>
      </c>
      <c r="CH99" s="675">
        <v>112743</v>
      </c>
      <c r="CI99" s="675">
        <v>0</v>
      </c>
      <c r="CJ99" s="675">
        <v>4</v>
      </c>
      <c r="CK99" s="675">
        <v>0</v>
      </c>
      <c r="CL99" s="675">
        <v>0</v>
      </c>
      <c r="CM99" s="675">
        <v>0</v>
      </c>
      <c r="CN99" s="675">
        <v>0</v>
      </c>
      <c r="CO99" s="675">
        <v>1</v>
      </c>
      <c r="CP99" s="675">
        <v>0</v>
      </c>
      <c r="CQ99" s="675">
        <v>0</v>
      </c>
      <c r="CR99" s="675">
        <v>604.92600000000004</v>
      </c>
      <c r="CS99" s="675">
        <v>0</v>
      </c>
      <c r="CT99" s="675">
        <v>0</v>
      </c>
      <c r="CU99" s="675">
        <v>0</v>
      </c>
      <c r="CV99" s="675">
        <v>0</v>
      </c>
      <c r="CW99" s="675">
        <v>0</v>
      </c>
      <c r="CX99" s="675">
        <v>0</v>
      </c>
      <c r="CY99" s="675">
        <v>0</v>
      </c>
      <c r="CZ99" s="675">
        <v>0</v>
      </c>
      <c r="DA99" s="675">
        <v>0</v>
      </c>
      <c r="DB99" s="675">
        <v>3477994</v>
      </c>
      <c r="DC99" s="675">
        <v>0</v>
      </c>
      <c r="DD99" s="675">
        <v>0</v>
      </c>
      <c r="DE99" s="675">
        <v>148147</v>
      </c>
      <c r="DF99" s="675">
        <v>148147</v>
      </c>
      <c r="DG99" s="675">
        <v>24.05</v>
      </c>
      <c r="DH99" s="675">
        <v>0</v>
      </c>
      <c r="DI99" s="675">
        <v>0</v>
      </c>
      <c r="DJ99" s="675">
        <v>0</v>
      </c>
      <c r="DK99" s="675">
        <v>2551</v>
      </c>
      <c r="DL99" s="675">
        <v>0</v>
      </c>
      <c r="DM99" s="675">
        <v>257937</v>
      </c>
      <c r="DN99" s="675">
        <v>982</v>
      </c>
      <c r="DO99" s="675">
        <v>0</v>
      </c>
      <c r="DP99" s="675">
        <v>0</v>
      </c>
      <c r="DQ99" s="675">
        <v>0</v>
      </c>
      <c r="DR99" s="675">
        <v>0</v>
      </c>
      <c r="DS99" s="675">
        <v>0</v>
      </c>
      <c r="DT99" s="675">
        <v>0</v>
      </c>
      <c r="DU99" s="675">
        <v>0</v>
      </c>
      <c r="DV99" s="675">
        <v>0</v>
      </c>
      <c r="DW99" s="675">
        <v>0</v>
      </c>
      <c r="DX99" s="675">
        <v>0</v>
      </c>
      <c r="DY99" s="675">
        <v>0</v>
      </c>
      <c r="DZ99" s="675">
        <v>0</v>
      </c>
      <c r="EA99" s="675">
        <v>0</v>
      </c>
      <c r="EB99" s="675">
        <v>0</v>
      </c>
      <c r="EC99" s="675">
        <v>10.197000000000001</v>
      </c>
      <c r="ED99" s="675">
        <v>72235</v>
      </c>
      <c r="EE99" s="675">
        <v>0</v>
      </c>
      <c r="EF99" s="675">
        <v>0</v>
      </c>
      <c r="EG99" s="675">
        <v>0</v>
      </c>
      <c r="EH99" s="675">
        <v>186684</v>
      </c>
      <c r="EI99" s="675">
        <v>0</v>
      </c>
      <c r="EJ99" s="675">
        <v>0</v>
      </c>
      <c r="EK99" s="675">
        <v>8.4060000000000006</v>
      </c>
      <c r="EL99" s="675">
        <v>0</v>
      </c>
      <c r="EM99" s="675">
        <v>0.83600000000000008</v>
      </c>
      <c r="EN99" s="675">
        <v>0.51600000000000001</v>
      </c>
      <c r="EO99" s="675">
        <v>0</v>
      </c>
      <c r="EP99" s="675">
        <v>0</v>
      </c>
      <c r="EQ99" s="675">
        <v>9.7580000000000009</v>
      </c>
      <c r="ER99" s="675">
        <v>0</v>
      </c>
      <c r="ES99" s="675">
        <v>30.306000000000001</v>
      </c>
      <c r="ET99" s="675">
        <v>0</v>
      </c>
      <c r="EU99" s="675">
        <v>0</v>
      </c>
      <c r="EV99" s="675">
        <v>0</v>
      </c>
      <c r="EW99" s="675">
        <v>0</v>
      </c>
      <c r="EX99" s="675">
        <v>0</v>
      </c>
      <c r="EY99" s="675">
        <v>0</v>
      </c>
      <c r="EZ99" s="675">
        <v>4726902</v>
      </c>
      <c r="FA99" s="675">
        <v>0</v>
      </c>
      <c r="FB99" s="675">
        <v>4970608</v>
      </c>
      <c r="FC99" s="675">
        <v>0</v>
      </c>
      <c r="FD99" s="675">
        <v>0</v>
      </c>
      <c r="FE99" s="675">
        <v>505497</v>
      </c>
      <c r="FF99" s="675">
        <v>104554</v>
      </c>
      <c r="FG99" s="675">
        <v>6.3574999999999993E-2</v>
      </c>
      <c r="FH99" s="675">
        <v>2.6298999999999999E-2</v>
      </c>
      <c r="FI99" s="675">
        <v>0</v>
      </c>
      <c r="FJ99" s="675">
        <v>0</v>
      </c>
      <c r="FK99" s="675">
        <v>806.73599999999999</v>
      </c>
      <c r="FL99" s="675">
        <v>5693402</v>
      </c>
      <c r="FM99" s="675">
        <v>0</v>
      </c>
      <c r="FN99" s="675">
        <v>0</v>
      </c>
      <c r="FO99" s="675">
        <v>0</v>
      </c>
      <c r="FP99" s="675">
        <v>0</v>
      </c>
      <c r="FQ99" s="675">
        <v>0</v>
      </c>
      <c r="FR99" s="675">
        <v>0</v>
      </c>
      <c r="FS99" s="675">
        <v>0</v>
      </c>
      <c r="FT99" s="675">
        <v>0</v>
      </c>
      <c r="FU99" s="675">
        <v>0</v>
      </c>
      <c r="FV99" s="675">
        <v>0</v>
      </c>
      <c r="FW99" s="675">
        <v>0</v>
      </c>
      <c r="FX99" s="675">
        <v>0</v>
      </c>
      <c r="FY99" s="675">
        <v>0</v>
      </c>
      <c r="FZ99" s="675">
        <v>0</v>
      </c>
      <c r="GA99" s="675">
        <v>0</v>
      </c>
      <c r="GB99" s="675">
        <v>358538</v>
      </c>
      <c r="GC99" s="675">
        <v>358538</v>
      </c>
      <c r="GD99" s="675">
        <v>42.512</v>
      </c>
      <c r="GE99" s="675">
        <v>0</v>
      </c>
      <c r="GF99" s="675">
        <v>0</v>
      </c>
      <c r="GG99" s="675">
        <v>0</v>
      </c>
      <c r="GH99" s="675">
        <v>0</v>
      </c>
      <c r="GI99" s="675">
        <v>0</v>
      </c>
      <c r="GJ99" s="675">
        <v>0</v>
      </c>
      <c r="GK99" s="675">
        <v>0</v>
      </c>
      <c r="GL99" s="675">
        <v>0</v>
      </c>
      <c r="GM99" s="675">
        <v>0</v>
      </c>
      <c r="GN99" s="675">
        <v>0</v>
      </c>
      <c r="GO99" s="675">
        <v>0</v>
      </c>
      <c r="GP99" s="675">
        <v>0</v>
      </c>
      <c r="GQ99" s="675">
        <v>0</v>
      </c>
      <c r="GR99" s="675">
        <v>0</v>
      </c>
      <c r="GS99" s="675">
        <v>0</v>
      </c>
      <c r="GT99" s="675">
        <v>0</v>
      </c>
      <c r="GU99" s="675">
        <v>0</v>
      </c>
      <c r="GV99" s="675">
        <v>0</v>
      </c>
      <c r="GW99" s="675">
        <v>0</v>
      </c>
      <c r="GX99" s="675">
        <v>0</v>
      </c>
      <c r="GY99" s="675">
        <v>0</v>
      </c>
      <c r="GZ99" s="675">
        <v>0</v>
      </c>
      <c r="HA99" s="675">
        <v>0</v>
      </c>
      <c r="HB99" s="675">
        <v>298386780</v>
      </c>
      <c r="HC99" s="675">
        <v>4.5690999999999996E-2</v>
      </c>
      <c r="HD99" s="675">
        <v>112743</v>
      </c>
      <c r="HE99" s="675">
        <v>0</v>
      </c>
      <c r="HF99" s="675">
        <v>621073</v>
      </c>
      <c r="HG99" s="675">
        <v>10472</v>
      </c>
      <c r="HH99" s="675">
        <v>3188</v>
      </c>
      <c r="HI99" s="675">
        <v>0</v>
      </c>
      <c r="HJ99" s="675">
        <v>5996</v>
      </c>
      <c r="HK99" s="675">
        <v>2025</v>
      </c>
      <c r="HL99" s="675">
        <v>96</v>
      </c>
      <c r="HM99" s="675">
        <v>74000</v>
      </c>
      <c r="HN99" s="675">
        <v>0</v>
      </c>
      <c r="HO99" s="675">
        <v>0</v>
      </c>
      <c r="HP99" s="675">
        <v>0</v>
      </c>
      <c r="HQ99" s="675">
        <v>0</v>
      </c>
      <c r="HR99" s="675">
        <v>0</v>
      </c>
      <c r="HS99" s="675">
        <v>4725920</v>
      </c>
      <c r="HT99" s="675">
        <v>104554</v>
      </c>
      <c r="HU99" s="675">
        <v>0</v>
      </c>
      <c r="HV99" s="675">
        <v>0</v>
      </c>
      <c r="HW99" s="675">
        <v>0</v>
      </c>
      <c r="HX99" s="675">
        <v>33</v>
      </c>
      <c r="HY99" s="675">
        <v>13</v>
      </c>
      <c r="HZ99" s="675">
        <v>25</v>
      </c>
      <c r="IA99" s="675">
        <v>11</v>
      </c>
      <c r="IB99" s="675">
        <v>16</v>
      </c>
      <c r="IC99" s="675">
        <v>98</v>
      </c>
      <c r="ID99" s="675">
        <v>0</v>
      </c>
      <c r="IE99" s="675">
        <v>0</v>
      </c>
      <c r="IF99" s="675">
        <v>0</v>
      </c>
      <c r="IG99" s="675">
        <v>17</v>
      </c>
      <c r="IH99" s="675">
        <v>5.1749999999999998</v>
      </c>
      <c r="II99" s="675">
        <v>0</v>
      </c>
      <c r="IJ99" s="675">
        <v>18.087</v>
      </c>
      <c r="IK99" s="675">
        <v>0</v>
      </c>
      <c r="IL99" s="675">
        <v>4</v>
      </c>
      <c r="IM99" s="675">
        <v>18</v>
      </c>
      <c r="IN99" s="675">
        <v>0</v>
      </c>
      <c r="IO99" s="675">
        <v>22</v>
      </c>
      <c r="IP99" s="675">
        <v>0</v>
      </c>
      <c r="IQ99" s="675">
        <v>18.087</v>
      </c>
      <c r="IR99" s="675">
        <v>11142</v>
      </c>
      <c r="IS99" s="675">
        <v>0</v>
      </c>
      <c r="IT99" s="675">
        <v>20000</v>
      </c>
      <c r="IU99" s="675">
        <v>54000</v>
      </c>
      <c r="IV99" s="675">
        <v>0</v>
      </c>
      <c r="IW99" s="675">
        <v>6160</v>
      </c>
      <c r="IX99" s="675">
        <v>0</v>
      </c>
      <c r="IY99" s="675">
        <v>0</v>
      </c>
      <c r="IZ99" s="675">
        <v>0</v>
      </c>
      <c r="JA99" s="675">
        <v>0</v>
      </c>
      <c r="JB99" s="675">
        <v>0</v>
      </c>
      <c r="JC99" s="675">
        <v>0</v>
      </c>
      <c r="JD99" s="675">
        <v>0</v>
      </c>
      <c r="JE99" s="675">
        <v>0</v>
      </c>
      <c r="JF99" s="675">
        <v>0</v>
      </c>
      <c r="JG99" s="675">
        <v>0</v>
      </c>
      <c r="JH99" s="675">
        <v>0</v>
      </c>
      <c r="JI99" s="675">
        <v>0</v>
      </c>
      <c r="JJ99" s="675">
        <v>0</v>
      </c>
      <c r="JK99" s="675">
        <v>0</v>
      </c>
      <c r="JL99" s="675">
        <v>0</v>
      </c>
      <c r="JM99" s="675">
        <v>0</v>
      </c>
      <c r="JN99" s="675">
        <v>32469</v>
      </c>
      <c r="JO99" s="675">
        <v>29.707000000000001</v>
      </c>
      <c r="JP99" s="675">
        <v>11.135</v>
      </c>
      <c r="JQ99" s="675">
        <v>1.67</v>
      </c>
      <c r="JR99" s="675">
        <v>237240</v>
      </c>
      <c r="JS99" s="675">
        <v>103475</v>
      </c>
      <c r="JT99" s="675">
        <v>17823</v>
      </c>
      <c r="JU99" s="675">
        <v>0</v>
      </c>
      <c r="JV99" s="675">
        <v>0</v>
      </c>
      <c r="JW99" s="675">
        <v>0</v>
      </c>
      <c r="JX99" s="675">
        <v>0</v>
      </c>
      <c r="JY99" s="675">
        <v>0</v>
      </c>
      <c r="JZ99" s="675">
        <v>0</v>
      </c>
      <c r="KA99" s="675">
        <v>0</v>
      </c>
      <c r="KB99" s="675">
        <v>0</v>
      </c>
      <c r="KC99" s="675">
        <v>0</v>
      </c>
      <c r="KD99" s="675">
        <v>0</v>
      </c>
      <c r="KE99" s="675">
        <v>7260</v>
      </c>
      <c r="KF99" s="675">
        <v>0</v>
      </c>
      <c r="KG99" s="675">
        <v>0</v>
      </c>
      <c r="KH99" s="675">
        <v>0</v>
      </c>
      <c r="KI99" s="675">
        <v>0</v>
      </c>
    </row>
    <row r="100" spans="1:295" ht="12.5" x14ac:dyDescent="0.25">
      <c r="A100" s="675">
        <v>35795</v>
      </c>
      <c r="B100" s="675">
        <v>57810</v>
      </c>
      <c r="C100" s="675">
        <v>9</v>
      </c>
      <c r="D100" s="675">
        <v>2022</v>
      </c>
      <c r="E100" s="675">
        <v>6160</v>
      </c>
      <c r="F100" s="675">
        <v>0</v>
      </c>
      <c r="G100" s="675">
        <v>187.73500000000001</v>
      </c>
      <c r="H100" s="675">
        <v>186.69500000000002</v>
      </c>
      <c r="I100" s="675">
        <v>186.69500000000002</v>
      </c>
      <c r="J100" s="675">
        <v>187.73500000000001</v>
      </c>
      <c r="K100" s="675">
        <v>0</v>
      </c>
      <c r="L100" s="675">
        <v>6160</v>
      </c>
      <c r="M100" s="675">
        <v>0</v>
      </c>
      <c r="N100" s="675">
        <v>0</v>
      </c>
      <c r="O100" s="675">
        <v>0</v>
      </c>
      <c r="P100" s="675">
        <v>260.23</v>
      </c>
      <c r="Q100" s="675">
        <v>0</v>
      </c>
      <c r="R100" s="675">
        <v>104724</v>
      </c>
      <c r="S100" s="675">
        <v>402.428</v>
      </c>
      <c r="T100" s="675">
        <v>0</v>
      </c>
      <c r="U100" s="675">
        <v>55689</v>
      </c>
      <c r="V100" s="675">
        <v>15.123000000000001</v>
      </c>
      <c r="W100" s="675">
        <v>9316</v>
      </c>
      <c r="X100" s="675">
        <v>9316</v>
      </c>
      <c r="Y100" s="675">
        <v>0</v>
      </c>
      <c r="Z100" s="675">
        <v>0</v>
      </c>
      <c r="AA100" s="675">
        <v>0</v>
      </c>
      <c r="AB100" s="675">
        <v>0</v>
      </c>
      <c r="AC100" s="675">
        <v>0</v>
      </c>
      <c r="AD100" s="675" t="s">
        <v>316</v>
      </c>
      <c r="AE100" s="675">
        <v>0</v>
      </c>
      <c r="AF100" s="675">
        <v>0</v>
      </c>
      <c r="AG100" s="675">
        <v>0</v>
      </c>
      <c r="AH100" s="675">
        <v>0</v>
      </c>
      <c r="AI100" s="675">
        <v>0</v>
      </c>
      <c r="AJ100" s="675">
        <v>6160</v>
      </c>
      <c r="AK100" s="675" t="s">
        <v>671</v>
      </c>
      <c r="AL100" s="675" t="s">
        <v>20</v>
      </c>
      <c r="AM100" s="675">
        <v>0</v>
      </c>
      <c r="AN100" s="675">
        <v>0</v>
      </c>
      <c r="AO100" s="675">
        <v>0</v>
      </c>
      <c r="AP100" s="675">
        <v>0</v>
      </c>
      <c r="AQ100" s="675">
        <v>0</v>
      </c>
      <c r="AR100" s="675">
        <v>0</v>
      </c>
      <c r="AS100" s="675">
        <v>0</v>
      </c>
      <c r="AT100" s="675">
        <v>0</v>
      </c>
      <c r="AU100" s="675">
        <v>0</v>
      </c>
      <c r="AV100" s="675">
        <v>0</v>
      </c>
      <c r="AW100" s="675">
        <v>1988750</v>
      </c>
      <c r="AX100" s="675">
        <v>1954559</v>
      </c>
      <c r="AY100" s="675">
        <v>1565443</v>
      </c>
      <c r="AZ100" s="675">
        <v>104724</v>
      </c>
      <c r="BA100" s="675">
        <v>0</v>
      </c>
      <c r="BB100" s="675">
        <v>0</v>
      </c>
      <c r="BC100" s="675">
        <v>0</v>
      </c>
      <c r="BD100" s="675">
        <v>0</v>
      </c>
      <c r="BE100" s="675">
        <v>0</v>
      </c>
      <c r="BF100" s="675">
        <v>1834126</v>
      </c>
      <c r="BG100" s="675">
        <v>0</v>
      </c>
      <c r="BH100" s="675">
        <v>0</v>
      </c>
      <c r="BI100" s="675">
        <v>0</v>
      </c>
      <c r="BJ100" s="675">
        <v>12</v>
      </c>
      <c r="BK100" s="675">
        <v>0</v>
      </c>
      <c r="BL100" s="675">
        <v>0</v>
      </c>
      <c r="BM100" s="675">
        <v>0</v>
      </c>
      <c r="BN100" s="675">
        <v>0</v>
      </c>
      <c r="BO100" s="675">
        <v>0</v>
      </c>
      <c r="BP100" s="675">
        <v>0</v>
      </c>
      <c r="BQ100" s="675">
        <v>741</v>
      </c>
      <c r="BR100" s="675">
        <v>0</v>
      </c>
      <c r="BS100" s="675">
        <v>0</v>
      </c>
      <c r="BT100" s="675">
        <v>0</v>
      </c>
      <c r="BU100" s="675">
        <v>0</v>
      </c>
      <c r="BV100" s="675">
        <v>0</v>
      </c>
      <c r="BW100" s="675">
        <v>0</v>
      </c>
      <c r="BX100" s="675">
        <v>0</v>
      </c>
      <c r="BY100" s="675">
        <v>0</v>
      </c>
      <c r="BZ100" s="675">
        <v>0</v>
      </c>
      <c r="CA100" s="675">
        <v>0</v>
      </c>
      <c r="CB100" s="675">
        <v>0</v>
      </c>
      <c r="CC100" s="675">
        <v>0</v>
      </c>
      <c r="CD100" s="675">
        <v>0</v>
      </c>
      <c r="CE100" s="675">
        <v>0</v>
      </c>
      <c r="CF100" s="675">
        <v>0</v>
      </c>
      <c r="CG100" s="675">
        <v>0</v>
      </c>
      <c r="CH100" s="675">
        <v>34311</v>
      </c>
      <c r="CI100" s="675">
        <v>0</v>
      </c>
      <c r="CJ100" s="675">
        <v>4</v>
      </c>
      <c r="CK100" s="675">
        <v>0</v>
      </c>
      <c r="CL100" s="675">
        <v>0</v>
      </c>
      <c r="CM100" s="675">
        <v>0</v>
      </c>
      <c r="CN100" s="675">
        <v>0</v>
      </c>
      <c r="CO100" s="675">
        <v>1</v>
      </c>
      <c r="CP100" s="675">
        <v>0</v>
      </c>
      <c r="CQ100" s="675">
        <v>0</v>
      </c>
      <c r="CR100" s="675">
        <v>293.99299999999999</v>
      </c>
      <c r="CS100" s="675">
        <v>0</v>
      </c>
      <c r="CT100" s="675">
        <v>0</v>
      </c>
      <c r="CU100" s="675">
        <v>0</v>
      </c>
      <c r="CV100" s="675">
        <v>0</v>
      </c>
      <c r="CW100" s="675">
        <v>0</v>
      </c>
      <c r="CX100" s="675">
        <v>0</v>
      </c>
      <c r="CY100" s="675">
        <v>0</v>
      </c>
      <c r="CZ100" s="675">
        <v>0</v>
      </c>
      <c r="DA100" s="675">
        <v>0</v>
      </c>
      <c r="DB100" s="675">
        <v>1007866</v>
      </c>
      <c r="DC100" s="675">
        <v>0</v>
      </c>
      <c r="DD100" s="675">
        <v>0</v>
      </c>
      <c r="DE100" s="675">
        <v>392082</v>
      </c>
      <c r="DF100" s="675">
        <v>392082</v>
      </c>
      <c r="DG100" s="675">
        <v>63.65</v>
      </c>
      <c r="DH100" s="675">
        <v>0</v>
      </c>
      <c r="DI100" s="675">
        <v>0</v>
      </c>
      <c r="DJ100" s="675">
        <v>0</v>
      </c>
      <c r="DK100" s="675">
        <v>3482</v>
      </c>
      <c r="DL100" s="675">
        <v>0</v>
      </c>
      <c r="DM100" s="675">
        <v>173753</v>
      </c>
      <c r="DN100" s="675">
        <v>120</v>
      </c>
      <c r="DO100" s="675">
        <v>0</v>
      </c>
      <c r="DP100" s="675">
        <v>0</v>
      </c>
      <c r="DQ100" s="675">
        <v>0</v>
      </c>
      <c r="DR100" s="675">
        <v>0</v>
      </c>
      <c r="DS100" s="675">
        <v>0</v>
      </c>
      <c r="DT100" s="675">
        <v>0</v>
      </c>
      <c r="DU100" s="675">
        <v>0</v>
      </c>
      <c r="DV100" s="675">
        <v>0</v>
      </c>
      <c r="DW100" s="675">
        <v>0</v>
      </c>
      <c r="DX100" s="675">
        <v>0</v>
      </c>
      <c r="DY100" s="675">
        <v>0</v>
      </c>
      <c r="DZ100" s="675">
        <v>0</v>
      </c>
      <c r="EA100" s="675">
        <v>0</v>
      </c>
      <c r="EB100" s="675">
        <v>0</v>
      </c>
      <c r="EC100" s="675">
        <v>1.3900000000000001</v>
      </c>
      <c r="ED100" s="675">
        <v>9847</v>
      </c>
      <c r="EE100" s="675">
        <v>0</v>
      </c>
      <c r="EF100" s="675">
        <v>0</v>
      </c>
      <c r="EG100" s="675">
        <v>0</v>
      </c>
      <c r="EH100" s="675">
        <v>21856</v>
      </c>
      <c r="EI100" s="675">
        <v>0</v>
      </c>
      <c r="EJ100" s="675">
        <v>0</v>
      </c>
      <c r="EK100" s="675">
        <v>0.39800000000000002</v>
      </c>
      <c r="EL100" s="675">
        <v>0</v>
      </c>
      <c r="EM100" s="675">
        <v>0.42800000000000005</v>
      </c>
      <c r="EN100" s="675">
        <v>0.21400000000000002</v>
      </c>
      <c r="EO100" s="675">
        <v>0</v>
      </c>
      <c r="EP100" s="675">
        <v>0</v>
      </c>
      <c r="EQ100" s="675">
        <v>1.04</v>
      </c>
      <c r="ER100" s="675">
        <v>0</v>
      </c>
      <c r="ES100" s="675">
        <v>3.548</v>
      </c>
      <c r="ET100" s="675">
        <v>0</v>
      </c>
      <c r="EU100" s="675">
        <v>0</v>
      </c>
      <c r="EV100" s="675">
        <v>0</v>
      </c>
      <c r="EW100" s="675">
        <v>0</v>
      </c>
      <c r="EX100" s="675">
        <v>0</v>
      </c>
      <c r="EY100" s="675">
        <v>0</v>
      </c>
      <c r="EZ100" s="675">
        <v>1729402</v>
      </c>
      <c r="FA100" s="675">
        <v>0</v>
      </c>
      <c r="FB100" s="675">
        <v>1834006</v>
      </c>
      <c r="FC100" s="675">
        <v>0</v>
      </c>
      <c r="FD100" s="675">
        <v>0</v>
      </c>
      <c r="FE100" s="675">
        <v>186568</v>
      </c>
      <c r="FF100" s="675">
        <v>38589</v>
      </c>
      <c r="FG100" s="675">
        <v>6.3574999999999993E-2</v>
      </c>
      <c r="FH100" s="675">
        <v>2.6298999999999999E-2</v>
      </c>
      <c r="FI100" s="675">
        <v>0</v>
      </c>
      <c r="FJ100" s="675">
        <v>0</v>
      </c>
      <c r="FK100" s="675">
        <v>297.74900000000002</v>
      </c>
      <c r="FL100" s="675">
        <v>2093474</v>
      </c>
      <c r="FM100" s="675">
        <v>0</v>
      </c>
      <c r="FN100" s="675">
        <v>0</v>
      </c>
      <c r="FO100" s="675">
        <v>0</v>
      </c>
      <c r="FP100" s="675">
        <v>0</v>
      </c>
      <c r="FQ100" s="675">
        <v>0</v>
      </c>
      <c r="FR100" s="675">
        <v>0</v>
      </c>
      <c r="FS100" s="675">
        <v>0</v>
      </c>
      <c r="FT100" s="675">
        <v>0</v>
      </c>
      <c r="FU100" s="675">
        <v>0</v>
      </c>
      <c r="FV100" s="675">
        <v>0</v>
      </c>
      <c r="FW100" s="675">
        <v>0</v>
      </c>
      <c r="FX100" s="675">
        <v>0</v>
      </c>
      <c r="FY100" s="675">
        <v>0</v>
      </c>
      <c r="FZ100" s="675">
        <v>0</v>
      </c>
      <c r="GA100" s="675">
        <v>0</v>
      </c>
      <c r="GB100" s="675">
        <v>0</v>
      </c>
      <c r="GC100" s="675">
        <v>0</v>
      </c>
      <c r="GD100" s="675">
        <v>0</v>
      </c>
      <c r="GE100" s="675">
        <v>0</v>
      </c>
      <c r="GF100" s="675">
        <v>0</v>
      </c>
      <c r="GG100" s="675">
        <v>0</v>
      </c>
      <c r="GH100" s="675">
        <v>0</v>
      </c>
      <c r="GI100" s="675">
        <v>0</v>
      </c>
      <c r="GJ100" s="675">
        <v>0</v>
      </c>
      <c r="GK100" s="675">
        <v>0</v>
      </c>
      <c r="GL100" s="675">
        <v>0</v>
      </c>
      <c r="GM100" s="675">
        <v>0</v>
      </c>
      <c r="GN100" s="675">
        <v>0</v>
      </c>
      <c r="GO100" s="675">
        <v>0</v>
      </c>
      <c r="GP100" s="675">
        <v>0</v>
      </c>
      <c r="GQ100" s="675">
        <v>0</v>
      </c>
      <c r="GR100" s="675">
        <v>0</v>
      </c>
      <c r="GS100" s="675">
        <v>0</v>
      </c>
      <c r="GT100" s="675">
        <v>0</v>
      </c>
      <c r="GU100" s="675">
        <v>0</v>
      </c>
      <c r="GV100" s="675">
        <v>0</v>
      </c>
      <c r="GW100" s="675">
        <v>0</v>
      </c>
      <c r="GX100" s="675">
        <v>0</v>
      </c>
      <c r="GY100" s="675">
        <v>0</v>
      </c>
      <c r="GZ100" s="675">
        <v>0</v>
      </c>
      <c r="HA100" s="675">
        <v>0</v>
      </c>
      <c r="HB100" s="675">
        <v>298386780</v>
      </c>
      <c r="HC100" s="675">
        <v>4.5690999999999996E-2</v>
      </c>
      <c r="HD100" s="675">
        <v>34311</v>
      </c>
      <c r="HE100" s="675">
        <v>0</v>
      </c>
      <c r="HF100" s="675">
        <v>205365</v>
      </c>
      <c r="HG100" s="675">
        <v>616</v>
      </c>
      <c r="HH100" s="675">
        <v>43183</v>
      </c>
      <c r="HI100" s="675">
        <v>0</v>
      </c>
      <c r="HJ100" s="675">
        <v>1825</v>
      </c>
      <c r="HK100" s="675">
        <v>0</v>
      </c>
      <c r="HL100" s="675">
        <v>0</v>
      </c>
      <c r="HM100" s="675">
        <v>0</v>
      </c>
      <c r="HN100" s="675">
        <v>0</v>
      </c>
      <c r="HO100" s="675">
        <v>0</v>
      </c>
      <c r="HP100" s="675">
        <v>0</v>
      </c>
      <c r="HQ100" s="675">
        <v>0</v>
      </c>
      <c r="HR100" s="675">
        <v>0</v>
      </c>
      <c r="HS100" s="675">
        <v>1729282</v>
      </c>
      <c r="HT100" s="675">
        <v>38589</v>
      </c>
      <c r="HU100" s="675">
        <v>0</v>
      </c>
      <c r="HV100" s="675">
        <v>0</v>
      </c>
      <c r="HW100" s="675">
        <v>0</v>
      </c>
      <c r="HX100" s="675">
        <v>23</v>
      </c>
      <c r="HY100" s="675">
        <v>16</v>
      </c>
      <c r="HZ100" s="675">
        <v>27</v>
      </c>
      <c r="IA100" s="675">
        <v>60</v>
      </c>
      <c r="IB100" s="675">
        <v>117</v>
      </c>
      <c r="IC100" s="675">
        <v>243</v>
      </c>
      <c r="ID100" s="675">
        <v>0</v>
      </c>
      <c r="IE100" s="675">
        <v>0</v>
      </c>
      <c r="IF100" s="675">
        <v>0</v>
      </c>
      <c r="IG100" s="675">
        <v>1</v>
      </c>
      <c r="IH100" s="675">
        <v>70.102000000000004</v>
      </c>
      <c r="II100" s="675">
        <v>0</v>
      </c>
      <c r="IJ100" s="675">
        <v>15.123000000000001</v>
      </c>
      <c r="IK100" s="675">
        <v>0</v>
      </c>
      <c r="IL100" s="675">
        <v>0</v>
      </c>
      <c r="IM100" s="675">
        <v>0</v>
      </c>
      <c r="IN100" s="675">
        <v>0</v>
      </c>
      <c r="IO100" s="675">
        <v>0</v>
      </c>
      <c r="IP100" s="675">
        <v>0</v>
      </c>
      <c r="IQ100" s="675">
        <v>15.123000000000001</v>
      </c>
      <c r="IR100" s="675">
        <v>9316</v>
      </c>
      <c r="IS100" s="675">
        <v>0</v>
      </c>
      <c r="IT100" s="675">
        <v>0</v>
      </c>
      <c r="IU100" s="675">
        <v>0</v>
      </c>
      <c r="IV100" s="675">
        <v>0</v>
      </c>
      <c r="IW100" s="675">
        <v>6160</v>
      </c>
      <c r="IX100" s="675">
        <v>0</v>
      </c>
      <c r="IY100" s="675">
        <v>0</v>
      </c>
      <c r="IZ100" s="675">
        <v>0</v>
      </c>
      <c r="JA100" s="675">
        <v>0</v>
      </c>
      <c r="JB100" s="675">
        <v>0</v>
      </c>
      <c r="JC100" s="675">
        <v>0</v>
      </c>
      <c r="JD100" s="675">
        <v>0</v>
      </c>
      <c r="JE100" s="675">
        <v>0</v>
      </c>
      <c r="JF100" s="675">
        <v>0</v>
      </c>
      <c r="JG100" s="675">
        <v>0</v>
      </c>
      <c r="JH100" s="675">
        <v>0</v>
      </c>
      <c r="JI100" s="675">
        <v>0</v>
      </c>
      <c r="JJ100" s="675">
        <v>0</v>
      </c>
      <c r="JK100" s="675">
        <v>0</v>
      </c>
      <c r="JL100" s="675">
        <v>0</v>
      </c>
      <c r="JM100" s="675">
        <v>0</v>
      </c>
      <c r="JN100" s="675">
        <v>32469</v>
      </c>
      <c r="JO100" s="675">
        <v>0</v>
      </c>
      <c r="JP100" s="675">
        <v>0</v>
      </c>
      <c r="JQ100" s="675">
        <v>0</v>
      </c>
      <c r="JR100" s="675">
        <v>0</v>
      </c>
      <c r="JS100" s="675">
        <v>0</v>
      </c>
      <c r="JT100" s="675">
        <v>0</v>
      </c>
      <c r="JU100" s="675">
        <v>0</v>
      </c>
      <c r="JV100" s="675">
        <v>0</v>
      </c>
      <c r="JW100" s="675">
        <v>0</v>
      </c>
      <c r="JX100" s="675">
        <v>0</v>
      </c>
      <c r="JY100" s="675">
        <v>0</v>
      </c>
      <c r="JZ100" s="675">
        <v>0</v>
      </c>
      <c r="KA100" s="675">
        <v>0</v>
      </c>
      <c r="KB100" s="675">
        <v>0</v>
      </c>
      <c r="KC100" s="675">
        <v>0</v>
      </c>
      <c r="KD100" s="675">
        <v>0</v>
      </c>
      <c r="KE100" s="675">
        <v>7260</v>
      </c>
      <c r="KF100" s="675">
        <v>0</v>
      </c>
      <c r="KG100" s="675">
        <v>0</v>
      </c>
      <c r="KH100" s="675">
        <v>0</v>
      </c>
      <c r="KI100" s="675">
        <v>0</v>
      </c>
    </row>
    <row r="101" spans="1:295" ht="12.5" x14ac:dyDescent="0.25">
      <c r="A101" s="675">
        <v>35795</v>
      </c>
      <c r="B101" s="675">
        <v>71810</v>
      </c>
      <c r="C101" s="675">
        <v>9</v>
      </c>
      <c r="D101" s="675">
        <v>2022</v>
      </c>
      <c r="E101" s="675">
        <v>6160</v>
      </c>
      <c r="F101" s="675">
        <v>0</v>
      </c>
      <c r="G101" s="675">
        <v>248.68</v>
      </c>
      <c r="H101" s="675">
        <v>242.078</v>
      </c>
      <c r="I101" s="675">
        <v>242.078</v>
      </c>
      <c r="J101" s="675">
        <v>248.68</v>
      </c>
      <c r="K101" s="675">
        <v>0</v>
      </c>
      <c r="L101" s="675">
        <v>6160</v>
      </c>
      <c r="M101" s="675">
        <v>0</v>
      </c>
      <c r="N101" s="675">
        <v>0</v>
      </c>
      <c r="O101" s="675">
        <v>0</v>
      </c>
      <c r="P101" s="675">
        <v>199.155</v>
      </c>
      <c r="Q101" s="675">
        <v>0</v>
      </c>
      <c r="R101" s="675">
        <v>80146</v>
      </c>
      <c r="S101" s="675">
        <v>402.428</v>
      </c>
      <c r="T101" s="675">
        <v>0</v>
      </c>
      <c r="U101" s="675">
        <v>42620</v>
      </c>
      <c r="V101" s="675">
        <v>168.876</v>
      </c>
      <c r="W101" s="675">
        <v>104027</v>
      </c>
      <c r="X101" s="675">
        <v>104027</v>
      </c>
      <c r="Y101" s="675">
        <v>0</v>
      </c>
      <c r="Z101" s="675">
        <v>0</v>
      </c>
      <c r="AA101" s="675">
        <v>0</v>
      </c>
      <c r="AB101" s="675">
        <v>0</v>
      </c>
      <c r="AC101" s="675">
        <v>0</v>
      </c>
      <c r="AD101" s="675" t="s">
        <v>316</v>
      </c>
      <c r="AE101" s="675">
        <v>0</v>
      </c>
      <c r="AF101" s="675">
        <v>0</v>
      </c>
      <c r="AG101" s="675">
        <v>0</v>
      </c>
      <c r="AH101" s="675">
        <v>0</v>
      </c>
      <c r="AI101" s="675">
        <v>0</v>
      </c>
      <c r="AJ101" s="675">
        <v>6160</v>
      </c>
      <c r="AK101" s="675" t="s">
        <v>671</v>
      </c>
      <c r="AL101" s="675" t="s">
        <v>341</v>
      </c>
      <c r="AM101" s="675">
        <v>0</v>
      </c>
      <c r="AN101" s="675">
        <v>0</v>
      </c>
      <c r="AO101" s="675">
        <v>0</v>
      </c>
      <c r="AP101" s="675">
        <v>0</v>
      </c>
      <c r="AQ101" s="675">
        <v>0</v>
      </c>
      <c r="AR101" s="675">
        <v>0</v>
      </c>
      <c r="AS101" s="675">
        <v>0</v>
      </c>
      <c r="AT101" s="675">
        <v>0</v>
      </c>
      <c r="AU101" s="675">
        <v>0</v>
      </c>
      <c r="AV101" s="675">
        <v>-5650</v>
      </c>
      <c r="AW101" s="675">
        <v>2868535</v>
      </c>
      <c r="AX101" s="675">
        <v>2823839</v>
      </c>
      <c r="AY101" s="675">
        <v>2264678</v>
      </c>
      <c r="AZ101" s="675">
        <v>80146</v>
      </c>
      <c r="BA101" s="675">
        <v>0</v>
      </c>
      <c r="BB101" s="675">
        <v>5255</v>
      </c>
      <c r="BC101" s="675">
        <v>5221</v>
      </c>
      <c r="BD101" s="675">
        <v>12.188000000000001</v>
      </c>
      <c r="BE101" s="675">
        <v>34</v>
      </c>
      <c r="BF101" s="675">
        <v>2510980</v>
      </c>
      <c r="BG101" s="675">
        <v>0</v>
      </c>
      <c r="BH101" s="675">
        <v>0</v>
      </c>
      <c r="BI101" s="675">
        <v>0</v>
      </c>
      <c r="BJ101" s="675">
        <v>12</v>
      </c>
      <c r="BK101" s="675">
        <v>0</v>
      </c>
      <c r="BL101" s="675">
        <v>0</v>
      </c>
      <c r="BM101" s="675">
        <v>0</v>
      </c>
      <c r="BN101" s="675">
        <v>0</v>
      </c>
      <c r="BO101" s="675">
        <v>0</v>
      </c>
      <c r="BP101" s="675">
        <v>0</v>
      </c>
      <c r="BQ101" s="675">
        <v>733</v>
      </c>
      <c r="BR101" s="675">
        <v>0</v>
      </c>
      <c r="BS101" s="675">
        <v>0</v>
      </c>
      <c r="BT101" s="675">
        <v>0</v>
      </c>
      <c r="BU101" s="675">
        <v>0</v>
      </c>
      <c r="BV101" s="675">
        <v>0</v>
      </c>
      <c r="BW101" s="675">
        <v>0</v>
      </c>
      <c r="BX101" s="675">
        <v>0</v>
      </c>
      <c r="BY101" s="675">
        <v>0</v>
      </c>
      <c r="BZ101" s="675">
        <v>0</v>
      </c>
      <c r="CA101" s="675">
        <v>89.632000000000005</v>
      </c>
      <c r="CB101" s="675">
        <v>76436</v>
      </c>
      <c r="CC101" s="675">
        <v>0</v>
      </c>
      <c r="CD101" s="675">
        <v>0</v>
      </c>
      <c r="CE101" s="675">
        <v>0</v>
      </c>
      <c r="CF101" s="675">
        <v>0</v>
      </c>
      <c r="CG101" s="675">
        <v>0</v>
      </c>
      <c r="CH101" s="675">
        <v>45449</v>
      </c>
      <c r="CI101" s="675">
        <v>0</v>
      </c>
      <c r="CJ101" s="675">
        <v>5</v>
      </c>
      <c r="CK101" s="675">
        <v>0</v>
      </c>
      <c r="CL101" s="675">
        <v>0</v>
      </c>
      <c r="CM101" s="675">
        <v>0</v>
      </c>
      <c r="CN101" s="675">
        <v>0</v>
      </c>
      <c r="CO101" s="675">
        <v>1</v>
      </c>
      <c r="CP101" s="675">
        <v>0</v>
      </c>
      <c r="CQ101" s="675">
        <v>0</v>
      </c>
      <c r="CR101" s="675">
        <v>195.64700000000002</v>
      </c>
      <c r="CS101" s="675">
        <v>0</v>
      </c>
      <c r="CT101" s="675">
        <v>0</v>
      </c>
      <c r="CU101" s="675">
        <v>0</v>
      </c>
      <c r="CV101" s="675">
        <v>0</v>
      </c>
      <c r="CW101" s="675">
        <v>0</v>
      </c>
      <c r="CX101" s="675">
        <v>0</v>
      </c>
      <c r="CY101" s="675">
        <v>0</v>
      </c>
      <c r="CZ101" s="675">
        <v>0</v>
      </c>
      <c r="DA101" s="675">
        <v>0</v>
      </c>
      <c r="DB101" s="675">
        <v>1491194</v>
      </c>
      <c r="DC101" s="675">
        <v>0</v>
      </c>
      <c r="DD101" s="675">
        <v>0</v>
      </c>
      <c r="DE101" s="675">
        <v>372678</v>
      </c>
      <c r="DF101" s="675">
        <v>372678</v>
      </c>
      <c r="DG101" s="675">
        <v>60.5</v>
      </c>
      <c r="DH101" s="675">
        <v>0</v>
      </c>
      <c r="DI101" s="675">
        <v>0</v>
      </c>
      <c r="DJ101" s="675">
        <v>0</v>
      </c>
      <c r="DK101" s="675">
        <v>3346</v>
      </c>
      <c r="DL101" s="675">
        <v>0</v>
      </c>
      <c r="DM101" s="675">
        <v>188776</v>
      </c>
      <c r="DN101" s="675">
        <v>719</v>
      </c>
      <c r="DO101" s="675">
        <v>0</v>
      </c>
      <c r="DP101" s="675">
        <v>0</v>
      </c>
      <c r="DQ101" s="675">
        <v>0</v>
      </c>
      <c r="DR101" s="675">
        <v>0</v>
      </c>
      <c r="DS101" s="675">
        <v>0</v>
      </c>
      <c r="DT101" s="675">
        <v>0</v>
      </c>
      <c r="DU101" s="675">
        <v>0</v>
      </c>
      <c r="DV101" s="675">
        <v>0</v>
      </c>
      <c r="DW101" s="675">
        <v>0</v>
      </c>
      <c r="DX101" s="675">
        <v>0</v>
      </c>
      <c r="DY101" s="675">
        <v>0</v>
      </c>
      <c r="DZ101" s="675">
        <v>0</v>
      </c>
      <c r="EA101" s="675">
        <v>0</v>
      </c>
      <c r="EB101" s="675">
        <v>0</v>
      </c>
      <c r="EC101" s="675">
        <v>21.815000000000001</v>
      </c>
      <c r="ED101" s="675">
        <v>154537</v>
      </c>
      <c r="EE101" s="675">
        <v>0</v>
      </c>
      <c r="EF101" s="675">
        <v>0</v>
      </c>
      <c r="EG101" s="675">
        <v>0</v>
      </c>
      <c r="EH101" s="675">
        <v>34958</v>
      </c>
      <c r="EI101" s="675">
        <v>0</v>
      </c>
      <c r="EJ101" s="675">
        <v>0</v>
      </c>
      <c r="EK101" s="675">
        <v>0.50700000000000001</v>
      </c>
      <c r="EL101" s="675">
        <v>0</v>
      </c>
      <c r="EM101" s="675">
        <v>0.77300000000000002</v>
      </c>
      <c r="EN101" s="675">
        <v>0.36699999999999999</v>
      </c>
      <c r="EO101" s="675">
        <v>0</v>
      </c>
      <c r="EP101" s="675">
        <v>0</v>
      </c>
      <c r="EQ101" s="675">
        <v>1.647</v>
      </c>
      <c r="ER101" s="675">
        <v>0</v>
      </c>
      <c r="ES101" s="675">
        <v>5.6750000000000007</v>
      </c>
      <c r="ET101" s="675">
        <v>0</v>
      </c>
      <c r="EU101" s="675">
        <v>0</v>
      </c>
      <c r="EV101" s="675">
        <v>0</v>
      </c>
      <c r="EW101" s="675">
        <v>0</v>
      </c>
      <c r="EX101" s="675">
        <v>0</v>
      </c>
      <c r="EY101" s="675">
        <v>0</v>
      </c>
      <c r="EZ101" s="675">
        <v>2515592</v>
      </c>
      <c r="FA101" s="675">
        <v>0</v>
      </c>
      <c r="FB101" s="675">
        <v>2594985</v>
      </c>
      <c r="FC101" s="675">
        <v>0</v>
      </c>
      <c r="FD101" s="675">
        <v>0</v>
      </c>
      <c r="FE101" s="675">
        <v>255418</v>
      </c>
      <c r="FF101" s="675">
        <v>52829</v>
      </c>
      <c r="FG101" s="675">
        <v>6.3574999999999993E-2</v>
      </c>
      <c r="FH101" s="675">
        <v>2.6298999999999999E-2</v>
      </c>
      <c r="FI101" s="675">
        <v>0</v>
      </c>
      <c r="FJ101" s="675">
        <v>0</v>
      </c>
      <c r="FK101" s="675">
        <v>407.62900000000002</v>
      </c>
      <c r="FL101" s="675">
        <v>2948681</v>
      </c>
      <c r="FM101" s="675">
        <v>0</v>
      </c>
      <c r="FN101" s="675">
        <v>0</v>
      </c>
      <c r="FO101" s="675">
        <v>8322</v>
      </c>
      <c r="FP101" s="675">
        <v>0</v>
      </c>
      <c r="FQ101" s="675">
        <v>8322</v>
      </c>
      <c r="FR101" s="675">
        <v>8322</v>
      </c>
      <c r="FS101" s="675">
        <v>0</v>
      </c>
      <c r="FT101" s="675">
        <v>0</v>
      </c>
      <c r="FU101" s="675">
        <v>0</v>
      </c>
      <c r="FV101" s="675">
        <v>0</v>
      </c>
      <c r="FW101" s="675">
        <v>0</v>
      </c>
      <c r="FX101" s="675">
        <v>0</v>
      </c>
      <c r="FY101" s="675">
        <v>0</v>
      </c>
      <c r="FZ101" s="675">
        <v>0</v>
      </c>
      <c r="GA101" s="675">
        <v>0</v>
      </c>
      <c r="GB101" s="675">
        <v>42852</v>
      </c>
      <c r="GC101" s="675">
        <v>42852</v>
      </c>
      <c r="GD101" s="675">
        <v>4.9550000000000001</v>
      </c>
      <c r="GE101" s="675">
        <v>0</v>
      </c>
      <c r="GF101" s="675">
        <v>0</v>
      </c>
      <c r="GG101" s="675">
        <v>0</v>
      </c>
      <c r="GH101" s="675">
        <v>0</v>
      </c>
      <c r="GI101" s="675">
        <v>0</v>
      </c>
      <c r="GJ101" s="675">
        <v>0</v>
      </c>
      <c r="GK101" s="675">
        <v>0</v>
      </c>
      <c r="GL101" s="675">
        <v>0</v>
      </c>
      <c r="GM101" s="675">
        <v>0</v>
      </c>
      <c r="GN101" s="675">
        <v>0</v>
      </c>
      <c r="GO101" s="675">
        <v>0</v>
      </c>
      <c r="GP101" s="675">
        <v>0</v>
      </c>
      <c r="GQ101" s="675">
        <v>0</v>
      </c>
      <c r="GR101" s="675">
        <v>0</v>
      </c>
      <c r="GS101" s="675">
        <v>0</v>
      </c>
      <c r="GT101" s="675">
        <v>0</v>
      </c>
      <c r="GU101" s="675">
        <v>0</v>
      </c>
      <c r="GV101" s="675">
        <v>0</v>
      </c>
      <c r="GW101" s="675">
        <v>0</v>
      </c>
      <c r="GX101" s="675">
        <v>0</v>
      </c>
      <c r="GY101" s="675">
        <v>0</v>
      </c>
      <c r="GZ101" s="675">
        <v>0</v>
      </c>
      <c r="HA101" s="675">
        <v>0</v>
      </c>
      <c r="HB101" s="675">
        <v>298386780</v>
      </c>
      <c r="HC101" s="675">
        <v>4.5690999999999996E-2</v>
      </c>
      <c r="HD101" s="675">
        <v>45449</v>
      </c>
      <c r="HE101" s="675">
        <v>0</v>
      </c>
      <c r="HF101" s="675">
        <v>266286</v>
      </c>
      <c r="HG101" s="675">
        <v>6776</v>
      </c>
      <c r="HH101" s="675">
        <v>0</v>
      </c>
      <c r="HI101" s="675">
        <v>0</v>
      </c>
      <c r="HJ101" s="675">
        <v>2417</v>
      </c>
      <c r="HK101" s="675">
        <v>0</v>
      </c>
      <c r="HL101" s="675">
        <v>0</v>
      </c>
      <c r="HM101" s="675">
        <v>0</v>
      </c>
      <c r="HN101" s="675">
        <v>0</v>
      </c>
      <c r="HO101" s="675">
        <v>30000</v>
      </c>
      <c r="HP101" s="675">
        <v>0</v>
      </c>
      <c r="HQ101" s="675">
        <v>0</v>
      </c>
      <c r="HR101" s="675">
        <v>0</v>
      </c>
      <c r="HS101" s="675">
        <v>2514839</v>
      </c>
      <c r="HT101" s="675">
        <v>52829</v>
      </c>
      <c r="HU101" s="675">
        <v>0</v>
      </c>
      <c r="HV101" s="675">
        <v>0</v>
      </c>
      <c r="HW101" s="675">
        <v>0</v>
      </c>
      <c r="HX101" s="675">
        <v>21</v>
      </c>
      <c r="HY101" s="675">
        <v>15</v>
      </c>
      <c r="HZ101" s="675">
        <v>20</v>
      </c>
      <c r="IA101" s="675">
        <v>51</v>
      </c>
      <c r="IB101" s="675">
        <v>123</v>
      </c>
      <c r="IC101" s="675">
        <v>230</v>
      </c>
      <c r="ID101" s="675">
        <v>0</v>
      </c>
      <c r="IE101" s="675">
        <v>0</v>
      </c>
      <c r="IF101" s="675">
        <v>0</v>
      </c>
      <c r="IG101" s="675">
        <v>11</v>
      </c>
      <c r="IH101" s="675">
        <v>0</v>
      </c>
      <c r="II101" s="675">
        <v>0</v>
      </c>
      <c r="IJ101" s="675">
        <v>168.876</v>
      </c>
      <c r="IK101" s="675">
        <v>0</v>
      </c>
      <c r="IL101" s="675">
        <v>0</v>
      </c>
      <c r="IM101" s="675">
        <v>0</v>
      </c>
      <c r="IN101" s="675">
        <v>0</v>
      </c>
      <c r="IO101" s="675">
        <v>0</v>
      </c>
      <c r="IP101" s="675">
        <v>0</v>
      </c>
      <c r="IQ101" s="675">
        <v>168.876</v>
      </c>
      <c r="IR101" s="675">
        <v>104027</v>
      </c>
      <c r="IS101" s="675">
        <v>0</v>
      </c>
      <c r="IT101" s="675">
        <v>0</v>
      </c>
      <c r="IU101" s="675">
        <v>0</v>
      </c>
      <c r="IV101" s="675">
        <v>0</v>
      </c>
      <c r="IW101" s="675">
        <v>6160</v>
      </c>
      <c r="IX101" s="675">
        <v>0</v>
      </c>
      <c r="IY101" s="675">
        <v>0</v>
      </c>
      <c r="IZ101" s="675">
        <v>0</v>
      </c>
      <c r="JA101" s="675">
        <v>0</v>
      </c>
      <c r="JB101" s="675">
        <v>0</v>
      </c>
      <c r="JC101" s="675">
        <v>0</v>
      </c>
      <c r="JD101" s="675">
        <v>0</v>
      </c>
      <c r="JE101" s="675">
        <v>0</v>
      </c>
      <c r="JF101" s="675">
        <v>0</v>
      </c>
      <c r="JG101" s="675">
        <v>0</v>
      </c>
      <c r="JH101" s="675">
        <v>0</v>
      </c>
      <c r="JI101" s="675">
        <v>0</v>
      </c>
      <c r="JJ101" s="675">
        <v>0</v>
      </c>
      <c r="JK101" s="675">
        <v>0</v>
      </c>
      <c r="JL101" s="675">
        <v>0</v>
      </c>
      <c r="JM101" s="675">
        <v>0</v>
      </c>
      <c r="JN101" s="675">
        <v>32469</v>
      </c>
      <c r="JO101" s="675">
        <v>2.444</v>
      </c>
      <c r="JP101" s="675">
        <v>2.5110000000000001</v>
      </c>
      <c r="JQ101" s="675">
        <v>0</v>
      </c>
      <c r="JR101" s="675">
        <v>19518</v>
      </c>
      <c r="JS101" s="675">
        <v>23334</v>
      </c>
      <c r="JT101" s="675">
        <v>0</v>
      </c>
      <c r="JU101" s="675">
        <v>5255</v>
      </c>
      <c r="JV101" s="675">
        <v>0</v>
      </c>
      <c r="JW101" s="675">
        <v>0</v>
      </c>
      <c r="JX101" s="675">
        <v>0</v>
      </c>
      <c r="JY101" s="675">
        <v>0</v>
      </c>
      <c r="JZ101" s="675">
        <v>0</v>
      </c>
      <c r="KA101" s="675">
        <v>0</v>
      </c>
      <c r="KB101" s="675">
        <v>0</v>
      </c>
      <c r="KC101" s="675">
        <v>0</v>
      </c>
      <c r="KD101" s="675">
        <v>5255</v>
      </c>
      <c r="KE101" s="675">
        <v>7260</v>
      </c>
      <c r="KF101" s="675">
        <v>0</v>
      </c>
      <c r="KG101" s="675">
        <v>0</v>
      </c>
      <c r="KH101" s="675">
        <v>0</v>
      </c>
      <c r="KI101" s="675">
        <v>0</v>
      </c>
    </row>
    <row r="102" spans="1:295" ht="12.5" x14ac:dyDescent="0.25">
      <c r="A102" s="675">
        <v>35795</v>
      </c>
      <c r="B102" s="675">
        <v>101810</v>
      </c>
      <c r="C102" s="675">
        <v>9</v>
      </c>
      <c r="D102" s="675">
        <v>2022</v>
      </c>
      <c r="E102" s="675">
        <v>6160</v>
      </c>
      <c r="F102" s="675">
        <v>0</v>
      </c>
      <c r="G102" s="675">
        <v>807.55500000000006</v>
      </c>
      <c r="H102" s="675">
        <v>806.28899999999999</v>
      </c>
      <c r="I102" s="675">
        <v>806.28899999999999</v>
      </c>
      <c r="J102" s="675">
        <v>807.55500000000006</v>
      </c>
      <c r="K102" s="675">
        <v>0</v>
      </c>
      <c r="L102" s="675">
        <v>6160</v>
      </c>
      <c r="M102" s="675">
        <v>0</v>
      </c>
      <c r="N102" s="675">
        <v>0</v>
      </c>
      <c r="O102" s="675">
        <v>0</v>
      </c>
      <c r="P102" s="675">
        <v>754.99599999999998</v>
      </c>
      <c r="Q102" s="675">
        <v>0</v>
      </c>
      <c r="R102" s="675">
        <v>303832</v>
      </c>
      <c r="S102" s="675">
        <v>402.428</v>
      </c>
      <c r="T102" s="675">
        <v>0</v>
      </c>
      <c r="U102" s="675">
        <v>161571</v>
      </c>
      <c r="V102" s="675">
        <v>484.46900000000005</v>
      </c>
      <c r="W102" s="675">
        <v>298432</v>
      </c>
      <c r="X102" s="675">
        <v>298432</v>
      </c>
      <c r="Y102" s="675">
        <v>0</v>
      </c>
      <c r="Z102" s="675">
        <v>0</v>
      </c>
      <c r="AA102" s="675">
        <v>0</v>
      </c>
      <c r="AB102" s="675">
        <v>0</v>
      </c>
      <c r="AC102" s="675">
        <v>0</v>
      </c>
      <c r="AD102" s="675" t="s">
        <v>316</v>
      </c>
      <c r="AE102" s="675">
        <v>0</v>
      </c>
      <c r="AF102" s="675">
        <v>0</v>
      </c>
      <c r="AG102" s="675">
        <v>0</v>
      </c>
      <c r="AH102" s="675">
        <v>0</v>
      </c>
      <c r="AI102" s="675">
        <v>0</v>
      </c>
      <c r="AJ102" s="675">
        <v>6160</v>
      </c>
      <c r="AK102" s="675" t="s">
        <v>671</v>
      </c>
      <c r="AL102" s="675" t="s">
        <v>344</v>
      </c>
      <c r="AM102" s="675">
        <v>0</v>
      </c>
      <c r="AN102" s="675">
        <v>0</v>
      </c>
      <c r="AO102" s="675">
        <v>0</v>
      </c>
      <c r="AP102" s="675">
        <v>0</v>
      </c>
      <c r="AQ102" s="675">
        <v>0</v>
      </c>
      <c r="AR102" s="675">
        <v>0</v>
      </c>
      <c r="AS102" s="675">
        <v>0</v>
      </c>
      <c r="AT102" s="675">
        <v>0</v>
      </c>
      <c r="AU102" s="675">
        <v>0</v>
      </c>
      <c r="AV102" s="675">
        <v>-43920</v>
      </c>
      <c r="AW102" s="675">
        <v>8913996</v>
      </c>
      <c r="AX102" s="675">
        <v>8382023</v>
      </c>
      <c r="AY102" s="675">
        <v>5829925</v>
      </c>
      <c r="AZ102" s="675">
        <v>303832</v>
      </c>
      <c r="BA102" s="675">
        <v>0</v>
      </c>
      <c r="BB102" s="675">
        <v>0</v>
      </c>
      <c r="BC102" s="675">
        <v>0</v>
      </c>
      <c r="BD102" s="675">
        <v>0</v>
      </c>
      <c r="BE102" s="675">
        <v>0</v>
      </c>
      <c r="BF102" s="675">
        <v>7736165</v>
      </c>
      <c r="BG102" s="675">
        <v>0</v>
      </c>
      <c r="BH102" s="675">
        <v>0</v>
      </c>
      <c r="BI102" s="675">
        <v>0</v>
      </c>
      <c r="BJ102" s="675">
        <v>12</v>
      </c>
      <c r="BK102" s="675">
        <v>0</v>
      </c>
      <c r="BL102" s="675">
        <v>0</v>
      </c>
      <c r="BM102" s="675">
        <v>0</v>
      </c>
      <c r="BN102" s="675">
        <v>0</v>
      </c>
      <c r="BO102" s="675">
        <v>0</v>
      </c>
      <c r="BP102" s="675">
        <v>0</v>
      </c>
      <c r="BQ102" s="675">
        <v>646</v>
      </c>
      <c r="BR102" s="675">
        <v>0</v>
      </c>
      <c r="BS102" s="675">
        <v>0</v>
      </c>
      <c r="BT102" s="675">
        <v>0</v>
      </c>
      <c r="BU102" s="675">
        <v>0</v>
      </c>
      <c r="BV102" s="675">
        <v>0</v>
      </c>
      <c r="BW102" s="675">
        <v>0</v>
      </c>
      <c r="BX102" s="675">
        <v>0</v>
      </c>
      <c r="BY102" s="675">
        <v>0</v>
      </c>
      <c r="BZ102" s="675">
        <v>0</v>
      </c>
      <c r="CA102" s="675">
        <v>0</v>
      </c>
      <c r="CB102" s="675">
        <v>0</v>
      </c>
      <c r="CC102" s="675">
        <v>0</v>
      </c>
      <c r="CD102" s="675">
        <v>0</v>
      </c>
      <c r="CE102" s="675">
        <v>0</v>
      </c>
      <c r="CF102" s="675">
        <v>0</v>
      </c>
      <c r="CG102" s="675">
        <v>0</v>
      </c>
      <c r="CH102" s="675">
        <v>532460</v>
      </c>
      <c r="CI102" s="675">
        <v>0</v>
      </c>
      <c r="CJ102" s="675">
        <v>4</v>
      </c>
      <c r="CK102" s="675">
        <v>0</v>
      </c>
      <c r="CL102" s="675">
        <v>0</v>
      </c>
      <c r="CM102" s="675">
        <v>0</v>
      </c>
      <c r="CN102" s="675">
        <v>0</v>
      </c>
      <c r="CO102" s="675">
        <v>1</v>
      </c>
      <c r="CP102" s="675">
        <v>0</v>
      </c>
      <c r="CQ102" s="675">
        <v>0</v>
      </c>
      <c r="CR102" s="675">
        <v>764.10599999999999</v>
      </c>
      <c r="CS102" s="675">
        <v>0</v>
      </c>
      <c r="CT102" s="675">
        <v>0</v>
      </c>
      <c r="CU102" s="675">
        <v>0</v>
      </c>
      <c r="CV102" s="675">
        <v>0</v>
      </c>
      <c r="CW102" s="675">
        <v>0</v>
      </c>
      <c r="CX102" s="675">
        <v>0</v>
      </c>
      <c r="CY102" s="675">
        <v>0</v>
      </c>
      <c r="CZ102" s="675">
        <v>0</v>
      </c>
      <c r="DA102" s="675">
        <v>0</v>
      </c>
      <c r="DB102" s="675">
        <v>4966717</v>
      </c>
      <c r="DC102" s="675">
        <v>0</v>
      </c>
      <c r="DD102" s="675">
        <v>0</v>
      </c>
      <c r="DE102" s="675">
        <v>1179019</v>
      </c>
      <c r="DF102" s="675">
        <v>1179019</v>
      </c>
      <c r="DG102" s="675">
        <v>191.4</v>
      </c>
      <c r="DH102" s="675">
        <v>0</v>
      </c>
      <c r="DI102" s="675">
        <v>0</v>
      </c>
      <c r="DJ102" s="675">
        <v>0</v>
      </c>
      <c r="DK102" s="675">
        <v>1956</v>
      </c>
      <c r="DL102" s="675">
        <v>0</v>
      </c>
      <c r="DM102" s="675">
        <v>127757</v>
      </c>
      <c r="DN102" s="675">
        <v>487</v>
      </c>
      <c r="DO102" s="675">
        <v>0</v>
      </c>
      <c r="DP102" s="675">
        <v>0</v>
      </c>
      <c r="DQ102" s="675">
        <v>0</v>
      </c>
      <c r="DR102" s="675">
        <v>0</v>
      </c>
      <c r="DS102" s="675">
        <v>0</v>
      </c>
      <c r="DT102" s="675">
        <v>0</v>
      </c>
      <c r="DU102" s="675">
        <v>0</v>
      </c>
      <c r="DV102" s="675">
        <v>0</v>
      </c>
      <c r="DW102" s="675">
        <v>0</v>
      </c>
      <c r="DX102" s="675">
        <v>0</v>
      </c>
      <c r="DY102" s="675">
        <v>0</v>
      </c>
      <c r="DZ102" s="675">
        <v>0</v>
      </c>
      <c r="EA102" s="675">
        <v>0</v>
      </c>
      <c r="EB102" s="675">
        <v>0</v>
      </c>
      <c r="EC102" s="675">
        <v>13.58</v>
      </c>
      <c r="ED102" s="675">
        <v>96200</v>
      </c>
      <c r="EE102" s="675">
        <v>0</v>
      </c>
      <c r="EF102" s="675">
        <v>0</v>
      </c>
      <c r="EG102" s="675">
        <v>0</v>
      </c>
      <c r="EH102" s="675">
        <v>32044</v>
      </c>
      <c r="EI102" s="675">
        <v>0</v>
      </c>
      <c r="EJ102" s="675">
        <v>0</v>
      </c>
      <c r="EK102" s="675">
        <v>0.56400000000000006</v>
      </c>
      <c r="EL102" s="675">
        <v>0</v>
      </c>
      <c r="EM102" s="675">
        <v>0</v>
      </c>
      <c r="EN102" s="675">
        <v>0.70200000000000007</v>
      </c>
      <c r="EO102" s="675">
        <v>0</v>
      </c>
      <c r="EP102" s="675">
        <v>0</v>
      </c>
      <c r="EQ102" s="675">
        <v>1.266</v>
      </c>
      <c r="ER102" s="675">
        <v>0</v>
      </c>
      <c r="ES102" s="675">
        <v>5.202</v>
      </c>
      <c r="ET102" s="675">
        <v>0</v>
      </c>
      <c r="EU102" s="675">
        <v>0</v>
      </c>
      <c r="EV102" s="675">
        <v>0</v>
      </c>
      <c r="EW102" s="675">
        <v>0</v>
      </c>
      <c r="EX102" s="675">
        <v>0</v>
      </c>
      <c r="EY102" s="675">
        <v>0</v>
      </c>
      <c r="EZ102" s="675">
        <v>7432333</v>
      </c>
      <c r="FA102" s="675">
        <v>0</v>
      </c>
      <c r="FB102" s="675">
        <v>7735678</v>
      </c>
      <c r="FC102" s="675">
        <v>0</v>
      </c>
      <c r="FD102" s="675">
        <v>0</v>
      </c>
      <c r="FE102" s="675">
        <v>786926</v>
      </c>
      <c r="FF102" s="675">
        <v>162764</v>
      </c>
      <c r="FG102" s="675">
        <v>6.3574999999999993E-2</v>
      </c>
      <c r="FH102" s="675">
        <v>2.6298999999999999E-2</v>
      </c>
      <c r="FI102" s="675">
        <v>0</v>
      </c>
      <c r="FJ102" s="675">
        <v>0</v>
      </c>
      <c r="FK102" s="675">
        <v>1255.877</v>
      </c>
      <c r="FL102" s="675">
        <v>9217828</v>
      </c>
      <c r="FM102" s="675">
        <v>0</v>
      </c>
      <c r="FN102" s="675">
        <v>0</v>
      </c>
      <c r="FO102" s="675">
        <v>0</v>
      </c>
      <c r="FP102" s="675">
        <v>0</v>
      </c>
      <c r="FQ102" s="675">
        <v>0</v>
      </c>
      <c r="FR102" s="675">
        <v>0</v>
      </c>
      <c r="FS102" s="675">
        <v>0</v>
      </c>
      <c r="FT102" s="675">
        <v>0</v>
      </c>
      <c r="FU102" s="675">
        <v>0</v>
      </c>
      <c r="FV102" s="675">
        <v>0</v>
      </c>
      <c r="FW102" s="675">
        <v>0</v>
      </c>
      <c r="FX102" s="675">
        <v>0</v>
      </c>
      <c r="FY102" s="675">
        <v>0</v>
      </c>
      <c r="FZ102" s="675">
        <v>0</v>
      </c>
      <c r="GA102" s="675">
        <v>0</v>
      </c>
      <c r="GB102" s="675">
        <v>0</v>
      </c>
      <c r="GC102" s="675">
        <v>0</v>
      </c>
      <c r="GD102" s="675">
        <v>0</v>
      </c>
      <c r="GE102" s="675">
        <v>0</v>
      </c>
      <c r="GF102" s="675">
        <v>0</v>
      </c>
      <c r="GG102" s="675">
        <v>0</v>
      </c>
      <c r="GH102" s="675">
        <v>0</v>
      </c>
      <c r="GI102" s="675">
        <v>0</v>
      </c>
      <c r="GJ102" s="675">
        <v>0</v>
      </c>
      <c r="GK102" s="675">
        <v>0</v>
      </c>
      <c r="GL102" s="675">
        <v>0</v>
      </c>
      <c r="GM102" s="675">
        <v>0</v>
      </c>
      <c r="GN102" s="675">
        <v>0</v>
      </c>
      <c r="GO102" s="675">
        <v>0</v>
      </c>
      <c r="GP102" s="675">
        <v>0</v>
      </c>
      <c r="GQ102" s="675">
        <v>0</v>
      </c>
      <c r="GR102" s="675">
        <v>0</v>
      </c>
      <c r="GS102" s="675">
        <v>0</v>
      </c>
      <c r="GT102" s="675">
        <v>0</v>
      </c>
      <c r="GU102" s="675">
        <v>0</v>
      </c>
      <c r="GV102" s="675">
        <v>0</v>
      </c>
      <c r="GW102" s="675">
        <v>0</v>
      </c>
      <c r="GX102" s="675">
        <v>0</v>
      </c>
      <c r="GY102" s="675">
        <v>0</v>
      </c>
      <c r="GZ102" s="675">
        <v>0</v>
      </c>
      <c r="HA102" s="675">
        <v>0</v>
      </c>
      <c r="HB102" s="675">
        <v>298386780</v>
      </c>
      <c r="HC102" s="675">
        <v>4.5690999999999996E-2</v>
      </c>
      <c r="HD102" s="675">
        <v>147591</v>
      </c>
      <c r="HE102" s="675">
        <v>0</v>
      </c>
      <c r="HF102" s="675">
        <v>886918</v>
      </c>
      <c r="HG102" s="675">
        <v>0</v>
      </c>
      <c r="HH102" s="675">
        <v>268986</v>
      </c>
      <c r="HI102" s="675">
        <v>0</v>
      </c>
      <c r="HJ102" s="675">
        <v>7849</v>
      </c>
      <c r="HK102" s="675">
        <v>0</v>
      </c>
      <c r="HL102" s="675">
        <v>0</v>
      </c>
      <c r="HM102" s="675">
        <v>0</v>
      </c>
      <c r="HN102" s="675">
        <v>0</v>
      </c>
      <c r="HO102" s="675">
        <v>0</v>
      </c>
      <c r="HP102" s="675">
        <v>0</v>
      </c>
      <c r="HQ102" s="675">
        <v>0</v>
      </c>
      <c r="HR102" s="675">
        <v>0</v>
      </c>
      <c r="HS102" s="675">
        <v>7431846</v>
      </c>
      <c r="HT102" s="675">
        <v>162764</v>
      </c>
      <c r="HU102" s="675">
        <v>0</v>
      </c>
      <c r="HV102" s="675">
        <v>0</v>
      </c>
      <c r="HW102" s="675">
        <v>0</v>
      </c>
      <c r="HX102" s="675">
        <v>34</v>
      </c>
      <c r="HY102" s="675">
        <v>31</v>
      </c>
      <c r="HZ102" s="675">
        <v>70</v>
      </c>
      <c r="IA102" s="675">
        <v>181</v>
      </c>
      <c r="IB102" s="675">
        <v>405</v>
      </c>
      <c r="IC102" s="675">
        <v>721</v>
      </c>
      <c r="ID102" s="675">
        <v>0</v>
      </c>
      <c r="IE102" s="675">
        <v>0</v>
      </c>
      <c r="IF102" s="675">
        <v>0</v>
      </c>
      <c r="IG102" s="675">
        <v>0</v>
      </c>
      <c r="IH102" s="675">
        <v>436.66800000000001</v>
      </c>
      <c r="II102" s="675">
        <v>0</v>
      </c>
      <c r="IJ102" s="675">
        <v>484.46900000000005</v>
      </c>
      <c r="IK102" s="675">
        <v>0</v>
      </c>
      <c r="IL102" s="675">
        <v>0</v>
      </c>
      <c r="IM102" s="675">
        <v>0</v>
      </c>
      <c r="IN102" s="675">
        <v>0</v>
      </c>
      <c r="IO102" s="675">
        <v>0</v>
      </c>
      <c r="IP102" s="675">
        <v>0</v>
      </c>
      <c r="IQ102" s="675">
        <v>484.46900000000005</v>
      </c>
      <c r="IR102" s="675">
        <v>298432</v>
      </c>
      <c r="IS102" s="675">
        <v>0</v>
      </c>
      <c r="IT102" s="675">
        <v>0</v>
      </c>
      <c r="IU102" s="675">
        <v>0</v>
      </c>
      <c r="IV102" s="675">
        <v>0</v>
      </c>
      <c r="IW102" s="675">
        <v>6160</v>
      </c>
      <c r="IX102" s="675">
        <v>0</v>
      </c>
      <c r="IY102" s="675">
        <v>0</v>
      </c>
      <c r="IZ102" s="675">
        <v>0</v>
      </c>
      <c r="JA102" s="675">
        <v>0</v>
      </c>
      <c r="JB102" s="675">
        <v>0</v>
      </c>
      <c r="JC102" s="675">
        <v>0</v>
      </c>
      <c r="JD102" s="675">
        <v>0</v>
      </c>
      <c r="JE102" s="675">
        <v>0</v>
      </c>
      <c r="JF102" s="675">
        <v>0</v>
      </c>
      <c r="JG102" s="675">
        <v>0</v>
      </c>
      <c r="JH102" s="675">
        <v>0</v>
      </c>
      <c r="JI102" s="675">
        <v>0</v>
      </c>
      <c r="JJ102" s="675">
        <v>0</v>
      </c>
      <c r="JK102" s="675">
        <v>0</v>
      </c>
      <c r="JL102" s="675">
        <v>0</v>
      </c>
      <c r="JM102" s="675">
        <v>0</v>
      </c>
      <c r="JN102" s="675">
        <v>32469</v>
      </c>
      <c r="JO102" s="675">
        <v>0</v>
      </c>
      <c r="JP102" s="675">
        <v>0</v>
      </c>
      <c r="JQ102" s="675">
        <v>0</v>
      </c>
      <c r="JR102" s="675">
        <v>0</v>
      </c>
      <c r="JS102" s="675">
        <v>0</v>
      </c>
      <c r="JT102" s="675">
        <v>0</v>
      </c>
      <c r="JU102" s="675">
        <v>0</v>
      </c>
      <c r="JV102" s="675">
        <v>0</v>
      </c>
      <c r="JW102" s="675">
        <v>0</v>
      </c>
      <c r="JX102" s="675">
        <v>0</v>
      </c>
      <c r="JY102" s="675">
        <v>0</v>
      </c>
      <c r="JZ102" s="675">
        <v>0</v>
      </c>
      <c r="KA102" s="675">
        <v>0</v>
      </c>
      <c r="KB102" s="675">
        <v>0</v>
      </c>
      <c r="KC102" s="675">
        <v>0</v>
      </c>
      <c r="KD102" s="675">
        <v>0</v>
      </c>
      <c r="KE102" s="675">
        <v>7260</v>
      </c>
      <c r="KF102" s="675">
        <v>384869</v>
      </c>
      <c r="KG102" s="675">
        <v>0</v>
      </c>
      <c r="KH102" s="675">
        <v>0</v>
      </c>
      <c r="KI102" s="675">
        <v>0</v>
      </c>
    </row>
    <row r="103" spans="1:295" ht="12.5" x14ac:dyDescent="0.25">
      <c r="A103" s="675">
        <v>35795</v>
      </c>
      <c r="B103" s="675">
        <v>220810</v>
      </c>
      <c r="C103" s="675">
        <v>9</v>
      </c>
      <c r="D103" s="675">
        <v>2022</v>
      </c>
      <c r="E103" s="675">
        <v>6160</v>
      </c>
      <c r="F103" s="675">
        <v>0</v>
      </c>
      <c r="G103" s="675">
        <v>838.55000000000007</v>
      </c>
      <c r="H103" s="675">
        <v>774.27800000000002</v>
      </c>
      <c r="I103" s="675">
        <v>774.27800000000002</v>
      </c>
      <c r="J103" s="675">
        <v>838.55000000000007</v>
      </c>
      <c r="K103" s="675">
        <v>0</v>
      </c>
      <c r="L103" s="675">
        <v>6160</v>
      </c>
      <c r="M103" s="675">
        <v>0</v>
      </c>
      <c r="N103" s="675">
        <v>0</v>
      </c>
      <c r="O103" s="675">
        <v>0</v>
      </c>
      <c r="P103" s="675">
        <v>835.32500000000005</v>
      </c>
      <c r="Q103" s="675">
        <v>0</v>
      </c>
      <c r="R103" s="675">
        <v>336158</v>
      </c>
      <c r="S103" s="675">
        <v>402.428</v>
      </c>
      <c r="T103" s="675">
        <v>0</v>
      </c>
      <c r="U103" s="675">
        <v>178761</v>
      </c>
      <c r="V103" s="675">
        <v>16.446999999999999</v>
      </c>
      <c r="W103" s="675">
        <v>10131</v>
      </c>
      <c r="X103" s="675">
        <v>10131</v>
      </c>
      <c r="Y103" s="675">
        <v>0</v>
      </c>
      <c r="Z103" s="675">
        <v>0</v>
      </c>
      <c r="AA103" s="675">
        <v>0</v>
      </c>
      <c r="AB103" s="675">
        <v>0</v>
      </c>
      <c r="AC103" s="675">
        <v>0</v>
      </c>
      <c r="AD103" s="675" t="s">
        <v>316</v>
      </c>
      <c r="AE103" s="675">
        <v>0</v>
      </c>
      <c r="AF103" s="675">
        <v>0</v>
      </c>
      <c r="AG103" s="675">
        <v>0</v>
      </c>
      <c r="AH103" s="675">
        <v>0</v>
      </c>
      <c r="AI103" s="675">
        <v>0</v>
      </c>
      <c r="AJ103" s="675">
        <v>6160</v>
      </c>
      <c r="AK103" s="675" t="s">
        <v>671</v>
      </c>
      <c r="AL103" s="675" t="s">
        <v>0</v>
      </c>
      <c r="AM103" s="675">
        <v>0</v>
      </c>
      <c r="AN103" s="675">
        <v>0</v>
      </c>
      <c r="AO103" s="675">
        <v>0</v>
      </c>
      <c r="AP103" s="675">
        <v>0</v>
      </c>
      <c r="AQ103" s="675">
        <v>0</v>
      </c>
      <c r="AR103" s="675">
        <v>0</v>
      </c>
      <c r="AS103" s="675">
        <v>0</v>
      </c>
      <c r="AT103" s="675">
        <v>0</v>
      </c>
      <c r="AU103" s="675">
        <v>0</v>
      </c>
      <c r="AV103" s="675">
        <v>-1936</v>
      </c>
      <c r="AW103" s="675">
        <v>7193007</v>
      </c>
      <c r="AX103" s="675">
        <v>7040842</v>
      </c>
      <c r="AY103" s="675">
        <v>4800950</v>
      </c>
      <c r="AZ103" s="675">
        <v>336158</v>
      </c>
      <c r="BA103" s="675">
        <v>0</v>
      </c>
      <c r="BB103" s="675">
        <v>0</v>
      </c>
      <c r="BC103" s="675">
        <v>0</v>
      </c>
      <c r="BD103" s="675">
        <v>0</v>
      </c>
      <c r="BE103" s="675">
        <v>0</v>
      </c>
      <c r="BF103" s="675">
        <v>6567266</v>
      </c>
      <c r="BG103" s="675">
        <v>0</v>
      </c>
      <c r="BH103" s="675">
        <v>0</v>
      </c>
      <c r="BI103" s="675">
        <v>0</v>
      </c>
      <c r="BJ103" s="675">
        <v>12</v>
      </c>
      <c r="BK103" s="675">
        <v>0</v>
      </c>
      <c r="BL103" s="675">
        <v>0</v>
      </c>
      <c r="BM103" s="675">
        <v>0</v>
      </c>
      <c r="BN103" s="675">
        <v>0</v>
      </c>
      <c r="BO103" s="675">
        <v>0</v>
      </c>
      <c r="BP103" s="675">
        <v>0</v>
      </c>
      <c r="BQ103" s="675">
        <v>651</v>
      </c>
      <c r="BR103" s="675">
        <v>0</v>
      </c>
      <c r="BS103" s="675">
        <v>0</v>
      </c>
      <c r="BT103" s="675">
        <v>0</v>
      </c>
      <c r="BU103" s="675">
        <v>0</v>
      </c>
      <c r="BV103" s="675">
        <v>0</v>
      </c>
      <c r="BW103" s="675">
        <v>0</v>
      </c>
      <c r="BX103" s="675">
        <v>0</v>
      </c>
      <c r="BY103" s="675">
        <v>0</v>
      </c>
      <c r="BZ103" s="675">
        <v>0</v>
      </c>
      <c r="CA103" s="675">
        <v>0</v>
      </c>
      <c r="CB103" s="675">
        <v>0</v>
      </c>
      <c r="CC103" s="675">
        <v>0</v>
      </c>
      <c r="CD103" s="675">
        <v>0</v>
      </c>
      <c r="CE103" s="675">
        <v>0</v>
      </c>
      <c r="CF103" s="675">
        <v>0</v>
      </c>
      <c r="CG103" s="675">
        <v>0</v>
      </c>
      <c r="CH103" s="675">
        <v>153256</v>
      </c>
      <c r="CI103" s="675">
        <v>0</v>
      </c>
      <c r="CJ103" s="675">
        <v>4</v>
      </c>
      <c r="CK103" s="675">
        <v>0</v>
      </c>
      <c r="CL103" s="675">
        <v>0</v>
      </c>
      <c r="CM103" s="675">
        <v>0</v>
      </c>
      <c r="CN103" s="675">
        <v>0</v>
      </c>
      <c r="CO103" s="675">
        <v>1</v>
      </c>
      <c r="CP103" s="675">
        <v>0</v>
      </c>
      <c r="CQ103" s="675">
        <v>0</v>
      </c>
      <c r="CR103" s="675">
        <v>893.70300000000009</v>
      </c>
      <c r="CS103" s="675">
        <v>0</v>
      </c>
      <c r="CT103" s="675">
        <v>0</v>
      </c>
      <c r="CU103" s="675">
        <v>0</v>
      </c>
      <c r="CV103" s="675">
        <v>0</v>
      </c>
      <c r="CW103" s="675">
        <v>0</v>
      </c>
      <c r="CX103" s="675">
        <v>0</v>
      </c>
      <c r="CY103" s="675">
        <v>0</v>
      </c>
      <c r="CZ103" s="675">
        <v>0</v>
      </c>
      <c r="DA103" s="675">
        <v>0</v>
      </c>
      <c r="DB103" s="675">
        <v>4769530</v>
      </c>
      <c r="DC103" s="675">
        <v>0</v>
      </c>
      <c r="DD103" s="675">
        <v>0</v>
      </c>
      <c r="DE103" s="675">
        <v>32956</v>
      </c>
      <c r="DF103" s="675">
        <v>32956</v>
      </c>
      <c r="DG103" s="675">
        <v>5.3500000000000005</v>
      </c>
      <c r="DH103" s="675">
        <v>0</v>
      </c>
      <c r="DI103" s="675">
        <v>0</v>
      </c>
      <c r="DJ103" s="675">
        <v>0</v>
      </c>
      <c r="DK103" s="675">
        <v>2035</v>
      </c>
      <c r="DL103" s="675">
        <v>0</v>
      </c>
      <c r="DM103" s="675">
        <v>286533</v>
      </c>
      <c r="DN103" s="675">
        <v>1091</v>
      </c>
      <c r="DO103" s="675">
        <v>0</v>
      </c>
      <c r="DP103" s="675">
        <v>0</v>
      </c>
      <c r="DQ103" s="675">
        <v>0</v>
      </c>
      <c r="DR103" s="675">
        <v>0</v>
      </c>
      <c r="DS103" s="675">
        <v>0</v>
      </c>
      <c r="DT103" s="675">
        <v>0</v>
      </c>
      <c r="DU103" s="675">
        <v>0</v>
      </c>
      <c r="DV103" s="675">
        <v>0</v>
      </c>
      <c r="DW103" s="675">
        <v>0</v>
      </c>
      <c r="DX103" s="675">
        <v>0</v>
      </c>
      <c r="DY103" s="675">
        <v>0</v>
      </c>
      <c r="DZ103" s="675">
        <v>0</v>
      </c>
      <c r="EA103" s="675">
        <v>0</v>
      </c>
      <c r="EB103" s="675">
        <v>0</v>
      </c>
      <c r="EC103" s="675">
        <v>5.53</v>
      </c>
      <c r="ED103" s="675">
        <v>39174</v>
      </c>
      <c r="EE103" s="675">
        <v>0</v>
      </c>
      <c r="EF103" s="675">
        <v>0</v>
      </c>
      <c r="EG103" s="675">
        <v>0</v>
      </c>
      <c r="EH103" s="675">
        <v>248450</v>
      </c>
      <c r="EI103" s="675">
        <v>0</v>
      </c>
      <c r="EJ103" s="675">
        <v>0</v>
      </c>
      <c r="EK103" s="675">
        <v>11.331000000000001</v>
      </c>
      <c r="EL103" s="675">
        <v>0</v>
      </c>
      <c r="EM103" s="675">
        <v>0</v>
      </c>
      <c r="EN103" s="675">
        <v>1.268</v>
      </c>
      <c r="EO103" s="675">
        <v>0</v>
      </c>
      <c r="EP103" s="675">
        <v>0</v>
      </c>
      <c r="EQ103" s="675">
        <v>12.599</v>
      </c>
      <c r="ER103" s="675">
        <v>0</v>
      </c>
      <c r="ES103" s="675">
        <v>40.332999999999998</v>
      </c>
      <c r="ET103" s="675">
        <v>0</v>
      </c>
      <c r="EU103" s="675">
        <v>0</v>
      </c>
      <c r="EV103" s="675">
        <v>0</v>
      </c>
      <c r="EW103" s="675">
        <v>0</v>
      </c>
      <c r="EX103" s="675">
        <v>0</v>
      </c>
      <c r="EY103" s="675">
        <v>0</v>
      </c>
      <c r="EZ103" s="675">
        <v>6234645</v>
      </c>
      <c r="FA103" s="675">
        <v>0</v>
      </c>
      <c r="FB103" s="675">
        <v>6569712</v>
      </c>
      <c r="FC103" s="675">
        <v>0</v>
      </c>
      <c r="FD103" s="675">
        <v>0</v>
      </c>
      <c r="FE103" s="675">
        <v>668026</v>
      </c>
      <c r="FF103" s="675">
        <v>138171</v>
      </c>
      <c r="FG103" s="675">
        <v>6.3574999999999993E-2</v>
      </c>
      <c r="FH103" s="675">
        <v>2.6298999999999999E-2</v>
      </c>
      <c r="FI103" s="675">
        <v>0</v>
      </c>
      <c r="FJ103" s="675">
        <v>0</v>
      </c>
      <c r="FK103" s="675">
        <v>1066.1200000000001</v>
      </c>
      <c r="FL103" s="675">
        <v>7529165</v>
      </c>
      <c r="FM103" s="675">
        <v>0</v>
      </c>
      <c r="FN103" s="675">
        <v>0</v>
      </c>
      <c r="FO103" s="675">
        <v>0</v>
      </c>
      <c r="FP103" s="675">
        <v>0</v>
      </c>
      <c r="FQ103" s="675">
        <v>0</v>
      </c>
      <c r="FR103" s="675">
        <v>0</v>
      </c>
      <c r="FS103" s="675">
        <v>0</v>
      </c>
      <c r="FT103" s="675">
        <v>0</v>
      </c>
      <c r="FU103" s="675">
        <v>0</v>
      </c>
      <c r="FV103" s="675">
        <v>0</v>
      </c>
      <c r="FW103" s="675">
        <v>0</v>
      </c>
      <c r="FX103" s="675">
        <v>0</v>
      </c>
      <c r="FY103" s="675">
        <v>0</v>
      </c>
      <c r="FZ103" s="675">
        <v>0</v>
      </c>
      <c r="GA103" s="675">
        <v>0</v>
      </c>
      <c r="GB103" s="675">
        <v>473358</v>
      </c>
      <c r="GC103" s="675">
        <v>473358</v>
      </c>
      <c r="GD103" s="675">
        <v>51.673000000000002</v>
      </c>
      <c r="GE103" s="675">
        <v>0</v>
      </c>
      <c r="GF103" s="675">
        <v>0</v>
      </c>
      <c r="GG103" s="675">
        <v>0</v>
      </c>
      <c r="GH103" s="675">
        <v>0</v>
      </c>
      <c r="GI103" s="675">
        <v>0</v>
      </c>
      <c r="GJ103" s="675">
        <v>0</v>
      </c>
      <c r="GK103" s="675">
        <v>0</v>
      </c>
      <c r="GL103" s="675">
        <v>0</v>
      </c>
      <c r="GM103" s="675">
        <v>0</v>
      </c>
      <c r="GN103" s="675">
        <v>0</v>
      </c>
      <c r="GO103" s="675">
        <v>0</v>
      </c>
      <c r="GP103" s="675">
        <v>0</v>
      </c>
      <c r="GQ103" s="675">
        <v>0</v>
      </c>
      <c r="GR103" s="675">
        <v>0</v>
      </c>
      <c r="GS103" s="675">
        <v>0</v>
      </c>
      <c r="GT103" s="675">
        <v>0</v>
      </c>
      <c r="GU103" s="675">
        <v>0</v>
      </c>
      <c r="GV103" s="675">
        <v>0</v>
      </c>
      <c r="GW103" s="675">
        <v>0</v>
      </c>
      <c r="GX103" s="675">
        <v>0</v>
      </c>
      <c r="GY103" s="675">
        <v>0</v>
      </c>
      <c r="GZ103" s="675">
        <v>0</v>
      </c>
      <c r="HA103" s="675">
        <v>0</v>
      </c>
      <c r="HB103" s="675">
        <v>298386780</v>
      </c>
      <c r="HC103" s="675">
        <v>4.5690999999999996E-2</v>
      </c>
      <c r="HD103" s="675">
        <v>153256</v>
      </c>
      <c r="HE103" s="675">
        <v>0</v>
      </c>
      <c r="HF103" s="675">
        <v>851706</v>
      </c>
      <c r="HG103" s="675">
        <v>26488</v>
      </c>
      <c r="HH103" s="675">
        <v>6322</v>
      </c>
      <c r="HI103" s="675">
        <v>0</v>
      </c>
      <c r="HJ103" s="675">
        <v>8151</v>
      </c>
      <c r="HK103" s="675">
        <v>3537</v>
      </c>
      <c r="HL103" s="675">
        <v>0</v>
      </c>
      <c r="HM103" s="675">
        <v>101000</v>
      </c>
      <c r="HN103" s="675">
        <v>0</v>
      </c>
      <c r="HO103" s="675">
        <v>0</v>
      </c>
      <c r="HP103" s="675">
        <v>0</v>
      </c>
      <c r="HQ103" s="675">
        <v>0</v>
      </c>
      <c r="HR103" s="675">
        <v>0</v>
      </c>
      <c r="HS103" s="675">
        <v>6233554</v>
      </c>
      <c r="HT103" s="675">
        <v>138171</v>
      </c>
      <c r="HU103" s="675">
        <v>0</v>
      </c>
      <c r="HV103" s="675">
        <v>0</v>
      </c>
      <c r="HW103" s="675">
        <v>0</v>
      </c>
      <c r="HX103" s="675">
        <v>14</v>
      </c>
      <c r="HY103" s="675">
        <v>6</v>
      </c>
      <c r="HZ103" s="675">
        <v>1</v>
      </c>
      <c r="IA103" s="675">
        <v>2</v>
      </c>
      <c r="IB103" s="675">
        <v>0</v>
      </c>
      <c r="IC103" s="675">
        <v>23</v>
      </c>
      <c r="ID103" s="675">
        <v>0</v>
      </c>
      <c r="IE103" s="675">
        <v>0</v>
      </c>
      <c r="IF103" s="675">
        <v>0</v>
      </c>
      <c r="IG103" s="675">
        <v>43</v>
      </c>
      <c r="IH103" s="675">
        <v>10.263</v>
      </c>
      <c r="II103" s="675">
        <v>0</v>
      </c>
      <c r="IJ103" s="675">
        <v>16.446999999999999</v>
      </c>
      <c r="IK103" s="675">
        <v>0</v>
      </c>
      <c r="IL103" s="675">
        <v>1</v>
      </c>
      <c r="IM103" s="675">
        <v>32</v>
      </c>
      <c r="IN103" s="675">
        <v>0</v>
      </c>
      <c r="IO103" s="675">
        <v>33</v>
      </c>
      <c r="IP103" s="675">
        <v>0</v>
      </c>
      <c r="IQ103" s="675">
        <v>16.446999999999999</v>
      </c>
      <c r="IR103" s="675">
        <v>10131</v>
      </c>
      <c r="IS103" s="675">
        <v>0</v>
      </c>
      <c r="IT103" s="675">
        <v>5000</v>
      </c>
      <c r="IU103" s="675">
        <v>96000</v>
      </c>
      <c r="IV103" s="675">
        <v>0</v>
      </c>
      <c r="IW103" s="675">
        <v>6160</v>
      </c>
      <c r="IX103" s="675">
        <v>0</v>
      </c>
      <c r="IY103" s="675">
        <v>0</v>
      </c>
      <c r="IZ103" s="675">
        <v>0</v>
      </c>
      <c r="JA103" s="675">
        <v>0</v>
      </c>
      <c r="JB103" s="675">
        <v>0</v>
      </c>
      <c r="JC103" s="675">
        <v>0</v>
      </c>
      <c r="JD103" s="675">
        <v>0</v>
      </c>
      <c r="JE103" s="675">
        <v>0</v>
      </c>
      <c r="JF103" s="675">
        <v>0</v>
      </c>
      <c r="JG103" s="675">
        <v>0</v>
      </c>
      <c r="JH103" s="675">
        <v>0</v>
      </c>
      <c r="JI103" s="675">
        <v>0</v>
      </c>
      <c r="JJ103" s="675">
        <v>0</v>
      </c>
      <c r="JK103" s="675">
        <v>0</v>
      </c>
      <c r="JL103" s="675">
        <v>0</v>
      </c>
      <c r="JM103" s="675">
        <v>0</v>
      </c>
      <c r="JN103" s="675">
        <v>32469</v>
      </c>
      <c r="JO103" s="675">
        <v>15.654</v>
      </c>
      <c r="JP103" s="675">
        <v>26.14</v>
      </c>
      <c r="JQ103" s="675">
        <v>9.8790000000000013</v>
      </c>
      <c r="JR103" s="675">
        <v>125013</v>
      </c>
      <c r="JS103" s="675">
        <v>242914</v>
      </c>
      <c r="JT103" s="675">
        <v>105431</v>
      </c>
      <c r="JU103" s="675">
        <v>0</v>
      </c>
      <c r="JV103" s="675">
        <v>0</v>
      </c>
      <c r="JW103" s="675">
        <v>0</v>
      </c>
      <c r="JX103" s="675">
        <v>0</v>
      </c>
      <c r="JY103" s="675">
        <v>0</v>
      </c>
      <c r="JZ103" s="675">
        <v>0</v>
      </c>
      <c r="KA103" s="675">
        <v>0</v>
      </c>
      <c r="KB103" s="675">
        <v>0</v>
      </c>
      <c r="KC103" s="675">
        <v>0</v>
      </c>
      <c r="KD103" s="675">
        <v>0</v>
      </c>
      <c r="KE103" s="675">
        <v>7260</v>
      </c>
      <c r="KF103" s="675">
        <v>0</v>
      </c>
      <c r="KG103" s="675">
        <v>0</v>
      </c>
      <c r="KH103" s="675">
        <v>0</v>
      </c>
      <c r="KI103" s="675">
        <v>0</v>
      </c>
    </row>
    <row r="104" spans="1:295" ht="12.5" x14ac:dyDescent="0.25">
      <c r="A104" s="675">
        <v>35795</v>
      </c>
      <c r="B104" s="675">
        <v>101811</v>
      </c>
      <c r="C104" s="675">
        <v>9</v>
      </c>
      <c r="D104" s="675">
        <v>2022</v>
      </c>
      <c r="E104" s="675">
        <v>6160</v>
      </c>
      <c r="F104" s="675">
        <v>0</v>
      </c>
      <c r="G104" s="675">
        <v>183.33100000000002</v>
      </c>
      <c r="H104" s="675">
        <v>144.37800000000001</v>
      </c>
      <c r="I104" s="675">
        <v>144.37800000000001</v>
      </c>
      <c r="J104" s="675">
        <v>183.33100000000002</v>
      </c>
      <c r="K104" s="675">
        <v>0</v>
      </c>
      <c r="L104" s="675">
        <v>6160</v>
      </c>
      <c r="M104" s="675">
        <v>0</v>
      </c>
      <c r="N104" s="675">
        <v>0</v>
      </c>
      <c r="O104" s="675">
        <v>0</v>
      </c>
      <c r="P104" s="675">
        <v>176.00300000000001</v>
      </c>
      <c r="Q104" s="675">
        <v>0</v>
      </c>
      <c r="R104" s="675">
        <v>70829</v>
      </c>
      <c r="S104" s="675">
        <v>402.428</v>
      </c>
      <c r="T104" s="675">
        <v>0</v>
      </c>
      <c r="U104" s="675">
        <v>37665</v>
      </c>
      <c r="V104" s="675">
        <v>21.987000000000002</v>
      </c>
      <c r="W104" s="675">
        <v>13544</v>
      </c>
      <c r="X104" s="675">
        <v>13544</v>
      </c>
      <c r="Y104" s="675">
        <v>0</v>
      </c>
      <c r="Z104" s="675">
        <v>0</v>
      </c>
      <c r="AA104" s="675">
        <v>0</v>
      </c>
      <c r="AB104" s="675">
        <v>0</v>
      </c>
      <c r="AC104" s="675">
        <v>0</v>
      </c>
      <c r="AD104" s="675" t="s">
        <v>316</v>
      </c>
      <c r="AE104" s="675">
        <v>0</v>
      </c>
      <c r="AF104" s="675">
        <v>0</v>
      </c>
      <c r="AG104" s="675">
        <v>0</v>
      </c>
      <c r="AH104" s="675">
        <v>0</v>
      </c>
      <c r="AI104" s="675">
        <v>0</v>
      </c>
      <c r="AJ104" s="675">
        <v>6160</v>
      </c>
      <c r="AK104" s="675" t="s">
        <v>671</v>
      </c>
      <c r="AL104" s="675" t="s">
        <v>345</v>
      </c>
      <c r="AM104" s="675">
        <v>0</v>
      </c>
      <c r="AN104" s="675">
        <v>0</v>
      </c>
      <c r="AO104" s="675">
        <v>0</v>
      </c>
      <c r="AP104" s="675">
        <v>0</v>
      </c>
      <c r="AQ104" s="675">
        <v>0</v>
      </c>
      <c r="AR104" s="675">
        <v>0</v>
      </c>
      <c r="AS104" s="675">
        <v>0</v>
      </c>
      <c r="AT104" s="675">
        <v>0</v>
      </c>
      <c r="AU104" s="675">
        <v>0</v>
      </c>
      <c r="AV104" s="675">
        <v>-1015</v>
      </c>
      <c r="AW104" s="675">
        <v>2689098</v>
      </c>
      <c r="AX104" s="675">
        <v>2659238</v>
      </c>
      <c r="AY104" s="675">
        <v>1785185</v>
      </c>
      <c r="AZ104" s="675">
        <v>70829</v>
      </c>
      <c r="BA104" s="675">
        <v>0</v>
      </c>
      <c r="BB104" s="675">
        <v>0</v>
      </c>
      <c r="BC104" s="675">
        <v>0</v>
      </c>
      <c r="BD104" s="675">
        <v>0</v>
      </c>
      <c r="BE104" s="675">
        <v>0</v>
      </c>
      <c r="BF104" s="675">
        <v>2368837</v>
      </c>
      <c r="BG104" s="675">
        <v>0</v>
      </c>
      <c r="BH104" s="675">
        <v>0</v>
      </c>
      <c r="BI104" s="675">
        <v>0</v>
      </c>
      <c r="BJ104" s="675">
        <v>12</v>
      </c>
      <c r="BK104" s="675">
        <v>0</v>
      </c>
      <c r="BL104" s="675">
        <v>0</v>
      </c>
      <c r="BM104" s="675">
        <v>0</v>
      </c>
      <c r="BN104" s="675">
        <v>0</v>
      </c>
      <c r="BO104" s="675">
        <v>0</v>
      </c>
      <c r="BP104" s="675">
        <v>0</v>
      </c>
      <c r="BQ104" s="675">
        <v>748</v>
      </c>
      <c r="BR104" s="675">
        <v>0</v>
      </c>
      <c r="BS104" s="675">
        <v>0</v>
      </c>
      <c r="BT104" s="675">
        <v>0</v>
      </c>
      <c r="BU104" s="675">
        <v>0</v>
      </c>
      <c r="BV104" s="675">
        <v>0</v>
      </c>
      <c r="BW104" s="675">
        <v>0</v>
      </c>
      <c r="BX104" s="675">
        <v>0</v>
      </c>
      <c r="BY104" s="675">
        <v>0</v>
      </c>
      <c r="BZ104" s="675">
        <v>0</v>
      </c>
      <c r="CA104" s="675">
        <v>0</v>
      </c>
      <c r="CB104" s="675">
        <v>0</v>
      </c>
      <c r="CC104" s="675">
        <v>0</v>
      </c>
      <c r="CD104" s="675">
        <v>0</v>
      </c>
      <c r="CE104" s="675">
        <v>0</v>
      </c>
      <c r="CF104" s="675">
        <v>0</v>
      </c>
      <c r="CG104" s="675">
        <v>0</v>
      </c>
      <c r="CH104" s="675">
        <v>33506</v>
      </c>
      <c r="CI104" s="675">
        <v>0</v>
      </c>
      <c r="CJ104" s="675">
        <v>4</v>
      </c>
      <c r="CK104" s="675">
        <v>0</v>
      </c>
      <c r="CL104" s="675">
        <v>0</v>
      </c>
      <c r="CM104" s="675">
        <v>0</v>
      </c>
      <c r="CN104" s="675">
        <v>0</v>
      </c>
      <c r="CO104" s="675">
        <v>1</v>
      </c>
      <c r="CP104" s="675">
        <v>0</v>
      </c>
      <c r="CQ104" s="675">
        <v>0</v>
      </c>
      <c r="CR104" s="675">
        <v>171.31400000000002</v>
      </c>
      <c r="CS104" s="675">
        <v>0</v>
      </c>
      <c r="CT104" s="675">
        <v>0</v>
      </c>
      <c r="CU104" s="675">
        <v>0</v>
      </c>
      <c r="CV104" s="675">
        <v>0</v>
      </c>
      <c r="CW104" s="675">
        <v>0</v>
      </c>
      <c r="CX104" s="675">
        <v>0</v>
      </c>
      <c r="CY104" s="675">
        <v>0</v>
      </c>
      <c r="CZ104" s="675">
        <v>0</v>
      </c>
      <c r="DA104" s="675">
        <v>0</v>
      </c>
      <c r="DB104" s="675">
        <v>830905</v>
      </c>
      <c r="DC104" s="675">
        <v>0</v>
      </c>
      <c r="DD104" s="675">
        <v>0</v>
      </c>
      <c r="DE104" s="675">
        <v>342879</v>
      </c>
      <c r="DF104" s="675">
        <v>342879</v>
      </c>
      <c r="DG104" s="675">
        <v>55.663000000000004</v>
      </c>
      <c r="DH104" s="675">
        <v>0</v>
      </c>
      <c r="DI104" s="675">
        <v>0</v>
      </c>
      <c r="DJ104" s="675">
        <v>0</v>
      </c>
      <c r="DK104" s="675">
        <v>3587</v>
      </c>
      <c r="DL104" s="675">
        <v>0</v>
      </c>
      <c r="DM104" s="675">
        <v>1015725</v>
      </c>
      <c r="DN104" s="675">
        <v>3646</v>
      </c>
      <c r="DO104" s="675">
        <v>0</v>
      </c>
      <c r="DP104" s="675">
        <v>0</v>
      </c>
      <c r="DQ104" s="675">
        <v>0</v>
      </c>
      <c r="DR104" s="675">
        <v>0</v>
      </c>
      <c r="DS104" s="675">
        <v>0</v>
      </c>
      <c r="DT104" s="675">
        <v>0</v>
      </c>
      <c r="DU104" s="675">
        <v>0</v>
      </c>
      <c r="DV104" s="675">
        <v>0</v>
      </c>
      <c r="DW104" s="675">
        <v>0</v>
      </c>
      <c r="DX104" s="675">
        <v>0</v>
      </c>
      <c r="DY104" s="675">
        <v>0</v>
      </c>
      <c r="DZ104" s="675">
        <v>0</v>
      </c>
      <c r="EA104" s="675">
        <v>0</v>
      </c>
      <c r="EB104" s="675">
        <v>0.17600000000000002</v>
      </c>
      <c r="EC104" s="675">
        <v>3.5640000000000001</v>
      </c>
      <c r="ED104" s="675">
        <v>25247</v>
      </c>
      <c r="EE104" s="675">
        <v>0</v>
      </c>
      <c r="EF104" s="675">
        <v>0</v>
      </c>
      <c r="EG104" s="675">
        <v>0.32200000000000001</v>
      </c>
      <c r="EH104" s="675">
        <v>70017</v>
      </c>
      <c r="EI104" s="675">
        <v>865648</v>
      </c>
      <c r="EJ104" s="675">
        <v>35.132000000000005</v>
      </c>
      <c r="EK104" s="675">
        <v>2.4660000000000002</v>
      </c>
      <c r="EL104" s="675">
        <v>0</v>
      </c>
      <c r="EM104" s="675">
        <v>0.8570000000000001</v>
      </c>
      <c r="EN104" s="675">
        <v>0</v>
      </c>
      <c r="EO104" s="675">
        <v>0</v>
      </c>
      <c r="EP104" s="675">
        <v>0</v>
      </c>
      <c r="EQ104" s="675">
        <v>38.953000000000003</v>
      </c>
      <c r="ER104" s="675">
        <v>0</v>
      </c>
      <c r="ES104" s="675">
        <v>11.366</v>
      </c>
      <c r="ET104" s="675">
        <v>0</v>
      </c>
      <c r="EU104" s="675">
        <v>0</v>
      </c>
      <c r="EV104" s="675">
        <v>0</v>
      </c>
      <c r="EW104" s="675">
        <v>0</v>
      </c>
      <c r="EX104" s="675">
        <v>0</v>
      </c>
      <c r="EY104" s="675">
        <v>0</v>
      </c>
      <c r="EZ104" s="675">
        <v>2368440</v>
      </c>
      <c r="FA104" s="675">
        <v>0</v>
      </c>
      <c r="FB104" s="675">
        <v>2435623</v>
      </c>
      <c r="FC104" s="675">
        <v>0</v>
      </c>
      <c r="FD104" s="675">
        <v>0</v>
      </c>
      <c r="FE104" s="675">
        <v>240959</v>
      </c>
      <c r="FF104" s="675">
        <v>49839</v>
      </c>
      <c r="FG104" s="675">
        <v>6.3574999999999993E-2</v>
      </c>
      <c r="FH104" s="675">
        <v>2.6298999999999999E-2</v>
      </c>
      <c r="FI104" s="675">
        <v>0</v>
      </c>
      <c r="FJ104" s="675">
        <v>0</v>
      </c>
      <c r="FK104" s="675">
        <v>384.553</v>
      </c>
      <c r="FL104" s="675">
        <v>2759927</v>
      </c>
      <c r="FM104" s="675">
        <v>0</v>
      </c>
      <c r="FN104" s="675">
        <v>0</v>
      </c>
      <c r="FO104" s="675">
        <v>0</v>
      </c>
      <c r="FP104" s="675">
        <v>0</v>
      </c>
      <c r="FQ104" s="675">
        <v>0</v>
      </c>
      <c r="FR104" s="675">
        <v>0</v>
      </c>
      <c r="FS104" s="675">
        <v>0</v>
      </c>
      <c r="FT104" s="675">
        <v>0</v>
      </c>
      <c r="FU104" s="675">
        <v>0</v>
      </c>
      <c r="FV104" s="675">
        <v>0</v>
      </c>
      <c r="FW104" s="675">
        <v>0</v>
      </c>
      <c r="FX104" s="675">
        <v>0</v>
      </c>
      <c r="FY104" s="675">
        <v>0</v>
      </c>
      <c r="FZ104" s="675">
        <v>0</v>
      </c>
      <c r="GA104" s="675">
        <v>0</v>
      </c>
      <c r="GB104" s="675">
        <v>0</v>
      </c>
      <c r="GC104" s="675">
        <v>0</v>
      </c>
      <c r="GD104" s="675">
        <v>0</v>
      </c>
      <c r="GE104" s="675">
        <v>0</v>
      </c>
      <c r="GF104" s="675">
        <v>0</v>
      </c>
      <c r="GG104" s="675">
        <v>0</v>
      </c>
      <c r="GH104" s="675">
        <v>0</v>
      </c>
      <c r="GI104" s="675">
        <v>0</v>
      </c>
      <c r="GJ104" s="675">
        <v>0</v>
      </c>
      <c r="GK104" s="675">
        <v>0</v>
      </c>
      <c r="GL104" s="675">
        <v>0</v>
      </c>
      <c r="GM104" s="675">
        <v>0</v>
      </c>
      <c r="GN104" s="675">
        <v>0</v>
      </c>
      <c r="GO104" s="675">
        <v>0</v>
      </c>
      <c r="GP104" s="675">
        <v>0</v>
      </c>
      <c r="GQ104" s="675">
        <v>0</v>
      </c>
      <c r="GR104" s="675">
        <v>0</v>
      </c>
      <c r="GS104" s="675">
        <v>0</v>
      </c>
      <c r="GT104" s="675">
        <v>0</v>
      </c>
      <c r="GU104" s="675">
        <v>0</v>
      </c>
      <c r="GV104" s="675">
        <v>0</v>
      </c>
      <c r="GW104" s="675">
        <v>0</v>
      </c>
      <c r="GX104" s="675">
        <v>0</v>
      </c>
      <c r="GY104" s="675">
        <v>0</v>
      </c>
      <c r="GZ104" s="675">
        <v>0</v>
      </c>
      <c r="HA104" s="675">
        <v>0</v>
      </c>
      <c r="HB104" s="675">
        <v>298386780</v>
      </c>
      <c r="HC104" s="675">
        <v>4.5690999999999996E-2</v>
      </c>
      <c r="HD104" s="675">
        <v>33506</v>
      </c>
      <c r="HE104" s="675">
        <v>0</v>
      </c>
      <c r="HF104" s="675">
        <v>158816</v>
      </c>
      <c r="HG104" s="675">
        <v>1540</v>
      </c>
      <c r="HH104" s="675">
        <v>0</v>
      </c>
      <c r="HI104" s="675">
        <v>0</v>
      </c>
      <c r="HJ104" s="675">
        <v>1782</v>
      </c>
      <c r="HK104" s="675">
        <v>1944</v>
      </c>
      <c r="HL104" s="675">
        <v>0</v>
      </c>
      <c r="HM104" s="675">
        <v>0</v>
      </c>
      <c r="HN104" s="675">
        <v>0</v>
      </c>
      <c r="HO104" s="675">
        <v>0</v>
      </c>
      <c r="HP104" s="675">
        <v>54780</v>
      </c>
      <c r="HQ104" s="675">
        <v>0</v>
      </c>
      <c r="HR104" s="675">
        <v>0</v>
      </c>
      <c r="HS104" s="675">
        <v>2364794</v>
      </c>
      <c r="HT104" s="675">
        <v>49839</v>
      </c>
      <c r="HU104" s="675">
        <v>0</v>
      </c>
      <c r="HV104" s="675">
        <v>0</v>
      </c>
      <c r="HW104" s="675">
        <v>0</v>
      </c>
      <c r="HX104" s="675">
        <v>34</v>
      </c>
      <c r="HY104" s="675">
        <v>24</v>
      </c>
      <c r="HZ104" s="675">
        <v>37</v>
      </c>
      <c r="IA104" s="675">
        <v>39</v>
      </c>
      <c r="IB104" s="675">
        <v>83</v>
      </c>
      <c r="IC104" s="675">
        <v>217</v>
      </c>
      <c r="ID104" s="675">
        <v>0</v>
      </c>
      <c r="IE104" s="675">
        <v>0</v>
      </c>
      <c r="IF104" s="675">
        <v>0</v>
      </c>
      <c r="IG104" s="675">
        <v>2.5</v>
      </c>
      <c r="IH104" s="675">
        <v>0</v>
      </c>
      <c r="II104" s="675">
        <v>199.20000000000002</v>
      </c>
      <c r="IJ104" s="675">
        <v>21.987000000000002</v>
      </c>
      <c r="IK104" s="675">
        <v>49.847000000000001</v>
      </c>
      <c r="IL104" s="675">
        <v>0</v>
      </c>
      <c r="IM104" s="675">
        <v>0</v>
      </c>
      <c r="IN104" s="675">
        <v>0</v>
      </c>
      <c r="IO104" s="675">
        <v>0</v>
      </c>
      <c r="IP104" s="675">
        <v>249.04700000000003</v>
      </c>
      <c r="IQ104" s="675">
        <v>21.987000000000002</v>
      </c>
      <c r="IR104" s="675">
        <v>13544</v>
      </c>
      <c r="IS104" s="675">
        <v>13708</v>
      </c>
      <c r="IT104" s="675">
        <v>0</v>
      </c>
      <c r="IU104" s="675">
        <v>0</v>
      </c>
      <c r="IV104" s="675">
        <v>0</v>
      </c>
      <c r="IW104" s="675">
        <v>6160</v>
      </c>
      <c r="IX104" s="675">
        <v>0</v>
      </c>
      <c r="IY104" s="675">
        <v>0</v>
      </c>
      <c r="IZ104" s="675">
        <v>68488</v>
      </c>
      <c r="JA104" s="675">
        <v>0</v>
      </c>
      <c r="JB104" s="675">
        <v>0</v>
      </c>
      <c r="JC104" s="675">
        <v>0</v>
      </c>
      <c r="JD104" s="675">
        <v>0</v>
      </c>
      <c r="JE104" s="675">
        <v>0</v>
      </c>
      <c r="JF104" s="675">
        <v>0</v>
      </c>
      <c r="JG104" s="675">
        <v>0</v>
      </c>
      <c r="JH104" s="675">
        <v>0</v>
      </c>
      <c r="JI104" s="675">
        <v>0</v>
      </c>
      <c r="JJ104" s="675">
        <v>0</v>
      </c>
      <c r="JK104" s="675">
        <v>0</v>
      </c>
      <c r="JL104" s="675">
        <v>0</v>
      </c>
      <c r="JM104" s="675">
        <v>0</v>
      </c>
      <c r="JN104" s="675">
        <v>32469</v>
      </c>
      <c r="JO104" s="675">
        <v>0</v>
      </c>
      <c r="JP104" s="675">
        <v>0</v>
      </c>
      <c r="JQ104" s="675">
        <v>0</v>
      </c>
      <c r="JR104" s="675">
        <v>0</v>
      </c>
      <c r="JS104" s="675">
        <v>0</v>
      </c>
      <c r="JT104" s="675">
        <v>0</v>
      </c>
      <c r="JU104" s="675">
        <v>0</v>
      </c>
      <c r="JV104" s="675">
        <v>0</v>
      </c>
      <c r="JW104" s="675">
        <v>0</v>
      </c>
      <c r="JX104" s="675">
        <v>0</v>
      </c>
      <c r="JY104" s="675">
        <v>0</v>
      </c>
      <c r="JZ104" s="675">
        <v>0</v>
      </c>
      <c r="KA104" s="675">
        <v>0</v>
      </c>
      <c r="KB104" s="675">
        <v>0</v>
      </c>
      <c r="KC104" s="675">
        <v>0</v>
      </c>
      <c r="KD104" s="675">
        <v>0</v>
      </c>
      <c r="KE104" s="675">
        <v>7260</v>
      </c>
      <c r="KF104" s="675">
        <v>0</v>
      </c>
      <c r="KG104" s="675">
        <v>0</v>
      </c>
      <c r="KH104" s="675">
        <v>0</v>
      </c>
      <c r="KI104" s="675">
        <v>0</v>
      </c>
    </row>
    <row r="105" spans="1:295" ht="12.5" x14ac:dyDescent="0.25">
      <c r="A105" s="675">
        <v>35795</v>
      </c>
      <c r="B105" s="675">
        <v>57813</v>
      </c>
      <c r="C105" s="675">
        <v>9</v>
      </c>
      <c r="D105" s="675">
        <v>2022</v>
      </c>
      <c r="E105" s="675">
        <v>6160</v>
      </c>
      <c r="F105" s="675">
        <v>0</v>
      </c>
      <c r="G105" s="675">
        <v>3595.0830000000001</v>
      </c>
      <c r="H105" s="675">
        <v>3517.2560000000003</v>
      </c>
      <c r="I105" s="675">
        <v>3517.2560000000003</v>
      </c>
      <c r="J105" s="675">
        <v>3595.0830000000001</v>
      </c>
      <c r="K105" s="675">
        <v>0</v>
      </c>
      <c r="L105" s="675">
        <v>6160</v>
      </c>
      <c r="M105" s="675">
        <v>0</v>
      </c>
      <c r="N105" s="675">
        <v>0</v>
      </c>
      <c r="O105" s="675">
        <v>0</v>
      </c>
      <c r="P105" s="675">
        <v>3629.3870000000002</v>
      </c>
      <c r="Q105" s="675">
        <v>0</v>
      </c>
      <c r="R105" s="675">
        <v>1460567</v>
      </c>
      <c r="S105" s="675">
        <v>402.428</v>
      </c>
      <c r="T105" s="675">
        <v>0</v>
      </c>
      <c r="U105" s="675">
        <v>776692</v>
      </c>
      <c r="V105" s="675">
        <v>2042.7330000000002</v>
      </c>
      <c r="W105" s="675">
        <v>1258318</v>
      </c>
      <c r="X105" s="675">
        <v>1258318</v>
      </c>
      <c r="Y105" s="675">
        <v>0</v>
      </c>
      <c r="Z105" s="675">
        <v>0</v>
      </c>
      <c r="AA105" s="675">
        <v>0</v>
      </c>
      <c r="AB105" s="675">
        <v>0</v>
      </c>
      <c r="AC105" s="675">
        <v>0</v>
      </c>
      <c r="AD105" s="675" t="s">
        <v>316</v>
      </c>
      <c r="AE105" s="675">
        <v>0</v>
      </c>
      <c r="AF105" s="675">
        <v>0</v>
      </c>
      <c r="AG105" s="675">
        <v>0</v>
      </c>
      <c r="AH105" s="675">
        <v>0</v>
      </c>
      <c r="AI105" s="675">
        <v>0</v>
      </c>
      <c r="AJ105" s="675">
        <v>6160</v>
      </c>
      <c r="AK105" s="675" t="s">
        <v>671</v>
      </c>
      <c r="AL105" s="675" t="s">
        <v>21</v>
      </c>
      <c r="AM105" s="675">
        <v>0</v>
      </c>
      <c r="AN105" s="675">
        <v>0</v>
      </c>
      <c r="AO105" s="675">
        <v>0</v>
      </c>
      <c r="AP105" s="675">
        <v>0</v>
      </c>
      <c r="AQ105" s="675">
        <v>0</v>
      </c>
      <c r="AR105" s="675">
        <v>0</v>
      </c>
      <c r="AS105" s="675">
        <v>0</v>
      </c>
      <c r="AT105" s="675">
        <v>0</v>
      </c>
      <c r="AU105" s="675">
        <v>0</v>
      </c>
      <c r="AV105" s="675">
        <v>-75327</v>
      </c>
      <c r="AW105" s="675">
        <v>40788242</v>
      </c>
      <c r="AX105" s="675">
        <v>39284504</v>
      </c>
      <c r="AY105" s="675">
        <v>27319921</v>
      </c>
      <c r="AZ105" s="675">
        <v>1460567</v>
      </c>
      <c r="BA105" s="675">
        <v>0</v>
      </c>
      <c r="BB105" s="675">
        <v>0</v>
      </c>
      <c r="BC105" s="675">
        <v>0</v>
      </c>
      <c r="BD105" s="675">
        <v>0</v>
      </c>
      <c r="BE105" s="675">
        <v>0</v>
      </c>
      <c r="BF105" s="675">
        <v>36184037</v>
      </c>
      <c r="BG105" s="675">
        <v>0</v>
      </c>
      <c r="BH105" s="675">
        <v>0</v>
      </c>
      <c r="BI105" s="675">
        <v>0</v>
      </c>
      <c r="BJ105" s="675">
        <v>12</v>
      </c>
      <c r="BK105" s="675">
        <v>0</v>
      </c>
      <c r="BL105" s="675">
        <v>0</v>
      </c>
      <c r="BM105" s="675">
        <v>0</v>
      </c>
      <c r="BN105" s="675">
        <v>0</v>
      </c>
      <c r="BO105" s="675">
        <v>0</v>
      </c>
      <c r="BP105" s="675">
        <v>0</v>
      </c>
      <c r="BQ105" s="675">
        <v>228</v>
      </c>
      <c r="BR105" s="675">
        <v>0</v>
      </c>
      <c r="BS105" s="675">
        <v>0</v>
      </c>
      <c r="BT105" s="675">
        <v>0</v>
      </c>
      <c r="BU105" s="675">
        <v>0</v>
      </c>
      <c r="BV105" s="675">
        <v>0</v>
      </c>
      <c r="BW105" s="675">
        <v>0</v>
      </c>
      <c r="BX105" s="675">
        <v>0</v>
      </c>
      <c r="BY105" s="675">
        <v>0</v>
      </c>
      <c r="BZ105" s="675">
        <v>0</v>
      </c>
      <c r="CA105" s="675">
        <v>139.65</v>
      </c>
      <c r="CB105" s="675">
        <v>119090</v>
      </c>
      <c r="CC105" s="675">
        <v>0</v>
      </c>
      <c r="CD105" s="675">
        <v>0</v>
      </c>
      <c r="CE105" s="675">
        <v>0</v>
      </c>
      <c r="CF105" s="675">
        <v>0</v>
      </c>
      <c r="CG105" s="675">
        <v>0</v>
      </c>
      <c r="CH105" s="675">
        <v>1511931</v>
      </c>
      <c r="CI105" s="675">
        <v>0</v>
      </c>
      <c r="CJ105" s="675">
        <v>4</v>
      </c>
      <c r="CK105" s="675">
        <v>0</v>
      </c>
      <c r="CL105" s="675">
        <v>0</v>
      </c>
      <c r="CM105" s="675">
        <v>0</v>
      </c>
      <c r="CN105" s="675">
        <v>0</v>
      </c>
      <c r="CO105" s="675">
        <v>1</v>
      </c>
      <c r="CP105" s="675">
        <v>0</v>
      </c>
      <c r="CQ105" s="675">
        <v>0</v>
      </c>
      <c r="CR105" s="675">
        <v>3625.81</v>
      </c>
      <c r="CS105" s="675">
        <v>0</v>
      </c>
      <c r="CT105" s="675">
        <v>0</v>
      </c>
      <c r="CU105" s="675">
        <v>0</v>
      </c>
      <c r="CV105" s="675">
        <v>0</v>
      </c>
      <c r="CW105" s="675">
        <v>0</v>
      </c>
      <c r="CX105" s="675">
        <v>0</v>
      </c>
      <c r="CY105" s="675">
        <v>0</v>
      </c>
      <c r="CZ105" s="675">
        <v>0</v>
      </c>
      <c r="DA105" s="675">
        <v>0</v>
      </c>
      <c r="DB105" s="675">
        <v>21484156</v>
      </c>
      <c r="DC105" s="675">
        <v>0</v>
      </c>
      <c r="DD105" s="675">
        <v>0</v>
      </c>
      <c r="DE105" s="675">
        <v>6187229</v>
      </c>
      <c r="DF105" s="675">
        <v>6187229</v>
      </c>
      <c r="DG105" s="675">
        <v>1004.4250000000001</v>
      </c>
      <c r="DH105" s="675">
        <v>0</v>
      </c>
      <c r="DI105" s="675">
        <v>0</v>
      </c>
      <c r="DJ105" s="675">
        <v>0</v>
      </c>
      <c r="DK105" s="675">
        <v>0</v>
      </c>
      <c r="DL105" s="675">
        <v>0</v>
      </c>
      <c r="DM105" s="675">
        <v>2332997</v>
      </c>
      <c r="DN105" s="675">
        <v>8193</v>
      </c>
      <c r="DO105" s="675">
        <v>0</v>
      </c>
      <c r="DP105" s="675">
        <v>0</v>
      </c>
      <c r="DQ105" s="675">
        <v>0</v>
      </c>
      <c r="DR105" s="675">
        <v>0</v>
      </c>
      <c r="DS105" s="675">
        <v>0</v>
      </c>
      <c r="DT105" s="675">
        <v>0</v>
      </c>
      <c r="DU105" s="675">
        <v>0</v>
      </c>
      <c r="DV105" s="675">
        <v>0</v>
      </c>
      <c r="DW105" s="675">
        <v>0</v>
      </c>
      <c r="DX105" s="675">
        <v>0</v>
      </c>
      <c r="DY105" s="675">
        <v>0</v>
      </c>
      <c r="DZ105" s="675">
        <v>0</v>
      </c>
      <c r="EA105" s="675">
        <v>0.11800000000000001</v>
      </c>
      <c r="EB105" s="675">
        <v>0</v>
      </c>
      <c r="EC105" s="675">
        <v>29.767000000000003</v>
      </c>
      <c r="ED105" s="675">
        <v>210868</v>
      </c>
      <c r="EE105" s="675">
        <v>0</v>
      </c>
      <c r="EF105" s="675">
        <v>0</v>
      </c>
      <c r="EG105" s="675">
        <v>0</v>
      </c>
      <c r="EH105" s="675">
        <v>1948282</v>
      </c>
      <c r="EI105" s="675">
        <v>0</v>
      </c>
      <c r="EJ105" s="675">
        <v>0</v>
      </c>
      <c r="EK105" s="675">
        <v>26.067</v>
      </c>
      <c r="EL105" s="675">
        <v>0.42200000000000004</v>
      </c>
      <c r="EM105" s="675">
        <v>10.36</v>
      </c>
      <c r="EN105" s="675">
        <v>41.282000000000004</v>
      </c>
      <c r="EO105" s="675">
        <v>0</v>
      </c>
      <c r="EP105" s="675">
        <v>0</v>
      </c>
      <c r="EQ105" s="675">
        <v>77.826999999999998</v>
      </c>
      <c r="ER105" s="675">
        <v>0</v>
      </c>
      <c r="ES105" s="675">
        <v>316.28100000000001</v>
      </c>
      <c r="ET105" s="675">
        <v>0</v>
      </c>
      <c r="EU105" s="675">
        <v>0</v>
      </c>
      <c r="EV105" s="675">
        <v>0</v>
      </c>
      <c r="EW105" s="675">
        <v>0</v>
      </c>
      <c r="EX105" s="675">
        <v>0</v>
      </c>
      <c r="EY105" s="675">
        <v>0</v>
      </c>
      <c r="EZ105" s="675">
        <v>34842560</v>
      </c>
      <c r="FA105" s="675">
        <v>0</v>
      </c>
      <c r="FB105" s="675">
        <v>36294934</v>
      </c>
      <c r="FC105" s="675">
        <v>0</v>
      </c>
      <c r="FD105" s="675">
        <v>0</v>
      </c>
      <c r="FE105" s="675">
        <v>3680657</v>
      </c>
      <c r="FF105" s="675">
        <v>761287</v>
      </c>
      <c r="FG105" s="675">
        <v>6.3574999999999993E-2</v>
      </c>
      <c r="FH105" s="675">
        <v>2.6298999999999999E-2</v>
      </c>
      <c r="FI105" s="675">
        <v>0</v>
      </c>
      <c r="FJ105" s="675">
        <v>0</v>
      </c>
      <c r="FK105" s="675">
        <v>5874.0590000000002</v>
      </c>
      <c r="FL105" s="675">
        <v>42248809</v>
      </c>
      <c r="FM105" s="675">
        <v>0</v>
      </c>
      <c r="FN105" s="675">
        <v>0</v>
      </c>
      <c r="FO105" s="675">
        <v>0</v>
      </c>
      <c r="FP105" s="675">
        <v>0</v>
      </c>
      <c r="FQ105" s="675">
        <v>0</v>
      </c>
      <c r="FR105" s="675">
        <v>0</v>
      </c>
      <c r="FS105" s="675">
        <v>0</v>
      </c>
      <c r="FT105" s="675">
        <v>0</v>
      </c>
      <c r="FU105" s="675">
        <v>0</v>
      </c>
      <c r="FV105" s="675">
        <v>0</v>
      </c>
      <c r="FW105" s="675">
        <v>0</v>
      </c>
      <c r="FX105" s="675">
        <v>0</v>
      </c>
      <c r="FY105" s="675">
        <v>0</v>
      </c>
      <c r="FZ105" s="675">
        <v>0</v>
      </c>
      <c r="GA105" s="675">
        <v>0</v>
      </c>
      <c r="GB105" s="675">
        <v>0</v>
      </c>
      <c r="GC105" s="675">
        <v>0</v>
      </c>
      <c r="GD105" s="675">
        <v>0</v>
      </c>
      <c r="GE105" s="675">
        <v>0</v>
      </c>
      <c r="GF105" s="675">
        <v>0</v>
      </c>
      <c r="GG105" s="675">
        <v>0</v>
      </c>
      <c r="GH105" s="675">
        <v>0</v>
      </c>
      <c r="GI105" s="675">
        <v>0</v>
      </c>
      <c r="GJ105" s="675">
        <v>0</v>
      </c>
      <c r="GK105" s="675">
        <v>0</v>
      </c>
      <c r="GL105" s="675">
        <v>0</v>
      </c>
      <c r="GM105" s="675">
        <v>0</v>
      </c>
      <c r="GN105" s="675">
        <v>0</v>
      </c>
      <c r="GO105" s="675">
        <v>0</v>
      </c>
      <c r="GP105" s="675">
        <v>0</v>
      </c>
      <c r="GQ105" s="675">
        <v>0</v>
      </c>
      <c r="GR105" s="675">
        <v>0</v>
      </c>
      <c r="GS105" s="675">
        <v>0</v>
      </c>
      <c r="GT105" s="675">
        <v>0</v>
      </c>
      <c r="GU105" s="675">
        <v>0</v>
      </c>
      <c r="GV105" s="675">
        <v>0</v>
      </c>
      <c r="GW105" s="675">
        <v>0</v>
      </c>
      <c r="GX105" s="675">
        <v>0</v>
      </c>
      <c r="GY105" s="675">
        <v>0</v>
      </c>
      <c r="GZ105" s="675">
        <v>0</v>
      </c>
      <c r="HA105" s="675">
        <v>0</v>
      </c>
      <c r="HB105" s="675">
        <v>298386780</v>
      </c>
      <c r="HC105" s="675">
        <v>4.5690999999999996E-2</v>
      </c>
      <c r="HD105" s="675">
        <v>657047</v>
      </c>
      <c r="HE105" s="675">
        <v>0</v>
      </c>
      <c r="HF105" s="675">
        <v>3868982</v>
      </c>
      <c r="HG105" s="675">
        <v>75768</v>
      </c>
      <c r="HH105" s="675">
        <v>919119</v>
      </c>
      <c r="HI105" s="675">
        <v>0</v>
      </c>
      <c r="HJ105" s="675">
        <v>34944</v>
      </c>
      <c r="HK105" s="675">
        <v>0</v>
      </c>
      <c r="HL105" s="675">
        <v>0</v>
      </c>
      <c r="HM105" s="675">
        <v>0</v>
      </c>
      <c r="HN105" s="675">
        <v>14331</v>
      </c>
      <c r="HO105" s="675">
        <v>0</v>
      </c>
      <c r="HP105" s="675">
        <v>0</v>
      </c>
      <c r="HQ105" s="675">
        <v>0</v>
      </c>
      <c r="HR105" s="675">
        <v>0</v>
      </c>
      <c r="HS105" s="675">
        <v>34834367</v>
      </c>
      <c r="HT105" s="675">
        <v>761287</v>
      </c>
      <c r="HU105" s="675">
        <v>0</v>
      </c>
      <c r="HV105" s="675">
        <v>0</v>
      </c>
      <c r="HW105" s="675">
        <v>0</v>
      </c>
      <c r="HX105" s="675">
        <v>241</v>
      </c>
      <c r="HY105" s="675">
        <v>252</v>
      </c>
      <c r="HZ105" s="675">
        <v>566</v>
      </c>
      <c r="IA105" s="675">
        <v>1120</v>
      </c>
      <c r="IB105" s="675">
        <v>1654</v>
      </c>
      <c r="IC105" s="675">
        <v>3833</v>
      </c>
      <c r="ID105" s="675">
        <v>0</v>
      </c>
      <c r="IE105" s="675">
        <v>0</v>
      </c>
      <c r="IF105" s="675">
        <v>0</v>
      </c>
      <c r="IG105" s="675">
        <v>123</v>
      </c>
      <c r="IH105" s="675">
        <v>1492.0830000000001</v>
      </c>
      <c r="II105" s="675">
        <v>0</v>
      </c>
      <c r="IJ105" s="675">
        <v>2042.7330000000002</v>
      </c>
      <c r="IK105" s="675">
        <v>0</v>
      </c>
      <c r="IL105" s="675">
        <v>0</v>
      </c>
      <c r="IM105" s="675">
        <v>0</v>
      </c>
      <c r="IN105" s="675">
        <v>0</v>
      </c>
      <c r="IO105" s="675">
        <v>0</v>
      </c>
      <c r="IP105" s="675">
        <v>0</v>
      </c>
      <c r="IQ105" s="675">
        <v>2042.7330000000002</v>
      </c>
      <c r="IR105" s="675">
        <v>1258318</v>
      </c>
      <c r="IS105" s="675">
        <v>0</v>
      </c>
      <c r="IT105" s="675">
        <v>0</v>
      </c>
      <c r="IU105" s="675">
        <v>0</v>
      </c>
      <c r="IV105" s="675">
        <v>0</v>
      </c>
      <c r="IW105" s="675">
        <v>6160</v>
      </c>
      <c r="IX105" s="675">
        <v>0</v>
      </c>
      <c r="IY105" s="675">
        <v>0</v>
      </c>
      <c r="IZ105" s="675">
        <v>0</v>
      </c>
      <c r="JA105" s="675">
        <v>0</v>
      </c>
      <c r="JB105" s="675">
        <v>0</v>
      </c>
      <c r="JC105" s="675">
        <v>0</v>
      </c>
      <c r="JD105" s="675">
        <v>0</v>
      </c>
      <c r="JE105" s="675">
        <v>0</v>
      </c>
      <c r="JF105" s="675">
        <v>2</v>
      </c>
      <c r="JG105" s="675">
        <v>14331</v>
      </c>
      <c r="JH105" s="675">
        <v>0</v>
      </c>
      <c r="JI105" s="675">
        <v>0</v>
      </c>
      <c r="JJ105" s="675">
        <v>0</v>
      </c>
      <c r="JK105" s="675">
        <v>0</v>
      </c>
      <c r="JL105" s="675">
        <v>0</v>
      </c>
      <c r="JM105" s="675">
        <v>0</v>
      </c>
      <c r="JN105" s="675">
        <v>32469</v>
      </c>
      <c r="JO105" s="675">
        <v>0</v>
      </c>
      <c r="JP105" s="675">
        <v>0</v>
      </c>
      <c r="JQ105" s="675">
        <v>0</v>
      </c>
      <c r="JR105" s="675">
        <v>0</v>
      </c>
      <c r="JS105" s="675">
        <v>0</v>
      </c>
      <c r="JT105" s="675">
        <v>0</v>
      </c>
      <c r="JU105" s="675">
        <v>0</v>
      </c>
      <c r="JV105" s="675">
        <v>0</v>
      </c>
      <c r="JW105" s="675">
        <v>0</v>
      </c>
      <c r="JX105" s="675">
        <v>0</v>
      </c>
      <c r="JY105" s="675">
        <v>0</v>
      </c>
      <c r="JZ105" s="675">
        <v>0</v>
      </c>
      <c r="KA105" s="675">
        <v>0</v>
      </c>
      <c r="KB105" s="675">
        <v>0</v>
      </c>
      <c r="KC105" s="675">
        <v>0</v>
      </c>
      <c r="KD105" s="675">
        <v>0</v>
      </c>
      <c r="KE105" s="675">
        <v>7260</v>
      </c>
      <c r="KF105" s="675">
        <v>854884</v>
      </c>
      <c r="KG105" s="675">
        <v>0</v>
      </c>
      <c r="KH105" s="675">
        <v>0</v>
      </c>
      <c r="KI105" s="675">
        <v>0</v>
      </c>
    </row>
    <row r="106" spans="1:295" ht="12.5" x14ac:dyDescent="0.25">
      <c r="A106" s="675">
        <v>35795</v>
      </c>
      <c r="B106" s="675">
        <v>15814</v>
      </c>
      <c r="C106" s="675">
        <v>9</v>
      </c>
      <c r="D106" s="675">
        <v>2022</v>
      </c>
      <c r="E106" s="675">
        <v>6160</v>
      </c>
      <c r="F106" s="675">
        <v>0</v>
      </c>
      <c r="G106" s="675">
        <v>56.585000000000001</v>
      </c>
      <c r="H106" s="675">
        <v>56.108000000000004</v>
      </c>
      <c r="I106" s="675">
        <v>56.108000000000004</v>
      </c>
      <c r="J106" s="675">
        <v>56.585000000000001</v>
      </c>
      <c r="K106" s="675">
        <v>0</v>
      </c>
      <c r="L106" s="675">
        <v>6160</v>
      </c>
      <c r="M106" s="675">
        <v>0</v>
      </c>
      <c r="N106" s="675">
        <v>0</v>
      </c>
      <c r="O106" s="675">
        <v>0</v>
      </c>
      <c r="P106" s="675">
        <v>85.838000000000008</v>
      </c>
      <c r="Q106" s="675">
        <v>0</v>
      </c>
      <c r="R106" s="675">
        <v>34544</v>
      </c>
      <c r="S106" s="675">
        <v>402.428</v>
      </c>
      <c r="T106" s="675">
        <v>0</v>
      </c>
      <c r="U106" s="675">
        <v>18370</v>
      </c>
      <c r="V106" s="675">
        <v>1.5920000000000001</v>
      </c>
      <c r="W106" s="675">
        <v>981</v>
      </c>
      <c r="X106" s="675">
        <v>981</v>
      </c>
      <c r="Y106" s="675">
        <v>0</v>
      </c>
      <c r="Z106" s="675">
        <v>0</v>
      </c>
      <c r="AA106" s="675">
        <v>0</v>
      </c>
      <c r="AB106" s="675">
        <v>0</v>
      </c>
      <c r="AC106" s="675">
        <v>0</v>
      </c>
      <c r="AD106" s="675" t="s">
        <v>316</v>
      </c>
      <c r="AE106" s="675">
        <v>0</v>
      </c>
      <c r="AF106" s="675">
        <v>0</v>
      </c>
      <c r="AG106" s="675">
        <v>0</v>
      </c>
      <c r="AH106" s="675">
        <v>0</v>
      </c>
      <c r="AI106" s="675">
        <v>0</v>
      </c>
      <c r="AJ106" s="675">
        <v>6160</v>
      </c>
      <c r="AK106" s="675" t="s">
        <v>671</v>
      </c>
      <c r="AL106" s="675" t="s">
        <v>40</v>
      </c>
      <c r="AM106" s="675">
        <v>0</v>
      </c>
      <c r="AN106" s="675">
        <v>0</v>
      </c>
      <c r="AO106" s="675">
        <v>0</v>
      </c>
      <c r="AP106" s="675">
        <v>0</v>
      </c>
      <c r="AQ106" s="675">
        <v>0</v>
      </c>
      <c r="AR106" s="675">
        <v>0</v>
      </c>
      <c r="AS106" s="675">
        <v>0</v>
      </c>
      <c r="AT106" s="675">
        <v>0</v>
      </c>
      <c r="AU106" s="675">
        <v>0</v>
      </c>
      <c r="AV106" s="675">
        <v>-7325</v>
      </c>
      <c r="AW106" s="675">
        <v>694285</v>
      </c>
      <c r="AX106" s="675">
        <v>684239</v>
      </c>
      <c r="AY106" s="675">
        <v>498978</v>
      </c>
      <c r="AZ106" s="675">
        <v>34544</v>
      </c>
      <c r="BA106" s="675">
        <v>0</v>
      </c>
      <c r="BB106" s="675">
        <v>0</v>
      </c>
      <c r="BC106" s="675">
        <v>0</v>
      </c>
      <c r="BD106" s="675">
        <v>0</v>
      </c>
      <c r="BE106" s="675">
        <v>0</v>
      </c>
      <c r="BF106" s="675">
        <v>632608</v>
      </c>
      <c r="BG106" s="675">
        <v>0</v>
      </c>
      <c r="BH106" s="675">
        <v>0</v>
      </c>
      <c r="BI106" s="675">
        <v>0</v>
      </c>
      <c r="BJ106" s="675">
        <v>12</v>
      </c>
      <c r="BK106" s="675">
        <v>0</v>
      </c>
      <c r="BL106" s="675">
        <v>0</v>
      </c>
      <c r="BM106" s="675">
        <v>0</v>
      </c>
      <c r="BN106" s="675">
        <v>0</v>
      </c>
      <c r="BO106" s="675">
        <v>0</v>
      </c>
      <c r="BP106" s="675">
        <v>0</v>
      </c>
      <c r="BQ106" s="675">
        <v>761</v>
      </c>
      <c r="BR106" s="675">
        <v>0</v>
      </c>
      <c r="BS106" s="675">
        <v>0</v>
      </c>
      <c r="BT106" s="675">
        <v>0</v>
      </c>
      <c r="BU106" s="675">
        <v>0</v>
      </c>
      <c r="BV106" s="675">
        <v>0</v>
      </c>
      <c r="BW106" s="675">
        <v>0</v>
      </c>
      <c r="BX106" s="675">
        <v>0</v>
      </c>
      <c r="BY106" s="675">
        <v>0</v>
      </c>
      <c r="BZ106" s="675">
        <v>0</v>
      </c>
      <c r="CA106" s="675">
        <v>0</v>
      </c>
      <c r="CB106" s="675">
        <v>0</v>
      </c>
      <c r="CC106" s="675">
        <v>0</v>
      </c>
      <c r="CD106" s="675">
        <v>0</v>
      </c>
      <c r="CE106" s="675">
        <v>0</v>
      </c>
      <c r="CF106" s="675">
        <v>0</v>
      </c>
      <c r="CG106" s="675">
        <v>0</v>
      </c>
      <c r="CH106" s="675">
        <v>10342</v>
      </c>
      <c r="CI106" s="675">
        <v>0</v>
      </c>
      <c r="CJ106" s="675">
        <v>4</v>
      </c>
      <c r="CK106" s="675">
        <v>0</v>
      </c>
      <c r="CL106" s="675">
        <v>0</v>
      </c>
      <c r="CM106" s="675">
        <v>0</v>
      </c>
      <c r="CN106" s="675">
        <v>0</v>
      </c>
      <c r="CO106" s="675">
        <v>1</v>
      </c>
      <c r="CP106" s="675">
        <v>0.09</v>
      </c>
      <c r="CQ106" s="675">
        <v>0</v>
      </c>
      <c r="CR106" s="675">
        <v>100.471</v>
      </c>
      <c r="CS106" s="675">
        <v>0</v>
      </c>
      <c r="CT106" s="675">
        <v>0</v>
      </c>
      <c r="CU106" s="675">
        <v>0</v>
      </c>
      <c r="CV106" s="675">
        <v>0</v>
      </c>
      <c r="CW106" s="675">
        <v>0</v>
      </c>
      <c r="CX106" s="675">
        <v>0</v>
      </c>
      <c r="CY106" s="675">
        <v>0</v>
      </c>
      <c r="CZ106" s="675">
        <v>0</v>
      </c>
      <c r="DA106" s="675">
        <v>0</v>
      </c>
      <c r="DB106" s="675">
        <v>309089</v>
      </c>
      <c r="DC106" s="675">
        <v>0</v>
      </c>
      <c r="DD106" s="675">
        <v>0</v>
      </c>
      <c r="DE106" s="675">
        <v>135673</v>
      </c>
      <c r="DF106" s="675">
        <v>137009</v>
      </c>
      <c r="DG106" s="675">
        <v>22.025000000000002</v>
      </c>
      <c r="DH106" s="675">
        <v>0</v>
      </c>
      <c r="DI106" s="675">
        <v>1336</v>
      </c>
      <c r="DJ106" s="675">
        <v>0</v>
      </c>
      <c r="DK106" s="675">
        <v>3804</v>
      </c>
      <c r="DL106" s="675">
        <v>0</v>
      </c>
      <c r="DM106" s="675">
        <v>114297</v>
      </c>
      <c r="DN106" s="675">
        <v>296</v>
      </c>
      <c r="DO106" s="675">
        <v>0</v>
      </c>
      <c r="DP106" s="675">
        <v>0</v>
      </c>
      <c r="DQ106" s="675">
        <v>0</v>
      </c>
      <c r="DR106" s="675">
        <v>0</v>
      </c>
      <c r="DS106" s="675">
        <v>0</v>
      </c>
      <c r="DT106" s="675">
        <v>0</v>
      </c>
      <c r="DU106" s="675">
        <v>0</v>
      </c>
      <c r="DV106" s="675">
        <v>0</v>
      </c>
      <c r="DW106" s="675">
        <v>0</v>
      </c>
      <c r="DX106" s="675">
        <v>0</v>
      </c>
      <c r="DY106" s="675">
        <v>0</v>
      </c>
      <c r="DZ106" s="675">
        <v>0</v>
      </c>
      <c r="EA106" s="675">
        <v>0</v>
      </c>
      <c r="EB106" s="675">
        <v>0</v>
      </c>
      <c r="EC106" s="675">
        <v>10.592000000000001</v>
      </c>
      <c r="ED106" s="675">
        <v>75033</v>
      </c>
      <c r="EE106" s="675">
        <v>0</v>
      </c>
      <c r="EF106" s="675">
        <v>0</v>
      </c>
      <c r="EG106" s="675">
        <v>0</v>
      </c>
      <c r="EH106" s="675">
        <v>3025</v>
      </c>
      <c r="EI106" s="675">
        <v>0</v>
      </c>
      <c r="EJ106" s="675">
        <v>0</v>
      </c>
      <c r="EK106" s="675">
        <v>0.112</v>
      </c>
      <c r="EL106" s="675">
        <v>0</v>
      </c>
      <c r="EM106" s="675">
        <v>0</v>
      </c>
      <c r="EN106" s="675">
        <v>3.1E-2</v>
      </c>
      <c r="EO106" s="675">
        <v>0</v>
      </c>
      <c r="EP106" s="675">
        <v>0</v>
      </c>
      <c r="EQ106" s="675">
        <v>0.14300000000000002</v>
      </c>
      <c r="ER106" s="675">
        <v>0</v>
      </c>
      <c r="ES106" s="675">
        <v>0.49100000000000005</v>
      </c>
      <c r="ET106" s="675">
        <v>0</v>
      </c>
      <c r="EU106" s="675">
        <v>0</v>
      </c>
      <c r="EV106" s="675">
        <v>0</v>
      </c>
      <c r="EW106" s="675">
        <v>0</v>
      </c>
      <c r="EX106" s="675">
        <v>0</v>
      </c>
      <c r="EY106" s="675">
        <v>0</v>
      </c>
      <c r="EZ106" s="675">
        <v>606580</v>
      </c>
      <c r="FA106" s="675">
        <v>0</v>
      </c>
      <c r="FB106" s="675">
        <v>640828</v>
      </c>
      <c r="FC106" s="675">
        <v>0</v>
      </c>
      <c r="FD106" s="675">
        <v>0</v>
      </c>
      <c r="FE106" s="675">
        <v>64349</v>
      </c>
      <c r="FF106" s="675">
        <v>13310</v>
      </c>
      <c r="FG106" s="675">
        <v>6.3574999999999993E-2</v>
      </c>
      <c r="FH106" s="675">
        <v>2.6298999999999999E-2</v>
      </c>
      <c r="FI106" s="675">
        <v>0</v>
      </c>
      <c r="FJ106" s="675">
        <v>0</v>
      </c>
      <c r="FK106" s="675">
        <v>102.697</v>
      </c>
      <c r="FL106" s="675">
        <v>728829</v>
      </c>
      <c r="FM106" s="675">
        <v>0</v>
      </c>
      <c r="FN106" s="675">
        <v>0</v>
      </c>
      <c r="FO106" s="675">
        <v>7049</v>
      </c>
      <c r="FP106" s="675">
        <v>0</v>
      </c>
      <c r="FQ106" s="675">
        <v>7049</v>
      </c>
      <c r="FR106" s="675">
        <v>7049</v>
      </c>
      <c r="FS106" s="675">
        <v>0</v>
      </c>
      <c r="FT106" s="675">
        <v>0</v>
      </c>
      <c r="FU106" s="675">
        <v>0</v>
      </c>
      <c r="FV106" s="675">
        <v>0</v>
      </c>
      <c r="FW106" s="675">
        <v>0</v>
      </c>
      <c r="FX106" s="675">
        <v>0</v>
      </c>
      <c r="FY106" s="675">
        <v>0</v>
      </c>
      <c r="FZ106" s="675">
        <v>0</v>
      </c>
      <c r="GA106" s="675">
        <v>0</v>
      </c>
      <c r="GB106" s="675">
        <v>2667</v>
      </c>
      <c r="GC106" s="675">
        <v>2667</v>
      </c>
      <c r="GD106" s="675">
        <v>0.33400000000000002</v>
      </c>
      <c r="GE106" s="675">
        <v>0</v>
      </c>
      <c r="GF106" s="675">
        <v>0</v>
      </c>
      <c r="GG106" s="675">
        <v>0</v>
      </c>
      <c r="GH106" s="675">
        <v>0</v>
      </c>
      <c r="GI106" s="675">
        <v>0</v>
      </c>
      <c r="GJ106" s="675">
        <v>0</v>
      </c>
      <c r="GK106" s="675">
        <v>0</v>
      </c>
      <c r="GL106" s="675">
        <v>0</v>
      </c>
      <c r="GM106" s="675">
        <v>0</v>
      </c>
      <c r="GN106" s="675">
        <v>0</v>
      </c>
      <c r="GO106" s="675">
        <v>0</v>
      </c>
      <c r="GP106" s="675">
        <v>0</v>
      </c>
      <c r="GQ106" s="675">
        <v>0</v>
      </c>
      <c r="GR106" s="675">
        <v>0</v>
      </c>
      <c r="GS106" s="675">
        <v>0</v>
      </c>
      <c r="GT106" s="675">
        <v>0</v>
      </c>
      <c r="GU106" s="675">
        <v>0</v>
      </c>
      <c r="GV106" s="675">
        <v>0</v>
      </c>
      <c r="GW106" s="675">
        <v>0</v>
      </c>
      <c r="GX106" s="675">
        <v>0</v>
      </c>
      <c r="GY106" s="675">
        <v>0</v>
      </c>
      <c r="GZ106" s="675">
        <v>0</v>
      </c>
      <c r="HA106" s="675">
        <v>0</v>
      </c>
      <c r="HB106" s="675">
        <v>298386780</v>
      </c>
      <c r="HC106" s="675">
        <v>4.5690999999999996E-2</v>
      </c>
      <c r="HD106" s="675">
        <v>10342</v>
      </c>
      <c r="HE106" s="675">
        <v>0</v>
      </c>
      <c r="HF106" s="675">
        <v>61719</v>
      </c>
      <c r="HG106" s="675">
        <v>0</v>
      </c>
      <c r="HH106" s="675">
        <v>0</v>
      </c>
      <c r="HI106" s="675">
        <v>0</v>
      </c>
      <c r="HJ106" s="675">
        <v>550</v>
      </c>
      <c r="HK106" s="675">
        <v>1467</v>
      </c>
      <c r="HL106" s="675">
        <v>0</v>
      </c>
      <c r="HM106" s="675">
        <v>6000</v>
      </c>
      <c r="HN106" s="675">
        <v>0</v>
      </c>
      <c r="HO106" s="675">
        <v>0</v>
      </c>
      <c r="HP106" s="675">
        <v>0</v>
      </c>
      <c r="HQ106" s="675">
        <v>0</v>
      </c>
      <c r="HR106" s="675">
        <v>0</v>
      </c>
      <c r="HS106" s="675">
        <v>606284</v>
      </c>
      <c r="HT106" s="675">
        <v>13310</v>
      </c>
      <c r="HU106" s="675">
        <v>0</v>
      </c>
      <c r="HV106" s="675">
        <v>0</v>
      </c>
      <c r="HW106" s="675">
        <v>0</v>
      </c>
      <c r="HX106" s="675">
        <v>3</v>
      </c>
      <c r="HY106" s="675">
        <v>9</v>
      </c>
      <c r="HZ106" s="675">
        <v>13</v>
      </c>
      <c r="IA106" s="675">
        <v>21</v>
      </c>
      <c r="IB106" s="675">
        <v>38</v>
      </c>
      <c r="IC106" s="675">
        <v>84</v>
      </c>
      <c r="ID106" s="675">
        <v>0</v>
      </c>
      <c r="IE106" s="675">
        <v>0</v>
      </c>
      <c r="IF106" s="675">
        <v>0</v>
      </c>
      <c r="IG106" s="675">
        <v>0</v>
      </c>
      <c r="IH106" s="675">
        <v>0</v>
      </c>
      <c r="II106" s="675">
        <v>0</v>
      </c>
      <c r="IJ106" s="675">
        <v>1.5920000000000001</v>
      </c>
      <c r="IK106" s="675">
        <v>0</v>
      </c>
      <c r="IL106" s="675">
        <v>0</v>
      </c>
      <c r="IM106" s="675">
        <v>2</v>
      </c>
      <c r="IN106" s="675">
        <v>0</v>
      </c>
      <c r="IO106" s="675">
        <v>2</v>
      </c>
      <c r="IP106" s="675">
        <v>0</v>
      </c>
      <c r="IQ106" s="675">
        <v>1.5920000000000001</v>
      </c>
      <c r="IR106" s="675">
        <v>981</v>
      </c>
      <c r="IS106" s="675">
        <v>0</v>
      </c>
      <c r="IT106" s="675">
        <v>0</v>
      </c>
      <c r="IU106" s="675">
        <v>6000</v>
      </c>
      <c r="IV106" s="675">
        <v>0</v>
      </c>
      <c r="IW106" s="675">
        <v>6160</v>
      </c>
      <c r="IX106" s="675">
        <v>0</v>
      </c>
      <c r="IY106" s="675">
        <v>0</v>
      </c>
      <c r="IZ106" s="675">
        <v>0</v>
      </c>
      <c r="JA106" s="675">
        <v>0</v>
      </c>
      <c r="JB106" s="675">
        <v>0</v>
      </c>
      <c r="JC106" s="675">
        <v>0</v>
      </c>
      <c r="JD106" s="675">
        <v>0</v>
      </c>
      <c r="JE106" s="675">
        <v>0</v>
      </c>
      <c r="JF106" s="675">
        <v>0</v>
      </c>
      <c r="JG106" s="675">
        <v>0</v>
      </c>
      <c r="JH106" s="675">
        <v>0</v>
      </c>
      <c r="JI106" s="675">
        <v>0</v>
      </c>
      <c r="JJ106" s="675">
        <v>0</v>
      </c>
      <c r="JK106" s="675">
        <v>0</v>
      </c>
      <c r="JL106" s="675">
        <v>0</v>
      </c>
      <c r="JM106" s="675">
        <v>0</v>
      </c>
      <c r="JN106" s="675">
        <v>32469</v>
      </c>
      <c r="JO106" s="675">
        <v>0.33400000000000002</v>
      </c>
      <c r="JP106" s="675">
        <v>0</v>
      </c>
      <c r="JQ106" s="675">
        <v>0</v>
      </c>
      <c r="JR106" s="675">
        <v>2667</v>
      </c>
      <c r="JS106" s="675">
        <v>0</v>
      </c>
      <c r="JT106" s="675">
        <v>0</v>
      </c>
      <c r="JU106" s="675">
        <v>0</v>
      </c>
      <c r="JV106" s="675">
        <v>0</v>
      </c>
      <c r="JW106" s="675">
        <v>0</v>
      </c>
      <c r="JX106" s="675">
        <v>0</v>
      </c>
      <c r="JY106" s="675">
        <v>0</v>
      </c>
      <c r="JZ106" s="675">
        <v>0</v>
      </c>
      <c r="KA106" s="675">
        <v>0</v>
      </c>
      <c r="KB106" s="675">
        <v>0</v>
      </c>
      <c r="KC106" s="675">
        <v>0</v>
      </c>
      <c r="KD106" s="675">
        <v>0</v>
      </c>
      <c r="KE106" s="675">
        <v>7260</v>
      </c>
      <c r="KF106" s="675">
        <v>0</v>
      </c>
      <c r="KG106" s="675">
        <v>0</v>
      </c>
      <c r="KH106" s="675">
        <v>0</v>
      </c>
      <c r="KI106" s="675">
        <v>0</v>
      </c>
    </row>
    <row r="107" spans="1:295" ht="12.5" x14ac:dyDescent="0.25">
      <c r="A107" s="675">
        <v>35795</v>
      </c>
      <c r="B107" s="675">
        <v>57814</v>
      </c>
      <c r="C107" s="675">
        <v>9</v>
      </c>
      <c r="D107" s="675">
        <v>2022</v>
      </c>
      <c r="E107" s="675">
        <v>6160</v>
      </c>
      <c r="F107" s="675">
        <v>0</v>
      </c>
      <c r="G107" s="675">
        <v>299.36799999999999</v>
      </c>
      <c r="H107" s="675">
        <v>215.089</v>
      </c>
      <c r="I107" s="675">
        <v>215.089</v>
      </c>
      <c r="J107" s="675">
        <v>299.36799999999999</v>
      </c>
      <c r="K107" s="675">
        <v>0</v>
      </c>
      <c r="L107" s="675">
        <v>6160</v>
      </c>
      <c r="M107" s="675">
        <v>0</v>
      </c>
      <c r="N107" s="675">
        <v>0</v>
      </c>
      <c r="O107" s="675">
        <v>0</v>
      </c>
      <c r="P107" s="675">
        <v>277.31100000000004</v>
      </c>
      <c r="Q107" s="675">
        <v>0</v>
      </c>
      <c r="R107" s="675">
        <v>111598</v>
      </c>
      <c r="S107" s="675">
        <v>402.428</v>
      </c>
      <c r="T107" s="675">
        <v>0</v>
      </c>
      <c r="U107" s="675">
        <v>59346</v>
      </c>
      <c r="V107" s="675">
        <v>51.911999999999999</v>
      </c>
      <c r="W107" s="675">
        <v>31978</v>
      </c>
      <c r="X107" s="675">
        <v>31978</v>
      </c>
      <c r="Y107" s="675">
        <v>0</v>
      </c>
      <c r="Z107" s="675">
        <v>0</v>
      </c>
      <c r="AA107" s="675">
        <v>0</v>
      </c>
      <c r="AB107" s="675">
        <v>0</v>
      </c>
      <c r="AC107" s="675">
        <v>0</v>
      </c>
      <c r="AD107" s="675" t="s">
        <v>316</v>
      </c>
      <c r="AE107" s="675">
        <v>0</v>
      </c>
      <c r="AF107" s="675">
        <v>0</v>
      </c>
      <c r="AG107" s="675">
        <v>0</v>
      </c>
      <c r="AH107" s="675">
        <v>0</v>
      </c>
      <c r="AI107" s="675">
        <v>0</v>
      </c>
      <c r="AJ107" s="675">
        <v>6160</v>
      </c>
      <c r="AK107" s="675" t="s">
        <v>671</v>
      </c>
      <c r="AL107" s="675" t="s">
        <v>328</v>
      </c>
      <c r="AM107" s="675">
        <v>0</v>
      </c>
      <c r="AN107" s="675">
        <v>0</v>
      </c>
      <c r="AO107" s="675">
        <v>0</v>
      </c>
      <c r="AP107" s="675">
        <v>0</v>
      </c>
      <c r="AQ107" s="675">
        <v>0</v>
      </c>
      <c r="AR107" s="675">
        <v>0</v>
      </c>
      <c r="AS107" s="675">
        <v>0</v>
      </c>
      <c r="AT107" s="675">
        <v>0</v>
      </c>
      <c r="AU107" s="675">
        <v>0</v>
      </c>
      <c r="AV107" s="675">
        <v>-1538</v>
      </c>
      <c r="AW107" s="675">
        <v>4557346</v>
      </c>
      <c r="AX107" s="675">
        <v>4509316</v>
      </c>
      <c r="AY107" s="675">
        <v>3003755</v>
      </c>
      <c r="AZ107" s="675">
        <v>111598</v>
      </c>
      <c r="BA107" s="675">
        <v>0</v>
      </c>
      <c r="BB107" s="675">
        <v>0</v>
      </c>
      <c r="BC107" s="675">
        <v>0</v>
      </c>
      <c r="BD107" s="675">
        <v>0</v>
      </c>
      <c r="BE107" s="675">
        <v>0</v>
      </c>
      <c r="BF107" s="675">
        <v>3978912</v>
      </c>
      <c r="BG107" s="675">
        <v>0</v>
      </c>
      <c r="BH107" s="675">
        <v>0</v>
      </c>
      <c r="BI107" s="675">
        <v>0</v>
      </c>
      <c r="BJ107" s="675">
        <v>12</v>
      </c>
      <c r="BK107" s="675">
        <v>0</v>
      </c>
      <c r="BL107" s="675">
        <v>0</v>
      </c>
      <c r="BM107" s="675">
        <v>0</v>
      </c>
      <c r="BN107" s="675">
        <v>0</v>
      </c>
      <c r="BO107" s="675">
        <v>0</v>
      </c>
      <c r="BP107" s="675">
        <v>0</v>
      </c>
      <c r="BQ107" s="675">
        <v>737</v>
      </c>
      <c r="BR107" s="675">
        <v>0</v>
      </c>
      <c r="BS107" s="675">
        <v>0</v>
      </c>
      <c r="BT107" s="675">
        <v>0</v>
      </c>
      <c r="BU107" s="675">
        <v>0</v>
      </c>
      <c r="BV107" s="675">
        <v>0</v>
      </c>
      <c r="BW107" s="675">
        <v>0</v>
      </c>
      <c r="BX107" s="675">
        <v>0</v>
      </c>
      <c r="BY107" s="675">
        <v>0</v>
      </c>
      <c r="BZ107" s="675">
        <v>0</v>
      </c>
      <c r="CA107" s="675">
        <v>0</v>
      </c>
      <c r="CB107" s="675">
        <v>0</v>
      </c>
      <c r="CC107" s="675">
        <v>0</v>
      </c>
      <c r="CD107" s="675">
        <v>0</v>
      </c>
      <c r="CE107" s="675">
        <v>0</v>
      </c>
      <c r="CF107" s="675">
        <v>0</v>
      </c>
      <c r="CG107" s="675">
        <v>0</v>
      </c>
      <c r="CH107" s="675">
        <v>54713</v>
      </c>
      <c r="CI107" s="675">
        <v>0</v>
      </c>
      <c r="CJ107" s="675">
        <v>4</v>
      </c>
      <c r="CK107" s="675">
        <v>0</v>
      </c>
      <c r="CL107" s="675">
        <v>0</v>
      </c>
      <c r="CM107" s="675">
        <v>0</v>
      </c>
      <c r="CN107" s="675">
        <v>0</v>
      </c>
      <c r="CO107" s="675">
        <v>1</v>
      </c>
      <c r="CP107" s="675">
        <v>0</v>
      </c>
      <c r="CQ107" s="675">
        <v>0</v>
      </c>
      <c r="CR107" s="675">
        <v>247.26600000000002</v>
      </c>
      <c r="CS107" s="675">
        <v>0</v>
      </c>
      <c r="CT107" s="675">
        <v>0</v>
      </c>
      <c r="CU107" s="675">
        <v>0</v>
      </c>
      <c r="CV107" s="675">
        <v>0</v>
      </c>
      <c r="CW107" s="675">
        <v>0</v>
      </c>
      <c r="CX107" s="675">
        <v>0</v>
      </c>
      <c r="CY107" s="675">
        <v>0</v>
      </c>
      <c r="CZ107" s="675">
        <v>0</v>
      </c>
      <c r="DA107" s="675">
        <v>0</v>
      </c>
      <c r="DB107" s="675">
        <v>804067</v>
      </c>
      <c r="DC107" s="675">
        <v>0</v>
      </c>
      <c r="DD107" s="675">
        <v>0</v>
      </c>
      <c r="DE107" s="675">
        <v>502346</v>
      </c>
      <c r="DF107" s="675">
        <v>502346</v>
      </c>
      <c r="DG107" s="675">
        <v>81.55</v>
      </c>
      <c r="DH107" s="675">
        <v>0</v>
      </c>
      <c r="DI107" s="675">
        <v>0</v>
      </c>
      <c r="DJ107" s="675">
        <v>0</v>
      </c>
      <c r="DK107" s="675">
        <v>3412</v>
      </c>
      <c r="DL107" s="675">
        <v>0</v>
      </c>
      <c r="DM107" s="675">
        <v>2275286</v>
      </c>
      <c r="DN107" s="675">
        <v>6682</v>
      </c>
      <c r="DO107" s="675">
        <v>0</v>
      </c>
      <c r="DP107" s="675">
        <v>0</v>
      </c>
      <c r="DQ107" s="675">
        <v>0</v>
      </c>
      <c r="DR107" s="675">
        <v>0</v>
      </c>
      <c r="DS107" s="675">
        <v>0</v>
      </c>
      <c r="DT107" s="675">
        <v>0</v>
      </c>
      <c r="DU107" s="675">
        <v>0</v>
      </c>
      <c r="DV107" s="675">
        <v>0</v>
      </c>
      <c r="DW107" s="675">
        <v>0</v>
      </c>
      <c r="DX107" s="675">
        <v>0</v>
      </c>
      <c r="DY107" s="675">
        <v>0</v>
      </c>
      <c r="DZ107" s="675">
        <v>0</v>
      </c>
      <c r="EA107" s="675">
        <v>0</v>
      </c>
      <c r="EB107" s="675">
        <v>0</v>
      </c>
      <c r="EC107" s="675">
        <v>0.70000000000000007</v>
      </c>
      <c r="ED107" s="675">
        <v>4959</v>
      </c>
      <c r="EE107" s="675">
        <v>0</v>
      </c>
      <c r="EF107" s="675">
        <v>0</v>
      </c>
      <c r="EG107" s="675">
        <v>0</v>
      </c>
      <c r="EH107" s="675">
        <v>8156</v>
      </c>
      <c r="EI107" s="675">
        <v>1747978</v>
      </c>
      <c r="EJ107" s="675">
        <v>70.941000000000003</v>
      </c>
      <c r="EK107" s="675">
        <v>0.10400000000000001</v>
      </c>
      <c r="EL107" s="675">
        <v>0</v>
      </c>
      <c r="EM107" s="675">
        <v>4.4000000000000004E-2</v>
      </c>
      <c r="EN107" s="675">
        <v>0.17600000000000002</v>
      </c>
      <c r="EO107" s="675">
        <v>0</v>
      </c>
      <c r="EP107" s="675">
        <v>0</v>
      </c>
      <c r="EQ107" s="675">
        <v>71.265000000000001</v>
      </c>
      <c r="ER107" s="675">
        <v>0</v>
      </c>
      <c r="ES107" s="675">
        <v>1.3240000000000001</v>
      </c>
      <c r="ET107" s="675">
        <v>0</v>
      </c>
      <c r="EU107" s="675">
        <v>0</v>
      </c>
      <c r="EV107" s="675">
        <v>0</v>
      </c>
      <c r="EW107" s="675">
        <v>0</v>
      </c>
      <c r="EX107" s="675">
        <v>0</v>
      </c>
      <c r="EY107" s="675">
        <v>0</v>
      </c>
      <c r="EZ107" s="675">
        <v>4020866</v>
      </c>
      <c r="FA107" s="675">
        <v>0</v>
      </c>
      <c r="FB107" s="675">
        <v>4125781</v>
      </c>
      <c r="FC107" s="675">
        <v>0</v>
      </c>
      <c r="FD107" s="675">
        <v>0</v>
      </c>
      <c r="FE107" s="675">
        <v>404737</v>
      </c>
      <c r="FF107" s="675">
        <v>83713</v>
      </c>
      <c r="FG107" s="675">
        <v>6.3574999999999993E-2</v>
      </c>
      <c r="FH107" s="675">
        <v>2.6298999999999999E-2</v>
      </c>
      <c r="FI107" s="675">
        <v>0</v>
      </c>
      <c r="FJ107" s="675">
        <v>0</v>
      </c>
      <c r="FK107" s="675">
        <v>645.93000000000006</v>
      </c>
      <c r="FL107" s="675">
        <v>4668944</v>
      </c>
      <c r="FM107" s="675">
        <v>0</v>
      </c>
      <c r="FN107" s="675">
        <v>0</v>
      </c>
      <c r="FO107" s="675">
        <v>896</v>
      </c>
      <c r="FP107" s="675">
        <v>0</v>
      </c>
      <c r="FQ107" s="675">
        <v>896</v>
      </c>
      <c r="FR107" s="675">
        <v>896</v>
      </c>
      <c r="FS107" s="675">
        <v>0</v>
      </c>
      <c r="FT107" s="675">
        <v>0</v>
      </c>
      <c r="FU107" s="675">
        <v>0</v>
      </c>
      <c r="FV107" s="675">
        <v>0</v>
      </c>
      <c r="FW107" s="675">
        <v>0</v>
      </c>
      <c r="FX107" s="675">
        <v>0</v>
      </c>
      <c r="FY107" s="675">
        <v>0</v>
      </c>
      <c r="FZ107" s="675">
        <v>0</v>
      </c>
      <c r="GA107" s="675">
        <v>0</v>
      </c>
      <c r="GB107" s="675">
        <v>119045</v>
      </c>
      <c r="GC107" s="675">
        <v>119045</v>
      </c>
      <c r="GD107" s="675">
        <v>13.014000000000001</v>
      </c>
      <c r="GE107" s="675">
        <v>0</v>
      </c>
      <c r="GF107" s="675">
        <v>0</v>
      </c>
      <c r="GG107" s="675">
        <v>0</v>
      </c>
      <c r="GH107" s="675">
        <v>0</v>
      </c>
      <c r="GI107" s="675">
        <v>0</v>
      </c>
      <c r="GJ107" s="675">
        <v>0</v>
      </c>
      <c r="GK107" s="675">
        <v>0</v>
      </c>
      <c r="GL107" s="675">
        <v>0</v>
      </c>
      <c r="GM107" s="675">
        <v>0</v>
      </c>
      <c r="GN107" s="675">
        <v>0</v>
      </c>
      <c r="GO107" s="675">
        <v>0</v>
      </c>
      <c r="GP107" s="675">
        <v>0</v>
      </c>
      <c r="GQ107" s="675">
        <v>0</v>
      </c>
      <c r="GR107" s="675">
        <v>0</v>
      </c>
      <c r="GS107" s="675">
        <v>0</v>
      </c>
      <c r="GT107" s="675">
        <v>0</v>
      </c>
      <c r="GU107" s="675">
        <v>0</v>
      </c>
      <c r="GV107" s="675">
        <v>0</v>
      </c>
      <c r="GW107" s="675">
        <v>0</v>
      </c>
      <c r="GX107" s="675">
        <v>0</v>
      </c>
      <c r="GY107" s="675">
        <v>0</v>
      </c>
      <c r="GZ107" s="675">
        <v>0</v>
      </c>
      <c r="HA107" s="675">
        <v>0</v>
      </c>
      <c r="HB107" s="675">
        <v>298386780</v>
      </c>
      <c r="HC107" s="675">
        <v>4.5690999999999996E-2</v>
      </c>
      <c r="HD107" s="675">
        <v>54713</v>
      </c>
      <c r="HE107" s="675">
        <v>0</v>
      </c>
      <c r="HF107" s="675">
        <v>236598</v>
      </c>
      <c r="HG107" s="675">
        <v>0</v>
      </c>
      <c r="HH107" s="675">
        <v>0</v>
      </c>
      <c r="HI107" s="675">
        <v>0</v>
      </c>
      <c r="HJ107" s="675">
        <v>2910</v>
      </c>
      <c r="HK107" s="675">
        <v>2961</v>
      </c>
      <c r="HL107" s="675">
        <v>0</v>
      </c>
      <c r="HM107" s="675">
        <v>0</v>
      </c>
      <c r="HN107" s="675">
        <v>0</v>
      </c>
      <c r="HO107" s="675">
        <v>0</v>
      </c>
      <c r="HP107" s="675">
        <v>127565</v>
      </c>
      <c r="HQ107" s="675">
        <v>0</v>
      </c>
      <c r="HR107" s="675">
        <v>0</v>
      </c>
      <c r="HS107" s="675">
        <v>4014183</v>
      </c>
      <c r="HT107" s="675">
        <v>83713</v>
      </c>
      <c r="HU107" s="675">
        <v>0</v>
      </c>
      <c r="HV107" s="675">
        <v>0</v>
      </c>
      <c r="HW107" s="675">
        <v>0</v>
      </c>
      <c r="HX107" s="675">
        <v>0</v>
      </c>
      <c r="HY107" s="675">
        <v>0</v>
      </c>
      <c r="HZ107" s="675">
        <v>2</v>
      </c>
      <c r="IA107" s="675">
        <v>6</v>
      </c>
      <c r="IB107" s="675">
        <v>289</v>
      </c>
      <c r="IC107" s="675">
        <v>297</v>
      </c>
      <c r="ID107" s="675">
        <v>0</v>
      </c>
      <c r="IE107" s="675">
        <v>0</v>
      </c>
      <c r="IF107" s="675">
        <v>0</v>
      </c>
      <c r="IG107" s="675">
        <v>0</v>
      </c>
      <c r="IH107" s="675">
        <v>0</v>
      </c>
      <c r="II107" s="675">
        <v>463.87400000000002</v>
      </c>
      <c r="IJ107" s="675">
        <v>51.911999999999999</v>
      </c>
      <c r="IK107" s="675">
        <v>80.47</v>
      </c>
      <c r="IL107" s="675">
        <v>0</v>
      </c>
      <c r="IM107" s="675">
        <v>0</v>
      </c>
      <c r="IN107" s="675">
        <v>0</v>
      </c>
      <c r="IO107" s="675">
        <v>0</v>
      </c>
      <c r="IP107" s="675">
        <v>544.34400000000005</v>
      </c>
      <c r="IQ107" s="675">
        <v>51.911999999999999</v>
      </c>
      <c r="IR107" s="675">
        <v>31978</v>
      </c>
      <c r="IS107" s="675">
        <v>22129</v>
      </c>
      <c r="IT107" s="675">
        <v>0</v>
      </c>
      <c r="IU107" s="675">
        <v>0</v>
      </c>
      <c r="IV107" s="675">
        <v>0</v>
      </c>
      <c r="IW107" s="675">
        <v>6160</v>
      </c>
      <c r="IX107" s="675">
        <v>0</v>
      </c>
      <c r="IY107" s="675">
        <v>0</v>
      </c>
      <c r="IZ107" s="675">
        <v>149695</v>
      </c>
      <c r="JA107" s="675">
        <v>0</v>
      </c>
      <c r="JB107" s="675">
        <v>0</v>
      </c>
      <c r="JC107" s="675">
        <v>0</v>
      </c>
      <c r="JD107" s="675">
        <v>0</v>
      </c>
      <c r="JE107" s="675">
        <v>0</v>
      </c>
      <c r="JF107" s="675">
        <v>0</v>
      </c>
      <c r="JG107" s="675">
        <v>0</v>
      </c>
      <c r="JH107" s="675">
        <v>0</v>
      </c>
      <c r="JI107" s="675">
        <v>0</v>
      </c>
      <c r="JJ107" s="675">
        <v>0</v>
      </c>
      <c r="JK107" s="675">
        <v>0</v>
      </c>
      <c r="JL107" s="675">
        <v>0</v>
      </c>
      <c r="JM107" s="675">
        <v>0</v>
      </c>
      <c r="JN107" s="675">
        <v>32469</v>
      </c>
      <c r="JO107" s="675">
        <v>1.5130000000000001</v>
      </c>
      <c r="JP107" s="675">
        <v>11.447000000000001</v>
      </c>
      <c r="JQ107" s="675">
        <v>5.5E-2</v>
      </c>
      <c r="JR107" s="675">
        <v>12083</v>
      </c>
      <c r="JS107" s="675">
        <v>106375</v>
      </c>
      <c r="JT107" s="675">
        <v>587</v>
      </c>
      <c r="JU107" s="675">
        <v>0</v>
      </c>
      <c r="JV107" s="675">
        <v>0</v>
      </c>
      <c r="JW107" s="675">
        <v>0</v>
      </c>
      <c r="JX107" s="675">
        <v>0</v>
      </c>
      <c r="JY107" s="675">
        <v>0</v>
      </c>
      <c r="JZ107" s="675">
        <v>0</v>
      </c>
      <c r="KA107" s="675">
        <v>0</v>
      </c>
      <c r="KB107" s="675">
        <v>0</v>
      </c>
      <c r="KC107" s="675">
        <v>0</v>
      </c>
      <c r="KD107" s="675">
        <v>0</v>
      </c>
      <c r="KE107" s="675">
        <v>7260</v>
      </c>
      <c r="KF107" s="675">
        <v>0</v>
      </c>
      <c r="KG107" s="675">
        <v>0</v>
      </c>
      <c r="KH107" s="675">
        <v>0</v>
      </c>
      <c r="KI107" s="675">
        <v>0</v>
      </c>
    </row>
    <row r="108" spans="1:295" ht="12.5" x14ac:dyDescent="0.25">
      <c r="A108" s="675">
        <v>35795</v>
      </c>
      <c r="B108" s="675">
        <v>101814</v>
      </c>
      <c r="C108" s="675">
        <v>9</v>
      </c>
      <c r="D108" s="675">
        <v>2022</v>
      </c>
      <c r="E108" s="675">
        <v>6160</v>
      </c>
      <c r="F108" s="675">
        <v>0</v>
      </c>
      <c r="G108" s="675">
        <v>997.202</v>
      </c>
      <c r="H108" s="675">
        <v>988.85200000000009</v>
      </c>
      <c r="I108" s="675">
        <v>988.85200000000009</v>
      </c>
      <c r="J108" s="675">
        <v>997.202</v>
      </c>
      <c r="K108" s="675">
        <v>0</v>
      </c>
      <c r="L108" s="675">
        <v>6160</v>
      </c>
      <c r="M108" s="675">
        <v>0</v>
      </c>
      <c r="N108" s="675">
        <v>0</v>
      </c>
      <c r="O108" s="675">
        <v>0</v>
      </c>
      <c r="P108" s="675">
        <v>1185.624</v>
      </c>
      <c r="Q108" s="675">
        <v>0</v>
      </c>
      <c r="R108" s="675">
        <v>477128</v>
      </c>
      <c r="S108" s="675">
        <v>402.428</v>
      </c>
      <c r="T108" s="675">
        <v>0</v>
      </c>
      <c r="U108" s="675">
        <v>253725</v>
      </c>
      <c r="V108" s="675">
        <v>490.73600000000005</v>
      </c>
      <c r="W108" s="675">
        <v>302292</v>
      </c>
      <c r="X108" s="675">
        <v>302292</v>
      </c>
      <c r="Y108" s="675">
        <v>0</v>
      </c>
      <c r="Z108" s="675">
        <v>0</v>
      </c>
      <c r="AA108" s="675">
        <v>0</v>
      </c>
      <c r="AB108" s="675">
        <v>0</v>
      </c>
      <c r="AC108" s="675">
        <v>0</v>
      </c>
      <c r="AD108" s="675" t="s">
        <v>316</v>
      </c>
      <c r="AE108" s="675">
        <v>0</v>
      </c>
      <c r="AF108" s="675">
        <v>0</v>
      </c>
      <c r="AG108" s="675">
        <v>0</v>
      </c>
      <c r="AH108" s="675">
        <v>0</v>
      </c>
      <c r="AI108" s="675">
        <v>0</v>
      </c>
      <c r="AJ108" s="675">
        <v>6160</v>
      </c>
      <c r="AK108" s="675" t="s">
        <v>671</v>
      </c>
      <c r="AL108" s="675" t="s">
        <v>346</v>
      </c>
      <c r="AM108" s="675">
        <v>0</v>
      </c>
      <c r="AN108" s="675">
        <v>0</v>
      </c>
      <c r="AO108" s="675">
        <v>0</v>
      </c>
      <c r="AP108" s="675">
        <v>0</v>
      </c>
      <c r="AQ108" s="675">
        <v>0</v>
      </c>
      <c r="AR108" s="675">
        <v>0</v>
      </c>
      <c r="AS108" s="675">
        <v>0</v>
      </c>
      <c r="AT108" s="675">
        <v>0</v>
      </c>
      <c r="AU108" s="675">
        <v>0</v>
      </c>
      <c r="AV108" s="675">
        <v>-271124</v>
      </c>
      <c r="AW108" s="675">
        <v>10666204</v>
      </c>
      <c r="AX108" s="675">
        <v>10667293</v>
      </c>
      <c r="AY108" s="675">
        <v>7360632</v>
      </c>
      <c r="AZ108" s="675">
        <v>477128</v>
      </c>
      <c r="BA108" s="675">
        <v>0</v>
      </c>
      <c r="BB108" s="675">
        <v>0</v>
      </c>
      <c r="BC108" s="675">
        <v>0</v>
      </c>
      <c r="BD108" s="675">
        <v>0</v>
      </c>
      <c r="BE108" s="675">
        <v>0</v>
      </c>
      <c r="BF108" s="675">
        <v>9871666</v>
      </c>
      <c r="BG108" s="675">
        <v>0</v>
      </c>
      <c r="BH108" s="675">
        <v>0</v>
      </c>
      <c r="BI108" s="675">
        <v>0</v>
      </c>
      <c r="BJ108" s="675">
        <v>12</v>
      </c>
      <c r="BK108" s="675">
        <v>0</v>
      </c>
      <c r="BL108" s="675">
        <v>0</v>
      </c>
      <c r="BM108" s="675">
        <v>0</v>
      </c>
      <c r="BN108" s="675">
        <v>0</v>
      </c>
      <c r="BO108" s="675">
        <v>0</v>
      </c>
      <c r="BP108" s="675">
        <v>0</v>
      </c>
      <c r="BQ108" s="675">
        <v>618</v>
      </c>
      <c r="BR108" s="675">
        <v>0</v>
      </c>
      <c r="BS108" s="675">
        <v>0</v>
      </c>
      <c r="BT108" s="675">
        <v>0</v>
      </c>
      <c r="BU108" s="675">
        <v>0</v>
      </c>
      <c r="BV108" s="675">
        <v>0</v>
      </c>
      <c r="BW108" s="675">
        <v>0</v>
      </c>
      <c r="BX108" s="675">
        <v>0</v>
      </c>
      <c r="BY108" s="675">
        <v>0</v>
      </c>
      <c r="BZ108" s="675">
        <v>0</v>
      </c>
      <c r="CA108" s="675">
        <v>0</v>
      </c>
      <c r="CB108" s="675">
        <v>0</v>
      </c>
      <c r="CC108" s="675">
        <v>0</v>
      </c>
      <c r="CD108" s="675">
        <v>0</v>
      </c>
      <c r="CE108" s="675">
        <v>0</v>
      </c>
      <c r="CF108" s="675">
        <v>0</v>
      </c>
      <c r="CG108" s="675">
        <v>0</v>
      </c>
      <c r="CH108" s="675">
        <v>0</v>
      </c>
      <c r="CI108" s="675">
        <v>0</v>
      </c>
      <c r="CJ108" s="675">
        <v>4</v>
      </c>
      <c r="CK108" s="675">
        <v>0</v>
      </c>
      <c r="CL108" s="675">
        <v>0</v>
      </c>
      <c r="CM108" s="675">
        <v>0</v>
      </c>
      <c r="CN108" s="675">
        <v>0</v>
      </c>
      <c r="CO108" s="675">
        <v>1</v>
      </c>
      <c r="CP108" s="675">
        <v>0</v>
      </c>
      <c r="CQ108" s="675">
        <v>0</v>
      </c>
      <c r="CR108" s="675">
        <v>1148.9090000000001</v>
      </c>
      <c r="CS108" s="675">
        <v>0</v>
      </c>
      <c r="CT108" s="675">
        <v>0</v>
      </c>
      <c r="CU108" s="675">
        <v>0</v>
      </c>
      <c r="CV108" s="675">
        <v>0</v>
      </c>
      <c r="CW108" s="675">
        <v>0</v>
      </c>
      <c r="CX108" s="675">
        <v>0</v>
      </c>
      <c r="CY108" s="675">
        <v>0</v>
      </c>
      <c r="CZ108" s="675">
        <v>0</v>
      </c>
      <c r="DA108" s="675">
        <v>0</v>
      </c>
      <c r="DB108" s="675">
        <v>5940258</v>
      </c>
      <c r="DC108" s="675">
        <v>0</v>
      </c>
      <c r="DD108" s="675">
        <v>0</v>
      </c>
      <c r="DE108" s="675">
        <v>1810878</v>
      </c>
      <c r="DF108" s="675">
        <v>1810878</v>
      </c>
      <c r="DG108" s="675">
        <v>293.97500000000002</v>
      </c>
      <c r="DH108" s="675">
        <v>0</v>
      </c>
      <c r="DI108" s="675">
        <v>0</v>
      </c>
      <c r="DJ108" s="675">
        <v>0</v>
      </c>
      <c r="DK108" s="675">
        <v>1506</v>
      </c>
      <c r="DL108" s="675">
        <v>0</v>
      </c>
      <c r="DM108" s="675">
        <v>437036</v>
      </c>
      <c r="DN108" s="675">
        <v>1089</v>
      </c>
      <c r="DO108" s="675">
        <v>0</v>
      </c>
      <c r="DP108" s="675">
        <v>0</v>
      </c>
      <c r="DQ108" s="675">
        <v>0</v>
      </c>
      <c r="DR108" s="675">
        <v>0</v>
      </c>
      <c r="DS108" s="675">
        <v>0</v>
      </c>
      <c r="DT108" s="675">
        <v>0</v>
      </c>
      <c r="DU108" s="675">
        <v>0</v>
      </c>
      <c r="DV108" s="675">
        <v>0</v>
      </c>
      <c r="DW108" s="675">
        <v>0</v>
      </c>
      <c r="DX108" s="675">
        <v>0</v>
      </c>
      <c r="DY108" s="675">
        <v>0</v>
      </c>
      <c r="DZ108" s="675">
        <v>0</v>
      </c>
      <c r="EA108" s="675">
        <v>0</v>
      </c>
      <c r="EB108" s="675">
        <v>0</v>
      </c>
      <c r="EC108" s="675">
        <v>17.564</v>
      </c>
      <c r="ED108" s="675">
        <v>124423</v>
      </c>
      <c r="EE108" s="675">
        <v>0</v>
      </c>
      <c r="EF108" s="675">
        <v>0</v>
      </c>
      <c r="EG108" s="675">
        <v>0</v>
      </c>
      <c r="EH108" s="675">
        <v>162660</v>
      </c>
      <c r="EI108" s="675">
        <v>0</v>
      </c>
      <c r="EJ108" s="675">
        <v>0</v>
      </c>
      <c r="EK108" s="675">
        <v>7.5720000000000001</v>
      </c>
      <c r="EL108" s="675">
        <v>0</v>
      </c>
      <c r="EM108" s="675">
        <v>0.1</v>
      </c>
      <c r="EN108" s="675">
        <v>0.67800000000000005</v>
      </c>
      <c r="EO108" s="675">
        <v>0</v>
      </c>
      <c r="EP108" s="675">
        <v>0</v>
      </c>
      <c r="EQ108" s="675">
        <v>8.35</v>
      </c>
      <c r="ER108" s="675">
        <v>0</v>
      </c>
      <c r="ES108" s="675">
        <v>26.406000000000002</v>
      </c>
      <c r="ET108" s="675">
        <v>0</v>
      </c>
      <c r="EU108" s="675">
        <v>0</v>
      </c>
      <c r="EV108" s="675">
        <v>0</v>
      </c>
      <c r="EW108" s="675">
        <v>0</v>
      </c>
      <c r="EX108" s="675">
        <v>0</v>
      </c>
      <c r="EY108" s="675">
        <v>0</v>
      </c>
      <c r="EZ108" s="675">
        <v>9455449</v>
      </c>
      <c r="FA108" s="675">
        <v>0</v>
      </c>
      <c r="FB108" s="675">
        <v>9931488</v>
      </c>
      <c r="FC108" s="675">
        <v>0</v>
      </c>
      <c r="FD108" s="675">
        <v>0</v>
      </c>
      <c r="FE108" s="675">
        <v>1004151</v>
      </c>
      <c r="FF108" s="675">
        <v>207693</v>
      </c>
      <c r="FG108" s="675">
        <v>6.3574999999999993E-2</v>
      </c>
      <c r="FH108" s="675">
        <v>2.6298999999999999E-2</v>
      </c>
      <c r="FI108" s="675">
        <v>0</v>
      </c>
      <c r="FJ108" s="675">
        <v>0</v>
      </c>
      <c r="FK108" s="675">
        <v>1602.5510000000002</v>
      </c>
      <c r="FL108" s="675">
        <v>11143332</v>
      </c>
      <c r="FM108" s="675">
        <v>0</v>
      </c>
      <c r="FN108" s="675">
        <v>0</v>
      </c>
      <c r="FO108" s="675">
        <v>60911</v>
      </c>
      <c r="FP108" s="675">
        <v>0</v>
      </c>
      <c r="FQ108" s="675">
        <v>60911</v>
      </c>
      <c r="FR108" s="675">
        <v>60911</v>
      </c>
      <c r="FS108" s="675">
        <v>0</v>
      </c>
      <c r="FT108" s="675">
        <v>0</v>
      </c>
      <c r="FU108" s="675">
        <v>0</v>
      </c>
      <c r="FV108" s="675">
        <v>0</v>
      </c>
      <c r="FW108" s="675">
        <v>0</v>
      </c>
      <c r="FX108" s="675">
        <v>0</v>
      </c>
      <c r="FY108" s="675">
        <v>0</v>
      </c>
      <c r="FZ108" s="675">
        <v>0</v>
      </c>
      <c r="GA108" s="675">
        <v>0</v>
      </c>
      <c r="GB108" s="675">
        <v>0</v>
      </c>
      <c r="GC108" s="675">
        <v>0</v>
      </c>
      <c r="GD108" s="675">
        <v>0</v>
      </c>
      <c r="GE108" s="675">
        <v>0</v>
      </c>
      <c r="GF108" s="675">
        <v>0</v>
      </c>
      <c r="GG108" s="675">
        <v>0</v>
      </c>
      <c r="GH108" s="675">
        <v>0</v>
      </c>
      <c r="GI108" s="675">
        <v>0</v>
      </c>
      <c r="GJ108" s="675">
        <v>0</v>
      </c>
      <c r="GK108" s="675">
        <v>0</v>
      </c>
      <c r="GL108" s="675">
        <v>0</v>
      </c>
      <c r="GM108" s="675">
        <v>0</v>
      </c>
      <c r="GN108" s="675">
        <v>0</v>
      </c>
      <c r="GO108" s="675">
        <v>0</v>
      </c>
      <c r="GP108" s="675">
        <v>0</v>
      </c>
      <c r="GQ108" s="675">
        <v>0</v>
      </c>
      <c r="GR108" s="675">
        <v>0</v>
      </c>
      <c r="GS108" s="675">
        <v>0</v>
      </c>
      <c r="GT108" s="675">
        <v>0</v>
      </c>
      <c r="GU108" s="675">
        <v>0</v>
      </c>
      <c r="GV108" s="675">
        <v>0</v>
      </c>
      <c r="GW108" s="675">
        <v>0</v>
      </c>
      <c r="GX108" s="675">
        <v>0</v>
      </c>
      <c r="GY108" s="675">
        <v>0</v>
      </c>
      <c r="GZ108" s="675">
        <v>0</v>
      </c>
      <c r="HA108" s="675">
        <v>0</v>
      </c>
      <c r="HB108" s="675">
        <v>0</v>
      </c>
      <c r="HC108" s="675">
        <v>4.5690999999999996E-2</v>
      </c>
      <c r="HD108" s="675">
        <v>0</v>
      </c>
      <c r="HE108" s="675">
        <v>0</v>
      </c>
      <c r="HF108" s="675">
        <v>1087737</v>
      </c>
      <c r="HG108" s="675">
        <v>616</v>
      </c>
      <c r="HH108" s="675">
        <v>282067</v>
      </c>
      <c r="HI108" s="675">
        <v>0</v>
      </c>
      <c r="HJ108" s="675">
        <v>9693</v>
      </c>
      <c r="HK108" s="675">
        <v>0</v>
      </c>
      <c r="HL108" s="675">
        <v>0</v>
      </c>
      <c r="HM108" s="675">
        <v>0</v>
      </c>
      <c r="HN108" s="675">
        <v>0</v>
      </c>
      <c r="HO108" s="675">
        <v>0</v>
      </c>
      <c r="HP108" s="675">
        <v>0</v>
      </c>
      <c r="HQ108" s="675">
        <v>0</v>
      </c>
      <c r="HR108" s="675">
        <v>0</v>
      </c>
      <c r="HS108" s="675">
        <v>9454360</v>
      </c>
      <c r="HT108" s="675">
        <v>207693</v>
      </c>
      <c r="HU108" s="675">
        <v>0</v>
      </c>
      <c r="HV108" s="675">
        <v>0</v>
      </c>
      <c r="HW108" s="675">
        <v>0</v>
      </c>
      <c r="HX108" s="675">
        <v>62</v>
      </c>
      <c r="HY108" s="675">
        <v>80</v>
      </c>
      <c r="HZ108" s="675">
        <v>211</v>
      </c>
      <c r="IA108" s="675">
        <v>256</v>
      </c>
      <c r="IB108" s="675">
        <v>513</v>
      </c>
      <c r="IC108" s="675">
        <v>1122</v>
      </c>
      <c r="ID108" s="675">
        <v>0</v>
      </c>
      <c r="IE108" s="675">
        <v>0</v>
      </c>
      <c r="IF108" s="675">
        <v>0</v>
      </c>
      <c r="IG108" s="675">
        <v>1</v>
      </c>
      <c r="IH108" s="675">
        <v>457.90300000000002</v>
      </c>
      <c r="II108" s="675">
        <v>0</v>
      </c>
      <c r="IJ108" s="675">
        <v>490.73600000000005</v>
      </c>
      <c r="IK108" s="675">
        <v>0</v>
      </c>
      <c r="IL108" s="675">
        <v>0</v>
      </c>
      <c r="IM108" s="675">
        <v>0</v>
      </c>
      <c r="IN108" s="675">
        <v>0</v>
      </c>
      <c r="IO108" s="675">
        <v>0</v>
      </c>
      <c r="IP108" s="675">
        <v>0</v>
      </c>
      <c r="IQ108" s="675">
        <v>490.73600000000005</v>
      </c>
      <c r="IR108" s="675">
        <v>302292</v>
      </c>
      <c r="IS108" s="675">
        <v>0</v>
      </c>
      <c r="IT108" s="675">
        <v>0</v>
      </c>
      <c r="IU108" s="675">
        <v>0</v>
      </c>
      <c r="IV108" s="675">
        <v>0</v>
      </c>
      <c r="IW108" s="675">
        <v>6160</v>
      </c>
      <c r="IX108" s="675">
        <v>0</v>
      </c>
      <c r="IY108" s="675">
        <v>0</v>
      </c>
      <c r="IZ108" s="675">
        <v>0</v>
      </c>
      <c r="JA108" s="675">
        <v>0</v>
      </c>
      <c r="JB108" s="675">
        <v>0</v>
      </c>
      <c r="JC108" s="675">
        <v>0</v>
      </c>
      <c r="JD108" s="675">
        <v>0</v>
      </c>
      <c r="JE108" s="675">
        <v>0</v>
      </c>
      <c r="JF108" s="675">
        <v>0</v>
      </c>
      <c r="JG108" s="675">
        <v>0</v>
      </c>
      <c r="JH108" s="675">
        <v>0</v>
      </c>
      <c r="JI108" s="675">
        <v>0</v>
      </c>
      <c r="JJ108" s="675">
        <v>0</v>
      </c>
      <c r="JK108" s="675">
        <v>0</v>
      </c>
      <c r="JL108" s="675">
        <v>0</v>
      </c>
      <c r="JM108" s="675">
        <v>0</v>
      </c>
      <c r="JN108" s="675">
        <v>32469</v>
      </c>
      <c r="JO108" s="675">
        <v>0</v>
      </c>
      <c r="JP108" s="675">
        <v>0</v>
      </c>
      <c r="JQ108" s="675">
        <v>0</v>
      </c>
      <c r="JR108" s="675">
        <v>0</v>
      </c>
      <c r="JS108" s="675">
        <v>0</v>
      </c>
      <c r="JT108" s="675">
        <v>0</v>
      </c>
      <c r="JU108" s="675">
        <v>0</v>
      </c>
      <c r="JV108" s="675">
        <v>0</v>
      </c>
      <c r="JW108" s="675">
        <v>0</v>
      </c>
      <c r="JX108" s="675">
        <v>0</v>
      </c>
      <c r="JY108" s="675">
        <v>0</v>
      </c>
      <c r="JZ108" s="675">
        <v>0</v>
      </c>
      <c r="KA108" s="675">
        <v>0</v>
      </c>
      <c r="KB108" s="675">
        <v>0</v>
      </c>
      <c r="KC108" s="675">
        <v>0</v>
      </c>
      <c r="KD108" s="675">
        <v>0</v>
      </c>
      <c r="KE108" s="675">
        <v>7260</v>
      </c>
      <c r="KF108" s="675">
        <v>0</v>
      </c>
      <c r="KG108" s="675">
        <v>0</v>
      </c>
      <c r="KH108" s="675">
        <v>0</v>
      </c>
      <c r="KI108" s="675">
        <v>0</v>
      </c>
    </row>
    <row r="109" spans="1:295" ht="12.5" x14ac:dyDescent="0.25">
      <c r="A109" s="675">
        <v>35795</v>
      </c>
      <c r="B109" s="675">
        <v>220814</v>
      </c>
      <c r="C109" s="675">
        <v>9</v>
      </c>
      <c r="D109" s="675">
        <v>2022</v>
      </c>
      <c r="E109" s="675">
        <v>6160</v>
      </c>
      <c r="F109" s="675">
        <v>0</v>
      </c>
      <c r="G109" s="675">
        <v>280.899</v>
      </c>
      <c r="H109" s="675">
        <v>274.452</v>
      </c>
      <c r="I109" s="675">
        <v>274.452</v>
      </c>
      <c r="J109" s="675">
        <v>280.899</v>
      </c>
      <c r="K109" s="675">
        <v>0</v>
      </c>
      <c r="L109" s="675">
        <v>6160</v>
      </c>
      <c r="M109" s="675">
        <v>0</v>
      </c>
      <c r="N109" s="675">
        <v>0</v>
      </c>
      <c r="O109" s="675">
        <v>0</v>
      </c>
      <c r="P109" s="675">
        <v>272.05200000000002</v>
      </c>
      <c r="Q109" s="675">
        <v>0</v>
      </c>
      <c r="R109" s="675">
        <v>109481</v>
      </c>
      <c r="S109" s="675">
        <v>402.428</v>
      </c>
      <c r="T109" s="675">
        <v>0</v>
      </c>
      <c r="U109" s="675">
        <v>58220</v>
      </c>
      <c r="V109" s="675">
        <v>30.392000000000003</v>
      </c>
      <c r="W109" s="675">
        <v>18721</v>
      </c>
      <c r="X109" s="675">
        <v>18721</v>
      </c>
      <c r="Y109" s="675">
        <v>0</v>
      </c>
      <c r="Z109" s="675">
        <v>0</v>
      </c>
      <c r="AA109" s="675">
        <v>0</v>
      </c>
      <c r="AB109" s="675">
        <v>0</v>
      </c>
      <c r="AC109" s="675">
        <v>0</v>
      </c>
      <c r="AD109" s="675" t="s">
        <v>316</v>
      </c>
      <c r="AE109" s="675">
        <v>0</v>
      </c>
      <c r="AF109" s="675">
        <v>0</v>
      </c>
      <c r="AG109" s="675">
        <v>0</v>
      </c>
      <c r="AH109" s="675">
        <v>0</v>
      </c>
      <c r="AI109" s="675">
        <v>0</v>
      </c>
      <c r="AJ109" s="675">
        <v>6160</v>
      </c>
      <c r="AK109" s="675" t="s">
        <v>671</v>
      </c>
      <c r="AL109" s="675" t="s">
        <v>362</v>
      </c>
      <c r="AM109" s="675">
        <v>0</v>
      </c>
      <c r="AN109" s="675">
        <v>0</v>
      </c>
      <c r="AO109" s="675">
        <v>0</v>
      </c>
      <c r="AP109" s="675">
        <v>0</v>
      </c>
      <c r="AQ109" s="675">
        <v>0</v>
      </c>
      <c r="AR109" s="675">
        <v>0</v>
      </c>
      <c r="AS109" s="675">
        <v>0</v>
      </c>
      <c r="AT109" s="675">
        <v>0</v>
      </c>
      <c r="AU109" s="675">
        <v>0</v>
      </c>
      <c r="AV109" s="675">
        <v>0</v>
      </c>
      <c r="AW109" s="675">
        <v>2491490</v>
      </c>
      <c r="AX109" s="675">
        <v>2440624</v>
      </c>
      <c r="AY109" s="675">
        <v>1678936</v>
      </c>
      <c r="AZ109" s="675">
        <v>109481</v>
      </c>
      <c r="BA109" s="675">
        <v>0</v>
      </c>
      <c r="BB109" s="675">
        <v>0</v>
      </c>
      <c r="BC109" s="675">
        <v>0</v>
      </c>
      <c r="BD109" s="675">
        <v>0</v>
      </c>
      <c r="BE109" s="675">
        <v>0</v>
      </c>
      <c r="BF109" s="675">
        <v>2271283</v>
      </c>
      <c r="BG109" s="675">
        <v>0</v>
      </c>
      <c r="BH109" s="675">
        <v>0</v>
      </c>
      <c r="BI109" s="675">
        <v>0</v>
      </c>
      <c r="BJ109" s="675">
        <v>12</v>
      </c>
      <c r="BK109" s="675">
        <v>0</v>
      </c>
      <c r="BL109" s="675">
        <v>0</v>
      </c>
      <c r="BM109" s="675">
        <v>0</v>
      </c>
      <c r="BN109" s="675">
        <v>0</v>
      </c>
      <c r="BO109" s="675">
        <v>0</v>
      </c>
      <c r="BP109" s="675">
        <v>0</v>
      </c>
      <c r="BQ109" s="675">
        <v>728</v>
      </c>
      <c r="BR109" s="675">
        <v>0</v>
      </c>
      <c r="BS109" s="675">
        <v>0</v>
      </c>
      <c r="BT109" s="675">
        <v>0</v>
      </c>
      <c r="BU109" s="675">
        <v>0</v>
      </c>
      <c r="BV109" s="675">
        <v>0</v>
      </c>
      <c r="BW109" s="675">
        <v>0</v>
      </c>
      <c r="BX109" s="675">
        <v>0</v>
      </c>
      <c r="BY109" s="675">
        <v>0</v>
      </c>
      <c r="BZ109" s="675">
        <v>0</v>
      </c>
      <c r="CA109" s="675">
        <v>0</v>
      </c>
      <c r="CB109" s="675">
        <v>0</v>
      </c>
      <c r="CC109" s="675">
        <v>0</v>
      </c>
      <c r="CD109" s="675">
        <v>0</v>
      </c>
      <c r="CE109" s="675">
        <v>0</v>
      </c>
      <c r="CF109" s="675">
        <v>0</v>
      </c>
      <c r="CG109" s="675">
        <v>0</v>
      </c>
      <c r="CH109" s="675">
        <v>51338</v>
      </c>
      <c r="CI109" s="675">
        <v>0</v>
      </c>
      <c r="CJ109" s="675">
        <v>4</v>
      </c>
      <c r="CK109" s="675">
        <v>0</v>
      </c>
      <c r="CL109" s="675">
        <v>0</v>
      </c>
      <c r="CM109" s="675">
        <v>0</v>
      </c>
      <c r="CN109" s="675">
        <v>0</v>
      </c>
      <c r="CO109" s="675">
        <v>1</v>
      </c>
      <c r="CP109" s="675">
        <v>0</v>
      </c>
      <c r="CQ109" s="675">
        <v>0</v>
      </c>
      <c r="CR109" s="675">
        <v>294.78000000000003</v>
      </c>
      <c r="CS109" s="675">
        <v>0</v>
      </c>
      <c r="CT109" s="675">
        <v>0</v>
      </c>
      <c r="CU109" s="675">
        <v>0</v>
      </c>
      <c r="CV109" s="675">
        <v>0</v>
      </c>
      <c r="CW109" s="675">
        <v>0</v>
      </c>
      <c r="CX109" s="675">
        <v>0</v>
      </c>
      <c r="CY109" s="675">
        <v>0</v>
      </c>
      <c r="CZ109" s="675">
        <v>0</v>
      </c>
      <c r="DA109" s="675">
        <v>0</v>
      </c>
      <c r="DB109" s="675">
        <v>1622066</v>
      </c>
      <c r="DC109" s="675">
        <v>0</v>
      </c>
      <c r="DD109" s="675">
        <v>0</v>
      </c>
      <c r="DE109" s="675">
        <v>104104</v>
      </c>
      <c r="DF109" s="675">
        <v>104104</v>
      </c>
      <c r="DG109" s="675">
        <v>16.899999999999999</v>
      </c>
      <c r="DH109" s="675">
        <v>0</v>
      </c>
      <c r="DI109" s="675">
        <v>0</v>
      </c>
      <c r="DJ109" s="675">
        <v>0</v>
      </c>
      <c r="DK109" s="675">
        <v>3266</v>
      </c>
      <c r="DL109" s="675">
        <v>0</v>
      </c>
      <c r="DM109" s="675">
        <v>192491</v>
      </c>
      <c r="DN109" s="675">
        <v>472</v>
      </c>
      <c r="DO109" s="675">
        <v>0</v>
      </c>
      <c r="DP109" s="675">
        <v>0</v>
      </c>
      <c r="DQ109" s="675">
        <v>0</v>
      </c>
      <c r="DR109" s="675">
        <v>0</v>
      </c>
      <c r="DS109" s="675">
        <v>0</v>
      </c>
      <c r="DT109" s="675">
        <v>0</v>
      </c>
      <c r="DU109" s="675">
        <v>0</v>
      </c>
      <c r="DV109" s="675">
        <v>0</v>
      </c>
      <c r="DW109" s="675">
        <v>0</v>
      </c>
      <c r="DX109" s="675">
        <v>0</v>
      </c>
      <c r="DY109" s="675">
        <v>0</v>
      </c>
      <c r="DZ109" s="675">
        <v>0</v>
      </c>
      <c r="EA109" s="675">
        <v>4.0000000000000001E-3</v>
      </c>
      <c r="EB109" s="675">
        <v>0</v>
      </c>
      <c r="EC109" s="675">
        <v>0</v>
      </c>
      <c r="ED109" s="675">
        <v>0</v>
      </c>
      <c r="EE109" s="675">
        <v>0</v>
      </c>
      <c r="EF109" s="675">
        <v>0</v>
      </c>
      <c r="EG109" s="675">
        <v>0</v>
      </c>
      <c r="EH109" s="675">
        <v>124413</v>
      </c>
      <c r="EI109" s="675">
        <v>0</v>
      </c>
      <c r="EJ109" s="675">
        <v>0</v>
      </c>
      <c r="EK109" s="675">
        <v>6.0190000000000001</v>
      </c>
      <c r="EL109" s="675">
        <v>0</v>
      </c>
      <c r="EM109" s="675">
        <v>0</v>
      </c>
      <c r="EN109" s="675">
        <v>0.42400000000000004</v>
      </c>
      <c r="EO109" s="675">
        <v>0</v>
      </c>
      <c r="EP109" s="675">
        <v>0</v>
      </c>
      <c r="EQ109" s="675">
        <v>6.4470000000000001</v>
      </c>
      <c r="ER109" s="675">
        <v>0</v>
      </c>
      <c r="ES109" s="675">
        <v>20.197000000000003</v>
      </c>
      <c r="ET109" s="675">
        <v>0</v>
      </c>
      <c r="EU109" s="675">
        <v>0</v>
      </c>
      <c r="EV109" s="675">
        <v>0</v>
      </c>
      <c r="EW109" s="675">
        <v>0</v>
      </c>
      <c r="EX109" s="675">
        <v>0</v>
      </c>
      <c r="EY109" s="675">
        <v>0</v>
      </c>
      <c r="EZ109" s="675">
        <v>2161802</v>
      </c>
      <c r="FA109" s="675">
        <v>0</v>
      </c>
      <c r="FB109" s="675">
        <v>2270811</v>
      </c>
      <c r="FC109" s="675">
        <v>0</v>
      </c>
      <c r="FD109" s="675">
        <v>0</v>
      </c>
      <c r="FE109" s="675">
        <v>231036</v>
      </c>
      <c r="FF109" s="675">
        <v>47786</v>
      </c>
      <c r="FG109" s="675">
        <v>6.3574999999999993E-2</v>
      </c>
      <c r="FH109" s="675">
        <v>2.6298999999999999E-2</v>
      </c>
      <c r="FI109" s="675">
        <v>0</v>
      </c>
      <c r="FJ109" s="675">
        <v>0</v>
      </c>
      <c r="FK109" s="675">
        <v>368.71600000000001</v>
      </c>
      <c r="FL109" s="675">
        <v>2600971</v>
      </c>
      <c r="FM109" s="675">
        <v>0</v>
      </c>
      <c r="FN109" s="675">
        <v>0</v>
      </c>
      <c r="FO109" s="675">
        <v>0</v>
      </c>
      <c r="FP109" s="675">
        <v>0</v>
      </c>
      <c r="FQ109" s="675">
        <v>0</v>
      </c>
      <c r="FR109" s="675">
        <v>0</v>
      </c>
      <c r="FS109" s="675">
        <v>0</v>
      </c>
      <c r="FT109" s="675">
        <v>0</v>
      </c>
      <c r="FU109" s="675">
        <v>0</v>
      </c>
      <c r="FV109" s="675">
        <v>0</v>
      </c>
      <c r="FW109" s="675">
        <v>0</v>
      </c>
      <c r="FX109" s="675">
        <v>0</v>
      </c>
      <c r="FY109" s="675">
        <v>0</v>
      </c>
      <c r="FZ109" s="675">
        <v>0</v>
      </c>
      <c r="GA109" s="675">
        <v>0</v>
      </c>
      <c r="GB109" s="675">
        <v>0</v>
      </c>
      <c r="GC109" s="675">
        <v>0</v>
      </c>
      <c r="GD109" s="675">
        <v>0</v>
      </c>
      <c r="GE109" s="675">
        <v>0</v>
      </c>
      <c r="GF109" s="675">
        <v>0</v>
      </c>
      <c r="GG109" s="675">
        <v>0</v>
      </c>
      <c r="GH109" s="675">
        <v>0</v>
      </c>
      <c r="GI109" s="675">
        <v>0</v>
      </c>
      <c r="GJ109" s="675">
        <v>0</v>
      </c>
      <c r="GK109" s="675">
        <v>0</v>
      </c>
      <c r="GL109" s="675">
        <v>0</v>
      </c>
      <c r="GM109" s="675">
        <v>0</v>
      </c>
      <c r="GN109" s="675">
        <v>0</v>
      </c>
      <c r="GO109" s="675">
        <v>0</v>
      </c>
      <c r="GP109" s="675">
        <v>0</v>
      </c>
      <c r="GQ109" s="675">
        <v>0</v>
      </c>
      <c r="GR109" s="675">
        <v>0</v>
      </c>
      <c r="GS109" s="675">
        <v>0</v>
      </c>
      <c r="GT109" s="675">
        <v>0</v>
      </c>
      <c r="GU109" s="675">
        <v>0</v>
      </c>
      <c r="GV109" s="675">
        <v>0</v>
      </c>
      <c r="GW109" s="675">
        <v>0</v>
      </c>
      <c r="GX109" s="675">
        <v>0</v>
      </c>
      <c r="GY109" s="675">
        <v>0</v>
      </c>
      <c r="GZ109" s="675">
        <v>0</v>
      </c>
      <c r="HA109" s="675">
        <v>0</v>
      </c>
      <c r="HB109" s="675">
        <v>298386780</v>
      </c>
      <c r="HC109" s="675">
        <v>4.5690999999999996E-2</v>
      </c>
      <c r="HD109" s="675">
        <v>51338</v>
      </c>
      <c r="HE109" s="675">
        <v>0</v>
      </c>
      <c r="HF109" s="675">
        <v>301897</v>
      </c>
      <c r="HG109" s="675">
        <v>8624</v>
      </c>
      <c r="HH109" s="675">
        <v>20178</v>
      </c>
      <c r="HI109" s="675">
        <v>0</v>
      </c>
      <c r="HJ109" s="675">
        <v>2730</v>
      </c>
      <c r="HK109" s="675">
        <v>0</v>
      </c>
      <c r="HL109" s="675">
        <v>0</v>
      </c>
      <c r="HM109" s="675">
        <v>0</v>
      </c>
      <c r="HN109" s="675">
        <v>0</v>
      </c>
      <c r="HO109" s="675">
        <v>0</v>
      </c>
      <c r="HP109" s="675">
        <v>0</v>
      </c>
      <c r="HQ109" s="675">
        <v>0</v>
      </c>
      <c r="HR109" s="675">
        <v>0</v>
      </c>
      <c r="HS109" s="675">
        <v>2161330</v>
      </c>
      <c r="HT109" s="675">
        <v>47786</v>
      </c>
      <c r="HU109" s="675">
        <v>0</v>
      </c>
      <c r="HV109" s="675">
        <v>0</v>
      </c>
      <c r="HW109" s="675">
        <v>0</v>
      </c>
      <c r="HX109" s="675">
        <v>18</v>
      </c>
      <c r="HY109" s="675">
        <v>15</v>
      </c>
      <c r="HZ109" s="675">
        <v>19</v>
      </c>
      <c r="IA109" s="675">
        <v>11</v>
      </c>
      <c r="IB109" s="675">
        <v>6</v>
      </c>
      <c r="IC109" s="675">
        <v>69</v>
      </c>
      <c r="ID109" s="675">
        <v>0</v>
      </c>
      <c r="IE109" s="675">
        <v>0</v>
      </c>
      <c r="IF109" s="675">
        <v>0</v>
      </c>
      <c r="IG109" s="675">
        <v>14</v>
      </c>
      <c r="IH109" s="675">
        <v>32.757000000000005</v>
      </c>
      <c r="II109" s="675">
        <v>0</v>
      </c>
      <c r="IJ109" s="675">
        <v>30.392000000000003</v>
      </c>
      <c r="IK109" s="675">
        <v>0</v>
      </c>
      <c r="IL109" s="675">
        <v>0</v>
      </c>
      <c r="IM109" s="675">
        <v>0</v>
      </c>
      <c r="IN109" s="675">
        <v>0</v>
      </c>
      <c r="IO109" s="675">
        <v>0</v>
      </c>
      <c r="IP109" s="675">
        <v>0</v>
      </c>
      <c r="IQ109" s="675">
        <v>30.392000000000003</v>
      </c>
      <c r="IR109" s="675">
        <v>18721</v>
      </c>
      <c r="IS109" s="675">
        <v>0</v>
      </c>
      <c r="IT109" s="675">
        <v>0</v>
      </c>
      <c r="IU109" s="675">
        <v>0</v>
      </c>
      <c r="IV109" s="675">
        <v>0</v>
      </c>
      <c r="IW109" s="675">
        <v>6160</v>
      </c>
      <c r="IX109" s="675">
        <v>0</v>
      </c>
      <c r="IY109" s="675">
        <v>0</v>
      </c>
      <c r="IZ109" s="675">
        <v>0</v>
      </c>
      <c r="JA109" s="675">
        <v>0</v>
      </c>
      <c r="JB109" s="675">
        <v>0</v>
      </c>
      <c r="JC109" s="675">
        <v>0</v>
      </c>
      <c r="JD109" s="675">
        <v>0</v>
      </c>
      <c r="JE109" s="675">
        <v>0</v>
      </c>
      <c r="JF109" s="675">
        <v>0</v>
      </c>
      <c r="JG109" s="675">
        <v>0</v>
      </c>
      <c r="JH109" s="675">
        <v>0</v>
      </c>
      <c r="JI109" s="675">
        <v>0</v>
      </c>
      <c r="JJ109" s="675">
        <v>0</v>
      </c>
      <c r="JK109" s="675">
        <v>0</v>
      </c>
      <c r="JL109" s="675">
        <v>0</v>
      </c>
      <c r="JM109" s="675">
        <v>0</v>
      </c>
      <c r="JN109" s="675">
        <v>32469</v>
      </c>
      <c r="JO109" s="675">
        <v>0</v>
      </c>
      <c r="JP109" s="675">
        <v>0</v>
      </c>
      <c r="JQ109" s="675">
        <v>0</v>
      </c>
      <c r="JR109" s="675">
        <v>0</v>
      </c>
      <c r="JS109" s="675">
        <v>0</v>
      </c>
      <c r="JT109" s="675">
        <v>0</v>
      </c>
      <c r="JU109" s="675">
        <v>0</v>
      </c>
      <c r="JV109" s="675">
        <v>0</v>
      </c>
      <c r="JW109" s="675">
        <v>0</v>
      </c>
      <c r="JX109" s="675">
        <v>0</v>
      </c>
      <c r="JY109" s="675">
        <v>0</v>
      </c>
      <c r="JZ109" s="675">
        <v>0</v>
      </c>
      <c r="KA109" s="675">
        <v>0</v>
      </c>
      <c r="KB109" s="675">
        <v>0</v>
      </c>
      <c r="KC109" s="675">
        <v>0</v>
      </c>
      <c r="KD109" s="675">
        <v>0</v>
      </c>
      <c r="KE109" s="675">
        <v>7260</v>
      </c>
      <c r="KF109" s="675">
        <v>0</v>
      </c>
      <c r="KG109" s="675">
        <v>0</v>
      </c>
      <c r="KH109" s="675">
        <v>0</v>
      </c>
      <c r="KI109" s="675">
        <v>0</v>
      </c>
    </row>
    <row r="110" spans="1:295" ht="12.5" x14ac:dyDescent="0.25">
      <c r="A110" s="675">
        <v>35795</v>
      </c>
      <c r="B110" s="675">
        <v>227814</v>
      </c>
      <c r="C110" s="675">
        <v>9</v>
      </c>
      <c r="D110" s="675">
        <v>2022</v>
      </c>
      <c r="E110" s="675">
        <v>6160</v>
      </c>
      <c r="F110" s="675">
        <v>0</v>
      </c>
      <c r="G110" s="675">
        <v>336.18700000000001</v>
      </c>
      <c r="H110" s="675">
        <v>334.32600000000002</v>
      </c>
      <c r="I110" s="675">
        <v>334.32600000000002</v>
      </c>
      <c r="J110" s="675">
        <v>336.18700000000001</v>
      </c>
      <c r="K110" s="675">
        <v>0</v>
      </c>
      <c r="L110" s="675">
        <v>6160</v>
      </c>
      <c r="M110" s="675">
        <v>0</v>
      </c>
      <c r="N110" s="675">
        <v>0</v>
      </c>
      <c r="O110" s="675">
        <v>0</v>
      </c>
      <c r="P110" s="675">
        <v>341.983</v>
      </c>
      <c r="Q110" s="675">
        <v>0</v>
      </c>
      <c r="R110" s="675">
        <v>137624</v>
      </c>
      <c r="S110" s="675">
        <v>402.428</v>
      </c>
      <c r="T110" s="675">
        <v>0</v>
      </c>
      <c r="U110" s="675">
        <v>73184</v>
      </c>
      <c r="V110" s="675">
        <v>40.92</v>
      </c>
      <c r="W110" s="675">
        <v>25207</v>
      </c>
      <c r="X110" s="675">
        <v>25207</v>
      </c>
      <c r="Y110" s="675">
        <v>0</v>
      </c>
      <c r="Z110" s="675">
        <v>0</v>
      </c>
      <c r="AA110" s="675">
        <v>0</v>
      </c>
      <c r="AB110" s="675">
        <v>0</v>
      </c>
      <c r="AC110" s="675">
        <v>0</v>
      </c>
      <c r="AD110" s="675" t="s">
        <v>316</v>
      </c>
      <c r="AE110" s="675">
        <v>0</v>
      </c>
      <c r="AF110" s="675">
        <v>0</v>
      </c>
      <c r="AG110" s="675">
        <v>0</v>
      </c>
      <c r="AH110" s="675">
        <v>0</v>
      </c>
      <c r="AI110" s="675">
        <v>0</v>
      </c>
      <c r="AJ110" s="675">
        <v>6160</v>
      </c>
      <c r="AK110" s="675" t="s">
        <v>671</v>
      </c>
      <c r="AL110" s="675" t="s">
        <v>93</v>
      </c>
      <c r="AM110" s="675">
        <v>0</v>
      </c>
      <c r="AN110" s="675">
        <v>0</v>
      </c>
      <c r="AO110" s="675">
        <v>0</v>
      </c>
      <c r="AP110" s="675">
        <v>0</v>
      </c>
      <c r="AQ110" s="675">
        <v>0</v>
      </c>
      <c r="AR110" s="675">
        <v>0</v>
      </c>
      <c r="AS110" s="675">
        <v>0</v>
      </c>
      <c r="AT110" s="675">
        <v>0</v>
      </c>
      <c r="AU110" s="675">
        <v>0</v>
      </c>
      <c r="AV110" s="675">
        <v>-34825</v>
      </c>
      <c r="AW110" s="675">
        <v>2874415</v>
      </c>
      <c r="AX110" s="675">
        <v>2813158</v>
      </c>
      <c r="AY110" s="675">
        <v>1916560</v>
      </c>
      <c r="AZ110" s="675">
        <v>137624</v>
      </c>
      <c r="BA110" s="675">
        <v>0</v>
      </c>
      <c r="BB110" s="675">
        <v>0</v>
      </c>
      <c r="BC110" s="675">
        <v>0</v>
      </c>
      <c r="BD110" s="675">
        <v>0</v>
      </c>
      <c r="BE110" s="675">
        <v>0</v>
      </c>
      <c r="BF110" s="675">
        <v>2626675</v>
      </c>
      <c r="BG110" s="675">
        <v>0</v>
      </c>
      <c r="BH110" s="675">
        <v>0</v>
      </c>
      <c r="BI110" s="675">
        <v>0</v>
      </c>
      <c r="BJ110" s="675">
        <v>12</v>
      </c>
      <c r="BK110" s="675">
        <v>0</v>
      </c>
      <c r="BL110" s="675">
        <v>0</v>
      </c>
      <c r="BM110" s="675">
        <v>0</v>
      </c>
      <c r="BN110" s="675">
        <v>0</v>
      </c>
      <c r="BO110" s="675">
        <v>0</v>
      </c>
      <c r="BP110" s="675">
        <v>0</v>
      </c>
      <c r="BQ110" s="675">
        <v>719</v>
      </c>
      <c r="BR110" s="675">
        <v>0</v>
      </c>
      <c r="BS110" s="675">
        <v>0</v>
      </c>
      <c r="BT110" s="675">
        <v>0</v>
      </c>
      <c r="BU110" s="675">
        <v>0</v>
      </c>
      <c r="BV110" s="675">
        <v>0</v>
      </c>
      <c r="BW110" s="675">
        <v>0</v>
      </c>
      <c r="BX110" s="675">
        <v>0</v>
      </c>
      <c r="BY110" s="675">
        <v>0</v>
      </c>
      <c r="BZ110" s="675">
        <v>0</v>
      </c>
      <c r="CA110" s="675">
        <v>0</v>
      </c>
      <c r="CB110" s="675">
        <v>0</v>
      </c>
      <c r="CC110" s="675">
        <v>0</v>
      </c>
      <c r="CD110" s="675">
        <v>0</v>
      </c>
      <c r="CE110" s="675">
        <v>0</v>
      </c>
      <c r="CF110" s="675">
        <v>0</v>
      </c>
      <c r="CG110" s="675">
        <v>0</v>
      </c>
      <c r="CH110" s="675">
        <v>61442</v>
      </c>
      <c r="CI110" s="675">
        <v>0</v>
      </c>
      <c r="CJ110" s="675">
        <v>4</v>
      </c>
      <c r="CK110" s="675">
        <v>0</v>
      </c>
      <c r="CL110" s="675">
        <v>0</v>
      </c>
      <c r="CM110" s="675">
        <v>0</v>
      </c>
      <c r="CN110" s="675">
        <v>0</v>
      </c>
      <c r="CO110" s="675">
        <v>1</v>
      </c>
      <c r="CP110" s="675">
        <v>0</v>
      </c>
      <c r="CQ110" s="675">
        <v>0</v>
      </c>
      <c r="CR110" s="675">
        <v>349.673</v>
      </c>
      <c r="CS110" s="675">
        <v>0</v>
      </c>
      <c r="CT110" s="675">
        <v>0</v>
      </c>
      <c r="CU110" s="675">
        <v>0</v>
      </c>
      <c r="CV110" s="675">
        <v>0</v>
      </c>
      <c r="CW110" s="675">
        <v>0</v>
      </c>
      <c r="CX110" s="675">
        <v>0</v>
      </c>
      <c r="CY110" s="675">
        <v>0</v>
      </c>
      <c r="CZ110" s="675">
        <v>0</v>
      </c>
      <c r="DA110" s="675">
        <v>0</v>
      </c>
      <c r="DB110" s="675">
        <v>2059439</v>
      </c>
      <c r="DC110" s="675">
        <v>0</v>
      </c>
      <c r="DD110" s="675">
        <v>0</v>
      </c>
      <c r="DE110" s="675">
        <v>36190</v>
      </c>
      <c r="DF110" s="675">
        <v>36190</v>
      </c>
      <c r="DG110" s="675">
        <v>5.875</v>
      </c>
      <c r="DH110" s="675">
        <v>0</v>
      </c>
      <c r="DI110" s="675">
        <v>0</v>
      </c>
      <c r="DJ110" s="675">
        <v>0</v>
      </c>
      <c r="DK110" s="675">
        <v>3119</v>
      </c>
      <c r="DL110" s="675">
        <v>0</v>
      </c>
      <c r="DM110" s="675">
        <v>48468</v>
      </c>
      <c r="DN110" s="675">
        <v>185</v>
      </c>
      <c r="DO110" s="675">
        <v>0</v>
      </c>
      <c r="DP110" s="675">
        <v>0</v>
      </c>
      <c r="DQ110" s="675">
        <v>0</v>
      </c>
      <c r="DR110" s="675">
        <v>0</v>
      </c>
      <c r="DS110" s="675">
        <v>0</v>
      </c>
      <c r="DT110" s="675">
        <v>0</v>
      </c>
      <c r="DU110" s="675">
        <v>0</v>
      </c>
      <c r="DV110" s="675">
        <v>0</v>
      </c>
      <c r="DW110" s="675">
        <v>0</v>
      </c>
      <c r="DX110" s="675">
        <v>0</v>
      </c>
      <c r="DY110" s="675">
        <v>0</v>
      </c>
      <c r="DZ110" s="675">
        <v>0</v>
      </c>
      <c r="EA110" s="675">
        <v>0</v>
      </c>
      <c r="EB110" s="675">
        <v>0</v>
      </c>
      <c r="EC110" s="675">
        <v>5.9880000000000004</v>
      </c>
      <c r="ED110" s="675">
        <v>42419</v>
      </c>
      <c r="EE110" s="675">
        <v>0</v>
      </c>
      <c r="EF110" s="675">
        <v>0</v>
      </c>
      <c r="EG110" s="675">
        <v>0</v>
      </c>
      <c r="EH110" s="675">
        <v>6234</v>
      </c>
      <c r="EI110" s="675">
        <v>0</v>
      </c>
      <c r="EJ110" s="675">
        <v>0</v>
      </c>
      <c r="EK110" s="675">
        <v>8.900000000000001E-2</v>
      </c>
      <c r="EL110" s="675">
        <v>0</v>
      </c>
      <c r="EM110" s="675">
        <v>0</v>
      </c>
      <c r="EN110" s="675">
        <v>0.14899999999999999</v>
      </c>
      <c r="EO110" s="675">
        <v>0</v>
      </c>
      <c r="EP110" s="675">
        <v>0</v>
      </c>
      <c r="EQ110" s="675">
        <v>0.23800000000000002</v>
      </c>
      <c r="ER110" s="675">
        <v>0</v>
      </c>
      <c r="ES110" s="675">
        <v>1.012</v>
      </c>
      <c r="ET110" s="675">
        <v>0</v>
      </c>
      <c r="EU110" s="675">
        <v>0</v>
      </c>
      <c r="EV110" s="675">
        <v>0</v>
      </c>
      <c r="EW110" s="675">
        <v>0</v>
      </c>
      <c r="EX110" s="675">
        <v>0</v>
      </c>
      <c r="EY110" s="675">
        <v>0</v>
      </c>
      <c r="EZ110" s="675">
        <v>2490709</v>
      </c>
      <c r="FA110" s="675">
        <v>0</v>
      </c>
      <c r="FB110" s="675">
        <v>2628148</v>
      </c>
      <c r="FC110" s="675">
        <v>0</v>
      </c>
      <c r="FD110" s="675">
        <v>0</v>
      </c>
      <c r="FE110" s="675">
        <v>267186</v>
      </c>
      <c r="FF110" s="675">
        <v>55263</v>
      </c>
      <c r="FG110" s="675">
        <v>6.3574999999999993E-2</v>
      </c>
      <c r="FH110" s="675">
        <v>2.6298999999999999E-2</v>
      </c>
      <c r="FI110" s="675">
        <v>0</v>
      </c>
      <c r="FJ110" s="675">
        <v>0</v>
      </c>
      <c r="FK110" s="675">
        <v>426.41</v>
      </c>
      <c r="FL110" s="675">
        <v>3012039</v>
      </c>
      <c r="FM110" s="675">
        <v>0</v>
      </c>
      <c r="FN110" s="675">
        <v>0</v>
      </c>
      <c r="FO110" s="675">
        <v>0</v>
      </c>
      <c r="FP110" s="675">
        <v>0</v>
      </c>
      <c r="FQ110" s="675">
        <v>0</v>
      </c>
      <c r="FR110" s="675">
        <v>0</v>
      </c>
      <c r="FS110" s="675">
        <v>0</v>
      </c>
      <c r="FT110" s="675">
        <v>0</v>
      </c>
      <c r="FU110" s="675">
        <v>0</v>
      </c>
      <c r="FV110" s="675">
        <v>0</v>
      </c>
      <c r="FW110" s="675">
        <v>0</v>
      </c>
      <c r="FX110" s="675">
        <v>0</v>
      </c>
      <c r="FY110" s="675">
        <v>0</v>
      </c>
      <c r="FZ110" s="675">
        <v>0</v>
      </c>
      <c r="GA110" s="675">
        <v>0</v>
      </c>
      <c r="GB110" s="675">
        <v>15082</v>
      </c>
      <c r="GC110" s="675">
        <v>15082</v>
      </c>
      <c r="GD110" s="675">
        <v>1.623</v>
      </c>
      <c r="GE110" s="675">
        <v>0</v>
      </c>
      <c r="GF110" s="675">
        <v>0</v>
      </c>
      <c r="GG110" s="675">
        <v>0</v>
      </c>
      <c r="GH110" s="675">
        <v>0</v>
      </c>
      <c r="GI110" s="675">
        <v>0</v>
      </c>
      <c r="GJ110" s="675">
        <v>0</v>
      </c>
      <c r="GK110" s="675">
        <v>0</v>
      </c>
      <c r="GL110" s="675">
        <v>0</v>
      </c>
      <c r="GM110" s="675">
        <v>0</v>
      </c>
      <c r="GN110" s="675">
        <v>0</v>
      </c>
      <c r="GO110" s="675">
        <v>0</v>
      </c>
      <c r="GP110" s="675">
        <v>0</v>
      </c>
      <c r="GQ110" s="675">
        <v>0</v>
      </c>
      <c r="GR110" s="675">
        <v>0</v>
      </c>
      <c r="GS110" s="675">
        <v>0</v>
      </c>
      <c r="GT110" s="675">
        <v>0</v>
      </c>
      <c r="GU110" s="675">
        <v>0</v>
      </c>
      <c r="GV110" s="675">
        <v>0</v>
      </c>
      <c r="GW110" s="675">
        <v>0</v>
      </c>
      <c r="GX110" s="675">
        <v>0</v>
      </c>
      <c r="GY110" s="675">
        <v>0</v>
      </c>
      <c r="GZ110" s="675">
        <v>0</v>
      </c>
      <c r="HA110" s="675">
        <v>0</v>
      </c>
      <c r="HB110" s="675">
        <v>298386780</v>
      </c>
      <c r="HC110" s="675">
        <v>4.5690999999999996E-2</v>
      </c>
      <c r="HD110" s="675">
        <v>61442</v>
      </c>
      <c r="HE110" s="675">
        <v>0</v>
      </c>
      <c r="HF110" s="675">
        <v>367759</v>
      </c>
      <c r="HG110" s="675">
        <v>616</v>
      </c>
      <c r="HH110" s="675">
        <v>19461</v>
      </c>
      <c r="HI110" s="675">
        <v>0</v>
      </c>
      <c r="HJ110" s="675">
        <v>3268</v>
      </c>
      <c r="HK110" s="675">
        <v>1251</v>
      </c>
      <c r="HL110" s="675">
        <v>407</v>
      </c>
      <c r="HM110" s="675">
        <v>51000</v>
      </c>
      <c r="HN110" s="675">
        <v>0</v>
      </c>
      <c r="HO110" s="675">
        <v>0</v>
      </c>
      <c r="HP110" s="675">
        <v>0</v>
      </c>
      <c r="HQ110" s="675">
        <v>0</v>
      </c>
      <c r="HR110" s="675">
        <v>0</v>
      </c>
      <c r="HS110" s="675">
        <v>2490524</v>
      </c>
      <c r="HT110" s="675">
        <v>55263</v>
      </c>
      <c r="HU110" s="675">
        <v>0</v>
      </c>
      <c r="HV110" s="675">
        <v>0</v>
      </c>
      <c r="HW110" s="675">
        <v>0</v>
      </c>
      <c r="HX110" s="675">
        <v>8</v>
      </c>
      <c r="HY110" s="675">
        <v>3</v>
      </c>
      <c r="HZ110" s="675">
        <v>7</v>
      </c>
      <c r="IA110" s="675">
        <v>3</v>
      </c>
      <c r="IB110" s="675">
        <v>3</v>
      </c>
      <c r="IC110" s="675">
        <v>24</v>
      </c>
      <c r="ID110" s="675">
        <v>0</v>
      </c>
      <c r="IE110" s="675">
        <v>0</v>
      </c>
      <c r="IF110" s="675">
        <v>0</v>
      </c>
      <c r="IG110" s="675">
        <v>1</v>
      </c>
      <c r="IH110" s="675">
        <v>31.592000000000002</v>
      </c>
      <c r="II110" s="675">
        <v>0</v>
      </c>
      <c r="IJ110" s="675">
        <v>40.92</v>
      </c>
      <c r="IK110" s="675">
        <v>0</v>
      </c>
      <c r="IL110" s="675">
        <v>0</v>
      </c>
      <c r="IM110" s="675">
        <v>17</v>
      </c>
      <c r="IN110" s="675">
        <v>0</v>
      </c>
      <c r="IO110" s="675">
        <v>17</v>
      </c>
      <c r="IP110" s="675">
        <v>0</v>
      </c>
      <c r="IQ110" s="675">
        <v>40.92</v>
      </c>
      <c r="IR110" s="675">
        <v>25207</v>
      </c>
      <c r="IS110" s="675">
        <v>0</v>
      </c>
      <c r="IT110" s="675">
        <v>0</v>
      </c>
      <c r="IU110" s="675">
        <v>51000</v>
      </c>
      <c r="IV110" s="675">
        <v>0</v>
      </c>
      <c r="IW110" s="675">
        <v>6160</v>
      </c>
      <c r="IX110" s="675">
        <v>0</v>
      </c>
      <c r="IY110" s="675">
        <v>0</v>
      </c>
      <c r="IZ110" s="675">
        <v>0</v>
      </c>
      <c r="JA110" s="675">
        <v>0</v>
      </c>
      <c r="JB110" s="675">
        <v>0</v>
      </c>
      <c r="JC110" s="675">
        <v>0</v>
      </c>
      <c r="JD110" s="675">
        <v>0</v>
      </c>
      <c r="JE110" s="675">
        <v>0</v>
      </c>
      <c r="JF110" s="675">
        <v>0</v>
      </c>
      <c r="JG110" s="675">
        <v>0</v>
      </c>
      <c r="JH110" s="675">
        <v>0</v>
      </c>
      <c r="JI110" s="675">
        <v>0</v>
      </c>
      <c r="JJ110" s="675">
        <v>0</v>
      </c>
      <c r="JK110" s="675">
        <v>0</v>
      </c>
      <c r="JL110" s="675">
        <v>0</v>
      </c>
      <c r="JM110" s="675">
        <v>0</v>
      </c>
      <c r="JN110" s="675">
        <v>32469</v>
      </c>
      <c r="JO110" s="675">
        <v>0</v>
      </c>
      <c r="JP110" s="675">
        <v>1.623</v>
      </c>
      <c r="JQ110" s="675">
        <v>0</v>
      </c>
      <c r="JR110" s="675">
        <v>0</v>
      </c>
      <c r="JS110" s="675">
        <v>15082</v>
      </c>
      <c r="JT110" s="675">
        <v>0</v>
      </c>
      <c r="JU110" s="675">
        <v>0</v>
      </c>
      <c r="JV110" s="675">
        <v>0</v>
      </c>
      <c r="JW110" s="675">
        <v>0</v>
      </c>
      <c r="JX110" s="675">
        <v>0</v>
      </c>
      <c r="JY110" s="675">
        <v>0</v>
      </c>
      <c r="JZ110" s="675">
        <v>0</v>
      </c>
      <c r="KA110" s="675">
        <v>0</v>
      </c>
      <c r="KB110" s="675">
        <v>0</v>
      </c>
      <c r="KC110" s="675">
        <v>0</v>
      </c>
      <c r="KD110" s="675">
        <v>0</v>
      </c>
      <c r="KE110" s="675">
        <v>7260</v>
      </c>
      <c r="KF110" s="675">
        <v>0</v>
      </c>
      <c r="KG110" s="675">
        <v>0</v>
      </c>
      <c r="KH110" s="675">
        <v>0</v>
      </c>
      <c r="KI110" s="675">
        <v>0</v>
      </c>
    </row>
    <row r="111" spans="1:295" ht="12.5" x14ac:dyDescent="0.25">
      <c r="A111" s="675">
        <v>35795</v>
      </c>
      <c r="B111" s="675">
        <v>15815</v>
      </c>
      <c r="C111" s="675">
        <v>9</v>
      </c>
      <c r="D111" s="675">
        <v>2022</v>
      </c>
      <c r="E111" s="675">
        <v>6160</v>
      </c>
      <c r="F111" s="675">
        <v>0</v>
      </c>
      <c r="G111" s="675">
        <v>537.95000000000005</v>
      </c>
      <c r="H111" s="675">
        <v>461.81600000000003</v>
      </c>
      <c r="I111" s="675">
        <v>461.81600000000003</v>
      </c>
      <c r="J111" s="675">
        <v>537.95000000000005</v>
      </c>
      <c r="K111" s="675">
        <v>0</v>
      </c>
      <c r="L111" s="675">
        <v>6160</v>
      </c>
      <c r="M111" s="675">
        <v>0</v>
      </c>
      <c r="N111" s="675">
        <v>0</v>
      </c>
      <c r="O111" s="675">
        <v>0</v>
      </c>
      <c r="P111" s="675">
        <v>567.39600000000007</v>
      </c>
      <c r="Q111" s="675">
        <v>0</v>
      </c>
      <c r="R111" s="675">
        <v>228336</v>
      </c>
      <c r="S111" s="675">
        <v>402.428</v>
      </c>
      <c r="T111" s="675">
        <v>0</v>
      </c>
      <c r="U111" s="675">
        <v>121424</v>
      </c>
      <c r="V111" s="675">
        <v>266.60599999999999</v>
      </c>
      <c r="W111" s="675">
        <v>164229</v>
      </c>
      <c r="X111" s="675">
        <v>164229</v>
      </c>
      <c r="Y111" s="675">
        <v>0</v>
      </c>
      <c r="Z111" s="675">
        <v>0</v>
      </c>
      <c r="AA111" s="675">
        <v>0</v>
      </c>
      <c r="AB111" s="675">
        <v>0</v>
      </c>
      <c r="AC111" s="675">
        <v>0</v>
      </c>
      <c r="AD111" s="675" t="s">
        <v>316</v>
      </c>
      <c r="AE111" s="675">
        <v>0</v>
      </c>
      <c r="AF111" s="675">
        <v>0</v>
      </c>
      <c r="AG111" s="675">
        <v>0</v>
      </c>
      <c r="AH111" s="675">
        <v>0</v>
      </c>
      <c r="AI111" s="675">
        <v>0</v>
      </c>
      <c r="AJ111" s="675">
        <v>6160</v>
      </c>
      <c r="AK111" s="675" t="s">
        <v>671</v>
      </c>
      <c r="AL111" s="675" t="s">
        <v>391</v>
      </c>
      <c r="AM111" s="675">
        <v>0</v>
      </c>
      <c r="AN111" s="675">
        <v>0</v>
      </c>
      <c r="AO111" s="675">
        <v>0</v>
      </c>
      <c r="AP111" s="675">
        <v>0</v>
      </c>
      <c r="AQ111" s="675">
        <v>0</v>
      </c>
      <c r="AR111" s="675">
        <v>0</v>
      </c>
      <c r="AS111" s="675">
        <v>0</v>
      </c>
      <c r="AT111" s="675">
        <v>0</v>
      </c>
      <c r="AU111" s="675">
        <v>0</v>
      </c>
      <c r="AV111" s="675">
        <v>0</v>
      </c>
      <c r="AW111" s="675">
        <v>5728905</v>
      </c>
      <c r="AX111" s="675">
        <v>5632006</v>
      </c>
      <c r="AY111" s="675">
        <v>3810231</v>
      </c>
      <c r="AZ111" s="675">
        <v>228336</v>
      </c>
      <c r="BA111" s="675">
        <v>0</v>
      </c>
      <c r="BB111" s="675">
        <v>4384</v>
      </c>
      <c r="BC111" s="675">
        <v>4356</v>
      </c>
      <c r="BD111" s="675">
        <v>10.167</v>
      </c>
      <c r="BE111" s="675">
        <v>28</v>
      </c>
      <c r="BF111" s="675">
        <v>5214664</v>
      </c>
      <c r="BG111" s="675">
        <v>0</v>
      </c>
      <c r="BH111" s="675">
        <v>0</v>
      </c>
      <c r="BI111" s="675">
        <v>0</v>
      </c>
      <c r="BJ111" s="675">
        <v>12</v>
      </c>
      <c r="BK111" s="675">
        <v>0</v>
      </c>
      <c r="BL111" s="675">
        <v>0</v>
      </c>
      <c r="BM111" s="675">
        <v>0</v>
      </c>
      <c r="BN111" s="675">
        <v>0</v>
      </c>
      <c r="BO111" s="675">
        <v>0</v>
      </c>
      <c r="BP111" s="675">
        <v>0</v>
      </c>
      <c r="BQ111" s="675">
        <v>699</v>
      </c>
      <c r="BR111" s="675">
        <v>0</v>
      </c>
      <c r="BS111" s="675">
        <v>0</v>
      </c>
      <c r="BT111" s="675">
        <v>0</v>
      </c>
      <c r="BU111" s="675">
        <v>0</v>
      </c>
      <c r="BV111" s="675">
        <v>0</v>
      </c>
      <c r="BW111" s="675">
        <v>0</v>
      </c>
      <c r="BX111" s="675">
        <v>0</v>
      </c>
      <c r="BY111" s="675">
        <v>0</v>
      </c>
      <c r="BZ111" s="675">
        <v>0</v>
      </c>
      <c r="CA111" s="675">
        <v>0</v>
      </c>
      <c r="CB111" s="675">
        <v>0</v>
      </c>
      <c r="CC111" s="675">
        <v>0</v>
      </c>
      <c r="CD111" s="675">
        <v>0</v>
      </c>
      <c r="CE111" s="675">
        <v>0</v>
      </c>
      <c r="CF111" s="675">
        <v>0</v>
      </c>
      <c r="CG111" s="675">
        <v>0</v>
      </c>
      <c r="CH111" s="675">
        <v>98317</v>
      </c>
      <c r="CI111" s="675">
        <v>0</v>
      </c>
      <c r="CJ111" s="675">
        <v>4</v>
      </c>
      <c r="CK111" s="675">
        <v>0</v>
      </c>
      <c r="CL111" s="675">
        <v>0</v>
      </c>
      <c r="CM111" s="675">
        <v>0</v>
      </c>
      <c r="CN111" s="675">
        <v>0</v>
      </c>
      <c r="CO111" s="675">
        <v>1</v>
      </c>
      <c r="CP111" s="675">
        <v>0</v>
      </c>
      <c r="CQ111" s="675">
        <v>0</v>
      </c>
      <c r="CR111" s="675">
        <v>631.42200000000003</v>
      </c>
      <c r="CS111" s="675">
        <v>0</v>
      </c>
      <c r="CT111" s="675">
        <v>0</v>
      </c>
      <c r="CU111" s="675">
        <v>0</v>
      </c>
      <c r="CV111" s="675">
        <v>0</v>
      </c>
      <c r="CW111" s="675">
        <v>0</v>
      </c>
      <c r="CX111" s="675">
        <v>0</v>
      </c>
      <c r="CY111" s="675">
        <v>0</v>
      </c>
      <c r="CZ111" s="675">
        <v>0</v>
      </c>
      <c r="DA111" s="675">
        <v>0</v>
      </c>
      <c r="DB111" s="675">
        <v>2844773</v>
      </c>
      <c r="DC111" s="675">
        <v>0</v>
      </c>
      <c r="DD111" s="675">
        <v>0</v>
      </c>
      <c r="DE111" s="675">
        <v>696308</v>
      </c>
      <c r="DF111" s="675">
        <v>696308</v>
      </c>
      <c r="DG111" s="675">
        <v>113.03800000000001</v>
      </c>
      <c r="DH111" s="675">
        <v>0</v>
      </c>
      <c r="DI111" s="675">
        <v>0</v>
      </c>
      <c r="DJ111" s="675">
        <v>0</v>
      </c>
      <c r="DK111" s="675">
        <v>2804</v>
      </c>
      <c r="DL111" s="675">
        <v>0</v>
      </c>
      <c r="DM111" s="675">
        <v>364856</v>
      </c>
      <c r="DN111" s="675">
        <v>1390</v>
      </c>
      <c r="DO111" s="675">
        <v>0</v>
      </c>
      <c r="DP111" s="675">
        <v>0</v>
      </c>
      <c r="DQ111" s="675">
        <v>0</v>
      </c>
      <c r="DR111" s="675">
        <v>0</v>
      </c>
      <c r="DS111" s="675">
        <v>0</v>
      </c>
      <c r="DT111" s="675">
        <v>0</v>
      </c>
      <c r="DU111" s="675">
        <v>0</v>
      </c>
      <c r="DV111" s="675">
        <v>0</v>
      </c>
      <c r="DW111" s="675">
        <v>0</v>
      </c>
      <c r="DX111" s="675">
        <v>0</v>
      </c>
      <c r="DY111" s="675">
        <v>0</v>
      </c>
      <c r="DZ111" s="675">
        <v>0</v>
      </c>
      <c r="EA111" s="675">
        <v>0</v>
      </c>
      <c r="EB111" s="675">
        <v>0</v>
      </c>
      <c r="EC111" s="675">
        <v>22.865000000000002</v>
      </c>
      <c r="ED111" s="675">
        <v>161975</v>
      </c>
      <c r="EE111" s="675">
        <v>0</v>
      </c>
      <c r="EF111" s="675">
        <v>0</v>
      </c>
      <c r="EG111" s="675">
        <v>0</v>
      </c>
      <c r="EH111" s="675">
        <v>204271</v>
      </c>
      <c r="EI111" s="675">
        <v>0</v>
      </c>
      <c r="EJ111" s="675">
        <v>0</v>
      </c>
      <c r="EK111" s="675">
        <v>8.17</v>
      </c>
      <c r="EL111" s="675">
        <v>0</v>
      </c>
      <c r="EM111" s="675">
        <v>1.617</v>
      </c>
      <c r="EN111" s="675">
        <v>0.76</v>
      </c>
      <c r="EO111" s="675">
        <v>0</v>
      </c>
      <c r="EP111" s="675">
        <v>0</v>
      </c>
      <c r="EQ111" s="675">
        <v>10.547000000000001</v>
      </c>
      <c r="ER111" s="675">
        <v>0</v>
      </c>
      <c r="ES111" s="675">
        <v>33.161000000000001</v>
      </c>
      <c r="ET111" s="675">
        <v>0</v>
      </c>
      <c r="EU111" s="675">
        <v>0</v>
      </c>
      <c r="EV111" s="675">
        <v>0</v>
      </c>
      <c r="EW111" s="675">
        <v>0</v>
      </c>
      <c r="EX111" s="675">
        <v>0</v>
      </c>
      <c r="EY111" s="675">
        <v>0</v>
      </c>
      <c r="EZ111" s="675">
        <v>4991855</v>
      </c>
      <c r="FA111" s="675">
        <v>0</v>
      </c>
      <c r="FB111" s="675">
        <v>5218773</v>
      </c>
      <c r="FC111" s="675">
        <v>0</v>
      </c>
      <c r="FD111" s="675">
        <v>0</v>
      </c>
      <c r="FE111" s="675">
        <v>530438</v>
      </c>
      <c r="FF111" s="675">
        <v>109713</v>
      </c>
      <c r="FG111" s="675">
        <v>6.3574999999999993E-2</v>
      </c>
      <c r="FH111" s="675">
        <v>2.6298999999999999E-2</v>
      </c>
      <c r="FI111" s="675">
        <v>0</v>
      </c>
      <c r="FJ111" s="675">
        <v>0</v>
      </c>
      <c r="FK111" s="675">
        <v>846.54</v>
      </c>
      <c r="FL111" s="675">
        <v>5957241</v>
      </c>
      <c r="FM111" s="675">
        <v>0</v>
      </c>
      <c r="FN111" s="675">
        <v>0</v>
      </c>
      <c r="FO111" s="675">
        <v>0</v>
      </c>
      <c r="FP111" s="675">
        <v>0</v>
      </c>
      <c r="FQ111" s="675">
        <v>1944</v>
      </c>
      <c r="FR111" s="675">
        <v>0</v>
      </c>
      <c r="FS111" s="675">
        <v>1944</v>
      </c>
      <c r="FT111" s="675">
        <v>0</v>
      </c>
      <c r="FU111" s="675">
        <v>0</v>
      </c>
      <c r="FV111" s="675">
        <v>0</v>
      </c>
      <c r="FW111" s="675">
        <v>0</v>
      </c>
      <c r="FX111" s="675">
        <v>0</v>
      </c>
      <c r="FY111" s="675">
        <v>0</v>
      </c>
      <c r="FZ111" s="675">
        <v>0</v>
      </c>
      <c r="GA111" s="675">
        <v>0</v>
      </c>
      <c r="GB111" s="675">
        <v>589745</v>
      </c>
      <c r="GC111" s="675">
        <v>589745</v>
      </c>
      <c r="GD111" s="675">
        <v>65.587000000000003</v>
      </c>
      <c r="GE111" s="675">
        <v>0</v>
      </c>
      <c r="GF111" s="675">
        <v>0</v>
      </c>
      <c r="GG111" s="675">
        <v>0</v>
      </c>
      <c r="GH111" s="675">
        <v>0</v>
      </c>
      <c r="GI111" s="675">
        <v>0</v>
      </c>
      <c r="GJ111" s="675">
        <v>0</v>
      </c>
      <c r="GK111" s="675">
        <v>0</v>
      </c>
      <c r="GL111" s="675">
        <v>0</v>
      </c>
      <c r="GM111" s="675">
        <v>0</v>
      </c>
      <c r="GN111" s="675">
        <v>0</v>
      </c>
      <c r="GO111" s="675">
        <v>0</v>
      </c>
      <c r="GP111" s="675">
        <v>0</v>
      </c>
      <c r="GQ111" s="675">
        <v>0</v>
      </c>
      <c r="GR111" s="675">
        <v>0</v>
      </c>
      <c r="GS111" s="675">
        <v>0</v>
      </c>
      <c r="GT111" s="675">
        <v>0</v>
      </c>
      <c r="GU111" s="675">
        <v>0</v>
      </c>
      <c r="GV111" s="675">
        <v>0</v>
      </c>
      <c r="GW111" s="675">
        <v>0</v>
      </c>
      <c r="GX111" s="675">
        <v>0</v>
      </c>
      <c r="GY111" s="675">
        <v>0</v>
      </c>
      <c r="GZ111" s="675">
        <v>0</v>
      </c>
      <c r="HA111" s="675">
        <v>0</v>
      </c>
      <c r="HB111" s="675">
        <v>298386780</v>
      </c>
      <c r="HC111" s="675">
        <v>4.5690999999999996E-2</v>
      </c>
      <c r="HD111" s="675">
        <v>98317</v>
      </c>
      <c r="HE111" s="675">
        <v>0</v>
      </c>
      <c r="HF111" s="675">
        <v>507998</v>
      </c>
      <c r="HG111" s="675">
        <v>3208</v>
      </c>
      <c r="HH111" s="675">
        <v>32544</v>
      </c>
      <c r="HI111" s="675">
        <v>0</v>
      </c>
      <c r="HJ111" s="675">
        <v>5229</v>
      </c>
      <c r="HK111" s="675">
        <v>2160</v>
      </c>
      <c r="HL111" s="675">
        <v>1423</v>
      </c>
      <c r="HM111" s="675">
        <v>0</v>
      </c>
      <c r="HN111" s="675">
        <v>0</v>
      </c>
      <c r="HO111" s="675">
        <v>0</v>
      </c>
      <c r="HP111" s="675">
        <v>0</v>
      </c>
      <c r="HQ111" s="675">
        <v>0</v>
      </c>
      <c r="HR111" s="675">
        <v>0</v>
      </c>
      <c r="HS111" s="675">
        <v>4990437</v>
      </c>
      <c r="HT111" s="675">
        <v>109713</v>
      </c>
      <c r="HU111" s="675">
        <v>0</v>
      </c>
      <c r="HV111" s="675">
        <v>0</v>
      </c>
      <c r="HW111" s="675">
        <v>0</v>
      </c>
      <c r="HX111" s="675">
        <v>102</v>
      </c>
      <c r="HY111" s="675">
        <v>93</v>
      </c>
      <c r="HZ111" s="675">
        <v>111</v>
      </c>
      <c r="IA111" s="675">
        <v>102</v>
      </c>
      <c r="IB111" s="675">
        <v>49</v>
      </c>
      <c r="IC111" s="675">
        <v>457</v>
      </c>
      <c r="ID111" s="675">
        <v>0</v>
      </c>
      <c r="IE111" s="675">
        <v>0</v>
      </c>
      <c r="IF111" s="675">
        <v>0</v>
      </c>
      <c r="IG111" s="675">
        <v>5.2080000000000002</v>
      </c>
      <c r="IH111" s="675">
        <v>52.831000000000003</v>
      </c>
      <c r="II111" s="675">
        <v>0</v>
      </c>
      <c r="IJ111" s="675">
        <v>266.60599999999999</v>
      </c>
      <c r="IK111" s="675">
        <v>0</v>
      </c>
      <c r="IL111" s="675">
        <v>0</v>
      </c>
      <c r="IM111" s="675">
        <v>0</v>
      </c>
      <c r="IN111" s="675">
        <v>0</v>
      </c>
      <c r="IO111" s="675">
        <v>0</v>
      </c>
      <c r="IP111" s="675">
        <v>0</v>
      </c>
      <c r="IQ111" s="675">
        <v>266.60599999999999</v>
      </c>
      <c r="IR111" s="675">
        <v>164229</v>
      </c>
      <c r="IS111" s="675">
        <v>0</v>
      </c>
      <c r="IT111" s="675">
        <v>0</v>
      </c>
      <c r="IU111" s="675">
        <v>0</v>
      </c>
      <c r="IV111" s="675">
        <v>0</v>
      </c>
      <c r="IW111" s="675">
        <v>6160</v>
      </c>
      <c r="IX111" s="675">
        <v>0</v>
      </c>
      <c r="IY111" s="675">
        <v>0</v>
      </c>
      <c r="IZ111" s="675">
        <v>0</v>
      </c>
      <c r="JA111" s="675">
        <v>0</v>
      </c>
      <c r="JB111" s="675">
        <v>0</v>
      </c>
      <c r="JC111" s="675">
        <v>0</v>
      </c>
      <c r="JD111" s="675">
        <v>0</v>
      </c>
      <c r="JE111" s="675">
        <v>0</v>
      </c>
      <c r="JF111" s="675">
        <v>0</v>
      </c>
      <c r="JG111" s="675">
        <v>0</v>
      </c>
      <c r="JH111" s="675">
        <v>0</v>
      </c>
      <c r="JI111" s="675">
        <v>0</v>
      </c>
      <c r="JJ111" s="675">
        <v>0</v>
      </c>
      <c r="JK111" s="675">
        <v>0</v>
      </c>
      <c r="JL111" s="675">
        <v>0</v>
      </c>
      <c r="JM111" s="675">
        <v>0</v>
      </c>
      <c r="JN111" s="675">
        <v>32469</v>
      </c>
      <c r="JO111" s="675">
        <v>15.342000000000001</v>
      </c>
      <c r="JP111" s="675">
        <v>50.022000000000006</v>
      </c>
      <c r="JQ111" s="675">
        <v>0.223</v>
      </c>
      <c r="JR111" s="675">
        <v>122521</v>
      </c>
      <c r="JS111" s="675">
        <v>464844</v>
      </c>
      <c r="JT111" s="675">
        <v>2380</v>
      </c>
      <c r="JU111" s="675">
        <v>4384</v>
      </c>
      <c r="JV111" s="675">
        <v>0</v>
      </c>
      <c r="JW111" s="675">
        <v>0</v>
      </c>
      <c r="JX111" s="675">
        <v>0</v>
      </c>
      <c r="JY111" s="675">
        <v>0</v>
      </c>
      <c r="JZ111" s="675">
        <v>0</v>
      </c>
      <c r="KA111" s="675">
        <v>0</v>
      </c>
      <c r="KB111" s="675">
        <v>0</v>
      </c>
      <c r="KC111" s="675">
        <v>0</v>
      </c>
      <c r="KD111" s="675">
        <v>4384</v>
      </c>
      <c r="KE111" s="675">
        <v>7260</v>
      </c>
      <c r="KF111" s="675">
        <v>0</v>
      </c>
      <c r="KG111" s="675">
        <v>0</v>
      </c>
      <c r="KH111" s="675">
        <v>0</v>
      </c>
      <c r="KI111" s="675">
        <v>0</v>
      </c>
    </row>
    <row r="112" spans="1:295" ht="12.5" x14ac:dyDescent="0.25">
      <c r="A112" s="675">
        <v>35795</v>
      </c>
      <c r="B112" s="675">
        <v>101815</v>
      </c>
      <c r="C112" s="675">
        <v>9</v>
      </c>
      <c r="D112" s="675">
        <v>2022</v>
      </c>
      <c r="E112" s="675">
        <v>6160</v>
      </c>
      <c r="F112" s="675">
        <v>0</v>
      </c>
      <c r="G112" s="675">
        <v>280.29000000000002</v>
      </c>
      <c r="H112" s="675">
        <v>274.83</v>
      </c>
      <c r="I112" s="675">
        <v>274.83</v>
      </c>
      <c r="J112" s="675">
        <v>280.29000000000002</v>
      </c>
      <c r="K112" s="675">
        <v>0</v>
      </c>
      <c r="L112" s="675">
        <v>6160</v>
      </c>
      <c r="M112" s="675">
        <v>0</v>
      </c>
      <c r="N112" s="675">
        <v>0</v>
      </c>
      <c r="O112" s="675">
        <v>0</v>
      </c>
      <c r="P112" s="675">
        <v>254.32400000000001</v>
      </c>
      <c r="Q112" s="675">
        <v>0</v>
      </c>
      <c r="R112" s="675">
        <v>102347</v>
      </c>
      <c r="S112" s="675">
        <v>402.428</v>
      </c>
      <c r="T112" s="675">
        <v>0</v>
      </c>
      <c r="U112" s="675">
        <v>54425</v>
      </c>
      <c r="V112" s="675">
        <v>194.59700000000001</v>
      </c>
      <c r="W112" s="675">
        <v>119871</v>
      </c>
      <c r="X112" s="675">
        <v>119871</v>
      </c>
      <c r="Y112" s="675">
        <v>0</v>
      </c>
      <c r="Z112" s="675">
        <v>0</v>
      </c>
      <c r="AA112" s="675">
        <v>0</v>
      </c>
      <c r="AB112" s="675">
        <v>0</v>
      </c>
      <c r="AC112" s="675">
        <v>0</v>
      </c>
      <c r="AD112" s="675" t="s">
        <v>316</v>
      </c>
      <c r="AE112" s="675">
        <v>0</v>
      </c>
      <c r="AF112" s="675">
        <v>0</v>
      </c>
      <c r="AG112" s="675">
        <v>0</v>
      </c>
      <c r="AH112" s="675">
        <v>0</v>
      </c>
      <c r="AI112" s="675">
        <v>0</v>
      </c>
      <c r="AJ112" s="675">
        <v>6160</v>
      </c>
      <c r="AK112" s="675" t="s">
        <v>671</v>
      </c>
      <c r="AL112" s="675" t="s">
        <v>53</v>
      </c>
      <c r="AM112" s="675">
        <v>0</v>
      </c>
      <c r="AN112" s="675">
        <v>0</v>
      </c>
      <c r="AO112" s="675">
        <v>0</v>
      </c>
      <c r="AP112" s="675">
        <v>0</v>
      </c>
      <c r="AQ112" s="675">
        <v>0</v>
      </c>
      <c r="AR112" s="675">
        <v>0</v>
      </c>
      <c r="AS112" s="675">
        <v>0</v>
      </c>
      <c r="AT112" s="675">
        <v>0</v>
      </c>
      <c r="AU112" s="675">
        <v>0</v>
      </c>
      <c r="AV112" s="675">
        <v>0</v>
      </c>
      <c r="AW112" s="675">
        <v>3052606</v>
      </c>
      <c r="AX112" s="675">
        <v>3001895</v>
      </c>
      <c r="AY112" s="675">
        <v>2002687</v>
      </c>
      <c r="AZ112" s="675">
        <v>102347</v>
      </c>
      <c r="BA112" s="675">
        <v>0</v>
      </c>
      <c r="BB112" s="675">
        <v>0</v>
      </c>
      <c r="BC112" s="675">
        <v>0</v>
      </c>
      <c r="BD112" s="675">
        <v>0</v>
      </c>
      <c r="BE112" s="675">
        <v>0</v>
      </c>
      <c r="BF112" s="675">
        <v>2764832</v>
      </c>
      <c r="BG112" s="675">
        <v>0</v>
      </c>
      <c r="BH112" s="675">
        <v>0</v>
      </c>
      <c r="BI112" s="675">
        <v>0</v>
      </c>
      <c r="BJ112" s="675">
        <v>12</v>
      </c>
      <c r="BK112" s="675">
        <v>0</v>
      </c>
      <c r="BL112" s="675">
        <v>0</v>
      </c>
      <c r="BM112" s="675">
        <v>0</v>
      </c>
      <c r="BN112" s="675">
        <v>0</v>
      </c>
      <c r="BO112" s="675">
        <v>0</v>
      </c>
      <c r="BP112" s="675">
        <v>0</v>
      </c>
      <c r="BQ112" s="675">
        <v>728</v>
      </c>
      <c r="BR112" s="675">
        <v>0</v>
      </c>
      <c r="BS112" s="675">
        <v>0</v>
      </c>
      <c r="BT112" s="675">
        <v>0</v>
      </c>
      <c r="BU112" s="675">
        <v>0</v>
      </c>
      <c r="BV112" s="675">
        <v>0</v>
      </c>
      <c r="BW112" s="675">
        <v>0</v>
      </c>
      <c r="BX112" s="675">
        <v>0</v>
      </c>
      <c r="BY112" s="675">
        <v>0</v>
      </c>
      <c r="BZ112" s="675">
        <v>0</v>
      </c>
      <c r="CA112" s="675">
        <v>0</v>
      </c>
      <c r="CB112" s="675">
        <v>0</v>
      </c>
      <c r="CC112" s="675">
        <v>0</v>
      </c>
      <c r="CD112" s="675">
        <v>0</v>
      </c>
      <c r="CE112" s="675">
        <v>0</v>
      </c>
      <c r="CF112" s="675">
        <v>0</v>
      </c>
      <c r="CG112" s="675">
        <v>0</v>
      </c>
      <c r="CH112" s="675">
        <v>51227</v>
      </c>
      <c r="CI112" s="675">
        <v>0</v>
      </c>
      <c r="CJ112" s="675">
        <v>4</v>
      </c>
      <c r="CK112" s="675">
        <v>0</v>
      </c>
      <c r="CL112" s="675">
        <v>0</v>
      </c>
      <c r="CM112" s="675">
        <v>0</v>
      </c>
      <c r="CN112" s="675">
        <v>0</v>
      </c>
      <c r="CO112" s="675">
        <v>1</v>
      </c>
      <c r="CP112" s="675">
        <v>0</v>
      </c>
      <c r="CQ112" s="675">
        <v>0</v>
      </c>
      <c r="CR112" s="675">
        <v>268.51</v>
      </c>
      <c r="CS112" s="675">
        <v>0</v>
      </c>
      <c r="CT112" s="675">
        <v>0</v>
      </c>
      <c r="CU112" s="675">
        <v>0</v>
      </c>
      <c r="CV112" s="675">
        <v>0</v>
      </c>
      <c r="CW112" s="675">
        <v>0</v>
      </c>
      <c r="CX112" s="675">
        <v>0</v>
      </c>
      <c r="CY112" s="675">
        <v>0</v>
      </c>
      <c r="CZ112" s="675">
        <v>0</v>
      </c>
      <c r="DA112" s="675">
        <v>0</v>
      </c>
      <c r="DB112" s="675">
        <v>1692945</v>
      </c>
      <c r="DC112" s="675">
        <v>0</v>
      </c>
      <c r="DD112" s="675">
        <v>0</v>
      </c>
      <c r="DE112" s="675">
        <v>426501</v>
      </c>
      <c r="DF112" s="675">
        <v>426501</v>
      </c>
      <c r="DG112" s="675">
        <v>69.238</v>
      </c>
      <c r="DH112" s="675">
        <v>0</v>
      </c>
      <c r="DI112" s="675">
        <v>0</v>
      </c>
      <c r="DJ112" s="675">
        <v>0</v>
      </c>
      <c r="DK112" s="675">
        <v>3265</v>
      </c>
      <c r="DL112" s="675">
        <v>0</v>
      </c>
      <c r="DM112" s="675">
        <v>135471</v>
      </c>
      <c r="DN112" s="675">
        <v>516</v>
      </c>
      <c r="DO112" s="675">
        <v>0</v>
      </c>
      <c r="DP112" s="675">
        <v>0</v>
      </c>
      <c r="DQ112" s="675">
        <v>0</v>
      </c>
      <c r="DR112" s="675">
        <v>0</v>
      </c>
      <c r="DS112" s="675">
        <v>0</v>
      </c>
      <c r="DT112" s="675">
        <v>0</v>
      </c>
      <c r="DU112" s="675">
        <v>0</v>
      </c>
      <c r="DV112" s="675">
        <v>0</v>
      </c>
      <c r="DW112" s="675">
        <v>0</v>
      </c>
      <c r="DX112" s="675">
        <v>0</v>
      </c>
      <c r="DY112" s="675">
        <v>0</v>
      </c>
      <c r="DZ112" s="675">
        <v>0</v>
      </c>
      <c r="EA112" s="675">
        <v>0</v>
      </c>
      <c r="EB112" s="675">
        <v>0</v>
      </c>
      <c r="EC112" s="675">
        <v>3.5130000000000003</v>
      </c>
      <c r="ED112" s="675">
        <v>24886</v>
      </c>
      <c r="EE112" s="675">
        <v>0</v>
      </c>
      <c r="EF112" s="675">
        <v>0</v>
      </c>
      <c r="EG112" s="675">
        <v>0</v>
      </c>
      <c r="EH112" s="675">
        <v>111101</v>
      </c>
      <c r="EI112" s="675">
        <v>0</v>
      </c>
      <c r="EJ112" s="675">
        <v>0</v>
      </c>
      <c r="EK112" s="675">
        <v>4.6320000000000006</v>
      </c>
      <c r="EL112" s="675">
        <v>0</v>
      </c>
      <c r="EM112" s="675">
        <v>0</v>
      </c>
      <c r="EN112" s="675">
        <v>0.82800000000000007</v>
      </c>
      <c r="EO112" s="675">
        <v>0</v>
      </c>
      <c r="EP112" s="675">
        <v>0</v>
      </c>
      <c r="EQ112" s="675">
        <v>5.46</v>
      </c>
      <c r="ER112" s="675">
        <v>0</v>
      </c>
      <c r="ES112" s="675">
        <v>18.036000000000001</v>
      </c>
      <c r="ET112" s="675">
        <v>0</v>
      </c>
      <c r="EU112" s="675">
        <v>0</v>
      </c>
      <c r="EV112" s="675">
        <v>0</v>
      </c>
      <c r="EW112" s="675">
        <v>0</v>
      </c>
      <c r="EX112" s="675">
        <v>0</v>
      </c>
      <c r="EY112" s="675">
        <v>0</v>
      </c>
      <c r="EZ112" s="675">
        <v>2662485</v>
      </c>
      <c r="FA112" s="675">
        <v>0</v>
      </c>
      <c r="FB112" s="675">
        <v>2764316</v>
      </c>
      <c r="FC112" s="675">
        <v>0</v>
      </c>
      <c r="FD112" s="675">
        <v>0</v>
      </c>
      <c r="FE112" s="675">
        <v>281240</v>
      </c>
      <c r="FF112" s="675">
        <v>58170</v>
      </c>
      <c r="FG112" s="675">
        <v>6.3574999999999993E-2</v>
      </c>
      <c r="FH112" s="675">
        <v>2.6298999999999999E-2</v>
      </c>
      <c r="FI112" s="675">
        <v>0</v>
      </c>
      <c r="FJ112" s="675">
        <v>0</v>
      </c>
      <c r="FK112" s="675">
        <v>448.83800000000002</v>
      </c>
      <c r="FL112" s="675">
        <v>3154953</v>
      </c>
      <c r="FM112" s="675">
        <v>0</v>
      </c>
      <c r="FN112" s="675">
        <v>0</v>
      </c>
      <c r="FO112" s="675">
        <v>0</v>
      </c>
      <c r="FP112" s="675">
        <v>0</v>
      </c>
      <c r="FQ112" s="675">
        <v>0</v>
      </c>
      <c r="FR112" s="675">
        <v>0</v>
      </c>
      <c r="FS112" s="675">
        <v>0</v>
      </c>
      <c r="FT112" s="675">
        <v>0</v>
      </c>
      <c r="FU112" s="675">
        <v>0</v>
      </c>
      <c r="FV112" s="675">
        <v>0</v>
      </c>
      <c r="FW112" s="675">
        <v>0</v>
      </c>
      <c r="FX112" s="675">
        <v>0</v>
      </c>
      <c r="FY112" s="675">
        <v>0</v>
      </c>
      <c r="FZ112" s="675">
        <v>0</v>
      </c>
      <c r="GA112" s="675">
        <v>0</v>
      </c>
      <c r="GB112" s="675">
        <v>0</v>
      </c>
      <c r="GC112" s="675">
        <v>0</v>
      </c>
      <c r="GD112" s="675">
        <v>0</v>
      </c>
      <c r="GE112" s="675">
        <v>0</v>
      </c>
      <c r="GF112" s="675">
        <v>0</v>
      </c>
      <c r="GG112" s="675">
        <v>0</v>
      </c>
      <c r="GH112" s="675">
        <v>0</v>
      </c>
      <c r="GI112" s="675">
        <v>0</v>
      </c>
      <c r="GJ112" s="675">
        <v>0</v>
      </c>
      <c r="GK112" s="675">
        <v>0</v>
      </c>
      <c r="GL112" s="675">
        <v>0</v>
      </c>
      <c r="GM112" s="675">
        <v>0</v>
      </c>
      <c r="GN112" s="675">
        <v>0</v>
      </c>
      <c r="GO112" s="675">
        <v>0</v>
      </c>
      <c r="GP112" s="675">
        <v>0</v>
      </c>
      <c r="GQ112" s="675">
        <v>0</v>
      </c>
      <c r="GR112" s="675">
        <v>0</v>
      </c>
      <c r="GS112" s="675">
        <v>0</v>
      </c>
      <c r="GT112" s="675">
        <v>0</v>
      </c>
      <c r="GU112" s="675">
        <v>0</v>
      </c>
      <c r="GV112" s="675">
        <v>0</v>
      </c>
      <c r="GW112" s="675">
        <v>0</v>
      </c>
      <c r="GX112" s="675">
        <v>0</v>
      </c>
      <c r="GY112" s="675">
        <v>0</v>
      </c>
      <c r="GZ112" s="675">
        <v>0</v>
      </c>
      <c r="HA112" s="675">
        <v>0</v>
      </c>
      <c r="HB112" s="675">
        <v>298386780</v>
      </c>
      <c r="HC112" s="675">
        <v>4.5690999999999996E-2</v>
      </c>
      <c r="HD112" s="675">
        <v>51227</v>
      </c>
      <c r="HE112" s="675">
        <v>0</v>
      </c>
      <c r="HF112" s="675">
        <v>302313</v>
      </c>
      <c r="HG112" s="675">
        <v>0</v>
      </c>
      <c r="HH112" s="675">
        <v>84491</v>
      </c>
      <c r="HI112" s="675">
        <v>0</v>
      </c>
      <c r="HJ112" s="675">
        <v>2724</v>
      </c>
      <c r="HK112" s="675">
        <v>0</v>
      </c>
      <c r="HL112" s="675">
        <v>0</v>
      </c>
      <c r="HM112" s="675">
        <v>0</v>
      </c>
      <c r="HN112" s="675">
        <v>0</v>
      </c>
      <c r="HO112" s="675">
        <v>0</v>
      </c>
      <c r="HP112" s="675">
        <v>0</v>
      </c>
      <c r="HQ112" s="675">
        <v>0</v>
      </c>
      <c r="HR112" s="675">
        <v>0</v>
      </c>
      <c r="HS112" s="675">
        <v>2661969</v>
      </c>
      <c r="HT112" s="675">
        <v>58170</v>
      </c>
      <c r="HU112" s="675">
        <v>0</v>
      </c>
      <c r="HV112" s="675">
        <v>0</v>
      </c>
      <c r="HW112" s="675">
        <v>0</v>
      </c>
      <c r="HX112" s="675">
        <v>60</v>
      </c>
      <c r="HY112" s="675">
        <v>62</v>
      </c>
      <c r="HZ112" s="675">
        <v>58</v>
      </c>
      <c r="IA112" s="675">
        <v>57</v>
      </c>
      <c r="IB112" s="675">
        <v>42</v>
      </c>
      <c r="IC112" s="675">
        <v>279</v>
      </c>
      <c r="ID112" s="675">
        <v>0</v>
      </c>
      <c r="IE112" s="675">
        <v>0</v>
      </c>
      <c r="IF112" s="675">
        <v>0</v>
      </c>
      <c r="IG112" s="675">
        <v>0</v>
      </c>
      <c r="IH112" s="675">
        <v>137.161</v>
      </c>
      <c r="II112" s="675">
        <v>0</v>
      </c>
      <c r="IJ112" s="675">
        <v>194.59700000000001</v>
      </c>
      <c r="IK112" s="675">
        <v>0</v>
      </c>
      <c r="IL112" s="675">
        <v>0</v>
      </c>
      <c r="IM112" s="675">
        <v>0</v>
      </c>
      <c r="IN112" s="675">
        <v>0</v>
      </c>
      <c r="IO112" s="675">
        <v>0</v>
      </c>
      <c r="IP112" s="675">
        <v>0</v>
      </c>
      <c r="IQ112" s="675">
        <v>194.59700000000001</v>
      </c>
      <c r="IR112" s="675">
        <v>119871</v>
      </c>
      <c r="IS112" s="675">
        <v>0</v>
      </c>
      <c r="IT112" s="675">
        <v>0</v>
      </c>
      <c r="IU112" s="675">
        <v>0</v>
      </c>
      <c r="IV112" s="675">
        <v>0</v>
      </c>
      <c r="IW112" s="675">
        <v>6160</v>
      </c>
      <c r="IX112" s="675">
        <v>0</v>
      </c>
      <c r="IY112" s="675">
        <v>0</v>
      </c>
      <c r="IZ112" s="675">
        <v>0</v>
      </c>
      <c r="JA112" s="675">
        <v>0</v>
      </c>
      <c r="JB112" s="675">
        <v>0</v>
      </c>
      <c r="JC112" s="675">
        <v>0</v>
      </c>
      <c r="JD112" s="675">
        <v>0</v>
      </c>
      <c r="JE112" s="675">
        <v>0</v>
      </c>
      <c r="JF112" s="675">
        <v>0</v>
      </c>
      <c r="JG112" s="675">
        <v>0</v>
      </c>
      <c r="JH112" s="675">
        <v>0</v>
      </c>
      <c r="JI112" s="675">
        <v>0</v>
      </c>
      <c r="JJ112" s="675">
        <v>0</v>
      </c>
      <c r="JK112" s="675">
        <v>0</v>
      </c>
      <c r="JL112" s="675">
        <v>0</v>
      </c>
      <c r="JM112" s="675">
        <v>0</v>
      </c>
      <c r="JN112" s="675">
        <v>32469</v>
      </c>
      <c r="JO112" s="675">
        <v>0</v>
      </c>
      <c r="JP112" s="675">
        <v>0</v>
      </c>
      <c r="JQ112" s="675">
        <v>0</v>
      </c>
      <c r="JR112" s="675">
        <v>0</v>
      </c>
      <c r="JS112" s="675">
        <v>0</v>
      </c>
      <c r="JT112" s="675">
        <v>0</v>
      </c>
      <c r="JU112" s="675">
        <v>0</v>
      </c>
      <c r="JV112" s="675">
        <v>0</v>
      </c>
      <c r="JW112" s="675">
        <v>0</v>
      </c>
      <c r="JX112" s="675">
        <v>0</v>
      </c>
      <c r="JY112" s="675">
        <v>0</v>
      </c>
      <c r="JZ112" s="675">
        <v>0</v>
      </c>
      <c r="KA112" s="675">
        <v>0</v>
      </c>
      <c r="KB112" s="675">
        <v>0</v>
      </c>
      <c r="KC112" s="675">
        <v>0</v>
      </c>
      <c r="KD112" s="675">
        <v>0</v>
      </c>
      <c r="KE112" s="675">
        <v>7260</v>
      </c>
      <c r="KF112" s="675">
        <v>0</v>
      </c>
      <c r="KG112" s="675">
        <v>0</v>
      </c>
      <c r="KH112" s="675">
        <v>0</v>
      </c>
      <c r="KI112" s="675">
        <v>0</v>
      </c>
    </row>
    <row r="113" spans="1:295" ht="12.5" x14ac:dyDescent="0.25">
      <c r="A113" s="675">
        <v>35795</v>
      </c>
      <c r="B113" s="675">
        <v>220815</v>
      </c>
      <c r="C113" s="675">
        <v>9</v>
      </c>
      <c r="D113" s="675">
        <v>2022</v>
      </c>
      <c r="E113" s="675">
        <v>6160</v>
      </c>
      <c r="F113" s="675">
        <v>0</v>
      </c>
      <c r="G113" s="675">
        <v>604.428</v>
      </c>
      <c r="H113" s="675">
        <v>588.64</v>
      </c>
      <c r="I113" s="675">
        <v>588.64</v>
      </c>
      <c r="J113" s="675">
        <v>604.428</v>
      </c>
      <c r="K113" s="675">
        <v>0</v>
      </c>
      <c r="L113" s="675">
        <v>6160</v>
      </c>
      <c r="M113" s="675">
        <v>0</v>
      </c>
      <c r="N113" s="675">
        <v>0</v>
      </c>
      <c r="O113" s="675">
        <v>0</v>
      </c>
      <c r="P113" s="675">
        <v>697.79200000000003</v>
      </c>
      <c r="Q113" s="675">
        <v>0</v>
      </c>
      <c r="R113" s="675">
        <v>280811</v>
      </c>
      <c r="S113" s="675">
        <v>402.428</v>
      </c>
      <c r="T113" s="675">
        <v>0</v>
      </c>
      <c r="U113" s="675">
        <v>149328</v>
      </c>
      <c r="V113" s="675">
        <v>71.638000000000005</v>
      </c>
      <c r="W113" s="675">
        <v>44129</v>
      </c>
      <c r="X113" s="675">
        <v>44129</v>
      </c>
      <c r="Y113" s="675">
        <v>0</v>
      </c>
      <c r="Z113" s="675">
        <v>0</v>
      </c>
      <c r="AA113" s="675">
        <v>0</v>
      </c>
      <c r="AB113" s="675">
        <v>0</v>
      </c>
      <c r="AC113" s="675">
        <v>0</v>
      </c>
      <c r="AD113" s="675" t="s">
        <v>316</v>
      </c>
      <c r="AE113" s="675">
        <v>0</v>
      </c>
      <c r="AF113" s="675">
        <v>0</v>
      </c>
      <c r="AG113" s="675">
        <v>0</v>
      </c>
      <c r="AH113" s="675">
        <v>0</v>
      </c>
      <c r="AI113" s="675">
        <v>0</v>
      </c>
      <c r="AJ113" s="675">
        <v>6160</v>
      </c>
      <c r="AK113" s="675" t="s">
        <v>671</v>
      </c>
      <c r="AL113" s="675" t="s">
        <v>363</v>
      </c>
      <c r="AM113" s="675">
        <v>0</v>
      </c>
      <c r="AN113" s="675">
        <v>0</v>
      </c>
      <c r="AO113" s="675">
        <v>0</v>
      </c>
      <c r="AP113" s="675">
        <v>0</v>
      </c>
      <c r="AQ113" s="675">
        <v>0</v>
      </c>
      <c r="AR113" s="675">
        <v>0</v>
      </c>
      <c r="AS113" s="675">
        <v>0</v>
      </c>
      <c r="AT113" s="675">
        <v>0</v>
      </c>
      <c r="AU113" s="675">
        <v>0</v>
      </c>
      <c r="AV113" s="675">
        <v>0</v>
      </c>
      <c r="AW113" s="675">
        <v>5983391</v>
      </c>
      <c r="AX113" s="675">
        <v>5874258</v>
      </c>
      <c r="AY113" s="675">
        <v>4080188</v>
      </c>
      <c r="AZ113" s="675">
        <v>280811</v>
      </c>
      <c r="BA113" s="675">
        <v>0</v>
      </c>
      <c r="BB113" s="675">
        <v>13031</v>
      </c>
      <c r="BC113" s="675">
        <v>12947</v>
      </c>
      <c r="BD113" s="675">
        <v>30.221</v>
      </c>
      <c r="BE113" s="675">
        <v>84</v>
      </c>
      <c r="BF113" s="675">
        <v>5482089</v>
      </c>
      <c r="BG113" s="675">
        <v>0</v>
      </c>
      <c r="BH113" s="675">
        <v>0</v>
      </c>
      <c r="BI113" s="675">
        <v>0</v>
      </c>
      <c r="BJ113" s="675">
        <v>12</v>
      </c>
      <c r="BK113" s="675">
        <v>0</v>
      </c>
      <c r="BL113" s="675">
        <v>0</v>
      </c>
      <c r="BM113" s="675">
        <v>0</v>
      </c>
      <c r="BN113" s="675">
        <v>0</v>
      </c>
      <c r="BO113" s="675">
        <v>0</v>
      </c>
      <c r="BP113" s="675">
        <v>0</v>
      </c>
      <c r="BQ113" s="675">
        <v>679</v>
      </c>
      <c r="BR113" s="675">
        <v>0</v>
      </c>
      <c r="BS113" s="675">
        <v>0</v>
      </c>
      <c r="BT113" s="675">
        <v>0</v>
      </c>
      <c r="BU113" s="675">
        <v>0</v>
      </c>
      <c r="BV113" s="675">
        <v>0</v>
      </c>
      <c r="BW113" s="675">
        <v>0</v>
      </c>
      <c r="BX113" s="675">
        <v>0</v>
      </c>
      <c r="BY113" s="675">
        <v>0</v>
      </c>
      <c r="BZ113" s="675">
        <v>0</v>
      </c>
      <c r="CA113" s="675">
        <v>0</v>
      </c>
      <c r="CB113" s="675">
        <v>0</v>
      </c>
      <c r="CC113" s="675">
        <v>0</v>
      </c>
      <c r="CD113" s="675">
        <v>0</v>
      </c>
      <c r="CE113" s="675">
        <v>0</v>
      </c>
      <c r="CF113" s="675">
        <v>0</v>
      </c>
      <c r="CG113" s="675">
        <v>0</v>
      </c>
      <c r="CH113" s="675">
        <v>110467</v>
      </c>
      <c r="CI113" s="675">
        <v>0</v>
      </c>
      <c r="CJ113" s="675">
        <v>4</v>
      </c>
      <c r="CK113" s="675">
        <v>0</v>
      </c>
      <c r="CL113" s="675">
        <v>0</v>
      </c>
      <c r="CM113" s="675">
        <v>0</v>
      </c>
      <c r="CN113" s="675">
        <v>0</v>
      </c>
      <c r="CO113" s="675">
        <v>1</v>
      </c>
      <c r="CP113" s="675">
        <v>0</v>
      </c>
      <c r="CQ113" s="675">
        <v>0</v>
      </c>
      <c r="CR113" s="675">
        <v>692.36800000000005</v>
      </c>
      <c r="CS113" s="675">
        <v>0</v>
      </c>
      <c r="CT113" s="675">
        <v>0</v>
      </c>
      <c r="CU113" s="675">
        <v>0</v>
      </c>
      <c r="CV113" s="675">
        <v>0</v>
      </c>
      <c r="CW113" s="675">
        <v>0</v>
      </c>
      <c r="CX113" s="675">
        <v>0</v>
      </c>
      <c r="CY113" s="675">
        <v>0</v>
      </c>
      <c r="CZ113" s="675">
        <v>0</v>
      </c>
      <c r="DA113" s="675">
        <v>0</v>
      </c>
      <c r="DB113" s="675">
        <v>3563729</v>
      </c>
      <c r="DC113" s="675">
        <v>0</v>
      </c>
      <c r="DD113" s="675">
        <v>0</v>
      </c>
      <c r="DE113" s="675">
        <v>686298</v>
      </c>
      <c r="DF113" s="675">
        <v>686298</v>
      </c>
      <c r="DG113" s="675">
        <v>111.41300000000001</v>
      </c>
      <c r="DH113" s="675">
        <v>0</v>
      </c>
      <c r="DI113" s="675">
        <v>0</v>
      </c>
      <c r="DJ113" s="675">
        <v>0</v>
      </c>
      <c r="DK113" s="675">
        <v>2492</v>
      </c>
      <c r="DL113" s="675">
        <v>0</v>
      </c>
      <c r="DM113" s="675">
        <v>390463</v>
      </c>
      <c r="DN113" s="675">
        <v>1250</v>
      </c>
      <c r="DO113" s="675">
        <v>0</v>
      </c>
      <c r="DP113" s="675">
        <v>0</v>
      </c>
      <c r="DQ113" s="675">
        <v>0</v>
      </c>
      <c r="DR113" s="675">
        <v>0</v>
      </c>
      <c r="DS113" s="675">
        <v>0</v>
      </c>
      <c r="DT113" s="675">
        <v>0</v>
      </c>
      <c r="DU113" s="675">
        <v>0</v>
      </c>
      <c r="DV113" s="675">
        <v>0</v>
      </c>
      <c r="DW113" s="675">
        <v>0</v>
      </c>
      <c r="DX113" s="675">
        <v>0</v>
      </c>
      <c r="DY113" s="675">
        <v>0</v>
      </c>
      <c r="DZ113" s="675">
        <v>0</v>
      </c>
      <c r="EA113" s="675">
        <v>0</v>
      </c>
      <c r="EB113" s="675">
        <v>0</v>
      </c>
      <c r="EC113" s="675">
        <v>2.7600000000000002</v>
      </c>
      <c r="ED113" s="675">
        <v>19552</v>
      </c>
      <c r="EE113" s="675">
        <v>0</v>
      </c>
      <c r="EF113" s="675">
        <v>0</v>
      </c>
      <c r="EG113" s="675">
        <v>0</v>
      </c>
      <c r="EH113" s="675">
        <v>309884</v>
      </c>
      <c r="EI113" s="675">
        <v>0</v>
      </c>
      <c r="EJ113" s="675">
        <v>0</v>
      </c>
      <c r="EK113" s="675">
        <v>14.317</v>
      </c>
      <c r="EL113" s="675">
        <v>0</v>
      </c>
      <c r="EM113" s="675">
        <v>0</v>
      </c>
      <c r="EN113" s="675">
        <v>1.4710000000000001</v>
      </c>
      <c r="EO113" s="675">
        <v>0</v>
      </c>
      <c r="EP113" s="675">
        <v>0</v>
      </c>
      <c r="EQ113" s="675">
        <v>15.788</v>
      </c>
      <c r="ER113" s="675">
        <v>0</v>
      </c>
      <c r="ES113" s="675">
        <v>50.306000000000004</v>
      </c>
      <c r="ET113" s="675">
        <v>0</v>
      </c>
      <c r="EU113" s="675">
        <v>0</v>
      </c>
      <c r="EV113" s="675">
        <v>0</v>
      </c>
      <c r="EW113" s="675">
        <v>0</v>
      </c>
      <c r="EX113" s="675">
        <v>0</v>
      </c>
      <c r="EY113" s="675">
        <v>0</v>
      </c>
      <c r="EZ113" s="675">
        <v>5201278</v>
      </c>
      <c r="FA113" s="675">
        <v>0</v>
      </c>
      <c r="FB113" s="675">
        <v>5480755</v>
      </c>
      <c r="FC113" s="675">
        <v>0</v>
      </c>
      <c r="FD113" s="675">
        <v>0</v>
      </c>
      <c r="FE113" s="675">
        <v>557641</v>
      </c>
      <c r="FF113" s="675">
        <v>115339</v>
      </c>
      <c r="FG113" s="675">
        <v>6.3574999999999993E-2</v>
      </c>
      <c r="FH113" s="675">
        <v>2.6298999999999999E-2</v>
      </c>
      <c r="FI113" s="675">
        <v>0</v>
      </c>
      <c r="FJ113" s="675">
        <v>0</v>
      </c>
      <c r="FK113" s="675">
        <v>889.95400000000006</v>
      </c>
      <c r="FL113" s="675">
        <v>6264202</v>
      </c>
      <c r="FM113" s="675">
        <v>0</v>
      </c>
      <c r="FN113" s="675">
        <v>0</v>
      </c>
      <c r="FO113" s="675">
        <v>0</v>
      </c>
      <c r="FP113" s="675">
        <v>0</v>
      </c>
      <c r="FQ113" s="675">
        <v>0</v>
      </c>
      <c r="FR113" s="675">
        <v>0</v>
      </c>
      <c r="FS113" s="675">
        <v>0</v>
      </c>
      <c r="FT113" s="675">
        <v>0</v>
      </c>
      <c r="FU113" s="675">
        <v>0</v>
      </c>
      <c r="FV113" s="675">
        <v>0</v>
      </c>
      <c r="FW113" s="675">
        <v>0</v>
      </c>
      <c r="FX113" s="675">
        <v>0</v>
      </c>
      <c r="FY113" s="675">
        <v>0</v>
      </c>
      <c r="FZ113" s="675">
        <v>0</v>
      </c>
      <c r="GA113" s="675">
        <v>0</v>
      </c>
      <c r="GB113" s="675">
        <v>0</v>
      </c>
      <c r="GC113" s="675">
        <v>0</v>
      </c>
      <c r="GD113" s="675">
        <v>0</v>
      </c>
      <c r="GE113" s="675">
        <v>0</v>
      </c>
      <c r="GF113" s="675">
        <v>0</v>
      </c>
      <c r="GG113" s="675">
        <v>0</v>
      </c>
      <c r="GH113" s="675">
        <v>0</v>
      </c>
      <c r="GI113" s="675">
        <v>0</v>
      </c>
      <c r="GJ113" s="675">
        <v>0</v>
      </c>
      <c r="GK113" s="675">
        <v>0</v>
      </c>
      <c r="GL113" s="675">
        <v>0</v>
      </c>
      <c r="GM113" s="675">
        <v>0</v>
      </c>
      <c r="GN113" s="675">
        <v>0</v>
      </c>
      <c r="GO113" s="675">
        <v>0</v>
      </c>
      <c r="GP113" s="675">
        <v>0</v>
      </c>
      <c r="GQ113" s="675">
        <v>0</v>
      </c>
      <c r="GR113" s="675">
        <v>0</v>
      </c>
      <c r="GS113" s="675">
        <v>0</v>
      </c>
      <c r="GT113" s="675">
        <v>0</v>
      </c>
      <c r="GU113" s="675">
        <v>0</v>
      </c>
      <c r="GV113" s="675">
        <v>0</v>
      </c>
      <c r="GW113" s="675">
        <v>0</v>
      </c>
      <c r="GX113" s="675">
        <v>0</v>
      </c>
      <c r="GY113" s="675">
        <v>0</v>
      </c>
      <c r="GZ113" s="675">
        <v>0</v>
      </c>
      <c r="HA113" s="675">
        <v>0</v>
      </c>
      <c r="HB113" s="675">
        <v>298386780</v>
      </c>
      <c r="HC113" s="675">
        <v>4.5690999999999996E-2</v>
      </c>
      <c r="HD113" s="675">
        <v>110467</v>
      </c>
      <c r="HE113" s="675">
        <v>0</v>
      </c>
      <c r="HF113" s="675">
        <v>647504</v>
      </c>
      <c r="HG113" s="675">
        <v>9240</v>
      </c>
      <c r="HH113" s="675">
        <v>120570</v>
      </c>
      <c r="HI113" s="675">
        <v>0</v>
      </c>
      <c r="HJ113" s="675">
        <v>5875</v>
      </c>
      <c r="HK113" s="675">
        <v>0</v>
      </c>
      <c r="HL113" s="675">
        <v>0</v>
      </c>
      <c r="HM113" s="675">
        <v>0</v>
      </c>
      <c r="HN113" s="675">
        <v>0</v>
      </c>
      <c r="HO113" s="675">
        <v>0</v>
      </c>
      <c r="HP113" s="675">
        <v>0</v>
      </c>
      <c r="HQ113" s="675">
        <v>0</v>
      </c>
      <c r="HR113" s="675">
        <v>0</v>
      </c>
      <c r="HS113" s="675">
        <v>5199944</v>
      </c>
      <c r="HT113" s="675">
        <v>115339</v>
      </c>
      <c r="HU113" s="675">
        <v>0</v>
      </c>
      <c r="HV113" s="675">
        <v>0</v>
      </c>
      <c r="HW113" s="675">
        <v>0</v>
      </c>
      <c r="HX113" s="675">
        <v>64</v>
      </c>
      <c r="HY113" s="675">
        <v>130</v>
      </c>
      <c r="HZ113" s="675">
        <v>99</v>
      </c>
      <c r="IA113" s="675">
        <v>77</v>
      </c>
      <c r="IB113" s="675">
        <v>77</v>
      </c>
      <c r="IC113" s="675">
        <v>447</v>
      </c>
      <c r="ID113" s="675">
        <v>0</v>
      </c>
      <c r="IE113" s="675">
        <v>0</v>
      </c>
      <c r="IF113" s="675">
        <v>0</v>
      </c>
      <c r="IG113" s="675">
        <v>15</v>
      </c>
      <c r="IH113" s="675">
        <v>195.732</v>
      </c>
      <c r="II113" s="675">
        <v>0</v>
      </c>
      <c r="IJ113" s="675">
        <v>71.638000000000005</v>
      </c>
      <c r="IK113" s="675">
        <v>0</v>
      </c>
      <c r="IL113" s="675">
        <v>0</v>
      </c>
      <c r="IM113" s="675">
        <v>0</v>
      </c>
      <c r="IN113" s="675">
        <v>0</v>
      </c>
      <c r="IO113" s="675">
        <v>0</v>
      </c>
      <c r="IP113" s="675">
        <v>0</v>
      </c>
      <c r="IQ113" s="675">
        <v>71.638000000000005</v>
      </c>
      <c r="IR113" s="675">
        <v>44129</v>
      </c>
      <c r="IS113" s="675">
        <v>0</v>
      </c>
      <c r="IT113" s="675">
        <v>0</v>
      </c>
      <c r="IU113" s="675">
        <v>0</v>
      </c>
      <c r="IV113" s="675">
        <v>0</v>
      </c>
      <c r="IW113" s="675">
        <v>6160</v>
      </c>
      <c r="IX113" s="675">
        <v>0</v>
      </c>
      <c r="IY113" s="675">
        <v>0</v>
      </c>
      <c r="IZ113" s="675">
        <v>0</v>
      </c>
      <c r="JA113" s="675">
        <v>0</v>
      </c>
      <c r="JB113" s="675">
        <v>0</v>
      </c>
      <c r="JC113" s="675">
        <v>0</v>
      </c>
      <c r="JD113" s="675">
        <v>0</v>
      </c>
      <c r="JE113" s="675">
        <v>0</v>
      </c>
      <c r="JF113" s="675">
        <v>0</v>
      </c>
      <c r="JG113" s="675">
        <v>0</v>
      </c>
      <c r="JH113" s="675">
        <v>0</v>
      </c>
      <c r="JI113" s="675">
        <v>0</v>
      </c>
      <c r="JJ113" s="675">
        <v>0</v>
      </c>
      <c r="JK113" s="675">
        <v>0</v>
      </c>
      <c r="JL113" s="675">
        <v>0</v>
      </c>
      <c r="JM113" s="675">
        <v>0</v>
      </c>
      <c r="JN113" s="675">
        <v>32469</v>
      </c>
      <c r="JO113" s="675">
        <v>0</v>
      </c>
      <c r="JP113" s="675">
        <v>0</v>
      </c>
      <c r="JQ113" s="675">
        <v>0</v>
      </c>
      <c r="JR113" s="675">
        <v>0</v>
      </c>
      <c r="JS113" s="675">
        <v>0</v>
      </c>
      <c r="JT113" s="675">
        <v>0</v>
      </c>
      <c r="JU113" s="675">
        <v>13031</v>
      </c>
      <c r="JV113" s="675">
        <v>0</v>
      </c>
      <c r="JW113" s="675">
        <v>0</v>
      </c>
      <c r="JX113" s="675">
        <v>0</v>
      </c>
      <c r="JY113" s="675">
        <v>0</v>
      </c>
      <c r="JZ113" s="675">
        <v>0</v>
      </c>
      <c r="KA113" s="675">
        <v>0</v>
      </c>
      <c r="KB113" s="675">
        <v>0</v>
      </c>
      <c r="KC113" s="675">
        <v>0</v>
      </c>
      <c r="KD113" s="675">
        <v>13032</v>
      </c>
      <c r="KE113" s="675">
        <v>7260</v>
      </c>
      <c r="KF113" s="675">
        <v>0</v>
      </c>
      <c r="KG113" s="675">
        <v>0</v>
      </c>
      <c r="KH113" s="675">
        <v>0</v>
      </c>
      <c r="KI113" s="675">
        <v>0</v>
      </c>
    </row>
    <row r="114" spans="1:295" ht="12.5" x14ac:dyDescent="0.25">
      <c r="A114" s="675">
        <v>35795</v>
      </c>
      <c r="B114" s="675">
        <v>57816</v>
      </c>
      <c r="C114" s="675">
        <v>9</v>
      </c>
      <c r="D114" s="675">
        <v>2022</v>
      </c>
      <c r="E114" s="675">
        <v>6160</v>
      </c>
      <c r="F114" s="675">
        <v>0</v>
      </c>
      <c r="G114" s="675">
        <v>858.15300000000002</v>
      </c>
      <c r="H114" s="675">
        <v>845.93600000000004</v>
      </c>
      <c r="I114" s="675">
        <v>845.93600000000004</v>
      </c>
      <c r="J114" s="675">
        <v>858.15300000000002</v>
      </c>
      <c r="K114" s="675">
        <v>0</v>
      </c>
      <c r="L114" s="675">
        <v>6160</v>
      </c>
      <c r="M114" s="675">
        <v>0</v>
      </c>
      <c r="N114" s="675">
        <v>0</v>
      </c>
      <c r="O114" s="675">
        <v>0</v>
      </c>
      <c r="P114" s="675">
        <v>1098.76</v>
      </c>
      <c r="Q114" s="675">
        <v>0</v>
      </c>
      <c r="R114" s="675">
        <v>442172</v>
      </c>
      <c r="S114" s="675">
        <v>402.428</v>
      </c>
      <c r="T114" s="675">
        <v>0</v>
      </c>
      <c r="U114" s="675">
        <v>235134</v>
      </c>
      <c r="V114" s="675">
        <v>6.5170000000000003</v>
      </c>
      <c r="W114" s="675">
        <v>6786</v>
      </c>
      <c r="X114" s="675">
        <v>6786</v>
      </c>
      <c r="Y114" s="675">
        <v>0</v>
      </c>
      <c r="Z114" s="675">
        <v>0</v>
      </c>
      <c r="AA114" s="675">
        <v>0</v>
      </c>
      <c r="AB114" s="675">
        <v>0</v>
      </c>
      <c r="AC114" s="675">
        <v>0</v>
      </c>
      <c r="AD114" s="675" t="s">
        <v>316</v>
      </c>
      <c r="AE114" s="675">
        <v>0</v>
      </c>
      <c r="AF114" s="675">
        <v>0</v>
      </c>
      <c r="AG114" s="675">
        <v>0</v>
      </c>
      <c r="AH114" s="675">
        <v>0</v>
      </c>
      <c r="AI114" s="675">
        <v>0</v>
      </c>
      <c r="AJ114" s="675">
        <v>6160</v>
      </c>
      <c r="AK114" s="675" t="s">
        <v>671</v>
      </c>
      <c r="AL114" s="675" t="s">
        <v>431</v>
      </c>
      <c r="AM114" s="675">
        <v>0</v>
      </c>
      <c r="AN114" s="675">
        <v>0</v>
      </c>
      <c r="AO114" s="675">
        <v>0</v>
      </c>
      <c r="AP114" s="675">
        <v>0</v>
      </c>
      <c r="AQ114" s="675">
        <v>0</v>
      </c>
      <c r="AR114" s="675">
        <v>0</v>
      </c>
      <c r="AS114" s="675">
        <v>0</v>
      </c>
      <c r="AT114" s="675">
        <v>0</v>
      </c>
      <c r="AU114" s="675">
        <v>0</v>
      </c>
      <c r="AV114" s="675">
        <v>-367989</v>
      </c>
      <c r="AW114" s="675">
        <v>8859508</v>
      </c>
      <c r="AX114" s="675">
        <v>8703748</v>
      </c>
      <c r="AY114" s="675">
        <v>6153539</v>
      </c>
      <c r="AZ114" s="675">
        <v>442172</v>
      </c>
      <c r="BA114" s="675">
        <v>0</v>
      </c>
      <c r="BB114" s="675">
        <v>0</v>
      </c>
      <c r="BC114" s="675">
        <v>0</v>
      </c>
      <c r="BD114" s="675">
        <v>0</v>
      </c>
      <c r="BE114" s="675">
        <v>0</v>
      </c>
      <c r="BF114" s="675">
        <v>8145249</v>
      </c>
      <c r="BG114" s="675">
        <v>0</v>
      </c>
      <c r="BH114" s="675">
        <v>0</v>
      </c>
      <c r="BI114" s="675">
        <v>0</v>
      </c>
      <c r="BJ114" s="675">
        <v>12</v>
      </c>
      <c r="BK114" s="675">
        <v>0</v>
      </c>
      <c r="BL114" s="675">
        <v>0</v>
      </c>
      <c r="BM114" s="675">
        <v>0</v>
      </c>
      <c r="BN114" s="675">
        <v>0</v>
      </c>
      <c r="BO114" s="675">
        <v>0</v>
      </c>
      <c r="BP114" s="675">
        <v>0</v>
      </c>
      <c r="BQ114" s="675">
        <v>640</v>
      </c>
      <c r="BR114" s="675">
        <v>0</v>
      </c>
      <c r="BS114" s="675">
        <v>0</v>
      </c>
      <c r="BT114" s="675">
        <v>0</v>
      </c>
      <c r="BU114" s="675">
        <v>0</v>
      </c>
      <c r="BV114" s="675">
        <v>0</v>
      </c>
      <c r="BW114" s="675">
        <v>0</v>
      </c>
      <c r="BX114" s="675">
        <v>0</v>
      </c>
      <c r="BY114" s="675">
        <v>0</v>
      </c>
      <c r="BZ114" s="675">
        <v>0</v>
      </c>
      <c r="CA114" s="675">
        <v>0</v>
      </c>
      <c r="CB114" s="675">
        <v>0</v>
      </c>
      <c r="CC114" s="675">
        <v>0</v>
      </c>
      <c r="CD114" s="675">
        <v>0</v>
      </c>
      <c r="CE114" s="675">
        <v>0</v>
      </c>
      <c r="CF114" s="675">
        <v>0</v>
      </c>
      <c r="CG114" s="675">
        <v>0</v>
      </c>
      <c r="CH114" s="675">
        <v>156838</v>
      </c>
      <c r="CI114" s="675">
        <v>0</v>
      </c>
      <c r="CJ114" s="675">
        <v>4</v>
      </c>
      <c r="CK114" s="675">
        <v>0</v>
      </c>
      <c r="CL114" s="675">
        <v>0</v>
      </c>
      <c r="CM114" s="675">
        <v>0</v>
      </c>
      <c r="CN114" s="675">
        <v>0</v>
      </c>
      <c r="CO114" s="675">
        <v>1</v>
      </c>
      <c r="CP114" s="675">
        <v>0</v>
      </c>
      <c r="CQ114" s="675">
        <v>0</v>
      </c>
      <c r="CR114" s="675">
        <v>1026.444</v>
      </c>
      <c r="CS114" s="675">
        <v>0</v>
      </c>
      <c r="CT114" s="675">
        <v>0</v>
      </c>
      <c r="CU114" s="675">
        <v>0</v>
      </c>
      <c r="CV114" s="675">
        <v>0</v>
      </c>
      <c r="CW114" s="675">
        <v>0</v>
      </c>
      <c r="CX114" s="675">
        <v>0</v>
      </c>
      <c r="CY114" s="675">
        <v>0</v>
      </c>
      <c r="CZ114" s="675">
        <v>0</v>
      </c>
      <c r="DA114" s="675">
        <v>0</v>
      </c>
      <c r="DB114" s="675">
        <v>5022800</v>
      </c>
      <c r="DC114" s="675">
        <v>0</v>
      </c>
      <c r="DD114" s="675">
        <v>0</v>
      </c>
      <c r="DE114" s="675">
        <v>1471617</v>
      </c>
      <c r="DF114" s="675">
        <v>1471617</v>
      </c>
      <c r="DG114" s="675">
        <v>238.9</v>
      </c>
      <c r="DH114" s="675">
        <v>0</v>
      </c>
      <c r="DI114" s="675">
        <v>0</v>
      </c>
      <c r="DJ114" s="675">
        <v>0</v>
      </c>
      <c r="DK114" s="675">
        <v>1858</v>
      </c>
      <c r="DL114" s="675">
        <v>0</v>
      </c>
      <c r="DM114" s="675">
        <v>471198</v>
      </c>
      <c r="DN114" s="675">
        <v>1078</v>
      </c>
      <c r="DO114" s="675">
        <v>0</v>
      </c>
      <c r="DP114" s="675">
        <v>0</v>
      </c>
      <c r="DQ114" s="675">
        <v>0</v>
      </c>
      <c r="DR114" s="675">
        <v>0</v>
      </c>
      <c r="DS114" s="675">
        <v>0</v>
      </c>
      <c r="DT114" s="675">
        <v>0</v>
      </c>
      <c r="DU114" s="675">
        <v>0</v>
      </c>
      <c r="DV114" s="675">
        <v>0</v>
      </c>
      <c r="DW114" s="675">
        <v>0</v>
      </c>
      <c r="DX114" s="675">
        <v>0</v>
      </c>
      <c r="DY114" s="675">
        <v>0</v>
      </c>
      <c r="DZ114" s="675">
        <v>0</v>
      </c>
      <c r="EA114" s="675">
        <v>0</v>
      </c>
      <c r="EB114" s="675">
        <v>0</v>
      </c>
      <c r="EC114" s="675">
        <v>6.0529999999999999</v>
      </c>
      <c r="ED114" s="675">
        <v>42879</v>
      </c>
      <c r="EE114" s="675">
        <v>0</v>
      </c>
      <c r="EF114" s="675">
        <v>0</v>
      </c>
      <c r="EG114" s="675">
        <v>0</v>
      </c>
      <c r="EH114" s="675">
        <v>241255</v>
      </c>
      <c r="EI114" s="675">
        <v>0</v>
      </c>
      <c r="EJ114" s="675">
        <v>0</v>
      </c>
      <c r="EK114" s="675">
        <v>10.263</v>
      </c>
      <c r="EL114" s="675">
        <v>0</v>
      </c>
      <c r="EM114" s="675">
        <v>0.69700000000000006</v>
      </c>
      <c r="EN114" s="675">
        <v>1.2570000000000001</v>
      </c>
      <c r="EO114" s="675">
        <v>0</v>
      </c>
      <c r="EP114" s="675">
        <v>0</v>
      </c>
      <c r="EQ114" s="675">
        <v>12.217000000000001</v>
      </c>
      <c r="ER114" s="675">
        <v>0</v>
      </c>
      <c r="ES114" s="675">
        <v>39.164999999999999</v>
      </c>
      <c r="ET114" s="675">
        <v>0</v>
      </c>
      <c r="EU114" s="675">
        <v>0</v>
      </c>
      <c r="EV114" s="675">
        <v>0</v>
      </c>
      <c r="EW114" s="675">
        <v>0</v>
      </c>
      <c r="EX114" s="675">
        <v>0</v>
      </c>
      <c r="EY114" s="675">
        <v>0</v>
      </c>
      <c r="EZ114" s="675">
        <v>7703839</v>
      </c>
      <c r="FA114" s="675">
        <v>0</v>
      </c>
      <c r="FB114" s="675">
        <v>8144933</v>
      </c>
      <c r="FC114" s="675">
        <v>0</v>
      </c>
      <c r="FD114" s="675">
        <v>0</v>
      </c>
      <c r="FE114" s="675">
        <v>828539</v>
      </c>
      <c r="FF114" s="675">
        <v>171370</v>
      </c>
      <c r="FG114" s="675">
        <v>6.3574999999999993E-2</v>
      </c>
      <c r="FH114" s="675">
        <v>2.6298999999999999E-2</v>
      </c>
      <c r="FI114" s="675">
        <v>0</v>
      </c>
      <c r="FJ114" s="675">
        <v>0</v>
      </c>
      <c r="FK114" s="675">
        <v>1322.287</v>
      </c>
      <c r="FL114" s="675">
        <v>9301680</v>
      </c>
      <c r="FM114" s="675">
        <v>0</v>
      </c>
      <c r="FN114" s="675">
        <v>0</v>
      </c>
      <c r="FO114" s="675">
        <v>762</v>
      </c>
      <c r="FP114" s="675">
        <v>0</v>
      </c>
      <c r="FQ114" s="675">
        <v>762</v>
      </c>
      <c r="FR114" s="675">
        <v>762</v>
      </c>
      <c r="FS114" s="675">
        <v>0</v>
      </c>
      <c r="FT114" s="675">
        <v>0</v>
      </c>
      <c r="FU114" s="675">
        <v>0</v>
      </c>
      <c r="FV114" s="675">
        <v>0</v>
      </c>
      <c r="FW114" s="675">
        <v>0</v>
      </c>
      <c r="FX114" s="675">
        <v>0</v>
      </c>
      <c r="FY114" s="675">
        <v>0</v>
      </c>
      <c r="FZ114" s="675">
        <v>0</v>
      </c>
      <c r="GA114" s="675">
        <v>0</v>
      </c>
      <c r="GB114" s="675">
        <v>0</v>
      </c>
      <c r="GC114" s="675">
        <v>0</v>
      </c>
      <c r="GD114" s="675">
        <v>0</v>
      </c>
      <c r="GE114" s="675">
        <v>0</v>
      </c>
      <c r="GF114" s="675">
        <v>0</v>
      </c>
      <c r="GG114" s="675">
        <v>0</v>
      </c>
      <c r="GH114" s="675">
        <v>0</v>
      </c>
      <c r="GI114" s="675">
        <v>0</v>
      </c>
      <c r="GJ114" s="675">
        <v>0</v>
      </c>
      <c r="GK114" s="675">
        <v>0</v>
      </c>
      <c r="GL114" s="675">
        <v>0</v>
      </c>
      <c r="GM114" s="675">
        <v>0</v>
      </c>
      <c r="GN114" s="675">
        <v>0</v>
      </c>
      <c r="GO114" s="675">
        <v>0</v>
      </c>
      <c r="GP114" s="675">
        <v>0</v>
      </c>
      <c r="GQ114" s="675">
        <v>0</v>
      </c>
      <c r="GR114" s="675">
        <v>0</v>
      </c>
      <c r="GS114" s="675">
        <v>0</v>
      </c>
      <c r="GT114" s="675">
        <v>0</v>
      </c>
      <c r="GU114" s="675">
        <v>0</v>
      </c>
      <c r="GV114" s="675">
        <v>0</v>
      </c>
      <c r="GW114" s="675">
        <v>0</v>
      </c>
      <c r="GX114" s="675">
        <v>0</v>
      </c>
      <c r="GY114" s="675">
        <v>0</v>
      </c>
      <c r="GZ114" s="675">
        <v>0</v>
      </c>
      <c r="HA114" s="675">
        <v>0</v>
      </c>
      <c r="HB114" s="675">
        <v>298386780</v>
      </c>
      <c r="HC114" s="675">
        <v>4.5690999999999996E-2</v>
      </c>
      <c r="HD114" s="675">
        <v>156838</v>
      </c>
      <c r="HE114" s="675">
        <v>0</v>
      </c>
      <c r="HF114" s="675">
        <v>930530</v>
      </c>
      <c r="HG114" s="675">
        <v>14757</v>
      </c>
      <c r="HH114" s="675">
        <v>218142</v>
      </c>
      <c r="HI114" s="675">
        <v>0</v>
      </c>
      <c r="HJ114" s="675">
        <v>8341</v>
      </c>
      <c r="HK114" s="675">
        <v>0</v>
      </c>
      <c r="HL114" s="675">
        <v>0</v>
      </c>
      <c r="HM114" s="675">
        <v>0</v>
      </c>
      <c r="HN114" s="675">
        <v>0</v>
      </c>
      <c r="HO114" s="675">
        <v>0</v>
      </c>
      <c r="HP114" s="675">
        <v>0</v>
      </c>
      <c r="HQ114" s="675">
        <v>0</v>
      </c>
      <c r="HR114" s="675">
        <v>0</v>
      </c>
      <c r="HS114" s="675">
        <v>7702761</v>
      </c>
      <c r="HT114" s="675">
        <v>171370</v>
      </c>
      <c r="HU114" s="675">
        <v>0</v>
      </c>
      <c r="HV114" s="675">
        <v>0</v>
      </c>
      <c r="HW114" s="675">
        <v>0</v>
      </c>
      <c r="HX114" s="675">
        <v>73</v>
      </c>
      <c r="HY114" s="675">
        <v>132</v>
      </c>
      <c r="HZ114" s="675">
        <v>79</v>
      </c>
      <c r="IA114" s="675">
        <v>194</v>
      </c>
      <c r="IB114" s="675">
        <v>438</v>
      </c>
      <c r="IC114" s="675">
        <v>916</v>
      </c>
      <c r="ID114" s="675">
        <v>0</v>
      </c>
      <c r="IE114" s="675">
        <v>3</v>
      </c>
      <c r="IF114" s="675">
        <v>0</v>
      </c>
      <c r="IG114" s="675">
        <v>23.957000000000001</v>
      </c>
      <c r="IH114" s="675">
        <v>354.12800000000004</v>
      </c>
      <c r="II114" s="675">
        <v>0</v>
      </c>
      <c r="IJ114" s="675">
        <v>9.5170000000000012</v>
      </c>
      <c r="IK114" s="675">
        <v>0</v>
      </c>
      <c r="IL114" s="675">
        <v>0</v>
      </c>
      <c r="IM114" s="675">
        <v>0</v>
      </c>
      <c r="IN114" s="675">
        <v>0</v>
      </c>
      <c r="IO114" s="675">
        <v>0</v>
      </c>
      <c r="IP114" s="675">
        <v>0</v>
      </c>
      <c r="IQ114" s="675">
        <v>6.5170000000000003</v>
      </c>
      <c r="IR114" s="675">
        <v>4014</v>
      </c>
      <c r="IS114" s="675">
        <v>0</v>
      </c>
      <c r="IT114" s="675">
        <v>0</v>
      </c>
      <c r="IU114" s="675">
        <v>0</v>
      </c>
      <c r="IV114" s="675">
        <v>0</v>
      </c>
      <c r="IW114" s="675">
        <v>6160</v>
      </c>
      <c r="IX114" s="675">
        <v>2772</v>
      </c>
      <c r="IY114" s="675">
        <v>0</v>
      </c>
      <c r="IZ114" s="675">
        <v>0</v>
      </c>
      <c r="JA114" s="675">
        <v>0</v>
      </c>
      <c r="JB114" s="675">
        <v>0</v>
      </c>
      <c r="JC114" s="675">
        <v>0</v>
      </c>
      <c r="JD114" s="675">
        <v>0</v>
      </c>
      <c r="JE114" s="675">
        <v>0</v>
      </c>
      <c r="JF114" s="675">
        <v>0</v>
      </c>
      <c r="JG114" s="675">
        <v>0</v>
      </c>
      <c r="JH114" s="675">
        <v>0</v>
      </c>
      <c r="JI114" s="675">
        <v>0</v>
      </c>
      <c r="JJ114" s="675">
        <v>0</v>
      </c>
      <c r="JK114" s="675">
        <v>0</v>
      </c>
      <c r="JL114" s="675">
        <v>0</v>
      </c>
      <c r="JM114" s="675">
        <v>0</v>
      </c>
      <c r="JN114" s="675">
        <v>32469</v>
      </c>
      <c r="JO114" s="675">
        <v>0</v>
      </c>
      <c r="JP114" s="675">
        <v>0</v>
      </c>
      <c r="JQ114" s="675">
        <v>0</v>
      </c>
      <c r="JR114" s="675">
        <v>0</v>
      </c>
      <c r="JS114" s="675">
        <v>0</v>
      </c>
      <c r="JT114" s="675">
        <v>0</v>
      </c>
      <c r="JU114" s="675">
        <v>0</v>
      </c>
      <c r="JV114" s="675">
        <v>0</v>
      </c>
      <c r="JW114" s="675">
        <v>0</v>
      </c>
      <c r="JX114" s="675">
        <v>0</v>
      </c>
      <c r="JY114" s="675">
        <v>0</v>
      </c>
      <c r="JZ114" s="675">
        <v>0</v>
      </c>
      <c r="KA114" s="675">
        <v>0</v>
      </c>
      <c r="KB114" s="675">
        <v>0</v>
      </c>
      <c r="KC114" s="675">
        <v>0</v>
      </c>
      <c r="KD114" s="675">
        <v>0</v>
      </c>
      <c r="KE114" s="675">
        <v>7260</v>
      </c>
      <c r="KF114" s="675">
        <v>0</v>
      </c>
      <c r="KG114" s="675">
        <v>0</v>
      </c>
      <c r="KH114" s="675">
        <v>0</v>
      </c>
      <c r="KI114" s="675">
        <v>0</v>
      </c>
    </row>
    <row r="115" spans="1:295" ht="12.5" x14ac:dyDescent="0.25">
      <c r="A115" s="675">
        <v>35795</v>
      </c>
      <c r="B115" s="675">
        <v>227816</v>
      </c>
      <c r="C115" s="675">
        <v>9</v>
      </c>
      <c r="D115" s="675">
        <v>2022</v>
      </c>
      <c r="E115" s="675">
        <v>6160</v>
      </c>
      <c r="F115" s="675">
        <v>0</v>
      </c>
      <c r="G115" s="675">
        <v>3850.1020000000003</v>
      </c>
      <c r="H115" s="675">
        <v>3593.8970000000004</v>
      </c>
      <c r="I115" s="675">
        <v>3593.8970000000004</v>
      </c>
      <c r="J115" s="675">
        <v>3850.1020000000003</v>
      </c>
      <c r="K115" s="675">
        <v>0</v>
      </c>
      <c r="L115" s="675">
        <v>6160</v>
      </c>
      <c r="M115" s="675">
        <v>0</v>
      </c>
      <c r="N115" s="675">
        <v>0</v>
      </c>
      <c r="O115" s="675">
        <v>0</v>
      </c>
      <c r="P115" s="675">
        <v>4158.2380000000003</v>
      </c>
      <c r="Q115" s="675">
        <v>0</v>
      </c>
      <c r="R115" s="675">
        <v>1673391</v>
      </c>
      <c r="S115" s="675">
        <v>402.428</v>
      </c>
      <c r="T115" s="675">
        <v>0</v>
      </c>
      <c r="U115" s="675">
        <v>889868</v>
      </c>
      <c r="V115" s="675">
        <v>1771.2240000000002</v>
      </c>
      <c r="W115" s="675">
        <v>1091069</v>
      </c>
      <c r="X115" s="675">
        <v>1091069</v>
      </c>
      <c r="Y115" s="675">
        <v>0</v>
      </c>
      <c r="Z115" s="675">
        <v>0</v>
      </c>
      <c r="AA115" s="675">
        <v>0</v>
      </c>
      <c r="AB115" s="675">
        <v>0</v>
      </c>
      <c r="AC115" s="675">
        <v>0</v>
      </c>
      <c r="AD115" s="675" t="s">
        <v>316</v>
      </c>
      <c r="AE115" s="675">
        <v>0</v>
      </c>
      <c r="AF115" s="675">
        <v>0</v>
      </c>
      <c r="AG115" s="675">
        <v>0</v>
      </c>
      <c r="AH115" s="675">
        <v>0</v>
      </c>
      <c r="AI115" s="675">
        <v>0</v>
      </c>
      <c r="AJ115" s="675">
        <v>6160</v>
      </c>
      <c r="AK115" s="675" t="s">
        <v>671</v>
      </c>
      <c r="AL115" s="675" t="s">
        <v>902</v>
      </c>
      <c r="AM115" s="675">
        <v>0</v>
      </c>
      <c r="AN115" s="675">
        <v>0</v>
      </c>
      <c r="AO115" s="675">
        <v>0</v>
      </c>
      <c r="AP115" s="675">
        <v>0</v>
      </c>
      <c r="AQ115" s="675">
        <v>0</v>
      </c>
      <c r="AR115" s="675">
        <v>0</v>
      </c>
      <c r="AS115" s="675">
        <v>0</v>
      </c>
      <c r="AT115" s="675">
        <v>0</v>
      </c>
      <c r="AU115" s="675">
        <v>0</v>
      </c>
      <c r="AV115" s="675">
        <v>-221421</v>
      </c>
      <c r="AW115" s="675">
        <v>40348594</v>
      </c>
      <c r="AX115" s="675">
        <v>39653040</v>
      </c>
      <c r="AY115" s="675">
        <v>27068878</v>
      </c>
      <c r="AZ115" s="675">
        <v>1673391</v>
      </c>
      <c r="BA115" s="675">
        <v>0</v>
      </c>
      <c r="BB115" s="675">
        <v>83008</v>
      </c>
      <c r="BC115" s="675">
        <v>82472</v>
      </c>
      <c r="BD115" s="675">
        <v>192.505</v>
      </c>
      <c r="BE115" s="675">
        <v>536</v>
      </c>
      <c r="BF115" s="675">
        <v>36798094</v>
      </c>
      <c r="BG115" s="675">
        <v>0</v>
      </c>
      <c r="BH115" s="675">
        <v>0</v>
      </c>
      <c r="BI115" s="675">
        <v>0</v>
      </c>
      <c r="BJ115" s="675">
        <v>12</v>
      </c>
      <c r="BK115" s="675">
        <v>0</v>
      </c>
      <c r="BL115" s="675">
        <v>0</v>
      </c>
      <c r="BM115" s="675">
        <v>0</v>
      </c>
      <c r="BN115" s="675">
        <v>0</v>
      </c>
      <c r="BO115" s="675">
        <v>0</v>
      </c>
      <c r="BP115" s="675">
        <v>0</v>
      </c>
      <c r="BQ115" s="675">
        <v>217</v>
      </c>
      <c r="BR115" s="675">
        <v>0</v>
      </c>
      <c r="BS115" s="675">
        <v>0</v>
      </c>
      <c r="BT115" s="675">
        <v>0</v>
      </c>
      <c r="BU115" s="675">
        <v>0</v>
      </c>
      <c r="BV115" s="675">
        <v>0</v>
      </c>
      <c r="BW115" s="675">
        <v>0</v>
      </c>
      <c r="BX115" s="675">
        <v>0</v>
      </c>
      <c r="BY115" s="675">
        <v>0</v>
      </c>
      <c r="BZ115" s="675">
        <v>0</v>
      </c>
      <c r="CA115" s="675">
        <v>0</v>
      </c>
      <c r="CB115" s="675">
        <v>0</v>
      </c>
      <c r="CC115" s="675">
        <v>0</v>
      </c>
      <c r="CD115" s="675">
        <v>0</v>
      </c>
      <c r="CE115" s="675">
        <v>0</v>
      </c>
      <c r="CF115" s="675">
        <v>0</v>
      </c>
      <c r="CG115" s="675">
        <v>0</v>
      </c>
      <c r="CH115" s="675">
        <v>703655</v>
      </c>
      <c r="CI115" s="675">
        <v>0</v>
      </c>
      <c r="CJ115" s="675">
        <v>4</v>
      </c>
      <c r="CK115" s="675">
        <v>0</v>
      </c>
      <c r="CL115" s="675">
        <v>0</v>
      </c>
      <c r="CM115" s="675">
        <v>0</v>
      </c>
      <c r="CN115" s="675">
        <v>0</v>
      </c>
      <c r="CO115" s="675">
        <v>1</v>
      </c>
      <c r="CP115" s="675">
        <v>0</v>
      </c>
      <c r="CQ115" s="675">
        <v>0</v>
      </c>
      <c r="CR115" s="675">
        <v>4199.0839999999998</v>
      </c>
      <c r="CS115" s="675">
        <v>0</v>
      </c>
      <c r="CT115" s="675">
        <v>0</v>
      </c>
      <c r="CU115" s="675">
        <v>0</v>
      </c>
      <c r="CV115" s="675">
        <v>0</v>
      </c>
      <c r="CW115" s="675">
        <v>0</v>
      </c>
      <c r="CX115" s="675">
        <v>0</v>
      </c>
      <c r="CY115" s="675">
        <v>0</v>
      </c>
      <c r="CZ115" s="675">
        <v>0</v>
      </c>
      <c r="DA115" s="675">
        <v>0</v>
      </c>
      <c r="DB115" s="675">
        <v>21884492</v>
      </c>
      <c r="DC115" s="675">
        <v>0</v>
      </c>
      <c r="DD115" s="675">
        <v>0</v>
      </c>
      <c r="DE115" s="675">
        <v>4319911</v>
      </c>
      <c r="DF115" s="675">
        <v>4319911</v>
      </c>
      <c r="DG115" s="675">
        <v>701.28800000000001</v>
      </c>
      <c r="DH115" s="675">
        <v>0</v>
      </c>
      <c r="DI115" s="675">
        <v>0</v>
      </c>
      <c r="DJ115" s="675">
        <v>0</v>
      </c>
      <c r="DK115" s="675">
        <v>0</v>
      </c>
      <c r="DL115" s="675">
        <v>0</v>
      </c>
      <c r="DM115" s="675">
        <v>2239996</v>
      </c>
      <c r="DN115" s="675">
        <v>7565</v>
      </c>
      <c r="DO115" s="675">
        <v>0</v>
      </c>
      <c r="DP115" s="675">
        <v>0</v>
      </c>
      <c r="DQ115" s="675">
        <v>0</v>
      </c>
      <c r="DR115" s="675">
        <v>0</v>
      </c>
      <c r="DS115" s="675">
        <v>0</v>
      </c>
      <c r="DT115" s="675">
        <v>0</v>
      </c>
      <c r="DU115" s="675">
        <v>0</v>
      </c>
      <c r="DV115" s="675">
        <v>0</v>
      </c>
      <c r="DW115" s="675">
        <v>0</v>
      </c>
      <c r="DX115" s="675">
        <v>0</v>
      </c>
      <c r="DY115" s="675">
        <v>0</v>
      </c>
      <c r="DZ115" s="675">
        <v>0</v>
      </c>
      <c r="EA115" s="675">
        <v>0</v>
      </c>
      <c r="EB115" s="675">
        <v>0</v>
      </c>
      <c r="EC115" s="675">
        <v>73.421999999999997</v>
      </c>
      <c r="ED115" s="675">
        <v>520119</v>
      </c>
      <c r="EE115" s="675">
        <v>0</v>
      </c>
      <c r="EF115" s="675">
        <v>0</v>
      </c>
      <c r="EG115" s="675">
        <v>0</v>
      </c>
      <c r="EH115" s="675">
        <v>1473631</v>
      </c>
      <c r="EI115" s="675">
        <v>0</v>
      </c>
      <c r="EJ115" s="675">
        <v>0</v>
      </c>
      <c r="EK115" s="675">
        <v>60.133000000000003</v>
      </c>
      <c r="EL115" s="675">
        <v>0</v>
      </c>
      <c r="EM115" s="675">
        <v>10.266</v>
      </c>
      <c r="EN115" s="675">
        <v>5.6059999999999999</v>
      </c>
      <c r="EO115" s="675">
        <v>0</v>
      </c>
      <c r="EP115" s="675">
        <v>0</v>
      </c>
      <c r="EQ115" s="675">
        <v>76.00500000000001</v>
      </c>
      <c r="ER115" s="675">
        <v>0</v>
      </c>
      <c r="ES115" s="675">
        <v>239.227</v>
      </c>
      <c r="ET115" s="675">
        <v>0</v>
      </c>
      <c r="EU115" s="675">
        <v>0</v>
      </c>
      <c r="EV115" s="675">
        <v>0</v>
      </c>
      <c r="EW115" s="675">
        <v>0</v>
      </c>
      <c r="EX115" s="675">
        <v>0</v>
      </c>
      <c r="EY115" s="675">
        <v>0</v>
      </c>
      <c r="EZ115" s="675">
        <v>35135715</v>
      </c>
      <c r="FA115" s="675">
        <v>0</v>
      </c>
      <c r="FB115" s="675">
        <v>36801005</v>
      </c>
      <c r="FC115" s="675">
        <v>0</v>
      </c>
      <c r="FD115" s="675">
        <v>0</v>
      </c>
      <c r="FE115" s="675">
        <v>3743119</v>
      </c>
      <c r="FF115" s="675">
        <v>774206</v>
      </c>
      <c r="FG115" s="675">
        <v>6.3574999999999993E-2</v>
      </c>
      <c r="FH115" s="675">
        <v>2.6298999999999999E-2</v>
      </c>
      <c r="FI115" s="675">
        <v>0</v>
      </c>
      <c r="FJ115" s="675">
        <v>0</v>
      </c>
      <c r="FK115" s="675">
        <v>5973.7440000000006</v>
      </c>
      <c r="FL115" s="675">
        <v>42021985</v>
      </c>
      <c r="FM115" s="675">
        <v>0</v>
      </c>
      <c r="FN115" s="675">
        <v>0</v>
      </c>
      <c r="FO115" s="675">
        <v>0</v>
      </c>
      <c r="FP115" s="675">
        <v>0</v>
      </c>
      <c r="FQ115" s="675">
        <v>0</v>
      </c>
      <c r="FR115" s="675">
        <v>0</v>
      </c>
      <c r="FS115" s="675">
        <v>0</v>
      </c>
      <c r="FT115" s="675">
        <v>0</v>
      </c>
      <c r="FU115" s="675">
        <v>0</v>
      </c>
      <c r="FV115" s="675">
        <v>0</v>
      </c>
      <c r="FW115" s="675">
        <v>0</v>
      </c>
      <c r="FX115" s="675">
        <v>0</v>
      </c>
      <c r="FY115" s="675">
        <v>0</v>
      </c>
      <c r="FZ115" s="675">
        <v>0</v>
      </c>
      <c r="GA115" s="675">
        <v>0</v>
      </c>
      <c r="GB115" s="675">
        <v>1781665</v>
      </c>
      <c r="GC115" s="675">
        <v>1781665</v>
      </c>
      <c r="GD115" s="675">
        <v>180.20000000000002</v>
      </c>
      <c r="GE115" s="675">
        <v>0</v>
      </c>
      <c r="GF115" s="675">
        <v>0</v>
      </c>
      <c r="GG115" s="675">
        <v>0</v>
      </c>
      <c r="GH115" s="675">
        <v>0</v>
      </c>
      <c r="GI115" s="675">
        <v>0</v>
      </c>
      <c r="GJ115" s="675">
        <v>0</v>
      </c>
      <c r="GK115" s="675">
        <v>0</v>
      </c>
      <c r="GL115" s="675">
        <v>0</v>
      </c>
      <c r="GM115" s="675">
        <v>0</v>
      </c>
      <c r="GN115" s="675">
        <v>0</v>
      </c>
      <c r="GO115" s="675">
        <v>0</v>
      </c>
      <c r="GP115" s="675">
        <v>0</v>
      </c>
      <c r="GQ115" s="675">
        <v>0</v>
      </c>
      <c r="GR115" s="675">
        <v>0</v>
      </c>
      <c r="GS115" s="675">
        <v>0</v>
      </c>
      <c r="GT115" s="675">
        <v>0</v>
      </c>
      <c r="GU115" s="675">
        <v>0</v>
      </c>
      <c r="GV115" s="675">
        <v>0</v>
      </c>
      <c r="GW115" s="675">
        <v>0</v>
      </c>
      <c r="GX115" s="675">
        <v>0</v>
      </c>
      <c r="GY115" s="675">
        <v>0</v>
      </c>
      <c r="GZ115" s="675">
        <v>0</v>
      </c>
      <c r="HA115" s="675">
        <v>0</v>
      </c>
      <c r="HB115" s="675">
        <v>298386780</v>
      </c>
      <c r="HC115" s="675">
        <v>4.5690999999999996E-2</v>
      </c>
      <c r="HD115" s="675">
        <v>703655</v>
      </c>
      <c r="HE115" s="675">
        <v>0</v>
      </c>
      <c r="HF115" s="675">
        <v>3953287</v>
      </c>
      <c r="HG115" s="675">
        <v>74536</v>
      </c>
      <c r="HH115" s="675">
        <v>752736</v>
      </c>
      <c r="HI115" s="675">
        <v>0</v>
      </c>
      <c r="HJ115" s="675">
        <v>37423</v>
      </c>
      <c r="HK115" s="675">
        <v>10359</v>
      </c>
      <c r="HL115" s="675">
        <v>653</v>
      </c>
      <c r="HM115" s="675">
        <v>201000</v>
      </c>
      <c r="HN115" s="675">
        <v>272406</v>
      </c>
      <c r="HO115" s="675">
        <v>99000</v>
      </c>
      <c r="HP115" s="675">
        <v>0</v>
      </c>
      <c r="HQ115" s="675">
        <v>0</v>
      </c>
      <c r="HR115" s="675">
        <v>0</v>
      </c>
      <c r="HS115" s="675">
        <v>35127614</v>
      </c>
      <c r="HT115" s="675">
        <v>774206</v>
      </c>
      <c r="HU115" s="675">
        <v>0</v>
      </c>
      <c r="HV115" s="675">
        <v>0</v>
      </c>
      <c r="HW115" s="675">
        <v>0</v>
      </c>
      <c r="HX115" s="675">
        <v>527</v>
      </c>
      <c r="HY115" s="675">
        <v>633</v>
      </c>
      <c r="HZ115" s="675">
        <v>542</v>
      </c>
      <c r="IA115" s="675">
        <v>582</v>
      </c>
      <c r="IB115" s="675">
        <v>524</v>
      </c>
      <c r="IC115" s="675">
        <v>2808</v>
      </c>
      <c r="ID115" s="675">
        <v>0</v>
      </c>
      <c r="IE115" s="675">
        <v>0</v>
      </c>
      <c r="IF115" s="675">
        <v>0</v>
      </c>
      <c r="IG115" s="675">
        <v>121</v>
      </c>
      <c r="IH115" s="675">
        <v>1221.98</v>
      </c>
      <c r="II115" s="675">
        <v>0</v>
      </c>
      <c r="IJ115" s="675">
        <v>1771.2240000000002</v>
      </c>
      <c r="IK115" s="675">
        <v>0</v>
      </c>
      <c r="IL115" s="675">
        <v>30</v>
      </c>
      <c r="IM115" s="675">
        <v>15</v>
      </c>
      <c r="IN115" s="675">
        <v>3</v>
      </c>
      <c r="IO115" s="675">
        <v>48</v>
      </c>
      <c r="IP115" s="675">
        <v>0</v>
      </c>
      <c r="IQ115" s="675">
        <v>1771.2240000000002</v>
      </c>
      <c r="IR115" s="675">
        <v>1091069</v>
      </c>
      <c r="IS115" s="675">
        <v>0</v>
      </c>
      <c r="IT115" s="675">
        <v>150000</v>
      </c>
      <c r="IU115" s="675">
        <v>45000</v>
      </c>
      <c r="IV115" s="675">
        <v>6000</v>
      </c>
      <c r="IW115" s="675">
        <v>6160</v>
      </c>
      <c r="IX115" s="675">
        <v>0</v>
      </c>
      <c r="IY115" s="675">
        <v>0</v>
      </c>
      <c r="IZ115" s="675">
        <v>0</v>
      </c>
      <c r="JA115" s="675">
        <v>0</v>
      </c>
      <c r="JB115" s="675">
        <v>1</v>
      </c>
      <c r="JC115" s="675">
        <v>13393</v>
      </c>
      <c r="JD115" s="675">
        <v>16</v>
      </c>
      <c r="JE115" s="675">
        <v>143876</v>
      </c>
      <c r="JF115" s="675">
        <v>20</v>
      </c>
      <c r="JG115" s="675">
        <v>94137</v>
      </c>
      <c r="JH115" s="675">
        <v>21000</v>
      </c>
      <c r="JI115" s="675">
        <v>0</v>
      </c>
      <c r="JJ115" s="675">
        <v>0</v>
      </c>
      <c r="JK115" s="675">
        <v>0</v>
      </c>
      <c r="JL115" s="675">
        <v>0</v>
      </c>
      <c r="JM115" s="675">
        <v>0</v>
      </c>
      <c r="JN115" s="675">
        <v>32469</v>
      </c>
      <c r="JO115" s="675">
        <v>0</v>
      </c>
      <c r="JP115" s="675">
        <v>102.56400000000001</v>
      </c>
      <c r="JQ115" s="675">
        <v>77.637</v>
      </c>
      <c r="JR115" s="675">
        <v>0</v>
      </c>
      <c r="JS115" s="675">
        <v>953107</v>
      </c>
      <c r="JT115" s="675">
        <v>828558</v>
      </c>
      <c r="JU115" s="675">
        <v>83008</v>
      </c>
      <c r="JV115" s="675">
        <v>0</v>
      </c>
      <c r="JW115" s="675">
        <v>0</v>
      </c>
      <c r="JX115" s="675">
        <v>0</v>
      </c>
      <c r="JY115" s="675">
        <v>0</v>
      </c>
      <c r="JZ115" s="675">
        <v>0</v>
      </c>
      <c r="KA115" s="675">
        <v>0</v>
      </c>
      <c r="KB115" s="675">
        <v>0</v>
      </c>
      <c r="KC115" s="675">
        <v>0</v>
      </c>
      <c r="KD115" s="675">
        <v>83008</v>
      </c>
      <c r="KE115" s="675">
        <v>7260</v>
      </c>
      <c r="KF115" s="675">
        <v>0</v>
      </c>
      <c r="KG115" s="675">
        <v>0</v>
      </c>
      <c r="KH115" s="675">
        <v>0</v>
      </c>
      <c r="KI115" s="675">
        <v>0</v>
      </c>
    </row>
    <row r="116" spans="1:295" ht="12.5" x14ac:dyDescent="0.25">
      <c r="A116" s="675">
        <v>35795</v>
      </c>
      <c r="B116" s="675">
        <v>220817</v>
      </c>
      <c r="C116" s="675">
        <v>9</v>
      </c>
      <c r="D116" s="675">
        <v>2022</v>
      </c>
      <c r="E116" s="675">
        <v>6160</v>
      </c>
      <c r="F116" s="675">
        <v>0</v>
      </c>
      <c r="G116" s="675">
        <v>2703.6880000000001</v>
      </c>
      <c r="H116" s="675">
        <v>2506.5880000000002</v>
      </c>
      <c r="I116" s="675">
        <v>2506.5880000000002</v>
      </c>
      <c r="J116" s="675">
        <v>2703.6880000000001</v>
      </c>
      <c r="K116" s="675">
        <v>0</v>
      </c>
      <c r="L116" s="675">
        <v>6160</v>
      </c>
      <c r="M116" s="675">
        <v>0</v>
      </c>
      <c r="N116" s="675">
        <v>0</v>
      </c>
      <c r="O116" s="675">
        <v>0</v>
      </c>
      <c r="P116" s="675">
        <v>2797.0990000000002</v>
      </c>
      <c r="Q116" s="675">
        <v>0</v>
      </c>
      <c r="R116" s="675">
        <v>1125631</v>
      </c>
      <c r="S116" s="675">
        <v>402.428</v>
      </c>
      <c r="T116" s="675">
        <v>0</v>
      </c>
      <c r="U116" s="675">
        <v>598583</v>
      </c>
      <c r="V116" s="675">
        <v>345.12299999999999</v>
      </c>
      <c r="W116" s="675">
        <v>212595</v>
      </c>
      <c r="X116" s="675">
        <v>212595</v>
      </c>
      <c r="Y116" s="675">
        <v>0</v>
      </c>
      <c r="Z116" s="675">
        <v>0</v>
      </c>
      <c r="AA116" s="675">
        <v>0</v>
      </c>
      <c r="AB116" s="675">
        <v>0</v>
      </c>
      <c r="AC116" s="675">
        <v>0</v>
      </c>
      <c r="AD116" s="675" t="s">
        <v>316</v>
      </c>
      <c r="AE116" s="675">
        <v>0</v>
      </c>
      <c r="AF116" s="675">
        <v>0</v>
      </c>
      <c r="AG116" s="675">
        <v>0</v>
      </c>
      <c r="AH116" s="675">
        <v>0</v>
      </c>
      <c r="AI116" s="675">
        <v>0</v>
      </c>
      <c r="AJ116" s="675">
        <v>6160</v>
      </c>
      <c r="AK116" s="675" t="s">
        <v>671</v>
      </c>
      <c r="AL116" s="675" t="s">
        <v>364</v>
      </c>
      <c r="AM116" s="675">
        <v>0</v>
      </c>
      <c r="AN116" s="675">
        <v>0</v>
      </c>
      <c r="AO116" s="675">
        <v>0</v>
      </c>
      <c r="AP116" s="675">
        <v>0</v>
      </c>
      <c r="AQ116" s="675">
        <v>0</v>
      </c>
      <c r="AR116" s="675">
        <v>0</v>
      </c>
      <c r="AS116" s="675">
        <v>0</v>
      </c>
      <c r="AT116" s="675">
        <v>0</v>
      </c>
      <c r="AU116" s="675">
        <v>0</v>
      </c>
      <c r="AV116" s="675">
        <v>0</v>
      </c>
      <c r="AW116" s="675">
        <v>26274424</v>
      </c>
      <c r="AX116" s="675">
        <v>25784671</v>
      </c>
      <c r="AY116" s="675">
        <v>17854774</v>
      </c>
      <c r="AZ116" s="675">
        <v>1125631</v>
      </c>
      <c r="BA116" s="675">
        <v>0</v>
      </c>
      <c r="BB116" s="675">
        <v>58291</v>
      </c>
      <c r="BC116" s="675">
        <v>57915</v>
      </c>
      <c r="BD116" s="675">
        <v>135.184</v>
      </c>
      <c r="BE116" s="675">
        <v>376</v>
      </c>
      <c r="BF116" s="675">
        <v>23955523</v>
      </c>
      <c r="BG116" s="675">
        <v>0</v>
      </c>
      <c r="BH116" s="675">
        <v>0</v>
      </c>
      <c r="BI116" s="675">
        <v>0</v>
      </c>
      <c r="BJ116" s="675">
        <v>12</v>
      </c>
      <c r="BK116" s="675">
        <v>0</v>
      </c>
      <c r="BL116" s="675">
        <v>0</v>
      </c>
      <c r="BM116" s="675">
        <v>0</v>
      </c>
      <c r="BN116" s="675">
        <v>0</v>
      </c>
      <c r="BO116" s="675">
        <v>0</v>
      </c>
      <c r="BP116" s="675">
        <v>0</v>
      </c>
      <c r="BQ116" s="675">
        <v>384</v>
      </c>
      <c r="BR116" s="675">
        <v>0</v>
      </c>
      <c r="BS116" s="675">
        <v>0</v>
      </c>
      <c r="BT116" s="675">
        <v>0</v>
      </c>
      <c r="BU116" s="675">
        <v>0</v>
      </c>
      <c r="BV116" s="675">
        <v>0</v>
      </c>
      <c r="BW116" s="675">
        <v>0</v>
      </c>
      <c r="BX116" s="675">
        <v>0</v>
      </c>
      <c r="BY116" s="675">
        <v>0</v>
      </c>
      <c r="BZ116" s="675">
        <v>0</v>
      </c>
      <c r="CA116" s="675">
        <v>0</v>
      </c>
      <c r="CB116" s="675">
        <v>0</v>
      </c>
      <c r="CC116" s="675">
        <v>0</v>
      </c>
      <c r="CD116" s="675">
        <v>0</v>
      </c>
      <c r="CE116" s="675">
        <v>0</v>
      </c>
      <c r="CF116" s="675">
        <v>0</v>
      </c>
      <c r="CG116" s="675">
        <v>0</v>
      </c>
      <c r="CH116" s="675">
        <v>494133</v>
      </c>
      <c r="CI116" s="675">
        <v>0</v>
      </c>
      <c r="CJ116" s="675">
        <v>4</v>
      </c>
      <c r="CK116" s="675">
        <v>0</v>
      </c>
      <c r="CL116" s="675">
        <v>0</v>
      </c>
      <c r="CM116" s="675">
        <v>0</v>
      </c>
      <c r="CN116" s="675">
        <v>0</v>
      </c>
      <c r="CO116" s="675">
        <v>1</v>
      </c>
      <c r="CP116" s="675">
        <v>0</v>
      </c>
      <c r="CQ116" s="675">
        <v>0</v>
      </c>
      <c r="CR116" s="675">
        <v>3038.85</v>
      </c>
      <c r="CS116" s="675">
        <v>0</v>
      </c>
      <c r="CT116" s="675">
        <v>0</v>
      </c>
      <c r="CU116" s="675">
        <v>0</v>
      </c>
      <c r="CV116" s="675">
        <v>0</v>
      </c>
      <c r="CW116" s="675">
        <v>0</v>
      </c>
      <c r="CX116" s="675">
        <v>0</v>
      </c>
      <c r="CY116" s="675">
        <v>0</v>
      </c>
      <c r="CZ116" s="675">
        <v>0</v>
      </c>
      <c r="DA116" s="675">
        <v>0</v>
      </c>
      <c r="DB116" s="675">
        <v>15182197</v>
      </c>
      <c r="DC116" s="675">
        <v>0</v>
      </c>
      <c r="DD116" s="675">
        <v>0</v>
      </c>
      <c r="DE116" s="675">
        <v>2624687</v>
      </c>
      <c r="DF116" s="675">
        <v>2624687</v>
      </c>
      <c r="DG116" s="675">
        <v>426.08800000000002</v>
      </c>
      <c r="DH116" s="675">
        <v>0</v>
      </c>
      <c r="DI116" s="675">
        <v>0</v>
      </c>
      <c r="DJ116" s="675">
        <v>0</v>
      </c>
      <c r="DK116" s="675">
        <v>0</v>
      </c>
      <c r="DL116" s="675">
        <v>0</v>
      </c>
      <c r="DM116" s="675">
        <v>1309345</v>
      </c>
      <c r="DN116" s="675">
        <v>4003</v>
      </c>
      <c r="DO116" s="675">
        <v>0</v>
      </c>
      <c r="DP116" s="675">
        <v>0</v>
      </c>
      <c r="DQ116" s="675">
        <v>0</v>
      </c>
      <c r="DR116" s="675">
        <v>0</v>
      </c>
      <c r="DS116" s="675">
        <v>0</v>
      </c>
      <c r="DT116" s="675">
        <v>0</v>
      </c>
      <c r="DU116" s="675">
        <v>0</v>
      </c>
      <c r="DV116" s="675">
        <v>0</v>
      </c>
      <c r="DW116" s="675">
        <v>0</v>
      </c>
      <c r="DX116" s="675">
        <v>0</v>
      </c>
      <c r="DY116" s="675">
        <v>0</v>
      </c>
      <c r="DZ116" s="675">
        <v>0</v>
      </c>
      <c r="EA116" s="675">
        <v>0</v>
      </c>
      <c r="EB116" s="675">
        <v>0</v>
      </c>
      <c r="EC116" s="675">
        <v>64.784999999999997</v>
      </c>
      <c r="ED116" s="675">
        <v>458935</v>
      </c>
      <c r="EE116" s="675">
        <v>0</v>
      </c>
      <c r="EF116" s="675">
        <v>0</v>
      </c>
      <c r="EG116" s="675">
        <v>0</v>
      </c>
      <c r="EH116" s="675">
        <v>596100</v>
      </c>
      <c r="EI116" s="675">
        <v>0</v>
      </c>
      <c r="EJ116" s="675">
        <v>0</v>
      </c>
      <c r="EK116" s="675">
        <v>21.902000000000001</v>
      </c>
      <c r="EL116" s="675">
        <v>0</v>
      </c>
      <c r="EM116" s="675">
        <v>3.9440000000000004</v>
      </c>
      <c r="EN116" s="675">
        <v>3.5460000000000003</v>
      </c>
      <c r="EO116" s="675">
        <v>0</v>
      </c>
      <c r="EP116" s="675">
        <v>0</v>
      </c>
      <c r="EQ116" s="675">
        <v>30.045000000000002</v>
      </c>
      <c r="ER116" s="675">
        <v>0.65300000000000002</v>
      </c>
      <c r="ES116" s="675">
        <v>96.77</v>
      </c>
      <c r="ET116" s="675">
        <v>0</v>
      </c>
      <c r="EU116" s="675">
        <v>0</v>
      </c>
      <c r="EV116" s="675">
        <v>0</v>
      </c>
      <c r="EW116" s="675">
        <v>0</v>
      </c>
      <c r="EX116" s="675">
        <v>0</v>
      </c>
      <c r="EY116" s="675">
        <v>0</v>
      </c>
      <c r="EZ116" s="675">
        <v>22843897</v>
      </c>
      <c r="FA116" s="675">
        <v>0</v>
      </c>
      <c r="FB116" s="675">
        <v>23965148</v>
      </c>
      <c r="FC116" s="675">
        <v>0</v>
      </c>
      <c r="FD116" s="675">
        <v>0</v>
      </c>
      <c r="FE116" s="675">
        <v>2436767</v>
      </c>
      <c r="FF116" s="675">
        <v>504007</v>
      </c>
      <c r="FG116" s="675">
        <v>6.3574999999999993E-2</v>
      </c>
      <c r="FH116" s="675">
        <v>2.6298999999999999E-2</v>
      </c>
      <c r="FI116" s="675">
        <v>0</v>
      </c>
      <c r="FJ116" s="675">
        <v>0</v>
      </c>
      <c r="FK116" s="675">
        <v>3888.902</v>
      </c>
      <c r="FL116" s="675">
        <v>27400055</v>
      </c>
      <c r="FM116" s="675">
        <v>0</v>
      </c>
      <c r="FN116" s="675">
        <v>0</v>
      </c>
      <c r="FO116" s="675">
        <v>3650</v>
      </c>
      <c r="FP116" s="675">
        <v>0</v>
      </c>
      <c r="FQ116" s="675">
        <v>3650</v>
      </c>
      <c r="FR116" s="675">
        <v>3650</v>
      </c>
      <c r="FS116" s="675">
        <v>0</v>
      </c>
      <c r="FT116" s="675">
        <v>0</v>
      </c>
      <c r="FU116" s="675">
        <v>0</v>
      </c>
      <c r="FV116" s="675">
        <v>0</v>
      </c>
      <c r="FW116" s="675">
        <v>0</v>
      </c>
      <c r="FX116" s="675">
        <v>0</v>
      </c>
      <c r="FY116" s="675">
        <v>0</v>
      </c>
      <c r="FZ116" s="675">
        <v>0</v>
      </c>
      <c r="GA116" s="675">
        <v>0</v>
      </c>
      <c r="GB116" s="675">
        <v>1334101</v>
      </c>
      <c r="GC116" s="675">
        <v>1334101</v>
      </c>
      <c r="GD116" s="675">
        <v>167.05500000000001</v>
      </c>
      <c r="GE116" s="675">
        <v>0</v>
      </c>
      <c r="GF116" s="675">
        <v>0</v>
      </c>
      <c r="GG116" s="675">
        <v>0</v>
      </c>
      <c r="GH116" s="675">
        <v>0</v>
      </c>
      <c r="GI116" s="675">
        <v>0</v>
      </c>
      <c r="GJ116" s="675">
        <v>0</v>
      </c>
      <c r="GK116" s="675">
        <v>0</v>
      </c>
      <c r="GL116" s="675">
        <v>0</v>
      </c>
      <c r="GM116" s="675">
        <v>0</v>
      </c>
      <c r="GN116" s="675">
        <v>0</v>
      </c>
      <c r="GO116" s="675">
        <v>0</v>
      </c>
      <c r="GP116" s="675">
        <v>0</v>
      </c>
      <c r="GQ116" s="675">
        <v>0</v>
      </c>
      <c r="GR116" s="675">
        <v>0</v>
      </c>
      <c r="GS116" s="675">
        <v>0</v>
      </c>
      <c r="GT116" s="675">
        <v>0</v>
      </c>
      <c r="GU116" s="675">
        <v>0</v>
      </c>
      <c r="GV116" s="675">
        <v>0</v>
      </c>
      <c r="GW116" s="675">
        <v>0</v>
      </c>
      <c r="GX116" s="675">
        <v>0</v>
      </c>
      <c r="GY116" s="675">
        <v>0</v>
      </c>
      <c r="GZ116" s="675">
        <v>0</v>
      </c>
      <c r="HA116" s="675">
        <v>0</v>
      </c>
      <c r="HB116" s="675">
        <v>298386780</v>
      </c>
      <c r="HC116" s="675">
        <v>4.5690999999999996E-2</v>
      </c>
      <c r="HD116" s="675">
        <v>494133</v>
      </c>
      <c r="HE116" s="675">
        <v>0</v>
      </c>
      <c r="HF116" s="675">
        <v>2757247</v>
      </c>
      <c r="HG116" s="675">
        <v>64680</v>
      </c>
      <c r="HH116" s="675">
        <v>352224</v>
      </c>
      <c r="HI116" s="675">
        <v>0</v>
      </c>
      <c r="HJ116" s="675">
        <v>26280</v>
      </c>
      <c r="HK116" s="675">
        <v>6417</v>
      </c>
      <c r="HL116" s="675">
        <v>3938</v>
      </c>
      <c r="HM116" s="675">
        <v>0</v>
      </c>
      <c r="HN116" s="675">
        <v>29873</v>
      </c>
      <c r="HO116" s="675">
        <v>0</v>
      </c>
      <c r="HP116" s="675">
        <v>0</v>
      </c>
      <c r="HQ116" s="675">
        <v>0</v>
      </c>
      <c r="HR116" s="675">
        <v>0</v>
      </c>
      <c r="HS116" s="675">
        <v>22839517</v>
      </c>
      <c r="HT116" s="675">
        <v>504007</v>
      </c>
      <c r="HU116" s="675">
        <v>0</v>
      </c>
      <c r="HV116" s="675">
        <v>0</v>
      </c>
      <c r="HW116" s="675">
        <v>0</v>
      </c>
      <c r="HX116" s="675">
        <v>419</v>
      </c>
      <c r="HY116" s="675">
        <v>405</v>
      </c>
      <c r="HZ116" s="675">
        <v>345</v>
      </c>
      <c r="IA116" s="675">
        <v>260</v>
      </c>
      <c r="IB116" s="675">
        <v>295</v>
      </c>
      <c r="IC116" s="675">
        <v>1724</v>
      </c>
      <c r="ID116" s="675">
        <v>0</v>
      </c>
      <c r="IE116" s="675">
        <v>0</v>
      </c>
      <c r="IF116" s="675">
        <v>0</v>
      </c>
      <c r="IG116" s="675">
        <v>105</v>
      </c>
      <c r="IH116" s="675">
        <v>571.79500000000007</v>
      </c>
      <c r="II116" s="675">
        <v>0</v>
      </c>
      <c r="IJ116" s="675">
        <v>345.12299999999999</v>
      </c>
      <c r="IK116" s="675">
        <v>0</v>
      </c>
      <c r="IL116" s="675">
        <v>0</v>
      </c>
      <c r="IM116" s="675">
        <v>0</v>
      </c>
      <c r="IN116" s="675">
        <v>0</v>
      </c>
      <c r="IO116" s="675">
        <v>0</v>
      </c>
      <c r="IP116" s="675">
        <v>0</v>
      </c>
      <c r="IQ116" s="675">
        <v>345.12299999999999</v>
      </c>
      <c r="IR116" s="675">
        <v>212595</v>
      </c>
      <c r="IS116" s="675">
        <v>0</v>
      </c>
      <c r="IT116" s="675">
        <v>0</v>
      </c>
      <c r="IU116" s="675">
        <v>0</v>
      </c>
      <c r="IV116" s="675">
        <v>0</v>
      </c>
      <c r="IW116" s="675">
        <v>6160</v>
      </c>
      <c r="IX116" s="675">
        <v>0</v>
      </c>
      <c r="IY116" s="675">
        <v>0</v>
      </c>
      <c r="IZ116" s="675">
        <v>0</v>
      </c>
      <c r="JA116" s="675">
        <v>0</v>
      </c>
      <c r="JB116" s="675">
        <v>0</v>
      </c>
      <c r="JC116" s="675">
        <v>0</v>
      </c>
      <c r="JD116" s="675">
        <v>3</v>
      </c>
      <c r="JE116" s="675">
        <v>28373</v>
      </c>
      <c r="JF116" s="675">
        <v>0</v>
      </c>
      <c r="JG116" s="675">
        <v>0</v>
      </c>
      <c r="JH116" s="675">
        <v>1500</v>
      </c>
      <c r="JI116" s="675">
        <v>0</v>
      </c>
      <c r="JJ116" s="675">
        <v>0</v>
      </c>
      <c r="JK116" s="675">
        <v>0</v>
      </c>
      <c r="JL116" s="675">
        <v>0</v>
      </c>
      <c r="JM116" s="675">
        <v>0</v>
      </c>
      <c r="JN116" s="675">
        <v>32469</v>
      </c>
      <c r="JO116" s="675">
        <v>167.05500000000001</v>
      </c>
      <c r="JP116" s="675">
        <v>0</v>
      </c>
      <c r="JQ116" s="675">
        <v>0</v>
      </c>
      <c r="JR116" s="675">
        <v>1334101</v>
      </c>
      <c r="JS116" s="675">
        <v>0</v>
      </c>
      <c r="JT116" s="675">
        <v>0</v>
      </c>
      <c r="JU116" s="675">
        <v>58291</v>
      </c>
      <c r="JV116" s="675">
        <v>0</v>
      </c>
      <c r="JW116" s="675">
        <v>0</v>
      </c>
      <c r="JX116" s="675">
        <v>0</v>
      </c>
      <c r="JY116" s="675">
        <v>0</v>
      </c>
      <c r="JZ116" s="675">
        <v>0</v>
      </c>
      <c r="KA116" s="675">
        <v>0</v>
      </c>
      <c r="KB116" s="675">
        <v>0</v>
      </c>
      <c r="KC116" s="675">
        <v>0</v>
      </c>
      <c r="KD116" s="675">
        <v>58291</v>
      </c>
      <c r="KE116" s="675">
        <v>7260</v>
      </c>
      <c r="KF116" s="675">
        <v>0</v>
      </c>
      <c r="KG116" s="675">
        <v>0</v>
      </c>
      <c r="KH116" s="675">
        <v>0</v>
      </c>
      <c r="KI116" s="675">
        <v>0</v>
      </c>
    </row>
    <row r="117" spans="1:295" ht="12.5" x14ac:dyDescent="0.25">
      <c r="A117" s="675">
        <v>35795</v>
      </c>
      <c r="B117" s="675">
        <v>227817</v>
      </c>
      <c r="C117" s="675">
        <v>9</v>
      </c>
      <c r="D117" s="675">
        <v>2022</v>
      </c>
      <c r="E117" s="675">
        <v>6160</v>
      </c>
      <c r="F117" s="675">
        <v>0</v>
      </c>
      <c r="G117" s="675">
        <v>429.62200000000001</v>
      </c>
      <c r="H117" s="675">
        <v>391.42200000000003</v>
      </c>
      <c r="I117" s="675">
        <v>391.42200000000003</v>
      </c>
      <c r="J117" s="675">
        <v>429.62200000000001</v>
      </c>
      <c r="K117" s="675">
        <v>0</v>
      </c>
      <c r="L117" s="675">
        <v>6160</v>
      </c>
      <c r="M117" s="675">
        <v>0</v>
      </c>
      <c r="N117" s="675">
        <v>0</v>
      </c>
      <c r="O117" s="675">
        <v>0</v>
      </c>
      <c r="P117" s="675">
        <v>444.11900000000003</v>
      </c>
      <c r="Q117" s="675">
        <v>0</v>
      </c>
      <c r="R117" s="675">
        <v>178726</v>
      </c>
      <c r="S117" s="675">
        <v>402.428</v>
      </c>
      <c r="T117" s="675">
        <v>0</v>
      </c>
      <c r="U117" s="675">
        <v>95042</v>
      </c>
      <c r="V117" s="675">
        <v>219.738</v>
      </c>
      <c r="W117" s="675">
        <v>135358</v>
      </c>
      <c r="X117" s="675">
        <v>135358</v>
      </c>
      <c r="Y117" s="675">
        <v>0</v>
      </c>
      <c r="Z117" s="675">
        <v>0</v>
      </c>
      <c r="AA117" s="675">
        <v>0</v>
      </c>
      <c r="AB117" s="675">
        <v>0</v>
      </c>
      <c r="AC117" s="675">
        <v>0</v>
      </c>
      <c r="AD117" s="675" t="s">
        <v>316</v>
      </c>
      <c r="AE117" s="675">
        <v>0</v>
      </c>
      <c r="AF117" s="675">
        <v>0</v>
      </c>
      <c r="AG117" s="675">
        <v>0</v>
      </c>
      <c r="AH117" s="675">
        <v>0</v>
      </c>
      <c r="AI117" s="675">
        <v>0</v>
      </c>
      <c r="AJ117" s="675">
        <v>6160</v>
      </c>
      <c r="AK117" s="675" t="s">
        <v>671</v>
      </c>
      <c r="AL117" s="675" t="s">
        <v>81</v>
      </c>
      <c r="AM117" s="675">
        <v>0</v>
      </c>
      <c r="AN117" s="675">
        <v>0</v>
      </c>
      <c r="AO117" s="675">
        <v>0</v>
      </c>
      <c r="AP117" s="675">
        <v>0</v>
      </c>
      <c r="AQ117" s="675">
        <v>0</v>
      </c>
      <c r="AR117" s="675">
        <v>0</v>
      </c>
      <c r="AS117" s="675">
        <v>0</v>
      </c>
      <c r="AT117" s="675">
        <v>0</v>
      </c>
      <c r="AU117" s="675">
        <v>0</v>
      </c>
      <c r="AV117" s="675">
        <v>0</v>
      </c>
      <c r="AW117" s="675">
        <v>4932355</v>
      </c>
      <c r="AX117" s="675">
        <v>4856081</v>
      </c>
      <c r="AY117" s="675">
        <v>3329195</v>
      </c>
      <c r="AZ117" s="675">
        <v>178726</v>
      </c>
      <c r="BA117" s="675">
        <v>0</v>
      </c>
      <c r="BB117" s="675">
        <v>5534</v>
      </c>
      <c r="BC117" s="675">
        <v>5498</v>
      </c>
      <c r="BD117" s="675">
        <v>12.833</v>
      </c>
      <c r="BE117" s="675">
        <v>36</v>
      </c>
      <c r="BF117" s="675">
        <v>4482266</v>
      </c>
      <c r="BG117" s="675">
        <v>0</v>
      </c>
      <c r="BH117" s="675">
        <v>0</v>
      </c>
      <c r="BI117" s="675">
        <v>0</v>
      </c>
      <c r="BJ117" s="675">
        <v>12</v>
      </c>
      <c r="BK117" s="675">
        <v>0</v>
      </c>
      <c r="BL117" s="675">
        <v>0</v>
      </c>
      <c r="BM117" s="675">
        <v>0</v>
      </c>
      <c r="BN117" s="675">
        <v>0</v>
      </c>
      <c r="BO117" s="675">
        <v>0</v>
      </c>
      <c r="BP117" s="675">
        <v>0</v>
      </c>
      <c r="BQ117" s="675">
        <v>710</v>
      </c>
      <c r="BR117" s="675">
        <v>0</v>
      </c>
      <c r="BS117" s="675">
        <v>0</v>
      </c>
      <c r="BT117" s="675">
        <v>0</v>
      </c>
      <c r="BU117" s="675">
        <v>0</v>
      </c>
      <c r="BV117" s="675">
        <v>0</v>
      </c>
      <c r="BW117" s="675">
        <v>0</v>
      </c>
      <c r="BX117" s="675">
        <v>0</v>
      </c>
      <c r="BY117" s="675">
        <v>0</v>
      </c>
      <c r="BZ117" s="675">
        <v>0</v>
      </c>
      <c r="CA117" s="675">
        <v>0</v>
      </c>
      <c r="CB117" s="675">
        <v>0</v>
      </c>
      <c r="CC117" s="675">
        <v>0</v>
      </c>
      <c r="CD117" s="675">
        <v>0</v>
      </c>
      <c r="CE117" s="675">
        <v>0</v>
      </c>
      <c r="CF117" s="675">
        <v>0</v>
      </c>
      <c r="CG117" s="675">
        <v>0</v>
      </c>
      <c r="CH117" s="675">
        <v>78519</v>
      </c>
      <c r="CI117" s="675">
        <v>0</v>
      </c>
      <c r="CJ117" s="675">
        <v>4</v>
      </c>
      <c r="CK117" s="675">
        <v>0</v>
      </c>
      <c r="CL117" s="675">
        <v>0</v>
      </c>
      <c r="CM117" s="675">
        <v>0</v>
      </c>
      <c r="CN117" s="675">
        <v>0</v>
      </c>
      <c r="CO117" s="675">
        <v>1</v>
      </c>
      <c r="CP117" s="675">
        <v>0</v>
      </c>
      <c r="CQ117" s="675">
        <v>0</v>
      </c>
      <c r="CR117" s="675">
        <v>457.11900000000003</v>
      </c>
      <c r="CS117" s="675">
        <v>0</v>
      </c>
      <c r="CT117" s="675">
        <v>0</v>
      </c>
      <c r="CU117" s="675">
        <v>0</v>
      </c>
      <c r="CV117" s="675">
        <v>0</v>
      </c>
      <c r="CW117" s="675">
        <v>0</v>
      </c>
      <c r="CX117" s="675">
        <v>0</v>
      </c>
      <c r="CY117" s="675">
        <v>0</v>
      </c>
      <c r="CZ117" s="675">
        <v>0</v>
      </c>
      <c r="DA117" s="675">
        <v>0</v>
      </c>
      <c r="DB117" s="675">
        <v>2411148</v>
      </c>
      <c r="DC117" s="675">
        <v>0</v>
      </c>
      <c r="DD117" s="675">
        <v>0</v>
      </c>
      <c r="DE117" s="675">
        <v>632629</v>
      </c>
      <c r="DF117" s="675">
        <v>632629</v>
      </c>
      <c r="DG117" s="675">
        <v>102.7</v>
      </c>
      <c r="DH117" s="675">
        <v>0</v>
      </c>
      <c r="DI117" s="675">
        <v>0</v>
      </c>
      <c r="DJ117" s="675">
        <v>0</v>
      </c>
      <c r="DK117" s="675">
        <v>2978</v>
      </c>
      <c r="DL117" s="675">
        <v>0</v>
      </c>
      <c r="DM117" s="675">
        <v>580033</v>
      </c>
      <c r="DN117" s="675">
        <v>2209</v>
      </c>
      <c r="DO117" s="675">
        <v>0</v>
      </c>
      <c r="DP117" s="675">
        <v>0</v>
      </c>
      <c r="DQ117" s="675">
        <v>0</v>
      </c>
      <c r="DR117" s="675">
        <v>0</v>
      </c>
      <c r="DS117" s="675">
        <v>0</v>
      </c>
      <c r="DT117" s="675">
        <v>0</v>
      </c>
      <c r="DU117" s="675">
        <v>0</v>
      </c>
      <c r="DV117" s="675">
        <v>0</v>
      </c>
      <c r="DW117" s="675">
        <v>0</v>
      </c>
      <c r="DX117" s="675">
        <v>0</v>
      </c>
      <c r="DY117" s="675">
        <v>0</v>
      </c>
      <c r="DZ117" s="675">
        <v>0</v>
      </c>
      <c r="EA117" s="675">
        <v>0</v>
      </c>
      <c r="EB117" s="675">
        <v>0</v>
      </c>
      <c r="EC117" s="675">
        <v>27.522000000000002</v>
      </c>
      <c r="ED117" s="675">
        <v>194965</v>
      </c>
      <c r="EE117" s="675">
        <v>0</v>
      </c>
      <c r="EF117" s="675">
        <v>0</v>
      </c>
      <c r="EG117" s="675">
        <v>0</v>
      </c>
      <c r="EH117" s="675">
        <v>387277</v>
      </c>
      <c r="EI117" s="675">
        <v>0</v>
      </c>
      <c r="EJ117" s="675">
        <v>0</v>
      </c>
      <c r="EK117" s="675">
        <v>18.696999999999999</v>
      </c>
      <c r="EL117" s="675">
        <v>0</v>
      </c>
      <c r="EM117" s="675">
        <v>0.36799999999999999</v>
      </c>
      <c r="EN117" s="675">
        <v>1.135</v>
      </c>
      <c r="EO117" s="675">
        <v>0</v>
      </c>
      <c r="EP117" s="675">
        <v>0</v>
      </c>
      <c r="EQ117" s="675">
        <v>20.2</v>
      </c>
      <c r="ER117" s="675">
        <v>0</v>
      </c>
      <c r="ES117" s="675">
        <v>62.870000000000005</v>
      </c>
      <c r="ET117" s="675">
        <v>0</v>
      </c>
      <c r="EU117" s="675">
        <v>0</v>
      </c>
      <c r="EV117" s="675">
        <v>0</v>
      </c>
      <c r="EW117" s="675">
        <v>0</v>
      </c>
      <c r="EX117" s="675">
        <v>0</v>
      </c>
      <c r="EY117" s="675">
        <v>0</v>
      </c>
      <c r="EZ117" s="675">
        <v>4305839</v>
      </c>
      <c r="FA117" s="675">
        <v>0</v>
      </c>
      <c r="FB117" s="675">
        <v>4482320</v>
      </c>
      <c r="FC117" s="675">
        <v>0</v>
      </c>
      <c r="FD117" s="675">
        <v>0</v>
      </c>
      <c r="FE117" s="675">
        <v>455938</v>
      </c>
      <c r="FF117" s="675">
        <v>94304</v>
      </c>
      <c r="FG117" s="675">
        <v>6.3574999999999993E-2</v>
      </c>
      <c r="FH117" s="675">
        <v>2.6298999999999999E-2</v>
      </c>
      <c r="FI117" s="675">
        <v>0</v>
      </c>
      <c r="FJ117" s="675">
        <v>0</v>
      </c>
      <c r="FK117" s="675">
        <v>727.64400000000001</v>
      </c>
      <c r="FL117" s="675">
        <v>5111081</v>
      </c>
      <c r="FM117" s="675">
        <v>0</v>
      </c>
      <c r="FN117" s="675">
        <v>0</v>
      </c>
      <c r="FO117" s="675">
        <v>0</v>
      </c>
      <c r="FP117" s="675">
        <v>0</v>
      </c>
      <c r="FQ117" s="675">
        <v>0</v>
      </c>
      <c r="FR117" s="675">
        <v>0</v>
      </c>
      <c r="FS117" s="675">
        <v>0</v>
      </c>
      <c r="FT117" s="675">
        <v>0</v>
      </c>
      <c r="FU117" s="675">
        <v>0</v>
      </c>
      <c r="FV117" s="675">
        <v>0</v>
      </c>
      <c r="FW117" s="675">
        <v>0</v>
      </c>
      <c r="FX117" s="675">
        <v>0</v>
      </c>
      <c r="FY117" s="675">
        <v>0</v>
      </c>
      <c r="FZ117" s="675">
        <v>0</v>
      </c>
      <c r="GA117" s="675">
        <v>0</v>
      </c>
      <c r="GB117" s="675">
        <v>175010</v>
      </c>
      <c r="GC117" s="675">
        <v>175010</v>
      </c>
      <c r="GD117" s="675">
        <v>18</v>
      </c>
      <c r="GE117" s="675">
        <v>0</v>
      </c>
      <c r="GF117" s="675">
        <v>0</v>
      </c>
      <c r="GG117" s="675">
        <v>0</v>
      </c>
      <c r="GH117" s="675">
        <v>0</v>
      </c>
      <c r="GI117" s="675">
        <v>0</v>
      </c>
      <c r="GJ117" s="675">
        <v>0</v>
      </c>
      <c r="GK117" s="675">
        <v>0</v>
      </c>
      <c r="GL117" s="675">
        <v>0</v>
      </c>
      <c r="GM117" s="675">
        <v>0</v>
      </c>
      <c r="GN117" s="675">
        <v>0</v>
      </c>
      <c r="GO117" s="675">
        <v>0</v>
      </c>
      <c r="GP117" s="675">
        <v>0</v>
      </c>
      <c r="GQ117" s="675">
        <v>0</v>
      </c>
      <c r="GR117" s="675">
        <v>0</v>
      </c>
      <c r="GS117" s="675">
        <v>0</v>
      </c>
      <c r="GT117" s="675">
        <v>0</v>
      </c>
      <c r="GU117" s="675">
        <v>0</v>
      </c>
      <c r="GV117" s="675">
        <v>0</v>
      </c>
      <c r="GW117" s="675">
        <v>0</v>
      </c>
      <c r="GX117" s="675">
        <v>0</v>
      </c>
      <c r="GY117" s="675">
        <v>0</v>
      </c>
      <c r="GZ117" s="675">
        <v>0</v>
      </c>
      <c r="HA117" s="675">
        <v>0</v>
      </c>
      <c r="HB117" s="675">
        <v>298386780</v>
      </c>
      <c r="HC117" s="675">
        <v>4.5690999999999996E-2</v>
      </c>
      <c r="HD117" s="675">
        <v>78519</v>
      </c>
      <c r="HE117" s="675">
        <v>0</v>
      </c>
      <c r="HF117" s="675">
        <v>430564</v>
      </c>
      <c r="HG117" s="675">
        <v>11088</v>
      </c>
      <c r="HH117" s="675">
        <v>86517</v>
      </c>
      <c r="HI117" s="675">
        <v>0</v>
      </c>
      <c r="HJ117" s="675">
        <v>4176</v>
      </c>
      <c r="HK117" s="675">
        <v>1143</v>
      </c>
      <c r="HL117" s="675">
        <v>1156</v>
      </c>
      <c r="HM117" s="675">
        <v>8000</v>
      </c>
      <c r="HN117" s="675">
        <v>0</v>
      </c>
      <c r="HO117" s="675">
        <v>0</v>
      </c>
      <c r="HP117" s="675">
        <v>0</v>
      </c>
      <c r="HQ117" s="675">
        <v>0</v>
      </c>
      <c r="HR117" s="675">
        <v>0</v>
      </c>
      <c r="HS117" s="675">
        <v>4303594</v>
      </c>
      <c r="HT117" s="675">
        <v>94304</v>
      </c>
      <c r="HU117" s="675">
        <v>0</v>
      </c>
      <c r="HV117" s="675">
        <v>0</v>
      </c>
      <c r="HW117" s="675">
        <v>0</v>
      </c>
      <c r="HX117" s="675">
        <v>86</v>
      </c>
      <c r="HY117" s="675">
        <v>54</v>
      </c>
      <c r="HZ117" s="675">
        <v>61</v>
      </c>
      <c r="IA117" s="675">
        <v>88</v>
      </c>
      <c r="IB117" s="675">
        <v>117</v>
      </c>
      <c r="IC117" s="675">
        <v>406</v>
      </c>
      <c r="ID117" s="675">
        <v>0</v>
      </c>
      <c r="IE117" s="675">
        <v>0</v>
      </c>
      <c r="IF117" s="675">
        <v>0</v>
      </c>
      <c r="IG117" s="675">
        <v>18</v>
      </c>
      <c r="IH117" s="675">
        <v>140.45000000000002</v>
      </c>
      <c r="II117" s="675">
        <v>0</v>
      </c>
      <c r="IJ117" s="675">
        <v>219.738</v>
      </c>
      <c r="IK117" s="675">
        <v>0</v>
      </c>
      <c r="IL117" s="675">
        <v>1</v>
      </c>
      <c r="IM117" s="675">
        <v>1</v>
      </c>
      <c r="IN117" s="675">
        <v>0</v>
      </c>
      <c r="IO117" s="675">
        <v>2</v>
      </c>
      <c r="IP117" s="675">
        <v>0</v>
      </c>
      <c r="IQ117" s="675">
        <v>219.738</v>
      </c>
      <c r="IR117" s="675">
        <v>135358</v>
      </c>
      <c r="IS117" s="675">
        <v>0</v>
      </c>
      <c r="IT117" s="675">
        <v>5000</v>
      </c>
      <c r="IU117" s="675">
        <v>3000</v>
      </c>
      <c r="IV117" s="675">
        <v>0</v>
      </c>
      <c r="IW117" s="675">
        <v>6160</v>
      </c>
      <c r="IX117" s="675">
        <v>0</v>
      </c>
      <c r="IY117" s="675">
        <v>0</v>
      </c>
      <c r="IZ117" s="675">
        <v>0</v>
      </c>
      <c r="JA117" s="675">
        <v>0</v>
      </c>
      <c r="JB117" s="675">
        <v>0</v>
      </c>
      <c r="JC117" s="675">
        <v>0</v>
      </c>
      <c r="JD117" s="675">
        <v>0</v>
      </c>
      <c r="JE117" s="675">
        <v>0</v>
      </c>
      <c r="JF117" s="675">
        <v>0</v>
      </c>
      <c r="JG117" s="675">
        <v>0</v>
      </c>
      <c r="JH117" s="675">
        <v>0</v>
      </c>
      <c r="JI117" s="675">
        <v>0</v>
      </c>
      <c r="JJ117" s="675">
        <v>0</v>
      </c>
      <c r="JK117" s="675">
        <v>0</v>
      </c>
      <c r="JL117" s="675">
        <v>0</v>
      </c>
      <c r="JM117" s="675">
        <v>0</v>
      </c>
      <c r="JN117" s="675">
        <v>32469</v>
      </c>
      <c r="JO117" s="675">
        <v>0</v>
      </c>
      <c r="JP117" s="675">
        <v>12.389000000000001</v>
      </c>
      <c r="JQ117" s="675">
        <v>5.6110000000000007</v>
      </c>
      <c r="JR117" s="675">
        <v>0</v>
      </c>
      <c r="JS117" s="675">
        <v>115128</v>
      </c>
      <c r="JT117" s="675">
        <v>59882</v>
      </c>
      <c r="JU117" s="675">
        <v>5534</v>
      </c>
      <c r="JV117" s="675">
        <v>0</v>
      </c>
      <c r="JW117" s="675">
        <v>0</v>
      </c>
      <c r="JX117" s="675">
        <v>0</v>
      </c>
      <c r="JY117" s="675">
        <v>0</v>
      </c>
      <c r="JZ117" s="675">
        <v>0</v>
      </c>
      <c r="KA117" s="675">
        <v>0</v>
      </c>
      <c r="KB117" s="675">
        <v>0</v>
      </c>
      <c r="KC117" s="675">
        <v>0</v>
      </c>
      <c r="KD117" s="675">
        <v>5534</v>
      </c>
      <c r="KE117" s="675">
        <v>7260</v>
      </c>
      <c r="KF117" s="675">
        <v>0</v>
      </c>
      <c r="KG117" s="675">
        <v>0</v>
      </c>
      <c r="KH117" s="675">
        <v>0</v>
      </c>
      <c r="KI117" s="675">
        <v>0</v>
      </c>
    </row>
    <row r="118" spans="1:295" ht="12.5" x14ac:dyDescent="0.25">
      <c r="A118" s="675">
        <v>35795</v>
      </c>
      <c r="B118" s="675">
        <v>57819</v>
      </c>
      <c r="C118" s="675">
        <v>9</v>
      </c>
      <c r="D118" s="675">
        <v>2022</v>
      </c>
      <c r="E118" s="675">
        <v>6160</v>
      </c>
      <c r="F118" s="675">
        <v>0</v>
      </c>
      <c r="G118" s="675">
        <v>173.893</v>
      </c>
      <c r="H118" s="675">
        <v>160.995</v>
      </c>
      <c r="I118" s="675">
        <v>160.995</v>
      </c>
      <c r="J118" s="675">
        <v>173.893</v>
      </c>
      <c r="K118" s="675">
        <v>0</v>
      </c>
      <c r="L118" s="675">
        <v>6160</v>
      </c>
      <c r="M118" s="675">
        <v>0</v>
      </c>
      <c r="N118" s="675">
        <v>0</v>
      </c>
      <c r="O118" s="675">
        <v>0</v>
      </c>
      <c r="P118" s="675">
        <v>174.79600000000002</v>
      </c>
      <c r="Q118" s="675">
        <v>0</v>
      </c>
      <c r="R118" s="675">
        <v>70343</v>
      </c>
      <c r="S118" s="675">
        <v>402.428</v>
      </c>
      <c r="T118" s="675">
        <v>0</v>
      </c>
      <c r="U118" s="675">
        <v>37407</v>
      </c>
      <c r="V118" s="675">
        <v>89.26</v>
      </c>
      <c r="W118" s="675">
        <v>54984</v>
      </c>
      <c r="X118" s="675">
        <v>54984</v>
      </c>
      <c r="Y118" s="675">
        <v>0</v>
      </c>
      <c r="Z118" s="675">
        <v>0</v>
      </c>
      <c r="AA118" s="675">
        <v>0</v>
      </c>
      <c r="AB118" s="675">
        <v>0</v>
      </c>
      <c r="AC118" s="675">
        <v>0</v>
      </c>
      <c r="AD118" s="675" t="s">
        <v>316</v>
      </c>
      <c r="AE118" s="675">
        <v>0</v>
      </c>
      <c r="AF118" s="675">
        <v>0</v>
      </c>
      <c r="AG118" s="675">
        <v>0</v>
      </c>
      <c r="AH118" s="675">
        <v>0</v>
      </c>
      <c r="AI118" s="675">
        <v>0</v>
      </c>
      <c r="AJ118" s="675">
        <v>6160</v>
      </c>
      <c r="AK118" s="675" t="s">
        <v>671</v>
      </c>
      <c r="AL118" s="675" t="s">
        <v>44</v>
      </c>
      <c r="AM118" s="675">
        <v>0</v>
      </c>
      <c r="AN118" s="675">
        <v>0</v>
      </c>
      <c r="AO118" s="675">
        <v>0</v>
      </c>
      <c r="AP118" s="675">
        <v>0</v>
      </c>
      <c r="AQ118" s="675">
        <v>0</v>
      </c>
      <c r="AR118" s="675">
        <v>0</v>
      </c>
      <c r="AS118" s="675">
        <v>0</v>
      </c>
      <c r="AT118" s="675">
        <v>0</v>
      </c>
      <c r="AU118" s="675">
        <v>0</v>
      </c>
      <c r="AV118" s="675">
        <v>-27238</v>
      </c>
      <c r="AW118" s="675">
        <v>1900268</v>
      </c>
      <c r="AX118" s="675">
        <v>1868775</v>
      </c>
      <c r="AY118" s="675">
        <v>1238544</v>
      </c>
      <c r="AZ118" s="675">
        <v>70343</v>
      </c>
      <c r="BA118" s="675">
        <v>0</v>
      </c>
      <c r="BB118" s="675">
        <v>0</v>
      </c>
      <c r="BC118" s="675">
        <v>0</v>
      </c>
      <c r="BD118" s="675">
        <v>0</v>
      </c>
      <c r="BE118" s="675">
        <v>0</v>
      </c>
      <c r="BF118" s="675">
        <v>1726650</v>
      </c>
      <c r="BG118" s="675">
        <v>0</v>
      </c>
      <c r="BH118" s="675">
        <v>0</v>
      </c>
      <c r="BI118" s="675">
        <v>0</v>
      </c>
      <c r="BJ118" s="675">
        <v>12</v>
      </c>
      <c r="BK118" s="675">
        <v>0</v>
      </c>
      <c r="BL118" s="675">
        <v>0</v>
      </c>
      <c r="BM118" s="675">
        <v>0</v>
      </c>
      <c r="BN118" s="675">
        <v>0</v>
      </c>
      <c r="BO118" s="675">
        <v>0</v>
      </c>
      <c r="BP118" s="675">
        <v>0</v>
      </c>
      <c r="BQ118" s="675">
        <v>745</v>
      </c>
      <c r="BR118" s="675">
        <v>0</v>
      </c>
      <c r="BS118" s="675">
        <v>0</v>
      </c>
      <c r="BT118" s="675">
        <v>0</v>
      </c>
      <c r="BU118" s="675">
        <v>0</v>
      </c>
      <c r="BV118" s="675">
        <v>0</v>
      </c>
      <c r="BW118" s="675">
        <v>0</v>
      </c>
      <c r="BX118" s="675">
        <v>0</v>
      </c>
      <c r="BY118" s="675">
        <v>0</v>
      </c>
      <c r="BZ118" s="675">
        <v>0</v>
      </c>
      <c r="CA118" s="675">
        <v>0</v>
      </c>
      <c r="CB118" s="675">
        <v>0</v>
      </c>
      <c r="CC118" s="675">
        <v>0</v>
      </c>
      <c r="CD118" s="675">
        <v>0</v>
      </c>
      <c r="CE118" s="675">
        <v>0</v>
      </c>
      <c r="CF118" s="675">
        <v>0</v>
      </c>
      <c r="CG118" s="675">
        <v>0</v>
      </c>
      <c r="CH118" s="675">
        <v>31781</v>
      </c>
      <c r="CI118" s="675">
        <v>0</v>
      </c>
      <c r="CJ118" s="675">
        <v>4</v>
      </c>
      <c r="CK118" s="675">
        <v>0</v>
      </c>
      <c r="CL118" s="675">
        <v>0</v>
      </c>
      <c r="CM118" s="675">
        <v>0</v>
      </c>
      <c r="CN118" s="675">
        <v>0</v>
      </c>
      <c r="CO118" s="675">
        <v>1</v>
      </c>
      <c r="CP118" s="675">
        <v>0</v>
      </c>
      <c r="CQ118" s="675">
        <v>0</v>
      </c>
      <c r="CR118" s="675">
        <v>183.494</v>
      </c>
      <c r="CS118" s="675">
        <v>0</v>
      </c>
      <c r="CT118" s="675">
        <v>0</v>
      </c>
      <c r="CU118" s="675">
        <v>0</v>
      </c>
      <c r="CV118" s="675">
        <v>0</v>
      </c>
      <c r="CW118" s="675">
        <v>0</v>
      </c>
      <c r="CX118" s="675">
        <v>0</v>
      </c>
      <c r="CY118" s="675">
        <v>0</v>
      </c>
      <c r="CZ118" s="675">
        <v>0</v>
      </c>
      <c r="DA118" s="675">
        <v>0</v>
      </c>
      <c r="DB118" s="675">
        <v>991725</v>
      </c>
      <c r="DC118" s="675">
        <v>0</v>
      </c>
      <c r="DD118" s="675">
        <v>0</v>
      </c>
      <c r="DE118" s="675">
        <v>259104</v>
      </c>
      <c r="DF118" s="675">
        <v>259104</v>
      </c>
      <c r="DG118" s="675">
        <v>42.063000000000002</v>
      </c>
      <c r="DH118" s="675">
        <v>0</v>
      </c>
      <c r="DI118" s="675">
        <v>0</v>
      </c>
      <c r="DJ118" s="675">
        <v>0</v>
      </c>
      <c r="DK118" s="675">
        <v>3546</v>
      </c>
      <c r="DL118" s="675">
        <v>0</v>
      </c>
      <c r="DM118" s="675">
        <v>75514</v>
      </c>
      <c r="DN118" s="675">
        <v>288</v>
      </c>
      <c r="DO118" s="675">
        <v>0</v>
      </c>
      <c r="DP118" s="675">
        <v>0</v>
      </c>
      <c r="DQ118" s="675">
        <v>0</v>
      </c>
      <c r="DR118" s="675">
        <v>0</v>
      </c>
      <c r="DS118" s="675">
        <v>0</v>
      </c>
      <c r="DT118" s="675">
        <v>0</v>
      </c>
      <c r="DU118" s="675">
        <v>0</v>
      </c>
      <c r="DV118" s="675">
        <v>0</v>
      </c>
      <c r="DW118" s="675">
        <v>0</v>
      </c>
      <c r="DX118" s="675">
        <v>0</v>
      </c>
      <c r="DY118" s="675">
        <v>0</v>
      </c>
      <c r="DZ118" s="675">
        <v>0</v>
      </c>
      <c r="EA118" s="675">
        <v>0</v>
      </c>
      <c r="EB118" s="675">
        <v>0</v>
      </c>
      <c r="EC118" s="675">
        <v>1.7770000000000001</v>
      </c>
      <c r="ED118" s="675">
        <v>12588</v>
      </c>
      <c r="EE118" s="675">
        <v>0</v>
      </c>
      <c r="EF118" s="675">
        <v>0</v>
      </c>
      <c r="EG118" s="675">
        <v>0</v>
      </c>
      <c r="EH118" s="675">
        <v>63214</v>
      </c>
      <c r="EI118" s="675">
        <v>0</v>
      </c>
      <c r="EJ118" s="675">
        <v>0</v>
      </c>
      <c r="EK118" s="675">
        <v>3.0590000000000002</v>
      </c>
      <c r="EL118" s="675">
        <v>0</v>
      </c>
      <c r="EM118" s="675">
        <v>0</v>
      </c>
      <c r="EN118" s="675">
        <v>0.217</v>
      </c>
      <c r="EO118" s="675">
        <v>0</v>
      </c>
      <c r="EP118" s="675">
        <v>0</v>
      </c>
      <c r="EQ118" s="675">
        <v>3.2760000000000002</v>
      </c>
      <c r="ER118" s="675">
        <v>0</v>
      </c>
      <c r="ES118" s="675">
        <v>10.262</v>
      </c>
      <c r="ET118" s="675">
        <v>0</v>
      </c>
      <c r="EU118" s="675">
        <v>0</v>
      </c>
      <c r="EV118" s="675">
        <v>0</v>
      </c>
      <c r="EW118" s="675">
        <v>0</v>
      </c>
      <c r="EX118" s="675">
        <v>0</v>
      </c>
      <c r="EY118" s="675">
        <v>0</v>
      </c>
      <c r="EZ118" s="675">
        <v>1656811</v>
      </c>
      <c r="FA118" s="675">
        <v>0</v>
      </c>
      <c r="FB118" s="675">
        <v>1726866</v>
      </c>
      <c r="FC118" s="675">
        <v>0</v>
      </c>
      <c r="FD118" s="675">
        <v>0</v>
      </c>
      <c r="FE118" s="675">
        <v>175636</v>
      </c>
      <c r="FF118" s="675">
        <v>36328</v>
      </c>
      <c r="FG118" s="675">
        <v>6.3574999999999993E-2</v>
      </c>
      <c r="FH118" s="675">
        <v>2.6298999999999999E-2</v>
      </c>
      <c r="FI118" s="675">
        <v>0</v>
      </c>
      <c r="FJ118" s="675">
        <v>0</v>
      </c>
      <c r="FK118" s="675">
        <v>280.30200000000002</v>
      </c>
      <c r="FL118" s="675">
        <v>1970611</v>
      </c>
      <c r="FM118" s="675">
        <v>0</v>
      </c>
      <c r="FN118" s="675">
        <v>0</v>
      </c>
      <c r="FO118" s="675">
        <v>0</v>
      </c>
      <c r="FP118" s="675">
        <v>0</v>
      </c>
      <c r="FQ118" s="675">
        <v>0</v>
      </c>
      <c r="FR118" s="675">
        <v>0</v>
      </c>
      <c r="FS118" s="675">
        <v>0</v>
      </c>
      <c r="FT118" s="675">
        <v>0</v>
      </c>
      <c r="FU118" s="675">
        <v>0</v>
      </c>
      <c r="FV118" s="675">
        <v>0</v>
      </c>
      <c r="FW118" s="675">
        <v>0</v>
      </c>
      <c r="FX118" s="675">
        <v>0</v>
      </c>
      <c r="FY118" s="675">
        <v>0</v>
      </c>
      <c r="FZ118" s="675">
        <v>0</v>
      </c>
      <c r="GA118" s="675">
        <v>0</v>
      </c>
      <c r="GB118" s="675">
        <v>91948</v>
      </c>
      <c r="GC118" s="675">
        <v>91948</v>
      </c>
      <c r="GD118" s="675">
        <v>9.6219999999999999</v>
      </c>
      <c r="GE118" s="675">
        <v>0</v>
      </c>
      <c r="GF118" s="675">
        <v>0</v>
      </c>
      <c r="GG118" s="675">
        <v>0</v>
      </c>
      <c r="GH118" s="675">
        <v>0</v>
      </c>
      <c r="GI118" s="675">
        <v>0</v>
      </c>
      <c r="GJ118" s="675">
        <v>0</v>
      </c>
      <c r="GK118" s="675">
        <v>0</v>
      </c>
      <c r="GL118" s="675">
        <v>0</v>
      </c>
      <c r="GM118" s="675">
        <v>0</v>
      </c>
      <c r="GN118" s="675">
        <v>0</v>
      </c>
      <c r="GO118" s="675">
        <v>0</v>
      </c>
      <c r="GP118" s="675">
        <v>0</v>
      </c>
      <c r="GQ118" s="675">
        <v>0</v>
      </c>
      <c r="GR118" s="675">
        <v>0</v>
      </c>
      <c r="GS118" s="675">
        <v>0</v>
      </c>
      <c r="GT118" s="675">
        <v>0</v>
      </c>
      <c r="GU118" s="675">
        <v>0</v>
      </c>
      <c r="GV118" s="675">
        <v>0</v>
      </c>
      <c r="GW118" s="675">
        <v>0</v>
      </c>
      <c r="GX118" s="675">
        <v>0</v>
      </c>
      <c r="GY118" s="675">
        <v>0</v>
      </c>
      <c r="GZ118" s="675">
        <v>0</v>
      </c>
      <c r="HA118" s="675">
        <v>0</v>
      </c>
      <c r="HB118" s="675">
        <v>298386780</v>
      </c>
      <c r="HC118" s="675">
        <v>4.5690999999999996E-2</v>
      </c>
      <c r="HD118" s="675">
        <v>31781</v>
      </c>
      <c r="HE118" s="675">
        <v>0</v>
      </c>
      <c r="HF118" s="675">
        <v>177095</v>
      </c>
      <c r="HG118" s="675">
        <v>0</v>
      </c>
      <c r="HH118" s="675">
        <v>69302</v>
      </c>
      <c r="HI118" s="675">
        <v>0</v>
      </c>
      <c r="HJ118" s="675">
        <v>1690</v>
      </c>
      <c r="HK118" s="675">
        <v>450</v>
      </c>
      <c r="HL118" s="675">
        <v>54</v>
      </c>
      <c r="HM118" s="675">
        <v>5000</v>
      </c>
      <c r="HN118" s="675">
        <v>0</v>
      </c>
      <c r="HO118" s="675">
        <v>0</v>
      </c>
      <c r="HP118" s="675">
        <v>0</v>
      </c>
      <c r="HQ118" s="675">
        <v>0</v>
      </c>
      <c r="HR118" s="675">
        <v>0</v>
      </c>
      <c r="HS118" s="675">
        <v>1656523</v>
      </c>
      <c r="HT118" s="675">
        <v>36328</v>
      </c>
      <c r="HU118" s="675">
        <v>0</v>
      </c>
      <c r="HV118" s="675">
        <v>0</v>
      </c>
      <c r="HW118" s="675">
        <v>0</v>
      </c>
      <c r="HX118" s="675">
        <v>14</v>
      </c>
      <c r="HY118" s="675">
        <v>21</v>
      </c>
      <c r="HZ118" s="675">
        <v>25</v>
      </c>
      <c r="IA118" s="675">
        <v>30</v>
      </c>
      <c r="IB118" s="675">
        <v>72</v>
      </c>
      <c r="IC118" s="675">
        <v>162</v>
      </c>
      <c r="ID118" s="675">
        <v>0</v>
      </c>
      <c r="IE118" s="675">
        <v>0</v>
      </c>
      <c r="IF118" s="675">
        <v>0</v>
      </c>
      <c r="IG118" s="675">
        <v>0</v>
      </c>
      <c r="IH118" s="675">
        <v>112.503</v>
      </c>
      <c r="II118" s="675">
        <v>0</v>
      </c>
      <c r="IJ118" s="675">
        <v>89.26</v>
      </c>
      <c r="IK118" s="675">
        <v>0</v>
      </c>
      <c r="IL118" s="675">
        <v>1</v>
      </c>
      <c r="IM118" s="675">
        <v>0</v>
      </c>
      <c r="IN118" s="675">
        <v>0</v>
      </c>
      <c r="IO118" s="675">
        <v>1</v>
      </c>
      <c r="IP118" s="675">
        <v>0</v>
      </c>
      <c r="IQ118" s="675">
        <v>89.26</v>
      </c>
      <c r="IR118" s="675">
        <v>54984</v>
      </c>
      <c r="IS118" s="675">
        <v>0</v>
      </c>
      <c r="IT118" s="675">
        <v>5000</v>
      </c>
      <c r="IU118" s="675">
        <v>0</v>
      </c>
      <c r="IV118" s="675">
        <v>0</v>
      </c>
      <c r="IW118" s="675">
        <v>6160</v>
      </c>
      <c r="IX118" s="675">
        <v>0</v>
      </c>
      <c r="IY118" s="675">
        <v>0</v>
      </c>
      <c r="IZ118" s="675">
        <v>0</v>
      </c>
      <c r="JA118" s="675">
        <v>0</v>
      </c>
      <c r="JB118" s="675">
        <v>0</v>
      </c>
      <c r="JC118" s="675">
        <v>0</v>
      </c>
      <c r="JD118" s="675">
        <v>0</v>
      </c>
      <c r="JE118" s="675">
        <v>0</v>
      </c>
      <c r="JF118" s="675">
        <v>0</v>
      </c>
      <c r="JG118" s="675">
        <v>0</v>
      </c>
      <c r="JH118" s="675">
        <v>0</v>
      </c>
      <c r="JI118" s="675">
        <v>0</v>
      </c>
      <c r="JJ118" s="675">
        <v>0</v>
      </c>
      <c r="JK118" s="675">
        <v>0</v>
      </c>
      <c r="JL118" s="675">
        <v>0</v>
      </c>
      <c r="JM118" s="675">
        <v>0</v>
      </c>
      <c r="JN118" s="675">
        <v>35572</v>
      </c>
      <c r="JO118" s="675">
        <v>1.8120000000000001</v>
      </c>
      <c r="JP118" s="675">
        <v>4.258</v>
      </c>
      <c r="JQ118" s="675">
        <v>3.552</v>
      </c>
      <c r="JR118" s="675">
        <v>14471</v>
      </c>
      <c r="JS118" s="675">
        <v>39569</v>
      </c>
      <c r="JT118" s="675">
        <v>37908</v>
      </c>
      <c r="JU118" s="675">
        <v>0</v>
      </c>
      <c r="JV118" s="675">
        <v>0</v>
      </c>
      <c r="JW118" s="675">
        <v>0</v>
      </c>
      <c r="JX118" s="675">
        <v>0</v>
      </c>
      <c r="JY118" s="675">
        <v>0</v>
      </c>
      <c r="JZ118" s="675">
        <v>0</v>
      </c>
      <c r="KA118" s="675">
        <v>0</v>
      </c>
      <c r="KB118" s="675">
        <v>0</v>
      </c>
      <c r="KC118" s="675">
        <v>0</v>
      </c>
      <c r="KD118" s="675">
        <v>0</v>
      </c>
      <c r="KE118" s="675">
        <v>7260</v>
      </c>
      <c r="KF118" s="675">
        <v>0</v>
      </c>
      <c r="KG118" s="675">
        <v>0</v>
      </c>
      <c r="KH118" s="675">
        <v>0</v>
      </c>
      <c r="KI118" s="675">
        <v>0</v>
      </c>
    </row>
    <row r="119" spans="1:295" ht="12.5" x14ac:dyDescent="0.25">
      <c r="A119" s="675">
        <v>35795</v>
      </c>
      <c r="B119" s="675">
        <v>101819</v>
      </c>
      <c r="C119" s="675">
        <v>9</v>
      </c>
      <c r="D119" s="675">
        <v>2022</v>
      </c>
      <c r="E119" s="675">
        <v>6160</v>
      </c>
      <c r="F119" s="675">
        <v>0</v>
      </c>
      <c r="G119" s="675">
        <v>503.98500000000001</v>
      </c>
      <c r="H119" s="675">
        <v>497.07400000000001</v>
      </c>
      <c r="I119" s="675">
        <v>497.07400000000001</v>
      </c>
      <c r="J119" s="675">
        <v>503.98500000000001</v>
      </c>
      <c r="K119" s="675">
        <v>0</v>
      </c>
      <c r="L119" s="675">
        <v>6160</v>
      </c>
      <c r="M119" s="675">
        <v>0</v>
      </c>
      <c r="N119" s="675">
        <v>0</v>
      </c>
      <c r="O119" s="675">
        <v>0</v>
      </c>
      <c r="P119" s="675">
        <v>459.03200000000004</v>
      </c>
      <c r="Q119" s="675">
        <v>0</v>
      </c>
      <c r="R119" s="675">
        <v>184727</v>
      </c>
      <c r="S119" s="675">
        <v>402.428</v>
      </c>
      <c r="T119" s="675">
        <v>0</v>
      </c>
      <c r="U119" s="675">
        <v>98233</v>
      </c>
      <c r="V119" s="675">
        <v>420.81800000000004</v>
      </c>
      <c r="W119" s="675">
        <v>260718</v>
      </c>
      <c r="X119" s="675">
        <v>260718</v>
      </c>
      <c r="Y119" s="675">
        <v>0</v>
      </c>
      <c r="Z119" s="675">
        <v>0</v>
      </c>
      <c r="AA119" s="675">
        <v>0</v>
      </c>
      <c r="AB119" s="675">
        <v>0</v>
      </c>
      <c r="AC119" s="675">
        <v>0</v>
      </c>
      <c r="AD119" s="675" t="s">
        <v>316</v>
      </c>
      <c r="AE119" s="675">
        <v>0</v>
      </c>
      <c r="AF119" s="675">
        <v>0</v>
      </c>
      <c r="AG119" s="675">
        <v>0</v>
      </c>
      <c r="AH119" s="675">
        <v>0</v>
      </c>
      <c r="AI119" s="675">
        <v>0</v>
      </c>
      <c r="AJ119" s="675">
        <v>6160</v>
      </c>
      <c r="AK119" s="675" t="s">
        <v>671</v>
      </c>
      <c r="AL119" s="675" t="s">
        <v>347</v>
      </c>
      <c r="AM119" s="675">
        <v>0</v>
      </c>
      <c r="AN119" s="675">
        <v>0</v>
      </c>
      <c r="AO119" s="675">
        <v>0</v>
      </c>
      <c r="AP119" s="675">
        <v>0</v>
      </c>
      <c r="AQ119" s="675">
        <v>0</v>
      </c>
      <c r="AR119" s="675">
        <v>0</v>
      </c>
      <c r="AS119" s="675">
        <v>0</v>
      </c>
      <c r="AT119" s="675">
        <v>0</v>
      </c>
      <c r="AU119" s="675">
        <v>0</v>
      </c>
      <c r="AV119" s="675">
        <v>0</v>
      </c>
      <c r="AW119" s="675">
        <v>5847194</v>
      </c>
      <c r="AX119" s="675">
        <v>5671642</v>
      </c>
      <c r="AY119" s="675">
        <v>3769494</v>
      </c>
      <c r="AZ119" s="675">
        <v>184727</v>
      </c>
      <c r="BA119" s="675">
        <v>0</v>
      </c>
      <c r="BB119" s="675">
        <v>0</v>
      </c>
      <c r="BC119" s="675">
        <v>0</v>
      </c>
      <c r="BD119" s="675">
        <v>0</v>
      </c>
      <c r="BE119" s="675">
        <v>0</v>
      </c>
      <c r="BF119" s="675">
        <v>5216048</v>
      </c>
      <c r="BG119" s="675">
        <v>0</v>
      </c>
      <c r="BH119" s="675">
        <v>0</v>
      </c>
      <c r="BI119" s="675">
        <v>0</v>
      </c>
      <c r="BJ119" s="675">
        <v>12</v>
      </c>
      <c r="BK119" s="675">
        <v>0</v>
      </c>
      <c r="BL119" s="675">
        <v>0</v>
      </c>
      <c r="BM119" s="675">
        <v>0</v>
      </c>
      <c r="BN119" s="675">
        <v>0</v>
      </c>
      <c r="BO119" s="675">
        <v>0</v>
      </c>
      <c r="BP119" s="675">
        <v>0</v>
      </c>
      <c r="BQ119" s="675">
        <v>693</v>
      </c>
      <c r="BR119" s="675">
        <v>0</v>
      </c>
      <c r="BS119" s="675">
        <v>0</v>
      </c>
      <c r="BT119" s="675">
        <v>0</v>
      </c>
      <c r="BU119" s="675">
        <v>0</v>
      </c>
      <c r="BV119" s="675">
        <v>0</v>
      </c>
      <c r="BW119" s="675">
        <v>0</v>
      </c>
      <c r="BX119" s="675">
        <v>0</v>
      </c>
      <c r="BY119" s="675">
        <v>0</v>
      </c>
      <c r="BZ119" s="675">
        <v>0</v>
      </c>
      <c r="CA119" s="675">
        <v>0</v>
      </c>
      <c r="CB119" s="675">
        <v>0</v>
      </c>
      <c r="CC119" s="675">
        <v>0</v>
      </c>
      <c r="CD119" s="675">
        <v>0</v>
      </c>
      <c r="CE119" s="675">
        <v>0</v>
      </c>
      <c r="CF119" s="675">
        <v>0</v>
      </c>
      <c r="CG119" s="675">
        <v>0</v>
      </c>
      <c r="CH119" s="675">
        <v>176180</v>
      </c>
      <c r="CI119" s="675">
        <v>0</v>
      </c>
      <c r="CJ119" s="675">
        <v>4</v>
      </c>
      <c r="CK119" s="675">
        <v>0</v>
      </c>
      <c r="CL119" s="675">
        <v>0</v>
      </c>
      <c r="CM119" s="675">
        <v>0</v>
      </c>
      <c r="CN119" s="675">
        <v>0</v>
      </c>
      <c r="CO119" s="675">
        <v>1</v>
      </c>
      <c r="CP119" s="675">
        <v>0</v>
      </c>
      <c r="CQ119" s="675">
        <v>0</v>
      </c>
      <c r="CR119" s="675">
        <v>462.94300000000004</v>
      </c>
      <c r="CS119" s="675">
        <v>0</v>
      </c>
      <c r="CT119" s="675">
        <v>0</v>
      </c>
      <c r="CU119" s="675">
        <v>0</v>
      </c>
      <c r="CV119" s="675">
        <v>0</v>
      </c>
      <c r="CW119" s="675">
        <v>0</v>
      </c>
      <c r="CX119" s="675">
        <v>0</v>
      </c>
      <c r="CY119" s="675">
        <v>0</v>
      </c>
      <c r="CZ119" s="675">
        <v>0</v>
      </c>
      <c r="DA119" s="675">
        <v>0</v>
      </c>
      <c r="DB119" s="675">
        <v>3061962</v>
      </c>
      <c r="DC119" s="675">
        <v>0</v>
      </c>
      <c r="DD119" s="675">
        <v>0</v>
      </c>
      <c r="DE119" s="675">
        <v>924458</v>
      </c>
      <c r="DF119" s="675">
        <v>924458</v>
      </c>
      <c r="DG119" s="675">
        <v>150.07500000000002</v>
      </c>
      <c r="DH119" s="675">
        <v>0</v>
      </c>
      <c r="DI119" s="675">
        <v>0</v>
      </c>
      <c r="DJ119" s="675">
        <v>0</v>
      </c>
      <c r="DK119" s="675">
        <v>2718</v>
      </c>
      <c r="DL119" s="675">
        <v>0</v>
      </c>
      <c r="DM119" s="675">
        <v>164813</v>
      </c>
      <c r="DN119" s="675">
        <v>628</v>
      </c>
      <c r="DO119" s="675">
        <v>0</v>
      </c>
      <c r="DP119" s="675">
        <v>0</v>
      </c>
      <c r="DQ119" s="675">
        <v>0</v>
      </c>
      <c r="DR119" s="675">
        <v>0</v>
      </c>
      <c r="DS119" s="675">
        <v>0</v>
      </c>
      <c r="DT119" s="675">
        <v>0</v>
      </c>
      <c r="DU119" s="675">
        <v>0</v>
      </c>
      <c r="DV119" s="675">
        <v>0</v>
      </c>
      <c r="DW119" s="675">
        <v>0</v>
      </c>
      <c r="DX119" s="675">
        <v>0</v>
      </c>
      <c r="DY119" s="675">
        <v>0</v>
      </c>
      <c r="DZ119" s="675">
        <v>0</v>
      </c>
      <c r="EA119" s="675">
        <v>0</v>
      </c>
      <c r="EB119" s="675">
        <v>0</v>
      </c>
      <c r="EC119" s="675">
        <v>3.722</v>
      </c>
      <c r="ED119" s="675">
        <v>26367</v>
      </c>
      <c r="EE119" s="675">
        <v>0</v>
      </c>
      <c r="EF119" s="675">
        <v>0</v>
      </c>
      <c r="EG119" s="675">
        <v>0</v>
      </c>
      <c r="EH119" s="675">
        <v>139074</v>
      </c>
      <c r="EI119" s="675">
        <v>0</v>
      </c>
      <c r="EJ119" s="675">
        <v>0</v>
      </c>
      <c r="EK119" s="675">
        <v>5.0390000000000006</v>
      </c>
      <c r="EL119" s="675">
        <v>0</v>
      </c>
      <c r="EM119" s="675">
        <v>0.95000000000000007</v>
      </c>
      <c r="EN119" s="675">
        <v>0.92200000000000004</v>
      </c>
      <c r="EO119" s="675">
        <v>0</v>
      </c>
      <c r="EP119" s="675">
        <v>0</v>
      </c>
      <c r="EQ119" s="675">
        <v>6.9110000000000005</v>
      </c>
      <c r="ER119" s="675">
        <v>0</v>
      </c>
      <c r="ES119" s="675">
        <v>22.577000000000002</v>
      </c>
      <c r="ET119" s="675">
        <v>0</v>
      </c>
      <c r="EU119" s="675">
        <v>0</v>
      </c>
      <c r="EV119" s="675">
        <v>0</v>
      </c>
      <c r="EW119" s="675">
        <v>0</v>
      </c>
      <c r="EX119" s="675">
        <v>0</v>
      </c>
      <c r="EY119" s="675">
        <v>0</v>
      </c>
      <c r="EZ119" s="675">
        <v>5031321</v>
      </c>
      <c r="FA119" s="675">
        <v>0</v>
      </c>
      <c r="FB119" s="675">
        <v>5215420</v>
      </c>
      <c r="FC119" s="675">
        <v>0</v>
      </c>
      <c r="FD119" s="675">
        <v>0</v>
      </c>
      <c r="FE119" s="675">
        <v>530579</v>
      </c>
      <c r="FF119" s="675">
        <v>109742</v>
      </c>
      <c r="FG119" s="675">
        <v>6.3574999999999993E-2</v>
      </c>
      <c r="FH119" s="675">
        <v>2.6298999999999999E-2</v>
      </c>
      <c r="FI119" s="675">
        <v>0</v>
      </c>
      <c r="FJ119" s="675">
        <v>0</v>
      </c>
      <c r="FK119" s="675">
        <v>846.76499999999999</v>
      </c>
      <c r="FL119" s="675">
        <v>6031921</v>
      </c>
      <c r="FM119" s="675">
        <v>0</v>
      </c>
      <c r="FN119" s="675">
        <v>0</v>
      </c>
      <c r="FO119" s="675">
        <v>0</v>
      </c>
      <c r="FP119" s="675">
        <v>0</v>
      </c>
      <c r="FQ119" s="675">
        <v>0</v>
      </c>
      <c r="FR119" s="675">
        <v>0</v>
      </c>
      <c r="FS119" s="675">
        <v>0</v>
      </c>
      <c r="FT119" s="675">
        <v>0</v>
      </c>
      <c r="FU119" s="675">
        <v>0</v>
      </c>
      <c r="FV119" s="675">
        <v>0</v>
      </c>
      <c r="FW119" s="675">
        <v>0</v>
      </c>
      <c r="FX119" s="675">
        <v>0</v>
      </c>
      <c r="FY119" s="675">
        <v>0</v>
      </c>
      <c r="FZ119" s="675">
        <v>0</v>
      </c>
      <c r="GA119" s="675">
        <v>0</v>
      </c>
      <c r="GB119" s="675">
        <v>0</v>
      </c>
      <c r="GC119" s="675">
        <v>0</v>
      </c>
      <c r="GD119" s="675">
        <v>0</v>
      </c>
      <c r="GE119" s="675">
        <v>0</v>
      </c>
      <c r="GF119" s="675">
        <v>0</v>
      </c>
      <c r="GG119" s="675">
        <v>0</v>
      </c>
      <c r="GH119" s="675">
        <v>0</v>
      </c>
      <c r="GI119" s="675">
        <v>0</v>
      </c>
      <c r="GJ119" s="675">
        <v>0</v>
      </c>
      <c r="GK119" s="675">
        <v>0</v>
      </c>
      <c r="GL119" s="675">
        <v>0</v>
      </c>
      <c r="GM119" s="675">
        <v>0</v>
      </c>
      <c r="GN119" s="675">
        <v>0</v>
      </c>
      <c r="GO119" s="675">
        <v>0</v>
      </c>
      <c r="GP119" s="675">
        <v>0</v>
      </c>
      <c r="GQ119" s="675">
        <v>0</v>
      </c>
      <c r="GR119" s="675">
        <v>0</v>
      </c>
      <c r="GS119" s="675">
        <v>0</v>
      </c>
      <c r="GT119" s="675">
        <v>0</v>
      </c>
      <c r="GU119" s="675">
        <v>0</v>
      </c>
      <c r="GV119" s="675">
        <v>0</v>
      </c>
      <c r="GW119" s="675">
        <v>0</v>
      </c>
      <c r="GX119" s="675">
        <v>0</v>
      </c>
      <c r="GY119" s="675">
        <v>0</v>
      </c>
      <c r="GZ119" s="675">
        <v>0</v>
      </c>
      <c r="HA119" s="675">
        <v>0</v>
      </c>
      <c r="HB119" s="675">
        <v>298386780</v>
      </c>
      <c r="HC119" s="675">
        <v>4.5690999999999996E-2</v>
      </c>
      <c r="HD119" s="675">
        <v>92110</v>
      </c>
      <c r="HE119" s="675">
        <v>0</v>
      </c>
      <c r="HF119" s="675">
        <v>546781</v>
      </c>
      <c r="HG119" s="675">
        <v>1925</v>
      </c>
      <c r="HH119" s="675">
        <v>249864</v>
      </c>
      <c r="HI119" s="675">
        <v>0</v>
      </c>
      <c r="HJ119" s="675">
        <v>4899</v>
      </c>
      <c r="HK119" s="675">
        <v>0</v>
      </c>
      <c r="HL119" s="675">
        <v>0</v>
      </c>
      <c r="HM119" s="675">
        <v>0</v>
      </c>
      <c r="HN119" s="675">
        <v>0</v>
      </c>
      <c r="HO119" s="675">
        <v>0</v>
      </c>
      <c r="HP119" s="675">
        <v>0</v>
      </c>
      <c r="HQ119" s="675">
        <v>0</v>
      </c>
      <c r="HR119" s="675">
        <v>0</v>
      </c>
      <c r="HS119" s="675">
        <v>5030693</v>
      </c>
      <c r="HT119" s="675">
        <v>109742</v>
      </c>
      <c r="HU119" s="675">
        <v>0</v>
      </c>
      <c r="HV119" s="675">
        <v>0</v>
      </c>
      <c r="HW119" s="675">
        <v>0</v>
      </c>
      <c r="HX119" s="675">
        <v>10</v>
      </c>
      <c r="HY119" s="675">
        <v>17</v>
      </c>
      <c r="HZ119" s="675">
        <v>37</v>
      </c>
      <c r="IA119" s="675">
        <v>83</v>
      </c>
      <c r="IB119" s="675">
        <v>410</v>
      </c>
      <c r="IC119" s="675">
        <v>557</v>
      </c>
      <c r="ID119" s="675">
        <v>0</v>
      </c>
      <c r="IE119" s="675">
        <v>1.6180000000000001</v>
      </c>
      <c r="IF119" s="675">
        <v>0</v>
      </c>
      <c r="IG119" s="675">
        <v>3.125</v>
      </c>
      <c r="IH119" s="675">
        <v>405.625</v>
      </c>
      <c r="II119" s="675">
        <v>0</v>
      </c>
      <c r="IJ119" s="675">
        <v>422.43600000000004</v>
      </c>
      <c r="IK119" s="675">
        <v>0</v>
      </c>
      <c r="IL119" s="675">
        <v>0</v>
      </c>
      <c r="IM119" s="675">
        <v>0</v>
      </c>
      <c r="IN119" s="675">
        <v>0</v>
      </c>
      <c r="IO119" s="675">
        <v>0</v>
      </c>
      <c r="IP119" s="675">
        <v>0</v>
      </c>
      <c r="IQ119" s="675">
        <v>420.81800000000004</v>
      </c>
      <c r="IR119" s="675">
        <v>259223</v>
      </c>
      <c r="IS119" s="675">
        <v>0</v>
      </c>
      <c r="IT119" s="675">
        <v>0</v>
      </c>
      <c r="IU119" s="675">
        <v>0</v>
      </c>
      <c r="IV119" s="675">
        <v>0</v>
      </c>
      <c r="IW119" s="675">
        <v>6160</v>
      </c>
      <c r="IX119" s="675">
        <v>1495</v>
      </c>
      <c r="IY119" s="675">
        <v>0</v>
      </c>
      <c r="IZ119" s="675">
        <v>0</v>
      </c>
      <c r="JA119" s="675">
        <v>0</v>
      </c>
      <c r="JB119" s="675">
        <v>0</v>
      </c>
      <c r="JC119" s="675">
        <v>0</v>
      </c>
      <c r="JD119" s="675">
        <v>0</v>
      </c>
      <c r="JE119" s="675">
        <v>0</v>
      </c>
      <c r="JF119" s="675">
        <v>0</v>
      </c>
      <c r="JG119" s="675">
        <v>0</v>
      </c>
      <c r="JH119" s="675">
        <v>0</v>
      </c>
      <c r="JI119" s="675">
        <v>0</v>
      </c>
      <c r="JJ119" s="675">
        <v>0</v>
      </c>
      <c r="JK119" s="675">
        <v>0</v>
      </c>
      <c r="JL119" s="675">
        <v>0</v>
      </c>
      <c r="JM119" s="675">
        <v>0</v>
      </c>
      <c r="JN119" s="675">
        <v>32469</v>
      </c>
      <c r="JO119" s="675">
        <v>0</v>
      </c>
      <c r="JP119" s="675">
        <v>0</v>
      </c>
      <c r="JQ119" s="675">
        <v>0</v>
      </c>
      <c r="JR119" s="675">
        <v>0</v>
      </c>
      <c r="JS119" s="675">
        <v>0</v>
      </c>
      <c r="JT119" s="675">
        <v>0</v>
      </c>
      <c r="JU119" s="675">
        <v>0</v>
      </c>
      <c r="JV119" s="675">
        <v>0</v>
      </c>
      <c r="JW119" s="675">
        <v>0</v>
      </c>
      <c r="JX119" s="675">
        <v>0</v>
      </c>
      <c r="JY119" s="675">
        <v>0</v>
      </c>
      <c r="JZ119" s="675">
        <v>0</v>
      </c>
      <c r="KA119" s="675">
        <v>0</v>
      </c>
      <c r="KB119" s="675">
        <v>0</v>
      </c>
      <c r="KC119" s="675">
        <v>0</v>
      </c>
      <c r="KD119" s="675">
        <v>0</v>
      </c>
      <c r="KE119" s="675">
        <v>7260</v>
      </c>
      <c r="KF119" s="675">
        <v>84070</v>
      </c>
      <c r="KG119" s="675">
        <v>0</v>
      </c>
      <c r="KH119" s="675">
        <v>0</v>
      </c>
      <c r="KI119" s="675">
        <v>0</v>
      </c>
    </row>
    <row r="120" spans="1:295" ht="12.5" x14ac:dyDescent="0.25">
      <c r="A120" s="675">
        <v>35795</v>
      </c>
      <c r="B120" s="675">
        <v>220819</v>
      </c>
      <c r="C120" s="675">
        <v>9</v>
      </c>
      <c r="D120" s="675">
        <v>2022</v>
      </c>
      <c r="E120" s="675">
        <v>6160</v>
      </c>
      <c r="F120" s="675">
        <v>0</v>
      </c>
      <c r="G120" s="675">
        <v>1308.31</v>
      </c>
      <c r="H120" s="675">
        <v>1248.162</v>
      </c>
      <c r="I120" s="675">
        <v>1248.162</v>
      </c>
      <c r="J120" s="675">
        <v>1308.31</v>
      </c>
      <c r="K120" s="675">
        <v>0</v>
      </c>
      <c r="L120" s="675">
        <v>6160</v>
      </c>
      <c r="M120" s="675">
        <v>0</v>
      </c>
      <c r="N120" s="675">
        <v>0</v>
      </c>
      <c r="O120" s="675">
        <v>0</v>
      </c>
      <c r="P120" s="675">
        <v>1500.923</v>
      </c>
      <c r="Q120" s="675">
        <v>0</v>
      </c>
      <c r="R120" s="675">
        <v>604013</v>
      </c>
      <c r="S120" s="675">
        <v>402.428</v>
      </c>
      <c r="T120" s="675">
        <v>0</v>
      </c>
      <c r="U120" s="675">
        <v>321199</v>
      </c>
      <c r="V120" s="675">
        <v>91.305000000000007</v>
      </c>
      <c r="W120" s="675">
        <v>56244</v>
      </c>
      <c r="X120" s="675">
        <v>56244</v>
      </c>
      <c r="Y120" s="675">
        <v>0</v>
      </c>
      <c r="Z120" s="675">
        <v>0</v>
      </c>
      <c r="AA120" s="675">
        <v>0</v>
      </c>
      <c r="AB120" s="675">
        <v>0</v>
      </c>
      <c r="AC120" s="675">
        <v>0</v>
      </c>
      <c r="AD120" s="675" t="s">
        <v>316</v>
      </c>
      <c r="AE120" s="675">
        <v>0</v>
      </c>
      <c r="AF120" s="675">
        <v>0</v>
      </c>
      <c r="AG120" s="675">
        <v>0</v>
      </c>
      <c r="AH120" s="675">
        <v>0</v>
      </c>
      <c r="AI120" s="675">
        <v>0</v>
      </c>
      <c r="AJ120" s="675">
        <v>6160</v>
      </c>
      <c r="AK120" s="675" t="s">
        <v>671</v>
      </c>
      <c r="AL120" s="675" t="s">
        <v>373</v>
      </c>
      <c r="AM120" s="675">
        <v>0</v>
      </c>
      <c r="AN120" s="675">
        <v>0</v>
      </c>
      <c r="AO120" s="675">
        <v>0</v>
      </c>
      <c r="AP120" s="675">
        <v>0</v>
      </c>
      <c r="AQ120" s="675">
        <v>0</v>
      </c>
      <c r="AR120" s="675">
        <v>0</v>
      </c>
      <c r="AS120" s="675">
        <v>0</v>
      </c>
      <c r="AT120" s="675">
        <v>0</v>
      </c>
      <c r="AU120" s="675">
        <v>0</v>
      </c>
      <c r="AV120" s="675">
        <v>0</v>
      </c>
      <c r="AW120" s="675">
        <v>13599858</v>
      </c>
      <c r="AX120" s="675">
        <v>13363692</v>
      </c>
      <c r="AY120" s="675">
        <v>10038022</v>
      </c>
      <c r="AZ120" s="675">
        <v>604013</v>
      </c>
      <c r="BA120" s="675">
        <v>0</v>
      </c>
      <c r="BB120" s="675">
        <v>28207</v>
      </c>
      <c r="BC120" s="675">
        <v>28025</v>
      </c>
      <c r="BD120" s="675">
        <v>65.415000000000006</v>
      </c>
      <c r="BE120" s="675">
        <v>182</v>
      </c>
      <c r="BF120" s="675">
        <v>12437834</v>
      </c>
      <c r="BG120" s="675">
        <v>0</v>
      </c>
      <c r="BH120" s="675">
        <v>0</v>
      </c>
      <c r="BI120" s="675">
        <v>0</v>
      </c>
      <c r="BJ120" s="675">
        <v>12</v>
      </c>
      <c r="BK120" s="675">
        <v>0</v>
      </c>
      <c r="BL120" s="675">
        <v>0</v>
      </c>
      <c r="BM120" s="675">
        <v>0</v>
      </c>
      <c r="BN120" s="675">
        <v>0</v>
      </c>
      <c r="BO120" s="675">
        <v>0</v>
      </c>
      <c r="BP120" s="675">
        <v>0</v>
      </c>
      <c r="BQ120" s="675">
        <v>578</v>
      </c>
      <c r="BR120" s="675">
        <v>0</v>
      </c>
      <c r="BS120" s="675">
        <v>0</v>
      </c>
      <c r="BT120" s="675">
        <v>0</v>
      </c>
      <c r="BU120" s="675">
        <v>0</v>
      </c>
      <c r="BV120" s="675">
        <v>0</v>
      </c>
      <c r="BW120" s="675">
        <v>0</v>
      </c>
      <c r="BX120" s="675">
        <v>0</v>
      </c>
      <c r="BY120" s="675">
        <v>0</v>
      </c>
      <c r="BZ120" s="675">
        <v>0</v>
      </c>
      <c r="CA120" s="675">
        <v>0</v>
      </c>
      <c r="CB120" s="675">
        <v>0</v>
      </c>
      <c r="CC120" s="675">
        <v>0</v>
      </c>
      <c r="CD120" s="675">
        <v>0</v>
      </c>
      <c r="CE120" s="675">
        <v>0</v>
      </c>
      <c r="CF120" s="675">
        <v>0</v>
      </c>
      <c r="CG120" s="675">
        <v>0</v>
      </c>
      <c r="CH120" s="675">
        <v>239110</v>
      </c>
      <c r="CI120" s="675">
        <v>0</v>
      </c>
      <c r="CJ120" s="675">
        <v>5</v>
      </c>
      <c r="CK120" s="675">
        <v>0</v>
      </c>
      <c r="CL120" s="675">
        <v>0</v>
      </c>
      <c r="CM120" s="675">
        <v>0</v>
      </c>
      <c r="CN120" s="675">
        <v>0</v>
      </c>
      <c r="CO120" s="675">
        <v>1</v>
      </c>
      <c r="CP120" s="675">
        <v>0</v>
      </c>
      <c r="CQ120" s="675">
        <v>0</v>
      </c>
      <c r="CR120" s="675">
        <v>1497.6190000000001</v>
      </c>
      <c r="CS120" s="675">
        <v>0</v>
      </c>
      <c r="CT120" s="675">
        <v>0</v>
      </c>
      <c r="CU120" s="675">
        <v>0</v>
      </c>
      <c r="CV120" s="675">
        <v>0</v>
      </c>
      <c r="CW120" s="675">
        <v>0</v>
      </c>
      <c r="CX120" s="675">
        <v>0</v>
      </c>
      <c r="CY120" s="675">
        <v>0</v>
      </c>
      <c r="CZ120" s="675">
        <v>0</v>
      </c>
      <c r="DA120" s="675">
        <v>0</v>
      </c>
      <c r="DB120" s="675">
        <v>7403198</v>
      </c>
      <c r="DC120" s="675">
        <v>0</v>
      </c>
      <c r="DD120" s="675">
        <v>0</v>
      </c>
      <c r="DE120" s="675">
        <v>1904047</v>
      </c>
      <c r="DF120" s="675">
        <v>1904047</v>
      </c>
      <c r="DG120" s="675">
        <v>309.10000000000002</v>
      </c>
      <c r="DH120" s="675">
        <v>0</v>
      </c>
      <c r="DI120" s="675">
        <v>0</v>
      </c>
      <c r="DJ120" s="675">
        <v>0</v>
      </c>
      <c r="DK120" s="675">
        <v>867</v>
      </c>
      <c r="DL120" s="675">
        <v>0</v>
      </c>
      <c r="DM120" s="675">
        <v>1010535</v>
      </c>
      <c r="DN120" s="675">
        <v>2762</v>
      </c>
      <c r="DO120" s="675">
        <v>0</v>
      </c>
      <c r="DP120" s="675">
        <v>0</v>
      </c>
      <c r="DQ120" s="675">
        <v>0</v>
      </c>
      <c r="DR120" s="675">
        <v>0</v>
      </c>
      <c r="DS120" s="675">
        <v>0</v>
      </c>
      <c r="DT120" s="675">
        <v>0</v>
      </c>
      <c r="DU120" s="675">
        <v>0</v>
      </c>
      <c r="DV120" s="675">
        <v>0</v>
      </c>
      <c r="DW120" s="675">
        <v>0</v>
      </c>
      <c r="DX120" s="675">
        <v>0</v>
      </c>
      <c r="DY120" s="675">
        <v>0</v>
      </c>
      <c r="DZ120" s="675">
        <v>0</v>
      </c>
      <c r="EA120" s="675">
        <v>0</v>
      </c>
      <c r="EB120" s="675">
        <v>0</v>
      </c>
      <c r="EC120" s="675">
        <v>25.117000000000001</v>
      </c>
      <c r="ED120" s="675">
        <v>177928</v>
      </c>
      <c r="EE120" s="675">
        <v>0</v>
      </c>
      <c r="EF120" s="675">
        <v>0</v>
      </c>
      <c r="EG120" s="675">
        <v>0</v>
      </c>
      <c r="EH120" s="675">
        <v>549925</v>
      </c>
      <c r="EI120" s="675">
        <v>0</v>
      </c>
      <c r="EJ120" s="675">
        <v>0</v>
      </c>
      <c r="EK120" s="675">
        <v>23.503</v>
      </c>
      <c r="EL120" s="675">
        <v>0</v>
      </c>
      <c r="EM120" s="675">
        <v>1.21</v>
      </c>
      <c r="EN120" s="675">
        <v>3.0270000000000001</v>
      </c>
      <c r="EO120" s="675">
        <v>0</v>
      </c>
      <c r="EP120" s="675">
        <v>0</v>
      </c>
      <c r="EQ120" s="675">
        <v>27.740000000000002</v>
      </c>
      <c r="ER120" s="675">
        <v>0</v>
      </c>
      <c r="ES120" s="675">
        <v>89.274000000000001</v>
      </c>
      <c r="ET120" s="675">
        <v>0</v>
      </c>
      <c r="EU120" s="675">
        <v>0</v>
      </c>
      <c r="EV120" s="675">
        <v>0</v>
      </c>
      <c r="EW120" s="675">
        <v>0</v>
      </c>
      <c r="EX120" s="675">
        <v>0</v>
      </c>
      <c r="EY120" s="675">
        <v>0</v>
      </c>
      <c r="EZ120" s="675">
        <v>11836827</v>
      </c>
      <c r="FA120" s="675">
        <v>0</v>
      </c>
      <c r="FB120" s="675">
        <v>12437896</v>
      </c>
      <c r="FC120" s="675">
        <v>0</v>
      </c>
      <c r="FD120" s="675">
        <v>0</v>
      </c>
      <c r="FE120" s="675">
        <v>1265182</v>
      </c>
      <c r="FF120" s="675">
        <v>261683</v>
      </c>
      <c r="FG120" s="675">
        <v>6.3574999999999993E-2</v>
      </c>
      <c r="FH120" s="675">
        <v>2.6298999999999999E-2</v>
      </c>
      <c r="FI120" s="675">
        <v>0</v>
      </c>
      <c r="FJ120" s="675">
        <v>0</v>
      </c>
      <c r="FK120" s="675">
        <v>2019.1380000000001</v>
      </c>
      <c r="FL120" s="675">
        <v>14203871</v>
      </c>
      <c r="FM120" s="675">
        <v>0</v>
      </c>
      <c r="FN120" s="675">
        <v>0</v>
      </c>
      <c r="FO120" s="675">
        <v>0</v>
      </c>
      <c r="FP120" s="675">
        <v>0</v>
      </c>
      <c r="FQ120" s="675">
        <v>0</v>
      </c>
      <c r="FR120" s="675">
        <v>0</v>
      </c>
      <c r="FS120" s="675">
        <v>0</v>
      </c>
      <c r="FT120" s="675">
        <v>0</v>
      </c>
      <c r="FU120" s="675">
        <v>0</v>
      </c>
      <c r="FV120" s="675">
        <v>0</v>
      </c>
      <c r="FW120" s="675">
        <v>0</v>
      </c>
      <c r="FX120" s="675">
        <v>0</v>
      </c>
      <c r="FY120" s="675">
        <v>0</v>
      </c>
      <c r="FZ120" s="675">
        <v>0</v>
      </c>
      <c r="GA120" s="675">
        <v>0</v>
      </c>
      <c r="GB120" s="675">
        <v>289790</v>
      </c>
      <c r="GC120" s="675">
        <v>289790</v>
      </c>
      <c r="GD120" s="675">
        <v>32.408000000000001</v>
      </c>
      <c r="GE120" s="675">
        <v>0</v>
      </c>
      <c r="GF120" s="675">
        <v>0</v>
      </c>
      <c r="GG120" s="675">
        <v>0</v>
      </c>
      <c r="GH120" s="675">
        <v>0</v>
      </c>
      <c r="GI120" s="675">
        <v>0</v>
      </c>
      <c r="GJ120" s="675">
        <v>0</v>
      </c>
      <c r="GK120" s="675">
        <v>0</v>
      </c>
      <c r="GL120" s="675">
        <v>0</v>
      </c>
      <c r="GM120" s="675">
        <v>0</v>
      </c>
      <c r="GN120" s="675">
        <v>0</v>
      </c>
      <c r="GO120" s="675">
        <v>0</v>
      </c>
      <c r="GP120" s="675">
        <v>0</v>
      </c>
      <c r="GQ120" s="675">
        <v>0</v>
      </c>
      <c r="GR120" s="675">
        <v>0</v>
      </c>
      <c r="GS120" s="675">
        <v>0</v>
      </c>
      <c r="GT120" s="675">
        <v>0</v>
      </c>
      <c r="GU120" s="675">
        <v>0</v>
      </c>
      <c r="GV120" s="675">
        <v>0</v>
      </c>
      <c r="GW120" s="675">
        <v>0</v>
      </c>
      <c r="GX120" s="675">
        <v>0</v>
      </c>
      <c r="GY120" s="675">
        <v>0</v>
      </c>
      <c r="GZ120" s="675">
        <v>0</v>
      </c>
      <c r="HA120" s="675">
        <v>0</v>
      </c>
      <c r="HB120" s="675">
        <v>298386780</v>
      </c>
      <c r="HC120" s="675">
        <v>4.5690999999999996E-2</v>
      </c>
      <c r="HD120" s="675">
        <v>239110</v>
      </c>
      <c r="HE120" s="675">
        <v>0</v>
      </c>
      <c r="HF120" s="675">
        <v>1372978</v>
      </c>
      <c r="HG120" s="675">
        <v>92400</v>
      </c>
      <c r="HH120" s="675">
        <v>264956</v>
      </c>
      <c r="HI120" s="675">
        <v>0</v>
      </c>
      <c r="HJ120" s="675">
        <v>12717</v>
      </c>
      <c r="HK120" s="675">
        <v>3006</v>
      </c>
      <c r="HL120" s="675">
        <v>0</v>
      </c>
      <c r="HM120" s="675">
        <v>0</v>
      </c>
      <c r="HN120" s="675">
        <v>0</v>
      </c>
      <c r="HO120" s="675">
        <v>0</v>
      </c>
      <c r="HP120" s="675">
        <v>0</v>
      </c>
      <c r="HQ120" s="675">
        <v>0</v>
      </c>
      <c r="HR120" s="675">
        <v>0</v>
      </c>
      <c r="HS120" s="675">
        <v>11833883</v>
      </c>
      <c r="HT120" s="675">
        <v>261683</v>
      </c>
      <c r="HU120" s="675">
        <v>0</v>
      </c>
      <c r="HV120" s="675">
        <v>0</v>
      </c>
      <c r="HW120" s="675">
        <v>0</v>
      </c>
      <c r="HX120" s="675">
        <v>409</v>
      </c>
      <c r="HY120" s="675">
        <v>314</v>
      </c>
      <c r="HZ120" s="675">
        <v>244</v>
      </c>
      <c r="IA120" s="675">
        <v>146</v>
      </c>
      <c r="IB120" s="675">
        <v>157</v>
      </c>
      <c r="IC120" s="675">
        <v>1270</v>
      </c>
      <c r="ID120" s="675">
        <v>0</v>
      </c>
      <c r="IE120" s="675">
        <v>0</v>
      </c>
      <c r="IF120" s="675">
        <v>0</v>
      </c>
      <c r="IG120" s="675">
        <v>150</v>
      </c>
      <c r="IH120" s="675">
        <v>430.125</v>
      </c>
      <c r="II120" s="675">
        <v>0</v>
      </c>
      <c r="IJ120" s="675">
        <v>91.305000000000007</v>
      </c>
      <c r="IK120" s="675">
        <v>0</v>
      </c>
      <c r="IL120" s="675">
        <v>0</v>
      </c>
      <c r="IM120" s="675">
        <v>0</v>
      </c>
      <c r="IN120" s="675">
        <v>0</v>
      </c>
      <c r="IO120" s="675">
        <v>0</v>
      </c>
      <c r="IP120" s="675">
        <v>0</v>
      </c>
      <c r="IQ120" s="675">
        <v>91.305000000000007</v>
      </c>
      <c r="IR120" s="675">
        <v>56244</v>
      </c>
      <c r="IS120" s="675">
        <v>0</v>
      </c>
      <c r="IT120" s="675">
        <v>0</v>
      </c>
      <c r="IU120" s="675">
        <v>0</v>
      </c>
      <c r="IV120" s="675">
        <v>0</v>
      </c>
      <c r="IW120" s="675">
        <v>6160</v>
      </c>
      <c r="IX120" s="675">
        <v>0</v>
      </c>
      <c r="IY120" s="675">
        <v>0</v>
      </c>
      <c r="IZ120" s="675">
        <v>0</v>
      </c>
      <c r="JA120" s="675">
        <v>0</v>
      </c>
      <c r="JB120" s="675">
        <v>0</v>
      </c>
      <c r="JC120" s="675">
        <v>0</v>
      </c>
      <c r="JD120" s="675">
        <v>0</v>
      </c>
      <c r="JE120" s="675">
        <v>0</v>
      </c>
      <c r="JF120" s="675">
        <v>0</v>
      </c>
      <c r="JG120" s="675">
        <v>0</v>
      </c>
      <c r="JH120" s="675">
        <v>0</v>
      </c>
      <c r="JI120" s="675">
        <v>0</v>
      </c>
      <c r="JJ120" s="675">
        <v>0</v>
      </c>
      <c r="JK120" s="675">
        <v>0</v>
      </c>
      <c r="JL120" s="675">
        <v>0</v>
      </c>
      <c r="JM120" s="675">
        <v>0</v>
      </c>
      <c r="JN120" s="675">
        <v>32469</v>
      </c>
      <c r="JO120" s="675">
        <v>14.373000000000001</v>
      </c>
      <c r="JP120" s="675">
        <v>12.662000000000001</v>
      </c>
      <c r="JQ120" s="675">
        <v>5.3730000000000002</v>
      </c>
      <c r="JR120" s="675">
        <v>114783</v>
      </c>
      <c r="JS120" s="675">
        <v>117665</v>
      </c>
      <c r="JT120" s="675">
        <v>57342</v>
      </c>
      <c r="JU120" s="675">
        <v>28207</v>
      </c>
      <c r="JV120" s="675">
        <v>0</v>
      </c>
      <c r="JW120" s="675">
        <v>0</v>
      </c>
      <c r="JX120" s="675">
        <v>0</v>
      </c>
      <c r="JY120" s="675">
        <v>0</v>
      </c>
      <c r="JZ120" s="675">
        <v>0</v>
      </c>
      <c r="KA120" s="675">
        <v>0</v>
      </c>
      <c r="KB120" s="675">
        <v>0</v>
      </c>
      <c r="KC120" s="675">
        <v>0</v>
      </c>
      <c r="KD120" s="675">
        <v>28207</v>
      </c>
      <c r="KE120" s="675">
        <v>7260</v>
      </c>
      <c r="KF120" s="675">
        <v>0</v>
      </c>
      <c r="KG120" s="675">
        <v>0</v>
      </c>
      <c r="KH120" s="675">
        <v>0</v>
      </c>
      <c r="KI120" s="675">
        <v>0</v>
      </c>
    </row>
    <row r="121" spans="1:295" ht="12.5" x14ac:dyDescent="0.25">
      <c r="A121" s="675">
        <v>35795</v>
      </c>
      <c r="B121" s="675">
        <v>227819</v>
      </c>
      <c r="C121" s="675">
        <v>9</v>
      </c>
      <c r="D121" s="675">
        <v>2022</v>
      </c>
      <c r="E121" s="675">
        <v>6160</v>
      </c>
      <c r="F121" s="675">
        <v>0</v>
      </c>
      <c r="G121" s="675">
        <v>250.05200000000002</v>
      </c>
      <c r="H121" s="675">
        <v>234.93700000000001</v>
      </c>
      <c r="I121" s="675">
        <v>234.93700000000001</v>
      </c>
      <c r="J121" s="675">
        <v>250.05200000000002</v>
      </c>
      <c r="K121" s="675">
        <v>0</v>
      </c>
      <c r="L121" s="675">
        <v>6160</v>
      </c>
      <c r="M121" s="675">
        <v>0</v>
      </c>
      <c r="N121" s="675">
        <v>0</v>
      </c>
      <c r="O121" s="675">
        <v>0</v>
      </c>
      <c r="P121" s="675">
        <v>260.97700000000003</v>
      </c>
      <c r="Q121" s="675">
        <v>0</v>
      </c>
      <c r="R121" s="675">
        <v>105024</v>
      </c>
      <c r="S121" s="675">
        <v>402.428</v>
      </c>
      <c r="T121" s="675">
        <v>0</v>
      </c>
      <c r="U121" s="675">
        <v>55849</v>
      </c>
      <c r="V121" s="675">
        <v>33.947000000000003</v>
      </c>
      <c r="W121" s="675">
        <v>20911</v>
      </c>
      <c r="X121" s="675">
        <v>20911</v>
      </c>
      <c r="Y121" s="675">
        <v>0</v>
      </c>
      <c r="Z121" s="675">
        <v>0</v>
      </c>
      <c r="AA121" s="675">
        <v>0</v>
      </c>
      <c r="AB121" s="675">
        <v>0</v>
      </c>
      <c r="AC121" s="675">
        <v>0</v>
      </c>
      <c r="AD121" s="675" t="s">
        <v>316</v>
      </c>
      <c r="AE121" s="675">
        <v>0</v>
      </c>
      <c r="AF121" s="675">
        <v>0</v>
      </c>
      <c r="AG121" s="675">
        <v>0</v>
      </c>
      <c r="AH121" s="675">
        <v>0</v>
      </c>
      <c r="AI121" s="675">
        <v>0</v>
      </c>
      <c r="AJ121" s="675">
        <v>6160</v>
      </c>
      <c r="AK121" s="675" t="s">
        <v>671</v>
      </c>
      <c r="AL121" s="675" t="s">
        <v>88</v>
      </c>
      <c r="AM121" s="675">
        <v>0</v>
      </c>
      <c r="AN121" s="675">
        <v>0</v>
      </c>
      <c r="AO121" s="675">
        <v>0</v>
      </c>
      <c r="AP121" s="675">
        <v>0</v>
      </c>
      <c r="AQ121" s="675">
        <v>0</v>
      </c>
      <c r="AR121" s="675">
        <v>0</v>
      </c>
      <c r="AS121" s="675">
        <v>0</v>
      </c>
      <c r="AT121" s="675">
        <v>0</v>
      </c>
      <c r="AU121" s="675">
        <v>0</v>
      </c>
      <c r="AV121" s="675">
        <v>-5829</v>
      </c>
      <c r="AW121" s="675">
        <v>2646167</v>
      </c>
      <c r="AX121" s="675">
        <v>2601675</v>
      </c>
      <c r="AY121" s="675">
        <v>1747081</v>
      </c>
      <c r="AZ121" s="675">
        <v>105024</v>
      </c>
      <c r="BA121" s="675">
        <v>0</v>
      </c>
      <c r="BB121" s="675">
        <v>4312</v>
      </c>
      <c r="BC121" s="675">
        <v>4284</v>
      </c>
      <c r="BD121" s="675">
        <v>10</v>
      </c>
      <c r="BE121" s="675">
        <v>28</v>
      </c>
      <c r="BF121" s="675">
        <v>2410755</v>
      </c>
      <c r="BG121" s="675">
        <v>0</v>
      </c>
      <c r="BH121" s="675">
        <v>0</v>
      </c>
      <c r="BI121" s="675">
        <v>0</v>
      </c>
      <c r="BJ121" s="675">
        <v>12</v>
      </c>
      <c r="BK121" s="675">
        <v>0</v>
      </c>
      <c r="BL121" s="675">
        <v>0</v>
      </c>
      <c r="BM121" s="675">
        <v>0</v>
      </c>
      <c r="BN121" s="675">
        <v>0</v>
      </c>
      <c r="BO121" s="675">
        <v>0</v>
      </c>
      <c r="BP121" s="675">
        <v>0</v>
      </c>
      <c r="BQ121" s="675">
        <v>734</v>
      </c>
      <c r="BR121" s="675">
        <v>0</v>
      </c>
      <c r="BS121" s="675">
        <v>0</v>
      </c>
      <c r="BT121" s="675">
        <v>0</v>
      </c>
      <c r="BU121" s="675">
        <v>0</v>
      </c>
      <c r="BV121" s="675">
        <v>0</v>
      </c>
      <c r="BW121" s="675">
        <v>0</v>
      </c>
      <c r="BX121" s="675">
        <v>0</v>
      </c>
      <c r="BY121" s="675">
        <v>0</v>
      </c>
      <c r="BZ121" s="675">
        <v>0</v>
      </c>
      <c r="CA121" s="675">
        <v>0</v>
      </c>
      <c r="CB121" s="675">
        <v>0</v>
      </c>
      <c r="CC121" s="675">
        <v>0</v>
      </c>
      <c r="CD121" s="675">
        <v>0</v>
      </c>
      <c r="CE121" s="675">
        <v>0</v>
      </c>
      <c r="CF121" s="675">
        <v>0</v>
      </c>
      <c r="CG121" s="675">
        <v>0</v>
      </c>
      <c r="CH121" s="675">
        <v>45700</v>
      </c>
      <c r="CI121" s="675">
        <v>0</v>
      </c>
      <c r="CJ121" s="675">
        <v>4</v>
      </c>
      <c r="CK121" s="675">
        <v>0</v>
      </c>
      <c r="CL121" s="675">
        <v>0</v>
      </c>
      <c r="CM121" s="675">
        <v>0</v>
      </c>
      <c r="CN121" s="675">
        <v>0</v>
      </c>
      <c r="CO121" s="675">
        <v>1</v>
      </c>
      <c r="CP121" s="675">
        <v>0</v>
      </c>
      <c r="CQ121" s="675">
        <v>0</v>
      </c>
      <c r="CR121" s="675">
        <v>261.66200000000003</v>
      </c>
      <c r="CS121" s="675">
        <v>0</v>
      </c>
      <c r="CT121" s="675">
        <v>0</v>
      </c>
      <c r="CU121" s="675">
        <v>0</v>
      </c>
      <c r="CV121" s="675">
        <v>0</v>
      </c>
      <c r="CW121" s="675">
        <v>0</v>
      </c>
      <c r="CX121" s="675">
        <v>0</v>
      </c>
      <c r="CY121" s="675">
        <v>0</v>
      </c>
      <c r="CZ121" s="675">
        <v>0</v>
      </c>
      <c r="DA121" s="675">
        <v>0</v>
      </c>
      <c r="DB121" s="675">
        <v>1447205</v>
      </c>
      <c r="DC121" s="675">
        <v>0</v>
      </c>
      <c r="DD121" s="675">
        <v>0</v>
      </c>
      <c r="DE121" s="675">
        <v>279201</v>
      </c>
      <c r="DF121" s="675">
        <v>279201</v>
      </c>
      <c r="DG121" s="675">
        <v>45.325000000000003</v>
      </c>
      <c r="DH121" s="675">
        <v>0</v>
      </c>
      <c r="DI121" s="675">
        <v>0</v>
      </c>
      <c r="DJ121" s="675">
        <v>0</v>
      </c>
      <c r="DK121" s="675">
        <v>3364</v>
      </c>
      <c r="DL121" s="675">
        <v>0</v>
      </c>
      <c r="DM121" s="675">
        <v>309808</v>
      </c>
      <c r="DN121" s="675">
        <v>1180</v>
      </c>
      <c r="DO121" s="675">
        <v>0</v>
      </c>
      <c r="DP121" s="675">
        <v>0</v>
      </c>
      <c r="DQ121" s="675">
        <v>0</v>
      </c>
      <c r="DR121" s="675">
        <v>0</v>
      </c>
      <c r="DS121" s="675">
        <v>0</v>
      </c>
      <c r="DT121" s="675">
        <v>0</v>
      </c>
      <c r="DU121" s="675">
        <v>0</v>
      </c>
      <c r="DV121" s="675">
        <v>0</v>
      </c>
      <c r="DW121" s="675">
        <v>0</v>
      </c>
      <c r="DX121" s="675">
        <v>0</v>
      </c>
      <c r="DY121" s="675">
        <v>0</v>
      </c>
      <c r="DZ121" s="675">
        <v>0</v>
      </c>
      <c r="EA121" s="675">
        <v>0</v>
      </c>
      <c r="EB121" s="675">
        <v>0</v>
      </c>
      <c r="EC121" s="675">
        <v>2.3220000000000001</v>
      </c>
      <c r="ED121" s="675">
        <v>16449</v>
      </c>
      <c r="EE121" s="675">
        <v>0</v>
      </c>
      <c r="EF121" s="675">
        <v>0</v>
      </c>
      <c r="EG121" s="675">
        <v>0</v>
      </c>
      <c r="EH121" s="675">
        <v>294539</v>
      </c>
      <c r="EI121" s="675">
        <v>0</v>
      </c>
      <c r="EJ121" s="675">
        <v>0</v>
      </c>
      <c r="EK121" s="675">
        <v>11.851000000000001</v>
      </c>
      <c r="EL121" s="675">
        <v>0</v>
      </c>
      <c r="EM121" s="675">
        <v>2.0289999999999999</v>
      </c>
      <c r="EN121" s="675">
        <v>1.2350000000000001</v>
      </c>
      <c r="EO121" s="675">
        <v>0</v>
      </c>
      <c r="EP121" s="675">
        <v>0</v>
      </c>
      <c r="EQ121" s="675">
        <v>15.115</v>
      </c>
      <c r="ER121" s="675">
        <v>0</v>
      </c>
      <c r="ES121" s="675">
        <v>47.815000000000005</v>
      </c>
      <c r="ET121" s="675">
        <v>0</v>
      </c>
      <c r="EU121" s="675">
        <v>0</v>
      </c>
      <c r="EV121" s="675">
        <v>0</v>
      </c>
      <c r="EW121" s="675">
        <v>0</v>
      </c>
      <c r="EX121" s="675">
        <v>0</v>
      </c>
      <c r="EY121" s="675">
        <v>0</v>
      </c>
      <c r="EZ121" s="675">
        <v>2305731</v>
      </c>
      <c r="FA121" s="675">
        <v>0</v>
      </c>
      <c r="FB121" s="675">
        <v>2409547</v>
      </c>
      <c r="FC121" s="675">
        <v>0</v>
      </c>
      <c r="FD121" s="675">
        <v>0</v>
      </c>
      <c r="FE121" s="675">
        <v>245223</v>
      </c>
      <c r="FF121" s="675">
        <v>50721</v>
      </c>
      <c r="FG121" s="675">
        <v>6.3574999999999993E-2</v>
      </c>
      <c r="FH121" s="675">
        <v>2.6298999999999999E-2</v>
      </c>
      <c r="FI121" s="675">
        <v>0</v>
      </c>
      <c r="FJ121" s="675">
        <v>0</v>
      </c>
      <c r="FK121" s="675">
        <v>391.358</v>
      </c>
      <c r="FL121" s="675">
        <v>2751191</v>
      </c>
      <c r="FM121" s="675">
        <v>0</v>
      </c>
      <c r="FN121" s="675">
        <v>0</v>
      </c>
      <c r="FO121" s="675">
        <v>0</v>
      </c>
      <c r="FP121" s="675">
        <v>0</v>
      </c>
      <c r="FQ121" s="675">
        <v>0</v>
      </c>
      <c r="FR121" s="675">
        <v>0</v>
      </c>
      <c r="FS121" s="675">
        <v>0</v>
      </c>
      <c r="FT121" s="675">
        <v>0</v>
      </c>
      <c r="FU121" s="675">
        <v>0</v>
      </c>
      <c r="FV121" s="675">
        <v>0</v>
      </c>
      <c r="FW121" s="675">
        <v>0</v>
      </c>
      <c r="FX121" s="675">
        <v>0</v>
      </c>
      <c r="FY121" s="675">
        <v>0</v>
      </c>
      <c r="FZ121" s="675">
        <v>0</v>
      </c>
      <c r="GA121" s="675">
        <v>0</v>
      </c>
      <c r="GB121" s="675">
        <v>0</v>
      </c>
      <c r="GC121" s="675">
        <v>0</v>
      </c>
      <c r="GD121" s="675">
        <v>0</v>
      </c>
      <c r="GE121" s="675">
        <v>0</v>
      </c>
      <c r="GF121" s="675">
        <v>0</v>
      </c>
      <c r="GG121" s="675">
        <v>0</v>
      </c>
      <c r="GH121" s="675">
        <v>0</v>
      </c>
      <c r="GI121" s="675">
        <v>0</v>
      </c>
      <c r="GJ121" s="675">
        <v>0</v>
      </c>
      <c r="GK121" s="675">
        <v>0</v>
      </c>
      <c r="GL121" s="675">
        <v>0</v>
      </c>
      <c r="GM121" s="675">
        <v>0</v>
      </c>
      <c r="GN121" s="675">
        <v>0</v>
      </c>
      <c r="GO121" s="675">
        <v>0</v>
      </c>
      <c r="GP121" s="675">
        <v>0</v>
      </c>
      <c r="GQ121" s="675">
        <v>0</v>
      </c>
      <c r="GR121" s="675">
        <v>0</v>
      </c>
      <c r="GS121" s="675">
        <v>0</v>
      </c>
      <c r="GT121" s="675">
        <v>0</v>
      </c>
      <c r="GU121" s="675">
        <v>0</v>
      </c>
      <c r="GV121" s="675">
        <v>0</v>
      </c>
      <c r="GW121" s="675">
        <v>0</v>
      </c>
      <c r="GX121" s="675">
        <v>0</v>
      </c>
      <c r="GY121" s="675">
        <v>0</v>
      </c>
      <c r="GZ121" s="675">
        <v>0</v>
      </c>
      <c r="HA121" s="675">
        <v>0</v>
      </c>
      <c r="HB121" s="675">
        <v>298386780</v>
      </c>
      <c r="HC121" s="675">
        <v>4.5690999999999996E-2</v>
      </c>
      <c r="HD121" s="675">
        <v>45700</v>
      </c>
      <c r="HE121" s="675">
        <v>0</v>
      </c>
      <c r="HF121" s="675">
        <v>258431</v>
      </c>
      <c r="HG121" s="675">
        <v>11549</v>
      </c>
      <c r="HH121" s="675">
        <v>70960</v>
      </c>
      <c r="HI121" s="675">
        <v>0</v>
      </c>
      <c r="HJ121" s="675">
        <v>2431</v>
      </c>
      <c r="HK121" s="675">
        <v>0</v>
      </c>
      <c r="HL121" s="675">
        <v>0</v>
      </c>
      <c r="HM121" s="675">
        <v>0</v>
      </c>
      <c r="HN121" s="675">
        <v>4767</v>
      </c>
      <c r="HO121" s="675">
        <v>0</v>
      </c>
      <c r="HP121" s="675">
        <v>0</v>
      </c>
      <c r="HQ121" s="675">
        <v>0</v>
      </c>
      <c r="HR121" s="675">
        <v>0</v>
      </c>
      <c r="HS121" s="675">
        <v>2304523</v>
      </c>
      <c r="HT121" s="675">
        <v>50721</v>
      </c>
      <c r="HU121" s="675">
        <v>0</v>
      </c>
      <c r="HV121" s="675">
        <v>0</v>
      </c>
      <c r="HW121" s="675">
        <v>0</v>
      </c>
      <c r="HX121" s="675">
        <v>50</v>
      </c>
      <c r="HY121" s="675">
        <v>36</v>
      </c>
      <c r="HZ121" s="675">
        <v>36</v>
      </c>
      <c r="IA121" s="675">
        <v>42</v>
      </c>
      <c r="IB121" s="675">
        <v>20</v>
      </c>
      <c r="IC121" s="675">
        <v>184</v>
      </c>
      <c r="ID121" s="675">
        <v>0</v>
      </c>
      <c r="IE121" s="675">
        <v>0</v>
      </c>
      <c r="IF121" s="675">
        <v>0</v>
      </c>
      <c r="IG121" s="675">
        <v>18.749000000000002</v>
      </c>
      <c r="IH121" s="675">
        <v>115.19500000000001</v>
      </c>
      <c r="II121" s="675">
        <v>0</v>
      </c>
      <c r="IJ121" s="675">
        <v>33.947000000000003</v>
      </c>
      <c r="IK121" s="675">
        <v>0</v>
      </c>
      <c r="IL121" s="675">
        <v>0</v>
      </c>
      <c r="IM121" s="675">
        <v>0</v>
      </c>
      <c r="IN121" s="675">
        <v>0</v>
      </c>
      <c r="IO121" s="675">
        <v>0</v>
      </c>
      <c r="IP121" s="675">
        <v>0</v>
      </c>
      <c r="IQ121" s="675">
        <v>33.947000000000003</v>
      </c>
      <c r="IR121" s="675">
        <v>20911</v>
      </c>
      <c r="IS121" s="675">
        <v>0</v>
      </c>
      <c r="IT121" s="675">
        <v>0</v>
      </c>
      <c r="IU121" s="675">
        <v>0</v>
      </c>
      <c r="IV121" s="675">
        <v>0</v>
      </c>
      <c r="IW121" s="675">
        <v>6160</v>
      </c>
      <c r="IX121" s="675">
        <v>0</v>
      </c>
      <c r="IY121" s="675">
        <v>0</v>
      </c>
      <c r="IZ121" s="675">
        <v>0</v>
      </c>
      <c r="JA121" s="675">
        <v>0</v>
      </c>
      <c r="JB121" s="675">
        <v>0</v>
      </c>
      <c r="JC121" s="675">
        <v>0</v>
      </c>
      <c r="JD121" s="675">
        <v>0</v>
      </c>
      <c r="JE121" s="675">
        <v>0</v>
      </c>
      <c r="JF121" s="675">
        <v>1</v>
      </c>
      <c r="JG121" s="675">
        <v>4767</v>
      </c>
      <c r="JH121" s="675">
        <v>0</v>
      </c>
      <c r="JI121" s="675">
        <v>0</v>
      </c>
      <c r="JJ121" s="675">
        <v>0</v>
      </c>
      <c r="JK121" s="675">
        <v>0</v>
      </c>
      <c r="JL121" s="675">
        <v>0</v>
      </c>
      <c r="JM121" s="675">
        <v>0</v>
      </c>
      <c r="JN121" s="675">
        <v>32469</v>
      </c>
      <c r="JO121" s="675">
        <v>0</v>
      </c>
      <c r="JP121" s="675">
        <v>0</v>
      </c>
      <c r="JQ121" s="675">
        <v>0</v>
      </c>
      <c r="JR121" s="675">
        <v>0</v>
      </c>
      <c r="JS121" s="675">
        <v>0</v>
      </c>
      <c r="JT121" s="675">
        <v>0</v>
      </c>
      <c r="JU121" s="675">
        <v>4312</v>
      </c>
      <c r="JV121" s="675">
        <v>0</v>
      </c>
      <c r="JW121" s="675">
        <v>0</v>
      </c>
      <c r="JX121" s="675">
        <v>0</v>
      </c>
      <c r="JY121" s="675">
        <v>0</v>
      </c>
      <c r="JZ121" s="675">
        <v>0</v>
      </c>
      <c r="KA121" s="675">
        <v>0</v>
      </c>
      <c r="KB121" s="675">
        <v>0</v>
      </c>
      <c r="KC121" s="675">
        <v>0</v>
      </c>
      <c r="KD121" s="675">
        <v>4312</v>
      </c>
      <c r="KE121" s="675">
        <v>7260</v>
      </c>
      <c r="KF121" s="675">
        <v>0</v>
      </c>
      <c r="KG121" s="675">
        <v>0</v>
      </c>
      <c r="KH121" s="675">
        <v>0</v>
      </c>
      <c r="KI121" s="675">
        <v>0</v>
      </c>
    </row>
    <row r="122" spans="1:295" ht="12.5" x14ac:dyDescent="0.25">
      <c r="A122" s="675">
        <v>35795</v>
      </c>
      <c r="B122" s="675">
        <v>227820</v>
      </c>
      <c r="C122" s="675">
        <v>9</v>
      </c>
      <c r="D122" s="675">
        <v>2022</v>
      </c>
      <c r="E122" s="675">
        <v>6160</v>
      </c>
      <c r="F122" s="675">
        <v>0</v>
      </c>
      <c r="G122" s="675">
        <v>27787.455000000002</v>
      </c>
      <c r="H122" s="675">
        <v>26685.097000000002</v>
      </c>
      <c r="I122" s="675">
        <v>26685.097000000002</v>
      </c>
      <c r="J122" s="675">
        <v>27787.455000000002</v>
      </c>
      <c r="K122" s="675">
        <v>0</v>
      </c>
      <c r="L122" s="675">
        <v>6160</v>
      </c>
      <c r="M122" s="675">
        <v>0</v>
      </c>
      <c r="N122" s="675">
        <v>0</v>
      </c>
      <c r="O122" s="675">
        <v>0</v>
      </c>
      <c r="P122" s="675">
        <v>28216.508999999998</v>
      </c>
      <c r="Q122" s="675">
        <v>0</v>
      </c>
      <c r="R122" s="675">
        <v>11355113</v>
      </c>
      <c r="S122" s="675">
        <v>402.428</v>
      </c>
      <c r="T122" s="675">
        <v>0</v>
      </c>
      <c r="U122" s="675">
        <v>6038371</v>
      </c>
      <c r="V122" s="675">
        <v>10197.342000000001</v>
      </c>
      <c r="W122" s="675">
        <v>6281534</v>
      </c>
      <c r="X122" s="675">
        <v>6281534</v>
      </c>
      <c r="Y122" s="675">
        <v>0</v>
      </c>
      <c r="Z122" s="675">
        <v>0</v>
      </c>
      <c r="AA122" s="675">
        <v>0</v>
      </c>
      <c r="AB122" s="675">
        <v>0</v>
      </c>
      <c r="AC122" s="675">
        <v>0</v>
      </c>
      <c r="AD122" s="675" t="s">
        <v>316</v>
      </c>
      <c r="AE122" s="675">
        <v>0</v>
      </c>
      <c r="AF122" s="675">
        <v>0</v>
      </c>
      <c r="AG122" s="675">
        <v>0</v>
      </c>
      <c r="AH122" s="675">
        <v>0</v>
      </c>
      <c r="AI122" s="675">
        <v>0</v>
      </c>
      <c r="AJ122" s="675">
        <v>6160</v>
      </c>
      <c r="AK122" s="675" t="s">
        <v>671</v>
      </c>
      <c r="AL122" s="675" t="s">
        <v>470</v>
      </c>
      <c r="AM122" s="675">
        <v>0</v>
      </c>
      <c r="AN122" s="675">
        <v>0</v>
      </c>
      <c r="AO122" s="675">
        <v>0</v>
      </c>
      <c r="AP122" s="675">
        <v>0</v>
      </c>
      <c r="AQ122" s="675">
        <v>0</v>
      </c>
      <c r="AR122" s="675">
        <v>0</v>
      </c>
      <c r="AS122" s="675">
        <v>0</v>
      </c>
      <c r="AT122" s="675">
        <v>0</v>
      </c>
      <c r="AU122" s="675">
        <v>0</v>
      </c>
      <c r="AV122" s="675">
        <v>0</v>
      </c>
      <c r="AW122" s="675">
        <v>306700997</v>
      </c>
      <c r="AX122" s="675">
        <v>301692358</v>
      </c>
      <c r="AY122" s="675">
        <v>206578663</v>
      </c>
      <c r="AZ122" s="675">
        <v>11355113</v>
      </c>
      <c r="BA122" s="675">
        <v>0</v>
      </c>
      <c r="BB122" s="675">
        <v>0</v>
      </c>
      <c r="BC122" s="675">
        <v>0</v>
      </c>
      <c r="BD122" s="675">
        <v>0</v>
      </c>
      <c r="BE122" s="675">
        <v>0</v>
      </c>
      <c r="BF122" s="675">
        <v>276567204</v>
      </c>
      <c r="BG122" s="675">
        <v>0</v>
      </c>
      <c r="BH122" s="675">
        <v>0</v>
      </c>
      <c r="BI122" s="675">
        <v>0</v>
      </c>
      <c r="BJ122" s="675">
        <v>12</v>
      </c>
      <c r="BK122" s="675">
        <v>0</v>
      </c>
      <c r="BL122" s="675">
        <v>0</v>
      </c>
      <c r="BM122" s="675">
        <v>0</v>
      </c>
      <c r="BN122" s="675">
        <v>0</v>
      </c>
      <c r="BO122" s="675">
        <v>0</v>
      </c>
      <c r="BP122" s="675">
        <v>0</v>
      </c>
      <c r="BQ122" s="675">
        <v>0</v>
      </c>
      <c r="BR122" s="675">
        <v>0</v>
      </c>
      <c r="BS122" s="675">
        <v>0</v>
      </c>
      <c r="BT122" s="675">
        <v>0</v>
      </c>
      <c r="BU122" s="675">
        <v>0</v>
      </c>
      <c r="BV122" s="675">
        <v>0</v>
      </c>
      <c r="BW122" s="675">
        <v>0</v>
      </c>
      <c r="BX122" s="675">
        <v>0</v>
      </c>
      <c r="BY122" s="675">
        <v>0</v>
      </c>
      <c r="BZ122" s="675">
        <v>0</v>
      </c>
      <c r="CA122" s="675">
        <v>1430.0910000000001</v>
      </c>
      <c r="CB122" s="675">
        <v>1219541</v>
      </c>
      <c r="CC122" s="675">
        <v>0</v>
      </c>
      <c r="CD122" s="675">
        <v>0</v>
      </c>
      <c r="CE122" s="675">
        <v>0</v>
      </c>
      <c r="CF122" s="675">
        <v>0</v>
      </c>
      <c r="CG122" s="675">
        <v>0</v>
      </c>
      <c r="CH122" s="675">
        <v>5078511</v>
      </c>
      <c r="CI122" s="675">
        <v>0</v>
      </c>
      <c r="CJ122" s="675">
        <v>4</v>
      </c>
      <c r="CK122" s="675">
        <v>0</v>
      </c>
      <c r="CL122" s="675">
        <v>0</v>
      </c>
      <c r="CM122" s="675">
        <v>0</v>
      </c>
      <c r="CN122" s="675">
        <v>0</v>
      </c>
      <c r="CO122" s="675">
        <v>1</v>
      </c>
      <c r="CP122" s="675">
        <v>0</v>
      </c>
      <c r="CQ122" s="675">
        <v>0</v>
      </c>
      <c r="CR122" s="675">
        <v>28093.574000000001</v>
      </c>
      <c r="CS122" s="675">
        <v>0</v>
      </c>
      <c r="CT122" s="675">
        <v>0</v>
      </c>
      <c r="CU122" s="675">
        <v>0</v>
      </c>
      <c r="CV122" s="675">
        <v>0</v>
      </c>
      <c r="CW122" s="675">
        <v>0</v>
      </c>
      <c r="CX122" s="675">
        <v>0</v>
      </c>
      <c r="CY122" s="675">
        <v>0</v>
      </c>
      <c r="CZ122" s="675">
        <v>0</v>
      </c>
      <c r="DA122" s="675">
        <v>0</v>
      </c>
      <c r="DB122" s="675">
        <v>164379435</v>
      </c>
      <c r="DC122" s="675">
        <v>0</v>
      </c>
      <c r="DD122" s="675">
        <v>0</v>
      </c>
      <c r="DE122" s="675">
        <v>46195705</v>
      </c>
      <c r="DF122" s="675">
        <v>46195705</v>
      </c>
      <c r="DG122" s="675">
        <v>7499.3380000000006</v>
      </c>
      <c r="DH122" s="675">
        <v>0</v>
      </c>
      <c r="DI122" s="675">
        <v>0</v>
      </c>
      <c r="DJ122" s="675">
        <v>0</v>
      </c>
      <c r="DK122" s="675">
        <v>0</v>
      </c>
      <c r="DL122" s="675">
        <v>0</v>
      </c>
      <c r="DM122" s="675">
        <v>18343998</v>
      </c>
      <c r="DN122" s="675">
        <v>69872</v>
      </c>
      <c r="DO122" s="675">
        <v>0</v>
      </c>
      <c r="DP122" s="675">
        <v>0</v>
      </c>
      <c r="DQ122" s="675">
        <v>0</v>
      </c>
      <c r="DR122" s="675">
        <v>0</v>
      </c>
      <c r="DS122" s="675">
        <v>0</v>
      </c>
      <c r="DT122" s="675">
        <v>0</v>
      </c>
      <c r="DU122" s="675">
        <v>0</v>
      </c>
      <c r="DV122" s="675">
        <v>0</v>
      </c>
      <c r="DW122" s="675">
        <v>0</v>
      </c>
      <c r="DX122" s="675">
        <v>0</v>
      </c>
      <c r="DY122" s="675">
        <v>0</v>
      </c>
      <c r="DZ122" s="675">
        <v>0</v>
      </c>
      <c r="EA122" s="675">
        <v>0.72300000000000009</v>
      </c>
      <c r="EB122" s="675">
        <v>0</v>
      </c>
      <c r="EC122" s="675">
        <v>826.18000000000006</v>
      </c>
      <c r="ED122" s="675">
        <v>5852632</v>
      </c>
      <c r="EE122" s="675">
        <v>0</v>
      </c>
      <c r="EF122" s="675">
        <v>0</v>
      </c>
      <c r="EG122" s="675">
        <v>0.47500000000000003</v>
      </c>
      <c r="EH122" s="675">
        <v>12561238</v>
      </c>
      <c r="EI122" s="675">
        <v>0</v>
      </c>
      <c r="EJ122" s="675">
        <v>0</v>
      </c>
      <c r="EK122" s="675">
        <v>512.577</v>
      </c>
      <c r="EL122" s="675">
        <v>1.728</v>
      </c>
      <c r="EM122" s="675">
        <v>91.186000000000007</v>
      </c>
      <c r="EN122" s="675">
        <v>44.597000000000001</v>
      </c>
      <c r="EO122" s="675">
        <v>0</v>
      </c>
      <c r="EP122" s="675">
        <v>0</v>
      </c>
      <c r="EQ122" s="675">
        <v>649.55799999999999</v>
      </c>
      <c r="ER122" s="675">
        <v>0</v>
      </c>
      <c r="ES122" s="675">
        <v>2039.172</v>
      </c>
      <c r="ET122" s="675">
        <v>0</v>
      </c>
      <c r="EU122" s="675">
        <v>0</v>
      </c>
      <c r="EV122" s="675">
        <v>0</v>
      </c>
      <c r="EW122" s="675">
        <v>0</v>
      </c>
      <c r="EX122" s="675">
        <v>0</v>
      </c>
      <c r="EY122" s="675">
        <v>0</v>
      </c>
      <c r="EZ122" s="675">
        <v>267741031</v>
      </c>
      <c r="FA122" s="675">
        <v>0</v>
      </c>
      <c r="FB122" s="675">
        <v>279026272</v>
      </c>
      <c r="FC122" s="675">
        <v>0</v>
      </c>
      <c r="FD122" s="675">
        <v>0</v>
      </c>
      <c r="FE122" s="675">
        <v>28132547</v>
      </c>
      <c r="FF122" s="675">
        <v>5818780</v>
      </c>
      <c r="FG122" s="675">
        <v>6.3574999999999993E-2</v>
      </c>
      <c r="FH122" s="675">
        <v>2.6298999999999999E-2</v>
      </c>
      <c r="FI122" s="675">
        <v>0</v>
      </c>
      <c r="FJ122" s="675">
        <v>0</v>
      </c>
      <c r="FK122" s="675">
        <v>44897.482000000004</v>
      </c>
      <c r="FL122" s="675">
        <v>318056110</v>
      </c>
      <c r="FM122" s="675">
        <v>0</v>
      </c>
      <c r="FN122" s="675">
        <v>4039</v>
      </c>
      <c r="FO122" s="675">
        <v>926375</v>
      </c>
      <c r="FP122" s="675">
        <v>307074</v>
      </c>
      <c r="FQ122" s="675">
        <v>1237488</v>
      </c>
      <c r="FR122" s="675">
        <v>930414</v>
      </c>
      <c r="FS122" s="675">
        <v>0</v>
      </c>
      <c r="FT122" s="675">
        <v>0</v>
      </c>
      <c r="FU122" s="675">
        <v>0</v>
      </c>
      <c r="FV122" s="675">
        <v>0</v>
      </c>
      <c r="FW122" s="675">
        <v>0</v>
      </c>
      <c r="FX122" s="675">
        <v>0</v>
      </c>
      <c r="FY122" s="675">
        <v>0</v>
      </c>
      <c r="FZ122" s="675">
        <v>0</v>
      </c>
      <c r="GA122" s="675">
        <v>0</v>
      </c>
      <c r="GB122" s="675">
        <v>4075225</v>
      </c>
      <c r="GC122" s="675">
        <v>4075225</v>
      </c>
      <c r="GD122" s="675">
        <v>452.8</v>
      </c>
      <c r="GE122" s="675">
        <v>0</v>
      </c>
      <c r="GF122" s="675">
        <v>0</v>
      </c>
      <c r="GG122" s="675">
        <v>0</v>
      </c>
      <c r="GH122" s="675">
        <v>0</v>
      </c>
      <c r="GI122" s="675">
        <v>0</v>
      </c>
      <c r="GJ122" s="675">
        <v>0</v>
      </c>
      <c r="GK122" s="675">
        <v>0</v>
      </c>
      <c r="GL122" s="675">
        <v>0</v>
      </c>
      <c r="GM122" s="675">
        <v>0</v>
      </c>
      <c r="GN122" s="675">
        <v>0</v>
      </c>
      <c r="GO122" s="675">
        <v>0</v>
      </c>
      <c r="GP122" s="675">
        <v>0</v>
      </c>
      <c r="GQ122" s="675">
        <v>0</v>
      </c>
      <c r="GR122" s="675">
        <v>0</v>
      </c>
      <c r="GS122" s="675">
        <v>0</v>
      </c>
      <c r="GT122" s="675">
        <v>0</v>
      </c>
      <c r="GU122" s="675">
        <v>0</v>
      </c>
      <c r="GV122" s="675">
        <v>0</v>
      </c>
      <c r="GW122" s="675">
        <v>0</v>
      </c>
      <c r="GX122" s="675">
        <v>0</v>
      </c>
      <c r="GY122" s="675">
        <v>0</v>
      </c>
      <c r="GZ122" s="675">
        <v>0</v>
      </c>
      <c r="HA122" s="675">
        <v>0</v>
      </c>
      <c r="HB122" s="675">
        <v>298386780</v>
      </c>
      <c r="HC122" s="675">
        <v>4.5690999999999996E-2</v>
      </c>
      <c r="HD122" s="675">
        <v>5078511</v>
      </c>
      <c r="HE122" s="675">
        <v>0</v>
      </c>
      <c r="HF122" s="675">
        <v>29353607</v>
      </c>
      <c r="HG122" s="675">
        <v>57904</v>
      </c>
      <c r="HH122" s="675">
        <v>6808131</v>
      </c>
      <c r="HI122" s="675">
        <v>0</v>
      </c>
      <c r="HJ122" s="675">
        <v>270094</v>
      </c>
      <c r="HK122" s="675">
        <v>69921</v>
      </c>
      <c r="HL122" s="675">
        <v>1990</v>
      </c>
      <c r="HM122" s="675">
        <v>716000</v>
      </c>
      <c r="HN122" s="675">
        <v>15699</v>
      </c>
      <c r="HO122" s="675">
        <v>0</v>
      </c>
      <c r="HP122" s="675">
        <v>0</v>
      </c>
      <c r="HQ122" s="675">
        <v>0</v>
      </c>
      <c r="HR122" s="675">
        <v>0</v>
      </c>
      <c r="HS122" s="675">
        <v>267671159</v>
      </c>
      <c r="HT122" s="675">
        <v>5818780</v>
      </c>
      <c r="HU122" s="675">
        <v>0</v>
      </c>
      <c r="HV122" s="675">
        <v>0</v>
      </c>
      <c r="HW122" s="675">
        <v>0</v>
      </c>
      <c r="HX122" s="675">
        <v>5229</v>
      </c>
      <c r="HY122" s="675">
        <v>3443</v>
      </c>
      <c r="HZ122" s="675">
        <v>4729</v>
      </c>
      <c r="IA122" s="675">
        <v>6898</v>
      </c>
      <c r="IB122" s="675">
        <v>9135</v>
      </c>
      <c r="IC122" s="675">
        <v>29434</v>
      </c>
      <c r="ID122" s="675">
        <v>0</v>
      </c>
      <c r="IE122" s="675">
        <v>0</v>
      </c>
      <c r="IF122" s="675">
        <v>0</v>
      </c>
      <c r="IG122" s="675">
        <v>94</v>
      </c>
      <c r="IH122" s="675">
        <v>11052.212</v>
      </c>
      <c r="II122" s="675">
        <v>0</v>
      </c>
      <c r="IJ122" s="675">
        <v>10197.342000000001</v>
      </c>
      <c r="IK122" s="675">
        <v>0</v>
      </c>
      <c r="IL122" s="675">
        <v>142</v>
      </c>
      <c r="IM122" s="675">
        <v>2</v>
      </c>
      <c r="IN122" s="675">
        <v>0</v>
      </c>
      <c r="IO122" s="675">
        <v>144</v>
      </c>
      <c r="IP122" s="675">
        <v>0</v>
      </c>
      <c r="IQ122" s="675">
        <v>10197.342000000001</v>
      </c>
      <c r="IR122" s="675">
        <v>6281534</v>
      </c>
      <c r="IS122" s="675">
        <v>0</v>
      </c>
      <c r="IT122" s="675">
        <v>710000</v>
      </c>
      <c r="IU122" s="675">
        <v>6000</v>
      </c>
      <c r="IV122" s="675">
        <v>0</v>
      </c>
      <c r="IW122" s="675">
        <v>6160</v>
      </c>
      <c r="IX122" s="675">
        <v>0</v>
      </c>
      <c r="IY122" s="675">
        <v>0</v>
      </c>
      <c r="IZ122" s="675">
        <v>0</v>
      </c>
      <c r="JA122" s="675">
        <v>0</v>
      </c>
      <c r="JB122" s="675">
        <v>0</v>
      </c>
      <c r="JC122" s="675">
        <v>0</v>
      </c>
      <c r="JD122" s="675">
        <v>0</v>
      </c>
      <c r="JE122" s="675">
        <v>0</v>
      </c>
      <c r="JF122" s="675">
        <v>2</v>
      </c>
      <c r="JG122" s="675">
        <v>13199</v>
      </c>
      <c r="JH122" s="675">
        <v>2500</v>
      </c>
      <c r="JI122" s="675">
        <v>0</v>
      </c>
      <c r="JJ122" s="675">
        <v>0</v>
      </c>
      <c r="JK122" s="675">
        <v>0</v>
      </c>
      <c r="JL122" s="675">
        <v>0</v>
      </c>
      <c r="JM122" s="675">
        <v>0</v>
      </c>
      <c r="JN122" s="675">
        <v>32469</v>
      </c>
      <c r="JO122" s="675">
        <v>159.14500000000001</v>
      </c>
      <c r="JP122" s="675">
        <v>238.982</v>
      </c>
      <c r="JQ122" s="675">
        <v>54.673000000000002</v>
      </c>
      <c r="JR122" s="675">
        <v>1270932</v>
      </c>
      <c r="JS122" s="675">
        <v>2220812</v>
      </c>
      <c r="JT122" s="675">
        <v>583481</v>
      </c>
      <c r="JU122" s="675">
        <v>0</v>
      </c>
      <c r="JV122" s="675">
        <v>0</v>
      </c>
      <c r="JW122" s="675">
        <v>0</v>
      </c>
      <c r="JX122" s="675">
        <v>0</v>
      </c>
      <c r="JY122" s="675">
        <v>0</v>
      </c>
      <c r="JZ122" s="675">
        <v>0</v>
      </c>
      <c r="KA122" s="675">
        <v>0</v>
      </c>
      <c r="KB122" s="675">
        <v>0</v>
      </c>
      <c r="KC122" s="675">
        <v>0</v>
      </c>
      <c r="KD122" s="675">
        <v>0</v>
      </c>
      <c r="KE122" s="675">
        <v>7260</v>
      </c>
      <c r="KF122" s="675">
        <v>0</v>
      </c>
      <c r="KG122" s="675">
        <v>0</v>
      </c>
      <c r="KH122" s="675">
        <v>0</v>
      </c>
      <c r="KI122" s="675">
        <v>0</v>
      </c>
    </row>
    <row r="123" spans="1:295" ht="12.5" x14ac:dyDescent="0.25">
      <c r="A123" s="675">
        <v>35795</v>
      </c>
      <c r="B123" s="675">
        <v>15822</v>
      </c>
      <c r="C123" s="675">
        <v>9</v>
      </c>
      <c r="D123" s="675">
        <v>2022</v>
      </c>
      <c r="E123" s="675">
        <v>6160</v>
      </c>
      <c r="F123" s="675">
        <v>0</v>
      </c>
      <c r="G123" s="675">
        <v>5126.915</v>
      </c>
      <c r="H123" s="675">
        <v>4764.24</v>
      </c>
      <c r="I123" s="675">
        <v>4764.24</v>
      </c>
      <c r="J123" s="675">
        <v>5126.915</v>
      </c>
      <c r="K123" s="675">
        <v>0</v>
      </c>
      <c r="L123" s="675">
        <v>6160</v>
      </c>
      <c r="M123" s="675">
        <v>0</v>
      </c>
      <c r="N123" s="675">
        <v>0</v>
      </c>
      <c r="O123" s="675">
        <v>0</v>
      </c>
      <c r="P123" s="675">
        <v>5617.3780000000006</v>
      </c>
      <c r="Q123" s="675">
        <v>0</v>
      </c>
      <c r="R123" s="675">
        <v>2260590</v>
      </c>
      <c r="S123" s="675">
        <v>402.428</v>
      </c>
      <c r="T123" s="675">
        <v>0</v>
      </c>
      <c r="U123" s="675">
        <v>1202126</v>
      </c>
      <c r="V123" s="675">
        <v>1249.962</v>
      </c>
      <c r="W123" s="675">
        <v>769973</v>
      </c>
      <c r="X123" s="675">
        <v>769973</v>
      </c>
      <c r="Y123" s="675">
        <v>0</v>
      </c>
      <c r="Z123" s="675">
        <v>0</v>
      </c>
      <c r="AA123" s="675">
        <v>0</v>
      </c>
      <c r="AB123" s="675">
        <v>0</v>
      </c>
      <c r="AC123" s="675">
        <v>0</v>
      </c>
      <c r="AD123" s="675" t="s">
        <v>316</v>
      </c>
      <c r="AE123" s="675">
        <v>0</v>
      </c>
      <c r="AF123" s="675">
        <v>0</v>
      </c>
      <c r="AG123" s="675">
        <v>0</v>
      </c>
      <c r="AH123" s="675">
        <v>0</v>
      </c>
      <c r="AI123" s="675">
        <v>0</v>
      </c>
      <c r="AJ123" s="675">
        <v>6160</v>
      </c>
      <c r="AK123" s="675" t="s">
        <v>671</v>
      </c>
      <c r="AL123" s="675" t="s">
        <v>430</v>
      </c>
      <c r="AM123" s="675">
        <v>0</v>
      </c>
      <c r="AN123" s="675">
        <v>0</v>
      </c>
      <c r="AO123" s="675">
        <v>0</v>
      </c>
      <c r="AP123" s="675">
        <v>0</v>
      </c>
      <c r="AQ123" s="675">
        <v>0</v>
      </c>
      <c r="AR123" s="675">
        <v>0</v>
      </c>
      <c r="AS123" s="675">
        <v>0</v>
      </c>
      <c r="AT123" s="675">
        <v>0</v>
      </c>
      <c r="AU123" s="675">
        <v>0</v>
      </c>
      <c r="AV123" s="675">
        <v>0</v>
      </c>
      <c r="AW123" s="675">
        <v>54615270</v>
      </c>
      <c r="AX123" s="675">
        <v>53690426</v>
      </c>
      <c r="AY123" s="675">
        <v>36984735</v>
      </c>
      <c r="AZ123" s="675">
        <v>2260590</v>
      </c>
      <c r="BA123" s="675">
        <v>0</v>
      </c>
      <c r="BB123" s="675">
        <v>110536</v>
      </c>
      <c r="BC123" s="675">
        <v>109823</v>
      </c>
      <c r="BD123" s="675">
        <v>256.346</v>
      </c>
      <c r="BE123" s="675">
        <v>713</v>
      </c>
      <c r="BF123" s="675">
        <v>49793497</v>
      </c>
      <c r="BG123" s="675">
        <v>0</v>
      </c>
      <c r="BH123" s="675">
        <v>0</v>
      </c>
      <c r="BI123" s="675">
        <v>0</v>
      </c>
      <c r="BJ123" s="675">
        <v>12</v>
      </c>
      <c r="BK123" s="675">
        <v>0</v>
      </c>
      <c r="BL123" s="675">
        <v>0</v>
      </c>
      <c r="BM123" s="675">
        <v>0</v>
      </c>
      <c r="BN123" s="675">
        <v>0</v>
      </c>
      <c r="BO123" s="675">
        <v>0</v>
      </c>
      <c r="BP123" s="675">
        <v>0</v>
      </c>
      <c r="BQ123" s="675">
        <v>36</v>
      </c>
      <c r="BR123" s="675">
        <v>0</v>
      </c>
      <c r="BS123" s="675">
        <v>0</v>
      </c>
      <c r="BT123" s="675">
        <v>0</v>
      </c>
      <c r="BU123" s="675">
        <v>0</v>
      </c>
      <c r="BV123" s="675">
        <v>0</v>
      </c>
      <c r="BW123" s="675">
        <v>0</v>
      </c>
      <c r="BX123" s="675">
        <v>0</v>
      </c>
      <c r="BY123" s="675">
        <v>0</v>
      </c>
      <c r="BZ123" s="675">
        <v>0</v>
      </c>
      <c r="CA123" s="675">
        <v>0</v>
      </c>
      <c r="CB123" s="675">
        <v>0</v>
      </c>
      <c r="CC123" s="675">
        <v>0</v>
      </c>
      <c r="CD123" s="675">
        <v>0</v>
      </c>
      <c r="CE123" s="675">
        <v>0</v>
      </c>
      <c r="CF123" s="675">
        <v>0</v>
      </c>
      <c r="CG123" s="675">
        <v>0</v>
      </c>
      <c r="CH123" s="675">
        <v>937009</v>
      </c>
      <c r="CI123" s="675">
        <v>0</v>
      </c>
      <c r="CJ123" s="675">
        <v>4</v>
      </c>
      <c r="CK123" s="675">
        <v>0</v>
      </c>
      <c r="CL123" s="675">
        <v>0</v>
      </c>
      <c r="CM123" s="675">
        <v>0</v>
      </c>
      <c r="CN123" s="675">
        <v>0</v>
      </c>
      <c r="CO123" s="675">
        <v>1</v>
      </c>
      <c r="CP123" s="675">
        <v>4.1100000000000003</v>
      </c>
      <c r="CQ123" s="675">
        <v>0</v>
      </c>
      <c r="CR123" s="675">
        <v>5707.8980000000001</v>
      </c>
      <c r="CS123" s="675">
        <v>0</v>
      </c>
      <c r="CT123" s="675">
        <v>0</v>
      </c>
      <c r="CU123" s="675">
        <v>0</v>
      </c>
      <c r="CV123" s="675">
        <v>0</v>
      </c>
      <c r="CW123" s="675">
        <v>0</v>
      </c>
      <c r="CX123" s="675">
        <v>0</v>
      </c>
      <c r="CY123" s="675">
        <v>0</v>
      </c>
      <c r="CZ123" s="675">
        <v>0</v>
      </c>
      <c r="DA123" s="675">
        <v>0</v>
      </c>
      <c r="DB123" s="675">
        <v>29106966</v>
      </c>
      <c r="DC123" s="675">
        <v>0</v>
      </c>
      <c r="DD123" s="675">
        <v>0</v>
      </c>
      <c r="DE123" s="675">
        <v>7590317</v>
      </c>
      <c r="DF123" s="675">
        <v>7651332</v>
      </c>
      <c r="DG123" s="675">
        <v>1232.2</v>
      </c>
      <c r="DH123" s="675">
        <v>0</v>
      </c>
      <c r="DI123" s="675">
        <v>61015</v>
      </c>
      <c r="DJ123" s="675">
        <v>0</v>
      </c>
      <c r="DK123" s="675">
        <v>0</v>
      </c>
      <c r="DL123" s="675">
        <v>0</v>
      </c>
      <c r="DM123" s="675">
        <v>3247104</v>
      </c>
      <c r="DN123" s="675">
        <v>11452</v>
      </c>
      <c r="DO123" s="675">
        <v>0</v>
      </c>
      <c r="DP123" s="675">
        <v>0</v>
      </c>
      <c r="DQ123" s="675">
        <v>0</v>
      </c>
      <c r="DR123" s="675">
        <v>0</v>
      </c>
      <c r="DS123" s="675">
        <v>0</v>
      </c>
      <c r="DT123" s="675">
        <v>0</v>
      </c>
      <c r="DU123" s="675">
        <v>0</v>
      </c>
      <c r="DV123" s="675">
        <v>0</v>
      </c>
      <c r="DW123" s="675">
        <v>0</v>
      </c>
      <c r="DX123" s="675">
        <v>0</v>
      </c>
      <c r="DY123" s="675">
        <v>0</v>
      </c>
      <c r="DZ123" s="675">
        <v>0</v>
      </c>
      <c r="EA123" s="675">
        <v>0.44500000000000001</v>
      </c>
      <c r="EB123" s="675">
        <v>0</v>
      </c>
      <c r="EC123" s="675">
        <v>130.19</v>
      </c>
      <c r="ED123" s="675">
        <v>922262</v>
      </c>
      <c r="EE123" s="675">
        <v>0</v>
      </c>
      <c r="EF123" s="675">
        <v>0</v>
      </c>
      <c r="EG123" s="675">
        <v>0</v>
      </c>
      <c r="EH123" s="675">
        <v>2095678</v>
      </c>
      <c r="EI123" s="675">
        <v>0</v>
      </c>
      <c r="EJ123" s="675">
        <v>0</v>
      </c>
      <c r="EK123" s="675">
        <v>83.77600000000001</v>
      </c>
      <c r="EL123" s="675">
        <v>0</v>
      </c>
      <c r="EM123" s="675">
        <v>13.812000000000001</v>
      </c>
      <c r="EN123" s="675">
        <v>9.0440000000000005</v>
      </c>
      <c r="EO123" s="675">
        <v>0</v>
      </c>
      <c r="EP123" s="675">
        <v>0</v>
      </c>
      <c r="EQ123" s="675">
        <v>107.077</v>
      </c>
      <c r="ER123" s="675">
        <v>0</v>
      </c>
      <c r="ES123" s="675">
        <v>340.209</v>
      </c>
      <c r="ET123" s="675">
        <v>0</v>
      </c>
      <c r="EU123" s="675">
        <v>0</v>
      </c>
      <c r="EV123" s="675">
        <v>0</v>
      </c>
      <c r="EW123" s="675">
        <v>0</v>
      </c>
      <c r="EX123" s="675">
        <v>0</v>
      </c>
      <c r="EY123" s="675">
        <v>0</v>
      </c>
      <c r="EZ123" s="675">
        <v>47577788</v>
      </c>
      <c r="FA123" s="675">
        <v>0</v>
      </c>
      <c r="FB123" s="675">
        <v>49826213</v>
      </c>
      <c r="FC123" s="675">
        <v>0</v>
      </c>
      <c r="FD123" s="675">
        <v>0</v>
      </c>
      <c r="FE123" s="675">
        <v>5065018</v>
      </c>
      <c r="FF123" s="675">
        <v>1047620</v>
      </c>
      <c r="FG123" s="675">
        <v>6.3574999999999993E-2</v>
      </c>
      <c r="FH123" s="675">
        <v>2.6298999999999999E-2</v>
      </c>
      <c r="FI123" s="675">
        <v>0</v>
      </c>
      <c r="FJ123" s="675">
        <v>0</v>
      </c>
      <c r="FK123" s="675">
        <v>8083.3969999999999</v>
      </c>
      <c r="FL123" s="675">
        <v>56875860</v>
      </c>
      <c r="FM123" s="675">
        <v>0</v>
      </c>
      <c r="FN123" s="675">
        <v>0</v>
      </c>
      <c r="FO123" s="675">
        <v>34350</v>
      </c>
      <c r="FP123" s="675">
        <v>0</v>
      </c>
      <c r="FQ123" s="675">
        <v>34350</v>
      </c>
      <c r="FR123" s="675">
        <v>34350</v>
      </c>
      <c r="FS123" s="675">
        <v>0</v>
      </c>
      <c r="FT123" s="675">
        <v>0</v>
      </c>
      <c r="FU123" s="675">
        <v>0</v>
      </c>
      <c r="FV123" s="675">
        <v>0</v>
      </c>
      <c r="FW123" s="675">
        <v>0</v>
      </c>
      <c r="FX123" s="675">
        <v>0</v>
      </c>
      <c r="FY123" s="675">
        <v>0</v>
      </c>
      <c r="FZ123" s="675">
        <v>0</v>
      </c>
      <c r="GA123" s="675">
        <v>0</v>
      </c>
      <c r="GB123" s="675">
        <v>2181642</v>
      </c>
      <c r="GC123" s="675">
        <v>2181642</v>
      </c>
      <c r="GD123" s="675">
        <v>255.59800000000001</v>
      </c>
      <c r="GE123" s="675">
        <v>0</v>
      </c>
      <c r="GF123" s="675">
        <v>0</v>
      </c>
      <c r="GG123" s="675">
        <v>0</v>
      </c>
      <c r="GH123" s="675">
        <v>0</v>
      </c>
      <c r="GI123" s="675">
        <v>0</v>
      </c>
      <c r="GJ123" s="675">
        <v>0</v>
      </c>
      <c r="GK123" s="675">
        <v>0</v>
      </c>
      <c r="GL123" s="675">
        <v>0</v>
      </c>
      <c r="GM123" s="675">
        <v>0</v>
      </c>
      <c r="GN123" s="675">
        <v>0</v>
      </c>
      <c r="GO123" s="675">
        <v>0</v>
      </c>
      <c r="GP123" s="675">
        <v>0</v>
      </c>
      <c r="GQ123" s="675">
        <v>0</v>
      </c>
      <c r="GR123" s="675">
        <v>0</v>
      </c>
      <c r="GS123" s="675">
        <v>0</v>
      </c>
      <c r="GT123" s="675">
        <v>0</v>
      </c>
      <c r="GU123" s="675">
        <v>0</v>
      </c>
      <c r="GV123" s="675">
        <v>0</v>
      </c>
      <c r="GW123" s="675">
        <v>0</v>
      </c>
      <c r="GX123" s="675">
        <v>0</v>
      </c>
      <c r="GY123" s="675">
        <v>0</v>
      </c>
      <c r="GZ123" s="675">
        <v>0</v>
      </c>
      <c r="HA123" s="675">
        <v>0</v>
      </c>
      <c r="HB123" s="675">
        <v>298386780</v>
      </c>
      <c r="HC123" s="675">
        <v>4.5690999999999996E-2</v>
      </c>
      <c r="HD123" s="675">
        <v>937009</v>
      </c>
      <c r="HE123" s="675">
        <v>0</v>
      </c>
      <c r="HF123" s="675">
        <v>5240664</v>
      </c>
      <c r="HG123" s="675">
        <v>123833</v>
      </c>
      <c r="HH123" s="675">
        <v>1243161</v>
      </c>
      <c r="HI123" s="675">
        <v>0</v>
      </c>
      <c r="HJ123" s="675">
        <v>49834</v>
      </c>
      <c r="HK123" s="675">
        <v>9054</v>
      </c>
      <c r="HL123" s="675">
        <v>1477</v>
      </c>
      <c r="HM123" s="675">
        <v>57000</v>
      </c>
      <c r="HN123" s="675">
        <v>0</v>
      </c>
      <c r="HO123" s="675">
        <v>0</v>
      </c>
      <c r="HP123" s="675">
        <v>0</v>
      </c>
      <c r="HQ123" s="675">
        <v>0</v>
      </c>
      <c r="HR123" s="675">
        <v>0</v>
      </c>
      <c r="HS123" s="675">
        <v>47565623</v>
      </c>
      <c r="HT123" s="675">
        <v>1047620</v>
      </c>
      <c r="HU123" s="675">
        <v>0</v>
      </c>
      <c r="HV123" s="675">
        <v>0</v>
      </c>
      <c r="HW123" s="675">
        <v>0</v>
      </c>
      <c r="HX123" s="675">
        <v>443</v>
      </c>
      <c r="HY123" s="675">
        <v>956</v>
      </c>
      <c r="HZ123" s="675">
        <v>924</v>
      </c>
      <c r="IA123" s="675">
        <v>1086</v>
      </c>
      <c r="IB123" s="675">
        <v>1416</v>
      </c>
      <c r="IC123" s="675">
        <v>4825</v>
      </c>
      <c r="ID123" s="675">
        <v>0</v>
      </c>
      <c r="IE123" s="675">
        <v>0</v>
      </c>
      <c r="IF123" s="675">
        <v>0</v>
      </c>
      <c r="IG123" s="675">
        <v>201.029</v>
      </c>
      <c r="IH123" s="675">
        <v>2018.1280000000002</v>
      </c>
      <c r="II123" s="675">
        <v>0</v>
      </c>
      <c r="IJ123" s="675">
        <v>1249.962</v>
      </c>
      <c r="IK123" s="675">
        <v>0</v>
      </c>
      <c r="IL123" s="675">
        <v>6</v>
      </c>
      <c r="IM123" s="675">
        <v>9</v>
      </c>
      <c r="IN123" s="675">
        <v>0</v>
      </c>
      <c r="IO123" s="675">
        <v>15</v>
      </c>
      <c r="IP123" s="675">
        <v>0</v>
      </c>
      <c r="IQ123" s="675">
        <v>1249.962</v>
      </c>
      <c r="IR123" s="675">
        <v>769973</v>
      </c>
      <c r="IS123" s="675">
        <v>0</v>
      </c>
      <c r="IT123" s="675">
        <v>30000</v>
      </c>
      <c r="IU123" s="675">
        <v>27000</v>
      </c>
      <c r="IV123" s="675">
        <v>0</v>
      </c>
      <c r="IW123" s="675">
        <v>6160</v>
      </c>
      <c r="IX123" s="675">
        <v>0</v>
      </c>
      <c r="IY123" s="675">
        <v>0</v>
      </c>
      <c r="IZ123" s="675">
        <v>0</v>
      </c>
      <c r="JA123" s="675">
        <v>0</v>
      </c>
      <c r="JB123" s="675">
        <v>0</v>
      </c>
      <c r="JC123" s="675">
        <v>0</v>
      </c>
      <c r="JD123" s="675">
        <v>0</v>
      </c>
      <c r="JE123" s="675">
        <v>0</v>
      </c>
      <c r="JF123" s="675">
        <v>0</v>
      </c>
      <c r="JG123" s="675">
        <v>0</v>
      </c>
      <c r="JH123" s="675">
        <v>0</v>
      </c>
      <c r="JI123" s="675">
        <v>0</v>
      </c>
      <c r="JJ123" s="675">
        <v>0</v>
      </c>
      <c r="JK123" s="675">
        <v>0</v>
      </c>
      <c r="JL123" s="675">
        <v>0</v>
      </c>
      <c r="JM123" s="675">
        <v>0</v>
      </c>
      <c r="JN123" s="675">
        <v>32469</v>
      </c>
      <c r="JO123" s="675">
        <v>172.22400000000002</v>
      </c>
      <c r="JP123" s="675">
        <v>60.550000000000004</v>
      </c>
      <c r="JQ123" s="675">
        <v>22.824000000000002</v>
      </c>
      <c r="JR123" s="675">
        <v>1375381</v>
      </c>
      <c r="JS123" s="675">
        <v>562679</v>
      </c>
      <c r="JT123" s="675">
        <v>243582</v>
      </c>
      <c r="JU123" s="675">
        <v>110536</v>
      </c>
      <c r="JV123" s="675">
        <v>0</v>
      </c>
      <c r="JW123" s="675">
        <v>0</v>
      </c>
      <c r="JX123" s="675">
        <v>0</v>
      </c>
      <c r="JY123" s="675">
        <v>0</v>
      </c>
      <c r="JZ123" s="675">
        <v>0</v>
      </c>
      <c r="KA123" s="675">
        <v>0</v>
      </c>
      <c r="KB123" s="675">
        <v>0</v>
      </c>
      <c r="KC123" s="675">
        <v>0</v>
      </c>
      <c r="KD123" s="675">
        <v>110536</v>
      </c>
      <c r="KE123" s="675">
        <v>7260</v>
      </c>
      <c r="KF123" s="675">
        <v>0</v>
      </c>
      <c r="KG123" s="675">
        <v>0</v>
      </c>
      <c r="KH123" s="675">
        <v>0</v>
      </c>
      <c r="KI123" s="675">
        <v>0</v>
      </c>
    </row>
    <row r="124" spans="1:295" ht="12.5" x14ac:dyDescent="0.25">
      <c r="A124" s="675">
        <v>35795</v>
      </c>
      <c r="B124" s="675">
        <v>227824</v>
      </c>
      <c r="C124" s="675">
        <v>9</v>
      </c>
      <c r="D124" s="675">
        <v>2022</v>
      </c>
      <c r="E124" s="675">
        <v>6160</v>
      </c>
      <c r="F124" s="675">
        <v>0</v>
      </c>
      <c r="G124" s="675">
        <v>840.27800000000002</v>
      </c>
      <c r="H124" s="675">
        <v>832.80799999999999</v>
      </c>
      <c r="I124" s="675">
        <v>832.80799999999999</v>
      </c>
      <c r="J124" s="675">
        <v>840.27800000000002</v>
      </c>
      <c r="K124" s="675">
        <v>0</v>
      </c>
      <c r="L124" s="675">
        <v>6160</v>
      </c>
      <c r="M124" s="675">
        <v>0</v>
      </c>
      <c r="N124" s="675">
        <v>0</v>
      </c>
      <c r="O124" s="675">
        <v>0</v>
      </c>
      <c r="P124" s="675">
        <v>802.31500000000005</v>
      </c>
      <c r="Q124" s="675">
        <v>0</v>
      </c>
      <c r="R124" s="675">
        <v>322874</v>
      </c>
      <c r="S124" s="675">
        <v>402.428</v>
      </c>
      <c r="T124" s="675">
        <v>0</v>
      </c>
      <c r="U124" s="675">
        <v>171696</v>
      </c>
      <c r="V124" s="675">
        <v>280.84000000000003</v>
      </c>
      <c r="W124" s="675">
        <v>172997</v>
      </c>
      <c r="X124" s="675">
        <v>172997</v>
      </c>
      <c r="Y124" s="675">
        <v>0</v>
      </c>
      <c r="Z124" s="675">
        <v>0</v>
      </c>
      <c r="AA124" s="675">
        <v>0</v>
      </c>
      <c r="AB124" s="675">
        <v>0</v>
      </c>
      <c r="AC124" s="675">
        <v>0</v>
      </c>
      <c r="AD124" s="675" t="s">
        <v>316</v>
      </c>
      <c r="AE124" s="675">
        <v>0</v>
      </c>
      <c r="AF124" s="675">
        <v>0</v>
      </c>
      <c r="AG124" s="675">
        <v>0</v>
      </c>
      <c r="AH124" s="675">
        <v>0</v>
      </c>
      <c r="AI124" s="675">
        <v>0</v>
      </c>
      <c r="AJ124" s="675">
        <v>6160</v>
      </c>
      <c r="AK124" s="675" t="s">
        <v>671</v>
      </c>
      <c r="AL124" s="675" t="s">
        <v>903</v>
      </c>
      <c r="AM124" s="675">
        <v>0</v>
      </c>
      <c r="AN124" s="675">
        <v>0</v>
      </c>
      <c r="AO124" s="675">
        <v>0</v>
      </c>
      <c r="AP124" s="675">
        <v>0</v>
      </c>
      <c r="AQ124" s="675">
        <v>0</v>
      </c>
      <c r="AR124" s="675">
        <v>0</v>
      </c>
      <c r="AS124" s="675">
        <v>0</v>
      </c>
      <c r="AT124" s="675">
        <v>0</v>
      </c>
      <c r="AU124" s="675">
        <v>0</v>
      </c>
      <c r="AV124" s="675">
        <v>0</v>
      </c>
      <c r="AW124" s="675">
        <v>9183999</v>
      </c>
      <c r="AX124" s="675">
        <v>9031828</v>
      </c>
      <c r="AY124" s="675">
        <v>6082484</v>
      </c>
      <c r="AZ124" s="675">
        <v>322874</v>
      </c>
      <c r="BA124" s="675">
        <v>0</v>
      </c>
      <c r="BB124" s="675">
        <v>0</v>
      </c>
      <c r="BC124" s="675">
        <v>0</v>
      </c>
      <c r="BD124" s="675">
        <v>0</v>
      </c>
      <c r="BE124" s="675">
        <v>0</v>
      </c>
      <c r="BF124" s="675">
        <v>8275424</v>
      </c>
      <c r="BG124" s="675">
        <v>0</v>
      </c>
      <c r="BH124" s="675">
        <v>0</v>
      </c>
      <c r="BI124" s="675">
        <v>0</v>
      </c>
      <c r="BJ124" s="675">
        <v>12</v>
      </c>
      <c r="BK124" s="675">
        <v>0</v>
      </c>
      <c r="BL124" s="675">
        <v>0</v>
      </c>
      <c r="BM124" s="675">
        <v>0</v>
      </c>
      <c r="BN124" s="675">
        <v>0</v>
      </c>
      <c r="BO124" s="675">
        <v>0</v>
      </c>
      <c r="BP124" s="675">
        <v>0</v>
      </c>
      <c r="BQ124" s="675">
        <v>642</v>
      </c>
      <c r="BR124" s="675">
        <v>0</v>
      </c>
      <c r="BS124" s="675">
        <v>0</v>
      </c>
      <c r="BT124" s="675">
        <v>0</v>
      </c>
      <c r="BU124" s="675">
        <v>0</v>
      </c>
      <c r="BV124" s="675">
        <v>0</v>
      </c>
      <c r="BW124" s="675">
        <v>0</v>
      </c>
      <c r="BX124" s="675">
        <v>0</v>
      </c>
      <c r="BY124" s="675">
        <v>0</v>
      </c>
      <c r="BZ124" s="675">
        <v>0</v>
      </c>
      <c r="CA124" s="675">
        <v>0</v>
      </c>
      <c r="CB124" s="675">
        <v>0</v>
      </c>
      <c r="CC124" s="675">
        <v>0</v>
      </c>
      <c r="CD124" s="675">
        <v>0</v>
      </c>
      <c r="CE124" s="675">
        <v>0</v>
      </c>
      <c r="CF124" s="675">
        <v>0</v>
      </c>
      <c r="CG124" s="675">
        <v>0</v>
      </c>
      <c r="CH124" s="675">
        <v>153571</v>
      </c>
      <c r="CI124" s="675">
        <v>0</v>
      </c>
      <c r="CJ124" s="675">
        <v>4</v>
      </c>
      <c r="CK124" s="675">
        <v>0</v>
      </c>
      <c r="CL124" s="675">
        <v>0</v>
      </c>
      <c r="CM124" s="675">
        <v>0</v>
      </c>
      <c r="CN124" s="675">
        <v>0</v>
      </c>
      <c r="CO124" s="675">
        <v>1</v>
      </c>
      <c r="CP124" s="675">
        <v>0</v>
      </c>
      <c r="CQ124" s="675">
        <v>0</v>
      </c>
      <c r="CR124" s="675">
        <v>982.71300000000008</v>
      </c>
      <c r="CS124" s="675">
        <v>0</v>
      </c>
      <c r="CT124" s="675">
        <v>0</v>
      </c>
      <c r="CU124" s="675">
        <v>0</v>
      </c>
      <c r="CV124" s="675">
        <v>0</v>
      </c>
      <c r="CW124" s="675">
        <v>0</v>
      </c>
      <c r="CX124" s="675">
        <v>0</v>
      </c>
      <c r="CY124" s="675">
        <v>0</v>
      </c>
      <c r="CZ124" s="675">
        <v>0</v>
      </c>
      <c r="DA124" s="675">
        <v>0</v>
      </c>
      <c r="DB124" s="675">
        <v>5130073</v>
      </c>
      <c r="DC124" s="675">
        <v>0</v>
      </c>
      <c r="DD124" s="675">
        <v>0</v>
      </c>
      <c r="DE124" s="675">
        <v>1431115</v>
      </c>
      <c r="DF124" s="675">
        <v>1431115</v>
      </c>
      <c r="DG124" s="675">
        <v>232.32500000000002</v>
      </c>
      <c r="DH124" s="675">
        <v>0</v>
      </c>
      <c r="DI124" s="675">
        <v>0</v>
      </c>
      <c r="DJ124" s="675">
        <v>0</v>
      </c>
      <c r="DK124" s="675">
        <v>1890</v>
      </c>
      <c r="DL124" s="675">
        <v>0</v>
      </c>
      <c r="DM124" s="675">
        <v>367662</v>
      </c>
      <c r="DN124" s="675">
        <v>1400</v>
      </c>
      <c r="DO124" s="675">
        <v>0</v>
      </c>
      <c r="DP124" s="675">
        <v>0</v>
      </c>
      <c r="DQ124" s="675">
        <v>0</v>
      </c>
      <c r="DR124" s="675">
        <v>0</v>
      </c>
      <c r="DS124" s="675">
        <v>0</v>
      </c>
      <c r="DT124" s="675">
        <v>0</v>
      </c>
      <c r="DU124" s="675">
        <v>0</v>
      </c>
      <c r="DV124" s="675">
        <v>0</v>
      </c>
      <c r="DW124" s="675">
        <v>0</v>
      </c>
      <c r="DX124" s="675">
        <v>0</v>
      </c>
      <c r="DY124" s="675">
        <v>0</v>
      </c>
      <c r="DZ124" s="675">
        <v>0</v>
      </c>
      <c r="EA124" s="675">
        <v>0</v>
      </c>
      <c r="EB124" s="675">
        <v>0</v>
      </c>
      <c r="EC124" s="675">
        <v>29.773</v>
      </c>
      <c r="ED124" s="675">
        <v>210911</v>
      </c>
      <c r="EE124" s="675">
        <v>0</v>
      </c>
      <c r="EF124" s="675">
        <v>0</v>
      </c>
      <c r="EG124" s="675">
        <v>0</v>
      </c>
      <c r="EH124" s="675">
        <v>158151</v>
      </c>
      <c r="EI124" s="675">
        <v>0</v>
      </c>
      <c r="EJ124" s="675">
        <v>0</v>
      </c>
      <c r="EK124" s="675">
        <v>5.8380000000000001</v>
      </c>
      <c r="EL124" s="675">
        <v>0</v>
      </c>
      <c r="EM124" s="675">
        <v>0</v>
      </c>
      <c r="EN124" s="675">
        <v>1.6320000000000001</v>
      </c>
      <c r="EO124" s="675">
        <v>0</v>
      </c>
      <c r="EP124" s="675">
        <v>0</v>
      </c>
      <c r="EQ124" s="675">
        <v>7.47</v>
      </c>
      <c r="ER124" s="675">
        <v>0</v>
      </c>
      <c r="ES124" s="675">
        <v>25.673999999999999</v>
      </c>
      <c r="ET124" s="675">
        <v>0</v>
      </c>
      <c r="EU124" s="675">
        <v>0</v>
      </c>
      <c r="EV124" s="675">
        <v>0</v>
      </c>
      <c r="EW124" s="675">
        <v>0</v>
      </c>
      <c r="EX124" s="675">
        <v>0</v>
      </c>
      <c r="EY124" s="675">
        <v>0</v>
      </c>
      <c r="EZ124" s="675">
        <v>8015939</v>
      </c>
      <c r="FA124" s="675">
        <v>0</v>
      </c>
      <c r="FB124" s="675">
        <v>8337413</v>
      </c>
      <c r="FC124" s="675">
        <v>0</v>
      </c>
      <c r="FD124" s="675">
        <v>0</v>
      </c>
      <c r="FE124" s="675">
        <v>841780</v>
      </c>
      <c r="FF124" s="675">
        <v>174109</v>
      </c>
      <c r="FG124" s="675">
        <v>6.3574999999999993E-2</v>
      </c>
      <c r="FH124" s="675">
        <v>2.6298999999999999E-2</v>
      </c>
      <c r="FI124" s="675">
        <v>0</v>
      </c>
      <c r="FJ124" s="675">
        <v>0</v>
      </c>
      <c r="FK124" s="675">
        <v>1343.4190000000001</v>
      </c>
      <c r="FL124" s="675">
        <v>9506873</v>
      </c>
      <c r="FM124" s="675">
        <v>0</v>
      </c>
      <c r="FN124" s="675">
        <v>0</v>
      </c>
      <c r="FO124" s="675">
        <v>60995</v>
      </c>
      <c r="FP124" s="675">
        <v>0</v>
      </c>
      <c r="FQ124" s="675">
        <v>60995</v>
      </c>
      <c r="FR124" s="675">
        <v>60995</v>
      </c>
      <c r="FS124" s="675">
        <v>0</v>
      </c>
      <c r="FT124" s="675">
        <v>0</v>
      </c>
      <c r="FU124" s="675">
        <v>0</v>
      </c>
      <c r="FV124" s="675">
        <v>0</v>
      </c>
      <c r="FW124" s="675">
        <v>0</v>
      </c>
      <c r="FX124" s="675">
        <v>0</v>
      </c>
      <c r="FY124" s="675">
        <v>0</v>
      </c>
      <c r="FZ124" s="675">
        <v>0</v>
      </c>
      <c r="GA124" s="675">
        <v>0</v>
      </c>
      <c r="GB124" s="675">
        <v>0</v>
      </c>
      <c r="GC124" s="675">
        <v>0</v>
      </c>
      <c r="GD124" s="675">
        <v>0</v>
      </c>
      <c r="GE124" s="675">
        <v>0</v>
      </c>
      <c r="GF124" s="675">
        <v>0</v>
      </c>
      <c r="GG124" s="675">
        <v>0</v>
      </c>
      <c r="GH124" s="675">
        <v>0</v>
      </c>
      <c r="GI124" s="675">
        <v>0</v>
      </c>
      <c r="GJ124" s="675">
        <v>0</v>
      </c>
      <c r="GK124" s="675">
        <v>0</v>
      </c>
      <c r="GL124" s="675">
        <v>0</v>
      </c>
      <c r="GM124" s="675">
        <v>0</v>
      </c>
      <c r="GN124" s="675">
        <v>0</v>
      </c>
      <c r="GO124" s="675">
        <v>0</v>
      </c>
      <c r="GP124" s="675">
        <v>0</v>
      </c>
      <c r="GQ124" s="675">
        <v>0</v>
      </c>
      <c r="GR124" s="675">
        <v>0</v>
      </c>
      <c r="GS124" s="675">
        <v>0</v>
      </c>
      <c r="GT124" s="675">
        <v>0</v>
      </c>
      <c r="GU124" s="675">
        <v>0</v>
      </c>
      <c r="GV124" s="675">
        <v>0</v>
      </c>
      <c r="GW124" s="675">
        <v>0</v>
      </c>
      <c r="GX124" s="675">
        <v>0</v>
      </c>
      <c r="GY124" s="675">
        <v>0</v>
      </c>
      <c r="GZ124" s="675">
        <v>0</v>
      </c>
      <c r="HA124" s="675">
        <v>0</v>
      </c>
      <c r="HB124" s="675">
        <v>298386780</v>
      </c>
      <c r="HC124" s="675">
        <v>4.5690999999999996E-2</v>
      </c>
      <c r="HD124" s="675">
        <v>153571</v>
      </c>
      <c r="HE124" s="675">
        <v>0</v>
      </c>
      <c r="HF124" s="675">
        <v>916089</v>
      </c>
      <c r="HG124" s="675">
        <v>13474</v>
      </c>
      <c r="HH124" s="675">
        <v>196446</v>
      </c>
      <c r="HI124" s="675">
        <v>0</v>
      </c>
      <c r="HJ124" s="675">
        <v>8168</v>
      </c>
      <c r="HK124" s="675">
        <v>2394</v>
      </c>
      <c r="HL124" s="675">
        <v>0</v>
      </c>
      <c r="HM124" s="675">
        <v>38000</v>
      </c>
      <c r="HN124" s="675">
        <v>0</v>
      </c>
      <c r="HO124" s="675">
        <v>0</v>
      </c>
      <c r="HP124" s="675">
        <v>0</v>
      </c>
      <c r="HQ124" s="675">
        <v>0</v>
      </c>
      <c r="HR124" s="675">
        <v>0</v>
      </c>
      <c r="HS124" s="675">
        <v>8014539</v>
      </c>
      <c r="HT124" s="675">
        <v>174109</v>
      </c>
      <c r="HU124" s="675">
        <v>0</v>
      </c>
      <c r="HV124" s="675">
        <v>0</v>
      </c>
      <c r="HW124" s="675">
        <v>0</v>
      </c>
      <c r="HX124" s="675">
        <v>96</v>
      </c>
      <c r="HY124" s="675">
        <v>175</v>
      </c>
      <c r="HZ124" s="675">
        <v>179</v>
      </c>
      <c r="IA124" s="675">
        <v>233</v>
      </c>
      <c r="IB124" s="675">
        <v>230</v>
      </c>
      <c r="IC124" s="675">
        <v>913</v>
      </c>
      <c r="ID124" s="675">
        <v>0</v>
      </c>
      <c r="IE124" s="675">
        <v>0</v>
      </c>
      <c r="IF124" s="675">
        <v>0</v>
      </c>
      <c r="IG124" s="675">
        <v>21.874000000000002</v>
      </c>
      <c r="IH124" s="675">
        <v>318.90800000000002</v>
      </c>
      <c r="II124" s="675">
        <v>0</v>
      </c>
      <c r="IJ124" s="675">
        <v>280.84000000000003</v>
      </c>
      <c r="IK124" s="675">
        <v>0</v>
      </c>
      <c r="IL124" s="675">
        <v>7</v>
      </c>
      <c r="IM124" s="675">
        <v>1</v>
      </c>
      <c r="IN124" s="675">
        <v>0</v>
      </c>
      <c r="IO124" s="675">
        <v>8</v>
      </c>
      <c r="IP124" s="675">
        <v>0</v>
      </c>
      <c r="IQ124" s="675">
        <v>280.84000000000003</v>
      </c>
      <c r="IR124" s="675">
        <v>172997</v>
      </c>
      <c r="IS124" s="675">
        <v>0</v>
      </c>
      <c r="IT124" s="675">
        <v>35000</v>
      </c>
      <c r="IU124" s="675">
        <v>3000</v>
      </c>
      <c r="IV124" s="675">
        <v>0</v>
      </c>
      <c r="IW124" s="675">
        <v>6160</v>
      </c>
      <c r="IX124" s="675">
        <v>0</v>
      </c>
      <c r="IY124" s="675">
        <v>0</v>
      </c>
      <c r="IZ124" s="675">
        <v>0</v>
      </c>
      <c r="JA124" s="675">
        <v>0</v>
      </c>
      <c r="JB124" s="675">
        <v>0</v>
      </c>
      <c r="JC124" s="675">
        <v>0</v>
      </c>
      <c r="JD124" s="675">
        <v>0</v>
      </c>
      <c r="JE124" s="675">
        <v>0</v>
      </c>
      <c r="JF124" s="675">
        <v>0</v>
      </c>
      <c r="JG124" s="675">
        <v>0</v>
      </c>
      <c r="JH124" s="675">
        <v>0</v>
      </c>
      <c r="JI124" s="675">
        <v>0</v>
      </c>
      <c r="JJ124" s="675">
        <v>0</v>
      </c>
      <c r="JK124" s="675">
        <v>0</v>
      </c>
      <c r="JL124" s="675">
        <v>0</v>
      </c>
      <c r="JM124" s="675">
        <v>0</v>
      </c>
      <c r="JN124" s="675">
        <v>32469</v>
      </c>
      <c r="JO124" s="675">
        <v>0</v>
      </c>
      <c r="JP124" s="675">
        <v>0</v>
      </c>
      <c r="JQ124" s="675">
        <v>0</v>
      </c>
      <c r="JR124" s="675">
        <v>0</v>
      </c>
      <c r="JS124" s="675">
        <v>0</v>
      </c>
      <c r="JT124" s="675">
        <v>0</v>
      </c>
      <c r="JU124" s="675">
        <v>0</v>
      </c>
      <c r="JV124" s="675">
        <v>0</v>
      </c>
      <c r="JW124" s="675">
        <v>0</v>
      </c>
      <c r="JX124" s="675">
        <v>0</v>
      </c>
      <c r="JY124" s="675">
        <v>0</v>
      </c>
      <c r="JZ124" s="675">
        <v>0</v>
      </c>
      <c r="KA124" s="675">
        <v>0</v>
      </c>
      <c r="KB124" s="675">
        <v>0</v>
      </c>
      <c r="KC124" s="675">
        <v>0</v>
      </c>
      <c r="KD124" s="675">
        <v>0</v>
      </c>
      <c r="KE124" s="675">
        <v>7260</v>
      </c>
      <c r="KF124" s="675">
        <v>0</v>
      </c>
      <c r="KG124" s="675">
        <v>0</v>
      </c>
      <c r="KH124" s="675">
        <v>0</v>
      </c>
      <c r="KI124" s="675">
        <v>0</v>
      </c>
    </row>
    <row r="125" spans="1:295" ht="12.5" x14ac:dyDescent="0.25">
      <c r="A125" s="675">
        <v>35795</v>
      </c>
      <c r="B125" s="675">
        <v>15825</v>
      </c>
      <c r="C125" s="675">
        <v>9</v>
      </c>
      <c r="D125" s="675">
        <v>2022</v>
      </c>
      <c r="E125" s="675">
        <v>6160</v>
      </c>
      <c r="F125" s="675">
        <v>0</v>
      </c>
      <c r="G125" s="675">
        <v>304.29500000000002</v>
      </c>
      <c r="H125" s="675">
        <v>265.483</v>
      </c>
      <c r="I125" s="675">
        <v>265.483</v>
      </c>
      <c r="J125" s="675">
        <v>304.29500000000002</v>
      </c>
      <c r="K125" s="675">
        <v>0</v>
      </c>
      <c r="L125" s="675">
        <v>6160</v>
      </c>
      <c r="M125" s="675">
        <v>0</v>
      </c>
      <c r="N125" s="675">
        <v>0</v>
      </c>
      <c r="O125" s="675">
        <v>0</v>
      </c>
      <c r="P125" s="675">
        <v>275.40500000000003</v>
      </c>
      <c r="Q125" s="675">
        <v>0</v>
      </c>
      <c r="R125" s="675">
        <v>110831</v>
      </c>
      <c r="S125" s="675">
        <v>402.428</v>
      </c>
      <c r="T125" s="675">
        <v>0</v>
      </c>
      <c r="U125" s="675">
        <v>58938</v>
      </c>
      <c r="V125" s="675">
        <v>92.65</v>
      </c>
      <c r="W125" s="675">
        <v>57072</v>
      </c>
      <c r="X125" s="675">
        <v>57072</v>
      </c>
      <c r="Y125" s="675">
        <v>0</v>
      </c>
      <c r="Z125" s="675">
        <v>0</v>
      </c>
      <c r="AA125" s="675">
        <v>0</v>
      </c>
      <c r="AB125" s="675">
        <v>0</v>
      </c>
      <c r="AC125" s="675">
        <v>0</v>
      </c>
      <c r="AD125" s="675" t="s">
        <v>316</v>
      </c>
      <c r="AE125" s="675">
        <v>0</v>
      </c>
      <c r="AF125" s="675">
        <v>0</v>
      </c>
      <c r="AG125" s="675">
        <v>0</v>
      </c>
      <c r="AH125" s="675">
        <v>0</v>
      </c>
      <c r="AI125" s="675">
        <v>0</v>
      </c>
      <c r="AJ125" s="675">
        <v>6160</v>
      </c>
      <c r="AK125" s="675" t="s">
        <v>671</v>
      </c>
      <c r="AL125" s="675" t="s">
        <v>791</v>
      </c>
      <c r="AM125" s="675">
        <v>0</v>
      </c>
      <c r="AN125" s="675">
        <v>0</v>
      </c>
      <c r="AO125" s="675">
        <v>0</v>
      </c>
      <c r="AP125" s="675">
        <v>0</v>
      </c>
      <c r="AQ125" s="675">
        <v>0</v>
      </c>
      <c r="AR125" s="675">
        <v>0</v>
      </c>
      <c r="AS125" s="675">
        <v>0</v>
      </c>
      <c r="AT125" s="675">
        <v>0</v>
      </c>
      <c r="AU125" s="675">
        <v>0</v>
      </c>
      <c r="AV125" s="675">
        <v>0</v>
      </c>
      <c r="AW125" s="675">
        <v>3546413</v>
      </c>
      <c r="AX125" s="675">
        <v>3492066</v>
      </c>
      <c r="AY125" s="675">
        <v>2293368</v>
      </c>
      <c r="AZ125" s="675">
        <v>110831</v>
      </c>
      <c r="BA125" s="675">
        <v>0</v>
      </c>
      <c r="BB125" s="675">
        <v>5390</v>
      </c>
      <c r="BC125" s="675">
        <v>5355</v>
      </c>
      <c r="BD125" s="675">
        <v>12.5</v>
      </c>
      <c r="BE125" s="675">
        <v>35</v>
      </c>
      <c r="BF125" s="675">
        <v>3208966</v>
      </c>
      <c r="BG125" s="675">
        <v>0</v>
      </c>
      <c r="BH125" s="675">
        <v>0</v>
      </c>
      <c r="BI125" s="675">
        <v>0</v>
      </c>
      <c r="BJ125" s="675">
        <v>12</v>
      </c>
      <c r="BK125" s="675">
        <v>0</v>
      </c>
      <c r="BL125" s="675">
        <v>0</v>
      </c>
      <c r="BM125" s="675">
        <v>0</v>
      </c>
      <c r="BN125" s="675">
        <v>0</v>
      </c>
      <c r="BO125" s="675">
        <v>0</v>
      </c>
      <c r="BP125" s="675">
        <v>0</v>
      </c>
      <c r="BQ125" s="675">
        <v>729</v>
      </c>
      <c r="BR125" s="675">
        <v>0</v>
      </c>
      <c r="BS125" s="675">
        <v>0</v>
      </c>
      <c r="BT125" s="675">
        <v>0</v>
      </c>
      <c r="BU125" s="675">
        <v>0</v>
      </c>
      <c r="BV125" s="675">
        <v>0</v>
      </c>
      <c r="BW125" s="675">
        <v>0</v>
      </c>
      <c r="BX125" s="675">
        <v>0</v>
      </c>
      <c r="BY125" s="675">
        <v>0</v>
      </c>
      <c r="BZ125" s="675">
        <v>0</v>
      </c>
      <c r="CA125" s="675">
        <v>0</v>
      </c>
      <c r="CB125" s="675">
        <v>0</v>
      </c>
      <c r="CC125" s="675">
        <v>0</v>
      </c>
      <c r="CD125" s="675">
        <v>0</v>
      </c>
      <c r="CE125" s="675">
        <v>0</v>
      </c>
      <c r="CF125" s="675">
        <v>0</v>
      </c>
      <c r="CG125" s="675">
        <v>0</v>
      </c>
      <c r="CH125" s="675">
        <v>55614</v>
      </c>
      <c r="CI125" s="675">
        <v>0</v>
      </c>
      <c r="CJ125" s="675">
        <v>4</v>
      </c>
      <c r="CK125" s="675">
        <v>0</v>
      </c>
      <c r="CL125" s="675">
        <v>0</v>
      </c>
      <c r="CM125" s="675">
        <v>0</v>
      </c>
      <c r="CN125" s="675">
        <v>0</v>
      </c>
      <c r="CO125" s="675">
        <v>1</v>
      </c>
      <c r="CP125" s="675">
        <v>0</v>
      </c>
      <c r="CQ125" s="675">
        <v>0</v>
      </c>
      <c r="CR125" s="675">
        <v>306.61400000000003</v>
      </c>
      <c r="CS125" s="675">
        <v>0</v>
      </c>
      <c r="CT125" s="675">
        <v>0</v>
      </c>
      <c r="CU125" s="675">
        <v>0</v>
      </c>
      <c r="CV125" s="675">
        <v>0</v>
      </c>
      <c r="CW125" s="675">
        <v>0</v>
      </c>
      <c r="CX125" s="675">
        <v>0</v>
      </c>
      <c r="CY125" s="675">
        <v>0</v>
      </c>
      <c r="CZ125" s="675">
        <v>0</v>
      </c>
      <c r="DA125" s="675">
        <v>0</v>
      </c>
      <c r="DB125" s="675">
        <v>1635368</v>
      </c>
      <c r="DC125" s="675">
        <v>0</v>
      </c>
      <c r="DD125" s="675">
        <v>0</v>
      </c>
      <c r="DE125" s="675">
        <v>587045</v>
      </c>
      <c r="DF125" s="675">
        <v>587045</v>
      </c>
      <c r="DG125" s="675">
        <v>95.3</v>
      </c>
      <c r="DH125" s="675">
        <v>0</v>
      </c>
      <c r="DI125" s="675">
        <v>0</v>
      </c>
      <c r="DJ125" s="675">
        <v>0</v>
      </c>
      <c r="DK125" s="675">
        <v>3288</v>
      </c>
      <c r="DL125" s="675">
        <v>0</v>
      </c>
      <c r="DM125" s="675">
        <v>323418</v>
      </c>
      <c r="DN125" s="675">
        <v>1232</v>
      </c>
      <c r="DO125" s="675">
        <v>0</v>
      </c>
      <c r="DP125" s="675">
        <v>0</v>
      </c>
      <c r="DQ125" s="675">
        <v>0</v>
      </c>
      <c r="DR125" s="675">
        <v>0</v>
      </c>
      <c r="DS125" s="675">
        <v>0</v>
      </c>
      <c r="DT125" s="675">
        <v>0</v>
      </c>
      <c r="DU125" s="675">
        <v>0</v>
      </c>
      <c r="DV125" s="675">
        <v>0</v>
      </c>
      <c r="DW125" s="675">
        <v>0</v>
      </c>
      <c r="DX125" s="675">
        <v>0</v>
      </c>
      <c r="DY125" s="675">
        <v>0</v>
      </c>
      <c r="DZ125" s="675">
        <v>0</v>
      </c>
      <c r="EA125" s="675">
        <v>0</v>
      </c>
      <c r="EB125" s="675">
        <v>0</v>
      </c>
      <c r="EC125" s="675">
        <v>8.9269999999999996</v>
      </c>
      <c r="ED125" s="675">
        <v>63239</v>
      </c>
      <c r="EE125" s="675">
        <v>0</v>
      </c>
      <c r="EF125" s="675">
        <v>0</v>
      </c>
      <c r="EG125" s="675">
        <v>0</v>
      </c>
      <c r="EH125" s="675">
        <v>261411</v>
      </c>
      <c r="EI125" s="675">
        <v>0</v>
      </c>
      <c r="EJ125" s="675">
        <v>0</v>
      </c>
      <c r="EK125" s="675">
        <v>12.753</v>
      </c>
      <c r="EL125" s="675">
        <v>0</v>
      </c>
      <c r="EM125" s="675">
        <v>0.13600000000000001</v>
      </c>
      <c r="EN125" s="675">
        <v>0.754</v>
      </c>
      <c r="EO125" s="675">
        <v>0</v>
      </c>
      <c r="EP125" s="675">
        <v>0</v>
      </c>
      <c r="EQ125" s="675">
        <v>13.643000000000001</v>
      </c>
      <c r="ER125" s="675">
        <v>0</v>
      </c>
      <c r="ES125" s="675">
        <v>42.437000000000005</v>
      </c>
      <c r="ET125" s="675">
        <v>0</v>
      </c>
      <c r="EU125" s="675">
        <v>0</v>
      </c>
      <c r="EV125" s="675">
        <v>0</v>
      </c>
      <c r="EW125" s="675">
        <v>0</v>
      </c>
      <c r="EX125" s="675">
        <v>0</v>
      </c>
      <c r="EY125" s="675">
        <v>0</v>
      </c>
      <c r="EZ125" s="675">
        <v>3098135</v>
      </c>
      <c r="FA125" s="675">
        <v>0</v>
      </c>
      <c r="FB125" s="675">
        <v>3207699</v>
      </c>
      <c r="FC125" s="675">
        <v>0</v>
      </c>
      <c r="FD125" s="675">
        <v>0</v>
      </c>
      <c r="FE125" s="675">
        <v>326417</v>
      </c>
      <c r="FF125" s="675">
        <v>67514</v>
      </c>
      <c r="FG125" s="675">
        <v>6.3574999999999993E-2</v>
      </c>
      <c r="FH125" s="675">
        <v>2.6298999999999999E-2</v>
      </c>
      <c r="FI125" s="675">
        <v>0</v>
      </c>
      <c r="FJ125" s="675">
        <v>0</v>
      </c>
      <c r="FK125" s="675">
        <v>520.93799999999999</v>
      </c>
      <c r="FL125" s="675">
        <v>3657244</v>
      </c>
      <c r="FM125" s="675">
        <v>0</v>
      </c>
      <c r="FN125" s="675">
        <v>0</v>
      </c>
      <c r="FO125" s="675">
        <v>0</v>
      </c>
      <c r="FP125" s="675">
        <v>0</v>
      </c>
      <c r="FQ125" s="675">
        <v>0</v>
      </c>
      <c r="FR125" s="675">
        <v>0</v>
      </c>
      <c r="FS125" s="675">
        <v>0</v>
      </c>
      <c r="FT125" s="675">
        <v>0</v>
      </c>
      <c r="FU125" s="675">
        <v>0</v>
      </c>
      <c r="FV125" s="675">
        <v>0</v>
      </c>
      <c r="FW125" s="675">
        <v>0</v>
      </c>
      <c r="FX125" s="675">
        <v>0</v>
      </c>
      <c r="FY125" s="675">
        <v>0</v>
      </c>
      <c r="FZ125" s="675">
        <v>0</v>
      </c>
      <c r="GA125" s="675">
        <v>0</v>
      </c>
      <c r="GB125" s="675">
        <v>225551</v>
      </c>
      <c r="GC125" s="675">
        <v>225551</v>
      </c>
      <c r="GD125" s="675">
        <v>25.169</v>
      </c>
      <c r="GE125" s="675">
        <v>0</v>
      </c>
      <c r="GF125" s="675">
        <v>0</v>
      </c>
      <c r="GG125" s="675">
        <v>0</v>
      </c>
      <c r="GH125" s="675">
        <v>0</v>
      </c>
      <c r="GI125" s="675">
        <v>0</v>
      </c>
      <c r="GJ125" s="675">
        <v>0</v>
      </c>
      <c r="GK125" s="675">
        <v>0</v>
      </c>
      <c r="GL125" s="675">
        <v>0</v>
      </c>
      <c r="GM125" s="675">
        <v>0</v>
      </c>
      <c r="GN125" s="675">
        <v>0</v>
      </c>
      <c r="GO125" s="675">
        <v>0</v>
      </c>
      <c r="GP125" s="675">
        <v>0</v>
      </c>
      <c r="GQ125" s="675">
        <v>0</v>
      </c>
      <c r="GR125" s="675">
        <v>0</v>
      </c>
      <c r="GS125" s="675">
        <v>0</v>
      </c>
      <c r="GT125" s="675">
        <v>0</v>
      </c>
      <c r="GU125" s="675">
        <v>0</v>
      </c>
      <c r="GV125" s="675">
        <v>0</v>
      </c>
      <c r="GW125" s="675">
        <v>0</v>
      </c>
      <c r="GX125" s="675">
        <v>0</v>
      </c>
      <c r="GY125" s="675">
        <v>0</v>
      </c>
      <c r="GZ125" s="675">
        <v>0</v>
      </c>
      <c r="HA125" s="675">
        <v>0</v>
      </c>
      <c r="HB125" s="675">
        <v>298386780</v>
      </c>
      <c r="HC125" s="675">
        <v>4.5690999999999996E-2</v>
      </c>
      <c r="HD125" s="675">
        <v>55614</v>
      </c>
      <c r="HE125" s="675">
        <v>0</v>
      </c>
      <c r="HF125" s="675">
        <v>292031</v>
      </c>
      <c r="HG125" s="675">
        <v>13552</v>
      </c>
      <c r="HH125" s="675">
        <v>65349</v>
      </c>
      <c r="HI125" s="675">
        <v>0</v>
      </c>
      <c r="HJ125" s="675">
        <v>2958</v>
      </c>
      <c r="HK125" s="675">
        <v>0</v>
      </c>
      <c r="HL125" s="675">
        <v>0</v>
      </c>
      <c r="HM125" s="675">
        <v>0</v>
      </c>
      <c r="HN125" s="675">
        <v>0</v>
      </c>
      <c r="HO125" s="675">
        <v>0</v>
      </c>
      <c r="HP125" s="675">
        <v>0</v>
      </c>
      <c r="HQ125" s="675">
        <v>0</v>
      </c>
      <c r="HR125" s="675">
        <v>0</v>
      </c>
      <c r="HS125" s="675">
        <v>3096868</v>
      </c>
      <c r="HT125" s="675">
        <v>67514</v>
      </c>
      <c r="HU125" s="675">
        <v>0</v>
      </c>
      <c r="HV125" s="675">
        <v>0</v>
      </c>
      <c r="HW125" s="675">
        <v>0</v>
      </c>
      <c r="HX125" s="675">
        <v>46</v>
      </c>
      <c r="HY125" s="675">
        <v>44</v>
      </c>
      <c r="HZ125" s="675">
        <v>83</v>
      </c>
      <c r="IA125" s="675">
        <v>56</v>
      </c>
      <c r="IB125" s="675">
        <v>142</v>
      </c>
      <c r="IC125" s="675">
        <v>371</v>
      </c>
      <c r="ID125" s="675">
        <v>0</v>
      </c>
      <c r="IE125" s="675">
        <v>0</v>
      </c>
      <c r="IF125" s="675">
        <v>0</v>
      </c>
      <c r="IG125" s="675">
        <v>22</v>
      </c>
      <c r="IH125" s="675">
        <v>106.087</v>
      </c>
      <c r="II125" s="675">
        <v>0</v>
      </c>
      <c r="IJ125" s="675">
        <v>92.65</v>
      </c>
      <c r="IK125" s="675">
        <v>0</v>
      </c>
      <c r="IL125" s="675">
        <v>0</v>
      </c>
      <c r="IM125" s="675">
        <v>0</v>
      </c>
      <c r="IN125" s="675">
        <v>0</v>
      </c>
      <c r="IO125" s="675">
        <v>0</v>
      </c>
      <c r="IP125" s="675">
        <v>0</v>
      </c>
      <c r="IQ125" s="675">
        <v>92.65</v>
      </c>
      <c r="IR125" s="675">
        <v>57072</v>
      </c>
      <c r="IS125" s="675">
        <v>0</v>
      </c>
      <c r="IT125" s="675">
        <v>0</v>
      </c>
      <c r="IU125" s="675">
        <v>0</v>
      </c>
      <c r="IV125" s="675">
        <v>0</v>
      </c>
      <c r="IW125" s="675">
        <v>6160</v>
      </c>
      <c r="IX125" s="675">
        <v>0</v>
      </c>
      <c r="IY125" s="675">
        <v>0</v>
      </c>
      <c r="IZ125" s="675">
        <v>0</v>
      </c>
      <c r="JA125" s="675">
        <v>0</v>
      </c>
      <c r="JB125" s="675">
        <v>0</v>
      </c>
      <c r="JC125" s="675">
        <v>0</v>
      </c>
      <c r="JD125" s="675">
        <v>0</v>
      </c>
      <c r="JE125" s="675">
        <v>0</v>
      </c>
      <c r="JF125" s="675">
        <v>0</v>
      </c>
      <c r="JG125" s="675">
        <v>0</v>
      </c>
      <c r="JH125" s="675">
        <v>0</v>
      </c>
      <c r="JI125" s="675">
        <v>0</v>
      </c>
      <c r="JJ125" s="675">
        <v>0</v>
      </c>
      <c r="JK125" s="675">
        <v>0</v>
      </c>
      <c r="JL125" s="675">
        <v>0</v>
      </c>
      <c r="JM125" s="675">
        <v>0</v>
      </c>
      <c r="JN125" s="675">
        <v>32469</v>
      </c>
      <c r="JO125" s="675">
        <v>6.3820000000000006</v>
      </c>
      <c r="JP125" s="675">
        <v>18.787000000000003</v>
      </c>
      <c r="JQ125" s="675">
        <v>0</v>
      </c>
      <c r="JR125" s="675">
        <v>50967</v>
      </c>
      <c r="JS125" s="675">
        <v>174584</v>
      </c>
      <c r="JT125" s="675">
        <v>0</v>
      </c>
      <c r="JU125" s="675">
        <v>5390</v>
      </c>
      <c r="JV125" s="675">
        <v>0</v>
      </c>
      <c r="JW125" s="675">
        <v>0</v>
      </c>
      <c r="JX125" s="675">
        <v>0</v>
      </c>
      <c r="JY125" s="675">
        <v>0</v>
      </c>
      <c r="JZ125" s="675">
        <v>0</v>
      </c>
      <c r="KA125" s="675">
        <v>0</v>
      </c>
      <c r="KB125" s="675">
        <v>0</v>
      </c>
      <c r="KC125" s="675">
        <v>0</v>
      </c>
      <c r="KD125" s="675">
        <v>5390</v>
      </c>
      <c r="KE125" s="675">
        <v>7260</v>
      </c>
      <c r="KF125" s="675">
        <v>0</v>
      </c>
      <c r="KG125" s="675">
        <v>0</v>
      </c>
      <c r="KH125" s="675">
        <v>0</v>
      </c>
      <c r="KI125" s="675">
        <v>0</v>
      </c>
    </row>
    <row r="126" spans="1:295" ht="12.5" x14ac:dyDescent="0.25">
      <c r="A126" s="675">
        <v>35795</v>
      </c>
      <c r="B126" s="675">
        <v>227825</v>
      </c>
      <c r="C126" s="675">
        <v>9</v>
      </c>
      <c r="D126" s="675">
        <v>2022</v>
      </c>
      <c r="E126" s="675">
        <v>6160</v>
      </c>
      <c r="F126" s="675">
        <v>0</v>
      </c>
      <c r="G126" s="675">
        <v>2001.9270000000001</v>
      </c>
      <c r="H126" s="675">
        <v>1912.1750000000002</v>
      </c>
      <c r="I126" s="675">
        <v>1912.1750000000002</v>
      </c>
      <c r="J126" s="675">
        <v>2001.9270000000001</v>
      </c>
      <c r="K126" s="675">
        <v>0</v>
      </c>
      <c r="L126" s="675">
        <v>6160</v>
      </c>
      <c r="M126" s="675">
        <v>0</v>
      </c>
      <c r="N126" s="675">
        <v>0</v>
      </c>
      <c r="O126" s="675">
        <v>0</v>
      </c>
      <c r="P126" s="675">
        <v>1984.567</v>
      </c>
      <c r="Q126" s="675">
        <v>0</v>
      </c>
      <c r="R126" s="675">
        <v>798645</v>
      </c>
      <c r="S126" s="675">
        <v>402.428</v>
      </c>
      <c r="T126" s="675">
        <v>0</v>
      </c>
      <c r="U126" s="675">
        <v>424700</v>
      </c>
      <c r="V126" s="675">
        <v>1103.8630000000001</v>
      </c>
      <c r="W126" s="675">
        <v>679976</v>
      </c>
      <c r="X126" s="675">
        <v>679976</v>
      </c>
      <c r="Y126" s="675">
        <v>0</v>
      </c>
      <c r="Z126" s="675">
        <v>0</v>
      </c>
      <c r="AA126" s="675">
        <v>0</v>
      </c>
      <c r="AB126" s="675">
        <v>0</v>
      </c>
      <c r="AC126" s="675">
        <v>0</v>
      </c>
      <c r="AD126" s="675" t="s">
        <v>316</v>
      </c>
      <c r="AE126" s="675">
        <v>0</v>
      </c>
      <c r="AF126" s="675">
        <v>0</v>
      </c>
      <c r="AG126" s="675">
        <v>0</v>
      </c>
      <c r="AH126" s="675">
        <v>0</v>
      </c>
      <c r="AI126" s="675">
        <v>0</v>
      </c>
      <c r="AJ126" s="675">
        <v>6160</v>
      </c>
      <c r="AK126" s="675" t="s">
        <v>671</v>
      </c>
      <c r="AL126" s="675" t="s">
        <v>120</v>
      </c>
      <c r="AM126" s="675">
        <v>0</v>
      </c>
      <c r="AN126" s="675">
        <v>0</v>
      </c>
      <c r="AO126" s="675">
        <v>0</v>
      </c>
      <c r="AP126" s="675">
        <v>0</v>
      </c>
      <c r="AQ126" s="675">
        <v>0</v>
      </c>
      <c r="AR126" s="675">
        <v>0</v>
      </c>
      <c r="AS126" s="675">
        <v>0</v>
      </c>
      <c r="AT126" s="675">
        <v>0</v>
      </c>
      <c r="AU126" s="675">
        <v>0</v>
      </c>
      <c r="AV126" s="675">
        <v>-1259195</v>
      </c>
      <c r="AW126" s="675">
        <v>22374390</v>
      </c>
      <c r="AX126" s="675">
        <v>22014253</v>
      </c>
      <c r="AY126" s="675">
        <v>14015607</v>
      </c>
      <c r="AZ126" s="675">
        <v>798645</v>
      </c>
      <c r="BA126" s="675">
        <v>0</v>
      </c>
      <c r="BB126" s="675">
        <v>0</v>
      </c>
      <c r="BC126" s="675">
        <v>0</v>
      </c>
      <c r="BD126" s="675">
        <v>0</v>
      </c>
      <c r="BE126" s="675">
        <v>0</v>
      </c>
      <c r="BF126" s="675">
        <v>20269655</v>
      </c>
      <c r="BG126" s="675">
        <v>0</v>
      </c>
      <c r="BH126" s="675">
        <v>0</v>
      </c>
      <c r="BI126" s="675">
        <v>0</v>
      </c>
      <c r="BJ126" s="675">
        <v>12</v>
      </c>
      <c r="BK126" s="675">
        <v>0</v>
      </c>
      <c r="BL126" s="675">
        <v>0</v>
      </c>
      <c r="BM126" s="675">
        <v>0</v>
      </c>
      <c r="BN126" s="675">
        <v>0</v>
      </c>
      <c r="BO126" s="675">
        <v>0</v>
      </c>
      <c r="BP126" s="675">
        <v>0</v>
      </c>
      <c r="BQ126" s="675">
        <v>476</v>
      </c>
      <c r="BR126" s="675">
        <v>0</v>
      </c>
      <c r="BS126" s="675">
        <v>0</v>
      </c>
      <c r="BT126" s="675">
        <v>0</v>
      </c>
      <c r="BU126" s="675">
        <v>0</v>
      </c>
      <c r="BV126" s="675">
        <v>0</v>
      </c>
      <c r="BW126" s="675">
        <v>0</v>
      </c>
      <c r="BX126" s="675">
        <v>0</v>
      </c>
      <c r="BY126" s="675">
        <v>0</v>
      </c>
      <c r="BZ126" s="675">
        <v>0</v>
      </c>
      <c r="CA126" s="675">
        <v>0</v>
      </c>
      <c r="CB126" s="675">
        <v>0</v>
      </c>
      <c r="CC126" s="675">
        <v>0</v>
      </c>
      <c r="CD126" s="675">
        <v>0</v>
      </c>
      <c r="CE126" s="675">
        <v>0</v>
      </c>
      <c r="CF126" s="675">
        <v>0</v>
      </c>
      <c r="CG126" s="675">
        <v>0</v>
      </c>
      <c r="CH126" s="675">
        <v>365878</v>
      </c>
      <c r="CI126" s="675">
        <v>0</v>
      </c>
      <c r="CJ126" s="675">
        <v>4</v>
      </c>
      <c r="CK126" s="675">
        <v>0</v>
      </c>
      <c r="CL126" s="675">
        <v>0</v>
      </c>
      <c r="CM126" s="675">
        <v>0</v>
      </c>
      <c r="CN126" s="675">
        <v>0</v>
      </c>
      <c r="CO126" s="675">
        <v>1</v>
      </c>
      <c r="CP126" s="675">
        <v>2E-3</v>
      </c>
      <c r="CQ126" s="675">
        <v>0</v>
      </c>
      <c r="CR126" s="675">
        <v>1930.116</v>
      </c>
      <c r="CS126" s="675">
        <v>0</v>
      </c>
      <c r="CT126" s="675">
        <v>0</v>
      </c>
      <c r="CU126" s="675">
        <v>0</v>
      </c>
      <c r="CV126" s="675">
        <v>0</v>
      </c>
      <c r="CW126" s="675">
        <v>0</v>
      </c>
      <c r="CX126" s="675">
        <v>0</v>
      </c>
      <c r="CY126" s="675">
        <v>0</v>
      </c>
      <c r="CZ126" s="675">
        <v>0</v>
      </c>
      <c r="DA126" s="675">
        <v>0</v>
      </c>
      <c r="DB126" s="675">
        <v>11778943</v>
      </c>
      <c r="DC126" s="675">
        <v>0</v>
      </c>
      <c r="DD126" s="675">
        <v>0</v>
      </c>
      <c r="DE126" s="675">
        <v>3292736</v>
      </c>
      <c r="DF126" s="675">
        <v>3292766</v>
      </c>
      <c r="DG126" s="675">
        <v>534.53800000000001</v>
      </c>
      <c r="DH126" s="675">
        <v>0</v>
      </c>
      <c r="DI126" s="675">
        <v>30</v>
      </c>
      <c r="DJ126" s="675">
        <v>0</v>
      </c>
      <c r="DK126" s="675">
        <v>0</v>
      </c>
      <c r="DL126" s="675">
        <v>0</v>
      </c>
      <c r="DM126" s="675">
        <v>1507269</v>
      </c>
      <c r="DN126" s="675">
        <v>5741</v>
      </c>
      <c r="DO126" s="675">
        <v>0</v>
      </c>
      <c r="DP126" s="675">
        <v>0</v>
      </c>
      <c r="DQ126" s="675">
        <v>0</v>
      </c>
      <c r="DR126" s="675">
        <v>0</v>
      </c>
      <c r="DS126" s="675">
        <v>0</v>
      </c>
      <c r="DT126" s="675">
        <v>0</v>
      </c>
      <c r="DU126" s="675">
        <v>0</v>
      </c>
      <c r="DV126" s="675">
        <v>0</v>
      </c>
      <c r="DW126" s="675">
        <v>0</v>
      </c>
      <c r="DX126" s="675">
        <v>0</v>
      </c>
      <c r="DY126" s="675">
        <v>0</v>
      </c>
      <c r="DZ126" s="675">
        <v>0</v>
      </c>
      <c r="EA126" s="675">
        <v>0</v>
      </c>
      <c r="EB126" s="675">
        <v>0</v>
      </c>
      <c r="EC126" s="675">
        <v>95.945000000000007</v>
      </c>
      <c r="ED126" s="675">
        <v>679671</v>
      </c>
      <c r="EE126" s="675">
        <v>0</v>
      </c>
      <c r="EF126" s="675">
        <v>0</v>
      </c>
      <c r="EG126" s="675">
        <v>0</v>
      </c>
      <c r="EH126" s="675">
        <v>833339</v>
      </c>
      <c r="EI126" s="675">
        <v>0</v>
      </c>
      <c r="EJ126" s="675">
        <v>0</v>
      </c>
      <c r="EK126" s="675">
        <v>31.999000000000002</v>
      </c>
      <c r="EL126" s="675">
        <v>0</v>
      </c>
      <c r="EM126" s="675">
        <v>7.7120000000000006</v>
      </c>
      <c r="EN126" s="675">
        <v>3.23</v>
      </c>
      <c r="EO126" s="675">
        <v>0</v>
      </c>
      <c r="EP126" s="675">
        <v>0</v>
      </c>
      <c r="EQ126" s="675">
        <v>42.941000000000003</v>
      </c>
      <c r="ER126" s="675">
        <v>0</v>
      </c>
      <c r="ES126" s="675">
        <v>135.28300000000002</v>
      </c>
      <c r="ET126" s="675">
        <v>0</v>
      </c>
      <c r="EU126" s="675">
        <v>0</v>
      </c>
      <c r="EV126" s="675">
        <v>0</v>
      </c>
      <c r="EW126" s="675">
        <v>0</v>
      </c>
      <c r="EX126" s="675">
        <v>0</v>
      </c>
      <c r="EY126" s="675">
        <v>0</v>
      </c>
      <c r="EZ126" s="675">
        <v>19525955</v>
      </c>
      <c r="FA126" s="675">
        <v>0</v>
      </c>
      <c r="FB126" s="675">
        <v>20318859</v>
      </c>
      <c r="FC126" s="675">
        <v>0</v>
      </c>
      <c r="FD126" s="675">
        <v>0</v>
      </c>
      <c r="FE126" s="675">
        <v>2061839</v>
      </c>
      <c r="FF126" s="675">
        <v>426459</v>
      </c>
      <c r="FG126" s="675">
        <v>6.3574999999999993E-2</v>
      </c>
      <c r="FH126" s="675">
        <v>2.6298999999999999E-2</v>
      </c>
      <c r="FI126" s="675">
        <v>0</v>
      </c>
      <c r="FJ126" s="675">
        <v>0</v>
      </c>
      <c r="FK126" s="675">
        <v>3290.5440000000003</v>
      </c>
      <c r="FL126" s="675">
        <v>23173035</v>
      </c>
      <c r="FM126" s="675">
        <v>0</v>
      </c>
      <c r="FN126" s="675">
        <v>0</v>
      </c>
      <c r="FO126" s="675">
        <v>47772</v>
      </c>
      <c r="FP126" s="675">
        <v>0</v>
      </c>
      <c r="FQ126" s="675">
        <v>47772</v>
      </c>
      <c r="FR126" s="675">
        <v>47772</v>
      </c>
      <c r="FS126" s="675">
        <v>0</v>
      </c>
      <c r="FT126" s="675">
        <v>0</v>
      </c>
      <c r="FU126" s="675">
        <v>0</v>
      </c>
      <c r="FV126" s="675">
        <v>0</v>
      </c>
      <c r="FW126" s="675">
        <v>0</v>
      </c>
      <c r="FX126" s="675">
        <v>0</v>
      </c>
      <c r="FY126" s="675">
        <v>0</v>
      </c>
      <c r="FZ126" s="675">
        <v>0</v>
      </c>
      <c r="GA126" s="675">
        <v>0</v>
      </c>
      <c r="GB126" s="675">
        <v>373833</v>
      </c>
      <c r="GC126" s="675">
        <v>373833</v>
      </c>
      <c r="GD126" s="675">
        <v>46.811</v>
      </c>
      <c r="GE126" s="675">
        <v>0</v>
      </c>
      <c r="GF126" s="675">
        <v>0</v>
      </c>
      <c r="GG126" s="675">
        <v>0</v>
      </c>
      <c r="GH126" s="675">
        <v>0</v>
      </c>
      <c r="GI126" s="675">
        <v>0</v>
      </c>
      <c r="GJ126" s="675">
        <v>0</v>
      </c>
      <c r="GK126" s="675">
        <v>0</v>
      </c>
      <c r="GL126" s="675">
        <v>0</v>
      </c>
      <c r="GM126" s="675">
        <v>0</v>
      </c>
      <c r="GN126" s="675">
        <v>0</v>
      </c>
      <c r="GO126" s="675">
        <v>0</v>
      </c>
      <c r="GP126" s="675">
        <v>0</v>
      </c>
      <c r="GQ126" s="675">
        <v>0</v>
      </c>
      <c r="GR126" s="675">
        <v>0</v>
      </c>
      <c r="GS126" s="675">
        <v>0</v>
      </c>
      <c r="GT126" s="675">
        <v>0</v>
      </c>
      <c r="GU126" s="675">
        <v>0</v>
      </c>
      <c r="GV126" s="675">
        <v>0</v>
      </c>
      <c r="GW126" s="675">
        <v>0</v>
      </c>
      <c r="GX126" s="675">
        <v>0</v>
      </c>
      <c r="GY126" s="675">
        <v>0</v>
      </c>
      <c r="GZ126" s="675">
        <v>0</v>
      </c>
      <c r="HA126" s="675">
        <v>0</v>
      </c>
      <c r="HB126" s="675">
        <v>298386780</v>
      </c>
      <c r="HC126" s="675">
        <v>4.5690999999999996E-2</v>
      </c>
      <c r="HD126" s="675">
        <v>365878</v>
      </c>
      <c r="HE126" s="675">
        <v>0</v>
      </c>
      <c r="HF126" s="675">
        <v>2103393</v>
      </c>
      <c r="HG126" s="675">
        <v>0</v>
      </c>
      <c r="HH126" s="675">
        <v>458275</v>
      </c>
      <c r="HI126" s="675">
        <v>0</v>
      </c>
      <c r="HJ126" s="675">
        <v>19459</v>
      </c>
      <c r="HK126" s="675">
        <v>7173</v>
      </c>
      <c r="HL126" s="675">
        <v>0</v>
      </c>
      <c r="HM126" s="675">
        <v>50000</v>
      </c>
      <c r="HN126" s="675">
        <v>0</v>
      </c>
      <c r="HO126" s="675">
        <v>0</v>
      </c>
      <c r="HP126" s="675">
        <v>0</v>
      </c>
      <c r="HQ126" s="675">
        <v>0</v>
      </c>
      <c r="HR126" s="675">
        <v>0</v>
      </c>
      <c r="HS126" s="675">
        <v>19520214</v>
      </c>
      <c r="HT126" s="675">
        <v>426459</v>
      </c>
      <c r="HU126" s="675">
        <v>0</v>
      </c>
      <c r="HV126" s="675">
        <v>0</v>
      </c>
      <c r="HW126" s="675">
        <v>0</v>
      </c>
      <c r="HX126" s="675">
        <v>221</v>
      </c>
      <c r="HY126" s="675">
        <v>315</v>
      </c>
      <c r="HZ126" s="675">
        <v>363</v>
      </c>
      <c r="IA126" s="675">
        <v>574</v>
      </c>
      <c r="IB126" s="675">
        <v>613</v>
      </c>
      <c r="IC126" s="675">
        <v>2086</v>
      </c>
      <c r="ID126" s="675">
        <v>0</v>
      </c>
      <c r="IE126" s="675">
        <v>0</v>
      </c>
      <c r="IF126" s="675">
        <v>0</v>
      </c>
      <c r="IG126" s="675">
        <v>0</v>
      </c>
      <c r="IH126" s="675">
        <v>743.95699999999999</v>
      </c>
      <c r="II126" s="675">
        <v>0</v>
      </c>
      <c r="IJ126" s="675">
        <v>1103.8630000000001</v>
      </c>
      <c r="IK126" s="675">
        <v>0</v>
      </c>
      <c r="IL126" s="675">
        <v>10</v>
      </c>
      <c r="IM126" s="675">
        <v>0</v>
      </c>
      <c r="IN126" s="675">
        <v>0</v>
      </c>
      <c r="IO126" s="675">
        <v>10</v>
      </c>
      <c r="IP126" s="675">
        <v>0</v>
      </c>
      <c r="IQ126" s="675">
        <v>1103.8630000000001</v>
      </c>
      <c r="IR126" s="675">
        <v>679976</v>
      </c>
      <c r="IS126" s="675">
        <v>0</v>
      </c>
      <c r="IT126" s="675">
        <v>50000</v>
      </c>
      <c r="IU126" s="675">
        <v>0</v>
      </c>
      <c r="IV126" s="675">
        <v>0</v>
      </c>
      <c r="IW126" s="675">
        <v>6160</v>
      </c>
      <c r="IX126" s="675">
        <v>0</v>
      </c>
      <c r="IY126" s="675">
        <v>0</v>
      </c>
      <c r="IZ126" s="675">
        <v>0</v>
      </c>
      <c r="JA126" s="675">
        <v>0</v>
      </c>
      <c r="JB126" s="675">
        <v>0</v>
      </c>
      <c r="JC126" s="675">
        <v>0</v>
      </c>
      <c r="JD126" s="675">
        <v>0</v>
      </c>
      <c r="JE126" s="675">
        <v>0</v>
      </c>
      <c r="JF126" s="675">
        <v>0</v>
      </c>
      <c r="JG126" s="675">
        <v>0</v>
      </c>
      <c r="JH126" s="675">
        <v>0</v>
      </c>
      <c r="JI126" s="675">
        <v>0</v>
      </c>
      <c r="JJ126" s="675">
        <v>0</v>
      </c>
      <c r="JK126" s="675">
        <v>0</v>
      </c>
      <c r="JL126" s="675">
        <v>0</v>
      </c>
      <c r="JM126" s="675">
        <v>0</v>
      </c>
      <c r="JN126" s="675">
        <v>32469</v>
      </c>
      <c r="JO126" s="675">
        <v>46.811</v>
      </c>
      <c r="JP126" s="675">
        <v>0</v>
      </c>
      <c r="JQ126" s="675">
        <v>0</v>
      </c>
      <c r="JR126" s="675">
        <v>373833</v>
      </c>
      <c r="JS126" s="675">
        <v>0</v>
      </c>
      <c r="JT126" s="675">
        <v>0</v>
      </c>
      <c r="JU126" s="675">
        <v>0</v>
      </c>
      <c r="JV126" s="675">
        <v>0</v>
      </c>
      <c r="JW126" s="675">
        <v>0</v>
      </c>
      <c r="JX126" s="675">
        <v>0</v>
      </c>
      <c r="JY126" s="675">
        <v>0</v>
      </c>
      <c r="JZ126" s="675">
        <v>0</v>
      </c>
      <c r="KA126" s="675">
        <v>0</v>
      </c>
      <c r="KB126" s="675">
        <v>0</v>
      </c>
      <c r="KC126" s="675">
        <v>0</v>
      </c>
      <c r="KD126" s="675">
        <v>0</v>
      </c>
      <c r="KE126" s="675">
        <v>7260</v>
      </c>
      <c r="KF126" s="675">
        <v>0</v>
      </c>
      <c r="KG126" s="675">
        <v>0</v>
      </c>
      <c r="KH126" s="675">
        <v>0</v>
      </c>
      <c r="KI126" s="675">
        <v>0</v>
      </c>
    </row>
    <row r="127" spans="1:295" ht="12.5" x14ac:dyDescent="0.25">
      <c r="A127" s="675">
        <v>35795</v>
      </c>
      <c r="B127" s="675">
        <v>227826</v>
      </c>
      <c r="C127" s="675">
        <v>9</v>
      </c>
      <c r="D127" s="675">
        <v>2022</v>
      </c>
      <c r="E127" s="675">
        <v>6160</v>
      </c>
      <c r="F127" s="675">
        <v>0</v>
      </c>
      <c r="G127" s="675">
        <v>367.40700000000004</v>
      </c>
      <c r="H127" s="675">
        <v>353.11700000000002</v>
      </c>
      <c r="I127" s="675">
        <v>353.11700000000002</v>
      </c>
      <c r="J127" s="675">
        <v>367.40700000000004</v>
      </c>
      <c r="K127" s="675">
        <v>0</v>
      </c>
      <c r="L127" s="675">
        <v>6160</v>
      </c>
      <c r="M127" s="675">
        <v>0</v>
      </c>
      <c r="N127" s="675">
        <v>0</v>
      </c>
      <c r="O127" s="675">
        <v>0</v>
      </c>
      <c r="P127" s="675">
        <v>363.29200000000003</v>
      </c>
      <c r="Q127" s="675">
        <v>0</v>
      </c>
      <c r="R127" s="675">
        <v>146199</v>
      </c>
      <c r="S127" s="675">
        <v>402.428</v>
      </c>
      <c r="T127" s="675">
        <v>0</v>
      </c>
      <c r="U127" s="675">
        <v>77746</v>
      </c>
      <c r="V127" s="675">
        <v>82.603000000000009</v>
      </c>
      <c r="W127" s="675">
        <v>50883</v>
      </c>
      <c r="X127" s="675">
        <v>50883</v>
      </c>
      <c r="Y127" s="675">
        <v>0</v>
      </c>
      <c r="Z127" s="675">
        <v>0</v>
      </c>
      <c r="AA127" s="675">
        <v>0</v>
      </c>
      <c r="AB127" s="675">
        <v>0</v>
      </c>
      <c r="AC127" s="675">
        <v>0</v>
      </c>
      <c r="AD127" s="675" t="s">
        <v>316</v>
      </c>
      <c r="AE127" s="675">
        <v>0</v>
      </c>
      <c r="AF127" s="675">
        <v>0</v>
      </c>
      <c r="AG127" s="675">
        <v>0</v>
      </c>
      <c r="AH127" s="675">
        <v>0</v>
      </c>
      <c r="AI127" s="675">
        <v>0</v>
      </c>
      <c r="AJ127" s="675">
        <v>6160</v>
      </c>
      <c r="AK127" s="675" t="s">
        <v>671</v>
      </c>
      <c r="AL127" s="675" t="s">
        <v>367</v>
      </c>
      <c r="AM127" s="675">
        <v>0</v>
      </c>
      <c r="AN127" s="675">
        <v>0</v>
      </c>
      <c r="AO127" s="675">
        <v>0</v>
      </c>
      <c r="AP127" s="675">
        <v>0</v>
      </c>
      <c r="AQ127" s="675">
        <v>0</v>
      </c>
      <c r="AR127" s="675">
        <v>0</v>
      </c>
      <c r="AS127" s="675">
        <v>0</v>
      </c>
      <c r="AT127" s="675">
        <v>0</v>
      </c>
      <c r="AU127" s="675">
        <v>0</v>
      </c>
      <c r="AV127" s="675">
        <v>0</v>
      </c>
      <c r="AW127" s="675">
        <v>3648040</v>
      </c>
      <c r="AX127" s="675">
        <v>3581984</v>
      </c>
      <c r="AY127" s="675">
        <v>2451290</v>
      </c>
      <c r="AZ127" s="675">
        <v>146199</v>
      </c>
      <c r="BA127" s="675">
        <v>0</v>
      </c>
      <c r="BB127" s="675">
        <v>0</v>
      </c>
      <c r="BC127" s="675">
        <v>0</v>
      </c>
      <c r="BD127" s="675">
        <v>0</v>
      </c>
      <c r="BE127" s="675">
        <v>0</v>
      </c>
      <c r="BF127" s="675">
        <v>3320553</v>
      </c>
      <c r="BG127" s="675">
        <v>0</v>
      </c>
      <c r="BH127" s="675">
        <v>0</v>
      </c>
      <c r="BI127" s="675">
        <v>0</v>
      </c>
      <c r="BJ127" s="675">
        <v>12</v>
      </c>
      <c r="BK127" s="675">
        <v>0</v>
      </c>
      <c r="BL127" s="675">
        <v>0</v>
      </c>
      <c r="BM127" s="675">
        <v>0</v>
      </c>
      <c r="BN127" s="675">
        <v>0</v>
      </c>
      <c r="BO127" s="675">
        <v>0</v>
      </c>
      <c r="BP127" s="675">
        <v>0</v>
      </c>
      <c r="BQ127" s="675">
        <v>716</v>
      </c>
      <c r="BR127" s="675">
        <v>0</v>
      </c>
      <c r="BS127" s="675">
        <v>0</v>
      </c>
      <c r="BT127" s="675">
        <v>0</v>
      </c>
      <c r="BU127" s="675">
        <v>0</v>
      </c>
      <c r="BV127" s="675">
        <v>0</v>
      </c>
      <c r="BW127" s="675">
        <v>0</v>
      </c>
      <c r="BX127" s="675">
        <v>0</v>
      </c>
      <c r="BY127" s="675">
        <v>0</v>
      </c>
      <c r="BZ127" s="675">
        <v>0</v>
      </c>
      <c r="CA127" s="675">
        <v>0</v>
      </c>
      <c r="CB127" s="675">
        <v>0</v>
      </c>
      <c r="CC127" s="675">
        <v>0</v>
      </c>
      <c r="CD127" s="675">
        <v>0</v>
      </c>
      <c r="CE127" s="675">
        <v>0</v>
      </c>
      <c r="CF127" s="675">
        <v>0</v>
      </c>
      <c r="CG127" s="675">
        <v>0</v>
      </c>
      <c r="CH127" s="675">
        <v>67148</v>
      </c>
      <c r="CI127" s="675">
        <v>0</v>
      </c>
      <c r="CJ127" s="675">
        <v>4</v>
      </c>
      <c r="CK127" s="675">
        <v>0</v>
      </c>
      <c r="CL127" s="675">
        <v>0</v>
      </c>
      <c r="CM127" s="675">
        <v>0</v>
      </c>
      <c r="CN127" s="675">
        <v>0</v>
      </c>
      <c r="CO127" s="675">
        <v>1</v>
      </c>
      <c r="CP127" s="675">
        <v>0</v>
      </c>
      <c r="CQ127" s="675">
        <v>0</v>
      </c>
      <c r="CR127" s="675">
        <v>405.40700000000004</v>
      </c>
      <c r="CS127" s="675">
        <v>0</v>
      </c>
      <c r="CT127" s="675">
        <v>0</v>
      </c>
      <c r="CU127" s="675">
        <v>0</v>
      </c>
      <c r="CV127" s="675">
        <v>0</v>
      </c>
      <c r="CW127" s="675">
        <v>0</v>
      </c>
      <c r="CX127" s="675">
        <v>0</v>
      </c>
      <c r="CY127" s="675">
        <v>0</v>
      </c>
      <c r="CZ127" s="675">
        <v>0</v>
      </c>
      <c r="DA127" s="675">
        <v>0</v>
      </c>
      <c r="DB127" s="675">
        <v>2175191</v>
      </c>
      <c r="DC127" s="675">
        <v>0</v>
      </c>
      <c r="DD127" s="675">
        <v>0</v>
      </c>
      <c r="DE127" s="675">
        <v>317008</v>
      </c>
      <c r="DF127" s="675">
        <v>317008</v>
      </c>
      <c r="DG127" s="675">
        <v>51.463000000000001</v>
      </c>
      <c r="DH127" s="675">
        <v>0</v>
      </c>
      <c r="DI127" s="675">
        <v>0</v>
      </c>
      <c r="DJ127" s="675">
        <v>0</v>
      </c>
      <c r="DK127" s="675">
        <v>3072</v>
      </c>
      <c r="DL127" s="675">
        <v>0</v>
      </c>
      <c r="DM127" s="675">
        <v>286594</v>
      </c>
      <c r="DN127" s="675">
        <v>1092</v>
      </c>
      <c r="DO127" s="675">
        <v>0</v>
      </c>
      <c r="DP127" s="675">
        <v>0</v>
      </c>
      <c r="DQ127" s="675">
        <v>0</v>
      </c>
      <c r="DR127" s="675">
        <v>0</v>
      </c>
      <c r="DS127" s="675">
        <v>0</v>
      </c>
      <c r="DT127" s="675">
        <v>0</v>
      </c>
      <c r="DU127" s="675">
        <v>0</v>
      </c>
      <c r="DV127" s="675">
        <v>0</v>
      </c>
      <c r="DW127" s="675">
        <v>0</v>
      </c>
      <c r="DX127" s="675">
        <v>0</v>
      </c>
      <c r="DY127" s="675">
        <v>0</v>
      </c>
      <c r="DZ127" s="675">
        <v>0</v>
      </c>
      <c r="EA127" s="675">
        <v>0</v>
      </c>
      <c r="EB127" s="675">
        <v>0</v>
      </c>
      <c r="EC127" s="675">
        <v>1.67</v>
      </c>
      <c r="ED127" s="675">
        <v>11830</v>
      </c>
      <c r="EE127" s="675">
        <v>0</v>
      </c>
      <c r="EF127" s="675">
        <v>0</v>
      </c>
      <c r="EG127" s="675">
        <v>0</v>
      </c>
      <c r="EH127" s="675">
        <v>275856</v>
      </c>
      <c r="EI127" s="675">
        <v>0</v>
      </c>
      <c r="EJ127" s="675">
        <v>0</v>
      </c>
      <c r="EK127" s="675">
        <v>10.706000000000001</v>
      </c>
      <c r="EL127" s="675">
        <v>0.35000000000000003</v>
      </c>
      <c r="EM127" s="675">
        <v>2.6280000000000001</v>
      </c>
      <c r="EN127" s="675">
        <v>0.95600000000000007</v>
      </c>
      <c r="EO127" s="675">
        <v>0</v>
      </c>
      <c r="EP127" s="675">
        <v>0</v>
      </c>
      <c r="EQ127" s="675">
        <v>14.290000000000001</v>
      </c>
      <c r="ER127" s="675">
        <v>0</v>
      </c>
      <c r="ES127" s="675">
        <v>44.782000000000004</v>
      </c>
      <c r="ET127" s="675">
        <v>0</v>
      </c>
      <c r="EU127" s="675">
        <v>0</v>
      </c>
      <c r="EV127" s="675">
        <v>0</v>
      </c>
      <c r="EW127" s="675">
        <v>0</v>
      </c>
      <c r="EX127" s="675">
        <v>0</v>
      </c>
      <c r="EY127" s="675">
        <v>0</v>
      </c>
      <c r="EZ127" s="675">
        <v>3174354</v>
      </c>
      <c r="FA127" s="675">
        <v>0</v>
      </c>
      <c r="FB127" s="675">
        <v>3319461</v>
      </c>
      <c r="FC127" s="675">
        <v>0</v>
      </c>
      <c r="FD127" s="675">
        <v>0</v>
      </c>
      <c r="FE127" s="675">
        <v>337768</v>
      </c>
      <c r="FF127" s="675">
        <v>69862</v>
      </c>
      <c r="FG127" s="675">
        <v>6.3574999999999993E-2</v>
      </c>
      <c r="FH127" s="675">
        <v>2.6298999999999999E-2</v>
      </c>
      <c r="FI127" s="675">
        <v>0</v>
      </c>
      <c r="FJ127" s="675">
        <v>0</v>
      </c>
      <c r="FK127" s="675">
        <v>539.053</v>
      </c>
      <c r="FL127" s="675">
        <v>3794239</v>
      </c>
      <c r="FM127" s="675">
        <v>0</v>
      </c>
      <c r="FN127" s="675">
        <v>0</v>
      </c>
      <c r="FO127" s="675">
        <v>0</v>
      </c>
      <c r="FP127" s="675">
        <v>0</v>
      </c>
      <c r="FQ127" s="675">
        <v>0</v>
      </c>
      <c r="FR127" s="675">
        <v>0</v>
      </c>
      <c r="FS127" s="675">
        <v>0</v>
      </c>
      <c r="FT127" s="675">
        <v>0</v>
      </c>
      <c r="FU127" s="675">
        <v>0</v>
      </c>
      <c r="FV127" s="675">
        <v>0</v>
      </c>
      <c r="FW127" s="675">
        <v>0</v>
      </c>
      <c r="FX127" s="675">
        <v>0</v>
      </c>
      <c r="FY127" s="675">
        <v>0</v>
      </c>
      <c r="FZ127" s="675">
        <v>0</v>
      </c>
      <c r="GA127" s="675">
        <v>0</v>
      </c>
      <c r="GB127" s="675">
        <v>0</v>
      </c>
      <c r="GC127" s="675">
        <v>0</v>
      </c>
      <c r="GD127" s="675">
        <v>0</v>
      </c>
      <c r="GE127" s="675">
        <v>0</v>
      </c>
      <c r="GF127" s="675">
        <v>0</v>
      </c>
      <c r="GG127" s="675">
        <v>0</v>
      </c>
      <c r="GH127" s="675">
        <v>0</v>
      </c>
      <c r="GI127" s="675">
        <v>0</v>
      </c>
      <c r="GJ127" s="675">
        <v>0</v>
      </c>
      <c r="GK127" s="675">
        <v>0</v>
      </c>
      <c r="GL127" s="675">
        <v>0</v>
      </c>
      <c r="GM127" s="675">
        <v>0</v>
      </c>
      <c r="GN127" s="675">
        <v>0</v>
      </c>
      <c r="GO127" s="675">
        <v>0</v>
      </c>
      <c r="GP127" s="675">
        <v>0</v>
      </c>
      <c r="GQ127" s="675">
        <v>0</v>
      </c>
      <c r="GR127" s="675">
        <v>0</v>
      </c>
      <c r="GS127" s="675">
        <v>0</v>
      </c>
      <c r="GT127" s="675">
        <v>0</v>
      </c>
      <c r="GU127" s="675">
        <v>0</v>
      </c>
      <c r="GV127" s="675">
        <v>0</v>
      </c>
      <c r="GW127" s="675">
        <v>0</v>
      </c>
      <c r="GX127" s="675">
        <v>0</v>
      </c>
      <c r="GY127" s="675">
        <v>0</v>
      </c>
      <c r="GZ127" s="675">
        <v>0</v>
      </c>
      <c r="HA127" s="675">
        <v>0</v>
      </c>
      <c r="HB127" s="675">
        <v>298386780</v>
      </c>
      <c r="HC127" s="675">
        <v>4.5690999999999996E-2</v>
      </c>
      <c r="HD127" s="675">
        <v>67148</v>
      </c>
      <c r="HE127" s="675">
        <v>0</v>
      </c>
      <c r="HF127" s="675">
        <v>388429</v>
      </c>
      <c r="HG127" s="675">
        <v>3208</v>
      </c>
      <c r="HH127" s="675">
        <v>94577</v>
      </c>
      <c r="HI127" s="675">
        <v>0</v>
      </c>
      <c r="HJ127" s="675">
        <v>3571</v>
      </c>
      <c r="HK127" s="675">
        <v>0</v>
      </c>
      <c r="HL127" s="675">
        <v>0</v>
      </c>
      <c r="HM127" s="675">
        <v>0</v>
      </c>
      <c r="HN127" s="675">
        <v>0</v>
      </c>
      <c r="HO127" s="675">
        <v>0</v>
      </c>
      <c r="HP127" s="675">
        <v>0</v>
      </c>
      <c r="HQ127" s="675">
        <v>0</v>
      </c>
      <c r="HR127" s="675">
        <v>0</v>
      </c>
      <c r="HS127" s="675">
        <v>3173262</v>
      </c>
      <c r="HT127" s="675">
        <v>69862</v>
      </c>
      <c r="HU127" s="675">
        <v>0</v>
      </c>
      <c r="HV127" s="675">
        <v>0</v>
      </c>
      <c r="HW127" s="675">
        <v>0</v>
      </c>
      <c r="HX127" s="675">
        <v>41</v>
      </c>
      <c r="HY127" s="675">
        <v>58</v>
      </c>
      <c r="HZ127" s="675">
        <v>32</v>
      </c>
      <c r="IA127" s="675">
        <v>57</v>
      </c>
      <c r="IB127" s="675">
        <v>20</v>
      </c>
      <c r="IC127" s="675">
        <v>208</v>
      </c>
      <c r="ID127" s="675">
        <v>0</v>
      </c>
      <c r="IE127" s="675">
        <v>0</v>
      </c>
      <c r="IF127" s="675">
        <v>0</v>
      </c>
      <c r="IG127" s="675">
        <v>5.2080000000000002</v>
      </c>
      <c r="IH127" s="675">
        <v>153.535</v>
      </c>
      <c r="II127" s="675">
        <v>0</v>
      </c>
      <c r="IJ127" s="675">
        <v>82.603000000000009</v>
      </c>
      <c r="IK127" s="675">
        <v>0</v>
      </c>
      <c r="IL127" s="675">
        <v>0</v>
      </c>
      <c r="IM127" s="675">
        <v>0</v>
      </c>
      <c r="IN127" s="675">
        <v>0</v>
      </c>
      <c r="IO127" s="675">
        <v>0</v>
      </c>
      <c r="IP127" s="675">
        <v>0</v>
      </c>
      <c r="IQ127" s="675">
        <v>82.603000000000009</v>
      </c>
      <c r="IR127" s="675">
        <v>50883</v>
      </c>
      <c r="IS127" s="675">
        <v>0</v>
      </c>
      <c r="IT127" s="675">
        <v>0</v>
      </c>
      <c r="IU127" s="675">
        <v>0</v>
      </c>
      <c r="IV127" s="675">
        <v>0</v>
      </c>
      <c r="IW127" s="675">
        <v>6160</v>
      </c>
      <c r="IX127" s="675">
        <v>0</v>
      </c>
      <c r="IY127" s="675">
        <v>0</v>
      </c>
      <c r="IZ127" s="675">
        <v>0</v>
      </c>
      <c r="JA127" s="675">
        <v>0</v>
      </c>
      <c r="JB127" s="675">
        <v>0</v>
      </c>
      <c r="JC127" s="675">
        <v>0</v>
      </c>
      <c r="JD127" s="675">
        <v>0</v>
      </c>
      <c r="JE127" s="675">
        <v>0</v>
      </c>
      <c r="JF127" s="675">
        <v>0</v>
      </c>
      <c r="JG127" s="675">
        <v>0</v>
      </c>
      <c r="JH127" s="675">
        <v>0</v>
      </c>
      <c r="JI127" s="675">
        <v>0</v>
      </c>
      <c r="JJ127" s="675">
        <v>0</v>
      </c>
      <c r="JK127" s="675">
        <v>0</v>
      </c>
      <c r="JL127" s="675">
        <v>0</v>
      </c>
      <c r="JM127" s="675">
        <v>0</v>
      </c>
      <c r="JN127" s="675">
        <v>32469</v>
      </c>
      <c r="JO127" s="675">
        <v>0</v>
      </c>
      <c r="JP127" s="675">
        <v>0</v>
      </c>
      <c r="JQ127" s="675">
        <v>0</v>
      </c>
      <c r="JR127" s="675">
        <v>0</v>
      </c>
      <c r="JS127" s="675">
        <v>0</v>
      </c>
      <c r="JT127" s="675">
        <v>0</v>
      </c>
      <c r="JU127" s="675">
        <v>0</v>
      </c>
      <c r="JV127" s="675">
        <v>0</v>
      </c>
      <c r="JW127" s="675">
        <v>0</v>
      </c>
      <c r="JX127" s="675">
        <v>0</v>
      </c>
      <c r="JY127" s="675">
        <v>0</v>
      </c>
      <c r="JZ127" s="675">
        <v>0</v>
      </c>
      <c r="KA127" s="675">
        <v>0</v>
      </c>
      <c r="KB127" s="675">
        <v>0</v>
      </c>
      <c r="KC127" s="675">
        <v>0</v>
      </c>
      <c r="KD127" s="675">
        <v>0</v>
      </c>
      <c r="KE127" s="675">
        <v>7260</v>
      </c>
      <c r="KF127" s="675">
        <v>0</v>
      </c>
      <c r="KG127" s="675">
        <v>0</v>
      </c>
      <c r="KH127" s="675">
        <v>0</v>
      </c>
      <c r="KI127" s="675">
        <v>0</v>
      </c>
    </row>
    <row r="128" spans="1:295" ht="12.5" x14ac:dyDescent="0.25">
      <c r="A128" s="675">
        <v>35795</v>
      </c>
      <c r="B128" s="675">
        <v>15827</v>
      </c>
      <c r="C128" s="675">
        <v>9</v>
      </c>
      <c r="D128" s="675">
        <v>2022</v>
      </c>
      <c r="E128" s="675">
        <v>6160</v>
      </c>
      <c r="F128" s="675">
        <v>0</v>
      </c>
      <c r="G128" s="675">
        <v>3481.2650000000003</v>
      </c>
      <c r="H128" s="675">
        <v>3162.0420000000004</v>
      </c>
      <c r="I128" s="675">
        <v>3162.0420000000004</v>
      </c>
      <c r="J128" s="675">
        <v>3481.2650000000003</v>
      </c>
      <c r="K128" s="675">
        <v>0</v>
      </c>
      <c r="L128" s="675">
        <v>6160</v>
      </c>
      <c r="M128" s="675">
        <v>0</v>
      </c>
      <c r="N128" s="675">
        <v>0</v>
      </c>
      <c r="O128" s="675">
        <v>0</v>
      </c>
      <c r="P128" s="675">
        <v>3001.547</v>
      </c>
      <c r="Q128" s="675">
        <v>0</v>
      </c>
      <c r="R128" s="675">
        <v>1207907</v>
      </c>
      <c r="S128" s="675">
        <v>402.428</v>
      </c>
      <c r="T128" s="675">
        <v>0</v>
      </c>
      <c r="U128" s="675">
        <v>642336</v>
      </c>
      <c r="V128" s="675">
        <v>671.11800000000005</v>
      </c>
      <c r="W128" s="675">
        <v>413407</v>
      </c>
      <c r="X128" s="675">
        <v>413407</v>
      </c>
      <c r="Y128" s="675">
        <v>0</v>
      </c>
      <c r="Z128" s="675">
        <v>0</v>
      </c>
      <c r="AA128" s="675">
        <v>0</v>
      </c>
      <c r="AB128" s="675">
        <v>0</v>
      </c>
      <c r="AC128" s="675">
        <v>0</v>
      </c>
      <c r="AD128" s="675" t="s">
        <v>316</v>
      </c>
      <c r="AE128" s="675">
        <v>0</v>
      </c>
      <c r="AF128" s="675">
        <v>0</v>
      </c>
      <c r="AG128" s="675">
        <v>0</v>
      </c>
      <c r="AH128" s="675">
        <v>0</v>
      </c>
      <c r="AI128" s="675">
        <v>0</v>
      </c>
      <c r="AJ128" s="675">
        <v>6160</v>
      </c>
      <c r="AK128" s="675" t="s">
        <v>671</v>
      </c>
      <c r="AL128" s="675" t="s">
        <v>15</v>
      </c>
      <c r="AM128" s="675">
        <v>0</v>
      </c>
      <c r="AN128" s="675">
        <v>0</v>
      </c>
      <c r="AO128" s="675">
        <v>0</v>
      </c>
      <c r="AP128" s="675">
        <v>0</v>
      </c>
      <c r="AQ128" s="675">
        <v>0</v>
      </c>
      <c r="AR128" s="675">
        <v>0</v>
      </c>
      <c r="AS128" s="675">
        <v>0</v>
      </c>
      <c r="AT128" s="675">
        <v>0</v>
      </c>
      <c r="AU128" s="675">
        <v>0</v>
      </c>
      <c r="AV128" s="675">
        <v>-550561</v>
      </c>
      <c r="AW128" s="675">
        <v>37591176</v>
      </c>
      <c r="AX128" s="675">
        <v>36969413</v>
      </c>
      <c r="AY128" s="675">
        <v>24561973</v>
      </c>
      <c r="AZ128" s="675">
        <v>1207907</v>
      </c>
      <c r="BA128" s="675">
        <v>0</v>
      </c>
      <c r="BB128" s="675">
        <v>75056</v>
      </c>
      <c r="BC128" s="675">
        <v>74572</v>
      </c>
      <c r="BD128" s="675">
        <v>174.06300000000002</v>
      </c>
      <c r="BE128" s="675">
        <v>484</v>
      </c>
      <c r="BF128" s="675">
        <v>33629919</v>
      </c>
      <c r="BG128" s="675">
        <v>0</v>
      </c>
      <c r="BH128" s="675">
        <v>0</v>
      </c>
      <c r="BI128" s="675">
        <v>0</v>
      </c>
      <c r="BJ128" s="675">
        <v>12</v>
      </c>
      <c r="BK128" s="675">
        <v>0</v>
      </c>
      <c r="BL128" s="675">
        <v>0</v>
      </c>
      <c r="BM128" s="675">
        <v>0</v>
      </c>
      <c r="BN128" s="675">
        <v>0</v>
      </c>
      <c r="BO128" s="675">
        <v>0</v>
      </c>
      <c r="BP128" s="675">
        <v>0</v>
      </c>
      <c r="BQ128" s="675">
        <v>283</v>
      </c>
      <c r="BR128" s="675">
        <v>0</v>
      </c>
      <c r="BS128" s="675">
        <v>0</v>
      </c>
      <c r="BT128" s="675">
        <v>0</v>
      </c>
      <c r="BU128" s="675">
        <v>0</v>
      </c>
      <c r="BV128" s="675">
        <v>0</v>
      </c>
      <c r="BW128" s="675">
        <v>0</v>
      </c>
      <c r="BX128" s="675">
        <v>0</v>
      </c>
      <c r="BY128" s="675">
        <v>0</v>
      </c>
      <c r="BZ128" s="675">
        <v>0</v>
      </c>
      <c r="CA128" s="675">
        <v>484</v>
      </c>
      <c r="CB128" s="675">
        <v>412742</v>
      </c>
      <c r="CC128" s="675">
        <v>0</v>
      </c>
      <c r="CD128" s="675">
        <v>0</v>
      </c>
      <c r="CE128" s="675">
        <v>0</v>
      </c>
      <c r="CF128" s="675">
        <v>0</v>
      </c>
      <c r="CG128" s="675">
        <v>0</v>
      </c>
      <c r="CH128" s="675">
        <v>636245</v>
      </c>
      <c r="CI128" s="675">
        <v>0</v>
      </c>
      <c r="CJ128" s="675">
        <v>4</v>
      </c>
      <c r="CK128" s="675">
        <v>0</v>
      </c>
      <c r="CL128" s="675">
        <v>0</v>
      </c>
      <c r="CM128" s="675">
        <v>0</v>
      </c>
      <c r="CN128" s="675">
        <v>0</v>
      </c>
      <c r="CO128" s="675">
        <v>1</v>
      </c>
      <c r="CP128" s="675">
        <v>0</v>
      </c>
      <c r="CQ128" s="675">
        <v>0</v>
      </c>
      <c r="CR128" s="675">
        <v>2999.355</v>
      </c>
      <c r="CS128" s="675">
        <v>0</v>
      </c>
      <c r="CT128" s="675">
        <v>0</v>
      </c>
      <c r="CU128" s="675">
        <v>0</v>
      </c>
      <c r="CV128" s="675">
        <v>0</v>
      </c>
      <c r="CW128" s="675">
        <v>0</v>
      </c>
      <c r="CX128" s="675">
        <v>0</v>
      </c>
      <c r="CY128" s="675">
        <v>0</v>
      </c>
      <c r="CZ128" s="675">
        <v>0</v>
      </c>
      <c r="DA128" s="675">
        <v>0</v>
      </c>
      <c r="DB128" s="675">
        <v>19478088</v>
      </c>
      <c r="DC128" s="675">
        <v>0</v>
      </c>
      <c r="DD128" s="675">
        <v>0</v>
      </c>
      <c r="DE128" s="675">
        <v>3645240</v>
      </c>
      <c r="DF128" s="675">
        <v>3645240</v>
      </c>
      <c r="DG128" s="675">
        <v>591.76300000000003</v>
      </c>
      <c r="DH128" s="675">
        <v>0</v>
      </c>
      <c r="DI128" s="675">
        <v>0</v>
      </c>
      <c r="DJ128" s="675">
        <v>0</v>
      </c>
      <c r="DK128" s="675">
        <v>0</v>
      </c>
      <c r="DL128" s="675">
        <v>0</v>
      </c>
      <c r="DM128" s="675">
        <v>3674906</v>
      </c>
      <c r="DN128" s="675">
        <v>13998</v>
      </c>
      <c r="DO128" s="675">
        <v>0</v>
      </c>
      <c r="DP128" s="675">
        <v>0</v>
      </c>
      <c r="DQ128" s="675">
        <v>0</v>
      </c>
      <c r="DR128" s="675">
        <v>0</v>
      </c>
      <c r="DS128" s="675">
        <v>0</v>
      </c>
      <c r="DT128" s="675">
        <v>0</v>
      </c>
      <c r="DU128" s="675">
        <v>0</v>
      </c>
      <c r="DV128" s="675">
        <v>0</v>
      </c>
      <c r="DW128" s="675">
        <v>0</v>
      </c>
      <c r="DX128" s="675">
        <v>0</v>
      </c>
      <c r="DY128" s="675">
        <v>0</v>
      </c>
      <c r="DZ128" s="675">
        <v>0</v>
      </c>
      <c r="EA128" s="675">
        <v>0</v>
      </c>
      <c r="EB128" s="675">
        <v>0</v>
      </c>
      <c r="EC128" s="675">
        <v>210.10600000000002</v>
      </c>
      <c r="ED128" s="675">
        <v>1488384</v>
      </c>
      <c r="EE128" s="675">
        <v>0</v>
      </c>
      <c r="EF128" s="675">
        <v>0</v>
      </c>
      <c r="EG128" s="675">
        <v>0</v>
      </c>
      <c r="EH128" s="675">
        <v>2200520</v>
      </c>
      <c r="EI128" s="675">
        <v>0</v>
      </c>
      <c r="EJ128" s="675">
        <v>0</v>
      </c>
      <c r="EK128" s="675">
        <v>100.21600000000001</v>
      </c>
      <c r="EL128" s="675">
        <v>0</v>
      </c>
      <c r="EM128" s="675">
        <v>6.7270000000000003</v>
      </c>
      <c r="EN128" s="675">
        <v>7.28</v>
      </c>
      <c r="EO128" s="675">
        <v>0</v>
      </c>
      <c r="EP128" s="675">
        <v>0</v>
      </c>
      <c r="EQ128" s="675">
        <v>114.223</v>
      </c>
      <c r="ER128" s="675">
        <v>0</v>
      </c>
      <c r="ES128" s="675">
        <v>357.22900000000004</v>
      </c>
      <c r="ET128" s="675">
        <v>0</v>
      </c>
      <c r="EU128" s="675">
        <v>0</v>
      </c>
      <c r="EV128" s="675">
        <v>0</v>
      </c>
      <c r="EW128" s="675">
        <v>0</v>
      </c>
      <c r="EX128" s="675">
        <v>0</v>
      </c>
      <c r="EY128" s="675">
        <v>0</v>
      </c>
      <c r="EZ128" s="675">
        <v>32841012</v>
      </c>
      <c r="FA128" s="675">
        <v>0</v>
      </c>
      <c r="FB128" s="675">
        <v>34034437</v>
      </c>
      <c r="FC128" s="675">
        <v>0</v>
      </c>
      <c r="FD128" s="675">
        <v>0</v>
      </c>
      <c r="FE128" s="675">
        <v>3420851</v>
      </c>
      <c r="FF128" s="675">
        <v>707550</v>
      </c>
      <c r="FG128" s="675">
        <v>6.3574999999999993E-2</v>
      </c>
      <c r="FH128" s="675">
        <v>2.6298999999999999E-2</v>
      </c>
      <c r="FI128" s="675">
        <v>0</v>
      </c>
      <c r="FJ128" s="675">
        <v>0</v>
      </c>
      <c r="FK128" s="675">
        <v>5459.4279999999999</v>
      </c>
      <c r="FL128" s="675">
        <v>38799083</v>
      </c>
      <c r="FM128" s="675">
        <v>0</v>
      </c>
      <c r="FN128" s="675">
        <v>0</v>
      </c>
      <c r="FO128" s="675">
        <v>0</v>
      </c>
      <c r="FP128" s="675">
        <v>0</v>
      </c>
      <c r="FQ128" s="675">
        <v>0</v>
      </c>
      <c r="FR128" s="675">
        <v>0</v>
      </c>
      <c r="FS128" s="675">
        <v>0</v>
      </c>
      <c r="FT128" s="675">
        <v>0</v>
      </c>
      <c r="FU128" s="675">
        <v>0</v>
      </c>
      <c r="FV128" s="675">
        <v>0</v>
      </c>
      <c r="FW128" s="675">
        <v>0</v>
      </c>
      <c r="FX128" s="675">
        <v>0</v>
      </c>
      <c r="FY128" s="675">
        <v>0</v>
      </c>
      <c r="FZ128" s="675">
        <v>0</v>
      </c>
      <c r="GA128" s="675">
        <v>0</v>
      </c>
      <c r="GB128" s="675">
        <v>1856805</v>
      </c>
      <c r="GC128" s="675">
        <v>1856805</v>
      </c>
      <c r="GD128" s="675">
        <v>205</v>
      </c>
      <c r="GE128" s="675">
        <v>0</v>
      </c>
      <c r="GF128" s="675">
        <v>0</v>
      </c>
      <c r="GG128" s="675">
        <v>0</v>
      </c>
      <c r="GH128" s="675">
        <v>0</v>
      </c>
      <c r="GI128" s="675">
        <v>0</v>
      </c>
      <c r="GJ128" s="675">
        <v>0</v>
      </c>
      <c r="GK128" s="675">
        <v>0</v>
      </c>
      <c r="GL128" s="675">
        <v>0</v>
      </c>
      <c r="GM128" s="675">
        <v>0</v>
      </c>
      <c r="GN128" s="675">
        <v>0</v>
      </c>
      <c r="GO128" s="675">
        <v>0</v>
      </c>
      <c r="GP128" s="675">
        <v>0</v>
      </c>
      <c r="GQ128" s="675">
        <v>0</v>
      </c>
      <c r="GR128" s="675">
        <v>0</v>
      </c>
      <c r="GS128" s="675">
        <v>0</v>
      </c>
      <c r="GT128" s="675">
        <v>0</v>
      </c>
      <c r="GU128" s="675">
        <v>0</v>
      </c>
      <c r="GV128" s="675">
        <v>0</v>
      </c>
      <c r="GW128" s="675">
        <v>0</v>
      </c>
      <c r="GX128" s="675">
        <v>0</v>
      </c>
      <c r="GY128" s="675">
        <v>0</v>
      </c>
      <c r="GZ128" s="675">
        <v>0</v>
      </c>
      <c r="HA128" s="675">
        <v>0</v>
      </c>
      <c r="HB128" s="675">
        <v>298386780</v>
      </c>
      <c r="HC128" s="675">
        <v>4.5690999999999996E-2</v>
      </c>
      <c r="HD128" s="675">
        <v>636245</v>
      </c>
      <c r="HE128" s="675">
        <v>0</v>
      </c>
      <c r="HF128" s="675">
        <v>3478246</v>
      </c>
      <c r="HG128" s="675">
        <v>59136</v>
      </c>
      <c r="HH128" s="675">
        <v>730112</v>
      </c>
      <c r="HI128" s="675">
        <v>0</v>
      </c>
      <c r="HJ128" s="675">
        <v>33838</v>
      </c>
      <c r="HK128" s="675">
        <v>3636</v>
      </c>
      <c r="HL128" s="675">
        <v>2622</v>
      </c>
      <c r="HM128" s="675">
        <v>121000</v>
      </c>
      <c r="HN128" s="675">
        <v>50087</v>
      </c>
      <c r="HO128" s="675">
        <v>0</v>
      </c>
      <c r="HP128" s="675">
        <v>0</v>
      </c>
      <c r="HQ128" s="675">
        <v>0</v>
      </c>
      <c r="HR128" s="675">
        <v>0</v>
      </c>
      <c r="HS128" s="675">
        <v>32826530</v>
      </c>
      <c r="HT128" s="675">
        <v>707550</v>
      </c>
      <c r="HU128" s="675">
        <v>0</v>
      </c>
      <c r="HV128" s="675">
        <v>0</v>
      </c>
      <c r="HW128" s="675">
        <v>0</v>
      </c>
      <c r="HX128" s="675">
        <v>450</v>
      </c>
      <c r="HY128" s="675">
        <v>645</v>
      </c>
      <c r="HZ128" s="675">
        <v>479</v>
      </c>
      <c r="IA128" s="675">
        <v>458</v>
      </c>
      <c r="IB128" s="675">
        <v>354</v>
      </c>
      <c r="IC128" s="675">
        <v>2386</v>
      </c>
      <c r="ID128" s="675">
        <v>0</v>
      </c>
      <c r="IE128" s="675">
        <v>0</v>
      </c>
      <c r="IF128" s="675">
        <v>0</v>
      </c>
      <c r="IG128" s="675">
        <v>96</v>
      </c>
      <c r="IH128" s="675">
        <v>1185.2530000000002</v>
      </c>
      <c r="II128" s="675">
        <v>0</v>
      </c>
      <c r="IJ128" s="675">
        <v>671.11800000000005</v>
      </c>
      <c r="IK128" s="675">
        <v>0</v>
      </c>
      <c r="IL128" s="675">
        <v>17</v>
      </c>
      <c r="IM128" s="675">
        <v>12</v>
      </c>
      <c r="IN128" s="675">
        <v>0</v>
      </c>
      <c r="IO128" s="675">
        <v>29</v>
      </c>
      <c r="IP128" s="675">
        <v>0</v>
      </c>
      <c r="IQ128" s="675">
        <v>671.11800000000005</v>
      </c>
      <c r="IR128" s="675">
        <v>413407</v>
      </c>
      <c r="IS128" s="675">
        <v>0</v>
      </c>
      <c r="IT128" s="675">
        <v>85000</v>
      </c>
      <c r="IU128" s="675">
        <v>36000</v>
      </c>
      <c r="IV128" s="675">
        <v>0</v>
      </c>
      <c r="IW128" s="675">
        <v>6160</v>
      </c>
      <c r="IX128" s="675">
        <v>0</v>
      </c>
      <c r="IY128" s="675">
        <v>0</v>
      </c>
      <c r="IZ128" s="675">
        <v>0</v>
      </c>
      <c r="JA128" s="675">
        <v>0</v>
      </c>
      <c r="JB128" s="675">
        <v>1</v>
      </c>
      <c r="JC128" s="675">
        <v>15725</v>
      </c>
      <c r="JD128" s="675">
        <v>3</v>
      </c>
      <c r="JE128" s="675">
        <v>27244</v>
      </c>
      <c r="JF128" s="675">
        <v>1</v>
      </c>
      <c r="JG128" s="675">
        <v>4118</v>
      </c>
      <c r="JH128" s="675">
        <v>3000</v>
      </c>
      <c r="JI128" s="675">
        <v>0</v>
      </c>
      <c r="JJ128" s="675">
        <v>0</v>
      </c>
      <c r="JK128" s="675">
        <v>0</v>
      </c>
      <c r="JL128" s="675">
        <v>0</v>
      </c>
      <c r="JM128" s="675">
        <v>0</v>
      </c>
      <c r="JN128" s="675">
        <v>32469</v>
      </c>
      <c r="JO128" s="675">
        <v>89.5</v>
      </c>
      <c r="JP128" s="675">
        <v>65.667000000000002</v>
      </c>
      <c r="JQ128" s="675">
        <v>49.833000000000006</v>
      </c>
      <c r="JR128" s="675">
        <v>714747</v>
      </c>
      <c r="JS128" s="675">
        <v>610230</v>
      </c>
      <c r="JT128" s="675">
        <v>531828</v>
      </c>
      <c r="JU128" s="675">
        <v>75056</v>
      </c>
      <c r="JV128" s="675">
        <v>0</v>
      </c>
      <c r="JW128" s="675">
        <v>0</v>
      </c>
      <c r="JX128" s="675">
        <v>0</v>
      </c>
      <c r="JY128" s="675">
        <v>0</v>
      </c>
      <c r="JZ128" s="675">
        <v>0</v>
      </c>
      <c r="KA128" s="675">
        <v>0</v>
      </c>
      <c r="KB128" s="675">
        <v>0</v>
      </c>
      <c r="KC128" s="675">
        <v>0</v>
      </c>
      <c r="KD128" s="675">
        <v>75056</v>
      </c>
      <c r="KE128" s="675">
        <v>7260</v>
      </c>
      <c r="KF128" s="675">
        <v>0</v>
      </c>
      <c r="KG128" s="675">
        <v>0</v>
      </c>
      <c r="KH128" s="675">
        <v>0</v>
      </c>
      <c r="KI128" s="675">
        <v>0</v>
      </c>
    </row>
    <row r="129" spans="1:295" ht="12.5" x14ac:dyDescent="0.25">
      <c r="A129" s="675">
        <v>35795</v>
      </c>
      <c r="B129" s="675">
        <v>57827</v>
      </c>
      <c r="C129" s="675">
        <v>9</v>
      </c>
      <c r="D129" s="675">
        <v>2022</v>
      </c>
      <c r="E129" s="675">
        <v>6160</v>
      </c>
      <c r="F129" s="675">
        <v>0</v>
      </c>
      <c r="G129" s="675">
        <v>459.14500000000004</v>
      </c>
      <c r="H129" s="675">
        <v>458.24800000000005</v>
      </c>
      <c r="I129" s="675">
        <v>458.24800000000005</v>
      </c>
      <c r="J129" s="675">
        <v>459.14500000000004</v>
      </c>
      <c r="K129" s="675">
        <v>0</v>
      </c>
      <c r="L129" s="675">
        <v>6160</v>
      </c>
      <c r="M129" s="675">
        <v>0</v>
      </c>
      <c r="N129" s="675">
        <v>0</v>
      </c>
      <c r="O129" s="675">
        <v>0</v>
      </c>
      <c r="P129" s="675">
        <v>524.59800000000007</v>
      </c>
      <c r="Q129" s="675">
        <v>0</v>
      </c>
      <c r="R129" s="675">
        <v>211113</v>
      </c>
      <c r="S129" s="675">
        <v>402.428</v>
      </c>
      <c r="T129" s="675">
        <v>0</v>
      </c>
      <c r="U129" s="675">
        <v>112265</v>
      </c>
      <c r="V129" s="675">
        <v>134.15300000000002</v>
      </c>
      <c r="W129" s="675">
        <v>170252</v>
      </c>
      <c r="X129" s="675">
        <v>170252</v>
      </c>
      <c r="Y129" s="675">
        <v>0</v>
      </c>
      <c r="Z129" s="675">
        <v>0</v>
      </c>
      <c r="AA129" s="675">
        <v>0</v>
      </c>
      <c r="AB129" s="675">
        <v>0</v>
      </c>
      <c r="AC129" s="675">
        <v>0</v>
      </c>
      <c r="AD129" s="675" t="s">
        <v>316</v>
      </c>
      <c r="AE129" s="675">
        <v>0</v>
      </c>
      <c r="AF129" s="675">
        <v>0</v>
      </c>
      <c r="AG129" s="675">
        <v>0</v>
      </c>
      <c r="AH129" s="675">
        <v>0</v>
      </c>
      <c r="AI129" s="675">
        <v>0</v>
      </c>
      <c r="AJ129" s="675">
        <v>6160</v>
      </c>
      <c r="AK129" s="675" t="s">
        <v>671</v>
      </c>
      <c r="AL129" s="675" t="s">
        <v>463</v>
      </c>
      <c r="AM129" s="675">
        <v>0</v>
      </c>
      <c r="AN129" s="675">
        <v>0</v>
      </c>
      <c r="AO129" s="675">
        <v>0</v>
      </c>
      <c r="AP129" s="675">
        <v>0</v>
      </c>
      <c r="AQ129" s="675">
        <v>0</v>
      </c>
      <c r="AR129" s="675">
        <v>0</v>
      </c>
      <c r="AS129" s="675">
        <v>0</v>
      </c>
      <c r="AT129" s="675">
        <v>0</v>
      </c>
      <c r="AU129" s="675">
        <v>0</v>
      </c>
      <c r="AV129" s="675">
        <v>0</v>
      </c>
      <c r="AW129" s="675">
        <v>4973260</v>
      </c>
      <c r="AX129" s="675">
        <v>4889751</v>
      </c>
      <c r="AY129" s="675">
        <v>3414598</v>
      </c>
      <c r="AZ129" s="675">
        <v>211113</v>
      </c>
      <c r="BA129" s="675">
        <v>0</v>
      </c>
      <c r="BB129" s="675">
        <v>0</v>
      </c>
      <c r="BC129" s="675">
        <v>0</v>
      </c>
      <c r="BD129" s="675">
        <v>0</v>
      </c>
      <c r="BE129" s="675">
        <v>0</v>
      </c>
      <c r="BF129" s="675">
        <v>4543148</v>
      </c>
      <c r="BG129" s="675">
        <v>0</v>
      </c>
      <c r="BH129" s="675">
        <v>0</v>
      </c>
      <c r="BI129" s="675">
        <v>0</v>
      </c>
      <c r="BJ129" s="675">
        <v>12</v>
      </c>
      <c r="BK129" s="675">
        <v>0</v>
      </c>
      <c r="BL129" s="675">
        <v>0</v>
      </c>
      <c r="BM129" s="675">
        <v>0</v>
      </c>
      <c r="BN129" s="675">
        <v>0</v>
      </c>
      <c r="BO129" s="675">
        <v>0</v>
      </c>
      <c r="BP129" s="675">
        <v>0</v>
      </c>
      <c r="BQ129" s="675">
        <v>699</v>
      </c>
      <c r="BR129" s="675">
        <v>0</v>
      </c>
      <c r="BS129" s="675">
        <v>0</v>
      </c>
      <c r="BT129" s="675">
        <v>0</v>
      </c>
      <c r="BU129" s="675">
        <v>0</v>
      </c>
      <c r="BV129" s="675">
        <v>0</v>
      </c>
      <c r="BW129" s="675">
        <v>0</v>
      </c>
      <c r="BX129" s="675">
        <v>0</v>
      </c>
      <c r="BY129" s="675">
        <v>0</v>
      </c>
      <c r="BZ129" s="675">
        <v>0</v>
      </c>
      <c r="CA129" s="675">
        <v>0</v>
      </c>
      <c r="CB129" s="675">
        <v>0</v>
      </c>
      <c r="CC129" s="675">
        <v>0</v>
      </c>
      <c r="CD129" s="675">
        <v>0</v>
      </c>
      <c r="CE129" s="675">
        <v>0</v>
      </c>
      <c r="CF129" s="675">
        <v>0</v>
      </c>
      <c r="CG129" s="675">
        <v>0</v>
      </c>
      <c r="CH129" s="675">
        <v>83915</v>
      </c>
      <c r="CI129" s="675">
        <v>0</v>
      </c>
      <c r="CJ129" s="675">
        <v>4</v>
      </c>
      <c r="CK129" s="675">
        <v>0</v>
      </c>
      <c r="CL129" s="675">
        <v>0</v>
      </c>
      <c r="CM129" s="675">
        <v>0</v>
      </c>
      <c r="CN129" s="675">
        <v>0</v>
      </c>
      <c r="CO129" s="675">
        <v>1</v>
      </c>
      <c r="CP129" s="675">
        <v>0</v>
      </c>
      <c r="CQ129" s="675">
        <v>0</v>
      </c>
      <c r="CR129" s="675">
        <v>535.28</v>
      </c>
      <c r="CS129" s="675">
        <v>0</v>
      </c>
      <c r="CT129" s="675">
        <v>0</v>
      </c>
      <c r="CU129" s="675">
        <v>0</v>
      </c>
      <c r="CV129" s="675">
        <v>0</v>
      </c>
      <c r="CW129" s="675">
        <v>0</v>
      </c>
      <c r="CX129" s="675">
        <v>0</v>
      </c>
      <c r="CY129" s="675">
        <v>0</v>
      </c>
      <c r="CZ129" s="675">
        <v>0</v>
      </c>
      <c r="DA129" s="675">
        <v>0</v>
      </c>
      <c r="DB129" s="675">
        <v>2745856</v>
      </c>
      <c r="DC129" s="675">
        <v>0</v>
      </c>
      <c r="DD129" s="675">
        <v>0</v>
      </c>
      <c r="DE129" s="675">
        <v>796946</v>
      </c>
      <c r="DF129" s="675">
        <v>796946</v>
      </c>
      <c r="DG129" s="675">
        <v>129.375</v>
      </c>
      <c r="DH129" s="675">
        <v>0</v>
      </c>
      <c r="DI129" s="675">
        <v>0</v>
      </c>
      <c r="DJ129" s="675">
        <v>0</v>
      </c>
      <c r="DK129" s="675">
        <v>2813</v>
      </c>
      <c r="DL129" s="675">
        <v>0</v>
      </c>
      <c r="DM129" s="675">
        <v>183512</v>
      </c>
      <c r="DN129" s="675">
        <v>406</v>
      </c>
      <c r="DO129" s="675">
        <v>0</v>
      </c>
      <c r="DP129" s="675">
        <v>0</v>
      </c>
      <c r="DQ129" s="675">
        <v>0</v>
      </c>
      <c r="DR129" s="675">
        <v>0</v>
      </c>
      <c r="DS129" s="675">
        <v>0</v>
      </c>
      <c r="DT129" s="675">
        <v>0</v>
      </c>
      <c r="DU129" s="675">
        <v>0</v>
      </c>
      <c r="DV129" s="675">
        <v>0</v>
      </c>
      <c r="DW129" s="675">
        <v>0</v>
      </c>
      <c r="DX129" s="675">
        <v>0</v>
      </c>
      <c r="DY129" s="675">
        <v>0</v>
      </c>
      <c r="DZ129" s="675">
        <v>0</v>
      </c>
      <c r="EA129" s="675">
        <v>0</v>
      </c>
      <c r="EB129" s="675">
        <v>0</v>
      </c>
      <c r="EC129" s="675">
        <v>12.158000000000001</v>
      </c>
      <c r="ED129" s="675">
        <v>86127</v>
      </c>
      <c r="EE129" s="675">
        <v>0</v>
      </c>
      <c r="EF129" s="675">
        <v>0</v>
      </c>
      <c r="EG129" s="675">
        <v>0</v>
      </c>
      <c r="EH129" s="675">
        <v>20852</v>
      </c>
      <c r="EI129" s="675">
        <v>0</v>
      </c>
      <c r="EJ129" s="675">
        <v>0</v>
      </c>
      <c r="EK129" s="675">
        <v>0.55000000000000004</v>
      </c>
      <c r="EL129" s="675">
        <v>0</v>
      </c>
      <c r="EM129" s="675">
        <v>0</v>
      </c>
      <c r="EN129" s="675">
        <v>0.34700000000000003</v>
      </c>
      <c r="EO129" s="675">
        <v>0</v>
      </c>
      <c r="EP129" s="675">
        <v>0</v>
      </c>
      <c r="EQ129" s="675">
        <v>0.89700000000000002</v>
      </c>
      <c r="ER129" s="675">
        <v>0</v>
      </c>
      <c r="ES129" s="675">
        <v>3.3850000000000002</v>
      </c>
      <c r="ET129" s="675">
        <v>0</v>
      </c>
      <c r="EU129" s="675">
        <v>0</v>
      </c>
      <c r="EV129" s="675">
        <v>0</v>
      </c>
      <c r="EW129" s="675">
        <v>0</v>
      </c>
      <c r="EX129" s="675">
        <v>0</v>
      </c>
      <c r="EY129" s="675">
        <v>0</v>
      </c>
      <c r="EZ129" s="675">
        <v>4332035</v>
      </c>
      <c r="FA129" s="675">
        <v>0</v>
      </c>
      <c r="FB129" s="675">
        <v>4542742</v>
      </c>
      <c r="FC129" s="675">
        <v>0</v>
      </c>
      <c r="FD129" s="675">
        <v>0</v>
      </c>
      <c r="FE129" s="675">
        <v>462131</v>
      </c>
      <c r="FF129" s="675">
        <v>95585</v>
      </c>
      <c r="FG129" s="675">
        <v>6.3574999999999993E-2</v>
      </c>
      <c r="FH129" s="675">
        <v>2.6298999999999999E-2</v>
      </c>
      <c r="FI129" s="675">
        <v>0</v>
      </c>
      <c r="FJ129" s="675">
        <v>0</v>
      </c>
      <c r="FK129" s="675">
        <v>737.52700000000004</v>
      </c>
      <c r="FL129" s="675">
        <v>5184373</v>
      </c>
      <c r="FM129" s="675">
        <v>0</v>
      </c>
      <c r="FN129" s="675">
        <v>0</v>
      </c>
      <c r="FO129" s="675">
        <v>0</v>
      </c>
      <c r="FP129" s="675">
        <v>0</v>
      </c>
      <c r="FQ129" s="675">
        <v>0</v>
      </c>
      <c r="FR129" s="675">
        <v>0</v>
      </c>
      <c r="FS129" s="675">
        <v>0</v>
      </c>
      <c r="FT129" s="675">
        <v>0</v>
      </c>
      <c r="FU129" s="675">
        <v>0</v>
      </c>
      <c r="FV129" s="675">
        <v>0</v>
      </c>
      <c r="FW129" s="675">
        <v>0</v>
      </c>
      <c r="FX129" s="675">
        <v>0</v>
      </c>
      <c r="FY129" s="675">
        <v>0</v>
      </c>
      <c r="FZ129" s="675">
        <v>0</v>
      </c>
      <c r="GA129" s="675">
        <v>0</v>
      </c>
      <c r="GB129" s="675">
        <v>0</v>
      </c>
      <c r="GC129" s="675">
        <v>0</v>
      </c>
      <c r="GD129" s="675">
        <v>0</v>
      </c>
      <c r="GE129" s="675">
        <v>0</v>
      </c>
      <c r="GF129" s="675">
        <v>0</v>
      </c>
      <c r="GG129" s="675">
        <v>0</v>
      </c>
      <c r="GH129" s="675">
        <v>0</v>
      </c>
      <c r="GI129" s="675">
        <v>0</v>
      </c>
      <c r="GJ129" s="675">
        <v>0</v>
      </c>
      <c r="GK129" s="675">
        <v>0</v>
      </c>
      <c r="GL129" s="675">
        <v>0</v>
      </c>
      <c r="GM129" s="675">
        <v>0</v>
      </c>
      <c r="GN129" s="675">
        <v>0</v>
      </c>
      <c r="GO129" s="675">
        <v>0</v>
      </c>
      <c r="GP129" s="675">
        <v>0</v>
      </c>
      <c r="GQ129" s="675">
        <v>0</v>
      </c>
      <c r="GR129" s="675">
        <v>0</v>
      </c>
      <c r="GS129" s="675">
        <v>0</v>
      </c>
      <c r="GT129" s="675">
        <v>0</v>
      </c>
      <c r="GU129" s="675">
        <v>0</v>
      </c>
      <c r="GV129" s="675">
        <v>0</v>
      </c>
      <c r="GW129" s="675">
        <v>0</v>
      </c>
      <c r="GX129" s="675">
        <v>0</v>
      </c>
      <c r="GY129" s="675">
        <v>0</v>
      </c>
      <c r="GZ129" s="675">
        <v>0</v>
      </c>
      <c r="HA129" s="675">
        <v>0</v>
      </c>
      <c r="HB129" s="675">
        <v>298386780</v>
      </c>
      <c r="HC129" s="675">
        <v>4.5690999999999996E-2</v>
      </c>
      <c r="HD129" s="675">
        <v>83915</v>
      </c>
      <c r="HE129" s="675">
        <v>0</v>
      </c>
      <c r="HF129" s="675">
        <v>504073</v>
      </c>
      <c r="HG129" s="675">
        <v>1925</v>
      </c>
      <c r="HH129" s="675">
        <v>108715</v>
      </c>
      <c r="HI129" s="675">
        <v>0</v>
      </c>
      <c r="HJ129" s="675">
        <v>4463</v>
      </c>
      <c r="HK129" s="675">
        <v>0</v>
      </c>
      <c r="HL129" s="675">
        <v>0</v>
      </c>
      <c r="HM129" s="675">
        <v>0</v>
      </c>
      <c r="HN129" s="675">
        <v>0</v>
      </c>
      <c r="HO129" s="675">
        <v>27000</v>
      </c>
      <c r="HP129" s="675">
        <v>0</v>
      </c>
      <c r="HQ129" s="675">
        <v>0</v>
      </c>
      <c r="HR129" s="675">
        <v>0</v>
      </c>
      <c r="HS129" s="675">
        <v>4331629</v>
      </c>
      <c r="HT129" s="675">
        <v>95585</v>
      </c>
      <c r="HU129" s="675">
        <v>0</v>
      </c>
      <c r="HV129" s="675">
        <v>0</v>
      </c>
      <c r="HW129" s="675">
        <v>0</v>
      </c>
      <c r="HX129" s="675">
        <v>37</v>
      </c>
      <c r="HY129" s="675">
        <v>49</v>
      </c>
      <c r="HZ129" s="675">
        <v>115</v>
      </c>
      <c r="IA129" s="675">
        <v>125</v>
      </c>
      <c r="IB129" s="675">
        <v>174</v>
      </c>
      <c r="IC129" s="675">
        <v>500</v>
      </c>
      <c r="ID129" s="675">
        <v>0</v>
      </c>
      <c r="IE129" s="675">
        <v>94.807000000000002</v>
      </c>
      <c r="IF129" s="675">
        <v>4.2000000000000003E-2</v>
      </c>
      <c r="IG129" s="675">
        <v>3.125</v>
      </c>
      <c r="IH129" s="675">
        <v>176.48600000000002</v>
      </c>
      <c r="II129" s="675">
        <v>0</v>
      </c>
      <c r="IJ129" s="675">
        <v>229.00200000000001</v>
      </c>
      <c r="IK129" s="675">
        <v>0</v>
      </c>
      <c r="IL129" s="675">
        <v>0</v>
      </c>
      <c r="IM129" s="675">
        <v>0</v>
      </c>
      <c r="IN129" s="675">
        <v>0</v>
      </c>
      <c r="IO129" s="675">
        <v>0</v>
      </c>
      <c r="IP129" s="675">
        <v>0</v>
      </c>
      <c r="IQ129" s="675">
        <v>134.15300000000002</v>
      </c>
      <c r="IR129" s="675">
        <v>82638</v>
      </c>
      <c r="IS129" s="675">
        <v>0</v>
      </c>
      <c r="IT129" s="675">
        <v>0</v>
      </c>
      <c r="IU129" s="675">
        <v>0</v>
      </c>
      <c r="IV129" s="675">
        <v>0</v>
      </c>
      <c r="IW129" s="675">
        <v>6160</v>
      </c>
      <c r="IX129" s="675">
        <v>87601</v>
      </c>
      <c r="IY129" s="675">
        <v>13</v>
      </c>
      <c r="IZ129" s="675">
        <v>0</v>
      </c>
      <c r="JA129" s="675">
        <v>0</v>
      </c>
      <c r="JB129" s="675">
        <v>0</v>
      </c>
      <c r="JC129" s="675">
        <v>0</v>
      </c>
      <c r="JD129" s="675">
        <v>0</v>
      </c>
      <c r="JE129" s="675">
        <v>0</v>
      </c>
      <c r="JF129" s="675">
        <v>0</v>
      </c>
      <c r="JG129" s="675">
        <v>0</v>
      </c>
      <c r="JH129" s="675">
        <v>0</v>
      </c>
      <c r="JI129" s="675">
        <v>0</v>
      </c>
      <c r="JJ129" s="675">
        <v>0</v>
      </c>
      <c r="JK129" s="675">
        <v>0</v>
      </c>
      <c r="JL129" s="675">
        <v>0</v>
      </c>
      <c r="JM129" s="675">
        <v>0</v>
      </c>
      <c r="JN129" s="675">
        <v>32469</v>
      </c>
      <c r="JO129" s="675">
        <v>0</v>
      </c>
      <c r="JP129" s="675">
        <v>0</v>
      </c>
      <c r="JQ129" s="675">
        <v>0</v>
      </c>
      <c r="JR129" s="675">
        <v>0</v>
      </c>
      <c r="JS129" s="675">
        <v>0</v>
      </c>
      <c r="JT129" s="675">
        <v>0</v>
      </c>
      <c r="JU129" s="675">
        <v>0</v>
      </c>
      <c r="JV129" s="675">
        <v>0</v>
      </c>
      <c r="JW129" s="675">
        <v>0</v>
      </c>
      <c r="JX129" s="675">
        <v>0</v>
      </c>
      <c r="JY129" s="675">
        <v>0</v>
      </c>
      <c r="JZ129" s="675">
        <v>0</v>
      </c>
      <c r="KA129" s="675">
        <v>0</v>
      </c>
      <c r="KB129" s="675">
        <v>0</v>
      </c>
      <c r="KC129" s="675">
        <v>0</v>
      </c>
      <c r="KD129" s="675">
        <v>0</v>
      </c>
      <c r="KE129" s="675">
        <v>7260</v>
      </c>
      <c r="KF129" s="675">
        <v>0</v>
      </c>
      <c r="KG129" s="675">
        <v>0</v>
      </c>
      <c r="KH129" s="675">
        <v>0</v>
      </c>
      <c r="KI129" s="675">
        <v>0</v>
      </c>
    </row>
    <row r="130" spans="1:295" ht="12.5" x14ac:dyDescent="0.25">
      <c r="A130" s="675">
        <v>35795</v>
      </c>
      <c r="B130" s="675">
        <v>227827</v>
      </c>
      <c r="C130" s="675">
        <v>9</v>
      </c>
      <c r="D130" s="675">
        <v>2022</v>
      </c>
      <c r="E130" s="675">
        <v>6160</v>
      </c>
      <c r="F130" s="675">
        <v>0</v>
      </c>
      <c r="G130" s="675">
        <v>612.1</v>
      </c>
      <c r="H130" s="675">
        <v>467.41700000000003</v>
      </c>
      <c r="I130" s="675">
        <v>467.41700000000003</v>
      </c>
      <c r="J130" s="675">
        <v>612.1</v>
      </c>
      <c r="K130" s="675">
        <v>0</v>
      </c>
      <c r="L130" s="675">
        <v>6160</v>
      </c>
      <c r="M130" s="675">
        <v>0</v>
      </c>
      <c r="N130" s="675">
        <v>0</v>
      </c>
      <c r="O130" s="675">
        <v>0</v>
      </c>
      <c r="P130" s="675">
        <v>476.892</v>
      </c>
      <c r="Q130" s="675">
        <v>0</v>
      </c>
      <c r="R130" s="675">
        <v>191915</v>
      </c>
      <c r="S130" s="675">
        <v>402.428</v>
      </c>
      <c r="T130" s="675">
        <v>0</v>
      </c>
      <c r="U130" s="675">
        <v>102056</v>
      </c>
      <c r="V130" s="675">
        <v>99.183000000000007</v>
      </c>
      <c r="W130" s="675">
        <v>61096</v>
      </c>
      <c r="X130" s="675">
        <v>61096</v>
      </c>
      <c r="Y130" s="675">
        <v>0</v>
      </c>
      <c r="Z130" s="675">
        <v>0</v>
      </c>
      <c r="AA130" s="675">
        <v>0</v>
      </c>
      <c r="AB130" s="675">
        <v>0</v>
      </c>
      <c r="AC130" s="675">
        <v>0</v>
      </c>
      <c r="AD130" s="675" t="s">
        <v>316</v>
      </c>
      <c r="AE130" s="675">
        <v>0</v>
      </c>
      <c r="AF130" s="675">
        <v>0</v>
      </c>
      <c r="AG130" s="675">
        <v>0</v>
      </c>
      <c r="AH130" s="675">
        <v>0</v>
      </c>
      <c r="AI130" s="675">
        <v>0</v>
      </c>
      <c r="AJ130" s="675">
        <v>6160</v>
      </c>
      <c r="AK130" s="675" t="s">
        <v>671</v>
      </c>
      <c r="AL130" s="675" t="s">
        <v>904</v>
      </c>
      <c r="AM130" s="675">
        <v>0</v>
      </c>
      <c r="AN130" s="675">
        <v>0</v>
      </c>
      <c r="AO130" s="675">
        <v>0</v>
      </c>
      <c r="AP130" s="675">
        <v>0</v>
      </c>
      <c r="AQ130" s="675">
        <v>0</v>
      </c>
      <c r="AR130" s="675">
        <v>0</v>
      </c>
      <c r="AS130" s="675">
        <v>0</v>
      </c>
      <c r="AT130" s="675">
        <v>0</v>
      </c>
      <c r="AU130" s="675">
        <v>0</v>
      </c>
      <c r="AV130" s="675">
        <v>-12342</v>
      </c>
      <c r="AW130" s="675">
        <v>6608550</v>
      </c>
      <c r="AX130" s="675">
        <v>6608766</v>
      </c>
      <c r="AY130" s="675">
        <v>4039912</v>
      </c>
      <c r="AZ130" s="675">
        <v>191915</v>
      </c>
      <c r="BA130" s="675">
        <v>0</v>
      </c>
      <c r="BB130" s="675">
        <v>0</v>
      </c>
      <c r="BC130" s="675">
        <v>0</v>
      </c>
      <c r="BD130" s="675">
        <v>0</v>
      </c>
      <c r="BE130" s="675">
        <v>0</v>
      </c>
      <c r="BF130" s="675">
        <v>6035743</v>
      </c>
      <c r="BG130" s="675">
        <v>0</v>
      </c>
      <c r="BH130" s="675">
        <v>0</v>
      </c>
      <c r="BI130" s="675">
        <v>0</v>
      </c>
      <c r="BJ130" s="675">
        <v>12</v>
      </c>
      <c r="BK130" s="675">
        <v>0</v>
      </c>
      <c r="BL130" s="675">
        <v>0</v>
      </c>
      <c r="BM130" s="675">
        <v>0</v>
      </c>
      <c r="BN130" s="675">
        <v>0</v>
      </c>
      <c r="BO130" s="675">
        <v>0</v>
      </c>
      <c r="BP130" s="675">
        <v>0</v>
      </c>
      <c r="BQ130" s="675">
        <v>698</v>
      </c>
      <c r="BR130" s="675">
        <v>0</v>
      </c>
      <c r="BS130" s="675">
        <v>0</v>
      </c>
      <c r="BT130" s="675">
        <v>0</v>
      </c>
      <c r="BU130" s="675">
        <v>0</v>
      </c>
      <c r="BV130" s="675">
        <v>0</v>
      </c>
      <c r="BW130" s="675">
        <v>0</v>
      </c>
      <c r="BX130" s="675">
        <v>0</v>
      </c>
      <c r="BY130" s="675">
        <v>0</v>
      </c>
      <c r="BZ130" s="675">
        <v>0</v>
      </c>
      <c r="CA130" s="675">
        <v>0</v>
      </c>
      <c r="CB130" s="675">
        <v>0</v>
      </c>
      <c r="CC130" s="675">
        <v>0</v>
      </c>
      <c r="CD130" s="675">
        <v>0</v>
      </c>
      <c r="CE130" s="675">
        <v>0</v>
      </c>
      <c r="CF130" s="675">
        <v>0</v>
      </c>
      <c r="CG130" s="675">
        <v>0</v>
      </c>
      <c r="CH130" s="675">
        <v>0</v>
      </c>
      <c r="CI130" s="675">
        <v>0</v>
      </c>
      <c r="CJ130" s="675">
        <v>4</v>
      </c>
      <c r="CK130" s="675">
        <v>0</v>
      </c>
      <c r="CL130" s="675">
        <v>0</v>
      </c>
      <c r="CM130" s="675">
        <v>0</v>
      </c>
      <c r="CN130" s="675">
        <v>0</v>
      </c>
      <c r="CO130" s="675">
        <v>1</v>
      </c>
      <c r="CP130" s="675">
        <v>0.01</v>
      </c>
      <c r="CQ130" s="675">
        <v>0</v>
      </c>
      <c r="CR130" s="675">
        <v>546.07600000000002</v>
      </c>
      <c r="CS130" s="675">
        <v>0</v>
      </c>
      <c r="CT130" s="675">
        <v>0</v>
      </c>
      <c r="CU130" s="675">
        <v>0</v>
      </c>
      <c r="CV130" s="675">
        <v>0</v>
      </c>
      <c r="CW130" s="675">
        <v>0</v>
      </c>
      <c r="CX130" s="675">
        <v>0</v>
      </c>
      <c r="CY130" s="675">
        <v>0</v>
      </c>
      <c r="CZ130" s="675">
        <v>0</v>
      </c>
      <c r="DA130" s="675">
        <v>0</v>
      </c>
      <c r="DB130" s="675">
        <v>2879275</v>
      </c>
      <c r="DC130" s="675">
        <v>0</v>
      </c>
      <c r="DD130" s="675">
        <v>0</v>
      </c>
      <c r="DE130" s="675">
        <v>1182561</v>
      </c>
      <c r="DF130" s="675">
        <v>1182709</v>
      </c>
      <c r="DG130" s="675">
        <v>191.97500000000002</v>
      </c>
      <c r="DH130" s="675">
        <v>0</v>
      </c>
      <c r="DI130" s="675">
        <v>148</v>
      </c>
      <c r="DJ130" s="675">
        <v>0</v>
      </c>
      <c r="DK130" s="675">
        <v>2791</v>
      </c>
      <c r="DL130" s="675">
        <v>0</v>
      </c>
      <c r="DM130" s="675">
        <v>56656</v>
      </c>
      <c r="DN130" s="675">
        <v>216</v>
      </c>
      <c r="DO130" s="675">
        <v>0</v>
      </c>
      <c r="DP130" s="675">
        <v>0</v>
      </c>
      <c r="DQ130" s="675">
        <v>0</v>
      </c>
      <c r="DR130" s="675">
        <v>0</v>
      </c>
      <c r="DS130" s="675">
        <v>0</v>
      </c>
      <c r="DT130" s="675">
        <v>0</v>
      </c>
      <c r="DU130" s="675">
        <v>0</v>
      </c>
      <c r="DV130" s="675">
        <v>0</v>
      </c>
      <c r="DW130" s="675">
        <v>0</v>
      </c>
      <c r="DX130" s="675">
        <v>0</v>
      </c>
      <c r="DY130" s="675">
        <v>0</v>
      </c>
      <c r="DZ130" s="675">
        <v>0</v>
      </c>
      <c r="EA130" s="675">
        <v>0</v>
      </c>
      <c r="EB130" s="675">
        <v>0</v>
      </c>
      <c r="EC130" s="675">
        <v>5.55</v>
      </c>
      <c r="ED130" s="675">
        <v>39316</v>
      </c>
      <c r="EE130" s="675">
        <v>0</v>
      </c>
      <c r="EF130" s="675">
        <v>0</v>
      </c>
      <c r="EG130" s="675">
        <v>0</v>
      </c>
      <c r="EH130" s="675">
        <v>17556</v>
      </c>
      <c r="EI130" s="675">
        <v>0</v>
      </c>
      <c r="EJ130" s="675">
        <v>0</v>
      </c>
      <c r="EK130" s="675">
        <v>0.95000000000000007</v>
      </c>
      <c r="EL130" s="675">
        <v>0</v>
      </c>
      <c r="EM130" s="675">
        <v>0</v>
      </c>
      <c r="EN130" s="675">
        <v>0</v>
      </c>
      <c r="EO130" s="675">
        <v>0</v>
      </c>
      <c r="EP130" s="675">
        <v>0</v>
      </c>
      <c r="EQ130" s="675">
        <v>0.95000000000000007</v>
      </c>
      <c r="ER130" s="675">
        <v>0</v>
      </c>
      <c r="ES130" s="675">
        <v>2.85</v>
      </c>
      <c r="ET130" s="675">
        <v>0</v>
      </c>
      <c r="EU130" s="675">
        <v>0</v>
      </c>
      <c r="EV130" s="675">
        <v>0</v>
      </c>
      <c r="EW130" s="675">
        <v>0</v>
      </c>
      <c r="EX130" s="675">
        <v>0</v>
      </c>
      <c r="EY130" s="675">
        <v>0</v>
      </c>
      <c r="EZ130" s="675">
        <v>5867819</v>
      </c>
      <c r="FA130" s="675">
        <v>0</v>
      </c>
      <c r="FB130" s="675">
        <v>6059518</v>
      </c>
      <c r="FC130" s="675">
        <v>0</v>
      </c>
      <c r="FD130" s="675">
        <v>0</v>
      </c>
      <c r="FE130" s="675">
        <v>613959</v>
      </c>
      <c r="FF130" s="675">
        <v>126988</v>
      </c>
      <c r="FG130" s="675">
        <v>6.3574999999999993E-2</v>
      </c>
      <c r="FH130" s="675">
        <v>2.6298999999999999E-2</v>
      </c>
      <c r="FI130" s="675">
        <v>0</v>
      </c>
      <c r="FJ130" s="675">
        <v>0</v>
      </c>
      <c r="FK130" s="675">
        <v>979.83300000000008</v>
      </c>
      <c r="FL130" s="675">
        <v>6800465</v>
      </c>
      <c r="FM130" s="675">
        <v>0</v>
      </c>
      <c r="FN130" s="675">
        <v>0</v>
      </c>
      <c r="FO130" s="675">
        <v>5310</v>
      </c>
      <c r="FP130" s="675">
        <v>0</v>
      </c>
      <c r="FQ130" s="675">
        <v>5310</v>
      </c>
      <c r="FR130" s="675">
        <v>5310</v>
      </c>
      <c r="FS130" s="675">
        <v>0</v>
      </c>
      <c r="FT130" s="675">
        <v>0</v>
      </c>
      <c r="FU130" s="675">
        <v>0</v>
      </c>
      <c r="FV130" s="675">
        <v>0</v>
      </c>
      <c r="FW130" s="675">
        <v>0</v>
      </c>
      <c r="FX130" s="675">
        <v>0</v>
      </c>
      <c r="FY130" s="675">
        <v>0</v>
      </c>
      <c r="FZ130" s="675">
        <v>0</v>
      </c>
      <c r="GA130" s="675">
        <v>0</v>
      </c>
      <c r="GB130" s="675">
        <v>1335682</v>
      </c>
      <c r="GC130" s="675">
        <v>1335682</v>
      </c>
      <c r="GD130" s="675">
        <v>143.733</v>
      </c>
      <c r="GE130" s="675">
        <v>0</v>
      </c>
      <c r="GF130" s="675">
        <v>0</v>
      </c>
      <c r="GG130" s="675">
        <v>0</v>
      </c>
      <c r="GH130" s="675">
        <v>0</v>
      </c>
      <c r="GI130" s="675">
        <v>0</v>
      </c>
      <c r="GJ130" s="675">
        <v>0</v>
      </c>
      <c r="GK130" s="675">
        <v>0</v>
      </c>
      <c r="GL130" s="675">
        <v>0</v>
      </c>
      <c r="GM130" s="675">
        <v>0</v>
      </c>
      <c r="GN130" s="675">
        <v>0</v>
      </c>
      <c r="GO130" s="675">
        <v>0</v>
      </c>
      <c r="GP130" s="675">
        <v>0</v>
      </c>
      <c r="GQ130" s="675">
        <v>0</v>
      </c>
      <c r="GR130" s="675">
        <v>0</v>
      </c>
      <c r="GS130" s="675">
        <v>0</v>
      </c>
      <c r="GT130" s="675">
        <v>0</v>
      </c>
      <c r="GU130" s="675">
        <v>0</v>
      </c>
      <c r="GV130" s="675">
        <v>0</v>
      </c>
      <c r="GW130" s="675">
        <v>0</v>
      </c>
      <c r="GX130" s="675">
        <v>0</v>
      </c>
      <c r="GY130" s="675">
        <v>0</v>
      </c>
      <c r="GZ130" s="675">
        <v>0</v>
      </c>
      <c r="HA130" s="675">
        <v>0</v>
      </c>
      <c r="HB130" s="675">
        <v>0</v>
      </c>
      <c r="HC130" s="675">
        <v>4.5690999999999996E-2</v>
      </c>
      <c r="HD130" s="675">
        <v>0</v>
      </c>
      <c r="HE130" s="675">
        <v>0</v>
      </c>
      <c r="HF130" s="675">
        <v>514159</v>
      </c>
      <c r="HG130" s="675">
        <v>0</v>
      </c>
      <c r="HH130" s="675">
        <v>0</v>
      </c>
      <c r="HI130" s="675">
        <v>0</v>
      </c>
      <c r="HJ130" s="675">
        <v>5950</v>
      </c>
      <c r="HK130" s="675">
        <v>12978</v>
      </c>
      <c r="HL130" s="675">
        <v>5703</v>
      </c>
      <c r="HM130" s="675">
        <v>0</v>
      </c>
      <c r="HN130" s="675">
        <v>0</v>
      </c>
      <c r="HO130" s="675">
        <v>0</v>
      </c>
      <c r="HP130" s="675">
        <v>0</v>
      </c>
      <c r="HQ130" s="675">
        <v>0</v>
      </c>
      <c r="HR130" s="675">
        <v>0</v>
      </c>
      <c r="HS130" s="675">
        <v>5867603</v>
      </c>
      <c r="HT130" s="675">
        <v>126988</v>
      </c>
      <c r="HU130" s="675">
        <v>0</v>
      </c>
      <c r="HV130" s="675">
        <v>0</v>
      </c>
      <c r="HW130" s="675">
        <v>0</v>
      </c>
      <c r="HX130" s="675">
        <v>69</v>
      </c>
      <c r="HY130" s="675">
        <v>281</v>
      </c>
      <c r="HZ130" s="675">
        <v>90</v>
      </c>
      <c r="IA130" s="675">
        <v>261</v>
      </c>
      <c r="IB130" s="675">
        <v>68</v>
      </c>
      <c r="IC130" s="675">
        <v>769</v>
      </c>
      <c r="ID130" s="675">
        <v>0</v>
      </c>
      <c r="IE130" s="675">
        <v>0</v>
      </c>
      <c r="IF130" s="675">
        <v>0</v>
      </c>
      <c r="IG130" s="675">
        <v>0</v>
      </c>
      <c r="IH130" s="675">
        <v>0</v>
      </c>
      <c r="II130" s="675">
        <v>0</v>
      </c>
      <c r="IJ130" s="675">
        <v>99.183000000000007</v>
      </c>
      <c r="IK130" s="675">
        <v>0</v>
      </c>
      <c r="IL130" s="675">
        <v>0</v>
      </c>
      <c r="IM130" s="675">
        <v>0</v>
      </c>
      <c r="IN130" s="675">
        <v>0</v>
      </c>
      <c r="IO130" s="675">
        <v>0</v>
      </c>
      <c r="IP130" s="675">
        <v>0</v>
      </c>
      <c r="IQ130" s="675">
        <v>99.183000000000007</v>
      </c>
      <c r="IR130" s="675">
        <v>61096</v>
      </c>
      <c r="IS130" s="675">
        <v>0</v>
      </c>
      <c r="IT130" s="675">
        <v>0</v>
      </c>
      <c r="IU130" s="675">
        <v>0</v>
      </c>
      <c r="IV130" s="675">
        <v>0</v>
      </c>
      <c r="IW130" s="675">
        <v>6160</v>
      </c>
      <c r="IX130" s="675">
        <v>0</v>
      </c>
      <c r="IY130" s="675">
        <v>0</v>
      </c>
      <c r="IZ130" s="675">
        <v>0</v>
      </c>
      <c r="JA130" s="675">
        <v>0</v>
      </c>
      <c r="JB130" s="675">
        <v>0</v>
      </c>
      <c r="JC130" s="675">
        <v>0</v>
      </c>
      <c r="JD130" s="675">
        <v>0</v>
      </c>
      <c r="JE130" s="675">
        <v>0</v>
      </c>
      <c r="JF130" s="675">
        <v>0</v>
      </c>
      <c r="JG130" s="675">
        <v>0</v>
      </c>
      <c r="JH130" s="675">
        <v>0</v>
      </c>
      <c r="JI130" s="675">
        <v>0</v>
      </c>
      <c r="JJ130" s="675">
        <v>0</v>
      </c>
      <c r="JK130" s="675">
        <v>0</v>
      </c>
      <c r="JL130" s="675">
        <v>0</v>
      </c>
      <c r="JM130" s="675">
        <v>0</v>
      </c>
      <c r="JN130" s="675">
        <v>32469</v>
      </c>
      <c r="JO130" s="675">
        <v>0</v>
      </c>
      <c r="JP130" s="675">
        <v>143.733</v>
      </c>
      <c r="JQ130" s="675">
        <v>0</v>
      </c>
      <c r="JR130" s="675">
        <v>0</v>
      </c>
      <c r="JS130" s="675">
        <v>1335682</v>
      </c>
      <c r="JT130" s="675">
        <v>0</v>
      </c>
      <c r="JU130" s="675">
        <v>0</v>
      </c>
      <c r="JV130" s="675">
        <v>0</v>
      </c>
      <c r="JW130" s="675">
        <v>0</v>
      </c>
      <c r="JX130" s="675">
        <v>0</v>
      </c>
      <c r="JY130" s="675">
        <v>0</v>
      </c>
      <c r="JZ130" s="675">
        <v>0</v>
      </c>
      <c r="KA130" s="675">
        <v>0</v>
      </c>
      <c r="KB130" s="675">
        <v>0</v>
      </c>
      <c r="KC130" s="675">
        <v>0</v>
      </c>
      <c r="KD130" s="675">
        <v>0</v>
      </c>
      <c r="KE130" s="675">
        <v>7260</v>
      </c>
      <c r="KF130" s="675">
        <v>0</v>
      </c>
      <c r="KG130" s="675">
        <v>0</v>
      </c>
      <c r="KH130" s="675">
        <v>0</v>
      </c>
      <c r="KI130" s="675">
        <v>0</v>
      </c>
    </row>
    <row r="131" spans="1:295" ht="12.5" x14ac:dyDescent="0.25">
      <c r="A131" s="675">
        <v>35795</v>
      </c>
      <c r="B131" s="675">
        <v>15828</v>
      </c>
      <c r="C131" s="675">
        <v>9</v>
      </c>
      <c r="D131" s="675">
        <v>2022</v>
      </c>
      <c r="E131" s="675">
        <v>6160</v>
      </c>
      <c r="F131" s="675">
        <v>0</v>
      </c>
      <c r="G131" s="675">
        <v>3966.0530000000003</v>
      </c>
      <c r="H131" s="675">
        <v>3553.1800000000003</v>
      </c>
      <c r="I131" s="675">
        <v>3553.1800000000003</v>
      </c>
      <c r="J131" s="675">
        <v>3966.0530000000003</v>
      </c>
      <c r="K131" s="675">
        <v>0</v>
      </c>
      <c r="L131" s="675">
        <v>6160</v>
      </c>
      <c r="M131" s="675">
        <v>0</v>
      </c>
      <c r="N131" s="675">
        <v>0</v>
      </c>
      <c r="O131" s="675">
        <v>0</v>
      </c>
      <c r="P131" s="675">
        <v>4133.1329999999998</v>
      </c>
      <c r="Q131" s="675">
        <v>0</v>
      </c>
      <c r="R131" s="675">
        <v>1663288</v>
      </c>
      <c r="S131" s="675">
        <v>402.428</v>
      </c>
      <c r="T131" s="675">
        <v>0</v>
      </c>
      <c r="U131" s="675">
        <v>884495</v>
      </c>
      <c r="V131" s="675">
        <v>1515.9730000000002</v>
      </c>
      <c r="W131" s="675">
        <v>933835</v>
      </c>
      <c r="X131" s="675">
        <v>933835</v>
      </c>
      <c r="Y131" s="675">
        <v>0</v>
      </c>
      <c r="Z131" s="675">
        <v>0</v>
      </c>
      <c r="AA131" s="675">
        <v>0</v>
      </c>
      <c r="AB131" s="675">
        <v>0</v>
      </c>
      <c r="AC131" s="675">
        <v>0</v>
      </c>
      <c r="AD131" s="675" t="s">
        <v>316</v>
      </c>
      <c r="AE131" s="675">
        <v>0</v>
      </c>
      <c r="AF131" s="675">
        <v>0</v>
      </c>
      <c r="AG131" s="675">
        <v>0</v>
      </c>
      <c r="AH131" s="675">
        <v>0</v>
      </c>
      <c r="AI131" s="675">
        <v>0</v>
      </c>
      <c r="AJ131" s="675">
        <v>6160</v>
      </c>
      <c r="AK131" s="675" t="s">
        <v>671</v>
      </c>
      <c r="AL131" s="675" t="s">
        <v>905</v>
      </c>
      <c r="AM131" s="675">
        <v>0</v>
      </c>
      <c r="AN131" s="675">
        <v>0</v>
      </c>
      <c r="AO131" s="675">
        <v>0</v>
      </c>
      <c r="AP131" s="675">
        <v>0</v>
      </c>
      <c r="AQ131" s="675">
        <v>0</v>
      </c>
      <c r="AR131" s="675">
        <v>0</v>
      </c>
      <c r="AS131" s="675">
        <v>0</v>
      </c>
      <c r="AT131" s="675">
        <v>0</v>
      </c>
      <c r="AU131" s="675">
        <v>0</v>
      </c>
      <c r="AV131" s="675">
        <v>0</v>
      </c>
      <c r="AW131" s="675">
        <v>44789361</v>
      </c>
      <c r="AX131" s="675">
        <v>44076303</v>
      </c>
      <c r="AY131" s="675">
        <v>29884268</v>
      </c>
      <c r="AZ131" s="675">
        <v>1663288</v>
      </c>
      <c r="BA131" s="675">
        <v>0</v>
      </c>
      <c r="BB131" s="675">
        <v>85508</v>
      </c>
      <c r="BC131" s="675">
        <v>84956</v>
      </c>
      <c r="BD131" s="675">
        <v>198.303</v>
      </c>
      <c r="BE131" s="675">
        <v>552</v>
      </c>
      <c r="BF131" s="675">
        <v>40714234</v>
      </c>
      <c r="BG131" s="675">
        <v>0</v>
      </c>
      <c r="BH131" s="675">
        <v>0</v>
      </c>
      <c r="BI131" s="675">
        <v>0</v>
      </c>
      <c r="BJ131" s="675">
        <v>12</v>
      </c>
      <c r="BK131" s="675">
        <v>0</v>
      </c>
      <c r="BL131" s="675">
        <v>0</v>
      </c>
      <c r="BM131" s="675">
        <v>0</v>
      </c>
      <c r="BN131" s="675">
        <v>0</v>
      </c>
      <c r="BO131" s="675">
        <v>0</v>
      </c>
      <c r="BP131" s="675">
        <v>0</v>
      </c>
      <c r="BQ131" s="675">
        <v>223</v>
      </c>
      <c r="BR131" s="675">
        <v>0</v>
      </c>
      <c r="BS131" s="675">
        <v>0</v>
      </c>
      <c r="BT131" s="675">
        <v>0</v>
      </c>
      <c r="BU131" s="675">
        <v>0</v>
      </c>
      <c r="BV131" s="675">
        <v>0</v>
      </c>
      <c r="BW131" s="675">
        <v>0</v>
      </c>
      <c r="BX131" s="675">
        <v>0</v>
      </c>
      <c r="BY131" s="675">
        <v>0</v>
      </c>
      <c r="BZ131" s="675">
        <v>0</v>
      </c>
      <c r="CA131" s="675">
        <v>0</v>
      </c>
      <c r="CB131" s="675">
        <v>0</v>
      </c>
      <c r="CC131" s="675">
        <v>0</v>
      </c>
      <c r="CD131" s="675">
        <v>0</v>
      </c>
      <c r="CE131" s="675">
        <v>0</v>
      </c>
      <c r="CF131" s="675">
        <v>0</v>
      </c>
      <c r="CG131" s="675">
        <v>0</v>
      </c>
      <c r="CH131" s="675">
        <v>724847</v>
      </c>
      <c r="CI131" s="675">
        <v>0</v>
      </c>
      <c r="CJ131" s="675">
        <v>4</v>
      </c>
      <c r="CK131" s="675">
        <v>0</v>
      </c>
      <c r="CL131" s="675">
        <v>0</v>
      </c>
      <c r="CM131" s="675">
        <v>0</v>
      </c>
      <c r="CN131" s="675">
        <v>0</v>
      </c>
      <c r="CO131" s="675">
        <v>1</v>
      </c>
      <c r="CP131" s="675">
        <v>0</v>
      </c>
      <c r="CQ131" s="675">
        <v>0</v>
      </c>
      <c r="CR131" s="675">
        <v>4215.8220000000001</v>
      </c>
      <c r="CS131" s="675">
        <v>0</v>
      </c>
      <c r="CT131" s="675">
        <v>0</v>
      </c>
      <c r="CU131" s="675">
        <v>0</v>
      </c>
      <c r="CV131" s="675">
        <v>0</v>
      </c>
      <c r="CW131" s="675">
        <v>0</v>
      </c>
      <c r="CX131" s="675">
        <v>0</v>
      </c>
      <c r="CY131" s="675">
        <v>0</v>
      </c>
      <c r="CZ131" s="675">
        <v>0</v>
      </c>
      <c r="DA131" s="675">
        <v>0</v>
      </c>
      <c r="DB131" s="675">
        <v>21652511</v>
      </c>
      <c r="DC131" s="675">
        <v>0</v>
      </c>
      <c r="DD131" s="675">
        <v>0</v>
      </c>
      <c r="DE131" s="675">
        <v>6025838</v>
      </c>
      <c r="DF131" s="675">
        <v>6025838</v>
      </c>
      <c r="DG131" s="675">
        <v>978.22500000000002</v>
      </c>
      <c r="DH131" s="675">
        <v>0</v>
      </c>
      <c r="DI131" s="675">
        <v>0</v>
      </c>
      <c r="DJ131" s="675">
        <v>0</v>
      </c>
      <c r="DK131" s="675">
        <v>0</v>
      </c>
      <c r="DL131" s="675">
        <v>0</v>
      </c>
      <c r="DM131" s="675">
        <v>3185100</v>
      </c>
      <c r="DN131" s="675">
        <v>11237</v>
      </c>
      <c r="DO131" s="675">
        <v>0</v>
      </c>
      <c r="DP131" s="675">
        <v>0</v>
      </c>
      <c r="DQ131" s="675">
        <v>0</v>
      </c>
      <c r="DR131" s="675">
        <v>0</v>
      </c>
      <c r="DS131" s="675">
        <v>0</v>
      </c>
      <c r="DT131" s="675">
        <v>0</v>
      </c>
      <c r="DU131" s="675">
        <v>0</v>
      </c>
      <c r="DV131" s="675">
        <v>0</v>
      </c>
      <c r="DW131" s="675">
        <v>0</v>
      </c>
      <c r="DX131" s="675">
        <v>0</v>
      </c>
      <c r="DY131" s="675">
        <v>0</v>
      </c>
      <c r="DZ131" s="675">
        <v>0</v>
      </c>
      <c r="EA131" s="675">
        <v>3.1E-2</v>
      </c>
      <c r="EB131" s="675">
        <v>0</v>
      </c>
      <c r="EC131" s="675">
        <v>68.533000000000001</v>
      </c>
      <c r="ED131" s="675">
        <v>485486</v>
      </c>
      <c r="EE131" s="675">
        <v>0</v>
      </c>
      <c r="EF131" s="675">
        <v>0</v>
      </c>
      <c r="EG131" s="675">
        <v>0</v>
      </c>
      <c r="EH131" s="675">
        <v>2475875</v>
      </c>
      <c r="EI131" s="675">
        <v>0</v>
      </c>
      <c r="EJ131" s="675">
        <v>0</v>
      </c>
      <c r="EK131" s="675">
        <v>97.56</v>
      </c>
      <c r="EL131" s="675">
        <v>0</v>
      </c>
      <c r="EM131" s="675">
        <v>24.356000000000002</v>
      </c>
      <c r="EN131" s="675">
        <v>7.0250000000000004</v>
      </c>
      <c r="EO131" s="675">
        <v>0</v>
      </c>
      <c r="EP131" s="675">
        <v>0</v>
      </c>
      <c r="EQ131" s="675">
        <v>129.364</v>
      </c>
      <c r="ER131" s="675">
        <v>0.39200000000000002</v>
      </c>
      <c r="ES131" s="675">
        <v>401.93</v>
      </c>
      <c r="ET131" s="675">
        <v>0</v>
      </c>
      <c r="EU131" s="675">
        <v>0</v>
      </c>
      <c r="EV131" s="675">
        <v>0</v>
      </c>
      <c r="EW131" s="675">
        <v>0</v>
      </c>
      <c r="EX131" s="675">
        <v>0</v>
      </c>
      <c r="EY131" s="675">
        <v>0</v>
      </c>
      <c r="EZ131" s="675">
        <v>39078233</v>
      </c>
      <c r="FA131" s="675">
        <v>0</v>
      </c>
      <c r="FB131" s="675">
        <v>40729732</v>
      </c>
      <c r="FC131" s="675">
        <v>0</v>
      </c>
      <c r="FD131" s="675">
        <v>0</v>
      </c>
      <c r="FE131" s="675">
        <v>4141471</v>
      </c>
      <c r="FF131" s="675">
        <v>856599</v>
      </c>
      <c r="FG131" s="675">
        <v>6.3574999999999993E-2</v>
      </c>
      <c r="FH131" s="675">
        <v>2.6298999999999999E-2</v>
      </c>
      <c r="FI131" s="675">
        <v>0</v>
      </c>
      <c r="FJ131" s="675">
        <v>0</v>
      </c>
      <c r="FK131" s="675">
        <v>6609.4840000000004</v>
      </c>
      <c r="FL131" s="675">
        <v>46452649</v>
      </c>
      <c r="FM131" s="675">
        <v>0</v>
      </c>
      <c r="FN131" s="675">
        <v>0</v>
      </c>
      <c r="FO131" s="675">
        <v>0</v>
      </c>
      <c r="FP131" s="675">
        <v>0</v>
      </c>
      <c r="FQ131" s="675">
        <v>0</v>
      </c>
      <c r="FR131" s="675">
        <v>0</v>
      </c>
      <c r="FS131" s="675">
        <v>0</v>
      </c>
      <c r="FT131" s="675">
        <v>0</v>
      </c>
      <c r="FU131" s="675">
        <v>0</v>
      </c>
      <c r="FV131" s="675">
        <v>0</v>
      </c>
      <c r="FW131" s="675">
        <v>0</v>
      </c>
      <c r="FX131" s="675">
        <v>0</v>
      </c>
      <c r="FY131" s="675">
        <v>0</v>
      </c>
      <c r="FZ131" s="675">
        <v>0</v>
      </c>
      <c r="GA131" s="675">
        <v>0</v>
      </c>
      <c r="GB131" s="675">
        <v>2838392</v>
      </c>
      <c r="GC131" s="675">
        <v>2838392</v>
      </c>
      <c r="GD131" s="675">
        <v>283.50900000000001</v>
      </c>
      <c r="GE131" s="675">
        <v>0</v>
      </c>
      <c r="GF131" s="675">
        <v>0</v>
      </c>
      <c r="GG131" s="675">
        <v>0</v>
      </c>
      <c r="GH131" s="675">
        <v>0</v>
      </c>
      <c r="GI131" s="675">
        <v>0</v>
      </c>
      <c r="GJ131" s="675">
        <v>0</v>
      </c>
      <c r="GK131" s="675">
        <v>0</v>
      </c>
      <c r="GL131" s="675">
        <v>0</v>
      </c>
      <c r="GM131" s="675">
        <v>0</v>
      </c>
      <c r="GN131" s="675">
        <v>0</v>
      </c>
      <c r="GO131" s="675">
        <v>0</v>
      </c>
      <c r="GP131" s="675">
        <v>0</v>
      </c>
      <c r="GQ131" s="675">
        <v>0</v>
      </c>
      <c r="GR131" s="675">
        <v>0</v>
      </c>
      <c r="GS131" s="675">
        <v>0</v>
      </c>
      <c r="GT131" s="675">
        <v>0</v>
      </c>
      <c r="GU131" s="675">
        <v>0</v>
      </c>
      <c r="GV131" s="675">
        <v>0</v>
      </c>
      <c r="GW131" s="675">
        <v>0</v>
      </c>
      <c r="GX131" s="675">
        <v>0</v>
      </c>
      <c r="GY131" s="675">
        <v>0</v>
      </c>
      <c r="GZ131" s="675">
        <v>0</v>
      </c>
      <c r="HA131" s="675">
        <v>0</v>
      </c>
      <c r="HB131" s="675">
        <v>298386780</v>
      </c>
      <c r="HC131" s="675">
        <v>4.5690999999999996E-2</v>
      </c>
      <c r="HD131" s="675">
        <v>724847</v>
      </c>
      <c r="HE131" s="675">
        <v>0</v>
      </c>
      <c r="HF131" s="675">
        <v>3908498</v>
      </c>
      <c r="HG131" s="675">
        <v>67760</v>
      </c>
      <c r="HH131" s="675">
        <v>718042</v>
      </c>
      <c r="HI131" s="675">
        <v>0</v>
      </c>
      <c r="HJ131" s="675">
        <v>38550</v>
      </c>
      <c r="HK131" s="675">
        <v>15228</v>
      </c>
      <c r="HL131" s="675">
        <v>12059</v>
      </c>
      <c r="HM131" s="675">
        <v>453000</v>
      </c>
      <c r="HN131" s="675">
        <v>696963</v>
      </c>
      <c r="HO131" s="675">
        <v>99000</v>
      </c>
      <c r="HP131" s="675">
        <v>0</v>
      </c>
      <c r="HQ131" s="675">
        <v>0</v>
      </c>
      <c r="HR131" s="675">
        <v>0</v>
      </c>
      <c r="HS131" s="675">
        <v>39066444</v>
      </c>
      <c r="HT131" s="675">
        <v>856599</v>
      </c>
      <c r="HU131" s="675">
        <v>0</v>
      </c>
      <c r="HV131" s="675">
        <v>0</v>
      </c>
      <c r="HW131" s="675">
        <v>0</v>
      </c>
      <c r="HX131" s="675">
        <v>395</v>
      </c>
      <c r="HY131" s="675">
        <v>845</v>
      </c>
      <c r="HZ131" s="675">
        <v>715</v>
      </c>
      <c r="IA131" s="675">
        <v>721</v>
      </c>
      <c r="IB131" s="675">
        <v>1166</v>
      </c>
      <c r="IC131" s="675">
        <v>3842</v>
      </c>
      <c r="ID131" s="675">
        <v>0</v>
      </c>
      <c r="IE131" s="675">
        <v>0</v>
      </c>
      <c r="IF131" s="675">
        <v>0</v>
      </c>
      <c r="IG131" s="675">
        <v>110</v>
      </c>
      <c r="IH131" s="675">
        <v>1165.6580000000001</v>
      </c>
      <c r="II131" s="675">
        <v>0</v>
      </c>
      <c r="IJ131" s="675">
        <v>1515.9730000000002</v>
      </c>
      <c r="IK131" s="675">
        <v>0</v>
      </c>
      <c r="IL131" s="675">
        <v>82</v>
      </c>
      <c r="IM131" s="675">
        <v>13</v>
      </c>
      <c r="IN131" s="675">
        <v>2</v>
      </c>
      <c r="IO131" s="675">
        <v>97</v>
      </c>
      <c r="IP131" s="675">
        <v>0</v>
      </c>
      <c r="IQ131" s="675">
        <v>1515.9730000000002</v>
      </c>
      <c r="IR131" s="675">
        <v>933835</v>
      </c>
      <c r="IS131" s="675">
        <v>0</v>
      </c>
      <c r="IT131" s="675">
        <v>410000</v>
      </c>
      <c r="IU131" s="675">
        <v>39000</v>
      </c>
      <c r="IV131" s="675">
        <v>4000</v>
      </c>
      <c r="IW131" s="675">
        <v>6160</v>
      </c>
      <c r="IX131" s="675">
        <v>0</v>
      </c>
      <c r="IY131" s="675">
        <v>0</v>
      </c>
      <c r="IZ131" s="675">
        <v>0</v>
      </c>
      <c r="JA131" s="675">
        <v>0</v>
      </c>
      <c r="JB131" s="675">
        <v>4</v>
      </c>
      <c r="JC131" s="675">
        <v>86040</v>
      </c>
      <c r="JD131" s="675">
        <v>35</v>
      </c>
      <c r="JE131" s="675">
        <v>420993</v>
      </c>
      <c r="JF131" s="675">
        <v>29</v>
      </c>
      <c r="JG131" s="675">
        <v>175430</v>
      </c>
      <c r="JH131" s="675">
        <v>14500</v>
      </c>
      <c r="JI131" s="675">
        <v>0</v>
      </c>
      <c r="JJ131" s="675">
        <v>0</v>
      </c>
      <c r="JK131" s="675">
        <v>0</v>
      </c>
      <c r="JL131" s="675">
        <v>0</v>
      </c>
      <c r="JM131" s="675">
        <v>0</v>
      </c>
      <c r="JN131" s="675">
        <v>32469</v>
      </c>
      <c r="JO131" s="675">
        <v>10.817</v>
      </c>
      <c r="JP131" s="675">
        <v>114.708</v>
      </c>
      <c r="JQ131" s="675">
        <v>157.98500000000001</v>
      </c>
      <c r="JR131" s="675">
        <v>86385</v>
      </c>
      <c r="JS131" s="675">
        <v>1065959</v>
      </c>
      <c r="JT131" s="675">
        <v>1686048</v>
      </c>
      <c r="JU131" s="675">
        <v>85508</v>
      </c>
      <c r="JV131" s="675">
        <v>0</v>
      </c>
      <c r="JW131" s="675">
        <v>0</v>
      </c>
      <c r="JX131" s="675">
        <v>0</v>
      </c>
      <c r="JY131" s="675">
        <v>0</v>
      </c>
      <c r="JZ131" s="675">
        <v>0</v>
      </c>
      <c r="KA131" s="675">
        <v>0</v>
      </c>
      <c r="KB131" s="675">
        <v>0</v>
      </c>
      <c r="KC131" s="675">
        <v>0</v>
      </c>
      <c r="KD131" s="675">
        <v>85508</v>
      </c>
      <c r="KE131" s="675">
        <v>7260</v>
      </c>
      <c r="KF131" s="675">
        <v>0</v>
      </c>
      <c r="KG131" s="675">
        <v>0</v>
      </c>
      <c r="KH131" s="675">
        <v>0</v>
      </c>
      <c r="KI131" s="675">
        <v>0</v>
      </c>
    </row>
    <row r="132" spans="1:295" ht="12.5" x14ac:dyDescent="0.25">
      <c r="A132" s="675">
        <v>35795</v>
      </c>
      <c r="B132" s="675">
        <v>57828</v>
      </c>
      <c r="C132" s="675">
        <v>9</v>
      </c>
      <c r="D132" s="675">
        <v>2022</v>
      </c>
      <c r="E132" s="675">
        <v>6160</v>
      </c>
      <c r="F132" s="675">
        <v>0</v>
      </c>
      <c r="G132" s="675">
        <v>726.88300000000004</v>
      </c>
      <c r="H132" s="675">
        <v>619.44400000000007</v>
      </c>
      <c r="I132" s="675">
        <v>619.44400000000007</v>
      </c>
      <c r="J132" s="675">
        <v>726.88300000000004</v>
      </c>
      <c r="K132" s="675">
        <v>0</v>
      </c>
      <c r="L132" s="675">
        <v>6160</v>
      </c>
      <c r="M132" s="675">
        <v>0</v>
      </c>
      <c r="N132" s="675">
        <v>0</v>
      </c>
      <c r="O132" s="675">
        <v>0</v>
      </c>
      <c r="P132" s="675">
        <v>969.577</v>
      </c>
      <c r="Q132" s="675">
        <v>0</v>
      </c>
      <c r="R132" s="675">
        <v>390185</v>
      </c>
      <c r="S132" s="675">
        <v>402.428</v>
      </c>
      <c r="T132" s="675">
        <v>0</v>
      </c>
      <c r="U132" s="675">
        <v>207491</v>
      </c>
      <c r="V132" s="675">
        <v>102.60000000000001</v>
      </c>
      <c r="W132" s="675">
        <v>63201</v>
      </c>
      <c r="X132" s="675">
        <v>63201</v>
      </c>
      <c r="Y132" s="675">
        <v>0</v>
      </c>
      <c r="Z132" s="675">
        <v>0</v>
      </c>
      <c r="AA132" s="675">
        <v>0</v>
      </c>
      <c r="AB132" s="675">
        <v>0</v>
      </c>
      <c r="AC132" s="675">
        <v>0</v>
      </c>
      <c r="AD132" s="675" t="s">
        <v>316</v>
      </c>
      <c r="AE132" s="675">
        <v>0</v>
      </c>
      <c r="AF132" s="675">
        <v>0</v>
      </c>
      <c r="AG132" s="675">
        <v>0</v>
      </c>
      <c r="AH132" s="675">
        <v>0</v>
      </c>
      <c r="AI132" s="675">
        <v>0</v>
      </c>
      <c r="AJ132" s="675">
        <v>6160</v>
      </c>
      <c r="AK132" s="675" t="s">
        <v>671</v>
      </c>
      <c r="AL132" s="675" t="s">
        <v>84</v>
      </c>
      <c r="AM132" s="675">
        <v>0</v>
      </c>
      <c r="AN132" s="675">
        <v>0</v>
      </c>
      <c r="AO132" s="675">
        <v>0</v>
      </c>
      <c r="AP132" s="675">
        <v>0</v>
      </c>
      <c r="AQ132" s="675">
        <v>0</v>
      </c>
      <c r="AR132" s="675">
        <v>0</v>
      </c>
      <c r="AS132" s="675">
        <v>0</v>
      </c>
      <c r="AT132" s="675">
        <v>0</v>
      </c>
      <c r="AU132" s="675">
        <v>0</v>
      </c>
      <c r="AV132" s="675">
        <v>-157630</v>
      </c>
      <c r="AW132" s="675">
        <v>8034995</v>
      </c>
      <c r="AX132" s="675">
        <v>7904816</v>
      </c>
      <c r="AY132" s="675">
        <v>5407615</v>
      </c>
      <c r="AZ132" s="675">
        <v>390185</v>
      </c>
      <c r="BA132" s="675">
        <v>0</v>
      </c>
      <c r="BB132" s="675">
        <v>0</v>
      </c>
      <c r="BC132" s="675">
        <v>0</v>
      </c>
      <c r="BD132" s="675">
        <v>0</v>
      </c>
      <c r="BE132" s="675">
        <v>0</v>
      </c>
      <c r="BF132" s="675">
        <v>7096475</v>
      </c>
      <c r="BG132" s="675">
        <v>0</v>
      </c>
      <c r="BH132" s="675">
        <v>0</v>
      </c>
      <c r="BI132" s="675">
        <v>0</v>
      </c>
      <c r="BJ132" s="675">
        <v>12</v>
      </c>
      <c r="BK132" s="675">
        <v>0</v>
      </c>
      <c r="BL132" s="675">
        <v>0</v>
      </c>
      <c r="BM132" s="675">
        <v>0</v>
      </c>
      <c r="BN132" s="675">
        <v>0</v>
      </c>
      <c r="BO132" s="675">
        <v>0</v>
      </c>
      <c r="BP132" s="675">
        <v>0</v>
      </c>
      <c r="BQ132" s="675">
        <v>675</v>
      </c>
      <c r="BR132" s="675">
        <v>0</v>
      </c>
      <c r="BS132" s="675">
        <v>0</v>
      </c>
      <c r="BT132" s="675">
        <v>0</v>
      </c>
      <c r="BU132" s="675">
        <v>0</v>
      </c>
      <c r="BV132" s="675">
        <v>0</v>
      </c>
      <c r="BW132" s="675">
        <v>0</v>
      </c>
      <c r="BX132" s="675">
        <v>0</v>
      </c>
      <c r="BY132" s="675">
        <v>0</v>
      </c>
      <c r="BZ132" s="675">
        <v>0</v>
      </c>
      <c r="CA132" s="675">
        <v>0</v>
      </c>
      <c r="CB132" s="675">
        <v>0</v>
      </c>
      <c r="CC132" s="675">
        <v>0</v>
      </c>
      <c r="CD132" s="675">
        <v>0</v>
      </c>
      <c r="CE132" s="675">
        <v>0</v>
      </c>
      <c r="CF132" s="675">
        <v>0</v>
      </c>
      <c r="CG132" s="675">
        <v>0</v>
      </c>
      <c r="CH132" s="675">
        <v>132847</v>
      </c>
      <c r="CI132" s="675">
        <v>0</v>
      </c>
      <c r="CJ132" s="675">
        <v>4</v>
      </c>
      <c r="CK132" s="675">
        <v>0</v>
      </c>
      <c r="CL132" s="675">
        <v>0</v>
      </c>
      <c r="CM132" s="675">
        <v>0</v>
      </c>
      <c r="CN132" s="675">
        <v>0</v>
      </c>
      <c r="CO132" s="675">
        <v>1</v>
      </c>
      <c r="CP132" s="675">
        <v>0</v>
      </c>
      <c r="CQ132" s="675">
        <v>0</v>
      </c>
      <c r="CR132" s="675">
        <v>911.01100000000008</v>
      </c>
      <c r="CS132" s="675">
        <v>0</v>
      </c>
      <c r="CT132" s="675">
        <v>0</v>
      </c>
      <c r="CU132" s="675">
        <v>0</v>
      </c>
      <c r="CV132" s="675">
        <v>0</v>
      </c>
      <c r="CW132" s="675">
        <v>0</v>
      </c>
      <c r="CX132" s="675">
        <v>0</v>
      </c>
      <c r="CY132" s="675">
        <v>0</v>
      </c>
      <c r="CZ132" s="675">
        <v>0</v>
      </c>
      <c r="DA132" s="675">
        <v>0</v>
      </c>
      <c r="DB132" s="675">
        <v>3552864</v>
      </c>
      <c r="DC132" s="675">
        <v>0</v>
      </c>
      <c r="DD132" s="675">
        <v>0</v>
      </c>
      <c r="DE132" s="675">
        <v>976586</v>
      </c>
      <c r="DF132" s="675">
        <v>976586</v>
      </c>
      <c r="DG132" s="675">
        <v>158.53800000000001</v>
      </c>
      <c r="DH132" s="675">
        <v>0</v>
      </c>
      <c r="DI132" s="675">
        <v>0</v>
      </c>
      <c r="DJ132" s="675">
        <v>0</v>
      </c>
      <c r="DK132" s="675">
        <v>2416</v>
      </c>
      <c r="DL132" s="675">
        <v>0</v>
      </c>
      <c r="DM132" s="675">
        <v>963515</v>
      </c>
      <c r="DN132" s="675">
        <v>2669</v>
      </c>
      <c r="DO132" s="675">
        <v>0</v>
      </c>
      <c r="DP132" s="675">
        <v>0</v>
      </c>
      <c r="DQ132" s="675">
        <v>0</v>
      </c>
      <c r="DR132" s="675">
        <v>0</v>
      </c>
      <c r="DS132" s="675">
        <v>0</v>
      </c>
      <c r="DT132" s="675">
        <v>0</v>
      </c>
      <c r="DU132" s="675">
        <v>0</v>
      </c>
      <c r="DV132" s="675">
        <v>0</v>
      </c>
      <c r="DW132" s="675">
        <v>0</v>
      </c>
      <c r="DX132" s="675">
        <v>0</v>
      </c>
      <c r="DY132" s="675">
        <v>0</v>
      </c>
      <c r="DZ132" s="675">
        <v>0</v>
      </c>
      <c r="EA132" s="675">
        <v>0</v>
      </c>
      <c r="EB132" s="675">
        <v>0</v>
      </c>
      <c r="EC132" s="675">
        <v>50.800000000000004</v>
      </c>
      <c r="ED132" s="675">
        <v>359866</v>
      </c>
      <c r="EE132" s="675">
        <v>0</v>
      </c>
      <c r="EF132" s="675">
        <v>0</v>
      </c>
      <c r="EG132" s="675">
        <v>0</v>
      </c>
      <c r="EH132" s="675">
        <v>343425</v>
      </c>
      <c r="EI132" s="675">
        <v>0</v>
      </c>
      <c r="EJ132" s="675">
        <v>0</v>
      </c>
      <c r="EK132" s="675">
        <v>18.257000000000001</v>
      </c>
      <c r="EL132" s="675">
        <v>0</v>
      </c>
      <c r="EM132" s="675">
        <v>0.11</v>
      </c>
      <c r="EN132" s="675">
        <v>0.13</v>
      </c>
      <c r="EO132" s="675">
        <v>0</v>
      </c>
      <c r="EP132" s="675">
        <v>0</v>
      </c>
      <c r="EQ132" s="675">
        <v>18.497</v>
      </c>
      <c r="ER132" s="675">
        <v>0</v>
      </c>
      <c r="ES132" s="675">
        <v>55.751000000000005</v>
      </c>
      <c r="ET132" s="675">
        <v>0</v>
      </c>
      <c r="EU132" s="675">
        <v>0</v>
      </c>
      <c r="EV132" s="675">
        <v>0</v>
      </c>
      <c r="EW132" s="675">
        <v>0</v>
      </c>
      <c r="EX132" s="675">
        <v>0</v>
      </c>
      <c r="EY132" s="675">
        <v>0</v>
      </c>
      <c r="EZ132" s="675">
        <v>7033654</v>
      </c>
      <c r="FA132" s="675">
        <v>0</v>
      </c>
      <c r="FB132" s="675">
        <v>7421171</v>
      </c>
      <c r="FC132" s="675">
        <v>0</v>
      </c>
      <c r="FD132" s="675">
        <v>0</v>
      </c>
      <c r="FE132" s="675">
        <v>721857</v>
      </c>
      <c r="FF132" s="675">
        <v>149305</v>
      </c>
      <c r="FG132" s="675">
        <v>6.3574999999999993E-2</v>
      </c>
      <c r="FH132" s="675">
        <v>2.6298999999999999E-2</v>
      </c>
      <c r="FI132" s="675">
        <v>0</v>
      </c>
      <c r="FJ132" s="675">
        <v>0</v>
      </c>
      <c r="FK132" s="675">
        <v>1152.0309999999999</v>
      </c>
      <c r="FL132" s="675">
        <v>8425180</v>
      </c>
      <c r="FM132" s="675">
        <v>0</v>
      </c>
      <c r="FN132" s="675">
        <v>0</v>
      </c>
      <c r="FO132" s="675">
        <v>46806</v>
      </c>
      <c r="FP132" s="675">
        <v>0</v>
      </c>
      <c r="FQ132" s="675">
        <v>46806</v>
      </c>
      <c r="FR132" s="675">
        <v>46806</v>
      </c>
      <c r="FS132" s="675">
        <v>0</v>
      </c>
      <c r="FT132" s="675">
        <v>0</v>
      </c>
      <c r="FU132" s="675">
        <v>0</v>
      </c>
      <c r="FV132" s="675">
        <v>0</v>
      </c>
      <c r="FW132" s="675">
        <v>0</v>
      </c>
      <c r="FX132" s="675">
        <v>0</v>
      </c>
      <c r="FY132" s="675">
        <v>0</v>
      </c>
      <c r="FZ132" s="675">
        <v>0</v>
      </c>
      <c r="GA132" s="675">
        <v>0</v>
      </c>
      <c r="GB132" s="675">
        <v>817771</v>
      </c>
      <c r="GC132" s="675">
        <v>817771</v>
      </c>
      <c r="GD132" s="675">
        <v>88.942000000000007</v>
      </c>
      <c r="GE132" s="675">
        <v>0</v>
      </c>
      <c r="GF132" s="675">
        <v>0</v>
      </c>
      <c r="GG132" s="675">
        <v>0</v>
      </c>
      <c r="GH132" s="675">
        <v>0</v>
      </c>
      <c r="GI132" s="675">
        <v>0</v>
      </c>
      <c r="GJ132" s="675">
        <v>0</v>
      </c>
      <c r="GK132" s="675">
        <v>0</v>
      </c>
      <c r="GL132" s="675">
        <v>0</v>
      </c>
      <c r="GM132" s="675">
        <v>0</v>
      </c>
      <c r="GN132" s="675">
        <v>0</v>
      </c>
      <c r="GO132" s="675">
        <v>0</v>
      </c>
      <c r="GP132" s="675">
        <v>0</v>
      </c>
      <c r="GQ132" s="675">
        <v>0</v>
      </c>
      <c r="GR132" s="675">
        <v>0</v>
      </c>
      <c r="GS132" s="675">
        <v>0</v>
      </c>
      <c r="GT132" s="675">
        <v>0</v>
      </c>
      <c r="GU132" s="675">
        <v>0</v>
      </c>
      <c r="GV132" s="675">
        <v>0</v>
      </c>
      <c r="GW132" s="675">
        <v>0</v>
      </c>
      <c r="GX132" s="675">
        <v>0</v>
      </c>
      <c r="GY132" s="675">
        <v>0</v>
      </c>
      <c r="GZ132" s="675">
        <v>0</v>
      </c>
      <c r="HA132" s="675">
        <v>0</v>
      </c>
      <c r="HB132" s="675">
        <v>298386780</v>
      </c>
      <c r="HC132" s="675">
        <v>4.5690999999999996E-2</v>
      </c>
      <c r="HD132" s="675">
        <v>132847</v>
      </c>
      <c r="HE132" s="675">
        <v>0</v>
      </c>
      <c r="HF132" s="675">
        <v>681388</v>
      </c>
      <c r="HG132" s="675">
        <v>31416</v>
      </c>
      <c r="HH132" s="675">
        <v>0</v>
      </c>
      <c r="HI132" s="675">
        <v>0</v>
      </c>
      <c r="HJ132" s="675">
        <v>7065</v>
      </c>
      <c r="HK132" s="675">
        <v>12177</v>
      </c>
      <c r="HL132" s="675">
        <v>13236</v>
      </c>
      <c r="HM132" s="675">
        <v>0</v>
      </c>
      <c r="HN132" s="675">
        <v>0</v>
      </c>
      <c r="HO132" s="675">
        <v>0</v>
      </c>
      <c r="HP132" s="675">
        <v>255145</v>
      </c>
      <c r="HQ132" s="675">
        <v>0</v>
      </c>
      <c r="HR132" s="675">
        <v>0</v>
      </c>
      <c r="HS132" s="675">
        <v>7030986</v>
      </c>
      <c r="HT132" s="675">
        <v>149305</v>
      </c>
      <c r="HU132" s="675">
        <v>0</v>
      </c>
      <c r="HV132" s="675">
        <v>0</v>
      </c>
      <c r="HW132" s="675">
        <v>0</v>
      </c>
      <c r="HX132" s="675">
        <v>123</v>
      </c>
      <c r="HY132" s="675">
        <v>117</v>
      </c>
      <c r="HZ132" s="675">
        <v>95</v>
      </c>
      <c r="IA132" s="675">
        <v>144</v>
      </c>
      <c r="IB132" s="675">
        <v>151</v>
      </c>
      <c r="IC132" s="675">
        <v>630</v>
      </c>
      <c r="ID132" s="675">
        <v>0</v>
      </c>
      <c r="IE132" s="675">
        <v>0</v>
      </c>
      <c r="IF132" s="675">
        <v>0</v>
      </c>
      <c r="IG132" s="675">
        <v>51</v>
      </c>
      <c r="IH132" s="675">
        <v>0</v>
      </c>
      <c r="II132" s="675">
        <v>927.80100000000004</v>
      </c>
      <c r="IJ132" s="675">
        <v>102.60000000000001</v>
      </c>
      <c r="IK132" s="675">
        <v>0</v>
      </c>
      <c r="IL132" s="675">
        <v>0</v>
      </c>
      <c r="IM132" s="675">
        <v>0</v>
      </c>
      <c r="IN132" s="675">
        <v>0</v>
      </c>
      <c r="IO132" s="675">
        <v>0</v>
      </c>
      <c r="IP132" s="675">
        <v>927.80100000000004</v>
      </c>
      <c r="IQ132" s="675">
        <v>102.60000000000001</v>
      </c>
      <c r="IR132" s="675">
        <v>63201</v>
      </c>
      <c r="IS132" s="675">
        <v>0</v>
      </c>
      <c r="IT132" s="675">
        <v>0</v>
      </c>
      <c r="IU132" s="675">
        <v>0</v>
      </c>
      <c r="IV132" s="675">
        <v>0</v>
      </c>
      <c r="IW132" s="675">
        <v>6160</v>
      </c>
      <c r="IX132" s="675">
        <v>0</v>
      </c>
      <c r="IY132" s="675">
        <v>0</v>
      </c>
      <c r="IZ132" s="675">
        <v>255145</v>
      </c>
      <c r="JA132" s="675">
        <v>0</v>
      </c>
      <c r="JB132" s="675">
        <v>0</v>
      </c>
      <c r="JC132" s="675">
        <v>0</v>
      </c>
      <c r="JD132" s="675">
        <v>0</v>
      </c>
      <c r="JE132" s="675">
        <v>0</v>
      </c>
      <c r="JF132" s="675">
        <v>0</v>
      </c>
      <c r="JG132" s="675">
        <v>0</v>
      </c>
      <c r="JH132" s="675">
        <v>0</v>
      </c>
      <c r="JI132" s="675">
        <v>0</v>
      </c>
      <c r="JJ132" s="675">
        <v>0</v>
      </c>
      <c r="JK132" s="675">
        <v>0</v>
      </c>
      <c r="JL132" s="675">
        <v>0</v>
      </c>
      <c r="JM132" s="675">
        <v>0</v>
      </c>
      <c r="JN132" s="675">
        <v>32469</v>
      </c>
      <c r="JO132" s="675">
        <v>19.95</v>
      </c>
      <c r="JP132" s="675">
        <v>56.435000000000002</v>
      </c>
      <c r="JQ132" s="675">
        <v>12.557</v>
      </c>
      <c r="JR132" s="675">
        <v>159321</v>
      </c>
      <c r="JS132" s="675">
        <v>524439</v>
      </c>
      <c r="JT132" s="675">
        <v>134011</v>
      </c>
      <c r="JU132" s="675">
        <v>0</v>
      </c>
      <c r="JV132" s="675">
        <v>0</v>
      </c>
      <c r="JW132" s="675">
        <v>0</v>
      </c>
      <c r="JX132" s="675">
        <v>0</v>
      </c>
      <c r="JY132" s="675">
        <v>0</v>
      </c>
      <c r="JZ132" s="675">
        <v>0</v>
      </c>
      <c r="KA132" s="675">
        <v>0</v>
      </c>
      <c r="KB132" s="675">
        <v>0</v>
      </c>
      <c r="KC132" s="675">
        <v>0</v>
      </c>
      <c r="KD132" s="675">
        <v>0</v>
      </c>
      <c r="KE132" s="675">
        <v>7260</v>
      </c>
      <c r="KF132" s="675">
        <v>0</v>
      </c>
      <c r="KG132" s="675">
        <v>0</v>
      </c>
      <c r="KH132" s="675">
        <v>0</v>
      </c>
      <c r="KI132" s="675">
        <v>0</v>
      </c>
    </row>
    <row r="133" spans="1:295" ht="12.5" x14ac:dyDescent="0.25">
      <c r="A133" s="675">
        <v>35795</v>
      </c>
      <c r="B133" s="675">
        <v>101828</v>
      </c>
      <c r="C133" s="675">
        <v>9</v>
      </c>
      <c r="D133" s="675">
        <v>2022</v>
      </c>
      <c r="E133" s="675">
        <v>6160</v>
      </c>
      <c r="F133" s="675">
        <v>0</v>
      </c>
      <c r="G133" s="675">
        <v>1870.64</v>
      </c>
      <c r="H133" s="675">
        <v>1791.0740000000001</v>
      </c>
      <c r="I133" s="675">
        <v>1791.0740000000001</v>
      </c>
      <c r="J133" s="675">
        <v>1870.64</v>
      </c>
      <c r="K133" s="675">
        <v>0</v>
      </c>
      <c r="L133" s="675">
        <v>6160</v>
      </c>
      <c r="M133" s="675">
        <v>0</v>
      </c>
      <c r="N133" s="675">
        <v>0</v>
      </c>
      <c r="O133" s="675">
        <v>0</v>
      </c>
      <c r="P133" s="675">
        <v>2013.652</v>
      </c>
      <c r="Q133" s="675">
        <v>0</v>
      </c>
      <c r="R133" s="675">
        <v>810350</v>
      </c>
      <c r="S133" s="675">
        <v>402.428</v>
      </c>
      <c r="T133" s="675">
        <v>0</v>
      </c>
      <c r="U133" s="675">
        <v>430924</v>
      </c>
      <c r="V133" s="675">
        <v>765.35200000000009</v>
      </c>
      <c r="W133" s="675">
        <v>703526</v>
      </c>
      <c r="X133" s="675">
        <v>703526</v>
      </c>
      <c r="Y133" s="675">
        <v>0</v>
      </c>
      <c r="Z133" s="675">
        <v>0</v>
      </c>
      <c r="AA133" s="675">
        <v>0</v>
      </c>
      <c r="AB133" s="675">
        <v>0</v>
      </c>
      <c r="AC133" s="675">
        <v>0</v>
      </c>
      <c r="AD133" s="675" t="s">
        <v>316</v>
      </c>
      <c r="AE133" s="675">
        <v>0</v>
      </c>
      <c r="AF133" s="675">
        <v>0</v>
      </c>
      <c r="AG133" s="675">
        <v>0</v>
      </c>
      <c r="AH133" s="675">
        <v>0</v>
      </c>
      <c r="AI133" s="675">
        <v>0</v>
      </c>
      <c r="AJ133" s="675">
        <v>6160</v>
      </c>
      <c r="AK133" s="675" t="s">
        <v>671</v>
      </c>
      <c r="AL133" s="675" t="s">
        <v>348</v>
      </c>
      <c r="AM133" s="675">
        <v>0</v>
      </c>
      <c r="AN133" s="675">
        <v>0</v>
      </c>
      <c r="AO133" s="675">
        <v>0</v>
      </c>
      <c r="AP133" s="675">
        <v>0</v>
      </c>
      <c r="AQ133" s="675">
        <v>0</v>
      </c>
      <c r="AR133" s="675">
        <v>0</v>
      </c>
      <c r="AS133" s="675">
        <v>0</v>
      </c>
      <c r="AT133" s="675">
        <v>0</v>
      </c>
      <c r="AU133" s="675">
        <v>0</v>
      </c>
      <c r="AV133" s="675">
        <v>-21569</v>
      </c>
      <c r="AW133" s="675">
        <v>20231634</v>
      </c>
      <c r="AX133" s="675">
        <v>19880211</v>
      </c>
      <c r="AY133" s="675">
        <v>14119958</v>
      </c>
      <c r="AZ133" s="675">
        <v>810350</v>
      </c>
      <c r="BA133" s="675">
        <v>0</v>
      </c>
      <c r="BB133" s="675">
        <v>0</v>
      </c>
      <c r="BC133" s="675">
        <v>0</v>
      </c>
      <c r="BD133" s="675">
        <v>0</v>
      </c>
      <c r="BE133" s="675">
        <v>0</v>
      </c>
      <c r="BF133" s="675">
        <v>18423841</v>
      </c>
      <c r="BG133" s="675">
        <v>0</v>
      </c>
      <c r="BH133" s="675">
        <v>0</v>
      </c>
      <c r="BI133" s="675">
        <v>0</v>
      </c>
      <c r="BJ133" s="675">
        <v>12</v>
      </c>
      <c r="BK133" s="675">
        <v>0</v>
      </c>
      <c r="BL133" s="675">
        <v>0</v>
      </c>
      <c r="BM133" s="675">
        <v>0</v>
      </c>
      <c r="BN133" s="675">
        <v>0</v>
      </c>
      <c r="BO133" s="675">
        <v>0</v>
      </c>
      <c r="BP133" s="675">
        <v>0</v>
      </c>
      <c r="BQ133" s="675">
        <v>494</v>
      </c>
      <c r="BR133" s="675">
        <v>0</v>
      </c>
      <c r="BS133" s="675">
        <v>0</v>
      </c>
      <c r="BT133" s="675">
        <v>0</v>
      </c>
      <c r="BU133" s="675">
        <v>0</v>
      </c>
      <c r="BV133" s="675">
        <v>0</v>
      </c>
      <c r="BW133" s="675">
        <v>0</v>
      </c>
      <c r="BX133" s="675">
        <v>0</v>
      </c>
      <c r="BY133" s="675">
        <v>0</v>
      </c>
      <c r="BZ133" s="675">
        <v>0</v>
      </c>
      <c r="CA133" s="675">
        <v>0</v>
      </c>
      <c r="CB133" s="675">
        <v>0</v>
      </c>
      <c r="CC133" s="675">
        <v>0</v>
      </c>
      <c r="CD133" s="675">
        <v>0</v>
      </c>
      <c r="CE133" s="675">
        <v>0</v>
      </c>
      <c r="CF133" s="675">
        <v>0</v>
      </c>
      <c r="CG133" s="675">
        <v>0</v>
      </c>
      <c r="CH133" s="675">
        <v>353421</v>
      </c>
      <c r="CI133" s="675">
        <v>0</v>
      </c>
      <c r="CJ133" s="675">
        <v>4</v>
      </c>
      <c r="CK133" s="675">
        <v>0</v>
      </c>
      <c r="CL133" s="675">
        <v>0</v>
      </c>
      <c r="CM133" s="675">
        <v>0</v>
      </c>
      <c r="CN133" s="675">
        <v>0</v>
      </c>
      <c r="CO133" s="675">
        <v>1</v>
      </c>
      <c r="CP133" s="675">
        <v>0</v>
      </c>
      <c r="CQ133" s="675">
        <v>0</v>
      </c>
      <c r="CR133" s="675">
        <v>2063.569</v>
      </c>
      <c r="CS133" s="675">
        <v>0</v>
      </c>
      <c r="CT133" s="675">
        <v>0</v>
      </c>
      <c r="CU133" s="675">
        <v>0</v>
      </c>
      <c r="CV133" s="675">
        <v>0</v>
      </c>
      <c r="CW133" s="675">
        <v>0</v>
      </c>
      <c r="CX133" s="675">
        <v>0</v>
      </c>
      <c r="CY133" s="675">
        <v>0</v>
      </c>
      <c r="CZ133" s="675">
        <v>0</v>
      </c>
      <c r="DA133" s="675">
        <v>0</v>
      </c>
      <c r="DB133" s="675">
        <v>11002784</v>
      </c>
      <c r="DC133" s="675">
        <v>0</v>
      </c>
      <c r="DD133" s="675">
        <v>0</v>
      </c>
      <c r="DE133" s="675">
        <v>2988433</v>
      </c>
      <c r="DF133" s="675">
        <v>2988433</v>
      </c>
      <c r="DG133" s="675">
        <v>485.13800000000003</v>
      </c>
      <c r="DH133" s="675">
        <v>0</v>
      </c>
      <c r="DI133" s="675">
        <v>0</v>
      </c>
      <c r="DJ133" s="675">
        <v>0</v>
      </c>
      <c r="DK133" s="675">
        <v>0</v>
      </c>
      <c r="DL133" s="675">
        <v>0</v>
      </c>
      <c r="DM133" s="675">
        <v>554674</v>
      </c>
      <c r="DN133" s="675">
        <v>1998</v>
      </c>
      <c r="DO133" s="675">
        <v>0</v>
      </c>
      <c r="DP133" s="675">
        <v>0</v>
      </c>
      <c r="DQ133" s="675">
        <v>0</v>
      </c>
      <c r="DR133" s="675">
        <v>0</v>
      </c>
      <c r="DS133" s="675">
        <v>0</v>
      </c>
      <c r="DT133" s="675">
        <v>0</v>
      </c>
      <c r="DU133" s="675">
        <v>0</v>
      </c>
      <c r="DV133" s="675">
        <v>0</v>
      </c>
      <c r="DW133" s="675">
        <v>0</v>
      </c>
      <c r="DX133" s="675">
        <v>0</v>
      </c>
      <c r="DY133" s="675">
        <v>0</v>
      </c>
      <c r="DZ133" s="675">
        <v>0</v>
      </c>
      <c r="EA133" s="675">
        <v>0</v>
      </c>
      <c r="EB133" s="675">
        <v>0</v>
      </c>
      <c r="EC133" s="675">
        <v>1.6920000000000002</v>
      </c>
      <c r="ED133" s="675">
        <v>11986</v>
      </c>
      <c r="EE133" s="675">
        <v>0</v>
      </c>
      <c r="EF133" s="675">
        <v>0</v>
      </c>
      <c r="EG133" s="675">
        <v>0</v>
      </c>
      <c r="EH133" s="675">
        <v>514505</v>
      </c>
      <c r="EI133" s="675">
        <v>0</v>
      </c>
      <c r="EJ133" s="675">
        <v>0</v>
      </c>
      <c r="EK133" s="675">
        <v>23.887</v>
      </c>
      <c r="EL133" s="675">
        <v>0</v>
      </c>
      <c r="EM133" s="675">
        <v>1.6460000000000001</v>
      </c>
      <c r="EN133" s="675">
        <v>1.385</v>
      </c>
      <c r="EO133" s="675">
        <v>0</v>
      </c>
      <c r="EP133" s="675">
        <v>0</v>
      </c>
      <c r="EQ133" s="675">
        <v>26.918000000000003</v>
      </c>
      <c r="ER133" s="675">
        <v>0</v>
      </c>
      <c r="ES133" s="675">
        <v>83.524000000000001</v>
      </c>
      <c r="ET133" s="675">
        <v>0</v>
      </c>
      <c r="EU133" s="675">
        <v>0</v>
      </c>
      <c r="EV133" s="675">
        <v>0</v>
      </c>
      <c r="EW133" s="675">
        <v>0</v>
      </c>
      <c r="EX133" s="675">
        <v>0</v>
      </c>
      <c r="EY133" s="675">
        <v>0</v>
      </c>
      <c r="EZ133" s="675">
        <v>17618504</v>
      </c>
      <c r="FA133" s="675">
        <v>0</v>
      </c>
      <c r="FB133" s="675">
        <v>18426856</v>
      </c>
      <c r="FC133" s="675">
        <v>0</v>
      </c>
      <c r="FD133" s="675">
        <v>0</v>
      </c>
      <c r="FE133" s="675">
        <v>1874082</v>
      </c>
      <c r="FF133" s="675">
        <v>387625</v>
      </c>
      <c r="FG133" s="675">
        <v>6.3574999999999993E-2</v>
      </c>
      <c r="FH133" s="675">
        <v>2.6298999999999999E-2</v>
      </c>
      <c r="FI133" s="675">
        <v>0</v>
      </c>
      <c r="FJ133" s="675">
        <v>0</v>
      </c>
      <c r="FK133" s="675">
        <v>2990.8969999999999</v>
      </c>
      <c r="FL133" s="675">
        <v>21041984</v>
      </c>
      <c r="FM133" s="675">
        <v>0</v>
      </c>
      <c r="FN133" s="675">
        <v>0</v>
      </c>
      <c r="FO133" s="675">
        <v>0</v>
      </c>
      <c r="FP133" s="675">
        <v>0</v>
      </c>
      <c r="FQ133" s="675">
        <v>0</v>
      </c>
      <c r="FR133" s="675">
        <v>0</v>
      </c>
      <c r="FS133" s="675">
        <v>0</v>
      </c>
      <c r="FT133" s="675">
        <v>0</v>
      </c>
      <c r="FU133" s="675">
        <v>0</v>
      </c>
      <c r="FV133" s="675">
        <v>0</v>
      </c>
      <c r="FW133" s="675">
        <v>0</v>
      </c>
      <c r="FX133" s="675">
        <v>0</v>
      </c>
      <c r="FY133" s="675">
        <v>0</v>
      </c>
      <c r="FZ133" s="675">
        <v>0</v>
      </c>
      <c r="GA133" s="675">
        <v>0</v>
      </c>
      <c r="GB133" s="675">
        <v>465600</v>
      </c>
      <c r="GC133" s="675">
        <v>465600</v>
      </c>
      <c r="GD133" s="675">
        <v>52.648000000000003</v>
      </c>
      <c r="GE133" s="675">
        <v>0</v>
      </c>
      <c r="GF133" s="675">
        <v>0</v>
      </c>
      <c r="GG133" s="675">
        <v>0</v>
      </c>
      <c r="GH133" s="675">
        <v>0</v>
      </c>
      <c r="GI133" s="675">
        <v>0</v>
      </c>
      <c r="GJ133" s="675">
        <v>0</v>
      </c>
      <c r="GK133" s="675">
        <v>0</v>
      </c>
      <c r="GL133" s="675">
        <v>0</v>
      </c>
      <c r="GM133" s="675">
        <v>0</v>
      </c>
      <c r="GN133" s="675">
        <v>0</v>
      </c>
      <c r="GO133" s="675">
        <v>0</v>
      </c>
      <c r="GP133" s="675">
        <v>0</v>
      </c>
      <c r="GQ133" s="675">
        <v>0</v>
      </c>
      <c r="GR133" s="675">
        <v>0</v>
      </c>
      <c r="GS133" s="675">
        <v>0</v>
      </c>
      <c r="GT133" s="675">
        <v>0</v>
      </c>
      <c r="GU133" s="675">
        <v>0</v>
      </c>
      <c r="GV133" s="675">
        <v>0</v>
      </c>
      <c r="GW133" s="675">
        <v>0</v>
      </c>
      <c r="GX133" s="675">
        <v>0</v>
      </c>
      <c r="GY133" s="675">
        <v>0</v>
      </c>
      <c r="GZ133" s="675">
        <v>0</v>
      </c>
      <c r="HA133" s="675">
        <v>0</v>
      </c>
      <c r="HB133" s="675">
        <v>298386780</v>
      </c>
      <c r="HC133" s="675">
        <v>4.5690999999999996E-2</v>
      </c>
      <c r="HD133" s="675">
        <v>341883</v>
      </c>
      <c r="HE133" s="675">
        <v>0</v>
      </c>
      <c r="HF133" s="675">
        <v>1970181</v>
      </c>
      <c r="HG133" s="675">
        <v>13552</v>
      </c>
      <c r="HH133" s="675">
        <v>625910</v>
      </c>
      <c r="HI133" s="675">
        <v>0</v>
      </c>
      <c r="HJ133" s="675">
        <v>18183</v>
      </c>
      <c r="HK133" s="675">
        <v>5013</v>
      </c>
      <c r="HL133" s="675">
        <v>0</v>
      </c>
      <c r="HM133" s="675">
        <v>79000</v>
      </c>
      <c r="HN133" s="675">
        <v>0</v>
      </c>
      <c r="HO133" s="675">
        <v>0</v>
      </c>
      <c r="HP133" s="675">
        <v>0</v>
      </c>
      <c r="HQ133" s="675">
        <v>0</v>
      </c>
      <c r="HR133" s="675">
        <v>0</v>
      </c>
      <c r="HS133" s="675">
        <v>17616506</v>
      </c>
      <c r="HT133" s="675">
        <v>387625</v>
      </c>
      <c r="HU133" s="675">
        <v>0</v>
      </c>
      <c r="HV133" s="675">
        <v>0</v>
      </c>
      <c r="HW133" s="675">
        <v>0</v>
      </c>
      <c r="HX133" s="675">
        <v>40</v>
      </c>
      <c r="HY133" s="675">
        <v>152</v>
      </c>
      <c r="HZ133" s="675">
        <v>347</v>
      </c>
      <c r="IA133" s="675">
        <v>623</v>
      </c>
      <c r="IB133" s="675">
        <v>690</v>
      </c>
      <c r="IC133" s="675">
        <v>1852</v>
      </c>
      <c r="ID133" s="675">
        <v>0</v>
      </c>
      <c r="IE133" s="675">
        <v>251.16</v>
      </c>
      <c r="IF133" s="675">
        <v>0</v>
      </c>
      <c r="IG133" s="675">
        <v>22</v>
      </c>
      <c r="IH133" s="675">
        <v>1016.0930000000001</v>
      </c>
      <c r="II133" s="675">
        <v>0</v>
      </c>
      <c r="IJ133" s="675">
        <v>1016.5120000000001</v>
      </c>
      <c r="IK133" s="675">
        <v>0</v>
      </c>
      <c r="IL133" s="675">
        <v>14</v>
      </c>
      <c r="IM133" s="675">
        <v>3</v>
      </c>
      <c r="IN133" s="675">
        <v>0</v>
      </c>
      <c r="IO133" s="675">
        <v>17</v>
      </c>
      <c r="IP133" s="675">
        <v>0</v>
      </c>
      <c r="IQ133" s="675">
        <v>765.35200000000009</v>
      </c>
      <c r="IR133" s="675">
        <v>471455</v>
      </c>
      <c r="IS133" s="675">
        <v>0</v>
      </c>
      <c r="IT133" s="675">
        <v>70000</v>
      </c>
      <c r="IU133" s="675">
        <v>9000</v>
      </c>
      <c r="IV133" s="675">
        <v>0</v>
      </c>
      <c r="IW133" s="675">
        <v>6160</v>
      </c>
      <c r="IX133" s="675">
        <v>232071</v>
      </c>
      <c r="IY133" s="675">
        <v>0</v>
      </c>
      <c r="IZ133" s="675">
        <v>0</v>
      </c>
      <c r="JA133" s="675">
        <v>0</v>
      </c>
      <c r="JB133" s="675">
        <v>0</v>
      </c>
      <c r="JC133" s="675">
        <v>0</v>
      </c>
      <c r="JD133" s="675">
        <v>0</v>
      </c>
      <c r="JE133" s="675">
        <v>0</v>
      </c>
      <c r="JF133" s="675">
        <v>0</v>
      </c>
      <c r="JG133" s="675">
        <v>0</v>
      </c>
      <c r="JH133" s="675">
        <v>0</v>
      </c>
      <c r="JI133" s="675">
        <v>0</v>
      </c>
      <c r="JJ133" s="675">
        <v>0</v>
      </c>
      <c r="JK133" s="675">
        <v>0</v>
      </c>
      <c r="JL133" s="675">
        <v>0</v>
      </c>
      <c r="JM133" s="675">
        <v>0</v>
      </c>
      <c r="JN133" s="675">
        <v>32469</v>
      </c>
      <c r="JO133" s="675">
        <v>27.268000000000001</v>
      </c>
      <c r="JP133" s="675">
        <v>16.690000000000001</v>
      </c>
      <c r="JQ133" s="675">
        <v>8.69</v>
      </c>
      <c r="JR133" s="675">
        <v>217762</v>
      </c>
      <c r="JS133" s="675">
        <v>155097</v>
      </c>
      <c r="JT133" s="675">
        <v>92741</v>
      </c>
      <c r="JU133" s="675">
        <v>0</v>
      </c>
      <c r="JV133" s="675">
        <v>0</v>
      </c>
      <c r="JW133" s="675">
        <v>0</v>
      </c>
      <c r="JX133" s="675">
        <v>0</v>
      </c>
      <c r="JY133" s="675">
        <v>0</v>
      </c>
      <c r="JZ133" s="675">
        <v>0</v>
      </c>
      <c r="KA133" s="675">
        <v>0</v>
      </c>
      <c r="KB133" s="675">
        <v>0</v>
      </c>
      <c r="KC133" s="675">
        <v>0</v>
      </c>
      <c r="KD133" s="675">
        <v>0</v>
      </c>
      <c r="KE133" s="675">
        <v>7260</v>
      </c>
      <c r="KF133" s="675">
        <v>11538</v>
      </c>
      <c r="KG133" s="675">
        <v>0</v>
      </c>
      <c r="KH133" s="675">
        <v>0</v>
      </c>
      <c r="KI133" s="675">
        <v>0</v>
      </c>
    </row>
    <row r="134" spans="1:295" ht="12.5" x14ac:dyDescent="0.25">
      <c r="A134" s="675">
        <v>35795</v>
      </c>
      <c r="B134" s="675">
        <v>57829</v>
      </c>
      <c r="C134" s="675">
        <v>9</v>
      </c>
      <c r="D134" s="675">
        <v>2022</v>
      </c>
      <c r="E134" s="675">
        <v>6160</v>
      </c>
      <c r="F134" s="675">
        <v>0</v>
      </c>
      <c r="G134" s="675">
        <v>1350.3630000000001</v>
      </c>
      <c r="H134" s="675">
        <v>1219.0420000000001</v>
      </c>
      <c r="I134" s="675">
        <v>1219.0420000000001</v>
      </c>
      <c r="J134" s="675">
        <v>1350.3630000000001</v>
      </c>
      <c r="K134" s="675">
        <v>0</v>
      </c>
      <c r="L134" s="675">
        <v>6160</v>
      </c>
      <c r="M134" s="675">
        <v>0</v>
      </c>
      <c r="N134" s="675">
        <v>0</v>
      </c>
      <c r="O134" s="675">
        <v>0</v>
      </c>
      <c r="P134" s="675">
        <v>1328.5420000000001</v>
      </c>
      <c r="Q134" s="675">
        <v>0</v>
      </c>
      <c r="R134" s="675">
        <v>534642</v>
      </c>
      <c r="S134" s="675">
        <v>402.428</v>
      </c>
      <c r="T134" s="675">
        <v>0</v>
      </c>
      <c r="U134" s="675">
        <v>284310</v>
      </c>
      <c r="V134" s="675">
        <v>679.84300000000007</v>
      </c>
      <c r="W134" s="675">
        <v>418781</v>
      </c>
      <c r="X134" s="675">
        <v>418781</v>
      </c>
      <c r="Y134" s="675">
        <v>0</v>
      </c>
      <c r="Z134" s="675">
        <v>0</v>
      </c>
      <c r="AA134" s="675">
        <v>0</v>
      </c>
      <c r="AB134" s="675">
        <v>0</v>
      </c>
      <c r="AC134" s="675">
        <v>0</v>
      </c>
      <c r="AD134" s="675" t="s">
        <v>316</v>
      </c>
      <c r="AE134" s="675">
        <v>0</v>
      </c>
      <c r="AF134" s="675">
        <v>0</v>
      </c>
      <c r="AG134" s="675">
        <v>0</v>
      </c>
      <c r="AH134" s="675">
        <v>0</v>
      </c>
      <c r="AI134" s="675">
        <v>0</v>
      </c>
      <c r="AJ134" s="675">
        <v>6160</v>
      </c>
      <c r="AK134" s="675" t="s">
        <v>671</v>
      </c>
      <c r="AL134" s="675" t="s">
        <v>45</v>
      </c>
      <c r="AM134" s="675">
        <v>0</v>
      </c>
      <c r="AN134" s="675">
        <v>0</v>
      </c>
      <c r="AO134" s="675">
        <v>0</v>
      </c>
      <c r="AP134" s="675">
        <v>0</v>
      </c>
      <c r="AQ134" s="675">
        <v>0</v>
      </c>
      <c r="AR134" s="675">
        <v>0</v>
      </c>
      <c r="AS134" s="675">
        <v>0</v>
      </c>
      <c r="AT134" s="675">
        <v>0</v>
      </c>
      <c r="AU134" s="675">
        <v>0</v>
      </c>
      <c r="AV134" s="675">
        <v>0</v>
      </c>
      <c r="AW134" s="675">
        <v>15297427</v>
      </c>
      <c r="AX134" s="675">
        <v>15054738</v>
      </c>
      <c r="AY134" s="675">
        <v>10073138</v>
      </c>
      <c r="AZ134" s="675">
        <v>534642</v>
      </c>
      <c r="BA134" s="675">
        <v>0</v>
      </c>
      <c r="BB134" s="675">
        <v>29114</v>
      </c>
      <c r="BC134" s="675">
        <v>28926</v>
      </c>
      <c r="BD134" s="675">
        <v>67.518000000000001</v>
      </c>
      <c r="BE134" s="675">
        <v>188</v>
      </c>
      <c r="BF134" s="675">
        <v>13877123</v>
      </c>
      <c r="BG134" s="675">
        <v>0</v>
      </c>
      <c r="BH134" s="675">
        <v>0</v>
      </c>
      <c r="BI134" s="675">
        <v>0</v>
      </c>
      <c r="BJ134" s="675">
        <v>12</v>
      </c>
      <c r="BK134" s="675">
        <v>0</v>
      </c>
      <c r="BL134" s="675">
        <v>0</v>
      </c>
      <c r="BM134" s="675">
        <v>0</v>
      </c>
      <c r="BN134" s="675">
        <v>0</v>
      </c>
      <c r="BO134" s="675">
        <v>0</v>
      </c>
      <c r="BP134" s="675">
        <v>0</v>
      </c>
      <c r="BQ134" s="675">
        <v>582</v>
      </c>
      <c r="BR134" s="675">
        <v>0</v>
      </c>
      <c r="BS134" s="675">
        <v>0</v>
      </c>
      <c r="BT134" s="675">
        <v>0</v>
      </c>
      <c r="BU134" s="675">
        <v>0</v>
      </c>
      <c r="BV134" s="675">
        <v>0</v>
      </c>
      <c r="BW134" s="675">
        <v>0</v>
      </c>
      <c r="BX134" s="675">
        <v>0</v>
      </c>
      <c r="BY134" s="675">
        <v>0</v>
      </c>
      <c r="BZ134" s="675">
        <v>0</v>
      </c>
      <c r="CA134" s="675">
        <v>0</v>
      </c>
      <c r="CB134" s="675">
        <v>0</v>
      </c>
      <c r="CC134" s="675">
        <v>0</v>
      </c>
      <c r="CD134" s="675">
        <v>0</v>
      </c>
      <c r="CE134" s="675">
        <v>0</v>
      </c>
      <c r="CF134" s="675">
        <v>0</v>
      </c>
      <c r="CG134" s="675">
        <v>0</v>
      </c>
      <c r="CH134" s="675">
        <v>246796</v>
      </c>
      <c r="CI134" s="675">
        <v>0</v>
      </c>
      <c r="CJ134" s="675">
        <v>4</v>
      </c>
      <c r="CK134" s="675">
        <v>0</v>
      </c>
      <c r="CL134" s="675">
        <v>0</v>
      </c>
      <c r="CM134" s="675">
        <v>0</v>
      </c>
      <c r="CN134" s="675">
        <v>0</v>
      </c>
      <c r="CO134" s="675">
        <v>1</v>
      </c>
      <c r="CP134" s="675">
        <v>0</v>
      </c>
      <c r="CQ134" s="675">
        <v>0</v>
      </c>
      <c r="CR134" s="675">
        <v>1285.8410000000001</v>
      </c>
      <c r="CS134" s="675">
        <v>0</v>
      </c>
      <c r="CT134" s="675">
        <v>0</v>
      </c>
      <c r="CU134" s="675">
        <v>0</v>
      </c>
      <c r="CV134" s="675">
        <v>0</v>
      </c>
      <c r="CW134" s="675">
        <v>0</v>
      </c>
      <c r="CX134" s="675">
        <v>0</v>
      </c>
      <c r="CY134" s="675">
        <v>0</v>
      </c>
      <c r="CZ134" s="675">
        <v>0</v>
      </c>
      <c r="DA134" s="675">
        <v>0</v>
      </c>
      <c r="DB134" s="675">
        <v>7509264</v>
      </c>
      <c r="DC134" s="675">
        <v>0</v>
      </c>
      <c r="DD134" s="675">
        <v>0</v>
      </c>
      <c r="DE134" s="675">
        <v>2298208</v>
      </c>
      <c r="DF134" s="675">
        <v>2298208</v>
      </c>
      <c r="DG134" s="675">
        <v>373.08800000000002</v>
      </c>
      <c r="DH134" s="675">
        <v>0</v>
      </c>
      <c r="DI134" s="675">
        <v>0</v>
      </c>
      <c r="DJ134" s="675">
        <v>0</v>
      </c>
      <c r="DK134" s="675">
        <v>939</v>
      </c>
      <c r="DL134" s="675">
        <v>0</v>
      </c>
      <c r="DM134" s="675">
        <v>1028997</v>
      </c>
      <c r="DN134" s="675">
        <v>3919</v>
      </c>
      <c r="DO134" s="675">
        <v>0</v>
      </c>
      <c r="DP134" s="675">
        <v>0</v>
      </c>
      <c r="DQ134" s="675">
        <v>0</v>
      </c>
      <c r="DR134" s="675">
        <v>0</v>
      </c>
      <c r="DS134" s="675">
        <v>0</v>
      </c>
      <c r="DT134" s="675">
        <v>0</v>
      </c>
      <c r="DU134" s="675">
        <v>0</v>
      </c>
      <c r="DV134" s="675">
        <v>0</v>
      </c>
      <c r="DW134" s="675">
        <v>0</v>
      </c>
      <c r="DX134" s="675">
        <v>0</v>
      </c>
      <c r="DY134" s="675">
        <v>0</v>
      </c>
      <c r="DZ134" s="675">
        <v>0</v>
      </c>
      <c r="EA134" s="675">
        <v>0.108</v>
      </c>
      <c r="EB134" s="675">
        <v>0</v>
      </c>
      <c r="EC134" s="675">
        <v>53.373000000000005</v>
      </c>
      <c r="ED134" s="675">
        <v>378093</v>
      </c>
      <c r="EE134" s="675">
        <v>0</v>
      </c>
      <c r="EF134" s="675">
        <v>0</v>
      </c>
      <c r="EG134" s="675">
        <v>0</v>
      </c>
      <c r="EH134" s="675">
        <v>654823</v>
      </c>
      <c r="EI134" s="675">
        <v>0</v>
      </c>
      <c r="EJ134" s="675">
        <v>0</v>
      </c>
      <c r="EK134" s="675">
        <v>21.02</v>
      </c>
      <c r="EL134" s="675">
        <v>2.4E-2</v>
      </c>
      <c r="EM134" s="675">
        <v>9.1310000000000002</v>
      </c>
      <c r="EN134" s="675">
        <v>3.0620000000000003</v>
      </c>
      <c r="EO134" s="675">
        <v>0</v>
      </c>
      <c r="EP134" s="675">
        <v>0</v>
      </c>
      <c r="EQ134" s="675">
        <v>33.321000000000005</v>
      </c>
      <c r="ER134" s="675">
        <v>0</v>
      </c>
      <c r="ES134" s="675">
        <v>106.30300000000001</v>
      </c>
      <c r="ET134" s="675">
        <v>0</v>
      </c>
      <c r="EU134" s="675">
        <v>0</v>
      </c>
      <c r="EV134" s="675">
        <v>0</v>
      </c>
      <c r="EW134" s="675">
        <v>0</v>
      </c>
      <c r="EX134" s="675">
        <v>0</v>
      </c>
      <c r="EY134" s="675">
        <v>0</v>
      </c>
      <c r="EZ134" s="675">
        <v>13351186</v>
      </c>
      <c r="FA134" s="675">
        <v>0</v>
      </c>
      <c r="FB134" s="675">
        <v>13881721</v>
      </c>
      <c r="FC134" s="675">
        <v>0</v>
      </c>
      <c r="FD134" s="675">
        <v>0</v>
      </c>
      <c r="FE134" s="675">
        <v>1411587</v>
      </c>
      <c r="FF134" s="675">
        <v>291965</v>
      </c>
      <c r="FG134" s="675">
        <v>6.3574999999999993E-2</v>
      </c>
      <c r="FH134" s="675">
        <v>2.6298999999999999E-2</v>
      </c>
      <c r="FI134" s="675">
        <v>0</v>
      </c>
      <c r="FJ134" s="675">
        <v>0</v>
      </c>
      <c r="FK134" s="675">
        <v>2252.79</v>
      </c>
      <c r="FL134" s="675">
        <v>15832069</v>
      </c>
      <c r="FM134" s="675">
        <v>0</v>
      </c>
      <c r="FN134" s="675">
        <v>0</v>
      </c>
      <c r="FO134" s="675">
        <v>0</v>
      </c>
      <c r="FP134" s="675">
        <v>0</v>
      </c>
      <c r="FQ134" s="675">
        <v>0</v>
      </c>
      <c r="FR134" s="675">
        <v>0</v>
      </c>
      <c r="FS134" s="675">
        <v>0</v>
      </c>
      <c r="FT134" s="675">
        <v>0</v>
      </c>
      <c r="FU134" s="675">
        <v>0</v>
      </c>
      <c r="FV134" s="675">
        <v>0</v>
      </c>
      <c r="FW134" s="675">
        <v>0</v>
      </c>
      <c r="FX134" s="675">
        <v>0</v>
      </c>
      <c r="FY134" s="675">
        <v>0</v>
      </c>
      <c r="FZ134" s="675">
        <v>0</v>
      </c>
      <c r="GA134" s="675">
        <v>0</v>
      </c>
      <c r="GB134" s="675">
        <v>933760</v>
      </c>
      <c r="GC134" s="675">
        <v>933760</v>
      </c>
      <c r="GD134" s="675">
        <v>98</v>
      </c>
      <c r="GE134" s="675">
        <v>0</v>
      </c>
      <c r="GF134" s="675">
        <v>0</v>
      </c>
      <c r="GG134" s="675">
        <v>0</v>
      </c>
      <c r="GH134" s="675">
        <v>0</v>
      </c>
      <c r="GI134" s="675">
        <v>0</v>
      </c>
      <c r="GJ134" s="675">
        <v>0</v>
      </c>
      <c r="GK134" s="675">
        <v>0</v>
      </c>
      <c r="GL134" s="675">
        <v>0</v>
      </c>
      <c r="GM134" s="675">
        <v>0</v>
      </c>
      <c r="GN134" s="675">
        <v>0</v>
      </c>
      <c r="GO134" s="675">
        <v>0</v>
      </c>
      <c r="GP134" s="675">
        <v>0</v>
      </c>
      <c r="GQ134" s="675">
        <v>0</v>
      </c>
      <c r="GR134" s="675">
        <v>0</v>
      </c>
      <c r="GS134" s="675">
        <v>0</v>
      </c>
      <c r="GT134" s="675">
        <v>0</v>
      </c>
      <c r="GU134" s="675">
        <v>0</v>
      </c>
      <c r="GV134" s="675">
        <v>0</v>
      </c>
      <c r="GW134" s="675">
        <v>0</v>
      </c>
      <c r="GX134" s="675">
        <v>0</v>
      </c>
      <c r="GY134" s="675">
        <v>0</v>
      </c>
      <c r="GZ134" s="675">
        <v>0</v>
      </c>
      <c r="HA134" s="675">
        <v>0</v>
      </c>
      <c r="HB134" s="675">
        <v>298386780</v>
      </c>
      <c r="HC134" s="675">
        <v>4.5690999999999996E-2</v>
      </c>
      <c r="HD134" s="675">
        <v>246796</v>
      </c>
      <c r="HE134" s="675">
        <v>0</v>
      </c>
      <c r="HF134" s="675">
        <v>1340946</v>
      </c>
      <c r="HG134" s="675">
        <v>21815</v>
      </c>
      <c r="HH134" s="675">
        <v>274193</v>
      </c>
      <c r="HI134" s="675">
        <v>0</v>
      </c>
      <c r="HJ134" s="675">
        <v>13126</v>
      </c>
      <c r="HK134" s="675">
        <v>4842</v>
      </c>
      <c r="HL134" s="675">
        <v>3863</v>
      </c>
      <c r="HM134" s="675">
        <v>5000</v>
      </c>
      <c r="HN134" s="675">
        <v>0</v>
      </c>
      <c r="HO134" s="675">
        <v>0</v>
      </c>
      <c r="HP134" s="675">
        <v>0</v>
      </c>
      <c r="HQ134" s="675">
        <v>0</v>
      </c>
      <c r="HR134" s="675">
        <v>0</v>
      </c>
      <c r="HS134" s="675">
        <v>13347079</v>
      </c>
      <c r="HT134" s="675">
        <v>291965</v>
      </c>
      <c r="HU134" s="675">
        <v>0</v>
      </c>
      <c r="HV134" s="675">
        <v>0</v>
      </c>
      <c r="HW134" s="675">
        <v>0</v>
      </c>
      <c r="HX134" s="675">
        <v>26</v>
      </c>
      <c r="HY134" s="675">
        <v>63</v>
      </c>
      <c r="HZ134" s="675">
        <v>438</v>
      </c>
      <c r="IA134" s="675">
        <v>620</v>
      </c>
      <c r="IB134" s="675">
        <v>291</v>
      </c>
      <c r="IC134" s="675">
        <v>1438</v>
      </c>
      <c r="ID134" s="675">
        <v>0</v>
      </c>
      <c r="IE134" s="675">
        <v>0</v>
      </c>
      <c r="IF134" s="675">
        <v>0</v>
      </c>
      <c r="IG134" s="675">
        <v>35.414000000000001</v>
      </c>
      <c r="IH134" s="675">
        <v>445.12</v>
      </c>
      <c r="II134" s="675">
        <v>0</v>
      </c>
      <c r="IJ134" s="675">
        <v>679.84300000000007</v>
      </c>
      <c r="IK134" s="675">
        <v>0</v>
      </c>
      <c r="IL134" s="675">
        <v>1</v>
      </c>
      <c r="IM134" s="675">
        <v>0</v>
      </c>
      <c r="IN134" s="675">
        <v>0</v>
      </c>
      <c r="IO134" s="675">
        <v>1</v>
      </c>
      <c r="IP134" s="675">
        <v>0</v>
      </c>
      <c r="IQ134" s="675">
        <v>679.84300000000007</v>
      </c>
      <c r="IR134" s="675">
        <v>418781</v>
      </c>
      <c r="IS134" s="675">
        <v>0</v>
      </c>
      <c r="IT134" s="675">
        <v>5000</v>
      </c>
      <c r="IU134" s="675">
        <v>0</v>
      </c>
      <c r="IV134" s="675">
        <v>0</v>
      </c>
      <c r="IW134" s="675">
        <v>6160</v>
      </c>
      <c r="IX134" s="675">
        <v>0</v>
      </c>
      <c r="IY134" s="675">
        <v>0</v>
      </c>
      <c r="IZ134" s="675">
        <v>0</v>
      </c>
      <c r="JA134" s="675">
        <v>0</v>
      </c>
      <c r="JB134" s="675">
        <v>0</v>
      </c>
      <c r="JC134" s="675">
        <v>0</v>
      </c>
      <c r="JD134" s="675">
        <v>0</v>
      </c>
      <c r="JE134" s="675">
        <v>0</v>
      </c>
      <c r="JF134" s="675">
        <v>0</v>
      </c>
      <c r="JG134" s="675">
        <v>0</v>
      </c>
      <c r="JH134" s="675">
        <v>0</v>
      </c>
      <c r="JI134" s="675">
        <v>0</v>
      </c>
      <c r="JJ134" s="675">
        <v>0</v>
      </c>
      <c r="JK134" s="675">
        <v>0</v>
      </c>
      <c r="JL134" s="675">
        <v>0</v>
      </c>
      <c r="JM134" s="675">
        <v>0</v>
      </c>
      <c r="JN134" s="675">
        <v>32469</v>
      </c>
      <c r="JO134" s="675">
        <v>0.36899999999999999</v>
      </c>
      <c r="JP134" s="675">
        <v>80.56</v>
      </c>
      <c r="JQ134" s="675">
        <v>17.071000000000002</v>
      </c>
      <c r="JR134" s="675">
        <v>2947</v>
      </c>
      <c r="JS134" s="675">
        <v>748628</v>
      </c>
      <c r="JT134" s="675">
        <v>182185</v>
      </c>
      <c r="JU134" s="675">
        <v>29114</v>
      </c>
      <c r="JV134" s="675">
        <v>0</v>
      </c>
      <c r="JW134" s="675">
        <v>0</v>
      </c>
      <c r="JX134" s="675">
        <v>0</v>
      </c>
      <c r="JY134" s="675">
        <v>0</v>
      </c>
      <c r="JZ134" s="675">
        <v>0</v>
      </c>
      <c r="KA134" s="675">
        <v>0</v>
      </c>
      <c r="KB134" s="675">
        <v>0</v>
      </c>
      <c r="KC134" s="675">
        <v>0</v>
      </c>
      <c r="KD134" s="675">
        <v>29114</v>
      </c>
      <c r="KE134" s="675">
        <v>7260</v>
      </c>
      <c r="KF134" s="675">
        <v>0</v>
      </c>
      <c r="KG134" s="675">
        <v>0</v>
      </c>
      <c r="KH134" s="675">
        <v>0</v>
      </c>
      <c r="KI134" s="675">
        <v>0</v>
      </c>
    </row>
    <row r="135" spans="1:295" ht="12.5" x14ac:dyDescent="0.25">
      <c r="A135" s="675">
        <v>35795</v>
      </c>
      <c r="B135" s="675">
        <v>227829</v>
      </c>
      <c r="C135" s="675">
        <v>9</v>
      </c>
      <c r="D135" s="675">
        <v>2022</v>
      </c>
      <c r="E135" s="675">
        <v>6160</v>
      </c>
      <c r="F135" s="675">
        <v>0</v>
      </c>
      <c r="G135" s="675">
        <v>1298.78</v>
      </c>
      <c r="H135" s="675">
        <v>1266.258</v>
      </c>
      <c r="I135" s="675">
        <v>1266.258</v>
      </c>
      <c r="J135" s="675">
        <v>1298.78</v>
      </c>
      <c r="K135" s="675">
        <v>0</v>
      </c>
      <c r="L135" s="675">
        <v>6160</v>
      </c>
      <c r="M135" s="675">
        <v>0</v>
      </c>
      <c r="N135" s="675">
        <v>0</v>
      </c>
      <c r="O135" s="675">
        <v>0</v>
      </c>
      <c r="P135" s="675">
        <v>1050.124</v>
      </c>
      <c r="Q135" s="675">
        <v>0</v>
      </c>
      <c r="R135" s="675">
        <v>422599</v>
      </c>
      <c r="S135" s="675">
        <v>402.428</v>
      </c>
      <c r="T135" s="675">
        <v>0</v>
      </c>
      <c r="U135" s="675">
        <v>224728</v>
      </c>
      <c r="V135" s="675">
        <v>60.853000000000002</v>
      </c>
      <c r="W135" s="675">
        <v>37485</v>
      </c>
      <c r="X135" s="675">
        <v>37485</v>
      </c>
      <c r="Y135" s="675">
        <v>0</v>
      </c>
      <c r="Z135" s="675">
        <v>0</v>
      </c>
      <c r="AA135" s="675">
        <v>0</v>
      </c>
      <c r="AB135" s="675">
        <v>0</v>
      </c>
      <c r="AC135" s="675">
        <v>0</v>
      </c>
      <c r="AD135" s="675" t="s">
        <v>316</v>
      </c>
      <c r="AE135" s="675">
        <v>0</v>
      </c>
      <c r="AF135" s="675">
        <v>0</v>
      </c>
      <c r="AG135" s="675">
        <v>0</v>
      </c>
      <c r="AH135" s="675">
        <v>0</v>
      </c>
      <c r="AI135" s="675">
        <v>0</v>
      </c>
      <c r="AJ135" s="675">
        <v>6160</v>
      </c>
      <c r="AK135" s="675" t="s">
        <v>671</v>
      </c>
      <c r="AL135" s="675" t="s">
        <v>451</v>
      </c>
      <c r="AM135" s="675">
        <v>0</v>
      </c>
      <c r="AN135" s="675">
        <v>0</v>
      </c>
      <c r="AO135" s="675">
        <v>0</v>
      </c>
      <c r="AP135" s="675">
        <v>0</v>
      </c>
      <c r="AQ135" s="675">
        <v>0</v>
      </c>
      <c r="AR135" s="675">
        <v>0</v>
      </c>
      <c r="AS135" s="675">
        <v>0</v>
      </c>
      <c r="AT135" s="675">
        <v>0</v>
      </c>
      <c r="AU135" s="675">
        <v>0</v>
      </c>
      <c r="AV135" s="675">
        <v>-27330</v>
      </c>
      <c r="AW135" s="675">
        <v>11772757</v>
      </c>
      <c r="AX135" s="675">
        <v>11538042</v>
      </c>
      <c r="AY135" s="675">
        <v>7866738</v>
      </c>
      <c r="AZ135" s="675">
        <v>422599</v>
      </c>
      <c r="BA135" s="675">
        <v>0</v>
      </c>
      <c r="BB135" s="675">
        <v>0</v>
      </c>
      <c r="BC135" s="675">
        <v>0</v>
      </c>
      <c r="BD135" s="675">
        <v>0</v>
      </c>
      <c r="BE135" s="675">
        <v>0</v>
      </c>
      <c r="BF135" s="675">
        <v>10519919</v>
      </c>
      <c r="BG135" s="675">
        <v>0</v>
      </c>
      <c r="BH135" s="675">
        <v>0</v>
      </c>
      <c r="BI135" s="675">
        <v>0</v>
      </c>
      <c r="BJ135" s="675">
        <v>12</v>
      </c>
      <c r="BK135" s="675">
        <v>0</v>
      </c>
      <c r="BL135" s="675">
        <v>0</v>
      </c>
      <c r="BM135" s="675">
        <v>0</v>
      </c>
      <c r="BN135" s="675">
        <v>0</v>
      </c>
      <c r="BO135" s="675">
        <v>0</v>
      </c>
      <c r="BP135" s="675">
        <v>0</v>
      </c>
      <c r="BQ135" s="675">
        <v>575</v>
      </c>
      <c r="BR135" s="675">
        <v>0</v>
      </c>
      <c r="BS135" s="675">
        <v>0</v>
      </c>
      <c r="BT135" s="675">
        <v>0</v>
      </c>
      <c r="BU135" s="675">
        <v>0</v>
      </c>
      <c r="BV135" s="675">
        <v>0</v>
      </c>
      <c r="BW135" s="675">
        <v>0</v>
      </c>
      <c r="BX135" s="675">
        <v>0</v>
      </c>
      <c r="BY135" s="675">
        <v>0</v>
      </c>
      <c r="BZ135" s="675">
        <v>0</v>
      </c>
      <c r="CA135" s="675">
        <v>175.07500000000002</v>
      </c>
      <c r="CB135" s="675">
        <v>149299</v>
      </c>
      <c r="CC135" s="675">
        <v>0</v>
      </c>
      <c r="CD135" s="675">
        <v>0</v>
      </c>
      <c r="CE135" s="675">
        <v>0</v>
      </c>
      <c r="CF135" s="675">
        <v>0</v>
      </c>
      <c r="CG135" s="675">
        <v>0</v>
      </c>
      <c r="CH135" s="675">
        <v>237369</v>
      </c>
      <c r="CI135" s="675">
        <v>0</v>
      </c>
      <c r="CJ135" s="675">
        <v>4</v>
      </c>
      <c r="CK135" s="675">
        <v>0</v>
      </c>
      <c r="CL135" s="675">
        <v>0</v>
      </c>
      <c r="CM135" s="675">
        <v>0</v>
      </c>
      <c r="CN135" s="675">
        <v>0</v>
      </c>
      <c r="CO135" s="675">
        <v>1</v>
      </c>
      <c r="CP135" s="675">
        <v>0</v>
      </c>
      <c r="CQ135" s="675">
        <v>0</v>
      </c>
      <c r="CR135" s="675">
        <v>1051.3430000000001</v>
      </c>
      <c r="CS135" s="675">
        <v>0</v>
      </c>
      <c r="CT135" s="675">
        <v>0</v>
      </c>
      <c r="CU135" s="675">
        <v>0</v>
      </c>
      <c r="CV135" s="675">
        <v>0</v>
      </c>
      <c r="CW135" s="675">
        <v>0</v>
      </c>
      <c r="CX135" s="675">
        <v>0</v>
      </c>
      <c r="CY135" s="675">
        <v>0</v>
      </c>
      <c r="CZ135" s="675">
        <v>0</v>
      </c>
      <c r="DA135" s="675">
        <v>0</v>
      </c>
      <c r="DB135" s="675">
        <v>7800113</v>
      </c>
      <c r="DC135" s="675">
        <v>0</v>
      </c>
      <c r="DD135" s="675">
        <v>0</v>
      </c>
      <c r="DE135" s="675">
        <v>450756</v>
      </c>
      <c r="DF135" s="675">
        <v>450756</v>
      </c>
      <c r="DG135" s="675">
        <v>73.174999999999997</v>
      </c>
      <c r="DH135" s="675">
        <v>0</v>
      </c>
      <c r="DI135" s="675">
        <v>0</v>
      </c>
      <c r="DJ135" s="675">
        <v>0</v>
      </c>
      <c r="DK135" s="675">
        <v>822</v>
      </c>
      <c r="DL135" s="675">
        <v>0</v>
      </c>
      <c r="DM135" s="675">
        <v>696863</v>
      </c>
      <c r="DN135" s="675">
        <v>2654</v>
      </c>
      <c r="DO135" s="675">
        <v>0</v>
      </c>
      <c r="DP135" s="675">
        <v>0</v>
      </c>
      <c r="DQ135" s="675">
        <v>0</v>
      </c>
      <c r="DR135" s="675">
        <v>0</v>
      </c>
      <c r="DS135" s="675">
        <v>0</v>
      </c>
      <c r="DT135" s="675">
        <v>0</v>
      </c>
      <c r="DU135" s="675">
        <v>0</v>
      </c>
      <c r="DV135" s="675">
        <v>0</v>
      </c>
      <c r="DW135" s="675">
        <v>0</v>
      </c>
      <c r="DX135" s="675">
        <v>0</v>
      </c>
      <c r="DY135" s="675">
        <v>0</v>
      </c>
      <c r="DZ135" s="675">
        <v>0</v>
      </c>
      <c r="EA135" s="675">
        <v>0</v>
      </c>
      <c r="EB135" s="675">
        <v>0</v>
      </c>
      <c r="EC135" s="675">
        <v>10.543000000000001</v>
      </c>
      <c r="ED135" s="675">
        <v>74686</v>
      </c>
      <c r="EE135" s="675">
        <v>0</v>
      </c>
      <c r="EF135" s="675">
        <v>0</v>
      </c>
      <c r="EG135" s="675">
        <v>0</v>
      </c>
      <c r="EH135" s="675">
        <v>624831</v>
      </c>
      <c r="EI135" s="675">
        <v>0</v>
      </c>
      <c r="EJ135" s="675">
        <v>0</v>
      </c>
      <c r="EK135" s="675">
        <v>28.798000000000002</v>
      </c>
      <c r="EL135" s="675">
        <v>0</v>
      </c>
      <c r="EM135" s="675">
        <v>1.79</v>
      </c>
      <c r="EN135" s="675">
        <v>1.9340000000000002</v>
      </c>
      <c r="EO135" s="675">
        <v>0</v>
      </c>
      <c r="EP135" s="675">
        <v>0</v>
      </c>
      <c r="EQ135" s="675">
        <v>32.521999999999998</v>
      </c>
      <c r="ER135" s="675">
        <v>0</v>
      </c>
      <c r="ES135" s="675">
        <v>101.43400000000001</v>
      </c>
      <c r="ET135" s="675">
        <v>0</v>
      </c>
      <c r="EU135" s="675">
        <v>0</v>
      </c>
      <c r="EV135" s="675">
        <v>0</v>
      </c>
      <c r="EW135" s="675">
        <v>0</v>
      </c>
      <c r="EX135" s="675">
        <v>0</v>
      </c>
      <c r="EY135" s="675">
        <v>0</v>
      </c>
      <c r="EZ135" s="675">
        <v>10246619</v>
      </c>
      <c r="FA135" s="675">
        <v>0</v>
      </c>
      <c r="FB135" s="675">
        <v>10666564</v>
      </c>
      <c r="FC135" s="675">
        <v>0</v>
      </c>
      <c r="FD135" s="675">
        <v>0</v>
      </c>
      <c r="FE135" s="675">
        <v>1070091</v>
      </c>
      <c r="FF135" s="675">
        <v>221332</v>
      </c>
      <c r="FG135" s="675">
        <v>6.3574999999999993E-2</v>
      </c>
      <c r="FH135" s="675">
        <v>2.6298999999999999E-2</v>
      </c>
      <c r="FI135" s="675">
        <v>0</v>
      </c>
      <c r="FJ135" s="675">
        <v>0</v>
      </c>
      <c r="FK135" s="675">
        <v>1707.787</v>
      </c>
      <c r="FL135" s="675">
        <v>12195356</v>
      </c>
      <c r="FM135" s="675">
        <v>0</v>
      </c>
      <c r="FN135" s="675">
        <v>0</v>
      </c>
      <c r="FO135" s="675">
        <v>0</v>
      </c>
      <c r="FP135" s="675">
        <v>0</v>
      </c>
      <c r="FQ135" s="675">
        <v>0</v>
      </c>
      <c r="FR135" s="675">
        <v>0</v>
      </c>
      <c r="FS135" s="675">
        <v>0</v>
      </c>
      <c r="FT135" s="675">
        <v>0</v>
      </c>
      <c r="FU135" s="675">
        <v>0</v>
      </c>
      <c r="FV135" s="675">
        <v>0</v>
      </c>
      <c r="FW135" s="675">
        <v>0</v>
      </c>
      <c r="FX135" s="675">
        <v>0</v>
      </c>
      <c r="FY135" s="675">
        <v>0</v>
      </c>
      <c r="FZ135" s="675">
        <v>0</v>
      </c>
      <c r="GA135" s="675">
        <v>0</v>
      </c>
      <c r="GB135" s="675">
        <v>0</v>
      </c>
      <c r="GC135" s="675">
        <v>0</v>
      </c>
      <c r="GD135" s="675">
        <v>0</v>
      </c>
      <c r="GE135" s="675">
        <v>0</v>
      </c>
      <c r="GF135" s="675">
        <v>0</v>
      </c>
      <c r="GG135" s="675">
        <v>0</v>
      </c>
      <c r="GH135" s="675">
        <v>0</v>
      </c>
      <c r="GI135" s="675">
        <v>0</v>
      </c>
      <c r="GJ135" s="675">
        <v>0</v>
      </c>
      <c r="GK135" s="675">
        <v>0</v>
      </c>
      <c r="GL135" s="675">
        <v>0</v>
      </c>
      <c r="GM135" s="675">
        <v>0</v>
      </c>
      <c r="GN135" s="675">
        <v>0</v>
      </c>
      <c r="GO135" s="675">
        <v>0</v>
      </c>
      <c r="GP135" s="675">
        <v>0</v>
      </c>
      <c r="GQ135" s="675">
        <v>0</v>
      </c>
      <c r="GR135" s="675">
        <v>0</v>
      </c>
      <c r="GS135" s="675">
        <v>0</v>
      </c>
      <c r="GT135" s="675">
        <v>0</v>
      </c>
      <c r="GU135" s="675">
        <v>0</v>
      </c>
      <c r="GV135" s="675">
        <v>0</v>
      </c>
      <c r="GW135" s="675">
        <v>0</v>
      </c>
      <c r="GX135" s="675">
        <v>0</v>
      </c>
      <c r="GY135" s="675">
        <v>0</v>
      </c>
      <c r="GZ135" s="675">
        <v>0</v>
      </c>
      <c r="HA135" s="675">
        <v>0</v>
      </c>
      <c r="HB135" s="675">
        <v>298386780</v>
      </c>
      <c r="HC135" s="675">
        <v>4.5690999999999996E-2</v>
      </c>
      <c r="HD135" s="675">
        <v>237369</v>
      </c>
      <c r="HE135" s="675">
        <v>0</v>
      </c>
      <c r="HF135" s="675">
        <v>1392884</v>
      </c>
      <c r="HG135" s="675">
        <v>31416</v>
      </c>
      <c r="HH135" s="675">
        <v>95124</v>
      </c>
      <c r="HI135" s="675">
        <v>0</v>
      </c>
      <c r="HJ135" s="675">
        <v>12624</v>
      </c>
      <c r="HK135" s="675">
        <v>0</v>
      </c>
      <c r="HL135" s="675">
        <v>0</v>
      </c>
      <c r="HM135" s="675">
        <v>0</v>
      </c>
      <c r="HN135" s="675">
        <v>0</v>
      </c>
      <c r="HO135" s="675">
        <v>0</v>
      </c>
      <c r="HP135" s="675">
        <v>0</v>
      </c>
      <c r="HQ135" s="675">
        <v>0</v>
      </c>
      <c r="HR135" s="675">
        <v>0</v>
      </c>
      <c r="HS135" s="675">
        <v>10243965</v>
      </c>
      <c r="HT135" s="675">
        <v>221332</v>
      </c>
      <c r="HU135" s="675">
        <v>0</v>
      </c>
      <c r="HV135" s="675">
        <v>0</v>
      </c>
      <c r="HW135" s="675">
        <v>0</v>
      </c>
      <c r="HX135" s="675">
        <v>141</v>
      </c>
      <c r="HY135" s="675">
        <v>85</v>
      </c>
      <c r="HZ135" s="675">
        <v>40</v>
      </c>
      <c r="IA135" s="675">
        <v>23</v>
      </c>
      <c r="IB135" s="675">
        <v>19</v>
      </c>
      <c r="IC135" s="675">
        <v>308</v>
      </c>
      <c r="ID135" s="675">
        <v>0</v>
      </c>
      <c r="IE135" s="675">
        <v>0</v>
      </c>
      <c r="IF135" s="675">
        <v>0</v>
      </c>
      <c r="IG135" s="675">
        <v>51</v>
      </c>
      <c r="IH135" s="675">
        <v>154.423</v>
      </c>
      <c r="II135" s="675">
        <v>0</v>
      </c>
      <c r="IJ135" s="675">
        <v>60.853000000000002</v>
      </c>
      <c r="IK135" s="675">
        <v>0</v>
      </c>
      <c r="IL135" s="675">
        <v>0</v>
      </c>
      <c r="IM135" s="675">
        <v>0</v>
      </c>
      <c r="IN135" s="675">
        <v>0</v>
      </c>
      <c r="IO135" s="675">
        <v>0</v>
      </c>
      <c r="IP135" s="675">
        <v>0</v>
      </c>
      <c r="IQ135" s="675">
        <v>60.853000000000002</v>
      </c>
      <c r="IR135" s="675">
        <v>37485</v>
      </c>
      <c r="IS135" s="675">
        <v>0</v>
      </c>
      <c r="IT135" s="675">
        <v>0</v>
      </c>
      <c r="IU135" s="675">
        <v>0</v>
      </c>
      <c r="IV135" s="675">
        <v>0</v>
      </c>
      <c r="IW135" s="675">
        <v>6160</v>
      </c>
      <c r="IX135" s="675">
        <v>0</v>
      </c>
      <c r="IY135" s="675">
        <v>0</v>
      </c>
      <c r="IZ135" s="675">
        <v>0</v>
      </c>
      <c r="JA135" s="675">
        <v>0</v>
      </c>
      <c r="JB135" s="675">
        <v>0</v>
      </c>
      <c r="JC135" s="675">
        <v>0</v>
      </c>
      <c r="JD135" s="675">
        <v>0</v>
      </c>
      <c r="JE135" s="675">
        <v>0</v>
      </c>
      <c r="JF135" s="675">
        <v>0</v>
      </c>
      <c r="JG135" s="675">
        <v>0</v>
      </c>
      <c r="JH135" s="675">
        <v>0</v>
      </c>
      <c r="JI135" s="675">
        <v>0</v>
      </c>
      <c r="JJ135" s="675">
        <v>0</v>
      </c>
      <c r="JK135" s="675">
        <v>0</v>
      </c>
      <c r="JL135" s="675">
        <v>0</v>
      </c>
      <c r="JM135" s="675">
        <v>0</v>
      </c>
      <c r="JN135" s="675">
        <v>32469</v>
      </c>
      <c r="JO135" s="675">
        <v>0</v>
      </c>
      <c r="JP135" s="675">
        <v>0</v>
      </c>
      <c r="JQ135" s="675">
        <v>0</v>
      </c>
      <c r="JR135" s="675">
        <v>0</v>
      </c>
      <c r="JS135" s="675">
        <v>0</v>
      </c>
      <c r="JT135" s="675">
        <v>0</v>
      </c>
      <c r="JU135" s="675">
        <v>0</v>
      </c>
      <c r="JV135" s="675">
        <v>0</v>
      </c>
      <c r="JW135" s="675">
        <v>0</v>
      </c>
      <c r="JX135" s="675">
        <v>0</v>
      </c>
      <c r="JY135" s="675">
        <v>0</v>
      </c>
      <c r="JZ135" s="675">
        <v>0</v>
      </c>
      <c r="KA135" s="675">
        <v>0</v>
      </c>
      <c r="KB135" s="675">
        <v>0</v>
      </c>
      <c r="KC135" s="675">
        <v>0</v>
      </c>
      <c r="KD135" s="675">
        <v>0</v>
      </c>
      <c r="KE135" s="675">
        <v>7260</v>
      </c>
      <c r="KF135" s="675">
        <v>0</v>
      </c>
      <c r="KG135" s="675">
        <v>0</v>
      </c>
      <c r="KH135" s="675">
        <v>0</v>
      </c>
      <c r="KI135" s="675">
        <v>0</v>
      </c>
    </row>
    <row r="136" spans="1:295" ht="12.5" x14ac:dyDescent="0.25">
      <c r="A136" s="675">
        <v>35795</v>
      </c>
      <c r="B136" s="675">
        <v>15830</v>
      </c>
      <c r="C136" s="675">
        <v>9</v>
      </c>
      <c r="D136" s="675">
        <v>2022</v>
      </c>
      <c r="E136" s="675">
        <v>6160</v>
      </c>
      <c r="F136" s="675">
        <v>0</v>
      </c>
      <c r="G136" s="675">
        <v>2813.1080000000002</v>
      </c>
      <c r="H136" s="675">
        <v>2540.8850000000002</v>
      </c>
      <c r="I136" s="675">
        <v>2540.8850000000002</v>
      </c>
      <c r="J136" s="675">
        <v>2813.1080000000002</v>
      </c>
      <c r="K136" s="675">
        <v>0</v>
      </c>
      <c r="L136" s="675">
        <v>6160</v>
      </c>
      <c r="M136" s="675">
        <v>0</v>
      </c>
      <c r="N136" s="675">
        <v>0</v>
      </c>
      <c r="O136" s="675">
        <v>0</v>
      </c>
      <c r="P136" s="675">
        <v>2850.52</v>
      </c>
      <c r="Q136" s="675">
        <v>0</v>
      </c>
      <c r="R136" s="675">
        <v>1147129</v>
      </c>
      <c r="S136" s="675">
        <v>402.428</v>
      </c>
      <c r="T136" s="675">
        <v>0</v>
      </c>
      <c r="U136" s="675">
        <v>610013</v>
      </c>
      <c r="V136" s="675">
        <v>166.43700000000001</v>
      </c>
      <c r="W136" s="675">
        <v>123593</v>
      </c>
      <c r="X136" s="675">
        <v>123593</v>
      </c>
      <c r="Y136" s="675">
        <v>0</v>
      </c>
      <c r="Z136" s="675">
        <v>0</v>
      </c>
      <c r="AA136" s="675">
        <v>0</v>
      </c>
      <c r="AB136" s="675">
        <v>0</v>
      </c>
      <c r="AC136" s="675">
        <v>0</v>
      </c>
      <c r="AD136" s="675" t="s">
        <v>316</v>
      </c>
      <c r="AE136" s="675">
        <v>0</v>
      </c>
      <c r="AF136" s="675">
        <v>0</v>
      </c>
      <c r="AG136" s="675">
        <v>0</v>
      </c>
      <c r="AH136" s="675">
        <v>0</v>
      </c>
      <c r="AI136" s="675">
        <v>0</v>
      </c>
      <c r="AJ136" s="675">
        <v>6160</v>
      </c>
      <c r="AK136" s="675" t="s">
        <v>671</v>
      </c>
      <c r="AL136" s="675" t="s">
        <v>461</v>
      </c>
      <c r="AM136" s="675">
        <v>0</v>
      </c>
      <c r="AN136" s="675">
        <v>0</v>
      </c>
      <c r="AO136" s="675">
        <v>0</v>
      </c>
      <c r="AP136" s="675">
        <v>0</v>
      </c>
      <c r="AQ136" s="675">
        <v>0</v>
      </c>
      <c r="AR136" s="675">
        <v>0</v>
      </c>
      <c r="AS136" s="675">
        <v>0</v>
      </c>
      <c r="AT136" s="675">
        <v>0</v>
      </c>
      <c r="AU136" s="675">
        <v>0</v>
      </c>
      <c r="AV136" s="675">
        <v>-40614</v>
      </c>
      <c r="AW136" s="675">
        <v>29388962</v>
      </c>
      <c r="AX136" s="675">
        <v>28886248</v>
      </c>
      <c r="AY136" s="675">
        <v>19929591</v>
      </c>
      <c r="AZ136" s="675">
        <v>1147129</v>
      </c>
      <c r="BA136" s="675">
        <v>0</v>
      </c>
      <c r="BB136" s="675">
        <v>60650</v>
      </c>
      <c r="BC136" s="675">
        <v>60259</v>
      </c>
      <c r="BD136" s="675">
        <v>140.655</v>
      </c>
      <c r="BE136" s="675">
        <v>391</v>
      </c>
      <c r="BF136" s="675">
        <v>26739502</v>
      </c>
      <c r="BG136" s="675">
        <v>0</v>
      </c>
      <c r="BH136" s="675">
        <v>0</v>
      </c>
      <c r="BI136" s="675">
        <v>0</v>
      </c>
      <c r="BJ136" s="675">
        <v>12</v>
      </c>
      <c r="BK136" s="675">
        <v>0</v>
      </c>
      <c r="BL136" s="675">
        <v>0</v>
      </c>
      <c r="BM136" s="675">
        <v>0</v>
      </c>
      <c r="BN136" s="675">
        <v>0</v>
      </c>
      <c r="BO136" s="675">
        <v>0</v>
      </c>
      <c r="BP136" s="675">
        <v>0</v>
      </c>
      <c r="BQ136" s="675">
        <v>379</v>
      </c>
      <c r="BR136" s="675">
        <v>0</v>
      </c>
      <c r="BS136" s="675">
        <v>0</v>
      </c>
      <c r="BT136" s="675">
        <v>0</v>
      </c>
      <c r="BU136" s="675">
        <v>0</v>
      </c>
      <c r="BV136" s="675">
        <v>0</v>
      </c>
      <c r="BW136" s="675">
        <v>0</v>
      </c>
      <c r="BX136" s="675">
        <v>0</v>
      </c>
      <c r="BY136" s="675">
        <v>0</v>
      </c>
      <c r="BZ136" s="675">
        <v>0</v>
      </c>
      <c r="CA136" s="675">
        <v>0</v>
      </c>
      <c r="CB136" s="675">
        <v>0</v>
      </c>
      <c r="CC136" s="675">
        <v>0</v>
      </c>
      <c r="CD136" s="675">
        <v>0</v>
      </c>
      <c r="CE136" s="675">
        <v>0</v>
      </c>
      <c r="CF136" s="675">
        <v>0</v>
      </c>
      <c r="CG136" s="675">
        <v>0</v>
      </c>
      <c r="CH136" s="675">
        <v>514131</v>
      </c>
      <c r="CI136" s="675">
        <v>0</v>
      </c>
      <c r="CJ136" s="675">
        <v>4</v>
      </c>
      <c r="CK136" s="675">
        <v>0</v>
      </c>
      <c r="CL136" s="675">
        <v>0</v>
      </c>
      <c r="CM136" s="675">
        <v>0</v>
      </c>
      <c r="CN136" s="675">
        <v>0</v>
      </c>
      <c r="CO136" s="675">
        <v>1</v>
      </c>
      <c r="CP136" s="675">
        <v>0</v>
      </c>
      <c r="CQ136" s="675">
        <v>0</v>
      </c>
      <c r="CR136" s="675">
        <v>2847.9860000000003</v>
      </c>
      <c r="CS136" s="675">
        <v>0</v>
      </c>
      <c r="CT136" s="675">
        <v>0</v>
      </c>
      <c r="CU136" s="675">
        <v>0</v>
      </c>
      <c r="CV136" s="675">
        <v>0</v>
      </c>
      <c r="CW136" s="675">
        <v>0</v>
      </c>
      <c r="CX136" s="675">
        <v>0</v>
      </c>
      <c r="CY136" s="675">
        <v>0</v>
      </c>
      <c r="CZ136" s="675">
        <v>0</v>
      </c>
      <c r="DA136" s="675">
        <v>0</v>
      </c>
      <c r="DB136" s="675">
        <v>15448532</v>
      </c>
      <c r="DC136" s="675">
        <v>0</v>
      </c>
      <c r="DD136" s="675">
        <v>0</v>
      </c>
      <c r="DE136" s="675">
        <v>3100468</v>
      </c>
      <c r="DF136" s="675">
        <v>3100468</v>
      </c>
      <c r="DG136" s="675">
        <v>503.32500000000005</v>
      </c>
      <c r="DH136" s="675">
        <v>0</v>
      </c>
      <c r="DI136" s="675">
        <v>0</v>
      </c>
      <c r="DJ136" s="675">
        <v>0</v>
      </c>
      <c r="DK136" s="675">
        <v>0</v>
      </c>
      <c r="DL136" s="675">
        <v>0</v>
      </c>
      <c r="DM136" s="675">
        <v>3097838</v>
      </c>
      <c r="DN136" s="675">
        <v>11025</v>
      </c>
      <c r="DO136" s="675">
        <v>0</v>
      </c>
      <c r="DP136" s="675">
        <v>0</v>
      </c>
      <c r="DQ136" s="675">
        <v>0</v>
      </c>
      <c r="DR136" s="675">
        <v>0</v>
      </c>
      <c r="DS136" s="675">
        <v>0</v>
      </c>
      <c r="DT136" s="675">
        <v>0</v>
      </c>
      <c r="DU136" s="675">
        <v>0</v>
      </c>
      <c r="DV136" s="675">
        <v>0</v>
      </c>
      <c r="DW136" s="675">
        <v>0</v>
      </c>
      <c r="DX136" s="675">
        <v>0</v>
      </c>
      <c r="DY136" s="675">
        <v>0</v>
      </c>
      <c r="DZ136" s="675">
        <v>0</v>
      </c>
      <c r="EA136" s="675">
        <v>0.441</v>
      </c>
      <c r="EB136" s="675">
        <v>0</v>
      </c>
      <c r="EC136" s="675">
        <v>119.52</v>
      </c>
      <c r="ED136" s="675">
        <v>846676</v>
      </c>
      <c r="EE136" s="675">
        <v>0</v>
      </c>
      <c r="EF136" s="675">
        <v>0</v>
      </c>
      <c r="EG136" s="675">
        <v>0</v>
      </c>
      <c r="EH136" s="675">
        <v>2058940</v>
      </c>
      <c r="EI136" s="675">
        <v>0</v>
      </c>
      <c r="EJ136" s="675">
        <v>0</v>
      </c>
      <c r="EK136" s="675">
        <v>74.498000000000005</v>
      </c>
      <c r="EL136" s="675">
        <v>0.45500000000000002</v>
      </c>
      <c r="EM136" s="675">
        <v>23.762</v>
      </c>
      <c r="EN136" s="675">
        <v>7.452</v>
      </c>
      <c r="EO136" s="675">
        <v>0</v>
      </c>
      <c r="EP136" s="675">
        <v>0</v>
      </c>
      <c r="EQ136" s="675">
        <v>106.15300000000001</v>
      </c>
      <c r="ER136" s="675">
        <v>0</v>
      </c>
      <c r="ES136" s="675">
        <v>334.245</v>
      </c>
      <c r="ET136" s="675">
        <v>0</v>
      </c>
      <c r="EU136" s="675">
        <v>0</v>
      </c>
      <c r="EV136" s="675">
        <v>0</v>
      </c>
      <c r="EW136" s="675">
        <v>0</v>
      </c>
      <c r="EX136" s="675">
        <v>0</v>
      </c>
      <c r="EY136" s="675">
        <v>0</v>
      </c>
      <c r="EZ136" s="675">
        <v>25603713</v>
      </c>
      <c r="FA136" s="675">
        <v>0</v>
      </c>
      <c r="FB136" s="675">
        <v>26739425</v>
      </c>
      <c r="FC136" s="675">
        <v>0</v>
      </c>
      <c r="FD136" s="675">
        <v>0</v>
      </c>
      <c r="FE136" s="675">
        <v>2719955</v>
      </c>
      <c r="FF136" s="675">
        <v>562580</v>
      </c>
      <c r="FG136" s="675">
        <v>6.3574999999999993E-2</v>
      </c>
      <c r="FH136" s="675">
        <v>2.6298999999999999E-2</v>
      </c>
      <c r="FI136" s="675">
        <v>0</v>
      </c>
      <c r="FJ136" s="675">
        <v>0</v>
      </c>
      <c r="FK136" s="675">
        <v>4340.848</v>
      </c>
      <c r="FL136" s="675">
        <v>30536091</v>
      </c>
      <c r="FM136" s="675">
        <v>0</v>
      </c>
      <c r="FN136" s="675">
        <v>0</v>
      </c>
      <c r="FO136" s="675">
        <v>0</v>
      </c>
      <c r="FP136" s="675">
        <v>0</v>
      </c>
      <c r="FQ136" s="675">
        <v>0</v>
      </c>
      <c r="FR136" s="675">
        <v>0</v>
      </c>
      <c r="FS136" s="675">
        <v>0</v>
      </c>
      <c r="FT136" s="675">
        <v>0</v>
      </c>
      <c r="FU136" s="675">
        <v>0</v>
      </c>
      <c r="FV136" s="675">
        <v>0</v>
      </c>
      <c r="FW136" s="675">
        <v>0</v>
      </c>
      <c r="FX136" s="675">
        <v>0</v>
      </c>
      <c r="FY136" s="675">
        <v>0</v>
      </c>
      <c r="FZ136" s="675">
        <v>0</v>
      </c>
      <c r="GA136" s="675">
        <v>0</v>
      </c>
      <c r="GB136" s="675">
        <v>1642903</v>
      </c>
      <c r="GC136" s="675">
        <v>1642903</v>
      </c>
      <c r="GD136" s="675">
        <v>166.07</v>
      </c>
      <c r="GE136" s="675">
        <v>0</v>
      </c>
      <c r="GF136" s="675">
        <v>0</v>
      </c>
      <c r="GG136" s="675">
        <v>0</v>
      </c>
      <c r="GH136" s="675">
        <v>0</v>
      </c>
      <c r="GI136" s="675">
        <v>0</v>
      </c>
      <c r="GJ136" s="675">
        <v>0</v>
      </c>
      <c r="GK136" s="675">
        <v>0</v>
      </c>
      <c r="GL136" s="675">
        <v>0</v>
      </c>
      <c r="GM136" s="675">
        <v>0</v>
      </c>
      <c r="GN136" s="675">
        <v>0</v>
      </c>
      <c r="GO136" s="675">
        <v>0</v>
      </c>
      <c r="GP136" s="675">
        <v>0</v>
      </c>
      <c r="GQ136" s="675">
        <v>0</v>
      </c>
      <c r="GR136" s="675">
        <v>0</v>
      </c>
      <c r="GS136" s="675">
        <v>0</v>
      </c>
      <c r="GT136" s="675">
        <v>0</v>
      </c>
      <c r="GU136" s="675">
        <v>0</v>
      </c>
      <c r="GV136" s="675">
        <v>0</v>
      </c>
      <c r="GW136" s="675">
        <v>0</v>
      </c>
      <c r="GX136" s="675">
        <v>0</v>
      </c>
      <c r="GY136" s="675">
        <v>0</v>
      </c>
      <c r="GZ136" s="675">
        <v>0</v>
      </c>
      <c r="HA136" s="675">
        <v>0</v>
      </c>
      <c r="HB136" s="675">
        <v>298386780</v>
      </c>
      <c r="HC136" s="675">
        <v>4.5690999999999996E-2</v>
      </c>
      <c r="HD136" s="675">
        <v>514131</v>
      </c>
      <c r="HE136" s="675">
        <v>0</v>
      </c>
      <c r="HF136" s="675">
        <v>2794974</v>
      </c>
      <c r="HG136" s="675">
        <v>16632</v>
      </c>
      <c r="HH136" s="675">
        <v>415544</v>
      </c>
      <c r="HI136" s="675">
        <v>0</v>
      </c>
      <c r="HJ136" s="675">
        <v>27343</v>
      </c>
      <c r="HK136" s="675">
        <v>7884</v>
      </c>
      <c r="HL136" s="675">
        <v>3456</v>
      </c>
      <c r="HM136" s="675">
        <v>0</v>
      </c>
      <c r="HN136" s="675">
        <v>0</v>
      </c>
      <c r="HO136" s="675">
        <v>0</v>
      </c>
      <c r="HP136" s="675">
        <v>0</v>
      </c>
      <c r="HQ136" s="675">
        <v>0</v>
      </c>
      <c r="HR136" s="675">
        <v>0</v>
      </c>
      <c r="HS136" s="675">
        <v>25592296</v>
      </c>
      <c r="HT136" s="675">
        <v>562580</v>
      </c>
      <c r="HU136" s="675">
        <v>0</v>
      </c>
      <c r="HV136" s="675">
        <v>0</v>
      </c>
      <c r="HW136" s="675">
        <v>0</v>
      </c>
      <c r="HX136" s="675">
        <v>229</v>
      </c>
      <c r="HY136" s="675">
        <v>457</v>
      </c>
      <c r="HZ136" s="675">
        <v>455</v>
      </c>
      <c r="IA136" s="675">
        <v>449</v>
      </c>
      <c r="IB136" s="675">
        <v>406</v>
      </c>
      <c r="IC136" s="675">
        <v>1996</v>
      </c>
      <c r="ID136" s="675">
        <v>0</v>
      </c>
      <c r="IE136" s="675">
        <v>11.677000000000001</v>
      </c>
      <c r="IF136" s="675">
        <v>33.373000000000005</v>
      </c>
      <c r="IG136" s="675">
        <v>27</v>
      </c>
      <c r="IH136" s="675">
        <v>674.58800000000008</v>
      </c>
      <c r="II136" s="675">
        <v>0</v>
      </c>
      <c r="IJ136" s="675">
        <v>211.48700000000002</v>
      </c>
      <c r="IK136" s="675">
        <v>0</v>
      </c>
      <c r="IL136" s="675">
        <v>0</v>
      </c>
      <c r="IM136" s="675">
        <v>0</v>
      </c>
      <c r="IN136" s="675">
        <v>0</v>
      </c>
      <c r="IO136" s="675">
        <v>0</v>
      </c>
      <c r="IP136" s="675">
        <v>0</v>
      </c>
      <c r="IQ136" s="675">
        <v>166.43700000000001</v>
      </c>
      <c r="IR136" s="675">
        <v>102525</v>
      </c>
      <c r="IS136" s="675">
        <v>0</v>
      </c>
      <c r="IT136" s="675">
        <v>0</v>
      </c>
      <c r="IU136" s="675">
        <v>0</v>
      </c>
      <c r="IV136" s="675">
        <v>0</v>
      </c>
      <c r="IW136" s="675">
        <v>6160</v>
      </c>
      <c r="IX136" s="675">
        <v>10789</v>
      </c>
      <c r="IY136" s="675">
        <v>10279</v>
      </c>
      <c r="IZ136" s="675">
        <v>0</v>
      </c>
      <c r="JA136" s="675">
        <v>0</v>
      </c>
      <c r="JB136" s="675">
        <v>0</v>
      </c>
      <c r="JC136" s="675">
        <v>0</v>
      </c>
      <c r="JD136" s="675">
        <v>0</v>
      </c>
      <c r="JE136" s="675">
        <v>0</v>
      </c>
      <c r="JF136" s="675">
        <v>0</v>
      </c>
      <c r="JG136" s="675">
        <v>0</v>
      </c>
      <c r="JH136" s="675">
        <v>0</v>
      </c>
      <c r="JI136" s="675">
        <v>0</v>
      </c>
      <c r="JJ136" s="675">
        <v>0</v>
      </c>
      <c r="JK136" s="675">
        <v>0</v>
      </c>
      <c r="JL136" s="675">
        <v>0</v>
      </c>
      <c r="JM136" s="675">
        <v>0</v>
      </c>
      <c r="JN136" s="675">
        <v>32469</v>
      </c>
      <c r="JO136" s="675">
        <v>0</v>
      </c>
      <c r="JP136" s="675">
        <v>93.83</v>
      </c>
      <c r="JQ136" s="675">
        <v>72.239999999999995</v>
      </c>
      <c r="JR136" s="675">
        <v>0</v>
      </c>
      <c r="JS136" s="675">
        <v>871943</v>
      </c>
      <c r="JT136" s="675">
        <v>770960</v>
      </c>
      <c r="JU136" s="675">
        <v>60650</v>
      </c>
      <c r="JV136" s="675">
        <v>0</v>
      </c>
      <c r="JW136" s="675">
        <v>0</v>
      </c>
      <c r="JX136" s="675">
        <v>0</v>
      </c>
      <c r="JY136" s="675">
        <v>0</v>
      </c>
      <c r="JZ136" s="675">
        <v>0</v>
      </c>
      <c r="KA136" s="675">
        <v>0</v>
      </c>
      <c r="KB136" s="675">
        <v>0</v>
      </c>
      <c r="KC136" s="675">
        <v>0</v>
      </c>
      <c r="KD136" s="675">
        <v>60651</v>
      </c>
      <c r="KE136" s="675">
        <v>7260</v>
      </c>
      <c r="KF136" s="675">
        <v>0</v>
      </c>
      <c r="KG136" s="675">
        <v>0</v>
      </c>
      <c r="KH136" s="675">
        <v>0</v>
      </c>
      <c r="KI136" s="675">
        <v>0</v>
      </c>
    </row>
    <row r="137" spans="1:295" ht="12.5" x14ac:dyDescent="0.25">
      <c r="A137" s="675">
        <v>35795</v>
      </c>
      <c r="B137" s="675">
        <v>57830</v>
      </c>
      <c r="C137" s="675">
        <v>9</v>
      </c>
      <c r="D137" s="675">
        <v>2022</v>
      </c>
      <c r="E137" s="675">
        <v>6160</v>
      </c>
      <c r="F137" s="675">
        <v>0</v>
      </c>
      <c r="G137" s="675">
        <v>1131.5550000000001</v>
      </c>
      <c r="H137" s="675">
        <v>1025.3679999999999</v>
      </c>
      <c r="I137" s="675">
        <v>1025.3679999999999</v>
      </c>
      <c r="J137" s="675">
        <v>1131.5550000000001</v>
      </c>
      <c r="K137" s="675">
        <v>0</v>
      </c>
      <c r="L137" s="675">
        <v>6160</v>
      </c>
      <c r="M137" s="675">
        <v>0</v>
      </c>
      <c r="N137" s="675">
        <v>0</v>
      </c>
      <c r="O137" s="675">
        <v>0</v>
      </c>
      <c r="P137" s="675">
        <v>1176.365</v>
      </c>
      <c r="Q137" s="675">
        <v>0</v>
      </c>
      <c r="R137" s="675">
        <v>473402</v>
      </c>
      <c r="S137" s="675">
        <v>402.428</v>
      </c>
      <c r="T137" s="675">
        <v>0</v>
      </c>
      <c r="U137" s="675">
        <v>251742</v>
      </c>
      <c r="V137" s="675">
        <v>566.11</v>
      </c>
      <c r="W137" s="675">
        <v>348722</v>
      </c>
      <c r="X137" s="675">
        <v>348722</v>
      </c>
      <c r="Y137" s="675">
        <v>0</v>
      </c>
      <c r="Z137" s="675">
        <v>0</v>
      </c>
      <c r="AA137" s="675">
        <v>0</v>
      </c>
      <c r="AB137" s="675">
        <v>0</v>
      </c>
      <c r="AC137" s="675">
        <v>0</v>
      </c>
      <c r="AD137" s="675" t="s">
        <v>316</v>
      </c>
      <c r="AE137" s="675">
        <v>0</v>
      </c>
      <c r="AF137" s="675">
        <v>0</v>
      </c>
      <c r="AG137" s="675">
        <v>0</v>
      </c>
      <c r="AH137" s="675">
        <v>0</v>
      </c>
      <c r="AI137" s="675">
        <v>0</v>
      </c>
      <c r="AJ137" s="675">
        <v>6160</v>
      </c>
      <c r="AK137" s="675" t="s">
        <v>671</v>
      </c>
      <c r="AL137" s="675" t="s">
        <v>46</v>
      </c>
      <c r="AM137" s="675">
        <v>0</v>
      </c>
      <c r="AN137" s="675">
        <v>0</v>
      </c>
      <c r="AO137" s="675">
        <v>0</v>
      </c>
      <c r="AP137" s="675">
        <v>0</v>
      </c>
      <c r="AQ137" s="675">
        <v>0</v>
      </c>
      <c r="AR137" s="675">
        <v>0</v>
      </c>
      <c r="AS137" s="675">
        <v>0</v>
      </c>
      <c r="AT137" s="675">
        <v>0</v>
      </c>
      <c r="AU137" s="675">
        <v>0</v>
      </c>
      <c r="AV137" s="675">
        <v>-1525</v>
      </c>
      <c r="AW137" s="675">
        <v>12921141</v>
      </c>
      <c r="AX137" s="675">
        <v>12717639</v>
      </c>
      <c r="AY137" s="675">
        <v>8631727</v>
      </c>
      <c r="AZ137" s="675">
        <v>473402</v>
      </c>
      <c r="BA137" s="675">
        <v>0</v>
      </c>
      <c r="BB137" s="675">
        <v>15909</v>
      </c>
      <c r="BC137" s="675">
        <v>15806</v>
      </c>
      <c r="BD137" s="675">
        <v>36.896000000000001</v>
      </c>
      <c r="BE137" s="675">
        <v>103</v>
      </c>
      <c r="BF137" s="675">
        <v>11742015</v>
      </c>
      <c r="BG137" s="675">
        <v>0</v>
      </c>
      <c r="BH137" s="675">
        <v>0</v>
      </c>
      <c r="BI137" s="675">
        <v>0</v>
      </c>
      <c r="BJ137" s="675">
        <v>12</v>
      </c>
      <c r="BK137" s="675">
        <v>0</v>
      </c>
      <c r="BL137" s="675">
        <v>0</v>
      </c>
      <c r="BM137" s="675">
        <v>0</v>
      </c>
      <c r="BN137" s="675">
        <v>0</v>
      </c>
      <c r="BO137" s="675">
        <v>0</v>
      </c>
      <c r="BP137" s="675">
        <v>0</v>
      </c>
      <c r="BQ137" s="675">
        <v>612</v>
      </c>
      <c r="BR137" s="675">
        <v>0</v>
      </c>
      <c r="BS137" s="675">
        <v>0</v>
      </c>
      <c r="BT137" s="675">
        <v>0</v>
      </c>
      <c r="BU137" s="675">
        <v>0</v>
      </c>
      <c r="BV137" s="675">
        <v>0</v>
      </c>
      <c r="BW137" s="675">
        <v>0</v>
      </c>
      <c r="BX137" s="675">
        <v>0</v>
      </c>
      <c r="BY137" s="675">
        <v>0</v>
      </c>
      <c r="BZ137" s="675">
        <v>0</v>
      </c>
      <c r="CA137" s="675">
        <v>0</v>
      </c>
      <c r="CB137" s="675">
        <v>0</v>
      </c>
      <c r="CC137" s="675">
        <v>0</v>
      </c>
      <c r="CD137" s="675">
        <v>0</v>
      </c>
      <c r="CE137" s="675">
        <v>0</v>
      </c>
      <c r="CF137" s="675">
        <v>0</v>
      </c>
      <c r="CG137" s="675">
        <v>0</v>
      </c>
      <c r="CH137" s="675">
        <v>206806</v>
      </c>
      <c r="CI137" s="675">
        <v>0</v>
      </c>
      <c r="CJ137" s="675">
        <v>4</v>
      </c>
      <c r="CK137" s="675">
        <v>0</v>
      </c>
      <c r="CL137" s="675">
        <v>0</v>
      </c>
      <c r="CM137" s="675">
        <v>0</v>
      </c>
      <c r="CN137" s="675">
        <v>0</v>
      </c>
      <c r="CO137" s="675">
        <v>1</v>
      </c>
      <c r="CP137" s="675">
        <v>0</v>
      </c>
      <c r="CQ137" s="675">
        <v>0</v>
      </c>
      <c r="CR137" s="675">
        <v>1124.2809999999999</v>
      </c>
      <c r="CS137" s="675">
        <v>0</v>
      </c>
      <c r="CT137" s="675">
        <v>0</v>
      </c>
      <c r="CU137" s="675">
        <v>0</v>
      </c>
      <c r="CV137" s="675">
        <v>0</v>
      </c>
      <c r="CW137" s="675">
        <v>0</v>
      </c>
      <c r="CX137" s="675">
        <v>0</v>
      </c>
      <c r="CY137" s="675">
        <v>0</v>
      </c>
      <c r="CZ137" s="675">
        <v>0</v>
      </c>
      <c r="DA137" s="675">
        <v>0</v>
      </c>
      <c r="DB137" s="675">
        <v>6316238</v>
      </c>
      <c r="DC137" s="675">
        <v>0</v>
      </c>
      <c r="DD137" s="675">
        <v>0</v>
      </c>
      <c r="DE137" s="675">
        <v>1945011</v>
      </c>
      <c r="DF137" s="675">
        <v>1945011</v>
      </c>
      <c r="DG137" s="675">
        <v>315.75</v>
      </c>
      <c r="DH137" s="675">
        <v>0</v>
      </c>
      <c r="DI137" s="675">
        <v>0</v>
      </c>
      <c r="DJ137" s="675">
        <v>0</v>
      </c>
      <c r="DK137" s="675">
        <v>1416</v>
      </c>
      <c r="DL137" s="675">
        <v>0</v>
      </c>
      <c r="DM137" s="675">
        <v>840546</v>
      </c>
      <c r="DN137" s="675">
        <v>3202</v>
      </c>
      <c r="DO137" s="675">
        <v>0</v>
      </c>
      <c r="DP137" s="675">
        <v>0</v>
      </c>
      <c r="DQ137" s="675">
        <v>0</v>
      </c>
      <c r="DR137" s="675">
        <v>0</v>
      </c>
      <c r="DS137" s="675">
        <v>0</v>
      </c>
      <c r="DT137" s="675">
        <v>0</v>
      </c>
      <c r="DU137" s="675">
        <v>0</v>
      </c>
      <c r="DV137" s="675">
        <v>0</v>
      </c>
      <c r="DW137" s="675">
        <v>0</v>
      </c>
      <c r="DX137" s="675">
        <v>0</v>
      </c>
      <c r="DY137" s="675">
        <v>0</v>
      </c>
      <c r="DZ137" s="675">
        <v>0</v>
      </c>
      <c r="EA137" s="675">
        <v>0</v>
      </c>
      <c r="EB137" s="675">
        <v>0</v>
      </c>
      <c r="EC137" s="675">
        <v>54.252000000000002</v>
      </c>
      <c r="ED137" s="675">
        <v>384319</v>
      </c>
      <c r="EE137" s="675">
        <v>0</v>
      </c>
      <c r="EF137" s="675">
        <v>0</v>
      </c>
      <c r="EG137" s="675">
        <v>0</v>
      </c>
      <c r="EH137" s="675">
        <v>459429</v>
      </c>
      <c r="EI137" s="675">
        <v>0</v>
      </c>
      <c r="EJ137" s="675">
        <v>0</v>
      </c>
      <c r="EK137" s="675">
        <v>15.963000000000001</v>
      </c>
      <c r="EL137" s="675">
        <v>0</v>
      </c>
      <c r="EM137" s="675">
        <v>4.7130000000000001</v>
      </c>
      <c r="EN137" s="675">
        <v>2.5110000000000001</v>
      </c>
      <c r="EO137" s="675">
        <v>0</v>
      </c>
      <c r="EP137" s="675">
        <v>0</v>
      </c>
      <c r="EQ137" s="675">
        <v>23.187000000000001</v>
      </c>
      <c r="ER137" s="675">
        <v>0</v>
      </c>
      <c r="ES137" s="675">
        <v>74.582999999999998</v>
      </c>
      <c r="ET137" s="675">
        <v>0</v>
      </c>
      <c r="EU137" s="675">
        <v>0</v>
      </c>
      <c r="EV137" s="675">
        <v>0</v>
      </c>
      <c r="EW137" s="675">
        <v>0</v>
      </c>
      <c r="EX137" s="675">
        <v>0</v>
      </c>
      <c r="EY137" s="675">
        <v>0</v>
      </c>
      <c r="EZ137" s="675">
        <v>11276192</v>
      </c>
      <c r="FA137" s="675">
        <v>0</v>
      </c>
      <c r="FB137" s="675">
        <v>11746290</v>
      </c>
      <c r="FC137" s="675">
        <v>0</v>
      </c>
      <c r="FD137" s="675">
        <v>0</v>
      </c>
      <c r="FE137" s="675">
        <v>1194403</v>
      </c>
      <c r="FF137" s="675">
        <v>247044</v>
      </c>
      <c r="FG137" s="675">
        <v>6.3574999999999993E-2</v>
      </c>
      <c r="FH137" s="675">
        <v>2.6298999999999999E-2</v>
      </c>
      <c r="FI137" s="675">
        <v>0</v>
      </c>
      <c r="FJ137" s="675">
        <v>0</v>
      </c>
      <c r="FK137" s="675">
        <v>1906.18</v>
      </c>
      <c r="FL137" s="675">
        <v>13394543</v>
      </c>
      <c r="FM137" s="675">
        <v>0</v>
      </c>
      <c r="FN137" s="675">
        <v>0</v>
      </c>
      <c r="FO137" s="675">
        <v>0</v>
      </c>
      <c r="FP137" s="675">
        <v>0</v>
      </c>
      <c r="FQ137" s="675">
        <v>0</v>
      </c>
      <c r="FR137" s="675">
        <v>0</v>
      </c>
      <c r="FS137" s="675">
        <v>0</v>
      </c>
      <c r="FT137" s="675">
        <v>0</v>
      </c>
      <c r="FU137" s="675">
        <v>0</v>
      </c>
      <c r="FV137" s="675">
        <v>0</v>
      </c>
      <c r="FW137" s="675">
        <v>0</v>
      </c>
      <c r="FX137" s="675">
        <v>0</v>
      </c>
      <c r="FY137" s="675">
        <v>0</v>
      </c>
      <c r="FZ137" s="675">
        <v>0</v>
      </c>
      <c r="GA137" s="675">
        <v>0</v>
      </c>
      <c r="GB137" s="675">
        <v>793924</v>
      </c>
      <c r="GC137" s="675">
        <v>793924</v>
      </c>
      <c r="GD137" s="675">
        <v>83</v>
      </c>
      <c r="GE137" s="675">
        <v>0</v>
      </c>
      <c r="GF137" s="675">
        <v>0</v>
      </c>
      <c r="GG137" s="675">
        <v>0</v>
      </c>
      <c r="GH137" s="675">
        <v>0</v>
      </c>
      <c r="GI137" s="675">
        <v>0</v>
      </c>
      <c r="GJ137" s="675">
        <v>0</v>
      </c>
      <c r="GK137" s="675">
        <v>0</v>
      </c>
      <c r="GL137" s="675">
        <v>0</v>
      </c>
      <c r="GM137" s="675">
        <v>0</v>
      </c>
      <c r="GN137" s="675">
        <v>0</v>
      </c>
      <c r="GO137" s="675">
        <v>0</v>
      </c>
      <c r="GP137" s="675">
        <v>0</v>
      </c>
      <c r="GQ137" s="675">
        <v>0</v>
      </c>
      <c r="GR137" s="675">
        <v>0</v>
      </c>
      <c r="GS137" s="675">
        <v>0</v>
      </c>
      <c r="GT137" s="675">
        <v>0</v>
      </c>
      <c r="GU137" s="675">
        <v>0</v>
      </c>
      <c r="GV137" s="675">
        <v>0</v>
      </c>
      <c r="GW137" s="675">
        <v>0</v>
      </c>
      <c r="GX137" s="675">
        <v>0</v>
      </c>
      <c r="GY137" s="675">
        <v>0</v>
      </c>
      <c r="GZ137" s="675">
        <v>0</v>
      </c>
      <c r="HA137" s="675">
        <v>0</v>
      </c>
      <c r="HB137" s="675">
        <v>298386780</v>
      </c>
      <c r="HC137" s="675">
        <v>4.5690999999999996E-2</v>
      </c>
      <c r="HD137" s="675">
        <v>206806</v>
      </c>
      <c r="HE137" s="675">
        <v>0</v>
      </c>
      <c r="HF137" s="675">
        <v>1127905</v>
      </c>
      <c r="HG137" s="675">
        <v>15399</v>
      </c>
      <c r="HH137" s="675">
        <v>294160</v>
      </c>
      <c r="HI137" s="675">
        <v>0</v>
      </c>
      <c r="HJ137" s="675">
        <v>10999</v>
      </c>
      <c r="HK137" s="675">
        <v>4455</v>
      </c>
      <c r="HL137" s="675">
        <v>3124</v>
      </c>
      <c r="HM137" s="675">
        <v>30000</v>
      </c>
      <c r="HN137" s="675">
        <v>0</v>
      </c>
      <c r="HO137" s="675">
        <v>0</v>
      </c>
      <c r="HP137" s="675">
        <v>0</v>
      </c>
      <c r="HQ137" s="675">
        <v>0</v>
      </c>
      <c r="HR137" s="675">
        <v>0</v>
      </c>
      <c r="HS137" s="675">
        <v>11272888</v>
      </c>
      <c r="HT137" s="675">
        <v>247044</v>
      </c>
      <c r="HU137" s="675">
        <v>0</v>
      </c>
      <c r="HV137" s="675">
        <v>0</v>
      </c>
      <c r="HW137" s="675">
        <v>0</v>
      </c>
      <c r="HX137" s="675">
        <v>22</v>
      </c>
      <c r="HY137" s="675">
        <v>51</v>
      </c>
      <c r="HZ137" s="675">
        <v>383</v>
      </c>
      <c r="IA137" s="675">
        <v>463</v>
      </c>
      <c r="IB137" s="675">
        <v>296</v>
      </c>
      <c r="IC137" s="675">
        <v>1215</v>
      </c>
      <c r="ID137" s="675">
        <v>0</v>
      </c>
      <c r="IE137" s="675">
        <v>0</v>
      </c>
      <c r="IF137" s="675">
        <v>0</v>
      </c>
      <c r="IG137" s="675">
        <v>24.998000000000001</v>
      </c>
      <c r="IH137" s="675">
        <v>477.53500000000003</v>
      </c>
      <c r="II137" s="675">
        <v>0</v>
      </c>
      <c r="IJ137" s="675">
        <v>566.11</v>
      </c>
      <c r="IK137" s="675">
        <v>0</v>
      </c>
      <c r="IL137" s="675">
        <v>6</v>
      </c>
      <c r="IM137" s="675">
        <v>0</v>
      </c>
      <c r="IN137" s="675">
        <v>0</v>
      </c>
      <c r="IO137" s="675">
        <v>6</v>
      </c>
      <c r="IP137" s="675">
        <v>0</v>
      </c>
      <c r="IQ137" s="675">
        <v>566.11</v>
      </c>
      <c r="IR137" s="675">
        <v>348722</v>
      </c>
      <c r="IS137" s="675">
        <v>0</v>
      </c>
      <c r="IT137" s="675">
        <v>30000</v>
      </c>
      <c r="IU137" s="675">
        <v>0</v>
      </c>
      <c r="IV137" s="675">
        <v>0</v>
      </c>
      <c r="IW137" s="675">
        <v>6160</v>
      </c>
      <c r="IX137" s="675">
        <v>0</v>
      </c>
      <c r="IY137" s="675">
        <v>0</v>
      </c>
      <c r="IZ137" s="675">
        <v>0</v>
      </c>
      <c r="JA137" s="675">
        <v>0</v>
      </c>
      <c r="JB137" s="675">
        <v>0</v>
      </c>
      <c r="JC137" s="675">
        <v>0</v>
      </c>
      <c r="JD137" s="675">
        <v>0</v>
      </c>
      <c r="JE137" s="675">
        <v>0</v>
      </c>
      <c r="JF137" s="675">
        <v>0</v>
      </c>
      <c r="JG137" s="675">
        <v>0</v>
      </c>
      <c r="JH137" s="675">
        <v>0</v>
      </c>
      <c r="JI137" s="675">
        <v>0</v>
      </c>
      <c r="JJ137" s="675">
        <v>0</v>
      </c>
      <c r="JK137" s="675">
        <v>0</v>
      </c>
      <c r="JL137" s="675">
        <v>0</v>
      </c>
      <c r="JM137" s="675">
        <v>0</v>
      </c>
      <c r="JN137" s="675">
        <v>32469</v>
      </c>
      <c r="JO137" s="675">
        <v>6.2E-2</v>
      </c>
      <c r="JP137" s="675">
        <v>66.487000000000009</v>
      </c>
      <c r="JQ137" s="675">
        <v>16.452000000000002</v>
      </c>
      <c r="JR137" s="675">
        <v>495</v>
      </c>
      <c r="JS137" s="675">
        <v>617850</v>
      </c>
      <c r="JT137" s="675">
        <v>175579</v>
      </c>
      <c r="JU137" s="675">
        <v>15909</v>
      </c>
      <c r="JV137" s="675">
        <v>0</v>
      </c>
      <c r="JW137" s="675">
        <v>0</v>
      </c>
      <c r="JX137" s="675">
        <v>0</v>
      </c>
      <c r="JY137" s="675">
        <v>0</v>
      </c>
      <c r="JZ137" s="675">
        <v>0</v>
      </c>
      <c r="KA137" s="675">
        <v>0</v>
      </c>
      <c r="KB137" s="675">
        <v>0</v>
      </c>
      <c r="KC137" s="675">
        <v>0</v>
      </c>
      <c r="KD137" s="675">
        <v>15909</v>
      </c>
      <c r="KE137" s="675">
        <v>7260</v>
      </c>
      <c r="KF137" s="675">
        <v>0</v>
      </c>
      <c r="KG137" s="675">
        <v>0</v>
      </c>
      <c r="KH137" s="675">
        <v>0</v>
      </c>
      <c r="KI137" s="675">
        <v>0</v>
      </c>
    </row>
    <row r="138" spans="1:295" ht="12.5" x14ac:dyDescent="0.25">
      <c r="A138" s="675">
        <v>35795</v>
      </c>
      <c r="B138" s="675">
        <v>15831</v>
      </c>
      <c r="C138" s="675">
        <v>9</v>
      </c>
      <c r="D138" s="675">
        <v>2022</v>
      </c>
      <c r="E138" s="675">
        <v>6160</v>
      </c>
      <c r="F138" s="675">
        <v>0</v>
      </c>
      <c r="G138" s="675">
        <v>4659.2420000000002</v>
      </c>
      <c r="H138" s="675">
        <v>4274.8720000000003</v>
      </c>
      <c r="I138" s="675">
        <v>4274.8720000000003</v>
      </c>
      <c r="J138" s="675">
        <v>4659.2420000000002</v>
      </c>
      <c r="K138" s="675">
        <v>0</v>
      </c>
      <c r="L138" s="675">
        <v>6160</v>
      </c>
      <c r="M138" s="675">
        <v>0</v>
      </c>
      <c r="N138" s="675">
        <v>0</v>
      </c>
      <c r="O138" s="675">
        <v>0</v>
      </c>
      <c r="P138" s="675">
        <v>4372.1140000000005</v>
      </c>
      <c r="Q138" s="675">
        <v>0</v>
      </c>
      <c r="R138" s="675">
        <v>1759461</v>
      </c>
      <c r="S138" s="675">
        <v>402.428</v>
      </c>
      <c r="T138" s="675">
        <v>0</v>
      </c>
      <c r="U138" s="675">
        <v>935637</v>
      </c>
      <c r="V138" s="675">
        <v>728.15899999999999</v>
      </c>
      <c r="W138" s="675">
        <v>448544</v>
      </c>
      <c r="X138" s="675">
        <v>448544</v>
      </c>
      <c r="Y138" s="675">
        <v>0</v>
      </c>
      <c r="Z138" s="675">
        <v>0</v>
      </c>
      <c r="AA138" s="675">
        <v>0</v>
      </c>
      <c r="AB138" s="675">
        <v>0</v>
      </c>
      <c r="AC138" s="675">
        <v>0</v>
      </c>
      <c r="AD138" s="675" t="s">
        <v>316</v>
      </c>
      <c r="AE138" s="675">
        <v>0</v>
      </c>
      <c r="AF138" s="675">
        <v>0</v>
      </c>
      <c r="AG138" s="675">
        <v>0</v>
      </c>
      <c r="AH138" s="675">
        <v>0</v>
      </c>
      <c r="AI138" s="675">
        <v>0</v>
      </c>
      <c r="AJ138" s="675">
        <v>6160</v>
      </c>
      <c r="AK138" s="675" t="s">
        <v>671</v>
      </c>
      <c r="AL138" s="675" t="s">
        <v>318</v>
      </c>
      <c r="AM138" s="675">
        <v>0</v>
      </c>
      <c r="AN138" s="675">
        <v>0</v>
      </c>
      <c r="AO138" s="675">
        <v>0</v>
      </c>
      <c r="AP138" s="675">
        <v>0</v>
      </c>
      <c r="AQ138" s="675">
        <v>0</v>
      </c>
      <c r="AR138" s="675">
        <v>0</v>
      </c>
      <c r="AS138" s="675">
        <v>0</v>
      </c>
      <c r="AT138" s="675">
        <v>0</v>
      </c>
      <c r="AU138" s="675">
        <v>0</v>
      </c>
      <c r="AV138" s="675">
        <v>-578420</v>
      </c>
      <c r="AW138" s="675">
        <v>48142098</v>
      </c>
      <c r="AX138" s="675">
        <v>47303796</v>
      </c>
      <c r="AY138" s="675">
        <v>31955573</v>
      </c>
      <c r="AZ138" s="675">
        <v>1759461</v>
      </c>
      <c r="BA138" s="675">
        <v>0</v>
      </c>
      <c r="BB138" s="675">
        <v>100453</v>
      </c>
      <c r="BC138" s="675">
        <v>99805</v>
      </c>
      <c r="BD138" s="675">
        <v>232.96200000000002</v>
      </c>
      <c r="BE138" s="675">
        <v>648</v>
      </c>
      <c r="BF138" s="675">
        <v>43525644</v>
      </c>
      <c r="BG138" s="675">
        <v>0</v>
      </c>
      <c r="BH138" s="675">
        <v>0</v>
      </c>
      <c r="BI138" s="675">
        <v>0</v>
      </c>
      <c r="BJ138" s="675">
        <v>12</v>
      </c>
      <c r="BK138" s="675">
        <v>0</v>
      </c>
      <c r="BL138" s="675">
        <v>0</v>
      </c>
      <c r="BM138" s="675">
        <v>0</v>
      </c>
      <c r="BN138" s="675">
        <v>0</v>
      </c>
      <c r="BO138" s="675">
        <v>0</v>
      </c>
      <c r="BP138" s="675">
        <v>0</v>
      </c>
      <c r="BQ138" s="675">
        <v>112</v>
      </c>
      <c r="BR138" s="675">
        <v>0</v>
      </c>
      <c r="BS138" s="675">
        <v>0</v>
      </c>
      <c r="BT138" s="675">
        <v>0</v>
      </c>
      <c r="BU138" s="675">
        <v>0</v>
      </c>
      <c r="BV138" s="675">
        <v>0</v>
      </c>
      <c r="BW138" s="675">
        <v>0</v>
      </c>
      <c r="BX138" s="675">
        <v>0</v>
      </c>
      <c r="BY138" s="675">
        <v>0</v>
      </c>
      <c r="BZ138" s="675">
        <v>0</v>
      </c>
      <c r="CA138" s="675">
        <v>222.19300000000001</v>
      </c>
      <c r="CB138" s="675">
        <v>189480</v>
      </c>
      <c r="CC138" s="675">
        <v>0</v>
      </c>
      <c r="CD138" s="675">
        <v>0</v>
      </c>
      <c r="CE138" s="675">
        <v>0</v>
      </c>
      <c r="CF138" s="675">
        <v>0</v>
      </c>
      <c r="CG138" s="675">
        <v>0</v>
      </c>
      <c r="CH138" s="675">
        <v>851536</v>
      </c>
      <c r="CI138" s="675">
        <v>0</v>
      </c>
      <c r="CJ138" s="675">
        <v>4</v>
      </c>
      <c r="CK138" s="675">
        <v>0</v>
      </c>
      <c r="CL138" s="675">
        <v>0</v>
      </c>
      <c r="CM138" s="675">
        <v>0</v>
      </c>
      <c r="CN138" s="675">
        <v>0</v>
      </c>
      <c r="CO138" s="675">
        <v>1</v>
      </c>
      <c r="CP138" s="675">
        <v>0</v>
      </c>
      <c r="CQ138" s="675">
        <v>0</v>
      </c>
      <c r="CR138" s="675">
        <v>4409.1210000000001</v>
      </c>
      <c r="CS138" s="675">
        <v>0</v>
      </c>
      <c r="CT138" s="675">
        <v>0</v>
      </c>
      <c r="CU138" s="675">
        <v>0</v>
      </c>
      <c r="CV138" s="675">
        <v>0</v>
      </c>
      <c r="CW138" s="675">
        <v>0</v>
      </c>
      <c r="CX138" s="675">
        <v>0</v>
      </c>
      <c r="CY138" s="675">
        <v>0</v>
      </c>
      <c r="CZ138" s="675">
        <v>0</v>
      </c>
      <c r="DA138" s="675">
        <v>0</v>
      </c>
      <c r="DB138" s="675">
        <v>26333089</v>
      </c>
      <c r="DC138" s="675">
        <v>0</v>
      </c>
      <c r="DD138" s="675">
        <v>0</v>
      </c>
      <c r="DE138" s="675">
        <v>5157898</v>
      </c>
      <c r="DF138" s="675">
        <v>5157898</v>
      </c>
      <c r="DG138" s="675">
        <v>837.32500000000005</v>
      </c>
      <c r="DH138" s="675">
        <v>0</v>
      </c>
      <c r="DI138" s="675">
        <v>0</v>
      </c>
      <c r="DJ138" s="675">
        <v>0</v>
      </c>
      <c r="DK138" s="675">
        <v>0</v>
      </c>
      <c r="DL138" s="675">
        <v>0</v>
      </c>
      <c r="DM138" s="675">
        <v>3304204</v>
      </c>
      <c r="DN138" s="675">
        <v>12586</v>
      </c>
      <c r="DO138" s="675">
        <v>0</v>
      </c>
      <c r="DP138" s="675">
        <v>0</v>
      </c>
      <c r="DQ138" s="675">
        <v>0</v>
      </c>
      <c r="DR138" s="675">
        <v>0</v>
      </c>
      <c r="DS138" s="675">
        <v>0</v>
      </c>
      <c r="DT138" s="675">
        <v>0</v>
      </c>
      <c r="DU138" s="675">
        <v>0</v>
      </c>
      <c r="DV138" s="675">
        <v>0</v>
      </c>
      <c r="DW138" s="675">
        <v>0</v>
      </c>
      <c r="DX138" s="675">
        <v>0</v>
      </c>
      <c r="DY138" s="675">
        <v>0</v>
      </c>
      <c r="DZ138" s="675">
        <v>0</v>
      </c>
      <c r="EA138" s="675">
        <v>0</v>
      </c>
      <c r="EB138" s="675">
        <v>0</v>
      </c>
      <c r="EC138" s="675">
        <v>64.216000000000008</v>
      </c>
      <c r="ED138" s="675">
        <v>454904</v>
      </c>
      <c r="EE138" s="675">
        <v>0</v>
      </c>
      <c r="EF138" s="675">
        <v>0</v>
      </c>
      <c r="EG138" s="675">
        <v>0</v>
      </c>
      <c r="EH138" s="675">
        <v>2861886</v>
      </c>
      <c r="EI138" s="675">
        <v>0</v>
      </c>
      <c r="EJ138" s="675">
        <v>0</v>
      </c>
      <c r="EK138" s="675">
        <v>122.343</v>
      </c>
      <c r="EL138" s="675">
        <v>0</v>
      </c>
      <c r="EM138" s="675">
        <v>15.035</v>
      </c>
      <c r="EN138" s="675">
        <v>10.492000000000001</v>
      </c>
      <c r="EO138" s="675">
        <v>0</v>
      </c>
      <c r="EP138" s="675">
        <v>0</v>
      </c>
      <c r="EQ138" s="675">
        <v>147.87</v>
      </c>
      <c r="ER138" s="675">
        <v>0</v>
      </c>
      <c r="ES138" s="675">
        <v>464.59399999999999</v>
      </c>
      <c r="ET138" s="675">
        <v>0</v>
      </c>
      <c r="EU138" s="675">
        <v>0</v>
      </c>
      <c r="EV138" s="675">
        <v>0</v>
      </c>
      <c r="EW138" s="675">
        <v>0</v>
      </c>
      <c r="EX138" s="675">
        <v>0</v>
      </c>
      <c r="EY138" s="675">
        <v>0</v>
      </c>
      <c r="EZ138" s="675">
        <v>41960598</v>
      </c>
      <c r="FA138" s="675">
        <v>0</v>
      </c>
      <c r="FB138" s="675">
        <v>43706825</v>
      </c>
      <c r="FC138" s="675">
        <v>0</v>
      </c>
      <c r="FD138" s="675">
        <v>0</v>
      </c>
      <c r="FE138" s="675">
        <v>4427449</v>
      </c>
      <c r="FF138" s="675">
        <v>915749</v>
      </c>
      <c r="FG138" s="675">
        <v>6.3574999999999993E-2</v>
      </c>
      <c r="FH138" s="675">
        <v>2.6298999999999999E-2</v>
      </c>
      <c r="FI138" s="675">
        <v>0</v>
      </c>
      <c r="FJ138" s="675">
        <v>0</v>
      </c>
      <c r="FK138" s="675">
        <v>7065.884</v>
      </c>
      <c r="FL138" s="675">
        <v>49901559</v>
      </c>
      <c r="FM138" s="675">
        <v>0</v>
      </c>
      <c r="FN138" s="675">
        <v>0</v>
      </c>
      <c r="FO138" s="675">
        <v>0</v>
      </c>
      <c r="FP138" s="675">
        <v>0</v>
      </c>
      <c r="FQ138" s="675">
        <v>0</v>
      </c>
      <c r="FR138" s="675">
        <v>0</v>
      </c>
      <c r="FS138" s="675">
        <v>0</v>
      </c>
      <c r="FT138" s="675">
        <v>0</v>
      </c>
      <c r="FU138" s="675">
        <v>0</v>
      </c>
      <c r="FV138" s="675">
        <v>0</v>
      </c>
      <c r="FW138" s="675">
        <v>0</v>
      </c>
      <c r="FX138" s="675">
        <v>0</v>
      </c>
      <c r="FY138" s="675">
        <v>0</v>
      </c>
      <c r="FZ138" s="675">
        <v>0</v>
      </c>
      <c r="GA138" s="675">
        <v>0</v>
      </c>
      <c r="GB138" s="675">
        <v>2173014</v>
      </c>
      <c r="GC138" s="675">
        <v>2173014</v>
      </c>
      <c r="GD138" s="675">
        <v>236.5</v>
      </c>
      <c r="GE138" s="675">
        <v>0</v>
      </c>
      <c r="GF138" s="675">
        <v>0</v>
      </c>
      <c r="GG138" s="675">
        <v>0</v>
      </c>
      <c r="GH138" s="675">
        <v>0</v>
      </c>
      <c r="GI138" s="675">
        <v>0</v>
      </c>
      <c r="GJ138" s="675">
        <v>0</v>
      </c>
      <c r="GK138" s="675">
        <v>0</v>
      </c>
      <c r="GL138" s="675">
        <v>0</v>
      </c>
      <c r="GM138" s="675">
        <v>0</v>
      </c>
      <c r="GN138" s="675">
        <v>0</v>
      </c>
      <c r="GO138" s="675">
        <v>0</v>
      </c>
      <c r="GP138" s="675">
        <v>0</v>
      </c>
      <c r="GQ138" s="675">
        <v>0</v>
      </c>
      <c r="GR138" s="675">
        <v>0</v>
      </c>
      <c r="GS138" s="675">
        <v>0</v>
      </c>
      <c r="GT138" s="675">
        <v>0</v>
      </c>
      <c r="GU138" s="675">
        <v>0</v>
      </c>
      <c r="GV138" s="675">
        <v>0</v>
      </c>
      <c r="GW138" s="675">
        <v>0</v>
      </c>
      <c r="GX138" s="675">
        <v>0</v>
      </c>
      <c r="GY138" s="675">
        <v>0</v>
      </c>
      <c r="GZ138" s="675">
        <v>0</v>
      </c>
      <c r="HA138" s="675">
        <v>0</v>
      </c>
      <c r="HB138" s="675">
        <v>298386780</v>
      </c>
      <c r="HC138" s="675">
        <v>4.5690999999999996E-2</v>
      </c>
      <c r="HD138" s="675">
        <v>851536</v>
      </c>
      <c r="HE138" s="675">
        <v>0</v>
      </c>
      <c r="HF138" s="675">
        <v>4702359</v>
      </c>
      <c r="HG138" s="675">
        <v>52360</v>
      </c>
      <c r="HH138" s="675">
        <v>1073726</v>
      </c>
      <c r="HI138" s="675">
        <v>0</v>
      </c>
      <c r="HJ138" s="675">
        <v>45288</v>
      </c>
      <c r="HK138" s="675">
        <v>2988</v>
      </c>
      <c r="HL138" s="675">
        <v>1947</v>
      </c>
      <c r="HM138" s="675">
        <v>0</v>
      </c>
      <c r="HN138" s="675">
        <v>122123</v>
      </c>
      <c r="HO138" s="675">
        <v>0</v>
      </c>
      <c r="HP138" s="675">
        <v>0</v>
      </c>
      <c r="HQ138" s="675">
        <v>0</v>
      </c>
      <c r="HR138" s="675">
        <v>0</v>
      </c>
      <c r="HS138" s="675">
        <v>41947364</v>
      </c>
      <c r="HT138" s="675">
        <v>915749</v>
      </c>
      <c r="HU138" s="675">
        <v>0</v>
      </c>
      <c r="HV138" s="675">
        <v>0</v>
      </c>
      <c r="HW138" s="675">
        <v>0</v>
      </c>
      <c r="HX138" s="675">
        <v>1112</v>
      </c>
      <c r="HY138" s="675">
        <v>646</v>
      </c>
      <c r="HZ138" s="675">
        <v>639</v>
      </c>
      <c r="IA138" s="675">
        <v>546</v>
      </c>
      <c r="IB138" s="675">
        <v>475</v>
      </c>
      <c r="IC138" s="675">
        <v>3418</v>
      </c>
      <c r="ID138" s="675">
        <v>0</v>
      </c>
      <c r="IE138" s="675">
        <v>0</v>
      </c>
      <c r="IF138" s="675">
        <v>0</v>
      </c>
      <c r="IG138" s="675">
        <v>85</v>
      </c>
      <c r="IH138" s="675">
        <v>1743.07</v>
      </c>
      <c r="II138" s="675">
        <v>0</v>
      </c>
      <c r="IJ138" s="675">
        <v>728.15899999999999</v>
      </c>
      <c r="IK138" s="675">
        <v>0</v>
      </c>
      <c r="IL138" s="675">
        <v>0</v>
      </c>
      <c r="IM138" s="675">
        <v>0</v>
      </c>
      <c r="IN138" s="675">
        <v>0</v>
      </c>
      <c r="IO138" s="675">
        <v>0</v>
      </c>
      <c r="IP138" s="675">
        <v>0</v>
      </c>
      <c r="IQ138" s="675">
        <v>728.15899999999999</v>
      </c>
      <c r="IR138" s="675">
        <v>448544</v>
      </c>
      <c r="IS138" s="675">
        <v>0</v>
      </c>
      <c r="IT138" s="675">
        <v>0</v>
      </c>
      <c r="IU138" s="675">
        <v>0</v>
      </c>
      <c r="IV138" s="675">
        <v>0</v>
      </c>
      <c r="IW138" s="675">
        <v>6160</v>
      </c>
      <c r="IX138" s="675">
        <v>0</v>
      </c>
      <c r="IY138" s="675">
        <v>0</v>
      </c>
      <c r="IZ138" s="675">
        <v>0</v>
      </c>
      <c r="JA138" s="675">
        <v>0</v>
      </c>
      <c r="JB138" s="675">
        <v>2</v>
      </c>
      <c r="JC138" s="675">
        <v>31182</v>
      </c>
      <c r="JD138" s="675">
        <v>7</v>
      </c>
      <c r="JE138" s="675">
        <v>61216</v>
      </c>
      <c r="JF138" s="675">
        <v>4</v>
      </c>
      <c r="JG138" s="675">
        <v>23225</v>
      </c>
      <c r="JH138" s="675">
        <v>6500</v>
      </c>
      <c r="JI138" s="675">
        <v>0</v>
      </c>
      <c r="JJ138" s="675">
        <v>0</v>
      </c>
      <c r="JK138" s="675">
        <v>0</v>
      </c>
      <c r="JL138" s="675">
        <v>0</v>
      </c>
      <c r="JM138" s="675">
        <v>0</v>
      </c>
      <c r="JN138" s="675">
        <v>32469</v>
      </c>
      <c r="JO138" s="675">
        <v>90</v>
      </c>
      <c r="JP138" s="675">
        <v>79.167000000000002</v>
      </c>
      <c r="JQ138" s="675">
        <v>67.332999999999998</v>
      </c>
      <c r="JR138" s="675">
        <v>718740</v>
      </c>
      <c r="JS138" s="675">
        <v>735683</v>
      </c>
      <c r="JT138" s="675">
        <v>718591</v>
      </c>
      <c r="JU138" s="675">
        <v>100453</v>
      </c>
      <c r="JV138" s="675">
        <v>0</v>
      </c>
      <c r="JW138" s="675">
        <v>0</v>
      </c>
      <c r="JX138" s="675">
        <v>0</v>
      </c>
      <c r="JY138" s="675">
        <v>0</v>
      </c>
      <c r="JZ138" s="675">
        <v>0</v>
      </c>
      <c r="KA138" s="675">
        <v>0</v>
      </c>
      <c r="KB138" s="675">
        <v>0</v>
      </c>
      <c r="KC138" s="675">
        <v>0</v>
      </c>
      <c r="KD138" s="675">
        <v>100453</v>
      </c>
      <c r="KE138" s="675">
        <v>7260</v>
      </c>
      <c r="KF138" s="675">
        <v>0</v>
      </c>
      <c r="KG138" s="675">
        <v>0</v>
      </c>
      <c r="KH138" s="675">
        <v>0</v>
      </c>
      <c r="KI138" s="675">
        <v>0</v>
      </c>
    </row>
    <row r="139" spans="1:295" ht="12.5" x14ac:dyDescent="0.25">
      <c r="A139" s="675">
        <v>35795</v>
      </c>
      <c r="B139" s="675">
        <v>57831</v>
      </c>
      <c r="C139" s="675">
        <v>9</v>
      </c>
      <c r="D139" s="675">
        <v>2022</v>
      </c>
      <c r="E139" s="675">
        <v>6160</v>
      </c>
      <c r="F139" s="675">
        <v>0</v>
      </c>
      <c r="G139" s="675">
        <v>516.02700000000004</v>
      </c>
      <c r="H139" s="675">
        <v>482.70800000000003</v>
      </c>
      <c r="I139" s="675">
        <v>482.70800000000003</v>
      </c>
      <c r="J139" s="675">
        <v>516.02700000000004</v>
      </c>
      <c r="K139" s="675">
        <v>0</v>
      </c>
      <c r="L139" s="675">
        <v>6160</v>
      </c>
      <c r="M139" s="675">
        <v>0</v>
      </c>
      <c r="N139" s="675">
        <v>0</v>
      </c>
      <c r="O139" s="675">
        <v>0</v>
      </c>
      <c r="P139" s="675">
        <v>601.15700000000004</v>
      </c>
      <c r="Q139" s="675">
        <v>0</v>
      </c>
      <c r="R139" s="675">
        <v>241922</v>
      </c>
      <c r="S139" s="675">
        <v>402.428</v>
      </c>
      <c r="T139" s="675">
        <v>0</v>
      </c>
      <c r="U139" s="675">
        <v>128649</v>
      </c>
      <c r="V139" s="675">
        <v>0</v>
      </c>
      <c r="W139" s="675">
        <v>0</v>
      </c>
      <c r="X139" s="675">
        <v>0</v>
      </c>
      <c r="Y139" s="675">
        <v>0</v>
      </c>
      <c r="Z139" s="675">
        <v>0</v>
      </c>
      <c r="AA139" s="675">
        <v>0</v>
      </c>
      <c r="AB139" s="675">
        <v>0</v>
      </c>
      <c r="AC139" s="675">
        <v>0</v>
      </c>
      <c r="AD139" s="675" t="s">
        <v>316</v>
      </c>
      <c r="AE139" s="675">
        <v>0</v>
      </c>
      <c r="AF139" s="675">
        <v>0</v>
      </c>
      <c r="AG139" s="675">
        <v>0</v>
      </c>
      <c r="AH139" s="675">
        <v>0</v>
      </c>
      <c r="AI139" s="675">
        <v>0</v>
      </c>
      <c r="AJ139" s="675">
        <v>6160</v>
      </c>
      <c r="AK139" s="675" t="s">
        <v>671</v>
      </c>
      <c r="AL139" s="675" t="s">
        <v>47</v>
      </c>
      <c r="AM139" s="675">
        <v>0</v>
      </c>
      <c r="AN139" s="675">
        <v>0</v>
      </c>
      <c r="AO139" s="675">
        <v>0</v>
      </c>
      <c r="AP139" s="675">
        <v>0</v>
      </c>
      <c r="AQ139" s="675">
        <v>0</v>
      </c>
      <c r="AR139" s="675">
        <v>0</v>
      </c>
      <c r="AS139" s="675">
        <v>0</v>
      </c>
      <c r="AT139" s="675">
        <v>0</v>
      </c>
      <c r="AU139" s="675">
        <v>0</v>
      </c>
      <c r="AV139" s="675">
        <v>-6166</v>
      </c>
      <c r="AW139" s="675">
        <v>5621639</v>
      </c>
      <c r="AX139" s="675">
        <v>5331938</v>
      </c>
      <c r="AY139" s="675">
        <v>3972704</v>
      </c>
      <c r="AZ139" s="675">
        <v>241922</v>
      </c>
      <c r="BA139" s="675">
        <v>0</v>
      </c>
      <c r="BB139" s="675">
        <v>1725</v>
      </c>
      <c r="BC139" s="675">
        <v>1714</v>
      </c>
      <c r="BD139" s="675">
        <v>4</v>
      </c>
      <c r="BE139" s="675">
        <v>11</v>
      </c>
      <c r="BF139" s="675">
        <v>4924261</v>
      </c>
      <c r="BG139" s="675">
        <v>0</v>
      </c>
      <c r="BH139" s="675">
        <v>0</v>
      </c>
      <c r="BI139" s="675">
        <v>0</v>
      </c>
      <c r="BJ139" s="675">
        <v>12</v>
      </c>
      <c r="BK139" s="675">
        <v>0</v>
      </c>
      <c r="BL139" s="675">
        <v>0</v>
      </c>
      <c r="BM139" s="675">
        <v>0</v>
      </c>
      <c r="BN139" s="675">
        <v>0</v>
      </c>
      <c r="BO139" s="675">
        <v>0</v>
      </c>
      <c r="BP139" s="675">
        <v>0</v>
      </c>
      <c r="BQ139" s="675">
        <v>696</v>
      </c>
      <c r="BR139" s="675">
        <v>0</v>
      </c>
      <c r="BS139" s="675">
        <v>0</v>
      </c>
      <c r="BT139" s="675">
        <v>0</v>
      </c>
      <c r="BU139" s="675">
        <v>0</v>
      </c>
      <c r="BV139" s="675">
        <v>0</v>
      </c>
      <c r="BW139" s="675">
        <v>0</v>
      </c>
      <c r="BX139" s="675">
        <v>0</v>
      </c>
      <c r="BY139" s="675">
        <v>0</v>
      </c>
      <c r="BZ139" s="675">
        <v>0</v>
      </c>
      <c r="CA139" s="675">
        <v>0</v>
      </c>
      <c r="CB139" s="675">
        <v>0</v>
      </c>
      <c r="CC139" s="675">
        <v>0</v>
      </c>
      <c r="CD139" s="675">
        <v>0</v>
      </c>
      <c r="CE139" s="675">
        <v>0</v>
      </c>
      <c r="CF139" s="675">
        <v>0</v>
      </c>
      <c r="CG139" s="675">
        <v>0</v>
      </c>
      <c r="CH139" s="675">
        <v>290482</v>
      </c>
      <c r="CI139" s="675">
        <v>0</v>
      </c>
      <c r="CJ139" s="675">
        <v>4</v>
      </c>
      <c r="CK139" s="675">
        <v>0</v>
      </c>
      <c r="CL139" s="675">
        <v>0</v>
      </c>
      <c r="CM139" s="675">
        <v>0</v>
      </c>
      <c r="CN139" s="675">
        <v>0</v>
      </c>
      <c r="CO139" s="675">
        <v>1</v>
      </c>
      <c r="CP139" s="675">
        <v>0</v>
      </c>
      <c r="CQ139" s="675">
        <v>0</v>
      </c>
      <c r="CR139" s="675">
        <v>625.41700000000003</v>
      </c>
      <c r="CS139" s="675">
        <v>0</v>
      </c>
      <c r="CT139" s="675">
        <v>0</v>
      </c>
      <c r="CU139" s="675">
        <v>0</v>
      </c>
      <c r="CV139" s="675">
        <v>0</v>
      </c>
      <c r="CW139" s="675">
        <v>0</v>
      </c>
      <c r="CX139" s="675">
        <v>0</v>
      </c>
      <c r="CY139" s="675">
        <v>0</v>
      </c>
      <c r="CZ139" s="675">
        <v>0</v>
      </c>
      <c r="DA139" s="675">
        <v>0</v>
      </c>
      <c r="DB139" s="675">
        <v>2947305</v>
      </c>
      <c r="DC139" s="675">
        <v>0</v>
      </c>
      <c r="DD139" s="675">
        <v>0</v>
      </c>
      <c r="DE139" s="675">
        <v>793635</v>
      </c>
      <c r="DF139" s="675">
        <v>793635</v>
      </c>
      <c r="DG139" s="675">
        <v>128.83799999999999</v>
      </c>
      <c r="DH139" s="675">
        <v>0</v>
      </c>
      <c r="DI139" s="675">
        <v>0</v>
      </c>
      <c r="DJ139" s="675">
        <v>0</v>
      </c>
      <c r="DK139" s="675">
        <v>2753</v>
      </c>
      <c r="DL139" s="675">
        <v>0</v>
      </c>
      <c r="DM139" s="675">
        <v>228328</v>
      </c>
      <c r="DN139" s="675">
        <v>770</v>
      </c>
      <c r="DO139" s="675">
        <v>0</v>
      </c>
      <c r="DP139" s="675">
        <v>0</v>
      </c>
      <c r="DQ139" s="675">
        <v>0</v>
      </c>
      <c r="DR139" s="675">
        <v>0</v>
      </c>
      <c r="DS139" s="675">
        <v>0</v>
      </c>
      <c r="DT139" s="675">
        <v>0</v>
      </c>
      <c r="DU139" s="675">
        <v>0</v>
      </c>
      <c r="DV139" s="675">
        <v>0</v>
      </c>
      <c r="DW139" s="675">
        <v>0</v>
      </c>
      <c r="DX139" s="675">
        <v>0</v>
      </c>
      <c r="DY139" s="675">
        <v>0</v>
      </c>
      <c r="DZ139" s="675">
        <v>0</v>
      </c>
      <c r="EA139" s="675">
        <v>0</v>
      </c>
      <c r="EB139" s="675">
        <v>0</v>
      </c>
      <c r="EC139" s="675">
        <v>26.995000000000001</v>
      </c>
      <c r="ED139" s="675">
        <v>191232</v>
      </c>
      <c r="EE139" s="675">
        <v>0</v>
      </c>
      <c r="EF139" s="675">
        <v>0</v>
      </c>
      <c r="EG139" s="675">
        <v>0</v>
      </c>
      <c r="EH139" s="675">
        <v>11704</v>
      </c>
      <c r="EI139" s="675">
        <v>0</v>
      </c>
      <c r="EJ139" s="675">
        <v>0</v>
      </c>
      <c r="EK139" s="675">
        <v>0</v>
      </c>
      <c r="EL139" s="675">
        <v>0</v>
      </c>
      <c r="EM139" s="675">
        <v>0</v>
      </c>
      <c r="EN139" s="675">
        <v>0.38</v>
      </c>
      <c r="EO139" s="675">
        <v>0</v>
      </c>
      <c r="EP139" s="675">
        <v>0</v>
      </c>
      <c r="EQ139" s="675">
        <v>0.38</v>
      </c>
      <c r="ER139" s="675">
        <v>0</v>
      </c>
      <c r="ES139" s="675">
        <v>1.9000000000000001</v>
      </c>
      <c r="ET139" s="675">
        <v>0</v>
      </c>
      <c r="EU139" s="675">
        <v>0</v>
      </c>
      <c r="EV139" s="675">
        <v>0</v>
      </c>
      <c r="EW139" s="675">
        <v>0</v>
      </c>
      <c r="EX139" s="675">
        <v>0</v>
      </c>
      <c r="EY139" s="675">
        <v>0</v>
      </c>
      <c r="EZ139" s="675">
        <v>4727437</v>
      </c>
      <c r="FA139" s="675">
        <v>0</v>
      </c>
      <c r="FB139" s="675">
        <v>4968578</v>
      </c>
      <c r="FC139" s="675">
        <v>0</v>
      </c>
      <c r="FD139" s="675">
        <v>0</v>
      </c>
      <c r="FE139" s="675">
        <v>500898</v>
      </c>
      <c r="FF139" s="675">
        <v>103603</v>
      </c>
      <c r="FG139" s="675">
        <v>6.3574999999999993E-2</v>
      </c>
      <c r="FH139" s="675">
        <v>2.6298999999999999E-2</v>
      </c>
      <c r="FI139" s="675">
        <v>0</v>
      </c>
      <c r="FJ139" s="675">
        <v>0</v>
      </c>
      <c r="FK139" s="675">
        <v>799.39700000000005</v>
      </c>
      <c r="FL139" s="675">
        <v>5863561</v>
      </c>
      <c r="FM139" s="675">
        <v>0</v>
      </c>
      <c r="FN139" s="675">
        <v>0</v>
      </c>
      <c r="FO139" s="675">
        <v>42696</v>
      </c>
      <c r="FP139" s="675">
        <v>0</v>
      </c>
      <c r="FQ139" s="675">
        <v>42696</v>
      </c>
      <c r="FR139" s="675">
        <v>42696</v>
      </c>
      <c r="FS139" s="675">
        <v>0</v>
      </c>
      <c r="FT139" s="675">
        <v>0</v>
      </c>
      <c r="FU139" s="675">
        <v>0</v>
      </c>
      <c r="FV139" s="675">
        <v>0</v>
      </c>
      <c r="FW139" s="675">
        <v>0</v>
      </c>
      <c r="FX139" s="675">
        <v>0</v>
      </c>
      <c r="FY139" s="675">
        <v>0</v>
      </c>
      <c r="FZ139" s="675">
        <v>0</v>
      </c>
      <c r="GA139" s="675">
        <v>0</v>
      </c>
      <c r="GB139" s="675">
        <v>322913</v>
      </c>
      <c r="GC139" s="675">
        <v>322913</v>
      </c>
      <c r="GD139" s="675">
        <v>32.939</v>
      </c>
      <c r="GE139" s="675">
        <v>0</v>
      </c>
      <c r="GF139" s="675">
        <v>0</v>
      </c>
      <c r="GG139" s="675">
        <v>0</v>
      </c>
      <c r="GH139" s="675">
        <v>0</v>
      </c>
      <c r="GI139" s="675">
        <v>0</v>
      </c>
      <c r="GJ139" s="675">
        <v>0</v>
      </c>
      <c r="GK139" s="675">
        <v>0</v>
      </c>
      <c r="GL139" s="675">
        <v>0</v>
      </c>
      <c r="GM139" s="675">
        <v>0</v>
      </c>
      <c r="GN139" s="675">
        <v>0</v>
      </c>
      <c r="GO139" s="675">
        <v>0</v>
      </c>
      <c r="GP139" s="675">
        <v>0</v>
      </c>
      <c r="GQ139" s="675">
        <v>0</v>
      </c>
      <c r="GR139" s="675">
        <v>0</v>
      </c>
      <c r="GS139" s="675">
        <v>0</v>
      </c>
      <c r="GT139" s="675">
        <v>0</v>
      </c>
      <c r="GU139" s="675">
        <v>0</v>
      </c>
      <c r="GV139" s="675">
        <v>0</v>
      </c>
      <c r="GW139" s="675">
        <v>0</v>
      </c>
      <c r="GX139" s="675">
        <v>0</v>
      </c>
      <c r="GY139" s="675">
        <v>0</v>
      </c>
      <c r="GZ139" s="675">
        <v>0</v>
      </c>
      <c r="HA139" s="675">
        <v>0</v>
      </c>
      <c r="HB139" s="675">
        <v>298386780</v>
      </c>
      <c r="HC139" s="675">
        <v>4.5690999999999996E-2</v>
      </c>
      <c r="HD139" s="675">
        <v>94310</v>
      </c>
      <c r="HE139" s="675">
        <v>0</v>
      </c>
      <c r="HF139" s="675">
        <v>530979</v>
      </c>
      <c r="HG139" s="675">
        <v>642</v>
      </c>
      <c r="HH139" s="675">
        <v>92948</v>
      </c>
      <c r="HI139" s="675">
        <v>0</v>
      </c>
      <c r="HJ139" s="675">
        <v>5016</v>
      </c>
      <c r="HK139" s="675">
        <v>1278</v>
      </c>
      <c r="HL139" s="675">
        <v>1124</v>
      </c>
      <c r="HM139" s="675">
        <v>0</v>
      </c>
      <c r="HN139" s="675">
        <v>0</v>
      </c>
      <c r="HO139" s="675">
        <v>0</v>
      </c>
      <c r="HP139" s="675">
        <v>0</v>
      </c>
      <c r="HQ139" s="675">
        <v>0</v>
      </c>
      <c r="HR139" s="675">
        <v>0</v>
      </c>
      <c r="HS139" s="675">
        <v>4726656</v>
      </c>
      <c r="HT139" s="675">
        <v>103603</v>
      </c>
      <c r="HU139" s="675">
        <v>0</v>
      </c>
      <c r="HV139" s="675">
        <v>0</v>
      </c>
      <c r="HW139" s="675">
        <v>0</v>
      </c>
      <c r="HX139" s="675">
        <v>35</v>
      </c>
      <c r="HY139" s="675">
        <v>35</v>
      </c>
      <c r="HZ139" s="675">
        <v>17</v>
      </c>
      <c r="IA139" s="675">
        <v>128</v>
      </c>
      <c r="IB139" s="675">
        <v>272</v>
      </c>
      <c r="IC139" s="675">
        <v>487</v>
      </c>
      <c r="ID139" s="675">
        <v>0</v>
      </c>
      <c r="IE139" s="675">
        <v>0</v>
      </c>
      <c r="IF139" s="675">
        <v>0</v>
      </c>
      <c r="IG139" s="675">
        <v>1.042</v>
      </c>
      <c r="IH139" s="675">
        <v>150.89100000000002</v>
      </c>
      <c r="II139" s="675">
        <v>0</v>
      </c>
      <c r="IJ139" s="675">
        <v>0</v>
      </c>
      <c r="IK139" s="675">
        <v>0</v>
      </c>
      <c r="IL139" s="675">
        <v>0</v>
      </c>
      <c r="IM139" s="675">
        <v>0</v>
      </c>
      <c r="IN139" s="675">
        <v>0</v>
      </c>
      <c r="IO139" s="675">
        <v>0</v>
      </c>
      <c r="IP139" s="675">
        <v>0</v>
      </c>
      <c r="IQ139" s="675">
        <v>0</v>
      </c>
      <c r="IR139" s="675">
        <v>0</v>
      </c>
      <c r="IS139" s="675">
        <v>0</v>
      </c>
      <c r="IT139" s="675">
        <v>0</v>
      </c>
      <c r="IU139" s="675">
        <v>0</v>
      </c>
      <c r="IV139" s="675">
        <v>0</v>
      </c>
      <c r="IW139" s="675">
        <v>6160</v>
      </c>
      <c r="IX139" s="675">
        <v>0</v>
      </c>
      <c r="IY139" s="675">
        <v>0</v>
      </c>
      <c r="IZ139" s="675">
        <v>0</v>
      </c>
      <c r="JA139" s="675">
        <v>0</v>
      </c>
      <c r="JB139" s="675">
        <v>0</v>
      </c>
      <c r="JC139" s="675">
        <v>0</v>
      </c>
      <c r="JD139" s="675">
        <v>0</v>
      </c>
      <c r="JE139" s="675">
        <v>0</v>
      </c>
      <c r="JF139" s="675">
        <v>0</v>
      </c>
      <c r="JG139" s="675">
        <v>0</v>
      </c>
      <c r="JH139" s="675">
        <v>0</v>
      </c>
      <c r="JI139" s="675">
        <v>0</v>
      </c>
      <c r="JJ139" s="675">
        <v>0</v>
      </c>
      <c r="JK139" s="675">
        <v>0</v>
      </c>
      <c r="JL139" s="675">
        <v>0</v>
      </c>
      <c r="JM139" s="675">
        <v>0</v>
      </c>
      <c r="JN139" s="675">
        <v>32469</v>
      </c>
      <c r="JO139" s="675">
        <v>0</v>
      </c>
      <c r="JP139" s="675">
        <v>20.747</v>
      </c>
      <c r="JQ139" s="675">
        <v>12.192</v>
      </c>
      <c r="JR139" s="675">
        <v>0</v>
      </c>
      <c r="JS139" s="675">
        <v>192798</v>
      </c>
      <c r="JT139" s="675">
        <v>130115</v>
      </c>
      <c r="JU139" s="675">
        <v>1725</v>
      </c>
      <c r="JV139" s="675">
        <v>0</v>
      </c>
      <c r="JW139" s="675">
        <v>0</v>
      </c>
      <c r="JX139" s="675">
        <v>0</v>
      </c>
      <c r="JY139" s="675">
        <v>0</v>
      </c>
      <c r="JZ139" s="675">
        <v>0</v>
      </c>
      <c r="KA139" s="675">
        <v>0</v>
      </c>
      <c r="KB139" s="675">
        <v>0</v>
      </c>
      <c r="KC139" s="675">
        <v>0</v>
      </c>
      <c r="KD139" s="675">
        <v>1725</v>
      </c>
      <c r="KE139" s="675">
        <v>7260</v>
      </c>
      <c r="KF139" s="675">
        <v>196172</v>
      </c>
      <c r="KG139" s="675">
        <v>0</v>
      </c>
      <c r="KH139" s="675">
        <v>0</v>
      </c>
      <c r="KI139" s="675">
        <v>0</v>
      </c>
    </row>
    <row r="140" spans="1:295" ht="12.5" x14ac:dyDescent="0.25">
      <c r="A140" s="675">
        <v>35795</v>
      </c>
      <c r="B140" s="675">
        <v>57833</v>
      </c>
      <c r="C140" s="675">
        <v>9</v>
      </c>
      <c r="D140" s="675">
        <v>2022</v>
      </c>
      <c r="E140" s="675">
        <v>6160</v>
      </c>
      <c r="F140" s="675">
        <v>0</v>
      </c>
      <c r="G140" s="675">
        <v>404.62800000000004</v>
      </c>
      <c r="H140" s="675">
        <v>391.74</v>
      </c>
      <c r="I140" s="675">
        <v>391.74</v>
      </c>
      <c r="J140" s="675">
        <v>404.62800000000004</v>
      </c>
      <c r="K140" s="675">
        <v>0</v>
      </c>
      <c r="L140" s="675">
        <v>6160</v>
      </c>
      <c r="M140" s="675">
        <v>0</v>
      </c>
      <c r="N140" s="675">
        <v>0</v>
      </c>
      <c r="O140" s="675">
        <v>0</v>
      </c>
      <c r="P140" s="675">
        <v>489.44</v>
      </c>
      <c r="Q140" s="675">
        <v>0</v>
      </c>
      <c r="R140" s="675">
        <v>196964</v>
      </c>
      <c r="S140" s="675">
        <v>402.428</v>
      </c>
      <c r="T140" s="675">
        <v>0</v>
      </c>
      <c r="U140" s="675">
        <v>104743</v>
      </c>
      <c r="V140" s="675">
        <v>27.67</v>
      </c>
      <c r="W140" s="675">
        <v>21428</v>
      </c>
      <c r="X140" s="675">
        <v>21428</v>
      </c>
      <c r="Y140" s="675">
        <v>0</v>
      </c>
      <c r="Z140" s="675">
        <v>0</v>
      </c>
      <c r="AA140" s="675">
        <v>0</v>
      </c>
      <c r="AB140" s="675">
        <v>0</v>
      </c>
      <c r="AC140" s="675">
        <v>0</v>
      </c>
      <c r="AD140" s="675" t="s">
        <v>316</v>
      </c>
      <c r="AE140" s="675">
        <v>0</v>
      </c>
      <c r="AF140" s="675">
        <v>0</v>
      </c>
      <c r="AG140" s="675">
        <v>0</v>
      </c>
      <c r="AH140" s="675">
        <v>0</v>
      </c>
      <c r="AI140" s="675">
        <v>0</v>
      </c>
      <c r="AJ140" s="675">
        <v>6160</v>
      </c>
      <c r="AK140" s="675" t="s">
        <v>671</v>
      </c>
      <c r="AL140" s="675" t="s">
        <v>48</v>
      </c>
      <c r="AM140" s="675">
        <v>0</v>
      </c>
      <c r="AN140" s="675">
        <v>0</v>
      </c>
      <c r="AO140" s="675">
        <v>0</v>
      </c>
      <c r="AP140" s="675">
        <v>0</v>
      </c>
      <c r="AQ140" s="675">
        <v>0</v>
      </c>
      <c r="AR140" s="675">
        <v>0</v>
      </c>
      <c r="AS140" s="675">
        <v>0</v>
      </c>
      <c r="AT140" s="675">
        <v>0</v>
      </c>
      <c r="AU140" s="675">
        <v>0</v>
      </c>
      <c r="AV140" s="675">
        <v>-102445</v>
      </c>
      <c r="AW140" s="675">
        <v>4000672</v>
      </c>
      <c r="AX140" s="675">
        <v>3927825</v>
      </c>
      <c r="AY140" s="675">
        <v>2774774</v>
      </c>
      <c r="AZ140" s="675">
        <v>196964</v>
      </c>
      <c r="BA140" s="675">
        <v>0</v>
      </c>
      <c r="BB140" s="675">
        <v>2228</v>
      </c>
      <c r="BC140" s="675">
        <v>2214</v>
      </c>
      <c r="BD140" s="675">
        <v>5.1669999999999998</v>
      </c>
      <c r="BE140" s="675">
        <v>14</v>
      </c>
      <c r="BF140" s="675">
        <v>3673795</v>
      </c>
      <c r="BG140" s="675">
        <v>0</v>
      </c>
      <c r="BH140" s="675">
        <v>0</v>
      </c>
      <c r="BI140" s="675">
        <v>0</v>
      </c>
      <c r="BJ140" s="675">
        <v>12</v>
      </c>
      <c r="BK140" s="675">
        <v>0</v>
      </c>
      <c r="BL140" s="675">
        <v>0</v>
      </c>
      <c r="BM140" s="675">
        <v>0</v>
      </c>
      <c r="BN140" s="675">
        <v>0</v>
      </c>
      <c r="BO140" s="675">
        <v>0</v>
      </c>
      <c r="BP140" s="675">
        <v>0</v>
      </c>
      <c r="BQ140" s="675">
        <v>710</v>
      </c>
      <c r="BR140" s="675">
        <v>0</v>
      </c>
      <c r="BS140" s="675">
        <v>0</v>
      </c>
      <c r="BT140" s="675">
        <v>0</v>
      </c>
      <c r="BU140" s="675">
        <v>0</v>
      </c>
      <c r="BV140" s="675">
        <v>0</v>
      </c>
      <c r="BW140" s="675">
        <v>0</v>
      </c>
      <c r="BX140" s="675">
        <v>0</v>
      </c>
      <c r="BY140" s="675">
        <v>0</v>
      </c>
      <c r="BZ140" s="675">
        <v>0</v>
      </c>
      <c r="CA140" s="675">
        <v>0</v>
      </c>
      <c r="CB140" s="675">
        <v>0</v>
      </c>
      <c r="CC140" s="675">
        <v>0</v>
      </c>
      <c r="CD140" s="675">
        <v>0</v>
      </c>
      <c r="CE140" s="675">
        <v>0</v>
      </c>
      <c r="CF140" s="675">
        <v>0</v>
      </c>
      <c r="CG140" s="675">
        <v>0</v>
      </c>
      <c r="CH140" s="675">
        <v>73951</v>
      </c>
      <c r="CI140" s="675">
        <v>0</v>
      </c>
      <c r="CJ140" s="675">
        <v>4</v>
      </c>
      <c r="CK140" s="675">
        <v>0</v>
      </c>
      <c r="CL140" s="675">
        <v>0</v>
      </c>
      <c r="CM140" s="675">
        <v>0</v>
      </c>
      <c r="CN140" s="675">
        <v>0</v>
      </c>
      <c r="CO140" s="675">
        <v>1</v>
      </c>
      <c r="CP140" s="675">
        <v>0</v>
      </c>
      <c r="CQ140" s="675">
        <v>0</v>
      </c>
      <c r="CR140" s="675">
        <v>555.18600000000004</v>
      </c>
      <c r="CS140" s="675">
        <v>0</v>
      </c>
      <c r="CT140" s="675">
        <v>0</v>
      </c>
      <c r="CU140" s="675">
        <v>0</v>
      </c>
      <c r="CV140" s="675">
        <v>0</v>
      </c>
      <c r="CW140" s="675">
        <v>0</v>
      </c>
      <c r="CX140" s="675">
        <v>0</v>
      </c>
      <c r="CY140" s="675">
        <v>0</v>
      </c>
      <c r="CZ140" s="675">
        <v>0</v>
      </c>
      <c r="DA140" s="675">
        <v>0</v>
      </c>
      <c r="DB140" s="675">
        <v>2285012</v>
      </c>
      <c r="DC140" s="675">
        <v>0</v>
      </c>
      <c r="DD140" s="675">
        <v>0</v>
      </c>
      <c r="DE140" s="675">
        <v>393083</v>
      </c>
      <c r="DF140" s="675">
        <v>393083</v>
      </c>
      <c r="DG140" s="675">
        <v>63.813000000000002</v>
      </c>
      <c r="DH140" s="675">
        <v>0</v>
      </c>
      <c r="DI140" s="675">
        <v>0</v>
      </c>
      <c r="DJ140" s="675">
        <v>0</v>
      </c>
      <c r="DK140" s="675">
        <v>2977</v>
      </c>
      <c r="DL140" s="675">
        <v>0</v>
      </c>
      <c r="DM140" s="675">
        <v>414152</v>
      </c>
      <c r="DN140" s="675">
        <v>1090</v>
      </c>
      <c r="DO140" s="675">
        <v>0</v>
      </c>
      <c r="DP140" s="675">
        <v>0</v>
      </c>
      <c r="DQ140" s="675">
        <v>0</v>
      </c>
      <c r="DR140" s="675">
        <v>0</v>
      </c>
      <c r="DS140" s="675">
        <v>0</v>
      </c>
      <c r="DT140" s="675">
        <v>0</v>
      </c>
      <c r="DU140" s="675">
        <v>0</v>
      </c>
      <c r="DV140" s="675">
        <v>0</v>
      </c>
      <c r="DW140" s="675">
        <v>0</v>
      </c>
      <c r="DX140" s="675">
        <v>0</v>
      </c>
      <c r="DY140" s="675">
        <v>0</v>
      </c>
      <c r="DZ140" s="675">
        <v>0</v>
      </c>
      <c r="EA140" s="675">
        <v>0</v>
      </c>
      <c r="EB140" s="675">
        <v>0</v>
      </c>
      <c r="EC140" s="675">
        <v>5.3730000000000002</v>
      </c>
      <c r="ED140" s="675">
        <v>38062</v>
      </c>
      <c r="EE140" s="675">
        <v>0</v>
      </c>
      <c r="EF140" s="675">
        <v>0</v>
      </c>
      <c r="EG140" s="675">
        <v>0</v>
      </c>
      <c r="EH140" s="675">
        <v>249085</v>
      </c>
      <c r="EI140" s="675">
        <v>0</v>
      </c>
      <c r="EJ140" s="675">
        <v>0</v>
      </c>
      <c r="EK140" s="675">
        <v>11.86</v>
      </c>
      <c r="EL140" s="675">
        <v>0</v>
      </c>
      <c r="EM140" s="675">
        <v>0.14200000000000002</v>
      </c>
      <c r="EN140" s="675">
        <v>0.88600000000000001</v>
      </c>
      <c r="EO140" s="675">
        <v>0</v>
      </c>
      <c r="EP140" s="675">
        <v>0</v>
      </c>
      <c r="EQ140" s="675">
        <v>12.888</v>
      </c>
      <c r="ER140" s="675">
        <v>0</v>
      </c>
      <c r="ES140" s="675">
        <v>40.436</v>
      </c>
      <c r="ET140" s="675">
        <v>0</v>
      </c>
      <c r="EU140" s="675">
        <v>0</v>
      </c>
      <c r="EV140" s="675">
        <v>0</v>
      </c>
      <c r="EW140" s="675">
        <v>0</v>
      </c>
      <c r="EX140" s="675">
        <v>0</v>
      </c>
      <c r="EY140" s="675">
        <v>0</v>
      </c>
      <c r="EZ140" s="675">
        <v>3476831</v>
      </c>
      <c r="FA140" s="675">
        <v>0</v>
      </c>
      <c r="FB140" s="675">
        <v>3672691</v>
      </c>
      <c r="FC140" s="675">
        <v>0</v>
      </c>
      <c r="FD140" s="675">
        <v>0</v>
      </c>
      <c r="FE140" s="675">
        <v>373700</v>
      </c>
      <c r="FF140" s="675">
        <v>77294</v>
      </c>
      <c r="FG140" s="675">
        <v>6.3574999999999993E-2</v>
      </c>
      <c r="FH140" s="675">
        <v>2.6298999999999999E-2</v>
      </c>
      <c r="FI140" s="675">
        <v>0</v>
      </c>
      <c r="FJ140" s="675">
        <v>0</v>
      </c>
      <c r="FK140" s="675">
        <v>596.39800000000002</v>
      </c>
      <c r="FL140" s="675">
        <v>4197636</v>
      </c>
      <c r="FM140" s="675">
        <v>0</v>
      </c>
      <c r="FN140" s="675">
        <v>0</v>
      </c>
      <c r="FO140" s="675">
        <v>0</v>
      </c>
      <c r="FP140" s="675">
        <v>0</v>
      </c>
      <c r="FQ140" s="675">
        <v>0</v>
      </c>
      <c r="FR140" s="675">
        <v>0</v>
      </c>
      <c r="FS140" s="675">
        <v>0</v>
      </c>
      <c r="FT140" s="675">
        <v>0</v>
      </c>
      <c r="FU140" s="675">
        <v>0</v>
      </c>
      <c r="FV140" s="675">
        <v>0</v>
      </c>
      <c r="FW140" s="675">
        <v>0</v>
      </c>
      <c r="FX140" s="675">
        <v>0</v>
      </c>
      <c r="FY140" s="675">
        <v>0</v>
      </c>
      <c r="FZ140" s="675">
        <v>0</v>
      </c>
      <c r="GA140" s="675">
        <v>0</v>
      </c>
      <c r="GB140" s="675">
        <v>0</v>
      </c>
      <c r="GC140" s="675">
        <v>0</v>
      </c>
      <c r="GD140" s="675">
        <v>0</v>
      </c>
      <c r="GE140" s="675">
        <v>0</v>
      </c>
      <c r="GF140" s="675">
        <v>0</v>
      </c>
      <c r="GG140" s="675">
        <v>0</v>
      </c>
      <c r="GH140" s="675">
        <v>0</v>
      </c>
      <c r="GI140" s="675">
        <v>0</v>
      </c>
      <c r="GJ140" s="675">
        <v>0</v>
      </c>
      <c r="GK140" s="675">
        <v>0</v>
      </c>
      <c r="GL140" s="675">
        <v>0</v>
      </c>
      <c r="GM140" s="675">
        <v>0</v>
      </c>
      <c r="GN140" s="675">
        <v>0</v>
      </c>
      <c r="GO140" s="675">
        <v>0</v>
      </c>
      <c r="GP140" s="675">
        <v>0</v>
      </c>
      <c r="GQ140" s="675">
        <v>0</v>
      </c>
      <c r="GR140" s="675">
        <v>0</v>
      </c>
      <c r="GS140" s="675">
        <v>0</v>
      </c>
      <c r="GT140" s="675">
        <v>0</v>
      </c>
      <c r="GU140" s="675">
        <v>0</v>
      </c>
      <c r="GV140" s="675">
        <v>0</v>
      </c>
      <c r="GW140" s="675">
        <v>0</v>
      </c>
      <c r="GX140" s="675">
        <v>0</v>
      </c>
      <c r="GY140" s="675">
        <v>0</v>
      </c>
      <c r="GZ140" s="675">
        <v>0</v>
      </c>
      <c r="HA140" s="675">
        <v>0</v>
      </c>
      <c r="HB140" s="675">
        <v>298386780</v>
      </c>
      <c r="HC140" s="675">
        <v>4.5690999999999996E-2</v>
      </c>
      <c r="HD140" s="675">
        <v>73951</v>
      </c>
      <c r="HE140" s="675">
        <v>0</v>
      </c>
      <c r="HF140" s="675">
        <v>430914</v>
      </c>
      <c r="HG140" s="675">
        <v>23099</v>
      </c>
      <c r="HH140" s="675">
        <v>98856</v>
      </c>
      <c r="HI140" s="675">
        <v>0</v>
      </c>
      <c r="HJ140" s="675">
        <v>3933</v>
      </c>
      <c r="HK140" s="675">
        <v>0</v>
      </c>
      <c r="HL140" s="675">
        <v>0</v>
      </c>
      <c r="HM140" s="675">
        <v>0</v>
      </c>
      <c r="HN140" s="675">
        <v>0</v>
      </c>
      <c r="HO140" s="675">
        <v>0</v>
      </c>
      <c r="HP140" s="675">
        <v>0</v>
      </c>
      <c r="HQ140" s="675">
        <v>0</v>
      </c>
      <c r="HR140" s="675">
        <v>0</v>
      </c>
      <c r="HS140" s="675">
        <v>3475727</v>
      </c>
      <c r="HT140" s="675">
        <v>77294</v>
      </c>
      <c r="HU140" s="675">
        <v>0</v>
      </c>
      <c r="HV140" s="675">
        <v>0</v>
      </c>
      <c r="HW140" s="675">
        <v>0</v>
      </c>
      <c r="HX140" s="675">
        <v>112</v>
      </c>
      <c r="HY140" s="675">
        <v>59</v>
      </c>
      <c r="HZ140" s="675">
        <v>28</v>
      </c>
      <c r="IA140" s="675">
        <v>44</v>
      </c>
      <c r="IB140" s="675">
        <v>22</v>
      </c>
      <c r="IC140" s="675">
        <v>265</v>
      </c>
      <c r="ID140" s="675">
        <v>0</v>
      </c>
      <c r="IE140" s="675">
        <v>4.7430000000000003</v>
      </c>
      <c r="IF140" s="675">
        <v>0</v>
      </c>
      <c r="IG140" s="675">
        <v>37.498000000000005</v>
      </c>
      <c r="IH140" s="675">
        <v>160.482</v>
      </c>
      <c r="II140" s="675">
        <v>0</v>
      </c>
      <c r="IJ140" s="675">
        <v>32.413000000000004</v>
      </c>
      <c r="IK140" s="675">
        <v>0</v>
      </c>
      <c r="IL140" s="675">
        <v>0</v>
      </c>
      <c r="IM140" s="675">
        <v>0</v>
      </c>
      <c r="IN140" s="675">
        <v>0</v>
      </c>
      <c r="IO140" s="675">
        <v>0</v>
      </c>
      <c r="IP140" s="675">
        <v>0</v>
      </c>
      <c r="IQ140" s="675">
        <v>27.67</v>
      </c>
      <c r="IR140" s="675">
        <v>17045</v>
      </c>
      <c r="IS140" s="675">
        <v>0</v>
      </c>
      <c r="IT140" s="675">
        <v>0</v>
      </c>
      <c r="IU140" s="675">
        <v>0</v>
      </c>
      <c r="IV140" s="675">
        <v>0</v>
      </c>
      <c r="IW140" s="675">
        <v>6160</v>
      </c>
      <c r="IX140" s="675">
        <v>4383</v>
      </c>
      <c r="IY140" s="675">
        <v>0</v>
      </c>
      <c r="IZ140" s="675">
        <v>0</v>
      </c>
      <c r="JA140" s="675">
        <v>0</v>
      </c>
      <c r="JB140" s="675">
        <v>0</v>
      </c>
      <c r="JC140" s="675">
        <v>0</v>
      </c>
      <c r="JD140" s="675">
        <v>0</v>
      </c>
      <c r="JE140" s="675">
        <v>0</v>
      </c>
      <c r="JF140" s="675">
        <v>0</v>
      </c>
      <c r="JG140" s="675">
        <v>0</v>
      </c>
      <c r="JH140" s="675">
        <v>0</v>
      </c>
      <c r="JI140" s="675">
        <v>0</v>
      </c>
      <c r="JJ140" s="675">
        <v>0</v>
      </c>
      <c r="JK140" s="675">
        <v>0</v>
      </c>
      <c r="JL140" s="675">
        <v>0</v>
      </c>
      <c r="JM140" s="675">
        <v>0</v>
      </c>
      <c r="JN140" s="675">
        <v>32469</v>
      </c>
      <c r="JO140" s="675">
        <v>0</v>
      </c>
      <c r="JP140" s="675">
        <v>0</v>
      </c>
      <c r="JQ140" s="675">
        <v>0</v>
      </c>
      <c r="JR140" s="675">
        <v>0</v>
      </c>
      <c r="JS140" s="675">
        <v>0</v>
      </c>
      <c r="JT140" s="675">
        <v>0</v>
      </c>
      <c r="JU140" s="675">
        <v>2228</v>
      </c>
      <c r="JV140" s="675">
        <v>0</v>
      </c>
      <c r="JW140" s="675">
        <v>0</v>
      </c>
      <c r="JX140" s="675">
        <v>0</v>
      </c>
      <c r="JY140" s="675">
        <v>0</v>
      </c>
      <c r="JZ140" s="675">
        <v>0</v>
      </c>
      <c r="KA140" s="675">
        <v>0</v>
      </c>
      <c r="KB140" s="675">
        <v>0</v>
      </c>
      <c r="KC140" s="675">
        <v>0</v>
      </c>
      <c r="KD140" s="675">
        <v>2228</v>
      </c>
      <c r="KE140" s="675">
        <v>7260</v>
      </c>
      <c r="KF140" s="675">
        <v>0</v>
      </c>
      <c r="KG140" s="675">
        <v>0</v>
      </c>
      <c r="KH140" s="675">
        <v>0</v>
      </c>
      <c r="KI140" s="675">
        <v>0</v>
      </c>
    </row>
    <row r="141" spans="1:295" ht="12.5" x14ac:dyDescent="0.25">
      <c r="A141" s="675">
        <v>35795</v>
      </c>
      <c r="B141" s="675">
        <v>15834</v>
      </c>
      <c r="C141" s="675">
        <v>9</v>
      </c>
      <c r="D141" s="675">
        <v>2022</v>
      </c>
      <c r="E141" s="675">
        <v>6160</v>
      </c>
      <c r="F141" s="675">
        <v>0</v>
      </c>
      <c r="G141" s="675">
        <v>3242.1820000000002</v>
      </c>
      <c r="H141" s="675">
        <v>3219.27</v>
      </c>
      <c r="I141" s="675">
        <v>3219.27</v>
      </c>
      <c r="J141" s="675">
        <v>3242.1820000000002</v>
      </c>
      <c r="K141" s="675">
        <v>0</v>
      </c>
      <c r="L141" s="675">
        <v>6160</v>
      </c>
      <c r="M141" s="675">
        <v>0</v>
      </c>
      <c r="N141" s="675">
        <v>0</v>
      </c>
      <c r="O141" s="675">
        <v>0</v>
      </c>
      <c r="P141" s="675">
        <v>2889.6260000000002</v>
      </c>
      <c r="Q141" s="675">
        <v>0</v>
      </c>
      <c r="R141" s="675">
        <v>1162866</v>
      </c>
      <c r="S141" s="675">
        <v>402.428</v>
      </c>
      <c r="T141" s="675">
        <v>0</v>
      </c>
      <c r="U141" s="675">
        <v>618384</v>
      </c>
      <c r="V141" s="675">
        <v>387.20500000000004</v>
      </c>
      <c r="W141" s="675">
        <v>238517</v>
      </c>
      <c r="X141" s="675">
        <v>238517</v>
      </c>
      <c r="Y141" s="675">
        <v>0</v>
      </c>
      <c r="Z141" s="675">
        <v>0</v>
      </c>
      <c r="AA141" s="675">
        <v>0</v>
      </c>
      <c r="AB141" s="675">
        <v>0</v>
      </c>
      <c r="AC141" s="675">
        <v>0</v>
      </c>
      <c r="AD141" s="675" t="s">
        <v>316</v>
      </c>
      <c r="AE141" s="675">
        <v>0</v>
      </c>
      <c r="AF141" s="675">
        <v>0</v>
      </c>
      <c r="AG141" s="675">
        <v>0</v>
      </c>
      <c r="AH141" s="675">
        <v>0</v>
      </c>
      <c r="AI141" s="675">
        <v>0</v>
      </c>
      <c r="AJ141" s="675">
        <v>6160</v>
      </c>
      <c r="AK141" s="675" t="s">
        <v>671</v>
      </c>
      <c r="AL141" s="675" t="s">
        <v>319</v>
      </c>
      <c r="AM141" s="675">
        <v>0</v>
      </c>
      <c r="AN141" s="675">
        <v>0</v>
      </c>
      <c r="AO141" s="675">
        <v>0</v>
      </c>
      <c r="AP141" s="675">
        <v>0</v>
      </c>
      <c r="AQ141" s="675">
        <v>0</v>
      </c>
      <c r="AR141" s="675">
        <v>0</v>
      </c>
      <c r="AS141" s="675">
        <v>0</v>
      </c>
      <c r="AT141" s="675">
        <v>0</v>
      </c>
      <c r="AU141" s="675">
        <v>0</v>
      </c>
      <c r="AV141" s="675">
        <v>-26356</v>
      </c>
      <c r="AW141" s="675">
        <v>27481409</v>
      </c>
      <c r="AX141" s="675">
        <v>26890829</v>
      </c>
      <c r="AY141" s="675">
        <v>18431268</v>
      </c>
      <c r="AZ141" s="675">
        <v>1162866</v>
      </c>
      <c r="BA141" s="675">
        <v>0</v>
      </c>
      <c r="BB141" s="675">
        <v>0</v>
      </c>
      <c r="BC141" s="675">
        <v>0</v>
      </c>
      <c r="BD141" s="675">
        <v>0</v>
      </c>
      <c r="BE141" s="675">
        <v>0</v>
      </c>
      <c r="BF141" s="675">
        <v>24948811</v>
      </c>
      <c r="BG141" s="675">
        <v>0</v>
      </c>
      <c r="BH141" s="675">
        <v>0</v>
      </c>
      <c r="BI141" s="675">
        <v>0</v>
      </c>
      <c r="BJ141" s="675">
        <v>12</v>
      </c>
      <c r="BK141" s="675">
        <v>0</v>
      </c>
      <c r="BL141" s="675">
        <v>0</v>
      </c>
      <c r="BM141" s="675">
        <v>0</v>
      </c>
      <c r="BN141" s="675">
        <v>0</v>
      </c>
      <c r="BO141" s="675">
        <v>0</v>
      </c>
      <c r="BP141" s="675">
        <v>0</v>
      </c>
      <c r="BQ141" s="675">
        <v>274</v>
      </c>
      <c r="BR141" s="675">
        <v>0</v>
      </c>
      <c r="BS141" s="675">
        <v>0</v>
      </c>
      <c r="BT141" s="675">
        <v>0</v>
      </c>
      <c r="BU141" s="675">
        <v>0</v>
      </c>
      <c r="BV141" s="675">
        <v>0</v>
      </c>
      <c r="BW141" s="675">
        <v>0</v>
      </c>
      <c r="BX141" s="675">
        <v>0</v>
      </c>
      <c r="BY141" s="675">
        <v>0</v>
      </c>
      <c r="BZ141" s="675">
        <v>0</v>
      </c>
      <c r="CA141" s="675">
        <v>44.241</v>
      </c>
      <c r="CB141" s="675">
        <v>37728</v>
      </c>
      <c r="CC141" s="675">
        <v>0</v>
      </c>
      <c r="CD141" s="675">
        <v>0</v>
      </c>
      <c r="CE141" s="675">
        <v>0</v>
      </c>
      <c r="CF141" s="675">
        <v>0</v>
      </c>
      <c r="CG141" s="675">
        <v>0</v>
      </c>
      <c r="CH141" s="675">
        <v>592550</v>
      </c>
      <c r="CI141" s="675">
        <v>0</v>
      </c>
      <c r="CJ141" s="675">
        <v>4</v>
      </c>
      <c r="CK141" s="675">
        <v>0</v>
      </c>
      <c r="CL141" s="675">
        <v>0</v>
      </c>
      <c r="CM141" s="675">
        <v>0</v>
      </c>
      <c r="CN141" s="675">
        <v>0</v>
      </c>
      <c r="CO141" s="675">
        <v>1</v>
      </c>
      <c r="CP141" s="675">
        <v>0</v>
      </c>
      <c r="CQ141" s="675">
        <v>0</v>
      </c>
      <c r="CR141" s="675">
        <v>2899.8160000000003</v>
      </c>
      <c r="CS141" s="675">
        <v>0</v>
      </c>
      <c r="CT141" s="675">
        <v>0</v>
      </c>
      <c r="CU141" s="675">
        <v>0</v>
      </c>
      <c r="CV141" s="675">
        <v>0</v>
      </c>
      <c r="CW141" s="675">
        <v>0</v>
      </c>
      <c r="CX141" s="675">
        <v>0</v>
      </c>
      <c r="CY141" s="675">
        <v>0</v>
      </c>
      <c r="CZ141" s="675">
        <v>0</v>
      </c>
      <c r="DA141" s="675">
        <v>0</v>
      </c>
      <c r="DB141" s="675">
        <v>19830611</v>
      </c>
      <c r="DC141" s="675">
        <v>0</v>
      </c>
      <c r="DD141" s="675">
        <v>0</v>
      </c>
      <c r="DE141" s="675">
        <v>412564</v>
      </c>
      <c r="DF141" s="675">
        <v>412564</v>
      </c>
      <c r="DG141" s="675">
        <v>66.975000000000009</v>
      </c>
      <c r="DH141" s="675">
        <v>0</v>
      </c>
      <c r="DI141" s="675">
        <v>0</v>
      </c>
      <c r="DJ141" s="675">
        <v>0</v>
      </c>
      <c r="DK141" s="675">
        <v>0</v>
      </c>
      <c r="DL141" s="675">
        <v>0</v>
      </c>
      <c r="DM141" s="675">
        <v>517159</v>
      </c>
      <c r="DN141" s="675">
        <v>1970</v>
      </c>
      <c r="DO141" s="675">
        <v>0</v>
      </c>
      <c r="DP141" s="675">
        <v>0</v>
      </c>
      <c r="DQ141" s="675">
        <v>0</v>
      </c>
      <c r="DR141" s="675">
        <v>0</v>
      </c>
      <c r="DS141" s="675">
        <v>0</v>
      </c>
      <c r="DT141" s="675">
        <v>0</v>
      </c>
      <c r="DU141" s="675">
        <v>0</v>
      </c>
      <c r="DV141" s="675">
        <v>0</v>
      </c>
      <c r="DW141" s="675">
        <v>0</v>
      </c>
      <c r="DX141" s="675">
        <v>0</v>
      </c>
      <c r="DY141" s="675">
        <v>0</v>
      </c>
      <c r="DZ141" s="675">
        <v>0</v>
      </c>
      <c r="EA141" s="675">
        <v>0</v>
      </c>
      <c r="EB141" s="675">
        <v>0</v>
      </c>
      <c r="EC141" s="675">
        <v>9.2370000000000001</v>
      </c>
      <c r="ED141" s="675">
        <v>65435</v>
      </c>
      <c r="EE141" s="675">
        <v>0</v>
      </c>
      <c r="EF141" s="675">
        <v>0</v>
      </c>
      <c r="EG141" s="675">
        <v>0</v>
      </c>
      <c r="EH141" s="675">
        <v>453694</v>
      </c>
      <c r="EI141" s="675">
        <v>0</v>
      </c>
      <c r="EJ141" s="675">
        <v>0</v>
      </c>
      <c r="EK141" s="675">
        <v>19.672000000000001</v>
      </c>
      <c r="EL141" s="675">
        <v>0</v>
      </c>
      <c r="EM141" s="675">
        <v>0.78200000000000003</v>
      </c>
      <c r="EN141" s="675">
        <v>2.4580000000000002</v>
      </c>
      <c r="EO141" s="675">
        <v>0</v>
      </c>
      <c r="EP141" s="675">
        <v>0</v>
      </c>
      <c r="EQ141" s="675">
        <v>22.912000000000003</v>
      </c>
      <c r="ER141" s="675">
        <v>0</v>
      </c>
      <c r="ES141" s="675">
        <v>73.652000000000001</v>
      </c>
      <c r="ET141" s="675">
        <v>0</v>
      </c>
      <c r="EU141" s="675">
        <v>0</v>
      </c>
      <c r="EV141" s="675">
        <v>0</v>
      </c>
      <c r="EW141" s="675">
        <v>0</v>
      </c>
      <c r="EX141" s="675">
        <v>0</v>
      </c>
      <c r="EY141" s="675">
        <v>0</v>
      </c>
      <c r="EZ141" s="675">
        <v>23828119</v>
      </c>
      <c r="FA141" s="675">
        <v>0</v>
      </c>
      <c r="FB141" s="675">
        <v>24989015</v>
      </c>
      <c r="FC141" s="675">
        <v>0</v>
      </c>
      <c r="FD141" s="675">
        <v>0</v>
      </c>
      <c r="FE141" s="675">
        <v>2537805</v>
      </c>
      <c r="FF141" s="675">
        <v>524905</v>
      </c>
      <c r="FG141" s="675">
        <v>6.3574999999999993E-2</v>
      </c>
      <c r="FH141" s="675">
        <v>2.6298999999999999E-2</v>
      </c>
      <c r="FI141" s="675">
        <v>0</v>
      </c>
      <c r="FJ141" s="675">
        <v>0</v>
      </c>
      <c r="FK141" s="675">
        <v>4050.15</v>
      </c>
      <c r="FL141" s="675">
        <v>28644275</v>
      </c>
      <c r="FM141" s="675">
        <v>0</v>
      </c>
      <c r="FN141" s="675">
        <v>0</v>
      </c>
      <c r="FO141" s="675">
        <v>0</v>
      </c>
      <c r="FP141" s="675">
        <v>0</v>
      </c>
      <c r="FQ141" s="675">
        <v>0</v>
      </c>
      <c r="FR141" s="675">
        <v>0</v>
      </c>
      <c r="FS141" s="675">
        <v>0</v>
      </c>
      <c r="FT141" s="675">
        <v>0</v>
      </c>
      <c r="FU141" s="675">
        <v>0</v>
      </c>
      <c r="FV141" s="675">
        <v>0</v>
      </c>
      <c r="FW141" s="675">
        <v>0</v>
      </c>
      <c r="FX141" s="675">
        <v>0</v>
      </c>
      <c r="FY141" s="675">
        <v>0</v>
      </c>
      <c r="FZ141" s="675">
        <v>0</v>
      </c>
      <c r="GA141" s="675">
        <v>0</v>
      </c>
      <c r="GB141" s="675">
        <v>0</v>
      </c>
      <c r="GC141" s="675">
        <v>0</v>
      </c>
      <c r="GD141" s="675">
        <v>0</v>
      </c>
      <c r="GE141" s="675">
        <v>0</v>
      </c>
      <c r="GF141" s="675">
        <v>0</v>
      </c>
      <c r="GG141" s="675">
        <v>0</v>
      </c>
      <c r="GH141" s="675">
        <v>0</v>
      </c>
      <c r="GI141" s="675">
        <v>0</v>
      </c>
      <c r="GJ141" s="675">
        <v>0</v>
      </c>
      <c r="GK141" s="675">
        <v>0</v>
      </c>
      <c r="GL141" s="675">
        <v>0</v>
      </c>
      <c r="GM141" s="675">
        <v>0</v>
      </c>
      <c r="GN141" s="675">
        <v>0</v>
      </c>
      <c r="GO141" s="675">
        <v>0</v>
      </c>
      <c r="GP141" s="675">
        <v>0</v>
      </c>
      <c r="GQ141" s="675">
        <v>0</v>
      </c>
      <c r="GR141" s="675">
        <v>0</v>
      </c>
      <c r="GS141" s="675">
        <v>0</v>
      </c>
      <c r="GT141" s="675">
        <v>0</v>
      </c>
      <c r="GU141" s="675">
        <v>0</v>
      </c>
      <c r="GV141" s="675">
        <v>0</v>
      </c>
      <c r="GW141" s="675">
        <v>0</v>
      </c>
      <c r="GX141" s="675">
        <v>0</v>
      </c>
      <c r="GY141" s="675">
        <v>0</v>
      </c>
      <c r="GZ141" s="675">
        <v>0</v>
      </c>
      <c r="HA141" s="675">
        <v>0</v>
      </c>
      <c r="HB141" s="675">
        <v>298386780</v>
      </c>
      <c r="HC141" s="675">
        <v>4.5690999999999996E-2</v>
      </c>
      <c r="HD141" s="675">
        <v>592550</v>
      </c>
      <c r="HE141" s="675">
        <v>0</v>
      </c>
      <c r="HF141" s="675">
        <v>3541197</v>
      </c>
      <c r="HG141" s="675">
        <v>12936</v>
      </c>
      <c r="HH141" s="675">
        <v>210343</v>
      </c>
      <c r="HI141" s="675">
        <v>0</v>
      </c>
      <c r="HJ141" s="675">
        <v>31514</v>
      </c>
      <c r="HK141" s="675">
        <v>4446</v>
      </c>
      <c r="HL141" s="675">
        <v>0</v>
      </c>
      <c r="HM141" s="675">
        <v>152000</v>
      </c>
      <c r="HN141" s="675">
        <v>0</v>
      </c>
      <c r="HO141" s="675">
        <v>0</v>
      </c>
      <c r="HP141" s="675">
        <v>0</v>
      </c>
      <c r="HQ141" s="675">
        <v>0</v>
      </c>
      <c r="HR141" s="675">
        <v>0</v>
      </c>
      <c r="HS141" s="675">
        <v>23826149</v>
      </c>
      <c r="HT141" s="675">
        <v>524905</v>
      </c>
      <c r="HU141" s="675">
        <v>0</v>
      </c>
      <c r="HV141" s="675">
        <v>0</v>
      </c>
      <c r="HW141" s="675">
        <v>0</v>
      </c>
      <c r="HX141" s="675">
        <v>93</v>
      </c>
      <c r="HY141" s="675">
        <v>72</v>
      </c>
      <c r="HZ141" s="675">
        <v>54</v>
      </c>
      <c r="IA141" s="675">
        <v>40</v>
      </c>
      <c r="IB141" s="675">
        <v>18</v>
      </c>
      <c r="IC141" s="675">
        <v>277</v>
      </c>
      <c r="ID141" s="675">
        <v>0</v>
      </c>
      <c r="IE141" s="675">
        <v>0</v>
      </c>
      <c r="IF141" s="675">
        <v>0</v>
      </c>
      <c r="IG141" s="675">
        <v>21</v>
      </c>
      <c r="IH141" s="675">
        <v>341.46800000000002</v>
      </c>
      <c r="II141" s="675">
        <v>0</v>
      </c>
      <c r="IJ141" s="675">
        <v>387.20500000000004</v>
      </c>
      <c r="IK141" s="675">
        <v>0</v>
      </c>
      <c r="IL141" s="675">
        <v>4</v>
      </c>
      <c r="IM141" s="675">
        <v>44</v>
      </c>
      <c r="IN141" s="675">
        <v>0</v>
      </c>
      <c r="IO141" s="675">
        <v>48</v>
      </c>
      <c r="IP141" s="675">
        <v>0</v>
      </c>
      <c r="IQ141" s="675">
        <v>387.20500000000004</v>
      </c>
      <c r="IR141" s="675">
        <v>238517</v>
      </c>
      <c r="IS141" s="675">
        <v>0</v>
      </c>
      <c r="IT141" s="675">
        <v>20000</v>
      </c>
      <c r="IU141" s="675">
        <v>132000</v>
      </c>
      <c r="IV141" s="675">
        <v>0</v>
      </c>
      <c r="IW141" s="675">
        <v>6160</v>
      </c>
      <c r="IX141" s="675">
        <v>0</v>
      </c>
      <c r="IY141" s="675">
        <v>0</v>
      </c>
      <c r="IZ141" s="675">
        <v>0</v>
      </c>
      <c r="JA141" s="675">
        <v>0</v>
      </c>
      <c r="JB141" s="675">
        <v>0</v>
      </c>
      <c r="JC141" s="675">
        <v>0</v>
      </c>
      <c r="JD141" s="675">
        <v>0</v>
      </c>
      <c r="JE141" s="675">
        <v>0</v>
      </c>
      <c r="JF141" s="675">
        <v>0</v>
      </c>
      <c r="JG141" s="675">
        <v>0</v>
      </c>
      <c r="JH141" s="675">
        <v>0</v>
      </c>
      <c r="JI141" s="675">
        <v>0</v>
      </c>
      <c r="JJ141" s="675">
        <v>0</v>
      </c>
      <c r="JK141" s="675">
        <v>0</v>
      </c>
      <c r="JL141" s="675">
        <v>0</v>
      </c>
      <c r="JM141" s="675">
        <v>0</v>
      </c>
      <c r="JN141" s="675">
        <v>32469</v>
      </c>
      <c r="JO141" s="675">
        <v>0</v>
      </c>
      <c r="JP141" s="675">
        <v>0</v>
      </c>
      <c r="JQ141" s="675">
        <v>0</v>
      </c>
      <c r="JR141" s="675">
        <v>0</v>
      </c>
      <c r="JS141" s="675">
        <v>0</v>
      </c>
      <c r="JT141" s="675">
        <v>0</v>
      </c>
      <c r="JU141" s="675">
        <v>0</v>
      </c>
      <c r="JV141" s="675">
        <v>0</v>
      </c>
      <c r="JW141" s="675">
        <v>0</v>
      </c>
      <c r="JX141" s="675">
        <v>0</v>
      </c>
      <c r="JY141" s="675">
        <v>0</v>
      </c>
      <c r="JZ141" s="675">
        <v>0</v>
      </c>
      <c r="KA141" s="675">
        <v>0</v>
      </c>
      <c r="KB141" s="675">
        <v>0</v>
      </c>
      <c r="KC141" s="675">
        <v>0</v>
      </c>
      <c r="KD141" s="675">
        <v>0</v>
      </c>
      <c r="KE141" s="675">
        <v>7260</v>
      </c>
      <c r="KF141" s="675">
        <v>0</v>
      </c>
      <c r="KG141" s="675">
        <v>0</v>
      </c>
      <c r="KH141" s="675">
        <v>0</v>
      </c>
      <c r="KI141" s="675">
        <v>0</v>
      </c>
    </row>
    <row r="142" spans="1:295" ht="12.5" x14ac:dyDescent="0.25">
      <c r="A142" s="675">
        <v>35795</v>
      </c>
      <c r="B142" s="675">
        <v>57834</v>
      </c>
      <c r="C142" s="675">
        <v>9</v>
      </c>
      <c r="D142" s="675">
        <v>2022</v>
      </c>
      <c r="E142" s="675">
        <v>6160</v>
      </c>
      <c r="F142" s="675">
        <v>0</v>
      </c>
      <c r="G142" s="675">
        <v>401.28500000000003</v>
      </c>
      <c r="H142" s="675">
        <v>345.72700000000003</v>
      </c>
      <c r="I142" s="675">
        <v>345.72700000000003</v>
      </c>
      <c r="J142" s="675">
        <v>401.28500000000003</v>
      </c>
      <c r="K142" s="675">
        <v>0</v>
      </c>
      <c r="L142" s="675">
        <v>6160</v>
      </c>
      <c r="M142" s="675">
        <v>0</v>
      </c>
      <c r="N142" s="675">
        <v>0</v>
      </c>
      <c r="O142" s="675">
        <v>0</v>
      </c>
      <c r="P142" s="675">
        <v>388.267</v>
      </c>
      <c r="Q142" s="675">
        <v>0</v>
      </c>
      <c r="R142" s="675">
        <v>156250</v>
      </c>
      <c r="S142" s="675">
        <v>402.428</v>
      </c>
      <c r="T142" s="675">
        <v>0</v>
      </c>
      <c r="U142" s="675">
        <v>83090</v>
      </c>
      <c r="V142" s="675">
        <v>35.905999999999999</v>
      </c>
      <c r="W142" s="675">
        <v>22118</v>
      </c>
      <c r="X142" s="675">
        <v>22118</v>
      </c>
      <c r="Y142" s="675">
        <v>0</v>
      </c>
      <c r="Z142" s="675">
        <v>0</v>
      </c>
      <c r="AA142" s="675">
        <v>0</v>
      </c>
      <c r="AB142" s="675">
        <v>0</v>
      </c>
      <c r="AC142" s="675">
        <v>0</v>
      </c>
      <c r="AD142" s="675" t="s">
        <v>316</v>
      </c>
      <c r="AE142" s="675">
        <v>0</v>
      </c>
      <c r="AF142" s="675">
        <v>0</v>
      </c>
      <c r="AG142" s="675">
        <v>0</v>
      </c>
      <c r="AH142" s="675">
        <v>0</v>
      </c>
      <c r="AI142" s="675">
        <v>0</v>
      </c>
      <c r="AJ142" s="675">
        <v>6160</v>
      </c>
      <c r="AK142" s="675" t="s">
        <v>671</v>
      </c>
      <c r="AL142" s="675" t="s">
        <v>329</v>
      </c>
      <c r="AM142" s="675">
        <v>0</v>
      </c>
      <c r="AN142" s="675">
        <v>0</v>
      </c>
      <c r="AO142" s="675">
        <v>0</v>
      </c>
      <c r="AP142" s="675">
        <v>0</v>
      </c>
      <c r="AQ142" s="675">
        <v>0</v>
      </c>
      <c r="AR142" s="675">
        <v>0</v>
      </c>
      <c r="AS142" s="675">
        <v>0</v>
      </c>
      <c r="AT142" s="675">
        <v>0</v>
      </c>
      <c r="AU142" s="675">
        <v>0</v>
      </c>
      <c r="AV142" s="675">
        <v>-316475</v>
      </c>
      <c r="AW142" s="675">
        <v>4698732</v>
      </c>
      <c r="AX142" s="675">
        <v>4626524</v>
      </c>
      <c r="AY142" s="675">
        <v>2952337</v>
      </c>
      <c r="AZ142" s="675">
        <v>156250</v>
      </c>
      <c r="BA142" s="675">
        <v>0</v>
      </c>
      <c r="BB142" s="675">
        <v>0</v>
      </c>
      <c r="BC142" s="675">
        <v>0</v>
      </c>
      <c r="BD142" s="675">
        <v>0</v>
      </c>
      <c r="BE142" s="675">
        <v>0</v>
      </c>
      <c r="BF142" s="675">
        <v>4125724</v>
      </c>
      <c r="BG142" s="675">
        <v>0</v>
      </c>
      <c r="BH142" s="675">
        <v>0</v>
      </c>
      <c r="BI142" s="675">
        <v>0</v>
      </c>
      <c r="BJ142" s="675">
        <v>12</v>
      </c>
      <c r="BK142" s="675">
        <v>0</v>
      </c>
      <c r="BL142" s="675">
        <v>0</v>
      </c>
      <c r="BM142" s="675">
        <v>0</v>
      </c>
      <c r="BN142" s="675">
        <v>0</v>
      </c>
      <c r="BO142" s="675">
        <v>0</v>
      </c>
      <c r="BP142" s="675">
        <v>0</v>
      </c>
      <c r="BQ142" s="675">
        <v>717</v>
      </c>
      <c r="BR142" s="675">
        <v>0</v>
      </c>
      <c r="BS142" s="675">
        <v>0</v>
      </c>
      <c r="BT142" s="675">
        <v>0</v>
      </c>
      <c r="BU142" s="675">
        <v>0</v>
      </c>
      <c r="BV142" s="675">
        <v>0</v>
      </c>
      <c r="BW142" s="675">
        <v>0</v>
      </c>
      <c r="BX142" s="675">
        <v>0</v>
      </c>
      <c r="BY142" s="675">
        <v>0</v>
      </c>
      <c r="BZ142" s="675">
        <v>0</v>
      </c>
      <c r="CA142" s="675">
        <v>0</v>
      </c>
      <c r="CB142" s="675">
        <v>0</v>
      </c>
      <c r="CC142" s="675">
        <v>0</v>
      </c>
      <c r="CD142" s="675">
        <v>0</v>
      </c>
      <c r="CE142" s="675">
        <v>0</v>
      </c>
      <c r="CF142" s="675">
        <v>0</v>
      </c>
      <c r="CG142" s="675">
        <v>0</v>
      </c>
      <c r="CH142" s="675">
        <v>73340</v>
      </c>
      <c r="CI142" s="675">
        <v>0</v>
      </c>
      <c r="CJ142" s="675">
        <v>4</v>
      </c>
      <c r="CK142" s="675">
        <v>0</v>
      </c>
      <c r="CL142" s="675">
        <v>0</v>
      </c>
      <c r="CM142" s="675">
        <v>0</v>
      </c>
      <c r="CN142" s="675">
        <v>0</v>
      </c>
      <c r="CO142" s="675">
        <v>1</v>
      </c>
      <c r="CP142" s="675">
        <v>1.885</v>
      </c>
      <c r="CQ142" s="675">
        <v>0</v>
      </c>
      <c r="CR142" s="675">
        <v>519.58600000000001</v>
      </c>
      <c r="CS142" s="675">
        <v>0</v>
      </c>
      <c r="CT142" s="675">
        <v>0</v>
      </c>
      <c r="CU142" s="675">
        <v>0</v>
      </c>
      <c r="CV142" s="675">
        <v>0</v>
      </c>
      <c r="CW142" s="675">
        <v>0</v>
      </c>
      <c r="CX142" s="675">
        <v>0</v>
      </c>
      <c r="CY142" s="675">
        <v>0</v>
      </c>
      <c r="CZ142" s="675">
        <v>0</v>
      </c>
      <c r="DA142" s="675">
        <v>0</v>
      </c>
      <c r="DB142" s="675">
        <v>2129668</v>
      </c>
      <c r="DC142" s="675">
        <v>0</v>
      </c>
      <c r="DD142" s="675">
        <v>0</v>
      </c>
      <c r="DE142" s="675">
        <v>707627</v>
      </c>
      <c r="DF142" s="675">
        <v>735611</v>
      </c>
      <c r="DG142" s="675">
        <v>114.875</v>
      </c>
      <c r="DH142" s="675">
        <v>0</v>
      </c>
      <c r="DI142" s="675">
        <v>27984</v>
      </c>
      <c r="DJ142" s="675">
        <v>0</v>
      </c>
      <c r="DK142" s="675">
        <v>3091</v>
      </c>
      <c r="DL142" s="675">
        <v>0</v>
      </c>
      <c r="DM142" s="675">
        <v>297073</v>
      </c>
      <c r="DN142" s="675">
        <v>1132</v>
      </c>
      <c r="DO142" s="675">
        <v>0</v>
      </c>
      <c r="DP142" s="675">
        <v>0</v>
      </c>
      <c r="DQ142" s="675">
        <v>0</v>
      </c>
      <c r="DR142" s="675">
        <v>0</v>
      </c>
      <c r="DS142" s="675">
        <v>0</v>
      </c>
      <c r="DT142" s="675">
        <v>0</v>
      </c>
      <c r="DU142" s="675">
        <v>0</v>
      </c>
      <c r="DV142" s="675">
        <v>0</v>
      </c>
      <c r="DW142" s="675">
        <v>0</v>
      </c>
      <c r="DX142" s="675">
        <v>0</v>
      </c>
      <c r="DY142" s="675">
        <v>0</v>
      </c>
      <c r="DZ142" s="675">
        <v>0</v>
      </c>
      <c r="EA142" s="675">
        <v>0</v>
      </c>
      <c r="EB142" s="675">
        <v>0</v>
      </c>
      <c r="EC142" s="675">
        <v>24.734000000000002</v>
      </c>
      <c r="ED142" s="675">
        <v>175215</v>
      </c>
      <c r="EE142" s="675">
        <v>0</v>
      </c>
      <c r="EF142" s="675">
        <v>0</v>
      </c>
      <c r="EG142" s="675">
        <v>0</v>
      </c>
      <c r="EH142" s="675">
        <v>122990</v>
      </c>
      <c r="EI142" s="675">
        <v>0</v>
      </c>
      <c r="EJ142" s="675">
        <v>0</v>
      </c>
      <c r="EK142" s="675">
        <v>6.5220000000000002</v>
      </c>
      <c r="EL142" s="675">
        <v>0</v>
      </c>
      <c r="EM142" s="675">
        <v>0</v>
      </c>
      <c r="EN142" s="675">
        <v>0.08</v>
      </c>
      <c r="EO142" s="675">
        <v>0</v>
      </c>
      <c r="EP142" s="675">
        <v>0</v>
      </c>
      <c r="EQ142" s="675">
        <v>6.6020000000000003</v>
      </c>
      <c r="ER142" s="675">
        <v>0</v>
      </c>
      <c r="ES142" s="675">
        <v>19.966000000000001</v>
      </c>
      <c r="ET142" s="675">
        <v>0</v>
      </c>
      <c r="EU142" s="675">
        <v>0</v>
      </c>
      <c r="EV142" s="675">
        <v>0</v>
      </c>
      <c r="EW142" s="675">
        <v>0</v>
      </c>
      <c r="EX142" s="675">
        <v>0</v>
      </c>
      <c r="EY142" s="675">
        <v>0</v>
      </c>
      <c r="EZ142" s="675">
        <v>4120052</v>
      </c>
      <c r="FA142" s="675">
        <v>0</v>
      </c>
      <c r="FB142" s="675">
        <v>4275170</v>
      </c>
      <c r="FC142" s="675">
        <v>0</v>
      </c>
      <c r="FD142" s="675">
        <v>0</v>
      </c>
      <c r="FE142" s="675">
        <v>419670</v>
      </c>
      <c r="FF142" s="675">
        <v>86802</v>
      </c>
      <c r="FG142" s="675">
        <v>6.3574999999999993E-2</v>
      </c>
      <c r="FH142" s="675">
        <v>2.6298999999999999E-2</v>
      </c>
      <c r="FI142" s="675">
        <v>0</v>
      </c>
      <c r="FJ142" s="675">
        <v>0</v>
      </c>
      <c r="FK142" s="675">
        <v>669.76300000000003</v>
      </c>
      <c r="FL142" s="675">
        <v>4854982</v>
      </c>
      <c r="FM142" s="675">
        <v>0</v>
      </c>
      <c r="FN142" s="675">
        <v>0</v>
      </c>
      <c r="FO142" s="675">
        <v>1786</v>
      </c>
      <c r="FP142" s="675">
        <v>0</v>
      </c>
      <c r="FQ142" s="675">
        <v>1786</v>
      </c>
      <c r="FR142" s="675">
        <v>1786</v>
      </c>
      <c r="FS142" s="675">
        <v>0</v>
      </c>
      <c r="FT142" s="675">
        <v>0</v>
      </c>
      <c r="FU142" s="675">
        <v>0</v>
      </c>
      <c r="FV142" s="675">
        <v>0</v>
      </c>
      <c r="FW142" s="675">
        <v>0</v>
      </c>
      <c r="FX142" s="675">
        <v>0</v>
      </c>
      <c r="FY142" s="675">
        <v>0</v>
      </c>
      <c r="FZ142" s="675">
        <v>0</v>
      </c>
      <c r="GA142" s="675">
        <v>0</v>
      </c>
      <c r="GB142" s="675">
        <v>447066</v>
      </c>
      <c r="GC142" s="675">
        <v>447066</v>
      </c>
      <c r="GD142" s="675">
        <v>48.956000000000003</v>
      </c>
      <c r="GE142" s="675">
        <v>0</v>
      </c>
      <c r="GF142" s="675">
        <v>0</v>
      </c>
      <c r="GG142" s="675">
        <v>0</v>
      </c>
      <c r="GH142" s="675">
        <v>0</v>
      </c>
      <c r="GI142" s="675">
        <v>0</v>
      </c>
      <c r="GJ142" s="675">
        <v>0</v>
      </c>
      <c r="GK142" s="675">
        <v>0</v>
      </c>
      <c r="GL142" s="675">
        <v>0</v>
      </c>
      <c r="GM142" s="675">
        <v>0</v>
      </c>
      <c r="GN142" s="675">
        <v>0</v>
      </c>
      <c r="GO142" s="675">
        <v>0</v>
      </c>
      <c r="GP142" s="675">
        <v>0</v>
      </c>
      <c r="GQ142" s="675">
        <v>0</v>
      </c>
      <c r="GR142" s="675">
        <v>0</v>
      </c>
      <c r="GS142" s="675">
        <v>0</v>
      </c>
      <c r="GT142" s="675">
        <v>0</v>
      </c>
      <c r="GU142" s="675">
        <v>0</v>
      </c>
      <c r="GV142" s="675">
        <v>0</v>
      </c>
      <c r="GW142" s="675">
        <v>0</v>
      </c>
      <c r="GX142" s="675">
        <v>0</v>
      </c>
      <c r="GY142" s="675">
        <v>0</v>
      </c>
      <c r="GZ142" s="675">
        <v>0</v>
      </c>
      <c r="HA142" s="675">
        <v>0</v>
      </c>
      <c r="HB142" s="675">
        <v>298386780</v>
      </c>
      <c r="HC142" s="675">
        <v>4.5690999999999996E-2</v>
      </c>
      <c r="HD142" s="675">
        <v>73340</v>
      </c>
      <c r="HE142" s="675">
        <v>0</v>
      </c>
      <c r="HF142" s="675">
        <v>380300</v>
      </c>
      <c r="HG142" s="675">
        <v>642</v>
      </c>
      <c r="HH142" s="675">
        <v>0</v>
      </c>
      <c r="HI142" s="675">
        <v>0</v>
      </c>
      <c r="HJ142" s="675">
        <v>3900</v>
      </c>
      <c r="HK142" s="675">
        <v>8226</v>
      </c>
      <c r="HL142" s="675">
        <v>3606</v>
      </c>
      <c r="HM142" s="675">
        <v>0</v>
      </c>
      <c r="HN142" s="675">
        <v>90214</v>
      </c>
      <c r="HO142" s="675">
        <v>18000</v>
      </c>
      <c r="HP142" s="675">
        <v>136960</v>
      </c>
      <c r="HQ142" s="675">
        <v>0</v>
      </c>
      <c r="HR142" s="675">
        <v>0</v>
      </c>
      <c r="HS142" s="675">
        <v>4118920</v>
      </c>
      <c r="HT142" s="675">
        <v>86802</v>
      </c>
      <c r="HU142" s="675">
        <v>0</v>
      </c>
      <c r="HV142" s="675">
        <v>0</v>
      </c>
      <c r="HW142" s="675">
        <v>0</v>
      </c>
      <c r="HX142" s="675">
        <v>64</v>
      </c>
      <c r="HY142" s="675">
        <v>66</v>
      </c>
      <c r="HZ142" s="675">
        <v>66</v>
      </c>
      <c r="IA142" s="675">
        <v>102</v>
      </c>
      <c r="IB142" s="675">
        <v>151</v>
      </c>
      <c r="IC142" s="675">
        <v>449</v>
      </c>
      <c r="ID142" s="675">
        <v>0</v>
      </c>
      <c r="IE142" s="675">
        <v>0</v>
      </c>
      <c r="IF142" s="675">
        <v>0</v>
      </c>
      <c r="IG142" s="675">
        <v>1.042</v>
      </c>
      <c r="IH142" s="675">
        <v>0</v>
      </c>
      <c r="II142" s="675">
        <v>498.03500000000003</v>
      </c>
      <c r="IJ142" s="675">
        <v>35.905999999999999</v>
      </c>
      <c r="IK142" s="675">
        <v>0</v>
      </c>
      <c r="IL142" s="675">
        <v>0</v>
      </c>
      <c r="IM142" s="675">
        <v>0</v>
      </c>
      <c r="IN142" s="675">
        <v>0</v>
      </c>
      <c r="IO142" s="675">
        <v>0</v>
      </c>
      <c r="IP142" s="675">
        <v>498.03500000000003</v>
      </c>
      <c r="IQ142" s="675">
        <v>35.905999999999999</v>
      </c>
      <c r="IR142" s="675">
        <v>22118</v>
      </c>
      <c r="IS142" s="675">
        <v>0</v>
      </c>
      <c r="IT142" s="675">
        <v>0</v>
      </c>
      <c r="IU142" s="675">
        <v>0</v>
      </c>
      <c r="IV142" s="675">
        <v>0</v>
      </c>
      <c r="IW142" s="675">
        <v>6160</v>
      </c>
      <c r="IX142" s="675">
        <v>0</v>
      </c>
      <c r="IY142" s="675">
        <v>0</v>
      </c>
      <c r="IZ142" s="675">
        <v>136960</v>
      </c>
      <c r="JA142" s="675">
        <v>0</v>
      </c>
      <c r="JB142" s="675">
        <v>2</v>
      </c>
      <c r="JC142" s="675">
        <v>44358</v>
      </c>
      <c r="JD142" s="675">
        <v>3</v>
      </c>
      <c r="JE142" s="675">
        <v>32270</v>
      </c>
      <c r="JF142" s="675">
        <v>2</v>
      </c>
      <c r="JG142" s="675">
        <v>10086</v>
      </c>
      <c r="JH142" s="675">
        <v>3500</v>
      </c>
      <c r="JI142" s="675">
        <v>0</v>
      </c>
      <c r="JJ142" s="675">
        <v>0</v>
      </c>
      <c r="JK142" s="675">
        <v>0</v>
      </c>
      <c r="JL142" s="675">
        <v>0</v>
      </c>
      <c r="JM142" s="675">
        <v>0</v>
      </c>
      <c r="JN142" s="675">
        <v>32469</v>
      </c>
      <c r="JO142" s="675">
        <v>10.354000000000001</v>
      </c>
      <c r="JP142" s="675">
        <v>34.5</v>
      </c>
      <c r="JQ142" s="675">
        <v>4.1020000000000003</v>
      </c>
      <c r="JR142" s="675">
        <v>82687</v>
      </c>
      <c r="JS142" s="675">
        <v>320602</v>
      </c>
      <c r="JT142" s="675">
        <v>43777</v>
      </c>
      <c r="JU142" s="675">
        <v>0</v>
      </c>
      <c r="JV142" s="675">
        <v>0</v>
      </c>
      <c r="JW142" s="675">
        <v>0</v>
      </c>
      <c r="JX142" s="675">
        <v>0</v>
      </c>
      <c r="JY142" s="675">
        <v>0</v>
      </c>
      <c r="JZ142" s="675">
        <v>0</v>
      </c>
      <c r="KA142" s="675">
        <v>0</v>
      </c>
      <c r="KB142" s="675">
        <v>0</v>
      </c>
      <c r="KC142" s="675">
        <v>0</v>
      </c>
      <c r="KD142" s="675">
        <v>0</v>
      </c>
      <c r="KE142" s="675">
        <v>7260</v>
      </c>
      <c r="KF142" s="675">
        <v>0</v>
      </c>
      <c r="KG142" s="675">
        <v>0</v>
      </c>
      <c r="KH142" s="675">
        <v>0</v>
      </c>
      <c r="KI142" s="675">
        <v>0</v>
      </c>
    </row>
    <row r="143" spans="1:295" ht="12.5" x14ac:dyDescent="0.25">
      <c r="A143" s="675">
        <v>35795</v>
      </c>
      <c r="B143" s="675">
        <v>15835</v>
      </c>
      <c r="C143" s="675">
        <v>9</v>
      </c>
      <c r="D143" s="675">
        <v>2022</v>
      </c>
      <c r="E143" s="675">
        <v>6160</v>
      </c>
      <c r="F143" s="675">
        <v>0</v>
      </c>
      <c r="G143" s="675">
        <v>7647.5170000000007</v>
      </c>
      <c r="H143" s="675">
        <v>7474.45</v>
      </c>
      <c r="I143" s="675">
        <v>7474.45</v>
      </c>
      <c r="J143" s="675">
        <v>7647.5170000000007</v>
      </c>
      <c r="K143" s="675">
        <v>0</v>
      </c>
      <c r="L143" s="675">
        <v>6160</v>
      </c>
      <c r="M143" s="675">
        <v>0</v>
      </c>
      <c r="N143" s="675">
        <v>0</v>
      </c>
      <c r="O143" s="675">
        <v>0</v>
      </c>
      <c r="P143" s="675">
        <v>6313.3389999999999</v>
      </c>
      <c r="Q143" s="675">
        <v>0</v>
      </c>
      <c r="R143" s="675">
        <v>2540664</v>
      </c>
      <c r="S143" s="675">
        <v>402.428</v>
      </c>
      <c r="T143" s="675">
        <v>0</v>
      </c>
      <c r="U143" s="675">
        <v>1351063</v>
      </c>
      <c r="V143" s="675">
        <v>562.44000000000005</v>
      </c>
      <c r="W143" s="675">
        <v>346461</v>
      </c>
      <c r="X143" s="675">
        <v>346461</v>
      </c>
      <c r="Y143" s="675">
        <v>0</v>
      </c>
      <c r="Z143" s="675">
        <v>0</v>
      </c>
      <c r="AA143" s="675">
        <v>0</v>
      </c>
      <c r="AB143" s="675">
        <v>0</v>
      </c>
      <c r="AC143" s="675">
        <v>0</v>
      </c>
      <c r="AD143" s="675" t="s">
        <v>316</v>
      </c>
      <c r="AE143" s="675">
        <v>0</v>
      </c>
      <c r="AF143" s="675">
        <v>0</v>
      </c>
      <c r="AG143" s="675">
        <v>0</v>
      </c>
      <c r="AH143" s="675">
        <v>0</v>
      </c>
      <c r="AI143" s="675">
        <v>0</v>
      </c>
      <c r="AJ143" s="675">
        <v>6160</v>
      </c>
      <c r="AK143" s="675" t="s">
        <v>671</v>
      </c>
      <c r="AL143" s="675" t="s">
        <v>320</v>
      </c>
      <c r="AM143" s="675">
        <v>0</v>
      </c>
      <c r="AN143" s="675">
        <v>0</v>
      </c>
      <c r="AO143" s="675">
        <v>0</v>
      </c>
      <c r="AP143" s="675">
        <v>0</v>
      </c>
      <c r="AQ143" s="675">
        <v>0</v>
      </c>
      <c r="AR143" s="675">
        <v>0</v>
      </c>
      <c r="AS143" s="675">
        <v>0</v>
      </c>
      <c r="AT143" s="675">
        <v>0</v>
      </c>
      <c r="AU143" s="675">
        <v>0</v>
      </c>
      <c r="AV143" s="675">
        <v>0</v>
      </c>
      <c r="AW143" s="675">
        <v>69021700</v>
      </c>
      <c r="AX143" s="675">
        <v>67637746</v>
      </c>
      <c r="AY143" s="675">
        <v>45313401</v>
      </c>
      <c r="AZ143" s="675">
        <v>2540664</v>
      </c>
      <c r="BA143" s="675">
        <v>0</v>
      </c>
      <c r="BB143" s="675">
        <v>0</v>
      </c>
      <c r="BC143" s="675">
        <v>0</v>
      </c>
      <c r="BD143" s="675">
        <v>0</v>
      </c>
      <c r="BE143" s="675">
        <v>0</v>
      </c>
      <c r="BF143" s="675">
        <v>61712192</v>
      </c>
      <c r="BG143" s="675">
        <v>0</v>
      </c>
      <c r="BH143" s="675">
        <v>0</v>
      </c>
      <c r="BI143" s="675">
        <v>0</v>
      </c>
      <c r="BJ143" s="675">
        <v>12</v>
      </c>
      <c r="BK143" s="675">
        <v>0</v>
      </c>
      <c r="BL143" s="675">
        <v>0</v>
      </c>
      <c r="BM143" s="675">
        <v>0</v>
      </c>
      <c r="BN143" s="675">
        <v>0</v>
      </c>
      <c r="BO143" s="675">
        <v>0</v>
      </c>
      <c r="BP143" s="675">
        <v>0</v>
      </c>
      <c r="BQ143" s="675">
        <v>0</v>
      </c>
      <c r="BR143" s="675">
        <v>0</v>
      </c>
      <c r="BS143" s="675">
        <v>0</v>
      </c>
      <c r="BT143" s="675">
        <v>0</v>
      </c>
      <c r="BU143" s="675">
        <v>0</v>
      </c>
      <c r="BV143" s="675">
        <v>0</v>
      </c>
      <c r="BW143" s="675">
        <v>0</v>
      </c>
      <c r="BX143" s="675">
        <v>0</v>
      </c>
      <c r="BY143" s="675">
        <v>0</v>
      </c>
      <c r="BZ143" s="675">
        <v>0</v>
      </c>
      <c r="CA143" s="675">
        <v>1034.097</v>
      </c>
      <c r="CB143" s="675">
        <v>881849</v>
      </c>
      <c r="CC143" s="675">
        <v>0</v>
      </c>
      <c r="CD143" s="675">
        <v>0</v>
      </c>
      <c r="CE143" s="675">
        <v>0</v>
      </c>
      <c r="CF143" s="675">
        <v>0</v>
      </c>
      <c r="CG143" s="675">
        <v>0</v>
      </c>
      <c r="CH143" s="675">
        <v>1397681</v>
      </c>
      <c r="CI143" s="675">
        <v>0</v>
      </c>
      <c r="CJ143" s="675">
        <v>4</v>
      </c>
      <c r="CK143" s="675">
        <v>0</v>
      </c>
      <c r="CL143" s="675">
        <v>0</v>
      </c>
      <c r="CM143" s="675">
        <v>0</v>
      </c>
      <c r="CN143" s="675">
        <v>0</v>
      </c>
      <c r="CO143" s="675">
        <v>1</v>
      </c>
      <c r="CP143" s="675">
        <v>0</v>
      </c>
      <c r="CQ143" s="675">
        <v>0</v>
      </c>
      <c r="CR143" s="675">
        <v>6428.8280000000004</v>
      </c>
      <c r="CS143" s="675">
        <v>0</v>
      </c>
      <c r="CT143" s="675">
        <v>0</v>
      </c>
      <c r="CU143" s="675">
        <v>0</v>
      </c>
      <c r="CV143" s="675">
        <v>0</v>
      </c>
      <c r="CW143" s="675">
        <v>0</v>
      </c>
      <c r="CX143" s="675">
        <v>0</v>
      </c>
      <c r="CY143" s="675">
        <v>0</v>
      </c>
      <c r="CZ143" s="675">
        <v>0</v>
      </c>
      <c r="DA143" s="675">
        <v>0</v>
      </c>
      <c r="DB143" s="675">
        <v>46042398</v>
      </c>
      <c r="DC143" s="675">
        <v>0</v>
      </c>
      <c r="DD143" s="675">
        <v>0</v>
      </c>
      <c r="DE143" s="675">
        <v>2688520</v>
      </c>
      <c r="DF143" s="675">
        <v>2688520</v>
      </c>
      <c r="DG143" s="675">
        <v>436.45</v>
      </c>
      <c r="DH143" s="675">
        <v>0</v>
      </c>
      <c r="DI143" s="675">
        <v>0</v>
      </c>
      <c r="DJ143" s="675">
        <v>0</v>
      </c>
      <c r="DK143" s="675">
        <v>0</v>
      </c>
      <c r="DL143" s="675">
        <v>0</v>
      </c>
      <c r="DM143" s="675">
        <v>3603771</v>
      </c>
      <c r="DN143" s="675">
        <v>13727</v>
      </c>
      <c r="DO143" s="675">
        <v>0</v>
      </c>
      <c r="DP143" s="675">
        <v>0</v>
      </c>
      <c r="DQ143" s="675">
        <v>0</v>
      </c>
      <c r="DR143" s="675">
        <v>0</v>
      </c>
      <c r="DS143" s="675">
        <v>0</v>
      </c>
      <c r="DT143" s="675">
        <v>0</v>
      </c>
      <c r="DU143" s="675">
        <v>0</v>
      </c>
      <c r="DV143" s="675">
        <v>0</v>
      </c>
      <c r="DW143" s="675">
        <v>0</v>
      </c>
      <c r="DX143" s="675">
        <v>0</v>
      </c>
      <c r="DY143" s="675">
        <v>0</v>
      </c>
      <c r="DZ143" s="675">
        <v>0</v>
      </c>
      <c r="EA143" s="675">
        <v>0</v>
      </c>
      <c r="EB143" s="675">
        <v>0</v>
      </c>
      <c r="EC143" s="675">
        <v>36.72</v>
      </c>
      <c r="ED143" s="675">
        <v>260123</v>
      </c>
      <c r="EE143" s="675">
        <v>0</v>
      </c>
      <c r="EF143" s="675">
        <v>0</v>
      </c>
      <c r="EG143" s="675">
        <v>0</v>
      </c>
      <c r="EH143" s="675">
        <v>3357375</v>
      </c>
      <c r="EI143" s="675">
        <v>0</v>
      </c>
      <c r="EJ143" s="675">
        <v>0</v>
      </c>
      <c r="EK143" s="675">
        <v>137.45000000000002</v>
      </c>
      <c r="EL143" s="675">
        <v>0</v>
      </c>
      <c r="EM143" s="675">
        <v>22.702000000000002</v>
      </c>
      <c r="EN143" s="675">
        <v>12.915000000000001</v>
      </c>
      <c r="EO143" s="675">
        <v>0</v>
      </c>
      <c r="EP143" s="675">
        <v>0</v>
      </c>
      <c r="EQ143" s="675">
        <v>173.06700000000001</v>
      </c>
      <c r="ER143" s="675">
        <v>0</v>
      </c>
      <c r="ES143" s="675">
        <v>545.03100000000006</v>
      </c>
      <c r="ET143" s="675">
        <v>0</v>
      </c>
      <c r="EU143" s="675">
        <v>0</v>
      </c>
      <c r="EV143" s="675">
        <v>0</v>
      </c>
      <c r="EW143" s="675">
        <v>0</v>
      </c>
      <c r="EX143" s="675">
        <v>0</v>
      </c>
      <c r="EY143" s="675">
        <v>0</v>
      </c>
      <c r="EZ143" s="675">
        <v>60061972</v>
      </c>
      <c r="FA143" s="675">
        <v>0</v>
      </c>
      <c r="FB143" s="675">
        <v>62588909</v>
      </c>
      <c r="FC143" s="675">
        <v>0</v>
      </c>
      <c r="FD143" s="675">
        <v>0</v>
      </c>
      <c r="FE143" s="675">
        <v>6277393</v>
      </c>
      <c r="FF143" s="675">
        <v>1298381</v>
      </c>
      <c r="FG143" s="675">
        <v>6.3574999999999993E-2</v>
      </c>
      <c r="FH143" s="675">
        <v>2.6298999999999999E-2</v>
      </c>
      <c r="FI143" s="675">
        <v>0</v>
      </c>
      <c r="FJ143" s="675">
        <v>0</v>
      </c>
      <c r="FK143" s="675">
        <v>10018.259</v>
      </c>
      <c r="FL143" s="675">
        <v>71562364</v>
      </c>
      <c r="FM143" s="675">
        <v>0</v>
      </c>
      <c r="FN143" s="675">
        <v>0</v>
      </c>
      <c r="FO143" s="675">
        <v>0</v>
      </c>
      <c r="FP143" s="675">
        <v>0</v>
      </c>
      <c r="FQ143" s="675">
        <v>0</v>
      </c>
      <c r="FR143" s="675">
        <v>0</v>
      </c>
      <c r="FS143" s="675">
        <v>0</v>
      </c>
      <c r="FT143" s="675">
        <v>0</v>
      </c>
      <c r="FU143" s="675">
        <v>0</v>
      </c>
      <c r="FV143" s="675">
        <v>0</v>
      </c>
      <c r="FW143" s="675">
        <v>0</v>
      </c>
      <c r="FX143" s="675">
        <v>0</v>
      </c>
      <c r="FY143" s="675">
        <v>0</v>
      </c>
      <c r="FZ143" s="675">
        <v>0</v>
      </c>
      <c r="GA143" s="675">
        <v>0</v>
      </c>
      <c r="GB143" s="675">
        <v>0</v>
      </c>
      <c r="GC143" s="675">
        <v>0</v>
      </c>
      <c r="GD143" s="675">
        <v>0</v>
      </c>
      <c r="GE143" s="675">
        <v>0</v>
      </c>
      <c r="GF143" s="675">
        <v>0</v>
      </c>
      <c r="GG143" s="675">
        <v>0</v>
      </c>
      <c r="GH143" s="675">
        <v>0</v>
      </c>
      <c r="GI143" s="675">
        <v>0</v>
      </c>
      <c r="GJ143" s="675">
        <v>0</v>
      </c>
      <c r="GK143" s="675">
        <v>0</v>
      </c>
      <c r="GL143" s="675">
        <v>0</v>
      </c>
      <c r="GM143" s="675">
        <v>0</v>
      </c>
      <c r="GN143" s="675">
        <v>0</v>
      </c>
      <c r="GO143" s="675">
        <v>0</v>
      </c>
      <c r="GP143" s="675">
        <v>0</v>
      </c>
      <c r="GQ143" s="675">
        <v>0</v>
      </c>
      <c r="GR143" s="675">
        <v>0</v>
      </c>
      <c r="GS143" s="675">
        <v>0</v>
      </c>
      <c r="GT143" s="675">
        <v>0</v>
      </c>
      <c r="GU143" s="675">
        <v>0</v>
      </c>
      <c r="GV143" s="675">
        <v>0</v>
      </c>
      <c r="GW143" s="675">
        <v>0</v>
      </c>
      <c r="GX143" s="675">
        <v>0</v>
      </c>
      <c r="GY143" s="675">
        <v>0</v>
      </c>
      <c r="GZ143" s="675">
        <v>0</v>
      </c>
      <c r="HA143" s="675">
        <v>0</v>
      </c>
      <c r="HB143" s="675">
        <v>298386780</v>
      </c>
      <c r="HC143" s="675">
        <v>4.5690999999999996E-2</v>
      </c>
      <c r="HD143" s="675">
        <v>1397681</v>
      </c>
      <c r="HE143" s="675">
        <v>0</v>
      </c>
      <c r="HF143" s="675">
        <v>8221895</v>
      </c>
      <c r="HG143" s="675">
        <v>46200</v>
      </c>
      <c r="HH143" s="675">
        <v>597886</v>
      </c>
      <c r="HI143" s="675">
        <v>0</v>
      </c>
      <c r="HJ143" s="675">
        <v>74334</v>
      </c>
      <c r="HK143" s="675">
        <v>8595</v>
      </c>
      <c r="HL143" s="675">
        <v>0</v>
      </c>
      <c r="HM143" s="675">
        <v>77000</v>
      </c>
      <c r="HN143" s="675">
        <v>0</v>
      </c>
      <c r="HO143" s="675">
        <v>0</v>
      </c>
      <c r="HP143" s="675">
        <v>0</v>
      </c>
      <c r="HQ143" s="675">
        <v>0</v>
      </c>
      <c r="HR143" s="675">
        <v>0</v>
      </c>
      <c r="HS143" s="675">
        <v>60048245</v>
      </c>
      <c r="HT143" s="675">
        <v>1298381</v>
      </c>
      <c r="HU143" s="675">
        <v>0</v>
      </c>
      <c r="HV143" s="675">
        <v>0</v>
      </c>
      <c r="HW143" s="675">
        <v>0</v>
      </c>
      <c r="HX143" s="675">
        <v>649</v>
      </c>
      <c r="HY143" s="675">
        <v>503</v>
      </c>
      <c r="HZ143" s="675">
        <v>296</v>
      </c>
      <c r="IA143" s="675">
        <v>229</v>
      </c>
      <c r="IB143" s="675">
        <v>134</v>
      </c>
      <c r="IC143" s="675">
        <v>1811</v>
      </c>
      <c r="ID143" s="675">
        <v>0</v>
      </c>
      <c r="IE143" s="675">
        <v>0</v>
      </c>
      <c r="IF143" s="675">
        <v>0</v>
      </c>
      <c r="IG143" s="675">
        <v>75</v>
      </c>
      <c r="IH143" s="675">
        <v>970.59800000000007</v>
      </c>
      <c r="II143" s="675">
        <v>0</v>
      </c>
      <c r="IJ143" s="675">
        <v>562.44000000000005</v>
      </c>
      <c r="IK143" s="675">
        <v>0</v>
      </c>
      <c r="IL143" s="675">
        <v>6</v>
      </c>
      <c r="IM143" s="675">
        <v>15</v>
      </c>
      <c r="IN143" s="675">
        <v>1</v>
      </c>
      <c r="IO143" s="675">
        <v>22</v>
      </c>
      <c r="IP143" s="675">
        <v>0</v>
      </c>
      <c r="IQ143" s="675">
        <v>562.44000000000005</v>
      </c>
      <c r="IR143" s="675">
        <v>346461</v>
      </c>
      <c r="IS143" s="675">
        <v>0</v>
      </c>
      <c r="IT143" s="675">
        <v>30000</v>
      </c>
      <c r="IU143" s="675">
        <v>45000</v>
      </c>
      <c r="IV143" s="675">
        <v>2000</v>
      </c>
      <c r="IW143" s="675">
        <v>6160</v>
      </c>
      <c r="IX143" s="675">
        <v>0</v>
      </c>
      <c r="IY143" s="675">
        <v>0</v>
      </c>
      <c r="IZ143" s="675">
        <v>0</v>
      </c>
      <c r="JA143" s="675">
        <v>0</v>
      </c>
      <c r="JB143" s="675">
        <v>0</v>
      </c>
      <c r="JC143" s="675">
        <v>0</v>
      </c>
      <c r="JD143" s="675">
        <v>0</v>
      </c>
      <c r="JE143" s="675">
        <v>0</v>
      </c>
      <c r="JF143" s="675">
        <v>0</v>
      </c>
      <c r="JG143" s="675">
        <v>0</v>
      </c>
      <c r="JH143" s="675">
        <v>0</v>
      </c>
      <c r="JI143" s="675">
        <v>0</v>
      </c>
      <c r="JJ143" s="675">
        <v>0</v>
      </c>
      <c r="JK143" s="675">
        <v>0</v>
      </c>
      <c r="JL143" s="675">
        <v>0</v>
      </c>
      <c r="JM143" s="675">
        <v>0</v>
      </c>
      <c r="JN143" s="675">
        <v>32469</v>
      </c>
      <c r="JO143" s="675">
        <v>0</v>
      </c>
      <c r="JP143" s="675">
        <v>0</v>
      </c>
      <c r="JQ143" s="675">
        <v>0</v>
      </c>
      <c r="JR143" s="675">
        <v>0</v>
      </c>
      <c r="JS143" s="675">
        <v>0</v>
      </c>
      <c r="JT143" s="675">
        <v>0</v>
      </c>
      <c r="JU143" s="675">
        <v>0</v>
      </c>
      <c r="JV143" s="675">
        <v>0</v>
      </c>
      <c r="JW143" s="675">
        <v>0</v>
      </c>
      <c r="JX143" s="675">
        <v>0</v>
      </c>
      <c r="JY143" s="675">
        <v>0</v>
      </c>
      <c r="JZ143" s="675">
        <v>0</v>
      </c>
      <c r="KA143" s="675">
        <v>0</v>
      </c>
      <c r="KB143" s="675">
        <v>0</v>
      </c>
      <c r="KC143" s="675">
        <v>0</v>
      </c>
      <c r="KD143" s="675">
        <v>0</v>
      </c>
      <c r="KE143" s="675">
        <v>7260</v>
      </c>
      <c r="KF143" s="675">
        <v>0</v>
      </c>
      <c r="KG143" s="675">
        <v>0</v>
      </c>
      <c r="KH143" s="675">
        <v>0</v>
      </c>
      <c r="KI143" s="675">
        <v>0</v>
      </c>
    </row>
    <row r="144" spans="1:295" ht="12.5" x14ac:dyDescent="0.25">
      <c r="A144" s="675">
        <v>35795</v>
      </c>
      <c r="B144" s="675">
        <v>57835</v>
      </c>
      <c r="C144" s="675">
        <v>9</v>
      </c>
      <c r="D144" s="675">
        <v>2022</v>
      </c>
      <c r="E144" s="675">
        <v>6160</v>
      </c>
      <c r="F144" s="675">
        <v>0</v>
      </c>
      <c r="G144" s="675">
        <v>1335.79</v>
      </c>
      <c r="H144" s="675">
        <v>1279.0640000000001</v>
      </c>
      <c r="I144" s="675">
        <v>1279.0640000000001</v>
      </c>
      <c r="J144" s="675">
        <v>1335.79</v>
      </c>
      <c r="K144" s="675">
        <v>0</v>
      </c>
      <c r="L144" s="675">
        <v>6160</v>
      </c>
      <c r="M144" s="675">
        <v>0</v>
      </c>
      <c r="N144" s="675">
        <v>0</v>
      </c>
      <c r="O144" s="675">
        <v>0</v>
      </c>
      <c r="P144" s="675">
        <v>1316.3870000000002</v>
      </c>
      <c r="Q144" s="675">
        <v>0</v>
      </c>
      <c r="R144" s="675">
        <v>529751</v>
      </c>
      <c r="S144" s="675">
        <v>402.428</v>
      </c>
      <c r="T144" s="675">
        <v>0</v>
      </c>
      <c r="U144" s="675">
        <v>281708</v>
      </c>
      <c r="V144" s="675">
        <v>676.80200000000002</v>
      </c>
      <c r="W144" s="675">
        <v>431881</v>
      </c>
      <c r="X144" s="675">
        <v>431881</v>
      </c>
      <c r="Y144" s="675">
        <v>0</v>
      </c>
      <c r="Z144" s="675">
        <v>0</v>
      </c>
      <c r="AA144" s="675">
        <v>0</v>
      </c>
      <c r="AB144" s="675">
        <v>0</v>
      </c>
      <c r="AC144" s="675">
        <v>0</v>
      </c>
      <c r="AD144" s="675" t="s">
        <v>316</v>
      </c>
      <c r="AE144" s="675">
        <v>0</v>
      </c>
      <c r="AF144" s="675">
        <v>0</v>
      </c>
      <c r="AG144" s="675">
        <v>0</v>
      </c>
      <c r="AH144" s="675">
        <v>0</v>
      </c>
      <c r="AI144" s="675">
        <v>0</v>
      </c>
      <c r="AJ144" s="675">
        <v>6160</v>
      </c>
      <c r="AK144" s="675" t="s">
        <v>671</v>
      </c>
      <c r="AL144" s="675" t="s">
        <v>49</v>
      </c>
      <c r="AM144" s="675">
        <v>0</v>
      </c>
      <c r="AN144" s="675">
        <v>0</v>
      </c>
      <c r="AO144" s="675">
        <v>0</v>
      </c>
      <c r="AP144" s="675">
        <v>0</v>
      </c>
      <c r="AQ144" s="675">
        <v>0</v>
      </c>
      <c r="AR144" s="675">
        <v>0</v>
      </c>
      <c r="AS144" s="675">
        <v>0</v>
      </c>
      <c r="AT144" s="675">
        <v>0</v>
      </c>
      <c r="AU144" s="675">
        <v>0</v>
      </c>
      <c r="AV144" s="675">
        <v>-246</v>
      </c>
      <c r="AW144" s="675">
        <v>15148950</v>
      </c>
      <c r="AX144" s="675">
        <v>14907839</v>
      </c>
      <c r="AY144" s="675">
        <v>10133948</v>
      </c>
      <c r="AZ144" s="675">
        <v>529751</v>
      </c>
      <c r="BA144" s="675">
        <v>0</v>
      </c>
      <c r="BB144" s="675">
        <v>9558</v>
      </c>
      <c r="BC144" s="675">
        <v>9496</v>
      </c>
      <c r="BD144" s="675">
        <v>22.167000000000002</v>
      </c>
      <c r="BE144" s="675">
        <v>62</v>
      </c>
      <c r="BF144" s="675">
        <v>13748384</v>
      </c>
      <c r="BG144" s="675">
        <v>0</v>
      </c>
      <c r="BH144" s="675">
        <v>0</v>
      </c>
      <c r="BI144" s="675">
        <v>0</v>
      </c>
      <c r="BJ144" s="675">
        <v>12</v>
      </c>
      <c r="BK144" s="675">
        <v>0</v>
      </c>
      <c r="BL144" s="675">
        <v>0</v>
      </c>
      <c r="BM144" s="675">
        <v>0</v>
      </c>
      <c r="BN144" s="675">
        <v>0</v>
      </c>
      <c r="BO144" s="675">
        <v>0</v>
      </c>
      <c r="BP144" s="675">
        <v>0</v>
      </c>
      <c r="BQ144" s="675">
        <v>573</v>
      </c>
      <c r="BR144" s="675">
        <v>0</v>
      </c>
      <c r="BS144" s="675">
        <v>0</v>
      </c>
      <c r="BT144" s="675">
        <v>0</v>
      </c>
      <c r="BU144" s="675">
        <v>0</v>
      </c>
      <c r="BV144" s="675">
        <v>0</v>
      </c>
      <c r="BW144" s="675">
        <v>0</v>
      </c>
      <c r="BX144" s="675">
        <v>0</v>
      </c>
      <c r="BY144" s="675">
        <v>0</v>
      </c>
      <c r="BZ144" s="675">
        <v>0</v>
      </c>
      <c r="CA144" s="675">
        <v>0</v>
      </c>
      <c r="CB144" s="675">
        <v>0</v>
      </c>
      <c r="CC144" s="675">
        <v>0</v>
      </c>
      <c r="CD144" s="675">
        <v>0</v>
      </c>
      <c r="CE144" s="675">
        <v>0</v>
      </c>
      <c r="CF144" s="675">
        <v>0</v>
      </c>
      <c r="CG144" s="675">
        <v>0</v>
      </c>
      <c r="CH144" s="675">
        <v>244133</v>
      </c>
      <c r="CI144" s="675">
        <v>0</v>
      </c>
      <c r="CJ144" s="675">
        <v>4</v>
      </c>
      <c r="CK144" s="675">
        <v>0</v>
      </c>
      <c r="CL144" s="675">
        <v>0</v>
      </c>
      <c r="CM144" s="675">
        <v>0</v>
      </c>
      <c r="CN144" s="675">
        <v>0</v>
      </c>
      <c r="CO144" s="675">
        <v>1</v>
      </c>
      <c r="CP144" s="675">
        <v>0</v>
      </c>
      <c r="CQ144" s="675">
        <v>0</v>
      </c>
      <c r="CR144" s="675">
        <v>1358.7080000000001</v>
      </c>
      <c r="CS144" s="675">
        <v>0</v>
      </c>
      <c r="CT144" s="675">
        <v>0</v>
      </c>
      <c r="CU144" s="675">
        <v>0</v>
      </c>
      <c r="CV144" s="675">
        <v>0</v>
      </c>
      <c r="CW144" s="675">
        <v>0</v>
      </c>
      <c r="CX144" s="675">
        <v>0</v>
      </c>
      <c r="CY144" s="675">
        <v>0</v>
      </c>
      <c r="CZ144" s="675">
        <v>0</v>
      </c>
      <c r="DA144" s="675">
        <v>0</v>
      </c>
      <c r="DB144" s="675">
        <v>7878998</v>
      </c>
      <c r="DC144" s="675">
        <v>0</v>
      </c>
      <c r="DD144" s="675">
        <v>0</v>
      </c>
      <c r="DE144" s="675">
        <v>2473075</v>
      </c>
      <c r="DF144" s="675">
        <v>2473075</v>
      </c>
      <c r="DG144" s="675">
        <v>401.47500000000002</v>
      </c>
      <c r="DH144" s="675">
        <v>0</v>
      </c>
      <c r="DI144" s="675">
        <v>0</v>
      </c>
      <c r="DJ144" s="675">
        <v>0</v>
      </c>
      <c r="DK144" s="675">
        <v>791</v>
      </c>
      <c r="DL144" s="675">
        <v>0</v>
      </c>
      <c r="DM144" s="675">
        <v>777279</v>
      </c>
      <c r="DN144" s="675">
        <v>2961</v>
      </c>
      <c r="DO144" s="675">
        <v>0</v>
      </c>
      <c r="DP144" s="675">
        <v>0</v>
      </c>
      <c r="DQ144" s="675">
        <v>0</v>
      </c>
      <c r="DR144" s="675">
        <v>0</v>
      </c>
      <c r="DS144" s="675">
        <v>0</v>
      </c>
      <c r="DT144" s="675">
        <v>0</v>
      </c>
      <c r="DU144" s="675">
        <v>0</v>
      </c>
      <c r="DV144" s="675">
        <v>0</v>
      </c>
      <c r="DW144" s="675">
        <v>0</v>
      </c>
      <c r="DX144" s="675">
        <v>0</v>
      </c>
      <c r="DY144" s="675">
        <v>0</v>
      </c>
      <c r="DZ144" s="675">
        <v>0</v>
      </c>
      <c r="EA144" s="675">
        <v>0</v>
      </c>
      <c r="EB144" s="675">
        <v>0</v>
      </c>
      <c r="EC144" s="675">
        <v>14.593</v>
      </c>
      <c r="ED144" s="675">
        <v>103376</v>
      </c>
      <c r="EE144" s="675">
        <v>0</v>
      </c>
      <c r="EF144" s="675">
        <v>0</v>
      </c>
      <c r="EG144" s="675">
        <v>0</v>
      </c>
      <c r="EH144" s="675">
        <v>676864</v>
      </c>
      <c r="EI144" s="675">
        <v>0</v>
      </c>
      <c r="EJ144" s="675">
        <v>0</v>
      </c>
      <c r="EK144" s="675">
        <v>33.234999999999999</v>
      </c>
      <c r="EL144" s="675">
        <v>0</v>
      </c>
      <c r="EM144" s="675">
        <v>0.622</v>
      </c>
      <c r="EN144" s="675">
        <v>1.6620000000000001</v>
      </c>
      <c r="EO144" s="675">
        <v>0</v>
      </c>
      <c r="EP144" s="675">
        <v>0</v>
      </c>
      <c r="EQ144" s="675">
        <v>35.518999999999998</v>
      </c>
      <c r="ER144" s="675">
        <v>0</v>
      </c>
      <c r="ES144" s="675">
        <v>109.881</v>
      </c>
      <c r="ET144" s="675">
        <v>0</v>
      </c>
      <c r="EU144" s="675">
        <v>0</v>
      </c>
      <c r="EV144" s="675">
        <v>0</v>
      </c>
      <c r="EW144" s="675">
        <v>0</v>
      </c>
      <c r="EX144" s="675">
        <v>0</v>
      </c>
      <c r="EY144" s="675">
        <v>0</v>
      </c>
      <c r="EZ144" s="675">
        <v>13220091</v>
      </c>
      <c r="FA144" s="675">
        <v>0</v>
      </c>
      <c r="FB144" s="675">
        <v>13746820</v>
      </c>
      <c r="FC144" s="675">
        <v>0</v>
      </c>
      <c r="FD144" s="675">
        <v>0</v>
      </c>
      <c r="FE144" s="675">
        <v>1398492</v>
      </c>
      <c r="FF144" s="675">
        <v>289256</v>
      </c>
      <c r="FG144" s="675">
        <v>6.3574999999999993E-2</v>
      </c>
      <c r="FH144" s="675">
        <v>2.6298999999999999E-2</v>
      </c>
      <c r="FI144" s="675">
        <v>0</v>
      </c>
      <c r="FJ144" s="675">
        <v>0</v>
      </c>
      <c r="FK144" s="675">
        <v>2231.8910000000001</v>
      </c>
      <c r="FL144" s="675">
        <v>15678701</v>
      </c>
      <c r="FM144" s="675">
        <v>0</v>
      </c>
      <c r="FN144" s="675">
        <v>0</v>
      </c>
      <c r="FO144" s="675">
        <v>0</v>
      </c>
      <c r="FP144" s="675">
        <v>0</v>
      </c>
      <c r="FQ144" s="675">
        <v>0</v>
      </c>
      <c r="FR144" s="675">
        <v>0</v>
      </c>
      <c r="FS144" s="675">
        <v>0</v>
      </c>
      <c r="FT144" s="675">
        <v>0</v>
      </c>
      <c r="FU144" s="675">
        <v>0</v>
      </c>
      <c r="FV144" s="675">
        <v>0</v>
      </c>
      <c r="FW144" s="675">
        <v>0</v>
      </c>
      <c r="FX144" s="675">
        <v>0</v>
      </c>
      <c r="FY144" s="675">
        <v>0</v>
      </c>
      <c r="FZ144" s="675">
        <v>0</v>
      </c>
      <c r="GA144" s="675">
        <v>0</v>
      </c>
      <c r="GB144" s="675">
        <v>178166</v>
      </c>
      <c r="GC144" s="675">
        <v>178166</v>
      </c>
      <c r="GD144" s="675">
        <v>21.207000000000001</v>
      </c>
      <c r="GE144" s="675">
        <v>0</v>
      </c>
      <c r="GF144" s="675">
        <v>0</v>
      </c>
      <c r="GG144" s="675">
        <v>0</v>
      </c>
      <c r="GH144" s="675">
        <v>0</v>
      </c>
      <c r="GI144" s="675">
        <v>0</v>
      </c>
      <c r="GJ144" s="675">
        <v>0</v>
      </c>
      <c r="GK144" s="675">
        <v>0</v>
      </c>
      <c r="GL144" s="675">
        <v>0</v>
      </c>
      <c r="GM144" s="675">
        <v>0</v>
      </c>
      <c r="GN144" s="675">
        <v>0</v>
      </c>
      <c r="GO144" s="675">
        <v>0</v>
      </c>
      <c r="GP144" s="675">
        <v>0</v>
      </c>
      <c r="GQ144" s="675">
        <v>0</v>
      </c>
      <c r="GR144" s="675">
        <v>0</v>
      </c>
      <c r="GS144" s="675">
        <v>0</v>
      </c>
      <c r="GT144" s="675">
        <v>0</v>
      </c>
      <c r="GU144" s="675">
        <v>0</v>
      </c>
      <c r="GV144" s="675">
        <v>0</v>
      </c>
      <c r="GW144" s="675">
        <v>0</v>
      </c>
      <c r="GX144" s="675">
        <v>0</v>
      </c>
      <c r="GY144" s="675">
        <v>0</v>
      </c>
      <c r="GZ144" s="675">
        <v>0</v>
      </c>
      <c r="HA144" s="675">
        <v>0</v>
      </c>
      <c r="HB144" s="675">
        <v>298386780</v>
      </c>
      <c r="HC144" s="675">
        <v>4.5690999999999996E-2</v>
      </c>
      <c r="HD144" s="675">
        <v>244133</v>
      </c>
      <c r="HE144" s="675">
        <v>0</v>
      </c>
      <c r="HF144" s="675">
        <v>1406970</v>
      </c>
      <c r="HG144" s="675">
        <v>3208</v>
      </c>
      <c r="HH144" s="675">
        <v>573304</v>
      </c>
      <c r="HI144" s="675">
        <v>0</v>
      </c>
      <c r="HJ144" s="675">
        <v>12984</v>
      </c>
      <c r="HK144" s="675">
        <v>1458</v>
      </c>
      <c r="HL144" s="675">
        <v>0</v>
      </c>
      <c r="HM144" s="675">
        <v>0</v>
      </c>
      <c r="HN144" s="675">
        <v>0</v>
      </c>
      <c r="HO144" s="675">
        <v>0</v>
      </c>
      <c r="HP144" s="675">
        <v>0</v>
      </c>
      <c r="HQ144" s="675">
        <v>0</v>
      </c>
      <c r="HR144" s="675">
        <v>0</v>
      </c>
      <c r="HS144" s="675">
        <v>13217069</v>
      </c>
      <c r="HT144" s="675">
        <v>289256</v>
      </c>
      <c r="HU144" s="675">
        <v>0</v>
      </c>
      <c r="HV144" s="675">
        <v>0</v>
      </c>
      <c r="HW144" s="675">
        <v>0</v>
      </c>
      <c r="HX144" s="675">
        <v>146</v>
      </c>
      <c r="HY144" s="675">
        <v>196</v>
      </c>
      <c r="HZ144" s="675">
        <v>232</v>
      </c>
      <c r="IA144" s="675">
        <v>500</v>
      </c>
      <c r="IB144" s="675">
        <v>483</v>
      </c>
      <c r="IC144" s="675">
        <v>1557</v>
      </c>
      <c r="ID144" s="675">
        <v>0</v>
      </c>
      <c r="IE144" s="675">
        <v>16.205000000000002</v>
      </c>
      <c r="IF144" s="675">
        <v>0</v>
      </c>
      <c r="IG144" s="675">
        <v>5.2080000000000002</v>
      </c>
      <c r="IH144" s="675">
        <v>930.69200000000001</v>
      </c>
      <c r="II144" s="675">
        <v>0</v>
      </c>
      <c r="IJ144" s="675">
        <v>693.00700000000006</v>
      </c>
      <c r="IK144" s="675">
        <v>0</v>
      </c>
      <c r="IL144" s="675">
        <v>0</v>
      </c>
      <c r="IM144" s="675">
        <v>0</v>
      </c>
      <c r="IN144" s="675">
        <v>0</v>
      </c>
      <c r="IO144" s="675">
        <v>0</v>
      </c>
      <c r="IP144" s="675">
        <v>0</v>
      </c>
      <c r="IQ144" s="675">
        <v>676.80200000000002</v>
      </c>
      <c r="IR144" s="675">
        <v>416908</v>
      </c>
      <c r="IS144" s="675">
        <v>0</v>
      </c>
      <c r="IT144" s="675">
        <v>0</v>
      </c>
      <c r="IU144" s="675">
        <v>0</v>
      </c>
      <c r="IV144" s="675">
        <v>0</v>
      </c>
      <c r="IW144" s="675">
        <v>6160</v>
      </c>
      <c r="IX144" s="675">
        <v>14973</v>
      </c>
      <c r="IY144" s="675">
        <v>0</v>
      </c>
      <c r="IZ144" s="675">
        <v>0</v>
      </c>
      <c r="JA144" s="675">
        <v>0</v>
      </c>
      <c r="JB144" s="675">
        <v>0</v>
      </c>
      <c r="JC144" s="675">
        <v>0</v>
      </c>
      <c r="JD144" s="675">
        <v>0</v>
      </c>
      <c r="JE144" s="675">
        <v>0</v>
      </c>
      <c r="JF144" s="675">
        <v>0</v>
      </c>
      <c r="JG144" s="675">
        <v>0</v>
      </c>
      <c r="JH144" s="675">
        <v>0</v>
      </c>
      <c r="JI144" s="675">
        <v>0</v>
      </c>
      <c r="JJ144" s="675">
        <v>0</v>
      </c>
      <c r="JK144" s="675">
        <v>0</v>
      </c>
      <c r="JL144" s="675">
        <v>0</v>
      </c>
      <c r="JM144" s="675">
        <v>0</v>
      </c>
      <c r="JN144" s="675">
        <v>32469</v>
      </c>
      <c r="JO144" s="675">
        <v>14.983000000000001</v>
      </c>
      <c r="JP144" s="675">
        <v>5.7360000000000007</v>
      </c>
      <c r="JQ144" s="675">
        <v>0.48800000000000004</v>
      </c>
      <c r="JR144" s="675">
        <v>119654</v>
      </c>
      <c r="JS144" s="675">
        <v>53304</v>
      </c>
      <c r="JT144" s="675">
        <v>5208</v>
      </c>
      <c r="JU144" s="675">
        <v>9558</v>
      </c>
      <c r="JV144" s="675">
        <v>0</v>
      </c>
      <c r="JW144" s="675">
        <v>0</v>
      </c>
      <c r="JX144" s="675">
        <v>0</v>
      </c>
      <c r="JY144" s="675">
        <v>0</v>
      </c>
      <c r="JZ144" s="675">
        <v>0</v>
      </c>
      <c r="KA144" s="675">
        <v>0</v>
      </c>
      <c r="KB144" s="675">
        <v>0</v>
      </c>
      <c r="KC144" s="675">
        <v>0</v>
      </c>
      <c r="KD144" s="675">
        <v>9558</v>
      </c>
      <c r="KE144" s="675">
        <v>7260</v>
      </c>
      <c r="KF144" s="675">
        <v>0</v>
      </c>
      <c r="KG144" s="675">
        <v>0</v>
      </c>
      <c r="KH144" s="675">
        <v>0</v>
      </c>
      <c r="KI144" s="675">
        <v>0</v>
      </c>
    </row>
    <row r="145" spans="1:295" ht="12.5" x14ac:dyDescent="0.25">
      <c r="A145" s="675">
        <v>35795</v>
      </c>
      <c r="B145" s="675">
        <v>15836</v>
      </c>
      <c r="C145" s="675">
        <v>9</v>
      </c>
      <c r="D145" s="675">
        <v>2022</v>
      </c>
      <c r="E145" s="675">
        <v>6160</v>
      </c>
      <c r="F145" s="675">
        <v>0</v>
      </c>
      <c r="G145" s="675">
        <v>451.15300000000002</v>
      </c>
      <c r="H145" s="675">
        <v>439.596</v>
      </c>
      <c r="I145" s="675">
        <v>439.596</v>
      </c>
      <c r="J145" s="675">
        <v>451.15300000000002</v>
      </c>
      <c r="K145" s="675">
        <v>0</v>
      </c>
      <c r="L145" s="675">
        <v>6160</v>
      </c>
      <c r="M145" s="675">
        <v>0</v>
      </c>
      <c r="N145" s="675">
        <v>0</v>
      </c>
      <c r="O145" s="675">
        <v>0</v>
      </c>
      <c r="P145" s="675">
        <v>452.548</v>
      </c>
      <c r="Q145" s="675">
        <v>0</v>
      </c>
      <c r="R145" s="675">
        <v>182118</v>
      </c>
      <c r="S145" s="675">
        <v>402.428</v>
      </c>
      <c r="T145" s="675">
        <v>0</v>
      </c>
      <c r="U145" s="675">
        <v>96845</v>
      </c>
      <c r="V145" s="675">
        <v>31.29</v>
      </c>
      <c r="W145" s="675">
        <v>19275</v>
      </c>
      <c r="X145" s="675">
        <v>19275</v>
      </c>
      <c r="Y145" s="675">
        <v>0</v>
      </c>
      <c r="Z145" s="675">
        <v>0</v>
      </c>
      <c r="AA145" s="675">
        <v>0</v>
      </c>
      <c r="AB145" s="675">
        <v>0</v>
      </c>
      <c r="AC145" s="675">
        <v>0</v>
      </c>
      <c r="AD145" s="675" t="s">
        <v>316</v>
      </c>
      <c r="AE145" s="675">
        <v>0</v>
      </c>
      <c r="AF145" s="675">
        <v>0</v>
      </c>
      <c r="AG145" s="675">
        <v>0</v>
      </c>
      <c r="AH145" s="675">
        <v>0</v>
      </c>
      <c r="AI145" s="675">
        <v>0</v>
      </c>
      <c r="AJ145" s="675">
        <v>6160</v>
      </c>
      <c r="AK145" s="675" t="s">
        <v>671</v>
      </c>
      <c r="AL145" s="675" t="s">
        <v>321</v>
      </c>
      <c r="AM145" s="675">
        <v>0</v>
      </c>
      <c r="AN145" s="675">
        <v>0</v>
      </c>
      <c r="AO145" s="675">
        <v>0</v>
      </c>
      <c r="AP145" s="675">
        <v>0</v>
      </c>
      <c r="AQ145" s="675">
        <v>0</v>
      </c>
      <c r="AR145" s="675">
        <v>0</v>
      </c>
      <c r="AS145" s="675">
        <v>0</v>
      </c>
      <c r="AT145" s="675">
        <v>0</v>
      </c>
      <c r="AU145" s="675">
        <v>0</v>
      </c>
      <c r="AV145" s="675">
        <v>0</v>
      </c>
      <c r="AW145" s="675">
        <v>3985388</v>
      </c>
      <c r="AX145" s="675">
        <v>3903919</v>
      </c>
      <c r="AY145" s="675">
        <v>2666253</v>
      </c>
      <c r="AZ145" s="675">
        <v>182118</v>
      </c>
      <c r="BA145" s="675">
        <v>0</v>
      </c>
      <c r="BB145" s="675">
        <v>0</v>
      </c>
      <c r="BC145" s="675">
        <v>0</v>
      </c>
      <c r="BD145" s="675">
        <v>0</v>
      </c>
      <c r="BE145" s="675">
        <v>0</v>
      </c>
      <c r="BF145" s="675">
        <v>3639280</v>
      </c>
      <c r="BG145" s="675">
        <v>0</v>
      </c>
      <c r="BH145" s="675">
        <v>0</v>
      </c>
      <c r="BI145" s="675">
        <v>0</v>
      </c>
      <c r="BJ145" s="675">
        <v>12</v>
      </c>
      <c r="BK145" s="675">
        <v>0</v>
      </c>
      <c r="BL145" s="675">
        <v>0</v>
      </c>
      <c r="BM145" s="675">
        <v>0</v>
      </c>
      <c r="BN145" s="675">
        <v>0</v>
      </c>
      <c r="BO145" s="675">
        <v>0</v>
      </c>
      <c r="BP145" s="675">
        <v>0</v>
      </c>
      <c r="BQ145" s="675">
        <v>702</v>
      </c>
      <c r="BR145" s="675">
        <v>0</v>
      </c>
      <c r="BS145" s="675">
        <v>0</v>
      </c>
      <c r="BT145" s="675">
        <v>0</v>
      </c>
      <c r="BU145" s="675">
        <v>0</v>
      </c>
      <c r="BV145" s="675">
        <v>0</v>
      </c>
      <c r="BW145" s="675">
        <v>0</v>
      </c>
      <c r="BX145" s="675">
        <v>0</v>
      </c>
      <c r="BY145" s="675">
        <v>0</v>
      </c>
      <c r="BZ145" s="675">
        <v>0</v>
      </c>
      <c r="CA145" s="675">
        <v>0</v>
      </c>
      <c r="CB145" s="675">
        <v>0</v>
      </c>
      <c r="CC145" s="675">
        <v>0</v>
      </c>
      <c r="CD145" s="675">
        <v>0</v>
      </c>
      <c r="CE145" s="675">
        <v>0</v>
      </c>
      <c r="CF145" s="675">
        <v>0</v>
      </c>
      <c r="CG145" s="675">
        <v>0</v>
      </c>
      <c r="CH145" s="675">
        <v>82454</v>
      </c>
      <c r="CI145" s="675">
        <v>0</v>
      </c>
      <c r="CJ145" s="675">
        <v>4</v>
      </c>
      <c r="CK145" s="675">
        <v>0</v>
      </c>
      <c r="CL145" s="675">
        <v>0</v>
      </c>
      <c r="CM145" s="675">
        <v>0</v>
      </c>
      <c r="CN145" s="675">
        <v>0</v>
      </c>
      <c r="CO145" s="675">
        <v>1</v>
      </c>
      <c r="CP145" s="675">
        <v>0</v>
      </c>
      <c r="CQ145" s="675">
        <v>0</v>
      </c>
      <c r="CR145" s="675">
        <v>468.15800000000002</v>
      </c>
      <c r="CS145" s="675">
        <v>0</v>
      </c>
      <c r="CT145" s="675">
        <v>0</v>
      </c>
      <c r="CU145" s="675">
        <v>0</v>
      </c>
      <c r="CV145" s="675">
        <v>0</v>
      </c>
      <c r="CW145" s="675">
        <v>0</v>
      </c>
      <c r="CX145" s="675">
        <v>0</v>
      </c>
      <c r="CY145" s="675">
        <v>0</v>
      </c>
      <c r="CZ145" s="675">
        <v>0</v>
      </c>
      <c r="DA145" s="675">
        <v>0</v>
      </c>
      <c r="DB145" s="675">
        <v>2707899</v>
      </c>
      <c r="DC145" s="675">
        <v>0</v>
      </c>
      <c r="DD145" s="675">
        <v>0</v>
      </c>
      <c r="DE145" s="675">
        <v>127819</v>
      </c>
      <c r="DF145" s="675">
        <v>127819</v>
      </c>
      <c r="DG145" s="675">
        <v>20.75</v>
      </c>
      <c r="DH145" s="675">
        <v>0</v>
      </c>
      <c r="DI145" s="675">
        <v>0</v>
      </c>
      <c r="DJ145" s="675">
        <v>0</v>
      </c>
      <c r="DK145" s="675">
        <v>2859</v>
      </c>
      <c r="DL145" s="675">
        <v>0</v>
      </c>
      <c r="DM145" s="675">
        <v>258662</v>
      </c>
      <c r="DN145" s="675">
        <v>985</v>
      </c>
      <c r="DO145" s="675">
        <v>0</v>
      </c>
      <c r="DP145" s="675">
        <v>0</v>
      </c>
      <c r="DQ145" s="675">
        <v>0</v>
      </c>
      <c r="DR145" s="675">
        <v>0</v>
      </c>
      <c r="DS145" s="675">
        <v>0</v>
      </c>
      <c r="DT145" s="675">
        <v>0</v>
      </c>
      <c r="DU145" s="675">
        <v>0</v>
      </c>
      <c r="DV145" s="675">
        <v>0</v>
      </c>
      <c r="DW145" s="675">
        <v>0</v>
      </c>
      <c r="DX145" s="675">
        <v>0</v>
      </c>
      <c r="DY145" s="675">
        <v>0</v>
      </c>
      <c r="DZ145" s="675">
        <v>0</v>
      </c>
      <c r="EA145" s="675">
        <v>0</v>
      </c>
      <c r="EB145" s="675">
        <v>0</v>
      </c>
      <c r="EC145" s="675">
        <v>5.3650000000000002</v>
      </c>
      <c r="ED145" s="675">
        <v>38005</v>
      </c>
      <c r="EE145" s="675">
        <v>0</v>
      </c>
      <c r="EF145" s="675">
        <v>0</v>
      </c>
      <c r="EG145" s="675">
        <v>0</v>
      </c>
      <c r="EH145" s="675">
        <v>221642</v>
      </c>
      <c r="EI145" s="675">
        <v>0</v>
      </c>
      <c r="EJ145" s="675">
        <v>0</v>
      </c>
      <c r="EK145" s="675">
        <v>9.5370000000000008</v>
      </c>
      <c r="EL145" s="675">
        <v>0</v>
      </c>
      <c r="EM145" s="675">
        <v>1.365</v>
      </c>
      <c r="EN145" s="675">
        <v>0.65500000000000003</v>
      </c>
      <c r="EO145" s="675">
        <v>0</v>
      </c>
      <c r="EP145" s="675">
        <v>0</v>
      </c>
      <c r="EQ145" s="675">
        <v>11.557</v>
      </c>
      <c r="ER145" s="675">
        <v>0</v>
      </c>
      <c r="ES145" s="675">
        <v>35.981000000000002</v>
      </c>
      <c r="ET145" s="675">
        <v>0</v>
      </c>
      <c r="EU145" s="675">
        <v>0</v>
      </c>
      <c r="EV145" s="675">
        <v>0</v>
      </c>
      <c r="EW145" s="675">
        <v>0</v>
      </c>
      <c r="EX145" s="675">
        <v>0</v>
      </c>
      <c r="EY145" s="675">
        <v>0</v>
      </c>
      <c r="EZ145" s="675">
        <v>3457162</v>
      </c>
      <c r="FA145" s="675">
        <v>0</v>
      </c>
      <c r="FB145" s="675">
        <v>3638295</v>
      </c>
      <c r="FC145" s="675">
        <v>0</v>
      </c>
      <c r="FD145" s="675">
        <v>0</v>
      </c>
      <c r="FE145" s="675">
        <v>370189</v>
      </c>
      <c r="FF145" s="675">
        <v>76568</v>
      </c>
      <c r="FG145" s="675">
        <v>6.3574999999999993E-2</v>
      </c>
      <c r="FH145" s="675">
        <v>2.6298999999999999E-2</v>
      </c>
      <c r="FI145" s="675">
        <v>0</v>
      </c>
      <c r="FJ145" s="675">
        <v>0</v>
      </c>
      <c r="FK145" s="675">
        <v>590.79500000000007</v>
      </c>
      <c r="FL145" s="675">
        <v>4167506</v>
      </c>
      <c r="FM145" s="675">
        <v>0</v>
      </c>
      <c r="FN145" s="675">
        <v>0</v>
      </c>
      <c r="FO145" s="675">
        <v>0</v>
      </c>
      <c r="FP145" s="675">
        <v>0</v>
      </c>
      <c r="FQ145" s="675">
        <v>0</v>
      </c>
      <c r="FR145" s="675">
        <v>0</v>
      </c>
      <c r="FS145" s="675">
        <v>0</v>
      </c>
      <c r="FT145" s="675">
        <v>0</v>
      </c>
      <c r="FU145" s="675">
        <v>0</v>
      </c>
      <c r="FV145" s="675">
        <v>0</v>
      </c>
      <c r="FW145" s="675">
        <v>0</v>
      </c>
      <c r="FX145" s="675">
        <v>0</v>
      </c>
      <c r="FY145" s="675">
        <v>0</v>
      </c>
      <c r="FZ145" s="675">
        <v>0</v>
      </c>
      <c r="GA145" s="675">
        <v>0</v>
      </c>
      <c r="GB145" s="675">
        <v>0</v>
      </c>
      <c r="GC145" s="675">
        <v>0</v>
      </c>
      <c r="GD145" s="675">
        <v>0</v>
      </c>
      <c r="GE145" s="675">
        <v>0</v>
      </c>
      <c r="GF145" s="675">
        <v>0</v>
      </c>
      <c r="GG145" s="675">
        <v>0</v>
      </c>
      <c r="GH145" s="675">
        <v>0</v>
      </c>
      <c r="GI145" s="675">
        <v>0</v>
      </c>
      <c r="GJ145" s="675">
        <v>0</v>
      </c>
      <c r="GK145" s="675">
        <v>0</v>
      </c>
      <c r="GL145" s="675">
        <v>0</v>
      </c>
      <c r="GM145" s="675">
        <v>0</v>
      </c>
      <c r="GN145" s="675">
        <v>0</v>
      </c>
      <c r="GO145" s="675">
        <v>0</v>
      </c>
      <c r="GP145" s="675">
        <v>0</v>
      </c>
      <c r="GQ145" s="675">
        <v>0</v>
      </c>
      <c r="GR145" s="675">
        <v>0</v>
      </c>
      <c r="GS145" s="675">
        <v>0</v>
      </c>
      <c r="GT145" s="675">
        <v>0</v>
      </c>
      <c r="GU145" s="675">
        <v>0</v>
      </c>
      <c r="GV145" s="675">
        <v>0</v>
      </c>
      <c r="GW145" s="675">
        <v>0</v>
      </c>
      <c r="GX145" s="675">
        <v>0</v>
      </c>
      <c r="GY145" s="675">
        <v>0</v>
      </c>
      <c r="GZ145" s="675">
        <v>0</v>
      </c>
      <c r="HA145" s="675">
        <v>0</v>
      </c>
      <c r="HB145" s="675">
        <v>298386780</v>
      </c>
      <c r="HC145" s="675">
        <v>4.5690999999999996E-2</v>
      </c>
      <c r="HD145" s="675">
        <v>82454</v>
      </c>
      <c r="HE145" s="675">
        <v>0</v>
      </c>
      <c r="HF145" s="675">
        <v>483556</v>
      </c>
      <c r="HG145" s="675">
        <v>2464</v>
      </c>
      <c r="HH145" s="675">
        <v>34235</v>
      </c>
      <c r="HI145" s="675">
        <v>0</v>
      </c>
      <c r="HJ145" s="675">
        <v>4385</v>
      </c>
      <c r="HK145" s="675">
        <v>0</v>
      </c>
      <c r="HL145" s="675">
        <v>0</v>
      </c>
      <c r="HM145" s="675">
        <v>0</v>
      </c>
      <c r="HN145" s="675">
        <v>0</v>
      </c>
      <c r="HO145" s="675">
        <v>0</v>
      </c>
      <c r="HP145" s="675">
        <v>0</v>
      </c>
      <c r="HQ145" s="675">
        <v>0</v>
      </c>
      <c r="HR145" s="675">
        <v>0</v>
      </c>
      <c r="HS145" s="675">
        <v>3456177</v>
      </c>
      <c r="HT145" s="675">
        <v>76568</v>
      </c>
      <c r="HU145" s="675">
        <v>0</v>
      </c>
      <c r="HV145" s="675">
        <v>0</v>
      </c>
      <c r="HW145" s="675">
        <v>0</v>
      </c>
      <c r="HX145" s="675">
        <v>35</v>
      </c>
      <c r="HY145" s="675">
        <v>22</v>
      </c>
      <c r="HZ145" s="675">
        <v>19</v>
      </c>
      <c r="IA145" s="675">
        <v>10</v>
      </c>
      <c r="IB145" s="675">
        <v>1</v>
      </c>
      <c r="IC145" s="675">
        <v>87</v>
      </c>
      <c r="ID145" s="675">
        <v>0</v>
      </c>
      <c r="IE145" s="675">
        <v>0</v>
      </c>
      <c r="IF145" s="675">
        <v>0</v>
      </c>
      <c r="IG145" s="675">
        <v>4</v>
      </c>
      <c r="IH145" s="675">
        <v>55.577000000000005</v>
      </c>
      <c r="II145" s="675">
        <v>0</v>
      </c>
      <c r="IJ145" s="675">
        <v>31.29</v>
      </c>
      <c r="IK145" s="675">
        <v>0</v>
      </c>
      <c r="IL145" s="675">
        <v>0</v>
      </c>
      <c r="IM145" s="675">
        <v>0</v>
      </c>
      <c r="IN145" s="675">
        <v>0</v>
      </c>
      <c r="IO145" s="675">
        <v>0</v>
      </c>
      <c r="IP145" s="675">
        <v>0</v>
      </c>
      <c r="IQ145" s="675">
        <v>31.29</v>
      </c>
      <c r="IR145" s="675">
        <v>19275</v>
      </c>
      <c r="IS145" s="675">
        <v>0</v>
      </c>
      <c r="IT145" s="675">
        <v>0</v>
      </c>
      <c r="IU145" s="675">
        <v>0</v>
      </c>
      <c r="IV145" s="675">
        <v>0</v>
      </c>
      <c r="IW145" s="675">
        <v>6160</v>
      </c>
      <c r="IX145" s="675">
        <v>0</v>
      </c>
      <c r="IY145" s="675">
        <v>0</v>
      </c>
      <c r="IZ145" s="675">
        <v>0</v>
      </c>
      <c r="JA145" s="675">
        <v>0</v>
      </c>
      <c r="JB145" s="675">
        <v>0</v>
      </c>
      <c r="JC145" s="675">
        <v>0</v>
      </c>
      <c r="JD145" s="675">
        <v>0</v>
      </c>
      <c r="JE145" s="675">
        <v>0</v>
      </c>
      <c r="JF145" s="675">
        <v>0</v>
      </c>
      <c r="JG145" s="675">
        <v>0</v>
      </c>
      <c r="JH145" s="675">
        <v>0</v>
      </c>
      <c r="JI145" s="675">
        <v>0</v>
      </c>
      <c r="JJ145" s="675">
        <v>0</v>
      </c>
      <c r="JK145" s="675">
        <v>0</v>
      </c>
      <c r="JL145" s="675">
        <v>0</v>
      </c>
      <c r="JM145" s="675">
        <v>0</v>
      </c>
      <c r="JN145" s="675">
        <v>32469</v>
      </c>
      <c r="JO145" s="675">
        <v>0</v>
      </c>
      <c r="JP145" s="675">
        <v>0</v>
      </c>
      <c r="JQ145" s="675">
        <v>0</v>
      </c>
      <c r="JR145" s="675">
        <v>0</v>
      </c>
      <c r="JS145" s="675">
        <v>0</v>
      </c>
      <c r="JT145" s="675">
        <v>0</v>
      </c>
      <c r="JU145" s="675">
        <v>0</v>
      </c>
      <c r="JV145" s="675">
        <v>0</v>
      </c>
      <c r="JW145" s="675">
        <v>0</v>
      </c>
      <c r="JX145" s="675">
        <v>0</v>
      </c>
      <c r="JY145" s="675">
        <v>0</v>
      </c>
      <c r="JZ145" s="675">
        <v>0</v>
      </c>
      <c r="KA145" s="675">
        <v>0</v>
      </c>
      <c r="KB145" s="675">
        <v>0</v>
      </c>
      <c r="KC145" s="675">
        <v>0</v>
      </c>
      <c r="KD145" s="675">
        <v>0</v>
      </c>
      <c r="KE145" s="675">
        <v>7260</v>
      </c>
      <c r="KF145" s="675">
        <v>0</v>
      </c>
      <c r="KG145" s="675">
        <v>0</v>
      </c>
      <c r="KH145" s="675">
        <v>0</v>
      </c>
      <c r="KI145" s="675">
        <v>0</v>
      </c>
    </row>
    <row r="146" spans="1:295" ht="12.5" x14ac:dyDescent="0.25">
      <c r="A146" s="675">
        <v>35795</v>
      </c>
      <c r="B146" s="675">
        <v>57836</v>
      </c>
      <c r="C146" s="675">
        <v>9</v>
      </c>
      <c r="D146" s="675">
        <v>2022</v>
      </c>
      <c r="E146" s="675">
        <v>6160</v>
      </c>
      <c r="F146" s="675">
        <v>0</v>
      </c>
      <c r="G146" s="675">
        <v>298.96500000000003</v>
      </c>
      <c r="H146" s="675">
        <v>289.46199999999999</v>
      </c>
      <c r="I146" s="675">
        <v>289.46199999999999</v>
      </c>
      <c r="J146" s="675">
        <v>298.96500000000003</v>
      </c>
      <c r="K146" s="675">
        <v>0</v>
      </c>
      <c r="L146" s="675">
        <v>6160</v>
      </c>
      <c r="M146" s="675">
        <v>0</v>
      </c>
      <c r="N146" s="675">
        <v>0</v>
      </c>
      <c r="O146" s="675">
        <v>0</v>
      </c>
      <c r="P146" s="675">
        <v>304.83500000000004</v>
      </c>
      <c r="Q146" s="675">
        <v>0</v>
      </c>
      <c r="R146" s="675">
        <v>122674</v>
      </c>
      <c r="S146" s="675">
        <v>402.428</v>
      </c>
      <c r="T146" s="675">
        <v>0</v>
      </c>
      <c r="U146" s="675">
        <v>65236</v>
      </c>
      <c r="V146" s="675">
        <v>0</v>
      </c>
      <c r="W146" s="675">
        <v>0</v>
      </c>
      <c r="X146" s="675">
        <v>0</v>
      </c>
      <c r="Y146" s="675">
        <v>0</v>
      </c>
      <c r="Z146" s="675">
        <v>0</v>
      </c>
      <c r="AA146" s="675">
        <v>0</v>
      </c>
      <c r="AB146" s="675">
        <v>0</v>
      </c>
      <c r="AC146" s="675">
        <v>0</v>
      </c>
      <c r="AD146" s="675" t="s">
        <v>316</v>
      </c>
      <c r="AE146" s="675">
        <v>0</v>
      </c>
      <c r="AF146" s="675">
        <v>0</v>
      </c>
      <c r="AG146" s="675">
        <v>0</v>
      </c>
      <c r="AH146" s="675">
        <v>0</v>
      </c>
      <c r="AI146" s="675">
        <v>0</v>
      </c>
      <c r="AJ146" s="675">
        <v>6160</v>
      </c>
      <c r="AK146" s="675" t="s">
        <v>671</v>
      </c>
      <c r="AL146" s="675" t="s">
        <v>24</v>
      </c>
      <c r="AM146" s="675">
        <v>0</v>
      </c>
      <c r="AN146" s="675">
        <v>0</v>
      </c>
      <c r="AO146" s="675">
        <v>0</v>
      </c>
      <c r="AP146" s="675">
        <v>0</v>
      </c>
      <c r="AQ146" s="675">
        <v>0</v>
      </c>
      <c r="AR146" s="675">
        <v>0</v>
      </c>
      <c r="AS146" s="675">
        <v>0</v>
      </c>
      <c r="AT146" s="675">
        <v>0</v>
      </c>
      <c r="AU146" s="675">
        <v>0</v>
      </c>
      <c r="AV146" s="675">
        <v>-8461</v>
      </c>
      <c r="AW146" s="675">
        <v>3227261</v>
      </c>
      <c r="AX146" s="675">
        <v>3173717</v>
      </c>
      <c r="AY146" s="675">
        <v>2155323</v>
      </c>
      <c r="AZ146" s="675">
        <v>122674</v>
      </c>
      <c r="BA146" s="675">
        <v>0</v>
      </c>
      <c r="BB146" s="675">
        <v>6109</v>
      </c>
      <c r="BC146" s="675">
        <v>6070</v>
      </c>
      <c r="BD146" s="675">
        <v>14.167</v>
      </c>
      <c r="BE146" s="675">
        <v>39</v>
      </c>
      <c r="BF146" s="675">
        <v>2935972</v>
      </c>
      <c r="BG146" s="675">
        <v>0</v>
      </c>
      <c r="BH146" s="675">
        <v>0</v>
      </c>
      <c r="BI146" s="675">
        <v>0</v>
      </c>
      <c r="BJ146" s="675">
        <v>12</v>
      </c>
      <c r="BK146" s="675">
        <v>0</v>
      </c>
      <c r="BL146" s="675">
        <v>0</v>
      </c>
      <c r="BM146" s="675">
        <v>0</v>
      </c>
      <c r="BN146" s="675">
        <v>0</v>
      </c>
      <c r="BO146" s="675">
        <v>0</v>
      </c>
      <c r="BP146" s="675">
        <v>0</v>
      </c>
      <c r="BQ146" s="675">
        <v>725</v>
      </c>
      <c r="BR146" s="675">
        <v>0</v>
      </c>
      <c r="BS146" s="675">
        <v>0</v>
      </c>
      <c r="BT146" s="675">
        <v>0</v>
      </c>
      <c r="BU146" s="675">
        <v>0</v>
      </c>
      <c r="BV146" s="675">
        <v>0</v>
      </c>
      <c r="BW146" s="675">
        <v>0</v>
      </c>
      <c r="BX146" s="675">
        <v>0</v>
      </c>
      <c r="BY146" s="675">
        <v>0</v>
      </c>
      <c r="BZ146" s="675">
        <v>0</v>
      </c>
      <c r="CA146" s="675">
        <v>0</v>
      </c>
      <c r="CB146" s="675">
        <v>0</v>
      </c>
      <c r="CC146" s="675">
        <v>0</v>
      </c>
      <c r="CD146" s="675">
        <v>0</v>
      </c>
      <c r="CE146" s="675">
        <v>0</v>
      </c>
      <c r="CF146" s="675">
        <v>0</v>
      </c>
      <c r="CG146" s="675">
        <v>0</v>
      </c>
      <c r="CH146" s="675">
        <v>54640</v>
      </c>
      <c r="CI146" s="675">
        <v>0</v>
      </c>
      <c r="CJ146" s="675">
        <v>4</v>
      </c>
      <c r="CK146" s="675">
        <v>0</v>
      </c>
      <c r="CL146" s="675">
        <v>0</v>
      </c>
      <c r="CM146" s="675">
        <v>0</v>
      </c>
      <c r="CN146" s="675">
        <v>0</v>
      </c>
      <c r="CO146" s="675">
        <v>1</v>
      </c>
      <c r="CP146" s="675">
        <v>0</v>
      </c>
      <c r="CQ146" s="675">
        <v>0</v>
      </c>
      <c r="CR146" s="675">
        <v>310.70699999999999</v>
      </c>
      <c r="CS146" s="675">
        <v>0</v>
      </c>
      <c r="CT146" s="675">
        <v>0</v>
      </c>
      <c r="CU146" s="675">
        <v>0</v>
      </c>
      <c r="CV146" s="675">
        <v>0</v>
      </c>
      <c r="CW146" s="675">
        <v>0</v>
      </c>
      <c r="CX146" s="675">
        <v>0</v>
      </c>
      <c r="CY146" s="675">
        <v>0</v>
      </c>
      <c r="CZ146" s="675">
        <v>0</v>
      </c>
      <c r="DA146" s="675">
        <v>0</v>
      </c>
      <c r="DB146" s="675">
        <v>1783078</v>
      </c>
      <c r="DC146" s="675">
        <v>0</v>
      </c>
      <c r="DD146" s="675">
        <v>0</v>
      </c>
      <c r="DE146" s="675">
        <v>468081</v>
      </c>
      <c r="DF146" s="675">
        <v>468081</v>
      </c>
      <c r="DG146" s="675">
        <v>75.988</v>
      </c>
      <c r="DH146" s="675">
        <v>0</v>
      </c>
      <c r="DI146" s="675">
        <v>0</v>
      </c>
      <c r="DJ146" s="675">
        <v>0</v>
      </c>
      <c r="DK146" s="675">
        <v>3229</v>
      </c>
      <c r="DL146" s="675">
        <v>0</v>
      </c>
      <c r="DM146" s="675">
        <v>277493</v>
      </c>
      <c r="DN146" s="675">
        <v>1057</v>
      </c>
      <c r="DO146" s="675">
        <v>0</v>
      </c>
      <c r="DP146" s="675">
        <v>0</v>
      </c>
      <c r="DQ146" s="675">
        <v>0</v>
      </c>
      <c r="DR146" s="675">
        <v>0</v>
      </c>
      <c r="DS146" s="675">
        <v>0</v>
      </c>
      <c r="DT146" s="675">
        <v>0</v>
      </c>
      <c r="DU146" s="675">
        <v>0</v>
      </c>
      <c r="DV146" s="675">
        <v>0</v>
      </c>
      <c r="DW146" s="675">
        <v>0</v>
      </c>
      <c r="DX146" s="675">
        <v>0</v>
      </c>
      <c r="DY146" s="675">
        <v>0</v>
      </c>
      <c r="DZ146" s="675">
        <v>0</v>
      </c>
      <c r="EA146" s="675">
        <v>0</v>
      </c>
      <c r="EB146" s="675">
        <v>0</v>
      </c>
      <c r="EC146" s="675">
        <v>14.256</v>
      </c>
      <c r="ED146" s="675">
        <v>100989</v>
      </c>
      <c r="EE146" s="675">
        <v>0</v>
      </c>
      <c r="EF146" s="675">
        <v>0</v>
      </c>
      <c r="EG146" s="675">
        <v>0</v>
      </c>
      <c r="EH146" s="675">
        <v>177561</v>
      </c>
      <c r="EI146" s="675">
        <v>0</v>
      </c>
      <c r="EJ146" s="675">
        <v>0</v>
      </c>
      <c r="EK146" s="675">
        <v>8.4550000000000001</v>
      </c>
      <c r="EL146" s="675">
        <v>0</v>
      </c>
      <c r="EM146" s="675">
        <v>0.89</v>
      </c>
      <c r="EN146" s="675">
        <v>0.158</v>
      </c>
      <c r="EO146" s="675">
        <v>0</v>
      </c>
      <c r="EP146" s="675">
        <v>0</v>
      </c>
      <c r="EQ146" s="675">
        <v>9.5030000000000001</v>
      </c>
      <c r="ER146" s="675">
        <v>0</v>
      </c>
      <c r="ES146" s="675">
        <v>28.825000000000003</v>
      </c>
      <c r="ET146" s="675">
        <v>0</v>
      </c>
      <c r="EU146" s="675">
        <v>0</v>
      </c>
      <c r="EV146" s="675">
        <v>0</v>
      </c>
      <c r="EW146" s="675">
        <v>0</v>
      </c>
      <c r="EX146" s="675">
        <v>0</v>
      </c>
      <c r="EY146" s="675">
        <v>0</v>
      </c>
      <c r="EZ146" s="675">
        <v>2813298</v>
      </c>
      <c r="FA146" s="675">
        <v>0</v>
      </c>
      <c r="FB146" s="675">
        <v>2934876</v>
      </c>
      <c r="FC146" s="675">
        <v>0</v>
      </c>
      <c r="FD146" s="675">
        <v>0</v>
      </c>
      <c r="FE146" s="675">
        <v>298648</v>
      </c>
      <c r="FF146" s="675">
        <v>61771</v>
      </c>
      <c r="FG146" s="675">
        <v>6.3574999999999993E-2</v>
      </c>
      <c r="FH146" s="675">
        <v>2.6298999999999999E-2</v>
      </c>
      <c r="FI146" s="675">
        <v>0</v>
      </c>
      <c r="FJ146" s="675">
        <v>0</v>
      </c>
      <c r="FK146" s="675">
        <v>476.62100000000004</v>
      </c>
      <c r="FL146" s="675">
        <v>3349935</v>
      </c>
      <c r="FM146" s="675">
        <v>0</v>
      </c>
      <c r="FN146" s="675">
        <v>0</v>
      </c>
      <c r="FO146" s="675">
        <v>0</v>
      </c>
      <c r="FP146" s="675">
        <v>0</v>
      </c>
      <c r="FQ146" s="675">
        <v>0</v>
      </c>
      <c r="FR146" s="675">
        <v>0</v>
      </c>
      <c r="FS146" s="675">
        <v>0</v>
      </c>
      <c r="FT146" s="675">
        <v>0</v>
      </c>
      <c r="FU146" s="675">
        <v>0</v>
      </c>
      <c r="FV146" s="675">
        <v>0</v>
      </c>
      <c r="FW146" s="675">
        <v>0</v>
      </c>
      <c r="FX146" s="675">
        <v>0</v>
      </c>
      <c r="FY146" s="675">
        <v>0</v>
      </c>
      <c r="FZ146" s="675">
        <v>0</v>
      </c>
      <c r="GA146" s="675">
        <v>0</v>
      </c>
      <c r="GB146" s="675">
        <v>0</v>
      </c>
      <c r="GC146" s="675">
        <v>0</v>
      </c>
      <c r="GD146" s="675">
        <v>0</v>
      </c>
      <c r="GE146" s="675">
        <v>0</v>
      </c>
      <c r="GF146" s="675">
        <v>0</v>
      </c>
      <c r="GG146" s="675">
        <v>0</v>
      </c>
      <c r="GH146" s="675">
        <v>0</v>
      </c>
      <c r="GI146" s="675">
        <v>0</v>
      </c>
      <c r="GJ146" s="675">
        <v>0</v>
      </c>
      <c r="GK146" s="675">
        <v>0</v>
      </c>
      <c r="GL146" s="675">
        <v>0</v>
      </c>
      <c r="GM146" s="675">
        <v>0</v>
      </c>
      <c r="GN146" s="675">
        <v>0</v>
      </c>
      <c r="GO146" s="675">
        <v>0</v>
      </c>
      <c r="GP146" s="675">
        <v>0</v>
      </c>
      <c r="GQ146" s="675">
        <v>0</v>
      </c>
      <c r="GR146" s="675">
        <v>0</v>
      </c>
      <c r="GS146" s="675">
        <v>0</v>
      </c>
      <c r="GT146" s="675">
        <v>0</v>
      </c>
      <c r="GU146" s="675">
        <v>0</v>
      </c>
      <c r="GV146" s="675">
        <v>0</v>
      </c>
      <c r="GW146" s="675">
        <v>0</v>
      </c>
      <c r="GX146" s="675">
        <v>0</v>
      </c>
      <c r="GY146" s="675">
        <v>0</v>
      </c>
      <c r="GZ146" s="675">
        <v>0</v>
      </c>
      <c r="HA146" s="675">
        <v>0</v>
      </c>
      <c r="HB146" s="675">
        <v>298386780</v>
      </c>
      <c r="HC146" s="675">
        <v>4.5690999999999996E-2</v>
      </c>
      <c r="HD146" s="675">
        <v>54640</v>
      </c>
      <c r="HE146" s="675">
        <v>0</v>
      </c>
      <c r="HF146" s="675">
        <v>318408</v>
      </c>
      <c r="HG146" s="675">
        <v>3696</v>
      </c>
      <c r="HH146" s="675">
        <v>75144</v>
      </c>
      <c r="HI146" s="675">
        <v>0</v>
      </c>
      <c r="HJ146" s="675">
        <v>2906</v>
      </c>
      <c r="HK146" s="675">
        <v>0</v>
      </c>
      <c r="HL146" s="675">
        <v>0</v>
      </c>
      <c r="HM146" s="675">
        <v>0</v>
      </c>
      <c r="HN146" s="675">
        <v>0</v>
      </c>
      <c r="HO146" s="675">
        <v>0</v>
      </c>
      <c r="HP146" s="675">
        <v>0</v>
      </c>
      <c r="HQ146" s="675">
        <v>0</v>
      </c>
      <c r="HR146" s="675">
        <v>0</v>
      </c>
      <c r="HS146" s="675">
        <v>2812202</v>
      </c>
      <c r="HT146" s="675">
        <v>61771</v>
      </c>
      <c r="HU146" s="675">
        <v>0</v>
      </c>
      <c r="HV146" s="675">
        <v>0</v>
      </c>
      <c r="HW146" s="675">
        <v>0</v>
      </c>
      <c r="HX146" s="675">
        <v>42</v>
      </c>
      <c r="HY146" s="675">
        <v>30</v>
      </c>
      <c r="HZ146" s="675">
        <v>33</v>
      </c>
      <c r="IA146" s="675">
        <v>43</v>
      </c>
      <c r="IB146" s="675">
        <v>145</v>
      </c>
      <c r="IC146" s="675">
        <v>293</v>
      </c>
      <c r="ID146" s="675">
        <v>0</v>
      </c>
      <c r="IE146" s="675">
        <v>0</v>
      </c>
      <c r="IF146" s="675">
        <v>0</v>
      </c>
      <c r="IG146" s="675">
        <v>6</v>
      </c>
      <c r="IH146" s="675">
        <v>121.988</v>
      </c>
      <c r="II146" s="675">
        <v>0</v>
      </c>
      <c r="IJ146" s="675">
        <v>0</v>
      </c>
      <c r="IK146" s="675">
        <v>0</v>
      </c>
      <c r="IL146" s="675">
        <v>0</v>
      </c>
      <c r="IM146" s="675">
        <v>0</v>
      </c>
      <c r="IN146" s="675">
        <v>0</v>
      </c>
      <c r="IO146" s="675">
        <v>0</v>
      </c>
      <c r="IP146" s="675">
        <v>0</v>
      </c>
      <c r="IQ146" s="675">
        <v>0</v>
      </c>
      <c r="IR146" s="675">
        <v>0</v>
      </c>
      <c r="IS146" s="675">
        <v>0</v>
      </c>
      <c r="IT146" s="675">
        <v>0</v>
      </c>
      <c r="IU146" s="675">
        <v>0</v>
      </c>
      <c r="IV146" s="675">
        <v>0</v>
      </c>
      <c r="IW146" s="675">
        <v>6160</v>
      </c>
      <c r="IX146" s="675">
        <v>0</v>
      </c>
      <c r="IY146" s="675">
        <v>0</v>
      </c>
      <c r="IZ146" s="675">
        <v>0</v>
      </c>
      <c r="JA146" s="675">
        <v>0</v>
      </c>
      <c r="JB146" s="675">
        <v>0</v>
      </c>
      <c r="JC146" s="675">
        <v>0</v>
      </c>
      <c r="JD146" s="675">
        <v>0</v>
      </c>
      <c r="JE146" s="675">
        <v>0</v>
      </c>
      <c r="JF146" s="675">
        <v>0</v>
      </c>
      <c r="JG146" s="675">
        <v>0</v>
      </c>
      <c r="JH146" s="675">
        <v>0</v>
      </c>
      <c r="JI146" s="675">
        <v>0</v>
      </c>
      <c r="JJ146" s="675">
        <v>0</v>
      </c>
      <c r="JK146" s="675">
        <v>0</v>
      </c>
      <c r="JL146" s="675">
        <v>0</v>
      </c>
      <c r="JM146" s="675">
        <v>0</v>
      </c>
      <c r="JN146" s="675">
        <v>32469</v>
      </c>
      <c r="JO146" s="675">
        <v>0</v>
      </c>
      <c r="JP146" s="675">
        <v>0</v>
      </c>
      <c r="JQ146" s="675">
        <v>0</v>
      </c>
      <c r="JR146" s="675">
        <v>0</v>
      </c>
      <c r="JS146" s="675">
        <v>0</v>
      </c>
      <c r="JT146" s="675">
        <v>0</v>
      </c>
      <c r="JU146" s="675">
        <v>6109</v>
      </c>
      <c r="JV146" s="675">
        <v>0</v>
      </c>
      <c r="JW146" s="675">
        <v>0</v>
      </c>
      <c r="JX146" s="675">
        <v>0</v>
      </c>
      <c r="JY146" s="675">
        <v>0</v>
      </c>
      <c r="JZ146" s="675">
        <v>0</v>
      </c>
      <c r="KA146" s="675">
        <v>0</v>
      </c>
      <c r="KB146" s="675">
        <v>0</v>
      </c>
      <c r="KC146" s="675">
        <v>0</v>
      </c>
      <c r="KD146" s="675">
        <v>6109</v>
      </c>
      <c r="KE146" s="675">
        <v>7260</v>
      </c>
      <c r="KF146" s="675">
        <v>0</v>
      </c>
      <c r="KG146" s="675">
        <v>0</v>
      </c>
      <c r="KH146" s="675">
        <v>0</v>
      </c>
      <c r="KI146" s="675">
        <v>0</v>
      </c>
    </row>
    <row r="147" spans="1:295" ht="12.5" x14ac:dyDescent="0.25">
      <c r="A147" s="675">
        <v>35795</v>
      </c>
      <c r="B147" s="675">
        <v>101837</v>
      </c>
      <c r="C147" s="675">
        <v>9</v>
      </c>
      <c r="D147" s="675">
        <v>2022</v>
      </c>
      <c r="E147" s="675">
        <v>6160</v>
      </c>
      <c r="F147" s="675">
        <v>0</v>
      </c>
      <c r="G147" s="675">
        <v>294.03500000000003</v>
      </c>
      <c r="H147" s="675">
        <v>232.79</v>
      </c>
      <c r="I147" s="675">
        <v>232.79</v>
      </c>
      <c r="J147" s="675">
        <v>294.03500000000003</v>
      </c>
      <c r="K147" s="675">
        <v>0</v>
      </c>
      <c r="L147" s="675">
        <v>6160</v>
      </c>
      <c r="M147" s="675">
        <v>0</v>
      </c>
      <c r="N147" s="675">
        <v>0</v>
      </c>
      <c r="O147" s="675">
        <v>0</v>
      </c>
      <c r="P147" s="675">
        <v>289.60400000000004</v>
      </c>
      <c r="Q147" s="675">
        <v>0</v>
      </c>
      <c r="R147" s="675">
        <v>116545</v>
      </c>
      <c r="S147" s="675">
        <v>402.428</v>
      </c>
      <c r="T147" s="675">
        <v>0</v>
      </c>
      <c r="U147" s="675">
        <v>61975</v>
      </c>
      <c r="V147" s="675">
        <v>18.778000000000002</v>
      </c>
      <c r="W147" s="675">
        <v>11567</v>
      </c>
      <c r="X147" s="675">
        <v>11567</v>
      </c>
      <c r="Y147" s="675">
        <v>0</v>
      </c>
      <c r="Z147" s="675">
        <v>0</v>
      </c>
      <c r="AA147" s="675">
        <v>0</v>
      </c>
      <c r="AB147" s="675">
        <v>0</v>
      </c>
      <c r="AC147" s="675">
        <v>0</v>
      </c>
      <c r="AD147" s="675" t="s">
        <v>316</v>
      </c>
      <c r="AE147" s="675">
        <v>0</v>
      </c>
      <c r="AF147" s="675">
        <v>0</v>
      </c>
      <c r="AG147" s="675">
        <v>0</v>
      </c>
      <c r="AH147" s="675">
        <v>0</v>
      </c>
      <c r="AI147" s="675">
        <v>0</v>
      </c>
      <c r="AJ147" s="675">
        <v>6160</v>
      </c>
      <c r="AK147" s="675" t="s">
        <v>671</v>
      </c>
      <c r="AL147" s="675" t="s">
        <v>12</v>
      </c>
      <c r="AM147" s="675">
        <v>0</v>
      </c>
      <c r="AN147" s="675">
        <v>0</v>
      </c>
      <c r="AO147" s="675">
        <v>0</v>
      </c>
      <c r="AP147" s="675">
        <v>0</v>
      </c>
      <c r="AQ147" s="675">
        <v>0</v>
      </c>
      <c r="AR147" s="675">
        <v>0</v>
      </c>
      <c r="AS147" s="675">
        <v>0</v>
      </c>
      <c r="AT147" s="675">
        <v>0</v>
      </c>
      <c r="AU147" s="675">
        <v>0</v>
      </c>
      <c r="AV147" s="675">
        <v>0</v>
      </c>
      <c r="AW147" s="675">
        <v>3004004</v>
      </c>
      <c r="AX147" s="675">
        <v>2951026</v>
      </c>
      <c r="AY147" s="675">
        <v>2004202</v>
      </c>
      <c r="AZ147" s="675">
        <v>116545</v>
      </c>
      <c r="BA147" s="675">
        <v>0</v>
      </c>
      <c r="BB147" s="675">
        <v>0</v>
      </c>
      <c r="BC147" s="675">
        <v>0</v>
      </c>
      <c r="BD147" s="675">
        <v>0</v>
      </c>
      <c r="BE147" s="675">
        <v>0</v>
      </c>
      <c r="BF147" s="675">
        <v>2712603</v>
      </c>
      <c r="BG147" s="675">
        <v>0</v>
      </c>
      <c r="BH147" s="675">
        <v>0</v>
      </c>
      <c r="BI147" s="675">
        <v>0</v>
      </c>
      <c r="BJ147" s="675">
        <v>12</v>
      </c>
      <c r="BK147" s="675">
        <v>0</v>
      </c>
      <c r="BL147" s="675">
        <v>0</v>
      </c>
      <c r="BM147" s="675">
        <v>0</v>
      </c>
      <c r="BN147" s="675">
        <v>0</v>
      </c>
      <c r="BO147" s="675">
        <v>0</v>
      </c>
      <c r="BP147" s="675">
        <v>0</v>
      </c>
      <c r="BQ147" s="675">
        <v>734</v>
      </c>
      <c r="BR147" s="675">
        <v>0</v>
      </c>
      <c r="BS147" s="675">
        <v>0</v>
      </c>
      <c r="BT147" s="675">
        <v>0</v>
      </c>
      <c r="BU147" s="675">
        <v>0</v>
      </c>
      <c r="BV147" s="675">
        <v>0</v>
      </c>
      <c r="BW147" s="675">
        <v>0</v>
      </c>
      <c r="BX147" s="675">
        <v>0</v>
      </c>
      <c r="BY147" s="675">
        <v>0</v>
      </c>
      <c r="BZ147" s="675">
        <v>0</v>
      </c>
      <c r="CA147" s="675">
        <v>0</v>
      </c>
      <c r="CB147" s="675">
        <v>0</v>
      </c>
      <c r="CC147" s="675">
        <v>0</v>
      </c>
      <c r="CD147" s="675">
        <v>0</v>
      </c>
      <c r="CE147" s="675">
        <v>0</v>
      </c>
      <c r="CF147" s="675">
        <v>0</v>
      </c>
      <c r="CG147" s="675">
        <v>0</v>
      </c>
      <c r="CH147" s="675">
        <v>53739</v>
      </c>
      <c r="CI147" s="675">
        <v>0</v>
      </c>
      <c r="CJ147" s="675">
        <v>4</v>
      </c>
      <c r="CK147" s="675">
        <v>0</v>
      </c>
      <c r="CL147" s="675">
        <v>0</v>
      </c>
      <c r="CM147" s="675">
        <v>0</v>
      </c>
      <c r="CN147" s="675">
        <v>0</v>
      </c>
      <c r="CO147" s="675">
        <v>1</v>
      </c>
      <c r="CP147" s="675">
        <v>0</v>
      </c>
      <c r="CQ147" s="675">
        <v>0</v>
      </c>
      <c r="CR147" s="675">
        <v>308.35000000000002</v>
      </c>
      <c r="CS147" s="675">
        <v>0</v>
      </c>
      <c r="CT147" s="675">
        <v>0</v>
      </c>
      <c r="CU147" s="675">
        <v>0</v>
      </c>
      <c r="CV147" s="675">
        <v>0</v>
      </c>
      <c r="CW147" s="675">
        <v>0</v>
      </c>
      <c r="CX147" s="675">
        <v>0</v>
      </c>
      <c r="CY147" s="675">
        <v>0</v>
      </c>
      <c r="CZ147" s="675">
        <v>0</v>
      </c>
      <c r="DA147" s="675">
        <v>0</v>
      </c>
      <c r="DB147" s="675">
        <v>1433980</v>
      </c>
      <c r="DC147" s="675">
        <v>0</v>
      </c>
      <c r="DD147" s="675">
        <v>0</v>
      </c>
      <c r="DE147" s="675">
        <v>204511</v>
      </c>
      <c r="DF147" s="675">
        <v>204511</v>
      </c>
      <c r="DG147" s="675">
        <v>33.200000000000003</v>
      </c>
      <c r="DH147" s="675">
        <v>0</v>
      </c>
      <c r="DI147" s="675">
        <v>0</v>
      </c>
      <c r="DJ147" s="675">
        <v>0</v>
      </c>
      <c r="DK147" s="675">
        <v>3369</v>
      </c>
      <c r="DL147" s="675">
        <v>0</v>
      </c>
      <c r="DM147" s="675">
        <v>199906</v>
      </c>
      <c r="DN147" s="675">
        <v>761</v>
      </c>
      <c r="DO147" s="675">
        <v>0</v>
      </c>
      <c r="DP147" s="675">
        <v>0</v>
      </c>
      <c r="DQ147" s="675">
        <v>0</v>
      </c>
      <c r="DR147" s="675">
        <v>0</v>
      </c>
      <c r="DS147" s="675">
        <v>0</v>
      </c>
      <c r="DT147" s="675">
        <v>0</v>
      </c>
      <c r="DU147" s="675">
        <v>0</v>
      </c>
      <c r="DV147" s="675">
        <v>0</v>
      </c>
      <c r="DW147" s="675">
        <v>0</v>
      </c>
      <c r="DX147" s="675">
        <v>0</v>
      </c>
      <c r="DY147" s="675">
        <v>0</v>
      </c>
      <c r="DZ147" s="675">
        <v>0</v>
      </c>
      <c r="EA147" s="675">
        <v>0</v>
      </c>
      <c r="EB147" s="675">
        <v>0</v>
      </c>
      <c r="EC147" s="675">
        <v>27.853000000000002</v>
      </c>
      <c r="ED147" s="675">
        <v>197310</v>
      </c>
      <c r="EE147" s="675">
        <v>0</v>
      </c>
      <c r="EF147" s="675">
        <v>0</v>
      </c>
      <c r="EG147" s="675">
        <v>0</v>
      </c>
      <c r="EH147" s="675">
        <v>3357</v>
      </c>
      <c r="EI147" s="675">
        <v>0</v>
      </c>
      <c r="EJ147" s="675">
        <v>0</v>
      </c>
      <c r="EK147" s="675">
        <v>0</v>
      </c>
      <c r="EL147" s="675">
        <v>0</v>
      </c>
      <c r="EM147" s="675">
        <v>0</v>
      </c>
      <c r="EN147" s="675">
        <v>0.109</v>
      </c>
      <c r="EO147" s="675">
        <v>0</v>
      </c>
      <c r="EP147" s="675">
        <v>0</v>
      </c>
      <c r="EQ147" s="675">
        <v>0.109</v>
      </c>
      <c r="ER147" s="675">
        <v>0</v>
      </c>
      <c r="ES147" s="675">
        <v>0.54500000000000004</v>
      </c>
      <c r="ET147" s="675">
        <v>0</v>
      </c>
      <c r="EU147" s="675">
        <v>0</v>
      </c>
      <c r="EV147" s="675">
        <v>0</v>
      </c>
      <c r="EW147" s="675">
        <v>0</v>
      </c>
      <c r="EX147" s="675">
        <v>0</v>
      </c>
      <c r="EY147" s="675">
        <v>0</v>
      </c>
      <c r="EZ147" s="675">
        <v>2618028</v>
      </c>
      <c r="FA147" s="675">
        <v>0</v>
      </c>
      <c r="FB147" s="675">
        <v>2733812</v>
      </c>
      <c r="FC147" s="675">
        <v>0</v>
      </c>
      <c r="FD147" s="675">
        <v>0</v>
      </c>
      <c r="FE147" s="675">
        <v>275927</v>
      </c>
      <c r="FF147" s="675">
        <v>57071</v>
      </c>
      <c r="FG147" s="675">
        <v>6.3574999999999993E-2</v>
      </c>
      <c r="FH147" s="675">
        <v>2.6298999999999999E-2</v>
      </c>
      <c r="FI147" s="675">
        <v>0</v>
      </c>
      <c r="FJ147" s="675">
        <v>0</v>
      </c>
      <c r="FK147" s="675">
        <v>440.36</v>
      </c>
      <c r="FL147" s="675">
        <v>3120549</v>
      </c>
      <c r="FM147" s="675">
        <v>0</v>
      </c>
      <c r="FN147" s="675">
        <v>0</v>
      </c>
      <c r="FO147" s="675">
        <v>18945</v>
      </c>
      <c r="FP147" s="675">
        <v>0</v>
      </c>
      <c r="FQ147" s="675">
        <v>18945</v>
      </c>
      <c r="FR147" s="675">
        <v>18945</v>
      </c>
      <c r="FS147" s="675">
        <v>0</v>
      </c>
      <c r="FT147" s="675">
        <v>0</v>
      </c>
      <c r="FU147" s="675">
        <v>0</v>
      </c>
      <c r="FV147" s="675">
        <v>0</v>
      </c>
      <c r="FW147" s="675">
        <v>0</v>
      </c>
      <c r="FX147" s="675">
        <v>0</v>
      </c>
      <c r="FY147" s="675">
        <v>0</v>
      </c>
      <c r="FZ147" s="675">
        <v>0</v>
      </c>
      <c r="GA147" s="675">
        <v>0</v>
      </c>
      <c r="GB147" s="675">
        <v>558818</v>
      </c>
      <c r="GC147" s="675">
        <v>558818</v>
      </c>
      <c r="GD147" s="675">
        <v>61.136000000000003</v>
      </c>
      <c r="GE147" s="675">
        <v>0</v>
      </c>
      <c r="GF147" s="675">
        <v>0</v>
      </c>
      <c r="GG147" s="675">
        <v>0</v>
      </c>
      <c r="GH147" s="675">
        <v>0</v>
      </c>
      <c r="GI147" s="675">
        <v>0</v>
      </c>
      <c r="GJ147" s="675">
        <v>0</v>
      </c>
      <c r="GK147" s="675">
        <v>0</v>
      </c>
      <c r="GL147" s="675">
        <v>0</v>
      </c>
      <c r="GM147" s="675">
        <v>0</v>
      </c>
      <c r="GN147" s="675">
        <v>0</v>
      </c>
      <c r="GO147" s="675">
        <v>0</v>
      </c>
      <c r="GP147" s="675">
        <v>0</v>
      </c>
      <c r="GQ147" s="675">
        <v>0</v>
      </c>
      <c r="GR147" s="675">
        <v>0</v>
      </c>
      <c r="GS147" s="675">
        <v>0</v>
      </c>
      <c r="GT147" s="675">
        <v>0</v>
      </c>
      <c r="GU147" s="675">
        <v>0</v>
      </c>
      <c r="GV147" s="675">
        <v>0</v>
      </c>
      <c r="GW147" s="675">
        <v>0</v>
      </c>
      <c r="GX147" s="675">
        <v>0</v>
      </c>
      <c r="GY147" s="675">
        <v>0</v>
      </c>
      <c r="GZ147" s="675">
        <v>0</v>
      </c>
      <c r="HA147" s="675">
        <v>0</v>
      </c>
      <c r="HB147" s="675">
        <v>298386780</v>
      </c>
      <c r="HC147" s="675">
        <v>4.5690999999999996E-2</v>
      </c>
      <c r="HD147" s="675">
        <v>53739</v>
      </c>
      <c r="HE147" s="675">
        <v>0</v>
      </c>
      <c r="HF147" s="675">
        <v>256069</v>
      </c>
      <c r="HG147" s="675">
        <v>5133</v>
      </c>
      <c r="HH147" s="675">
        <v>0</v>
      </c>
      <c r="HI147" s="675">
        <v>0</v>
      </c>
      <c r="HJ147" s="675">
        <v>2858</v>
      </c>
      <c r="HK147" s="675">
        <v>1773</v>
      </c>
      <c r="HL147" s="675">
        <v>1252</v>
      </c>
      <c r="HM147" s="675">
        <v>39000</v>
      </c>
      <c r="HN147" s="675">
        <v>0</v>
      </c>
      <c r="HO147" s="675">
        <v>0</v>
      </c>
      <c r="HP147" s="675">
        <v>0</v>
      </c>
      <c r="HQ147" s="675">
        <v>0</v>
      </c>
      <c r="HR147" s="675">
        <v>0</v>
      </c>
      <c r="HS147" s="675">
        <v>2617267</v>
      </c>
      <c r="HT147" s="675">
        <v>57071</v>
      </c>
      <c r="HU147" s="675">
        <v>0</v>
      </c>
      <c r="HV147" s="675">
        <v>0</v>
      </c>
      <c r="HW147" s="675">
        <v>0</v>
      </c>
      <c r="HX147" s="675">
        <v>42</v>
      </c>
      <c r="HY147" s="675">
        <v>81</v>
      </c>
      <c r="HZ147" s="675">
        <v>17</v>
      </c>
      <c r="IA147" s="675">
        <v>1</v>
      </c>
      <c r="IB147" s="675">
        <v>0</v>
      </c>
      <c r="IC147" s="675">
        <v>141</v>
      </c>
      <c r="ID147" s="675">
        <v>0</v>
      </c>
      <c r="IE147" s="675">
        <v>0</v>
      </c>
      <c r="IF147" s="675">
        <v>0</v>
      </c>
      <c r="IG147" s="675">
        <v>8.3330000000000002</v>
      </c>
      <c r="IH147" s="675">
        <v>0</v>
      </c>
      <c r="II147" s="675">
        <v>0</v>
      </c>
      <c r="IJ147" s="675">
        <v>18.778000000000002</v>
      </c>
      <c r="IK147" s="675">
        <v>0</v>
      </c>
      <c r="IL147" s="675">
        <v>6</v>
      </c>
      <c r="IM147" s="675">
        <v>3</v>
      </c>
      <c r="IN147" s="675">
        <v>0</v>
      </c>
      <c r="IO147" s="675">
        <v>9</v>
      </c>
      <c r="IP147" s="675">
        <v>0</v>
      </c>
      <c r="IQ147" s="675">
        <v>18.778000000000002</v>
      </c>
      <c r="IR147" s="675">
        <v>11567</v>
      </c>
      <c r="IS147" s="675">
        <v>0</v>
      </c>
      <c r="IT147" s="675">
        <v>30000</v>
      </c>
      <c r="IU147" s="675">
        <v>9000</v>
      </c>
      <c r="IV147" s="675">
        <v>0</v>
      </c>
      <c r="IW147" s="675">
        <v>6160</v>
      </c>
      <c r="IX147" s="675">
        <v>0</v>
      </c>
      <c r="IY147" s="675">
        <v>0</v>
      </c>
      <c r="IZ147" s="675">
        <v>0</v>
      </c>
      <c r="JA147" s="675">
        <v>0</v>
      </c>
      <c r="JB147" s="675">
        <v>0</v>
      </c>
      <c r="JC147" s="675">
        <v>0</v>
      </c>
      <c r="JD147" s="675">
        <v>0</v>
      </c>
      <c r="JE147" s="675">
        <v>0</v>
      </c>
      <c r="JF147" s="675">
        <v>0</v>
      </c>
      <c r="JG147" s="675">
        <v>0</v>
      </c>
      <c r="JH147" s="675">
        <v>0</v>
      </c>
      <c r="JI147" s="675">
        <v>0</v>
      </c>
      <c r="JJ147" s="675">
        <v>0</v>
      </c>
      <c r="JK147" s="675">
        <v>0</v>
      </c>
      <c r="JL147" s="675">
        <v>0</v>
      </c>
      <c r="JM147" s="675">
        <v>0</v>
      </c>
      <c r="JN147" s="675">
        <v>32469</v>
      </c>
      <c r="JO147" s="675">
        <v>16.646000000000001</v>
      </c>
      <c r="JP147" s="675">
        <v>35.466999999999999</v>
      </c>
      <c r="JQ147" s="675">
        <v>9.0229999999999997</v>
      </c>
      <c r="JR147" s="675">
        <v>132935</v>
      </c>
      <c r="JS147" s="675">
        <v>329588</v>
      </c>
      <c r="JT147" s="675">
        <v>96295</v>
      </c>
      <c r="JU147" s="675">
        <v>0</v>
      </c>
      <c r="JV147" s="675">
        <v>0</v>
      </c>
      <c r="JW147" s="675">
        <v>0</v>
      </c>
      <c r="JX147" s="675">
        <v>0</v>
      </c>
      <c r="JY147" s="675">
        <v>0</v>
      </c>
      <c r="JZ147" s="675">
        <v>0</v>
      </c>
      <c r="KA147" s="675">
        <v>0</v>
      </c>
      <c r="KB147" s="675">
        <v>0</v>
      </c>
      <c r="KC147" s="675">
        <v>0</v>
      </c>
      <c r="KD147" s="675">
        <v>0</v>
      </c>
      <c r="KE147" s="675">
        <v>7260</v>
      </c>
      <c r="KF147" s="675">
        <v>0</v>
      </c>
      <c r="KG147" s="675">
        <v>0</v>
      </c>
      <c r="KH147" s="675">
        <v>0</v>
      </c>
      <c r="KI147" s="675">
        <v>0</v>
      </c>
    </row>
    <row r="148" spans="1:295" ht="12.5" x14ac:dyDescent="0.25">
      <c r="A148" s="675">
        <v>35795</v>
      </c>
      <c r="B148" s="675">
        <v>15838</v>
      </c>
      <c r="C148" s="675">
        <v>9</v>
      </c>
      <c r="D148" s="675">
        <v>2022</v>
      </c>
      <c r="E148" s="675">
        <v>6160</v>
      </c>
      <c r="F148" s="675">
        <v>0</v>
      </c>
      <c r="G148" s="675">
        <v>1572.6880000000001</v>
      </c>
      <c r="H148" s="675">
        <v>1524.8030000000001</v>
      </c>
      <c r="I148" s="675">
        <v>1524.8030000000001</v>
      </c>
      <c r="J148" s="675">
        <v>1572.6880000000001</v>
      </c>
      <c r="K148" s="675">
        <v>0</v>
      </c>
      <c r="L148" s="675">
        <v>6160</v>
      </c>
      <c r="M148" s="675">
        <v>0</v>
      </c>
      <c r="N148" s="675">
        <v>0</v>
      </c>
      <c r="O148" s="675">
        <v>0</v>
      </c>
      <c r="P148" s="675">
        <v>1040.2860000000001</v>
      </c>
      <c r="Q148" s="675">
        <v>0</v>
      </c>
      <c r="R148" s="675">
        <v>418640</v>
      </c>
      <c r="S148" s="675">
        <v>402.428</v>
      </c>
      <c r="T148" s="675">
        <v>0</v>
      </c>
      <c r="U148" s="675">
        <v>222622</v>
      </c>
      <c r="V148" s="675">
        <v>221.82</v>
      </c>
      <c r="W148" s="675">
        <v>136640</v>
      </c>
      <c r="X148" s="675">
        <v>136640</v>
      </c>
      <c r="Y148" s="675">
        <v>0</v>
      </c>
      <c r="Z148" s="675">
        <v>0</v>
      </c>
      <c r="AA148" s="675">
        <v>0</v>
      </c>
      <c r="AB148" s="675">
        <v>0</v>
      </c>
      <c r="AC148" s="675">
        <v>0</v>
      </c>
      <c r="AD148" s="675" t="s">
        <v>316</v>
      </c>
      <c r="AE148" s="675">
        <v>0</v>
      </c>
      <c r="AF148" s="675">
        <v>0</v>
      </c>
      <c r="AG148" s="675">
        <v>0</v>
      </c>
      <c r="AH148" s="675">
        <v>0</v>
      </c>
      <c r="AI148" s="675">
        <v>0</v>
      </c>
      <c r="AJ148" s="675">
        <v>6160</v>
      </c>
      <c r="AK148" s="675" t="s">
        <v>671</v>
      </c>
      <c r="AL148" s="675" t="s">
        <v>792</v>
      </c>
      <c r="AM148" s="675">
        <v>0</v>
      </c>
      <c r="AN148" s="675">
        <v>0</v>
      </c>
      <c r="AO148" s="675">
        <v>0</v>
      </c>
      <c r="AP148" s="675">
        <v>0</v>
      </c>
      <c r="AQ148" s="675">
        <v>0</v>
      </c>
      <c r="AR148" s="675">
        <v>0</v>
      </c>
      <c r="AS148" s="675">
        <v>0</v>
      </c>
      <c r="AT148" s="675">
        <v>0</v>
      </c>
      <c r="AU148" s="675">
        <v>0</v>
      </c>
      <c r="AV148" s="675">
        <v>-210853</v>
      </c>
      <c r="AW148" s="675">
        <v>18974768</v>
      </c>
      <c r="AX148" s="675">
        <v>17248360</v>
      </c>
      <c r="AY148" s="675">
        <v>14909575</v>
      </c>
      <c r="AZ148" s="675">
        <v>418640</v>
      </c>
      <c r="BA148" s="675">
        <v>0</v>
      </c>
      <c r="BB148" s="675">
        <v>0</v>
      </c>
      <c r="BC148" s="675">
        <v>0</v>
      </c>
      <c r="BD148" s="675">
        <v>0</v>
      </c>
      <c r="BE148" s="675">
        <v>0</v>
      </c>
      <c r="BF148" s="675">
        <v>15163702</v>
      </c>
      <c r="BG148" s="675">
        <v>0</v>
      </c>
      <c r="BH148" s="675">
        <v>0</v>
      </c>
      <c r="BI148" s="675">
        <v>0</v>
      </c>
      <c r="BJ148" s="675">
        <v>12</v>
      </c>
      <c r="BK148" s="675">
        <v>0</v>
      </c>
      <c r="BL148" s="675">
        <v>0</v>
      </c>
      <c r="BM148" s="675">
        <v>0</v>
      </c>
      <c r="BN148" s="675">
        <v>0</v>
      </c>
      <c r="BO148" s="675">
        <v>0</v>
      </c>
      <c r="BP148" s="675">
        <v>0</v>
      </c>
      <c r="BQ148" s="675">
        <v>535</v>
      </c>
      <c r="BR148" s="675">
        <v>0</v>
      </c>
      <c r="BS148" s="675">
        <v>0</v>
      </c>
      <c r="BT148" s="675">
        <v>0</v>
      </c>
      <c r="BU148" s="675">
        <v>0</v>
      </c>
      <c r="BV148" s="675">
        <v>0</v>
      </c>
      <c r="BW148" s="675">
        <v>0</v>
      </c>
      <c r="BX148" s="675">
        <v>0</v>
      </c>
      <c r="BY148" s="675">
        <v>0</v>
      </c>
      <c r="BZ148" s="675">
        <v>0</v>
      </c>
      <c r="CA148" s="675">
        <v>601.48200000000008</v>
      </c>
      <c r="CB148" s="675">
        <v>512927</v>
      </c>
      <c r="CC148" s="675">
        <v>0</v>
      </c>
      <c r="CD148" s="675">
        <v>0</v>
      </c>
      <c r="CE148" s="675">
        <v>0</v>
      </c>
      <c r="CF148" s="675">
        <v>0</v>
      </c>
      <c r="CG148" s="675">
        <v>0</v>
      </c>
      <c r="CH148" s="675">
        <v>1730589</v>
      </c>
      <c r="CI148" s="675">
        <v>0</v>
      </c>
      <c r="CJ148" s="675">
        <v>5</v>
      </c>
      <c r="CK148" s="675">
        <v>0</v>
      </c>
      <c r="CL148" s="675">
        <v>0</v>
      </c>
      <c r="CM148" s="675">
        <v>0</v>
      </c>
      <c r="CN148" s="675">
        <v>0</v>
      </c>
      <c r="CO148" s="675">
        <v>1</v>
      </c>
      <c r="CP148" s="675">
        <v>0</v>
      </c>
      <c r="CQ148" s="675">
        <v>0</v>
      </c>
      <c r="CR148" s="675">
        <v>1036.1090000000002</v>
      </c>
      <c r="CS148" s="675">
        <v>0</v>
      </c>
      <c r="CT148" s="675">
        <v>0</v>
      </c>
      <c r="CU148" s="675">
        <v>0</v>
      </c>
      <c r="CV148" s="675">
        <v>0</v>
      </c>
      <c r="CW148" s="675">
        <v>0</v>
      </c>
      <c r="CX148" s="675">
        <v>0</v>
      </c>
      <c r="CY148" s="675">
        <v>0</v>
      </c>
      <c r="CZ148" s="675">
        <v>0</v>
      </c>
      <c r="DA148" s="675">
        <v>0</v>
      </c>
      <c r="DB148" s="675">
        <v>9392743</v>
      </c>
      <c r="DC148" s="675">
        <v>0</v>
      </c>
      <c r="DD148" s="675">
        <v>0</v>
      </c>
      <c r="DE148" s="675">
        <v>2551768</v>
      </c>
      <c r="DF148" s="675">
        <v>2551768</v>
      </c>
      <c r="DG148" s="675">
        <v>414.25</v>
      </c>
      <c r="DH148" s="675">
        <v>0</v>
      </c>
      <c r="DI148" s="675">
        <v>0</v>
      </c>
      <c r="DJ148" s="675">
        <v>0</v>
      </c>
      <c r="DK148" s="675">
        <v>185</v>
      </c>
      <c r="DL148" s="675">
        <v>0</v>
      </c>
      <c r="DM148" s="675">
        <v>1097801</v>
      </c>
      <c r="DN148" s="675">
        <v>4181</v>
      </c>
      <c r="DO148" s="675">
        <v>0</v>
      </c>
      <c r="DP148" s="675">
        <v>0</v>
      </c>
      <c r="DQ148" s="675">
        <v>0</v>
      </c>
      <c r="DR148" s="675">
        <v>0</v>
      </c>
      <c r="DS148" s="675">
        <v>0</v>
      </c>
      <c r="DT148" s="675">
        <v>0</v>
      </c>
      <c r="DU148" s="675">
        <v>0</v>
      </c>
      <c r="DV148" s="675">
        <v>0</v>
      </c>
      <c r="DW148" s="675">
        <v>0</v>
      </c>
      <c r="DX148" s="675">
        <v>0</v>
      </c>
      <c r="DY148" s="675">
        <v>0</v>
      </c>
      <c r="DZ148" s="675">
        <v>0</v>
      </c>
      <c r="EA148" s="675">
        <v>0.53700000000000003</v>
      </c>
      <c r="EB148" s="675">
        <v>0</v>
      </c>
      <c r="EC148" s="675">
        <v>97.447000000000003</v>
      </c>
      <c r="ED148" s="675">
        <v>690311</v>
      </c>
      <c r="EE148" s="675">
        <v>0</v>
      </c>
      <c r="EF148" s="675">
        <v>0</v>
      </c>
      <c r="EG148" s="675">
        <v>0</v>
      </c>
      <c r="EH148" s="675">
        <v>411671</v>
      </c>
      <c r="EI148" s="675">
        <v>0</v>
      </c>
      <c r="EJ148" s="675">
        <v>0</v>
      </c>
      <c r="EK148" s="675">
        <v>1.403</v>
      </c>
      <c r="EL148" s="675">
        <v>0</v>
      </c>
      <c r="EM148" s="675">
        <v>14.782</v>
      </c>
      <c r="EN148" s="675">
        <v>3.1180000000000003</v>
      </c>
      <c r="EO148" s="675">
        <v>0</v>
      </c>
      <c r="EP148" s="675">
        <v>0</v>
      </c>
      <c r="EQ148" s="675">
        <v>19.84</v>
      </c>
      <c r="ER148" s="675">
        <v>0</v>
      </c>
      <c r="ES148" s="675">
        <v>66.83</v>
      </c>
      <c r="ET148" s="675">
        <v>0</v>
      </c>
      <c r="EU148" s="675">
        <v>0</v>
      </c>
      <c r="EV148" s="675">
        <v>0</v>
      </c>
      <c r="EW148" s="675">
        <v>0</v>
      </c>
      <c r="EX148" s="675">
        <v>0</v>
      </c>
      <c r="EY148" s="675">
        <v>0</v>
      </c>
      <c r="EZ148" s="675">
        <v>15386867</v>
      </c>
      <c r="FA148" s="675">
        <v>0</v>
      </c>
      <c r="FB148" s="675">
        <v>15801326</v>
      </c>
      <c r="FC148" s="675">
        <v>0</v>
      </c>
      <c r="FD148" s="675">
        <v>0</v>
      </c>
      <c r="FE148" s="675">
        <v>1542459</v>
      </c>
      <c r="FF148" s="675">
        <v>319034</v>
      </c>
      <c r="FG148" s="675">
        <v>6.3574999999999993E-2</v>
      </c>
      <c r="FH148" s="675">
        <v>2.6298999999999999E-2</v>
      </c>
      <c r="FI148" s="675">
        <v>0</v>
      </c>
      <c r="FJ148" s="675">
        <v>0</v>
      </c>
      <c r="FK148" s="675">
        <v>2461.6510000000003</v>
      </c>
      <c r="FL148" s="675">
        <v>19393408</v>
      </c>
      <c r="FM148" s="675">
        <v>0</v>
      </c>
      <c r="FN148" s="675">
        <v>0</v>
      </c>
      <c r="FO148" s="675">
        <v>106614</v>
      </c>
      <c r="FP148" s="675">
        <v>22178</v>
      </c>
      <c r="FQ148" s="675">
        <v>128792</v>
      </c>
      <c r="FR148" s="675">
        <v>106614</v>
      </c>
      <c r="FS148" s="675">
        <v>0</v>
      </c>
      <c r="FT148" s="675">
        <v>0</v>
      </c>
      <c r="FU148" s="675">
        <v>0</v>
      </c>
      <c r="FV148" s="675">
        <v>0</v>
      </c>
      <c r="FW148" s="675">
        <v>0</v>
      </c>
      <c r="FX148" s="675">
        <v>0</v>
      </c>
      <c r="FY148" s="675">
        <v>0</v>
      </c>
      <c r="FZ148" s="675">
        <v>0</v>
      </c>
      <c r="GA148" s="675">
        <v>0</v>
      </c>
      <c r="GB148" s="675">
        <v>236923</v>
      </c>
      <c r="GC148" s="675">
        <v>236923</v>
      </c>
      <c r="GD148" s="675">
        <v>28.045000000000002</v>
      </c>
      <c r="GE148" s="675">
        <v>0</v>
      </c>
      <c r="GF148" s="675">
        <v>0</v>
      </c>
      <c r="GG148" s="675">
        <v>0</v>
      </c>
      <c r="GH148" s="675">
        <v>0</v>
      </c>
      <c r="GI148" s="675">
        <v>0</v>
      </c>
      <c r="GJ148" s="675">
        <v>0</v>
      </c>
      <c r="GK148" s="675">
        <v>0</v>
      </c>
      <c r="GL148" s="675">
        <v>0</v>
      </c>
      <c r="GM148" s="675">
        <v>0</v>
      </c>
      <c r="GN148" s="675">
        <v>0</v>
      </c>
      <c r="GO148" s="675">
        <v>0</v>
      </c>
      <c r="GP148" s="675">
        <v>0</v>
      </c>
      <c r="GQ148" s="675">
        <v>0</v>
      </c>
      <c r="GR148" s="675">
        <v>0</v>
      </c>
      <c r="GS148" s="675">
        <v>0</v>
      </c>
      <c r="GT148" s="675">
        <v>0</v>
      </c>
      <c r="GU148" s="675">
        <v>0</v>
      </c>
      <c r="GV148" s="675">
        <v>0</v>
      </c>
      <c r="GW148" s="675">
        <v>0</v>
      </c>
      <c r="GX148" s="675">
        <v>0</v>
      </c>
      <c r="GY148" s="675">
        <v>0</v>
      </c>
      <c r="GZ148" s="675">
        <v>0</v>
      </c>
      <c r="HA148" s="675">
        <v>0</v>
      </c>
      <c r="HB148" s="675">
        <v>298386780</v>
      </c>
      <c r="HC148" s="675">
        <v>4.5690999999999996E-2</v>
      </c>
      <c r="HD148" s="675">
        <v>287429</v>
      </c>
      <c r="HE148" s="675">
        <v>0</v>
      </c>
      <c r="HF148" s="675">
        <v>1677283</v>
      </c>
      <c r="HG148" s="675">
        <v>36960</v>
      </c>
      <c r="HH148" s="675">
        <v>0</v>
      </c>
      <c r="HI148" s="675">
        <v>0</v>
      </c>
      <c r="HJ148" s="675">
        <v>15287</v>
      </c>
      <c r="HK148" s="675">
        <v>0</v>
      </c>
      <c r="HL148" s="675">
        <v>86</v>
      </c>
      <c r="HM148" s="675">
        <v>0</v>
      </c>
      <c r="HN148" s="675">
        <v>14116</v>
      </c>
      <c r="HO148" s="675">
        <v>0</v>
      </c>
      <c r="HP148" s="675">
        <v>0</v>
      </c>
      <c r="HQ148" s="675">
        <v>0</v>
      </c>
      <c r="HR148" s="675">
        <v>0</v>
      </c>
      <c r="HS148" s="675">
        <v>15382686</v>
      </c>
      <c r="HT148" s="675">
        <v>319034</v>
      </c>
      <c r="HU148" s="675">
        <v>0</v>
      </c>
      <c r="HV148" s="675">
        <v>0</v>
      </c>
      <c r="HW148" s="675">
        <v>0</v>
      </c>
      <c r="HX148" s="675">
        <v>117</v>
      </c>
      <c r="HY148" s="675">
        <v>237</v>
      </c>
      <c r="HZ148" s="675">
        <v>227</v>
      </c>
      <c r="IA148" s="675">
        <v>405</v>
      </c>
      <c r="IB148" s="675">
        <v>613</v>
      </c>
      <c r="IC148" s="675">
        <v>1599</v>
      </c>
      <c r="ID148" s="675">
        <v>0</v>
      </c>
      <c r="IE148" s="675">
        <v>0</v>
      </c>
      <c r="IF148" s="675">
        <v>0</v>
      </c>
      <c r="IG148" s="675">
        <v>60</v>
      </c>
      <c r="IH148" s="675">
        <v>0</v>
      </c>
      <c r="II148" s="675">
        <v>0</v>
      </c>
      <c r="IJ148" s="675">
        <v>221.82</v>
      </c>
      <c r="IK148" s="675">
        <v>0</v>
      </c>
      <c r="IL148" s="675">
        <v>0</v>
      </c>
      <c r="IM148" s="675">
        <v>0</v>
      </c>
      <c r="IN148" s="675">
        <v>0</v>
      </c>
      <c r="IO148" s="675">
        <v>0</v>
      </c>
      <c r="IP148" s="675">
        <v>0</v>
      </c>
      <c r="IQ148" s="675">
        <v>221.82</v>
      </c>
      <c r="IR148" s="675">
        <v>136640</v>
      </c>
      <c r="IS148" s="675">
        <v>0</v>
      </c>
      <c r="IT148" s="675">
        <v>0</v>
      </c>
      <c r="IU148" s="675">
        <v>0</v>
      </c>
      <c r="IV148" s="675">
        <v>0</v>
      </c>
      <c r="IW148" s="675">
        <v>6160</v>
      </c>
      <c r="IX148" s="675">
        <v>0</v>
      </c>
      <c r="IY148" s="675">
        <v>0</v>
      </c>
      <c r="IZ148" s="675">
        <v>0</v>
      </c>
      <c r="JA148" s="675">
        <v>0</v>
      </c>
      <c r="JB148" s="675">
        <v>0</v>
      </c>
      <c r="JC148" s="675">
        <v>0</v>
      </c>
      <c r="JD148" s="675">
        <v>0</v>
      </c>
      <c r="JE148" s="675">
        <v>0</v>
      </c>
      <c r="JF148" s="675">
        <v>2</v>
      </c>
      <c r="JG148" s="675">
        <v>14116</v>
      </c>
      <c r="JH148" s="675">
        <v>0</v>
      </c>
      <c r="JI148" s="675">
        <v>0</v>
      </c>
      <c r="JJ148" s="675">
        <v>0</v>
      </c>
      <c r="JK148" s="675">
        <v>0</v>
      </c>
      <c r="JL148" s="675">
        <v>0</v>
      </c>
      <c r="JM148" s="675">
        <v>0</v>
      </c>
      <c r="JN148" s="675">
        <v>32469</v>
      </c>
      <c r="JO148" s="675">
        <v>18.542000000000002</v>
      </c>
      <c r="JP148" s="675">
        <v>9.1130000000000013</v>
      </c>
      <c r="JQ148" s="675">
        <v>0.39</v>
      </c>
      <c r="JR148" s="675">
        <v>148076</v>
      </c>
      <c r="JS148" s="675">
        <v>84685</v>
      </c>
      <c r="JT148" s="675">
        <v>4162</v>
      </c>
      <c r="JU148" s="675">
        <v>0</v>
      </c>
      <c r="JV148" s="675">
        <v>0</v>
      </c>
      <c r="JW148" s="675">
        <v>0</v>
      </c>
      <c r="JX148" s="675">
        <v>0</v>
      </c>
      <c r="JY148" s="675">
        <v>0</v>
      </c>
      <c r="JZ148" s="675">
        <v>0</v>
      </c>
      <c r="KA148" s="675">
        <v>0</v>
      </c>
      <c r="KB148" s="675">
        <v>0</v>
      </c>
      <c r="KC148" s="675">
        <v>0</v>
      </c>
      <c r="KD148" s="675">
        <v>0</v>
      </c>
      <c r="KE148" s="675">
        <v>7260</v>
      </c>
      <c r="KF148" s="675">
        <v>1443160</v>
      </c>
      <c r="KG148" s="675">
        <v>0</v>
      </c>
      <c r="KH148" s="675">
        <v>0</v>
      </c>
      <c r="KI148" s="675">
        <v>0</v>
      </c>
    </row>
    <row r="149" spans="1:295" ht="12.5" x14ac:dyDescent="0.25">
      <c r="A149" s="675">
        <v>35795</v>
      </c>
      <c r="B149" s="675">
        <v>101838</v>
      </c>
      <c r="C149" s="675">
        <v>9</v>
      </c>
      <c r="D149" s="675">
        <v>2022</v>
      </c>
      <c r="E149" s="675">
        <v>6160</v>
      </c>
      <c r="F149" s="675">
        <v>0</v>
      </c>
      <c r="G149" s="675">
        <v>1428.2470000000001</v>
      </c>
      <c r="H149" s="675">
        <v>1364.116</v>
      </c>
      <c r="I149" s="675">
        <v>1364.116</v>
      </c>
      <c r="J149" s="675">
        <v>1428.2470000000001</v>
      </c>
      <c r="K149" s="675">
        <v>0</v>
      </c>
      <c r="L149" s="675">
        <v>6160</v>
      </c>
      <c r="M149" s="675">
        <v>0</v>
      </c>
      <c r="N149" s="675">
        <v>0</v>
      </c>
      <c r="O149" s="675">
        <v>0</v>
      </c>
      <c r="P149" s="675">
        <v>1446.308</v>
      </c>
      <c r="Q149" s="675">
        <v>0</v>
      </c>
      <c r="R149" s="675">
        <v>582035</v>
      </c>
      <c r="S149" s="675">
        <v>402.428</v>
      </c>
      <c r="T149" s="675">
        <v>0</v>
      </c>
      <c r="U149" s="675">
        <v>309512</v>
      </c>
      <c r="V149" s="675">
        <v>1011.303</v>
      </c>
      <c r="W149" s="675">
        <v>622960</v>
      </c>
      <c r="X149" s="675">
        <v>622960</v>
      </c>
      <c r="Y149" s="675">
        <v>0</v>
      </c>
      <c r="Z149" s="675">
        <v>0</v>
      </c>
      <c r="AA149" s="675">
        <v>0</v>
      </c>
      <c r="AB149" s="675">
        <v>0</v>
      </c>
      <c r="AC149" s="675">
        <v>0</v>
      </c>
      <c r="AD149" s="675" t="s">
        <v>316</v>
      </c>
      <c r="AE149" s="675">
        <v>0</v>
      </c>
      <c r="AF149" s="675">
        <v>0</v>
      </c>
      <c r="AG149" s="675">
        <v>0</v>
      </c>
      <c r="AH149" s="675">
        <v>0</v>
      </c>
      <c r="AI149" s="675">
        <v>0</v>
      </c>
      <c r="AJ149" s="675">
        <v>6160</v>
      </c>
      <c r="AK149" s="675" t="s">
        <v>671</v>
      </c>
      <c r="AL149" s="675" t="s">
        <v>13</v>
      </c>
      <c r="AM149" s="675">
        <v>0</v>
      </c>
      <c r="AN149" s="675">
        <v>0</v>
      </c>
      <c r="AO149" s="675">
        <v>0</v>
      </c>
      <c r="AP149" s="675">
        <v>0</v>
      </c>
      <c r="AQ149" s="675">
        <v>0</v>
      </c>
      <c r="AR149" s="675">
        <v>0</v>
      </c>
      <c r="AS149" s="675">
        <v>0</v>
      </c>
      <c r="AT149" s="675">
        <v>0</v>
      </c>
      <c r="AU149" s="675">
        <v>0</v>
      </c>
      <c r="AV149" s="675">
        <v>-1628</v>
      </c>
      <c r="AW149" s="675">
        <v>16344942</v>
      </c>
      <c r="AX149" s="675">
        <v>16088775</v>
      </c>
      <c r="AY149" s="675">
        <v>11274103</v>
      </c>
      <c r="AZ149" s="675">
        <v>582035</v>
      </c>
      <c r="BA149" s="675">
        <v>0</v>
      </c>
      <c r="BB149" s="675">
        <v>0</v>
      </c>
      <c r="BC149" s="675">
        <v>0</v>
      </c>
      <c r="BD149" s="675">
        <v>0</v>
      </c>
      <c r="BE149" s="675">
        <v>0</v>
      </c>
      <c r="BF149" s="675">
        <v>14760750</v>
      </c>
      <c r="BG149" s="675">
        <v>0</v>
      </c>
      <c r="BH149" s="675">
        <v>0</v>
      </c>
      <c r="BI149" s="675">
        <v>0</v>
      </c>
      <c r="BJ149" s="675">
        <v>12</v>
      </c>
      <c r="BK149" s="675">
        <v>0</v>
      </c>
      <c r="BL149" s="675">
        <v>0</v>
      </c>
      <c r="BM149" s="675">
        <v>0</v>
      </c>
      <c r="BN149" s="675">
        <v>0</v>
      </c>
      <c r="BO149" s="675">
        <v>0</v>
      </c>
      <c r="BP149" s="675">
        <v>0</v>
      </c>
      <c r="BQ149" s="675">
        <v>560</v>
      </c>
      <c r="BR149" s="675">
        <v>0</v>
      </c>
      <c r="BS149" s="675">
        <v>0</v>
      </c>
      <c r="BT149" s="675">
        <v>0</v>
      </c>
      <c r="BU149" s="675">
        <v>0</v>
      </c>
      <c r="BV149" s="675">
        <v>0</v>
      </c>
      <c r="BW149" s="675">
        <v>0</v>
      </c>
      <c r="BX149" s="675">
        <v>0</v>
      </c>
      <c r="BY149" s="675">
        <v>0</v>
      </c>
      <c r="BZ149" s="675">
        <v>0</v>
      </c>
      <c r="CA149" s="675">
        <v>0</v>
      </c>
      <c r="CB149" s="675">
        <v>0</v>
      </c>
      <c r="CC149" s="675">
        <v>0</v>
      </c>
      <c r="CD149" s="675">
        <v>0</v>
      </c>
      <c r="CE149" s="675">
        <v>0</v>
      </c>
      <c r="CF149" s="675">
        <v>0</v>
      </c>
      <c r="CG149" s="675">
        <v>0</v>
      </c>
      <c r="CH149" s="675">
        <v>261030</v>
      </c>
      <c r="CI149" s="675">
        <v>0</v>
      </c>
      <c r="CJ149" s="675">
        <v>4</v>
      </c>
      <c r="CK149" s="675">
        <v>0</v>
      </c>
      <c r="CL149" s="675">
        <v>0</v>
      </c>
      <c r="CM149" s="675">
        <v>0</v>
      </c>
      <c r="CN149" s="675">
        <v>0</v>
      </c>
      <c r="CO149" s="675">
        <v>1</v>
      </c>
      <c r="CP149" s="675">
        <v>0.154</v>
      </c>
      <c r="CQ149" s="675">
        <v>0</v>
      </c>
      <c r="CR149" s="675">
        <v>1496.828</v>
      </c>
      <c r="CS149" s="675">
        <v>0</v>
      </c>
      <c r="CT149" s="675">
        <v>0</v>
      </c>
      <c r="CU149" s="675">
        <v>0</v>
      </c>
      <c r="CV149" s="675">
        <v>0</v>
      </c>
      <c r="CW149" s="675">
        <v>0</v>
      </c>
      <c r="CX149" s="675">
        <v>0</v>
      </c>
      <c r="CY149" s="675">
        <v>0</v>
      </c>
      <c r="CZ149" s="675">
        <v>0</v>
      </c>
      <c r="DA149" s="675">
        <v>0</v>
      </c>
      <c r="DB149" s="675">
        <v>7883868</v>
      </c>
      <c r="DC149" s="675">
        <v>0</v>
      </c>
      <c r="DD149" s="675">
        <v>0</v>
      </c>
      <c r="DE149" s="675">
        <v>2183402</v>
      </c>
      <c r="DF149" s="675">
        <v>2205400</v>
      </c>
      <c r="DG149" s="675">
        <v>354.45</v>
      </c>
      <c r="DH149" s="675">
        <v>0</v>
      </c>
      <c r="DI149" s="675">
        <v>2286</v>
      </c>
      <c r="DJ149" s="675">
        <v>0</v>
      </c>
      <c r="DK149" s="675">
        <v>581</v>
      </c>
      <c r="DL149" s="675">
        <v>0</v>
      </c>
      <c r="DM149" s="675">
        <v>1795900</v>
      </c>
      <c r="DN149" s="675">
        <v>4863</v>
      </c>
      <c r="DO149" s="675">
        <v>0</v>
      </c>
      <c r="DP149" s="675">
        <v>0</v>
      </c>
      <c r="DQ149" s="675">
        <v>0</v>
      </c>
      <c r="DR149" s="675">
        <v>0</v>
      </c>
      <c r="DS149" s="675">
        <v>0</v>
      </c>
      <c r="DT149" s="675">
        <v>0</v>
      </c>
      <c r="DU149" s="675">
        <v>0</v>
      </c>
      <c r="DV149" s="675">
        <v>0</v>
      </c>
      <c r="DW149" s="675">
        <v>0</v>
      </c>
      <c r="DX149" s="675">
        <v>0</v>
      </c>
      <c r="DY149" s="675">
        <v>0</v>
      </c>
      <c r="DZ149" s="675">
        <v>0</v>
      </c>
      <c r="EA149" s="675">
        <v>0</v>
      </c>
      <c r="EB149" s="675">
        <v>0</v>
      </c>
      <c r="EC149" s="675">
        <v>45.338000000000001</v>
      </c>
      <c r="ED149" s="675">
        <v>321173</v>
      </c>
      <c r="EE149" s="675">
        <v>0</v>
      </c>
      <c r="EF149" s="675">
        <v>0</v>
      </c>
      <c r="EG149" s="675">
        <v>0</v>
      </c>
      <c r="EH149" s="675">
        <v>589589</v>
      </c>
      <c r="EI149" s="675">
        <v>370953</v>
      </c>
      <c r="EJ149" s="675">
        <v>15.055000000000001</v>
      </c>
      <c r="EK149" s="675">
        <v>29.029</v>
      </c>
      <c r="EL149" s="675">
        <v>0</v>
      </c>
      <c r="EM149" s="675">
        <v>3.2000000000000001E-2</v>
      </c>
      <c r="EN149" s="675">
        <v>1.7060000000000002</v>
      </c>
      <c r="EO149" s="675">
        <v>0</v>
      </c>
      <c r="EP149" s="675">
        <v>0</v>
      </c>
      <c r="EQ149" s="675">
        <v>45.822000000000003</v>
      </c>
      <c r="ER149" s="675">
        <v>0</v>
      </c>
      <c r="ES149" s="675">
        <v>95.713000000000008</v>
      </c>
      <c r="ET149" s="675">
        <v>0</v>
      </c>
      <c r="EU149" s="675">
        <v>0</v>
      </c>
      <c r="EV149" s="675">
        <v>0</v>
      </c>
      <c r="EW149" s="675">
        <v>0</v>
      </c>
      <c r="EX149" s="675">
        <v>0</v>
      </c>
      <c r="EY149" s="675">
        <v>0</v>
      </c>
      <c r="EZ149" s="675">
        <v>14276748</v>
      </c>
      <c r="FA149" s="675">
        <v>0</v>
      </c>
      <c r="FB149" s="675">
        <v>14853920</v>
      </c>
      <c r="FC149" s="675">
        <v>0</v>
      </c>
      <c r="FD149" s="675">
        <v>0</v>
      </c>
      <c r="FE149" s="675">
        <v>1501471</v>
      </c>
      <c r="FF149" s="675">
        <v>310556</v>
      </c>
      <c r="FG149" s="675">
        <v>6.3574999999999993E-2</v>
      </c>
      <c r="FH149" s="675">
        <v>2.6298999999999999E-2</v>
      </c>
      <c r="FI149" s="675">
        <v>0</v>
      </c>
      <c r="FJ149" s="675">
        <v>0</v>
      </c>
      <c r="FK149" s="675">
        <v>2396.2370000000001</v>
      </c>
      <c r="FL149" s="675">
        <v>16926977</v>
      </c>
      <c r="FM149" s="675">
        <v>0</v>
      </c>
      <c r="FN149" s="675">
        <v>0</v>
      </c>
      <c r="FO149" s="675">
        <v>39014</v>
      </c>
      <c r="FP149" s="675">
        <v>0</v>
      </c>
      <c r="FQ149" s="675">
        <v>39014</v>
      </c>
      <c r="FR149" s="675">
        <v>39014</v>
      </c>
      <c r="FS149" s="675">
        <v>0</v>
      </c>
      <c r="FT149" s="675">
        <v>0</v>
      </c>
      <c r="FU149" s="675">
        <v>0</v>
      </c>
      <c r="FV149" s="675">
        <v>0</v>
      </c>
      <c r="FW149" s="675">
        <v>0</v>
      </c>
      <c r="FX149" s="675">
        <v>0</v>
      </c>
      <c r="FY149" s="675">
        <v>0</v>
      </c>
      <c r="FZ149" s="675">
        <v>0</v>
      </c>
      <c r="GA149" s="675">
        <v>0</v>
      </c>
      <c r="GB149" s="675">
        <v>147627</v>
      </c>
      <c r="GC149" s="675">
        <v>147627</v>
      </c>
      <c r="GD149" s="675">
        <v>18.309000000000001</v>
      </c>
      <c r="GE149" s="675">
        <v>0</v>
      </c>
      <c r="GF149" s="675">
        <v>0</v>
      </c>
      <c r="GG149" s="675">
        <v>0</v>
      </c>
      <c r="GH149" s="675">
        <v>0</v>
      </c>
      <c r="GI149" s="675">
        <v>0</v>
      </c>
      <c r="GJ149" s="675">
        <v>0</v>
      </c>
      <c r="GK149" s="675">
        <v>0</v>
      </c>
      <c r="GL149" s="675">
        <v>0</v>
      </c>
      <c r="GM149" s="675">
        <v>0</v>
      </c>
      <c r="GN149" s="675">
        <v>0</v>
      </c>
      <c r="GO149" s="675">
        <v>0</v>
      </c>
      <c r="GP149" s="675">
        <v>0</v>
      </c>
      <c r="GQ149" s="675">
        <v>0</v>
      </c>
      <c r="GR149" s="675">
        <v>0</v>
      </c>
      <c r="GS149" s="675">
        <v>0</v>
      </c>
      <c r="GT149" s="675">
        <v>0</v>
      </c>
      <c r="GU149" s="675">
        <v>0</v>
      </c>
      <c r="GV149" s="675">
        <v>0</v>
      </c>
      <c r="GW149" s="675">
        <v>0</v>
      </c>
      <c r="GX149" s="675">
        <v>0</v>
      </c>
      <c r="GY149" s="675">
        <v>0</v>
      </c>
      <c r="GZ149" s="675">
        <v>0</v>
      </c>
      <c r="HA149" s="675">
        <v>0</v>
      </c>
      <c r="HB149" s="675">
        <v>298386780</v>
      </c>
      <c r="HC149" s="675">
        <v>4.5690999999999996E-2</v>
      </c>
      <c r="HD149" s="675">
        <v>261030</v>
      </c>
      <c r="HE149" s="675">
        <v>0</v>
      </c>
      <c r="HF149" s="675">
        <v>1500528</v>
      </c>
      <c r="HG149" s="675">
        <v>2464</v>
      </c>
      <c r="HH149" s="675">
        <v>539257</v>
      </c>
      <c r="HI149" s="675">
        <v>0</v>
      </c>
      <c r="HJ149" s="675">
        <v>13883</v>
      </c>
      <c r="HK149" s="675">
        <v>5355</v>
      </c>
      <c r="HL149" s="675">
        <v>3028</v>
      </c>
      <c r="HM149" s="675">
        <v>44000</v>
      </c>
      <c r="HN149" s="675">
        <v>0</v>
      </c>
      <c r="HO149" s="675">
        <v>0</v>
      </c>
      <c r="HP149" s="675">
        <v>46526</v>
      </c>
      <c r="HQ149" s="675">
        <v>0</v>
      </c>
      <c r="HR149" s="675">
        <v>0</v>
      </c>
      <c r="HS149" s="675">
        <v>14271885</v>
      </c>
      <c r="HT149" s="675">
        <v>310556</v>
      </c>
      <c r="HU149" s="675">
        <v>0</v>
      </c>
      <c r="HV149" s="675">
        <v>0</v>
      </c>
      <c r="HW149" s="675">
        <v>0</v>
      </c>
      <c r="HX149" s="675">
        <v>86</v>
      </c>
      <c r="HY149" s="675">
        <v>59</v>
      </c>
      <c r="HZ149" s="675">
        <v>100</v>
      </c>
      <c r="IA149" s="675">
        <v>205</v>
      </c>
      <c r="IB149" s="675">
        <v>881</v>
      </c>
      <c r="IC149" s="675">
        <v>1331</v>
      </c>
      <c r="ID149" s="675">
        <v>16</v>
      </c>
      <c r="IE149" s="675">
        <v>0</v>
      </c>
      <c r="IF149" s="675">
        <v>0</v>
      </c>
      <c r="IG149" s="675">
        <v>4</v>
      </c>
      <c r="IH149" s="675">
        <v>875.42200000000003</v>
      </c>
      <c r="II149" s="675">
        <v>169.184</v>
      </c>
      <c r="IJ149" s="675">
        <v>1011.303</v>
      </c>
      <c r="IK149" s="675">
        <v>14.947000000000001</v>
      </c>
      <c r="IL149" s="675">
        <v>7</v>
      </c>
      <c r="IM149" s="675">
        <v>3</v>
      </c>
      <c r="IN149" s="675">
        <v>0</v>
      </c>
      <c r="IO149" s="675">
        <v>10</v>
      </c>
      <c r="IP149" s="675">
        <v>184.131</v>
      </c>
      <c r="IQ149" s="675">
        <v>1011.303</v>
      </c>
      <c r="IR149" s="675">
        <v>622960</v>
      </c>
      <c r="IS149" s="675">
        <v>4110</v>
      </c>
      <c r="IT149" s="675">
        <v>35000</v>
      </c>
      <c r="IU149" s="675">
        <v>9000</v>
      </c>
      <c r="IV149" s="675">
        <v>0</v>
      </c>
      <c r="IW149" s="675">
        <v>6160</v>
      </c>
      <c r="IX149" s="675">
        <v>0</v>
      </c>
      <c r="IY149" s="675">
        <v>0</v>
      </c>
      <c r="IZ149" s="675">
        <v>50636</v>
      </c>
      <c r="JA149" s="675">
        <v>19712</v>
      </c>
      <c r="JB149" s="675">
        <v>0</v>
      </c>
      <c r="JC149" s="675">
        <v>0</v>
      </c>
      <c r="JD149" s="675">
        <v>0</v>
      </c>
      <c r="JE149" s="675">
        <v>0</v>
      </c>
      <c r="JF149" s="675">
        <v>0</v>
      </c>
      <c r="JG149" s="675">
        <v>0</v>
      </c>
      <c r="JH149" s="675">
        <v>0</v>
      </c>
      <c r="JI149" s="675">
        <v>0</v>
      </c>
      <c r="JJ149" s="675">
        <v>0</v>
      </c>
      <c r="JK149" s="675">
        <v>0</v>
      </c>
      <c r="JL149" s="675">
        <v>0</v>
      </c>
      <c r="JM149" s="675">
        <v>0</v>
      </c>
      <c r="JN149" s="675">
        <v>32469</v>
      </c>
      <c r="JO149" s="675">
        <v>17.228999999999999</v>
      </c>
      <c r="JP149" s="675">
        <v>1.08</v>
      </c>
      <c r="JQ149" s="675">
        <v>0</v>
      </c>
      <c r="JR149" s="675">
        <v>137591</v>
      </c>
      <c r="JS149" s="675">
        <v>10036</v>
      </c>
      <c r="JT149" s="675">
        <v>0</v>
      </c>
      <c r="JU149" s="675">
        <v>0</v>
      </c>
      <c r="JV149" s="675">
        <v>0</v>
      </c>
      <c r="JW149" s="675">
        <v>0</v>
      </c>
      <c r="JX149" s="675">
        <v>0</v>
      </c>
      <c r="JY149" s="675">
        <v>0</v>
      </c>
      <c r="JZ149" s="675">
        <v>0</v>
      </c>
      <c r="KA149" s="675">
        <v>0</v>
      </c>
      <c r="KB149" s="675">
        <v>0</v>
      </c>
      <c r="KC149" s="675">
        <v>0</v>
      </c>
      <c r="KD149" s="675">
        <v>0</v>
      </c>
      <c r="KE149" s="675">
        <v>7260</v>
      </c>
      <c r="KF149" s="675">
        <v>0</v>
      </c>
      <c r="KG149" s="675">
        <v>0</v>
      </c>
      <c r="KH149" s="675">
        <v>0</v>
      </c>
      <c r="KI149" s="675">
        <v>0</v>
      </c>
    </row>
    <row r="150" spans="1:295" ht="12.5" x14ac:dyDescent="0.25">
      <c r="A150" s="675">
        <v>35795</v>
      </c>
      <c r="B150" s="675">
        <v>15839</v>
      </c>
      <c r="C150" s="675">
        <v>9</v>
      </c>
      <c r="D150" s="675">
        <v>2022</v>
      </c>
      <c r="E150" s="675">
        <v>6160</v>
      </c>
      <c r="F150" s="675">
        <v>0</v>
      </c>
      <c r="G150" s="675">
        <v>231.64200000000002</v>
      </c>
      <c r="H150" s="675">
        <v>227.423</v>
      </c>
      <c r="I150" s="675">
        <v>227.423</v>
      </c>
      <c r="J150" s="675">
        <v>231.64200000000002</v>
      </c>
      <c r="K150" s="675">
        <v>0</v>
      </c>
      <c r="L150" s="675">
        <v>6160</v>
      </c>
      <c r="M150" s="675">
        <v>0</v>
      </c>
      <c r="N150" s="675">
        <v>0</v>
      </c>
      <c r="O150" s="675">
        <v>0</v>
      </c>
      <c r="P150" s="675">
        <v>174.32500000000002</v>
      </c>
      <c r="Q150" s="675">
        <v>0</v>
      </c>
      <c r="R150" s="675">
        <v>70153</v>
      </c>
      <c r="S150" s="675">
        <v>402.428</v>
      </c>
      <c r="T150" s="675">
        <v>0</v>
      </c>
      <c r="U150" s="675">
        <v>37306</v>
      </c>
      <c r="V150" s="675">
        <v>16.898</v>
      </c>
      <c r="W150" s="675">
        <v>10409</v>
      </c>
      <c r="X150" s="675">
        <v>10409</v>
      </c>
      <c r="Y150" s="675">
        <v>0</v>
      </c>
      <c r="Z150" s="675">
        <v>0</v>
      </c>
      <c r="AA150" s="675">
        <v>0</v>
      </c>
      <c r="AB150" s="675">
        <v>0</v>
      </c>
      <c r="AC150" s="675">
        <v>0</v>
      </c>
      <c r="AD150" s="675" t="s">
        <v>316</v>
      </c>
      <c r="AE150" s="675">
        <v>0</v>
      </c>
      <c r="AF150" s="675">
        <v>0</v>
      </c>
      <c r="AG150" s="675">
        <v>0</v>
      </c>
      <c r="AH150" s="675">
        <v>0</v>
      </c>
      <c r="AI150" s="675">
        <v>0</v>
      </c>
      <c r="AJ150" s="675">
        <v>6160</v>
      </c>
      <c r="AK150" s="675" t="s">
        <v>671</v>
      </c>
      <c r="AL150" s="675" t="s">
        <v>462</v>
      </c>
      <c r="AM150" s="675">
        <v>0</v>
      </c>
      <c r="AN150" s="675">
        <v>0</v>
      </c>
      <c r="AO150" s="675">
        <v>0</v>
      </c>
      <c r="AP150" s="675">
        <v>0</v>
      </c>
      <c r="AQ150" s="675">
        <v>0</v>
      </c>
      <c r="AR150" s="675">
        <v>0</v>
      </c>
      <c r="AS150" s="675">
        <v>0</v>
      </c>
      <c r="AT150" s="675">
        <v>0</v>
      </c>
      <c r="AU150" s="675">
        <v>0</v>
      </c>
      <c r="AV150" s="675">
        <v>-328682</v>
      </c>
      <c r="AW150" s="675">
        <v>2929687</v>
      </c>
      <c r="AX150" s="675">
        <v>2648557</v>
      </c>
      <c r="AY150" s="675">
        <v>1736102</v>
      </c>
      <c r="AZ150" s="675">
        <v>70153</v>
      </c>
      <c r="BA150" s="675">
        <v>0</v>
      </c>
      <c r="BB150" s="675">
        <v>0</v>
      </c>
      <c r="BC150" s="675">
        <v>0</v>
      </c>
      <c r="BD150" s="675">
        <v>0</v>
      </c>
      <c r="BE150" s="675">
        <v>0</v>
      </c>
      <c r="BF150" s="675">
        <v>2309967</v>
      </c>
      <c r="BG150" s="675">
        <v>0</v>
      </c>
      <c r="BH150" s="675">
        <v>0</v>
      </c>
      <c r="BI150" s="675">
        <v>0</v>
      </c>
      <c r="BJ150" s="675">
        <v>12</v>
      </c>
      <c r="BK150" s="675">
        <v>0</v>
      </c>
      <c r="BL150" s="675">
        <v>0</v>
      </c>
      <c r="BM150" s="675">
        <v>0</v>
      </c>
      <c r="BN150" s="675">
        <v>0</v>
      </c>
      <c r="BO150" s="675">
        <v>0</v>
      </c>
      <c r="BP150" s="675">
        <v>0</v>
      </c>
      <c r="BQ150" s="675">
        <v>735</v>
      </c>
      <c r="BR150" s="675">
        <v>0</v>
      </c>
      <c r="BS150" s="675">
        <v>0</v>
      </c>
      <c r="BT150" s="675">
        <v>0</v>
      </c>
      <c r="BU150" s="675">
        <v>0</v>
      </c>
      <c r="BV150" s="675">
        <v>0</v>
      </c>
      <c r="BW150" s="675">
        <v>0</v>
      </c>
      <c r="BX150" s="675">
        <v>0</v>
      </c>
      <c r="BY150" s="675">
        <v>0</v>
      </c>
      <c r="BZ150" s="675">
        <v>0</v>
      </c>
      <c r="CA150" s="675">
        <v>108.25</v>
      </c>
      <c r="CB150" s="675">
        <v>92313</v>
      </c>
      <c r="CC150" s="675">
        <v>0</v>
      </c>
      <c r="CD150" s="675">
        <v>0</v>
      </c>
      <c r="CE150" s="675">
        <v>0</v>
      </c>
      <c r="CF150" s="675">
        <v>0</v>
      </c>
      <c r="CG150" s="675">
        <v>0</v>
      </c>
      <c r="CH150" s="675">
        <v>281788</v>
      </c>
      <c r="CI150" s="675">
        <v>0</v>
      </c>
      <c r="CJ150" s="675">
        <v>4</v>
      </c>
      <c r="CK150" s="675">
        <v>0</v>
      </c>
      <c r="CL150" s="675">
        <v>0</v>
      </c>
      <c r="CM150" s="675">
        <v>0</v>
      </c>
      <c r="CN150" s="675">
        <v>0</v>
      </c>
      <c r="CO150" s="675">
        <v>1</v>
      </c>
      <c r="CP150" s="675">
        <v>0</v>
      </c>
      <c r="CQ150" s="675">
        <v>0</v>
      </c>
      <c r="CR150" s="675">
        <v>171.39500000000001</v>
      </c>
      <c r="CS150" s="675">
        <v>0</v>
      </c>
      <c r="CT150" s="675">
        <v>0</v>
      </c>
      <c r="CU150" s="675">
        <v>0</v>
      </c>
      <c r="CV150" s="675">
        <v>0</v>
      </c>
      <c r="CW150" s="675">
        <v>0</v>
      </c>
      <c r="CX150" s="675">
        <v>0</v>
      </c>
      <c r="CY150" s="675">
        <v>0</v>
      </c>
      <c r="CZ150" s="675">
        <v>0</v>
      </c>
      <c r="DA150" s="675">
        <v>0</v>
      </c>
      <c r="DB150" s="675">
        <v>1400919</v>
      </c>
      <c r="DC150" s="675">
        <v>0</v>
      </c>
      <c r="DD150" s="675">
        <v>0</v>
      </c>
      <c r="DE150" s="675">
        <v>341801</v>
      </c>
      <c r="DF150" s="675">
        <v>341801</v>
      </c>
      <c r="DG150" s="675">
        <v>55.488</v>
      </c>
      <c r="DH150" s="675">
        <v>0</v>
      </c>
      <c r="DI150" s="675">
        <v>0</v>
      </c>
      <c r="DJ150" s="675">
        <v>0</v>
      </c>
      <c r="DK150" s="675">
        <v>3382</v>
      </c>
      <c r="DL150" s="675">
        <v>0</v>
      </c>
      <c r="DM150" s="675">
        <v>172654</v>
      </c>
      <c r="DN150" s="675">
        <v>658</v>
      </c>
      <c r="DO150" s="675">
        <v>0</v>
      </c>
      <c r="DP150" s="675">
        <v>0</v>
      </c>
      <c r="DQ150" s="675">
        <v>0</v>
      </c>
      <c r="DR150" s="675">
        <v>0</v>
      </c>
      <c r="DS150" s="675">
        <v>0</v>
      </c>
      <c r="DT150" s="675">
        <v>0</v>
      </c>
      <c r="DU150" s="675">
        <v>0</v>
      </c>
      <c r="DV150" s="675">
        <v>0</v>
      </c>
      <c r="DW150" s="675">
        <v>0</v>
      </c>
      <c r="DX150" s="675">
        <v>0</v>
      </c>
      <c r="DY150" s="675">
        <v>0</v>
      </c>
      <c r="DZ150" s="675">
        <v>0</v>
      </c>
      <c r="EA150" s="675">
        <v>0</v>
      </c>
      <c r="EB150" s="675">
        <v>0</v>
      </c>
      <c r="EC150" s="675">
        <v>12.195</v>
      </c>
      <c r="ED150" s="675">
        <v>86389</v>
      </c>
      <c r="EE150" s="675">
        <v>0</v>
      </c>
      <c r="EF150" s="675">
        <v>0</v>
      </c>
      <c r="EG150" s="675">
        <v>0</v>
      </c>
      <c r="EH150" s="675">
        <v>86923</v>
      </c>
      <c r="EI150" s="675">
        <v>0</v>
      </c>
      <c r="EJ150" s="675">
        <v>0</v>
      </c>
      <c r="EK150" s="675">
        <v>2.649</v>
      </c>
      <c r="EL150" s="675">
        <v>0</v>
      </c>
      <c r="EM150" s="675">
        <v>0.84300000000000008</v>
      </c>
      <c r="EN150" s="675">
        <v>0.72699999999999998</v>
      </c>
      <c r="EO150" s="675">
        <v>0</v>
      </c>
      <c r="EP150" s="675">
        <v>0</v>
      </c>
      <c r="EQ150" s="675">
        <v>4.2190000000000003</v>
      </c>
      <c r="ER150" s="675">
        <v>0</v>
      </c>
      <c r="ES150" s="675">
        <v>14.111000000000001</v>
      </c>
      <c r="ET150" s="675">
        <v>0</v>
      </c>
      <c r="EU150" s="675">
        <v>0</v>
      </c>
      <c r="EV150" s="675">
        <v>0</v>
      </c>
      <c r="EW150" s="675">
        <v>0</v>
      </c>
      <c r="EX150" s="675">
        <v>0</v>
      </c>
      <c r="EY150" s="675">
        <v>0</v>
      </c>
      <c r="EZ150" s="675">
        <v>2364986</v>
      </c>
      <c r="FA150" s="675">
        <v>0</v>
      </c>
      <c r="FB150" s="675">
        <v>2434481</v>
      </c>
      <c r="FC150" s="675">
        <v>0</v>
      </c>
      <c r="FD150" s="675">
        <v>0</v>
      </c>
      <c r="FE150" s="675">
        <v>234971</v>
      </c>
      <c r="FF150" s="675">
        <v>48600</v>
      </c>
      <c r="FG150" s="675">
        <v>6.3574999999999993E-2</v>
      </c>
      <c r="FH150" s="675">
        <v>2.6298999999999999E-2</v>
      </c>
      <c r="FI150" s="675">
        <v>0</v>
      </c>
      <c r="FJ150" s="675">
        <v>0</v>
      </c>
      <c r="FK150" s="675">
        <v>374.99600000000004</v>
      </c>
      <c r="FL150" s="675">
        <v>2999840</v>
      </c>
      <c r="FM150" s="675">
        <v>0</v>
      </c>
      <c r="FN150" s="675">
        <v>0</v>
      </c>
      <c r="FO150" s="675">
        <v>32859</v>
      </c>
      <c r="FP150" s="675">
        <v>0</v>
      </c>
      <c r="FQ150" s="675">
        <v>32859</v>
      </c>
      <c r="FR150" s="675">
        <v>32859</v>
      </c>
      <c r="FS150" s="675">
        <v>0</v>
      </c>
      <c r="FT150" s="675">
        <v>0</v>
      </c>
      <c r="FU150" s="675">
        <v>0</v>
      </c>
      <c r="FV150" s="675">
        <v>0</v>
      </c>
      <c r="FW150" s="675">
        <v>0</v>
      </c>
      <c r="FX150" s="675">
        <v>0</v>
      </c>
      <c r="FY150" s="675">
        <v>0</v>
      </c>
      <c r="FZ150" s="675">
        <v>0</v>
      </c>
      <c r="GA150" s="675">
        <v>0</v>
      </c>
      <c r="GB150" s="675">
        <v>0</v>
      </c>
      <c r="GC150" s="675">
        <v>0</v>
      </c>
      <c r="GD150" s="675">
        <v>0</v>
      </c>
      <c r="GE150" s="675">
        <v>0</v>
      </c>
      <c r="GF150" s="675">
        <v>0</v>
      </c>
      <c r="GG150" s="675">
        <v>0</v>
      </c>
      <c r="GH150" s="675">
        <v>0</v>
      </c>
      <c r="GI150" s="675">
        <v>0</v>
      </c>
      <c r="GJ150" s="675">
        <v>0</v>
      </c>
      <c r="GK150" s="675">
        <v>0</v>
      </c>
      <c r="GL150" s="675">
        <v>0</v>
      </c>
      <c r="GM150" s="675">
        <v>0</v>
      </c>
      <c r="GN150" s="675">
        <v>0</v>
      </c>
      <c r="GO150" s="675">
        <v>0</v>
      </c>
      <c r="GP150" s="675">
        <v>0</v>
      </c>
      <c r="GQ150" s="675">
        <v>0</v>
      </c>
      <c r="GR150" s="675">
        <v>0</v>
      </c>
      <c r="GS150" s="675">
        <v>0</v>
      </c>
      <c r="GT150" s="675">
        <v>0</v>
      </c>
      <c r="GU150" s="675">
        <v>0</v>
      </c>
      <c r="GV150" s="675">
        <v>0</v>
      </c>
      <c r="GW150" s="675">
        <v>0</v>
      </c>
      <c r="GX150" s="675">
        <v>0</v>
      </c>
      <c r="GY150" s="675">
        <v>0</v>
      </c>
      <c r="GZ150" s="675">
        <v>0</v>
      </c>
      <c r="HA150" s="675">
        <v>0</v>
      </c>
      <c r="HB150" s="675">
        <v>0</v>
      </c>
      <c r="HC150" s="675">
        <v>4.5690999999999996E-2</v>
      </c>
      <c r="HD150" s="675">
        <v>0</v>
      </c>
      <c r="HE150" s="675">
        <v>0</v>
      </c>
      <c r="HF150" s="675">
        <v>250165</v>
      </c>
      <c r="HG150" s="675">
        <v>9240</v>
      </c>
      <c r="HH150" s="675">
        <v>121869</v>
      </c>
      <c r="HI150" s="675">
        <v>0</v>
      </c>
      <c r="HJ150" s="675">
        <v>2252</v>
      </c>
      <c r="HK150" s="675">
        <v>0</v>
      </c>
      <c r="HL150" s="675">
        <v>0</v>
      </c>
      <c r="HM150" s="675">
        <v>0</v>
      </c>
      <c r="HN150" s="675">
        <v>0</v>
      </c>
      <c r="HO150" s="675">
        <v>0</v>
      </c>
      <c r="HP150" s="675">
        <v>0</v>
      </c>
      <c r="HQ150" s="675">
        <v>0</v>
      </c>
      <c r="HR150" s="675">
        <v>0</v>
      </c>
      <c r="HS150" s="675">
        <v>2364328</v>
      </c>
      <c r="HT150" s="675">
        <v>48600</v>
      </c>
      <c r="HU150" s="675">
        <v>0</v>
      </c>
      <c r="HV150" s="675">
        <v>0</v>
      </c>
      <c r="HW150" s="675">
        <v>0</v>
      </c>
      <c r="HX150" s="675">
        <v>15</v>
      </c>
      <c r="HY150" s="675">
        <v>26</v>
      </c>
      <c r="HZ150" s="675">
        <v>23</v>
      </c>
      <c r="IA150" s="675">
        <v>41</v>
      </c>
      <c r="IB150" s="675">
        <v>107</v>
      </c>
      <c r="IC150" s="675">
        <v>212</v>
      </c>
      <c r="ID150" s="675">
        <v>0</v>
      </c>
      <c r="IE150" s="675">
        <v>0</v>
      </c>
      <c r="IF150" s="675">
        <v>0</v>
      </c>
      <c r="IG150" s="675">
        <v>15</v>
      </c>
      <c r="IH150" s="675">
        <v>197.84</v>
      </c>
      <c r="II150" s="675">
        <v>0</v>
      </c>
      <c r="IJ150" s="675">
        <v>16.898</v>
      </c>
      <c r="IK150" s="675">
        <v>0</v>
      </c>
      <c r="IL150" s="675">
        <v>0</v>
      </c>
      <c r="IM150" s="675">
        <v>0</v>
      </c>
      <c r="IN150" s="675">
        <v>0</v>
      </c>
      <c r="IO150" s="675">
        <v>0</v>
      </c>
      <c r="IP150" s="675">
        <v>0</v>
      </c>
      <c r="IQ150" s="675">
        <v>16.898</v>
      </c>
      <c r="IR150" s="675">
        <v>10409</v>
      </c>
      <c r="IS150" s="675">
        <v>0</v>
      </c>
      <c r="IT150" s="675">
        <v>0</v>
      </c>
      <c r="IU150" s="675">
        <v>0</v>
      </c>
      <c r="IV150" s="675">
        <v>0</v>
      </c>
      <c r="IW150" s="675">
        <v>6160</v>
      </c>
      <c r="IX150" s="675">
        <v>0</v>
      </c>
      <c r="IY150" s="675">
        <v>0</v>
      </c>
      <c r="IZ150" s="675">
        <v>0</v>
      </c>
      <c r="JA150" s="675">
        <v>0</v>
      </c>
      <c r="JB150" s="675">
        <v>0</v>
      </c>
      <c r="JC150" s="675">
        <v>0</v>
      </c>
      <c r="JD150" s="675">
        <v>0</v>
      </c>
      <c r="JE150" s="675">
        <v>0</v>
      </c>
      <c r="JF150" s="675">
        <v>0</v>
      </c>
      <c r="JG150" s="675">
        <v>0</v>
      </c>
      <c r="JH150" s="675">
        <v>0</v>
      </c>
      <c r="JI150" s="675">
        <v>0</v>
      </c>
      <c r="JJ150" s="675">
        <v>0</v>
      </c>
      <c r="JK150" s="675">
        <v>0</v>
      </c>
      <c r="JL150" s="675">
        <v>0</v>
      </c>
      <c r="JM150" s="675">
        <v>0</v>
      </c>
      <c r="JN150" s="675">
        <v>29136</v>
      </c>
      <c r="JO150" s="675">
        <v>0</v>
      </c>
      <c r="JP150" s="675">
        <v>0</v>
      </c>
      <c r="JQ150" s="675">
        <v>0</v>
      </c>
      <c r="JR150" s="675">
        <v>0</v>
      </c>
      <c r="JS150" s="675">
        <v>0</v>
      </c>
      <c r="JT150" s="675">
        <v>0</v>
      </c>
      <c r="JU150" s="675">
        <v>0</v>
      </c>
      <c r="JV150" s="675">
        <v>0</v>
      </c>
      <c r="JW150" s="675">
        <v>0</v>
      </c>
      <c r="JX150" s="675">
        <v>0</v>
      </c>
      <c r="JY150" s="675">
        <v>0</v>
      </c>
      <c r="JZ150" s="675">
        <v>0</v>
      </c>
      <c r="KA150" s="675">
        <v>0</v>
      </c>
      <c r="KB150" s="675">
        <v>0</v>
      </c>
      <c r="KC150" s="675">
        <v>0</v>
      </c>
      <c r="KD150" s="675">
        <v>0</v>
      </c>
      <c r="KE150" s="675">
        <v>7260</v>
      </c>
      <c r="KF150" s="675">
        <v>281788</v>
      </c>
      <c r="KG150" s="675">
        <v>0</v>
      </c>
      <c r="KH150" s="675">
        <v>0</v>
      </c>
      <c r="KI150" s="675">
        <v>0</v>
      </c>
    </row>
    <row r="151" spans="1:295" ht="12.5" x14ac:dyDescent="0.25">
      <c r="A151" s="675">
        <v>35795</v>
      </c>
      <c r="B151" s="675">
        <v>57839</v>
      </c>
      <c r="C151" s="675">
        <v>9</v>
      </c>
      <c r="D151" s="675">
        <v>2022</v>
      </c>
      <c r="E151" s="675">
        <v>6160</v>
      </c>
      <c r="F151" s="675">
        <v>0</v>
      </c>
      <c r="G151" s="675">
        <v>855.298</v>
      </c>
      <c r="H151" s="675">
        <v>848.197</v>
      </c>
      <c r="I151" s="675">
        <v>848.197</v>
      </c>
      <c r="J151" s="675">
        <v>855.298</v>
      </c>
      <c r="K151" s="675">
        <v>0</v>
      </c>
      <c r="L151" s="675">
        <v>6160</v>
      </c>
      <c r="M151" s="675">
        <v>0</v>
      </c>
      <c r="N151" s="675">
        <v>0</v>
      </c>
      <c r="O151" s="675">
        <v>0</v>
      </c>
      <c r="P151" s="675">
        <v>859.19100000000003</v>
      </c>
      <c r="Q151" s="675">
        <v>0</v>
      </c>
      <c r="R151" s="675">
        <v>345763</v>
      </c>
      <c r="S151" s="675">
        <v>402.428</v>
      </c>
      <c r="T151" s="675">
        <v>0</v>
      </c>
      <c r="U151" s="675">
        <v>183868</v>
      </c>
      <c r="V151" s="675">
        <v>561.49800000000005</v>
      </c>
      <c r="W151" s="675">
        <v>345881</v>
      </c>
      <c r="X151" s="675">
        <v>345881</v>
      </c>
      <c r="Y151" s="675">
        <v>0</v>
      </c>
      <c r="Z151" s="675">
        <v>0</v>
      </c>
      <c r="AA151" s="675">
        <v>0</v>
      </c>
      <c r="AB151" s="675">
        <v>0</v>
      </c>
      <c r="AC151" s="675">
        <v>0</v>
      </c>
      <c r="AD151" s="675" t="s">
        <v>316</v>
      </c>
      <c r="AE151" s="675">
        <v>0</v>
      </c>
      <c r="AF151" s="675">
        <v>0</v>
      </c>
      <c r="AG151" s="675">
        <v>0</v>
      </c>
      <c r="AH151" s="675">
        <v>0</v>
      </c>
      <c r="AI151" s="675">
        <v>0</v>
      </c>
      <c r="AJ151" s="675">
        <v>6160</v>
      </c>
      <c r="AK151" s="675" t="s">
        <v>671</v>
      </c>
      <c r="AL151" s="675" t="s">
        <v>59</v>
      </c>
      <c r="AM151" s="675">
        <v>0</v>
      </c>
      <c r="AN151" s="675">
        <v>0</v>
      </c>
      <c r="AO151" s="675">
        <v>0</v>
      </c>
      <c r="AP151" s="675">
        <v>0</v>
      </c>
      <c r="AQ151" s="675">
        <v>0</v>
      </c>
      <c r="AR151" s="675">
        <v>0</v>
      </c>
      <c r="AS151" s="675">
        <v>0</v>
      </c>
      <c r="AT151" s="675">
        <v>0</v>
      </c>
      <c r="AU151" s="675">
        <v>0</v>
      </c>
      <c r="AV151" s="675">
        <v>-6751</v>
      </c>
      <c r="AW151" s="675">
        <v>9879215</v>
      </c>
      <c r="AX151" s="675">
        <v>9725436</v>
      </c>
      <c r="AY151" s="675">
        <v>6596766</v>
      </c>
      <c r="AZ151" s="675">
        <v>345763</v>
      </c>
      <c r="BA151" s="675">
        <v>0</v>
      </c>
      <c r="BB151" s="675">
        <v>12864</v>
      </c>
      <c r="BC151" s="675">
        <v>12781</v>
      </c>
      <c r="BD151" s="675">
        <v>29.833000000000002</v>
      </c>
      <c r="BE151" s="675">
        <v>83</v>
      </c>
      <c r="BF151" s="675">
        <v>8970039</v>
      </c>
      <c r="BG151" s="675">
        <v>0</v>
      </c>
      <c r="BH151" s="675">
        <v>0</v>
      </c>
      <c r="BI151" s="675">
        <v>0</v>
      </c>
      <c r="BJ151" s="675">
        <v>12</v>
      </c>
      <c r="BK151" s="675">
        <v>0</v>
      </c>
      <c r="BL151" s="675">
        <v>0</v>
      </c>
      <c r="BM151" s="675">
        <v>0</v>
      </c>
      <c r="BN151" s="675">
        <v>0</v>
      </c>
      <c r="BO151" s="675">
        <v>0</v>
      </c>
      <c r="BP151" s="675">
        <v>0</v>
      </c>
      <c r="BQ151" s="675">
        <v>639</v>
      </c>
      <c r="BR151" s="675">
        <v>0</v>
      </c>
      <c r="BS151" s="675">
        <v>0</v>
      </c>
      <c r="BT151" s="675">
        <v>0</v>
      </c>
      <c r="BU151" s="675">
        <v>0</v>
      </c>
      <c r="BV151" s="675">
        <v>0</v>
      </c>
      <c r="BW151" s="675">
        <v>0</v>
      </c>
      <c r="BX151" s="675">
        <v>0</v>
      </c>
      <c r="BY151" s="675">
        <v>0</v>
      </c>
      <c r="BZ151" s="675">
        <v>0</v>
      </c>
      <c r="CA151" s="675">
        <v>0</v>
      </c>
      <c r="CB151" s="675">
        <v>0</v>
      </c>
      <c r="CC151" s="675">
        <v>0</v>
      </c>
      <c r="CD151" s="675">
        <v>0</v>
      </c>
      <c r="CE151" s="675">
        <v>0</v>
      </c>
      <c r="CF151" s="675">
        <v>0</v>
      </c>
      <c r="CG151" s="675">
        <v>0</v>
      </c>
      <c r="CH151" s="675">
        <v>156317</v>
      </c>
      <c r="CI151" s="675">
        <v>0</v>
      </c>
      <c r="CJ151" s="675">
        <v>4</v>
      </c>
      <c r="CK151" s="675">
        <v>0</v>
      </c>
      <c r="CL151" s="675">
        <v>0</v>
      </c>
      <c r="CM151" s="675">
        <v>0</v>
      </c>
      <c r="CN151" s="675">
        <v>0</v>
      </c>
      <c r="CO151" s="675">
        <v>1</v>
      </c>
      <c r="CP151" s="675">
        <v>0</v>
      </c>
      <c r="CQ151" s="675">
        <v>0</v>
      </c>
      <c r="CR151" s="675">
        <v>880.76300000000003</v>
      </c>
      <c r="CS151" s="675">
        <v>0</v>
      </c>
      <c r="CT151" s="675">
        <v>0</v>
      </c>
      <c r="CU151" s="675">
        <v>0</v>
      </c>
      <c r="CV151" s="675">
        <v>0</v>
      </c>
      <c r="CW151" s="675">
        <v>0</v>
      </c>
      <c r="CX151" s="675">
        <v>0</v>
      </c>
      <c r="CY151" s="675">
        <v>0</v>
      </c>
      <c r="CZ151" s="675">
        <v>0</v>
      </c>
      <c r="DA151" s="675">
        <v>0</v>
      </c>
      <c r="DB151" s="675">
        <v>5216942</v>
      </c>
      <c r="DC151" s="675">
        <v>0</v>
      </c>
      <c r="DD151" s="675">
        <v>0</v>
      </c>
      <c r="DE151" s="675">
        <v>1406475</v>
      </c>
      <c r="DF151" s="675">
        <v>1406475</v>
      </c>
      <c r="DG151" s="675">
        <v>228.32500000000002</v>
      </c>
      <c r="DH151" s="675">
        <v>0</v>
      </c>
      <c r="DI151" s="675">
        <v>0</v>
      </c>
      <c r="DJ151" s="675">
        <v>0</v>
      </c>
      <c r="DK151" s="675">
        <v>1852</v>
      </c>
      <c r="DL151" s="675">
        <v>0</v>
      </c>
      <c r="DM151" s="675">
        <v>652345</v>
      </c>
      <c r="DN151" s="675">
        <v>2455</v>
      </c>
      <c r="DO151" s="675">
        <v>0</v>
      </c>
      <c r="DP151" s="675">
        <v>0</v>
      </c>
      <c r="DQ151" s="675">
        <v>0</v>
      </c>
      <c r="DR151" s="675">
        <v>0</v>
      </c>
      <c r="DS151" s="675">
        <v>0</v>
      </c>
      <c r="DT151" s="675">
        <v>0</v>
      </c>
      <c r="DU151" s="675">
        <v>0</v>
      </c>
      <c r="DV151" s="675">
        <v>0</v>
      </c>
      <c r="DW151" s="675">
        <v>0</v>
      </c>
      <c r="DX151" s="675">
        <v>0</v>
      </c>
      <c r="DY151" s="675">
        <v>0</v>
      </c>
      <c r="DZ151" s="675">
        <v>0</v>
      </c>
      <c r="EA151" s="675">
        <v>0</v>
      </c>
      <c r="EB151" s="675">
        <v>0</v>
      </c>
      <c r="EC151" s="675">
        <v>67.382000000000005</v>
      </c>
      <c r="ED151" s="675">
        <v>477332</v>
      </c>
      <c r="EE151" s="675">
        <v>0</v>
      </c>
      <c r="EF151" s="675">
        <v>0</v>
      </c>
      <c r="EG151" s="675">
        <v>0</v>
      </c>
      <c r="EH151" s="675">
        <v>169541</v>
      </c>
      <c r="EI151" s="675">
        <v>0</v>
      </c>
      <c r="EJ151" s="675">
        <v>0</v>
      </c>
      <c r="EK151" s="675">
        <v>3.9910000000000001</v>
      </c>
      <c r="EL151" s="675">
        <v>0</v>
      </c>
      <c r="EM151" s="675">
        <v>0</v>
      </c>
      <c r="EN151" s="675">
        <v>3.11</v>
      </c>
      <c r="EO151" s="675">
        <v>0</v>
      </c>
      <c r="EP151" s="675">
        <v>0</v>
      </c>
      <c r="EQ151" s="675">
        <v>7.101</v>
      </c>
      <c r="ER151" s="675">
        <v>0</v>
      </c>
      <c r="ES151" s="675">
        <v>27.523</v>
      </c>
      <c r="ET151" s="675">
        <v>0</v>
      </c>
      <c r="EU151" s="675">
        <v>0</v>
      </c>
      <c r="EV151" s="675">
        <v>0</v>
      </c>
      <c r="EW151" s="675">
        <v>0</v>
      </c>
      <c r="EX151" s="675">
        <v>0</v>
      </c>
      <c r="EY151" s="675">
        <v>0</v>
      </c>
      <c r="EZ151" s="675">
        <v>8624276</v>
      </c>
      <c r="FA151" s="675">
        <v>0</v>
      </c>
      <c r="FB151" s="675">
        <v>8967501</v>
      </c>
      <c r="FC151" s="675">
        <v>0</v>
      </c>
      <c r="FD151" s="675">
        <v>0</v>
      </c>
      <c r="FE151" s="675">
        <v>912437</v>
      </c>
      <c r="FF151" s="675">
        <v>188723</v>
      </c>
      <c r="FG151" s="675">
        <v>6.3574999999999993E-2</v>
      </c>
      <c r="FH151" s="675">
        <v>2.6298999999999999E-2</v>
      </c>
      <c r="FI151" s="675">
        <v>0</v>
      </c>
      <c r="FJ151" s="675">
        <v>0</v>
      </c>
      <c r="FK151" s="675">
        <v>1456.182</v>
      </c>
      <c r="FL151" s="675">
        <v>10224978</v>
      </c>
      <c r="FM151" s="675">
        <v>0</v>
      </c>
      <c r="FN151" s="675">
        <v>0</v>
      </c>
      <c r="FO151" s="675">
        <v>0</v>
      </c>
      <c r="FP151" s="675">
        <v>0</v>
      </c>
      <c r="FQ151" s="675">
        <v>0</v>
      </c>
      <c r="FR151" s="675">
        <v>0</v>
      </c>
      <c r="FS151" s="675">
        <v>0</v>
      </c>
      <c r="FT151" s="675">
        <v>0</v>
      </c>
      <c r="FU151" s="675">
        <v>0</v>
      </c>
      <c r="FV151" s="675">
        <v>0</v>
      </c>
      <c r="FW151" s="675">
        <v>0</v>
      </c>
      <c r="FX151" s="675">
        <v>0</v>
      </c>
      <c r="FY151" s="675">
        <v>0</v>
      </c>
      <c r="FZ151" s="675">
        <v>0</v>
      </c>
      <c r="GA151" s="675">
        <v>0</v>
      </c>
      <c r="GB151" s="675">
        <v>0</v>
      </c>
      <c r="GC151" s="675">
        <v>0</v>
      </c>
      <c r="GD151" s="675">
        <v>0</v>
      </c>
      <c r="GE151" s="675">
        <v>0</v>
      </c>
      <c r="GF151" s="675">
        <v>0</v>
      </c>
      <c r="GG151" s="675">
        <v>0</v>
      </c>
      <c r="GH151" s="675">
        <v>0</v>
      </c>
      <c r="GI151" s="675">
        <v>0</v>
      </c>
      <c r="GJ151" s="675">
        <v>0</v>
      </c>
      <c r="GK151" s="675">
        <v>0</v>
      </c>
      <c r="GL151" s="675">
        <v>0</v>
      </c>
      <c r="GM151" s="675">
        <v>0</v>
      </c>
      <c r="GN151" s="675">
        <v>0</v>
      </c>
      <c r="GO151" s="675">
        <v>0</v>
      </c>
      <c r="GP151" s="675">
        <v>0</v>
      </c>
      <c r="GQ151" s="675">
        <v>0</v>
      </c>
      <c r="GR151" s="675">
        <v>0</v>
      </c>
      <c r="GS151" s="675">
        <v>0</v>
      </c>
      <c r="GT151" s="675">
        <v>0</v>
      </c>
      <c r="GU151" s="675">
        <v>0</v>
      </c>
      <c r="GV151" s="675">
        <v>0</v>
      </c>
      <c r="GW151" s="675">
        <v>0</v>
      </c>
      <c r="GX151" s="675">
        <v>0</v>
      </c>
      <c r="GY151" s="675">
        <v>0</v>
      </c>
      <c r="GZ151" s="675">
        <v>0</v>
      </c>
      <c r="HA151" s="675">
        <v>0</v>
      </c>
      <c r="HB151" s="675">
        <v>298386780</v>
      </c>
      <c r="HC151" s="675">
        <v>4.5690999999999996E-2</v>
      </c>
      <c r="HD151" s="675">
        <v>156317</v>
      </c>
      <c r="HE151" s="675">
        <v>0</v>
      </c>
      <c r="HF151" s="675">
        <v>933017</v>
      </c>
      <c r="HG151" s="675">
        <v>1283</v>
      </c>
      <c r="HH151" s="675">
        <v>325625</v>
      </c>
      <c r="HI151" s="675">
        <v>0</v>
      </c>
      <c r="HJ151" s="675">
        <v>8313</v>
      </c>
      <c r="HK151" s="675">
        <v>0</v>
      </c>
      <c r="HL151" s="675">
        <v>0</v>
      </c>
      <c r="HM151" s="675">
        <v>0</v>
      </c>
      <c r="HN151" s="675">
        <v>64839</v>
      </c>
      <c r="HO151" s="675">
        <v>0</v>
      </c>
      <c r="HP151" s="675">
        <v>0</v>
      </c>
      <c r="HQ151" s="675">
        <v>0</v>
      </c>
      <c r="HR151" s="675">
        <v>0</v>
      </c>
      <c r="HS151" s="675">
        <v>8621738</v>
      </c>
      <c r="HT151" s="675">
        <v>188723</v>
      </c>
      <c r="HU151" s="675">
        <v>0</v>
      </c>
      <c r="HV151" s="675">
        <v>0</v>
      </c>
      <c r="HW151" s="675">
        <v>0</v>
      </c>
      <c r="HX151" s="675">
        <v>52</v>
      </c>
      <c r="HY151" s="675">
        <v>77</v>
      </c>
      <c r="HZ151" s="675">
        <v>152</v>
      </c>
      <c r="IA151" s="675">
        <v>329</v>
      </c>
      <c r="IB151" s="675">
        <v>269</v>
      </c>
      <c r="IC151" s="675">
        <v>879</v>
      </c>
      <c r="ID151" s="675">
        <v>0</v>
      </c>
      <c r="IE151" s="675">
        <v>0</v>
      </c>
      <c r="IF151" s="675">
        <v>0</v>
      </c>
      <c r="IG151" s="675">
        <v>2.0830000000000002</v>
      </c>
      <c r="IH151" s="675">
        <v>528.61500000000001</v>
      </c>
      <c r="II151" s="675">
        <v>0</v>
      </c>
      <c r="IJ151" s="675">
        <v>561.49800000000005</v>
      </c>
      <c r="IK151" s="675">
        <v>0</v>
      </c>
      <c r="IL151" s="675">
        <v>0</v>
      </c>
      <c r="IM151" s="675">
        <v>0</v>
      </c>
      <c r="IN151" s="675">
        <v>0</v>
      </c>
      <c r="IO151" s="675">
        <v>0</v>
      </c>
      <c r="IP151" s="675">
        <v>0</v>
      </c>
      <c r="IQ151" s="675">
        <v>561.49800000000005</v>
      </c>
      <c r="IR151" s="675">
        <v>345881</v>
      </c>
      <c r="IS151" s="675">
        <v>0</v>
      </c>
      <c r="IT151" s="675">
        <v>0</v>
      </c>
      <c r="IU151" s="675">
        <v>0</v>
      </c>
      <c r="IV151" s="675">
        <v>0</v>
      </c>
      <c r="IW151" s="675">
        <v>6160</v>
      </c>
      <c r="IX151" s="675">
        <v>0</v>
      </c>
      <c r="IY151" s="675">
        <v>0</v>
      </c>
      <c r="IZ151" s="675">
        <v>0</v>
      </c>
      <c r="JA151" s="675">
        <v>0</v>
      </c>
      <c r="JB151" s="675">
        <v>0</v>
      </c>
      <c r="JC151" s="675">
        <v>0</v>
      </c>
      <c r="JD151" s="675">
        <v>2</v>
      </c>
      <c r="JE151" s="675">
        <v>26994</v>
      </c>
      <c r="JF151" s="675">
        <v>5</v>
      </c>
      <c r="JG151" s="675">
        <v>33845</v>
      </c>
      <c r="JH151" s="675">
        <v>4000</v>
      </c>
      <c r="JI151" s="675">
        <v>0</v>
      </c>
      <c r="JJ151" s="675">
        <v>0</v>
      </c>
      <c r="JK151" s="675">
        <v>0</v>
      </c>
      <c r="JL151" s="675">
        <v>0</v>
      </c>
      <c r="JM151" s="675">
        <v>0</v>
      </c>
      <c r="JN151" s="675">
        <v>32469</v>
      </c>
      <c r="JO151" s="675">
        <v>0</v>
      </c>
      <c r="JP151" s="675">
        <v>0</v>
      </c>
      <c r="JQ151" s="675">
        <v>0</v>
      </c>
      <c r="JR151" s="675">
        <v>0</v>
      </c>
      <c r="JS151" s="675">
        <v>0</v>
      </c>
      <c r="JT151" s="675">
        <v>0</v>
      </c>
      <c r="JU151" s="675">
        <v>12864</v>
      </c>
      <c r="JV151" s="675">
        <v>0</v>
      </c>
      <c r="JW151" s="675">
        <v>0</v>
      </c>
      <c r="JX151" s="675">
        <v>0</v>
      </c>
      <c r="JY151" s="675">
        <v>0</v>
      </c>
      <c r="JZ151" s="675">
        <v>0</v>
      </c>
      <c r="KA151" s="675">
        <v>0</v>
      </c>
      <c r="KB151" s="675">
        <v>0</v>
      </c>
      <c r="KC151" s="675">
        <v>0</v>
      </c>
      <c r="KD151" s="675">
        <v>12864</v>
      </c>
      <c r="KE151" s="675">
        <v>7260</v>
      </c>
      <c r="KF151" s="675">
        <v>0</v>
      </c>
      <c r="KG151" s="675">
        <v>0</v>
      </c>
      <c r="KH151" s="675">
        <v>0</v>
      </c>
      <c r="KI151" s="675">
        <v>0</v>
      </c>
    </row>
    <row r="152" spans="1:295" ht="12.5" x14ac:dyDescent="0.25">
      <c r="A152" s="675">
        <v>35795</v>
      </c>
      <c r="B152" s="675">
        <v>15840</v>
      </c>
      <c r="C152" s="675">
        <v>9</v>
      </c>
      <c r="D152" s="675">
        <v>2022</v>
      </c>
      <c r="E152" s="675">
        <v>6160</v>
      </c>
      <c r="F152" s="675">
        <v>0</v>
      </c>
      <c r="G152" s="675">
        <v>174.22300000000001</v>
      </c>
      <c r="H152" s="675">
        <v>161.66300000000001</v>
      </c>
      <c r="I152" s="675">
        <v>161.66300000000001</v>
      </c>
      <c r="J152" s="675">
        <v>174.22300000000001</v>
      </c>
      <c r="K152" s="675">
        <v>0</v>
      </c>
      <c r="L152" s="675">
        <v>6160</v>
      </c>
      <c r="M152" s="675">
        <v>0</v>
      </c>
      <c r="N152" s="675">
        <v>0</v>
      </c>
      <c r="O152" s="675">
        <v>0</v>
      </c>
      <c r="P152" s="675">
        <v>191.01500000000001</v>
      </c>
      <c r="Q152" s="675">
        <v>0</v>
      </c>
      <c r="R152" s="675">
        <v>76870</v>
      </c>
      <c r="S152" s="675">
        <v>402.428</v>
      </c>
      <c r="T152" s="675">
        <v>0</v>
      </c>
      <c r="U152" s="675">
        <v>40879</v>
      </c>
      <c r="V152" s="675">
        <v>0</v>
      </c>
      <c r="W152" s="675">
        <v>0</v>
      </c>
      <c r="X152" s="675">
        <v>0</v>
      </c>
      <c r="Y152" s="675">
        <v>0</v>
      </c>
      <c r="Z152" s="675">
        <v>0</v>
      </c>
      <c r="AA152" s="675">
        <v>0</v>
      </c>
      <c r="AB152" s="675">
        <v>0</v>
      </c>
      <c r="AC152" s="675">
        <v>0</v>
      </c>
      <c r="AD152" s="675" t="s">
        <v>316</v>
      </c>
      <c r="AE152" s="675">
        <v>0</v>
      </c>
      <c r="AF152" s="675">
        <v>0</v>
      </c>
      <c r="AG152" s="675">
        <v>0</v>
      </c>
      <c r="AH152" s="675">
        <v>0</v>
      </c>
      <c r="AI152" s="675">
        <v>0</v>
      </c>
      <c r="AJ152" s="675">
        <v>6160</v>
      </c>
      <c r="AK152" s="675" t="s">
        <v>671</v>
      </c>
      <c r="AL152" s="675" t="s">
        <v>793</v>
      </c>
      <c r="AM152" s="675">
        <v>0</v>
      </c>
      <c r="AN152" s="675">
        <v>0</v>
      </c>
      <c r="AO152" s="675">
        <v>0</v>
      </c>
      <c r="AP152" s="675">
        <v>0</v>
      </c>
      <c r="AQ152" s="675">
        <v>0</v>
      </c>
      <c r="AR152" s="675">
        <v>0</v>
      </c>
      <c r="AS152" s="675">
        <v>0</v>
      </c>
      <c r="AT152" s="675">
        <v>0</v>
      </c>
      <c r="AU152" s="675">
        <v>0</v>
      </c>
      <c r="AV152" s="675">
        <v>-65848</v>
      </c>
      <c r="AW152" s="675">
        <v>2033884</v>
      </c>
      <c r="AX152" s="675">
        <v>1741657</v>
      </c>
      <c r="AY152" s="675">
        <v>1393481</v>
      </c>
      <c r="AZ152" s="675">
        <v>76870</v>
      </c>
      <c r="BA152" s="675">
        <v>0</v>
      </c>
      <c r="BB152" s="675">
        <v>0</v>
      </c>
      <c r="BC152" s="675">
        <v>0</v>
      </c>
      <c r="BD152" s="675">
        <v>0</v>
      </c>
      <c r="BE152" s="675">
        <v>0</v>
      </c>
      <c r="BF152" s="675">
        <v>1565459</v>
      </c>
      <c r="BG152" s="675">
        <v>0</v>
      </c>
      <c r="BH152" s="675">
        <v>0</v>
      </c>
      <c r="BI152" s="675">
        <v>0</v>
      </c>
      <c r="BJ152" s="675">
        <v>12</v>
      </c>
      <c r="BK152" s="675">
        <v>0</v>
      </c>
      <c r="BL152" s="675">
        <v>0</v>
      </c>
      <c r="BM152" s="675">
        <v>0</v>
      </c>
      <c r="BN152" s="675">
        <v>0</v>
      </c>
      <c r="BO152" s="675">
        <v>0</v>
      </c>
      <c r="BP152" s="675">
        <v>0</v>
      </c>
      <c r="BQ152" s="675">
        <v>745</v>
      </c>
      <c r="BR152" s="675">
        <v>0</v>
      </c>
      <c r="BS152" s="675">
        <v>0</v>
      </c>
      <c r="BT152" s="675">
        <v>0</v>
      </c>
      <c r="BU152" s="675">
        <v>0</v>
      </c>
      <c r="BV152" s="675">
        <v>0</v>
      </c>
      <c r="BW152" s="675">
        <v>0</v>
      </c>
      <c r="BX152" s="675">
        <v>0</v>
      </c>
      <c r="BY152" s="675">
        <v>0</v>
      </c>
      <c r="BZ152" s="675">
        <v>0</v>
      </c>
      <c r="CA152" s="675">
        <v>71.406000000000006</v>
      </c>
      <c r="CB152" s="675">
        <v>60893</v>
      </c>
      <c r="CC152" s="675">
        <v>0</v>
      </c>
      <c r="CD152" s="675">
        <v>0</v>
      </c>
      <c r="CE152" s="675">
        <v>0</v>
      </c>
      <c r="CF152" s="675">
        <v>0</v>
      </c>
      <c r="CG152" s="675">
        <v>0</v>
      </c>
      <c r="CH152" s="675">
        <v>292706</v>
      </c>
      <c r="CI152" s="675">
        <v>0</v>
      </c>
      <c r="CJ152" s="675">
        <v>4</v>
      </c>
      <c r="CK152" s="675">
        <v>0</v>
      </c>
      <c r="CL152" s="675">
        <v>0</v>
      </c>
      <c r="CM152" s="675">
        <v>0</v>
      </c>
      <c r="CN152" s="675">
        <v>0</v>
      </c>
      <c r="CO152" s="675">
        <v>1</v>
      </c>
      <c r="CP152" s="675">
        <v>0</v>
      </c>
      <c r="CQ152" s="675">
        <v>0</v>
      </c>
      <c r="CR152" s="675">
        <v>189.387</v>
      </c>
      <c r="CS152" s="675">
        <v>0</v>
      </c>
      <c r="CT152" s="675">
        <v>0</v>
      </c>
      <c r="CU152" s="675">
        <v>0</v>
      </c>
      <c r="CV152" s="675">
        <v>0</v>
      </c>
      <c r="CW152" s="675">
        <v>0</v>
      </c>
      <c r="CX152" s="675">
        <v>0</v>
      </c>
      <c r="CY152" s="675">
        <v>0</v>
      </c>
      <c r="CZ152" s="675">
        <v>0</v>
      </c>
      <c r="DA152" s="675">
        <v>0</v>
      </c>
      <c r="DB152" s="675">
        <v>995839</v>
      </c>
      <c r="DC152" s="675">
        <v>0</v>
      </c>
      <c r="DD152" s="675">
        <v>0</v>
      </c>
      <c r="DE152" s="675">
        <v>180872</v>
      </c>
      <c r="DF152" s="675">
        <v>180872</v>
      </c>
      <c r="DG152" s="675">
        <v>29.363000000000003</v>
      </c>
      <c r="DH152" s="675">
        <v>0</v>
      </c>
      <c r="DI152" s="675">
        <v>0</v>
      </c>
      <c r="DJ152" s="675">
        <v>0</v>
      </c>
      <c r="DK152" s="675">
        <v>3544</v>
      </c>
      <c r="DL152" s="675">
        <v>0</v>
      </c>
      <c r="DM152" s="675">
        <v>125823</v>
      </c>
      <c r="DN152" s="675">
        <v>479</v>
      </c>
      <c r="DO152" s="675">
        <v>0</v>
      </c>
      <c r="DP152" s="675">
        <v>0</v>
      </c>
      <c r="DQ152" s="675">
        <v>0</v>
      </c>
      <c r="DR152" s="675">
        <v>0</v>
      </c>
      <c r="DS152" s="675">
        <v>0</v>
      </c>
      <c r="DT152" s="675">
        <v>0</v>
      </c>
      <c r="DU152" s="675">
        <v>0</v>
      </c>
      <c r="DV152" s="675">
        <v>0</v>
      </c>
      <c r="DW152" s="675">
        <v>0</v>
      </c>
      <c r="DX152" s="675">
        <v>0</v>
      </c>
      <c r="DY152" s="675">
        <v>0</v>
      </c>
      <c r="DZ152" s="675">
        <v>0</v>
      </c>
      <c r="EA152" s="675">
        <v>0</v>
      </c>
      <c r="EB152" s="675">
        <v>0</v>
      </c>
      <c r="EC152" s="675">
        <v>7.1770000000000005</v>
      </c>
      <c r="ED152" s="675">
        <v>50842</v>
      </c>
      <c r="EE152" s="675">
        <v>0</v>
      </c>
      <c r="EF152" s="675">
        <v>0</v>
      </c>
      <c r="EG152" s="675">
        <v>0</v>
      </c>
      <c r="EH152" s="675">
        <v>75460</v>
      </c>
      <c r="EI152" s="675">
        <v>0</v>
      </c>
      <c r="EJ152" s="675">
        <v>0</v>
      </c>
      <c r="EK152" s="675">
        <v>3.7950000000000004</v>
      </c>
      <c r="EL152" s="675">
        <v>0</v>
      </c>
      <c r="EM152" s="675">
        <v>0</v>
      </c>
      <c r="EN152" s="675">
        <v>0.17300000000000001</v>
      </c>
      <c r="EO152" s="675">
        <v>0</v>
      </c>
      <c r="EP152" s="675">
        <v>0</v>
      </c>
      <c r="EQ152" s="675">
        <v>3.968</v>
      </c>
      <c r="ER152" s="675">
        <v>0</v>
      </c>
      <c r="ES152" s="675">
        <v>12.25</v>
      </c>
      <c r="ET152" s="675">
        <v>0</v>
      </c>
      <c r="EU152" s="675">
        <v>0</v>
      </c>
      <c r="EV152" s="675">
        <v>0</v>
      </c>
      <c r="EW152" s="675">
        <v>0</v>
      </c>
      <c r="EX152" s="675">
        <v>0</v>
      </c>
      <c r="EY152" s="675">
        <v>0</v>
      </c>
      <c r="EZ152" s="675">
        <v>1549482</v>
      </c>
      <c r="FA152" s="675">
        <v>0</v>
      </c>
      <c r="FB152" s="675">
        <v>1625873</v>
      </c>
      <c r="FC152" s="675">
        <v>0</v>
      </c>
      <c r="FD152" s="675">
        <v>0</v>
      </c>
      <c r="FE152" s="675">
        <v>159239</v>
      </c>
      <c r="FF152" s="675">
        <v>32936</v>
      </c>
      <c r="FG152" s="675">
        <v>6.3574999999999993E-2</v>
      </c>
      <c r="FH152" s="675">
        <v>2.6298999999999999E-2</v>
      </c>
      <c r="FI152" s="675">
        <v>0</v>
      </c>
      <c r="FJ152" s="675">
        <v>0</v>
      </c>
      <c r="FK152" s="675">
        <v>254.13400000000001</v>
      </c>
      <c r="FL152" s="675">
        <v>2110754</v>
      </c>
      <c r="FM152" s="675">
        <v>0</v>
      </c>
      <c r="FN152" s="675">
        <v>0</v>
      </c>
      <c r="FO152" s="675">
        <v>0</v>
      </c>
      <c r="FP152" s="675">
        <v>0</v>
      </c>
      <c r="FQ152" s="675">
        <v>0</v>
      </c>
      <c r="FR152" s="675">
        <v>0</v>
      </c>
      <c r="FS152" s="675">
        <v>0</v>
      </c>
      <c r="FT152" s="675">
        <v>0</v>
      </c>
      <c r="FU152" s="675">
        <v>0</v>
      </c>
      <c r="FV152" s="675">
        <v>0</v>
      </c>
      <c r="FW152" s="675">
        <v>0</v>
      </c>
      <c r="FX152" s="675">
        <v>0</v>
      </c>
      <c r="FY152" s="675">
        <v>0</v>
      </c>
      <c r="FZ152" s="675">
        <v>0</v>
      </c>
      <c r="GA152" s="675">
        <v>0</v>
      </c>
      <c r="GB152" s="675">
        <v>79844</v>
      </c>
      <c r="GC152" s="675">
        <v>79844</v>
      </c>
      <c r="GD152" s="675">
        <v>8.5920000000000005</v>
      </c>
      <c r="GE152" s="675">
        <v>0</v>
      </c>
      <c r="GF152" s="675">
        <v>0</v>
      </c>
      <c r="GG152" s="675">
        <v>0</v>
      </c>
      <c r="GH152" s="675">
        <v>0</v>
      </c>
      <c r="GI152" s="675">
        <v>0</v>
      </c>
      <c r="GJ152" s="675">
        <v>0</v>
      </c>
      <c r="GK152" s="675">
        <v>0</v>
      </c>
      <c r="GL152" s="675">
        <v>0</v>
      </c>
      <c r="GM152" s="675">
        <v>0</v>
      </c>
      <c r="GN152" s="675">
        <v>0</v>
      </c>
      <c r="GO152" s="675">
        <v>0</v>
      </c>
      <c r="GP152" s="675">
        <v>0</v>
      </c>
      <c r="GQ152" s="675">
        <v>0</v>
      </c>
      <c r="GR152" s="675">
        <v>0</v>
      </c>
      <c r="GS152" s="675">
        <v>0</v>
      </c>
      <c r="GT152" s="675">
        <v>0</v>
      </c>
      <c r="GU152" s="675">
        <v>0</v>
      </c>
      <c r="GV152" s="675">
        <v>0</v>
      </c>
      <c r="GW152" s="675">
        <v>0</v>
      </c>
      <c r="GX152" s="675">
        <v>0</v>
      </c>
      <c r="GY152" s="675">
        <v>0</v>
      </c>
      <c r="GZ152" s="675">
        <v>0</v>
      </c>
      <c r="HA152" s="675">
        <v>0</v>
      </c>
      <c r="HB152" s="675">
        <v>0</v>
      </c>
      <c r="HC152" s="675">
        <v>4.5690999999999996E-2</v>
      </c>
      <c r="HD152" s="675">
        <v>0</v>
      </c>
      <c r="HE152" s="675">
        <v>0</v>
      </c>
      <c r="HF152" s="675">
        <v>177829</v>
      </c>
      <c r="HG152" s="675">
        <v>3080</v>
      </c>
      <c r="HH152" s="675">
        <v>0</v>
      </c>
      <c r="HI152" s="675">
        <v>0</v>
      </c>
      <c r="HJ152" s="675">
        <v>1693</v>
      </c>
      <c r="HK152" s="675">
        <v>0</v>
      </c>
      <c r="HL152" s="675">
        <v>0</v>
      </c>
      <c r="HM152" s="675">
        <v>0</v>
      </c>
      <c r="HN152" s="675">
        <v>0</v>
      </c>
      <c r="HO152" s="675">
        <v>0</v>
      </c>
      <c r="HP152" s="675">
        <v>0</v>
      </c>
      <c r="HQ152" s="675">
        <v>0</v>
      </c>
      <c r="HR152" s="675">
        <v>0</v>
      </c>
      <c r="HS152" s="675">
        <v>1549003</v>
      </c>
      <c r="HT152" s="675">
        <v>32936</v>
      </c>
      <c r="HU152" s="675">
        <v>0</v>
      </c>
      <c r="HV152" s="675">
        <v>0</v>
      </c>
      <c r="HW152" s="675">
        <v>0</v>
      </c>
      <c r="HX152" s="675">
        <v>10</v>
      </c>
      <c r="HY152" s="675">
        <v>19</v>
      </c>
      <c r="HZ152" s="675">
        <v>28</v>
      </c>
      <c r="IA152" s="675">
        <v>28</v>
      </c>
      <c r="IB152" s="675">
        <v>30</v>
      </c>
      <c r="IC152" s="675">
        <v>115</v>
      </c>
      <c r="ID152" s="675">
        <v>0</v>
      </c>
      <c r="IE152" s="675">
        <v>0</v>
      </c>
      <c r="IF152" s="675">
        <v>0</v>
      </c>
      <c r="IG152" s="675">
        <v>5</v>
      </c>
      <c r="IH152" s="675">
        <v>0</v>
      </c>
      <c r="II152" s="675">
        <v>0</v>
      </c>
      <c r="IJ152" s="675">
        <v>0</v>
      </c>
      <c r="IK152" s="675">
        <v>0</v>
      </c>
      <c r="IL152" s="675">
        <v>0</v>
      </c>
      <c r="IM152" s="675">
        <v>0</v>
      </c>
      <c r="IN152" s="675">
        <v>0</v>
      </c>
      <c r="IO152" s="675">
        <v>0</v>
      </c>
      <c r="IP152" s="675">
        <v>0</v>
      </c>
      <c r="IQ152" s="675">
        <v>0</v>
      </c>
      <c r="IR152" s="675">
        <v>0</v>
      </c>
      <c r="IS152" s="675">
        <v>0</v>
      </c>
      <c r="IT152" s="675">
        <v>0</v>
      </c>
      <c r="IU152" s="675">
        <v>0</v>
      </c>
      <c r="IV152" s="675">
        <v>0</v>
      </c>
      <c r="IW152" s="675">
        <v>6160</v>
      </c>
      <c r="IX152" s="675">
        <v>0</v>
      </c>
      <c r="IY152" s="675">
        <v>0</v>
      </c>
      <c r="IZ152" s="675">
        <v>0</v>
      </c>
      <c r="JA152" s="675">
        <v>0</v>
      </c>
      <c r="JB152" s="675">
        <v>0</v>
      </c>
      <c r="JC152" s="675">
        <v>0</v>
      </c>
      <c r="JD152" s="675">
        <v>0</v>
      </c>
      <c r="JE152" s="675">
        <v>0</v>
      </c>
      <c r="JF152" s="675">
        <v>0</v>
      </c>
      <c r="JG152" s="675">
        <v>0</v>
      </c>
      <c r="JH152" s="675">
        <v>0</v>
      </c>
      <c r="JI152" s="675">
        <v>0</v>
      </c>
      <c r="JJ152" s="675">
        <v>0</v>
      </c>
      <c r="JK152" s="675">
        <v>0</v>
      </c>
      <c r="JL152" s="675">
        <v>0</v>
      </c>
      <c r="JM152" s="675">
        <v>0</v>
      </c>
      <c r="JN152" s="675">
        <v>0</v>
      </c>
      <c r="JO152" s="675">
        <v>0</v>
      </c>
      <c r="JP152" s="675">
        <v>8.5920000000000005</v>
      </c>
      <c r="JQ152" s="675">
        <v>0</v>
      </c>
      <c r="JR152" s="675">
        <v>0</v>
      </c>
      <c r="JS152" s="675">
        <v>79844</v>
      </c>
      <c r="JT152" s="675">
        <v>0</v>
      </c>
      <c r="JU152" s="675">
        <v>0</v>
      </c>
      <c r="JV152" s="675">
        <v>0</v>
      </c>
      <c r="JW152" s="675">
        <v>0</v>
      </c>
      <c r="JX152" s="675">
        <v>0</v>
      </c>
      <c r="JY152" s="675">
        <v>0</v>
      </c>
      <c r="JZ152" s="675">
        <v>0</v>
      </c>
      <c r="KA152" s="675">
        <v>0</v>
      </c>
      <c r="KB152" s="675">
        <v>0</v>
      </c>
      <c r="KC152" s="675">
        <v>0</v>
      </c>
      <c r="KD152" s="675">
        <v>0</v>
      </c>
      <c r="KE152" s="675">
        <v>7260</v>
      </c>
      <c r="KF152" s="675">
        <v>292706</v>
      </c>
      <c r="KG152" s="675">
        <v>0</v>
      </c>
      <c r="KH152" s="675">
        <v>0</v>
      </c>
      <c r="KI152" s="675">
        <v>0</v>
      </c>
    </row>
    <row r="153" spans="1:295" ht="12.5" x14ac:dyDescent="0.25">
      <c r="A153" s="675">
        <v>35795</v>
      </c>
      <c r="B153" s="675">
        <v>57840</v>
      </c>
      <c r="C153" s="675">
        <v>9</v>
      </c>
      <c r="D153" s="675">
        <v>2022</v>
      </c>
      <c r="E153" s="675">
        <v>6160</v>
      </c>
      <c r="F153" s="675">
        <v>0</v>
      </c>
      <c r="G153" s="675">
        <v>323.94800000000004</v>
      </c>
      <c r="H153" s="675">
        <v>237.90200000000002</v>
      </c>
      <c r="I153" s="675">
        <v>237.90200000000002</v>
      </c>
      <c r="J153" s="675">
        <v>323.94800000000004</v>
      </c>
      <c r="K153" s="675">
        <v>0</v>
      </c>
      <c r="L153" s="675">
        <v>6160</v>
      </c>
      <c r="M153" s="675">
        <v>0</v>
      </c>
      <c r="N153" s="675">
        <v>0</v>
      </c>
      <c r="O153" s="675">
        <v>0</v>
      </c>
      <c r="P153" s="675">
        <v>480.851</v>
      </c>
      <c r="Q153" s="675">
        <v>0</v>
      </c>
      <c r="R153" s="675">
        <v>193508</v>
      </c>
      <c r="S153" s="675">
        <v>402.428</v>
      </c>
      <c r="T153" s="675">
        <v>0</v>
      </c>
      <c r="U153" s="675">
        <v>102903</v>
      </c>
      <c r="V153" s="675">
        <v>21.678000000000001</v>
      </c>
      <c r="W153" s="675">
        <v>13354</v>
      </c>
      <c r="X153" s="675">
        <v>13354</v>
      </c>
      <c r="Y153" s="675">
        <v>0</v>
      </c>
      <c r="Z153" s="675">
        <v>0</v>
      </c>
      <c r="AA153" s="675">
        <v>0</v>
      </c>
      <c r="AB153" s="675">
        <v>0</v>
      </c>
      <c r="AC153" s="675">
        <v>0</v>
      </c>
      <c r="AD153" s="675" t="s">
        <v>316</v>
      </c>
      <c r="AE153" s="675">
        <v>0</v>
      </c>
      <c r="AF153" s="675">
        <v>0</v>
      </c>
      <c r="AG153" s="675">
        <v>0</v>
      </c>
      <c r="AH153" s="675">
        <v>0</v>
      </c>
      <c r="AI153" s="675">
        <v>0</v>
      </c>
      <c r="AJ153" s="675">
        <v>6160</v>
      </c>
      <c r="AK153" s="675" t="s">
        <v>671</v>
      </c>
      <c r="AL153" s="675" t="s">
        <v>330</v>
      </c>
      <c r="AM153" s="675">
        <v>0</v>
      </c>
      <c r="AN153" s="675">
        <v>0</v>
      </c>
      <c r="AO153" s="675">
        <v>0</v>
      </c>
      <c r="AP153" s="675">
        <v>0</v>
      </c>
      <c r="AQ153" s="675">
        <v>0</v>
      </c>
      <c r="AR153" s="675">
        <v>0</v>
      </c>
      <c r="AS153" s="675">
        <v>0</v>
      </c>
      <c r="AT153" s="675">
        <v>0</v>
      </c>
      <c r="AU153" s="675">
        <v>0</v>
      </c>
      <c r="AV153" s="675">
        <v>-18824</v>
      </c>
      <c r="AW153" s="675">
        <v>3540529</v>
      </c>
      <c r="AX153" s="675">
        <v>3481323</v>
      </c>
      <c r="AY153" s="675">
        <v>2476575</v>
      </c>
      <c r="AZ153" s="675">
        <v>193508</v>
      </c>
      <c r="BA153" s="675">
        <v>0</v>
      </c>
      <c r="BB153" s="675">
        <v>0</v>
      </c>
      <c r="BC153" s="675">
        <v>0</v>
      </c>
      <c r="BD153" s="675">
        <v>0</v>
      </c>
      <c r="BE153" s="675">
        <v>0</v>
      </c>
      <c r="BF153" s="675">
        <v>3270261</v>
      </c>
      <c r="BG153" s="675">
        <v>0</v>
      </c>
      <c r="BH153" s="675">
        <v>0</v>
      </c>
      <c r="BI153" s="675">
        <v>0</v>
      </c>
      <c r="BJ153" s="675">
        <v>12</v>
      </c>
      <c r="BK153" s="675">
        <v>0</v>
      </c>
      <c r="BL153" s="675">
        <v>0</v>
      </c>
      <c r="BM153" s="675">
        <v>0</v>
      </c>
      <c r="BN153" s="675">
        <v>0</v>
      </c>
      <c r="BO153" s="675">
        <v>0</v>
      </c>
      <c r="BP153" s="675">
        <v>0</v>
      </c>
      <c r="BQ153" s="675">
        <v>733</v>
      </c>
      <c r="BR153" s="675">
        <v>0</v>
      </c>
      <c r="BS153" s="675">
        <v>0</v>
      </c>
      <c r="BT153" s="675">
        <v>0</v>
      </c>
      <c r="BU153" s="675">
        <v>0</v>
      </c>
      <c r="BV153" s="675">
        <v>0</v>
      </c>
      <c r="BW153" s="675">
        <v>0</v>
      </c>
      <c r="BX153" s="675">
        <v>0</v>
      </c>
      <c r="BY153" s="675">
        <v>0</v>
      </c>
      <c r="BZ153" s="675">
        <v>0</v>
      </c>
      <c r="CA153" s="675">
        <v>0</v>
      </c>
      <c r="CB153" s="675">
        <v>0</v>
      </c>
      <c r="CC153" s="675">
        <v>0</v>
      </c>
      <c r="CD153" s="675">
        <v>0</v>
      </c>
      <c r="CE153" s="675">
        <v>0</v>
      </c>
      <c r="CF153" s="675">
        <v>0</v>
      </c>
      <c r="CG153" s="675">
        <v>0</v>
      </c>
      <c r="CH153" s="675">
        <v>59206</v>
      </c>
      <c r="CI153" s="675">
        <v>0</v>
      </c>
      <c r="CJ153" s="675">
        <v>4</v>
      </c>
      <c r="CK153" s="675">
        <v>0</v>
      </c>
      <c r="CL153" s="675">
        <v>0</v>
      </c>
      <c r="CM153" s="675">
        <v>0</v>
      </c>
      <c r="CN153" s="675">
        <v>0</v>
      </c>
      <c r="CO153" s="675">
        <v>1</v>
      </c>
      <c r="CP153" s="675">
        <v>0</v>
      </c>
      <c r="CQ153" s="675">
        <v>0</v>
      </c>
      <c r="CR153" s="675">
        <v>468.82800000000003</v>
      </c>
      <c r="CS153" s="675">
        <v>0</v>
      </c>
      <c r="CT153" s="675">
        <v>0</v>
      </c>
      <c r="CU153" s="675">
        <v>0</v>
      </c>
      <c r="CV153" s="675">
        <v>0</v>
      </c>
      <c r="CW153" s="675">
        <v>0</v>
      </c>
      <c r="CX153" s="675">
        <v>0</v>
      </c>
      <c r="CY153" s="675">
        <v>0</v>
      </c>
      <c r="CZ153" s="675">
        <v>0</v>
      </c>
      <c r="DA153" s="675">
        <v>0</v>
      </c>
      <c r="DB153" s="675">
        <v>1458441</v>
      </c>
      <c r="DC153" s="675">
        <v>0</v>
      </c>
      <c r="DD153" s="675">
        <v>0</v>
      </c>
      <c r="DE153" s="675">
        <v>15323</v>
      </c>
      <c r="DF153" s="675">
        <v>15323</v>
      </c>
      <c r="DG153" s="675">
        <v>2.488</v>
      </c>
      <c r="DH153" s="675">
        <v>0</v>
      </c>
      <c r="DI153" s="675">
        <v>0</v>
      </c>
      <c r="DJ153" s="675">
        <v>0</v>
      </c>
      <c r="DK153" s="675">
        <v>3356</v>
      </c>
      <c r="DL153" s="675">
        <v>0</v>
      </c>
      <c r="DM153" s="675">
        <v>7029</v>
      </c>
      <c r="DN153" s="675">
        <v>0</v>
      </c>
      <c r="DO153" s="675">
        <v>0</v>
      </c>
      <c r="DP153" s="675">
        <v>0</v>
      </c>
      <c r="DQ153" s="675">
        <v>0</v>
      </c>
      <c r="DR153" s="675">
        <v>0</v>
      </c>
      <c r="DS153" s="675">
        <v>0</v>
      </c>
      <c r="DT153" s="675">
        <v>0</v>
      </c>
      <c r="DU153" s="675">
        <v>0</v>
      </c>
      <c r="DV153" s="675">
        <v>0</v>
      </c>
      <c r="DW153" s="675">
        <v>0</v>
      </c>
      <c r="DX153" s="675">
        <v>0</v>
      </c>
      <c r="DY153" s="675">
        <v>0</v>
      </c>
      <c r="DZ153" s="675">
        <v>0</v>
      </c>
      <c r="EA153" s="675">
        <v>0</v>
      </c>
      <c r="EB153" s="675">
        <v>0</v>
      </c>
      <c r="EC153" s="675">
        <v>0</v>
      </c>
      <c r="ED153" s="675">
        <v>0</v>
      </c>
      <c r="EE153" s="675">
        <v>0</v>
      </c>
      <c r="EF153" s="675">
        <v>0</v>
      </c>
      <c r="EG153" s="675">
        <v>0</v>
      </c>
      <c r="EH153" s="675">
        <v>0</v>
      </c>
      <c r="EI153" s="675">
        <v>0</v>
      </c>
      <c r="EJ153" s="675">
        <v>0</v>
      </c>
      <c r="EK153" s="675">
        <v>0</v>
      </c>
      <c r="EL153" s="675">
        <v>0</v>
      </c>
      <c r="EM153" s="675">
        <v>0</v>
      </c>
      <c r="EN153" s="675">
        <v>0</v>
      </c>
      <c r="EO153" s="675">
        <v>0</v>
      </c>
      <c r="EP153" s="675">
        <v>0</v>
      </c>
      <c r="EQ153" s="675">
        <v>0</v>
      </c>
      <c r="ER153" s="675">
        <v>0</v>
      </c>
      <c r="ES153" s="675">
        <v>0</v>
      </c>
      <c r="ET153" s="675">
        <v>0</v>
      </c>
      <c r="EU153" s="675">
        <v>0</v>
      </c>
      <c r="EV153" s="675">
        <v>0</v>
      </c>
      <c r="EW153" s="675">
        <v>0</v>
      </c>
      <c r="EX153" s="675">
        <v>0</v>
      </c>
      <c r="EY153" s="675">
        <v>0</v>
      </c>
      <c r="EZ153" s="675">
        <v>3079867</v>
      </c>
      <c r="FA153" s="675">
        <v>0</v>
      </c>
      <c r="FB153" s="675">
        <v>3273375</v>
      </c>
      <c r="FC153" s="675">
        <v>0</v>
      </c>
      <c r="FD153" s="675">
        <v>0</v>
      </c>
      <c r="FE153" s="675">
        <v>332652</v>
      </c>
      <c r="FF153" s="675">
        <v>68804</v>
      </c>
      <c r="FG153" s="675">
        <v>6.3574999999999993E-2</v>
      </c>
      <c r="FH153" s="675">
        <v>2.6298999999999999E-2</v>
      </c>
      <c r="FI153" s="675">
        <v>0</v>
      </c>
      <c r="FJ153" s="675">
        <v>0</v>
      </c>
      <c r="FK153" s="675">
        <v>530.88900000000001</v>
      </c>
      <c r="FL153" s="675">
        <v>3734037</v>
      </c>
      <c r="FM153" s="675">
        <v>0</v>
      </c>
      <c r="FN153" s="675">
        <v>0</v>
      </c>
      <c r="FO153" s="675">
        <v>0</v>
      </c>
      <c r="FP153" s="675">
        <v>0</v>
      </c>
      <c r="FQ153" s="675">
        <v>0</v>
      </c>
      <c r="FR153" s="675">
        <v>0</v>
      </c>
      <c r="FS153" s="675">
        <v>0</v>
      </c>
      <c r="FT153" s="675">
        <v>0</v>
      </c>
      <c r="FU153" s="675">
        <v>0</v>
      </c>
      <c r="FV153" s="675">
        <v>0</v>
      </c>
      <c r="FW153" s="675">
        <v>0</v>
      </c>
      <c r="FX153" s="675">
        <v>0</v>
      </c>
      <c r="FY153" s="675">
        <v>0</v>
      </c>
      <c r="FZ153" s="675">
        <v>0</v>
      </c>
      <c r="GA153" s="675">
        <v>0</v>
      </c>
      <c r="GB153" s="675">
        <v>867273</v>
      </c>
      <c r="GC153" s="675">
        <v>867273</v>
      </c>
      <c r="GD153" s="675">
        <v>86.046000000000006</v>
      </c>
      <c r="GE153" s="675">
        <v>0</v>
      </c>
      <c r="GF153" s="675">
        <v>0</v>
      </c>
      <c r="GG153" s="675">
        <v>0</v>
      </c>
      <c r="GH153" s="675">
        <v>0</v>
      </c>
      <c r="GI153" s="675">
        <v>0</v>
      </c>
      <c r="GJ153" s="675">
        <v>0</v>
      </c>
      <c r="GK153" s="675">
        <v>0</v>
      </c>
      <c r="GL153" s="675">
        <v>0</v>
      </c>
      <c r="GM153" s="675">
        <v>0</v>
      </c>
      <c r="GN153" s="675">
        <v>0</v>
      </c>
      <c r="GO153" s="675">
        <v>0</v>
      </c>
      <c r="GP153" s="675">
        <v>0</v>
      </c>
      <c r="GQ153" s="675">
        <v>0</v>
      </c>
      <c r="GR153" s="675">
        <v>0</v>
      </c>
      <c r="GS153" s="675">
        <v>0</v>
      </c>
      <c r="GT153" s="675">
        <v>0</v>
      </c>
      <c r="GU153" s="675">
        <v>0</v>
      </c>
      <c r="GV153" s="675">
        <v>0</v>
      </c>
      <c r="GW153" s="675">
        <v>0</v>
      </c>
      <c r="GX153" s="675">
        <v>0</v>
      </c>
      <c r="GY153" s="675">
        <v>0</v>
      </c>
      <c r="GZ153" s="675">
        <v>0</v>
      </c>
      <c r="HA153" s="675">
        <v>0</v>
      </c>
      <c r="HB153" s="675">
        <v>298386780</v>
      </c>
      <c r="HC153" s="675">
        <v>4.5690999999999996E-2</v>
      </c>
      <c r="HD153" s="675">
        <v>59206</v>
      </c>
      <c r="HE153" s="675">
        <v>0</v>
      </c>
      <c r="HF153" s="675">
        <v>261692</v>
      </c>
      <c r="HG153" s="675">
        <v>0</v>
      </c>
      <c r="HH153" s="675">
        <v>0</v>
      </c>
      <c r="HI153" s="675">
        <v>0</v>
      </c>
      <c r="HJ153" s="675">
        <v>3149</v>
      </c>
      <c r="HK153" s="675">
        <v>0</v>
      </c>
      <c r="HL153" s="675">
        <v>3114</v>
      </c>
      <c r="HM153" s="675">
        <v>644000</v>
      </c>
      <c r="HN153" s="675">
        <v>0</v>
      </c>
      <c r="HO153" s="675">
        <v>0</v>
      </c>
      <c r="HP153" s="675">
        <v>0</v>
      </c>
      <c r="HQ153" s="675">
        <v>0</v>
      </c>
      <c r="HR153" s="675">
        <v>0</v>
      </c>
      <c r="HS153" s="675">
        <v>3079867</v>
      </c>
      <c r="HT153" s="675">
        <v>68804</v>
      </c>
      <c r="HU153" s="675">
        <v>0</v>
      </c>
      <c r="HV153" s="675">
        <v>0</v>
      </c>
      <c r="HW153" s="675">
        <v>0</v>
      </c>
      <c r="HX153" s="675">
        <v>3</v>
      </c>
      <c r="HY153" s="675">
        <v>2</v>
      </c>
      <c r="HZ153" s="675">
        <v>0</v>
      </c>
      <c r="IA153" s="675">
        <v>3</v>
      </c>
      <c r="IB153" s="675">
        <v>2</v>
      </c>
      <c r="IC153" s="675">
        <v>10</v>
      </c>
      <c r="ID153" s="675">
        <v>0</v>
      </c>
      <c r="IE153" s="675">
        <v>0</v>
      </c>
      <c r="IF153" s="675">
        <v>0</v>
      </c>
      <c r="IG153" s="675">
        <v>0</v>
      </c>
      <c r="IH153" s="675">
        <v>0</v>
      </c>
      <c r="II153" s="675">
        <v>0</v>
      </c>
      <c r="IJ153" s="675">
        <v>21.678000000000001</v>
      </c>
      <c r="IK153" s="675">
        <v>0</v>
      </c>
      <c r="IL153" s="675">
        <v>48</v>
      </c>
      <c r="IM153" s="675">
        <v>134</v>
      </c>
      <c r="IN153" s="675">
        <v>1</v>
      </c>
      <c r="IO153" s="675">
        <v>183</v>
      </c>
      <c r="IP153" s="675">
        <v>0</v>
      </c>
      <c r="IQ153" s="675">
        <v>21.678000000000001</v>
      </c>
      <c r="IR153" s="675">
        <v>13354</v>
      </c>
      <c r="IS153" s="675">
        <v>0</v>
      </c>
      <c r="IT153" s="675">
        <v>240000</v>
      </c>
      <c r="IU153" s="675">
        <v>402000</v>
      </c>
      <c r="IV153" s="675">
        <v>2000</v>
      </c>
      <c r="IW153" s="675">
        <v>6160</v>
      </c>
      <c r="IX153" s="675">
        <v>0</v>
      </c>
      <c r="IY153" s="675">
        <v>0</v>
      </c>
      <c r="IZ153" s="675">
        <v>0</v>
      </c>
      <c r="JA153" s="675">
        <v>0</v>
      </c>
      <c r="JB153" s="675">
        <v>0</v>
      </c>
      <c r="JC153" s="675">
        <v>0</v>
      </c>
      <c r="JD153" s="675">
        <v>0</v>
      </c>
      <c r="JE153" s="675">
        <v>0</v>
      </c>
      <c r="JF153" s="675">
        <v>0</v>
      </c>
      <c r="JG153" s="675">
        <v>0</v>
      </c>
      <c r="JH153" s="675">
        <v>0</v>
      </c>
      <c r="JI153" s="675">
        <v>0</v>
      </c>
      <c r="JJ153" s="675">
        <v>0</v>
      </c>
      <c r="JK153" s="675">
        <v>0</v>
      </c>
      <c r="JL153" s="675">
        <v>0</v>
      </c>
      <c r="JM153" s="675">
        <v>0</v>
      </c>
      <c r="JN153" s="675">
        <v>32469</v>
      </c>
      <c r="JO153" s="675">
        <v>7.0180000000000007</v>
      </c>
      <c r="JP153" s="675">
        <v>23.326000000000001</v>
      </c>
      <c r="JQ153" s="675">
        <v>55.702000000000005</v>
      </c>
      <c r="JR153" s="675">
        <v>56046</v>
      </c>
      <c r="JS153" s="675">
        <v>216764</v>
      </c>
      <c r="JT153" s="675">
        <v>594463</v>
      </c>
      <c r="JU153" s="675">
        <v>0</v>
      </c>
      <c r="JV153" s="675">
        <v>0</v>
      </c>
      <c r="JW153" s="675">
        <v>0</v>
      </c>
      <c r="JX153" s="675">
        <v>0</v>
      </c>
      <c r="JY153" s="675">
        <v>0</v>
      </c>
      <c r="JZ153" s="675">
        <v>0</v>
      </c>
      <c r="KA153" s="675">
        <v>0</v>
      </c>
      <c r="KB153" s="675">
        <v>0</v>
      </c>
      <c r="KC153" s="675">
        <v>0</v>
      </c>
      <c r="KD153" s="675">
        <v>0</v>
      </c>
      <c r="KE153" s="675">
        <v>7260</v>
      </c>
      <c r="KF153" s="675">
        <v>0</v>
      </c>
      <c r="KG153" s="675">
        <v>0</v>
      </c>
      <c r="KH153" s="675">
        <v>0</v>
      </c>
      <c r="KI153" s="675">
        <v>0</v>
      </c>
    </row>
    <row r="154" spans="1:295" ht="12.5" x14ac:dyDescent="0.25">
      <c r="A154" s="675">
        <v>35795</v>
      </c>
      <c r="B154" s="675">
        <v>101840</v>
      </c>
      <c r="C154" s="675">
        <v>9</v>
      </c>
      <c r="D154" s="675">
        <v>2022</v>
      </c>
      <c r="E154" s="675">
        <v>6160</v>
      </c>
      <c r="F154" s="675">
        <v>0</v>
      </c>
      <c r="G154" s="675">
        <v>323.983</v>
      </c>
      <c r="H154" s="675">
        <v>313.39500000000004</v>
      </c>
      <c r="I154" s="675">
        <v>313.39500000000004</v>
      </c>
      <c r="J154" s="675">
        <v>323.983</v>
      </c>
      <c r="K154" s="675">
        <v>0</v>
      </c>
      <c r="L154" s="675">
        <v>6160</v>
      </c>
      <c r="M154" s="675">
        <v>0</v>
      </c>
      <c r="N154" s="675">
        <v>0</v>
      </c>
      <c r="O154" s="675">
        <v>0</v>
      </c>
      <c r="P154" s="675">
        <v>318.94900000000001</v>
      </c>
      <c r="Q154" s="675">
        <v>0</v>
      </c>
      <c r="R154" s="675">
        <v>128354</v>
      </c>
      <c r="S154" s="675">
        <v>402.428</v>
      </c>
      <c r="T154" s="675">
        <v>0</v>
      </c>
      <c r="U154" s="675">
        <v>68257</v>
      </c>
      <c r="V154" s="675">
        <v>5.9030000000000005</v>
      </c>
      <c r="W154" s="675">
        <v>3636</v>
      </c>
      <c r="X154" s="675">
        <v>3636</v>
      </c>
      <c r="Y154" s="675">
        <v>0</v>
      </c>
      <c r="Z154" s="675">
        <v>0</v>
      </c>
      <c r="AA154" s="675">
        <v>0</v>
      </c>
      <c r="AB154" s="675">
        <v>0</v>
      </c>
      <c r="AC154" s="675">
        <v>0</v>
      </c>
      <c r="AD154" s="675" t="s">
        <v>316</v>
      </c>
      <c r="AE154" s="675">
        <v>0</v>
      </c>
      <c r="AF154" s="675">
        <v>0</v>
      </c>
      <c r="AG154" s="675">
        <v>0</v>
      </c>
      <c r="AH154" s="675">
        <v>0</v>
      </c>
      <c r="AI154" s="675">
        <v>0</v>
      </c>
      <c r="AJ154" s="675">
        <v>6160</v>
      </c>
      <c r="AK154" s="675" t="s">
        <v>671</v>
      </c>
      <c r="AL154" s="675" t="s">
        <v>29</v>
      </c>
      <c r="AM154" s="675">
        <v>0</v>
      </c>
      <c r="AN154" s="675">
        <v>0</v>
      </c>
      <c r="AO154" s="675">
        <v>0</v>
      </c>
      <c r="AP154" s="675">
        <v>0</v>
      </c>
      <c r="AQ154" s="675">
        <v>0</v>
      </c>
      <c r="AR154" s="675">
        <v>0</v>
      </c>
      <c r="AS154" s="675">
        <v>0</v>
      </c>
      <c r="AT154" s="675">
        <v>0</v>
      </c>
      <c r="AU154" s="675">
        <v>0</v>
      </c>
      <c r="AV154" s="675">
        <v>0</v>
      </c>
      <c r="AW154" s="675">
        <v>3614157</v>
      </c>
      <c r="AX154" s="675">
        <v>3555827</v>
      </c>
      <c r="AY154" s="675">
        <v>2468015</v>
      </c>
      <c r="AZ154" s="675">
        <v>128354</v>
      </c>
      <c r="BA154" s="675">
        <v>0</v>
      </c>
      <c r="BB154" s="675">
        <v>5577</v>
      </c>
      <c r="BC154" s="675">
        <v>5541</v>
      </c>
      <c r="BD154" s="675">
        <v>12.933</v>
      </c>
      <c r="BE154" s="675">
        <v>36</v>
      </c>
      <c r="BF154" s="675">
        <v>3281361</v>
      </c>
      <c r="BG154" s="675">
        <v>0</v>
      </c>
      <c r="BH154" s="675">
        <v>0</v>
      </c>
      <c r="BI154" s="675">
        <v>0</v>
      </c>
      <c r="BJ154" s="675">
        <v>12</v>
      </c>
      <c r="BK154" s="675">
        <v>0</v>
      </c>
      <c r="BL154" s="675">
        <v>0</v>
      </c>
      <c r="BM154" s="675">
        <v>0</v>
      </c>
      <c r="BN154" s="675">
        <v>0</v>
      </c>
      <c r="BO154" s="675">
        <v>0</v>
      </c>
      <c r="BP154" s="675">
        <v>0</v>
      </c>
      <c r="BQ154" s="675">
        <v>722</v>
      </c>
      <c r="BR154" s="675">
        <v>0</v>
      </c>
      <c r="BS154" s="675">
        <v>0</v>
      </c>
      <c r="BT154" s="675">
        <v>0</v>
      </c>
      <c r="BU154" s="675">
        <v>0</v>
      </c>
      <c r="BV154" s="675">
        <v>0</v>
      </c>
      <c r="BW154" s="675">
        <v>0</v>
      </c>
      <c r="BX154" s="675">
        <v>0</v>
      </c>
      <c r="BY154" s="675">
        <v>0</v>
      </c>
      <c r="BZ154" s="675">
        <v>0</v>
      </c>
      <c r="CA154" s="675">
        <v>0</v>
      </c>
      <c r="CB154" s="675">
        <v>0</v>
      </c>
      <c r="CC154" s="675">
        <v>0</v>
      </c>
      <c r="CD154" s="675">
        <v>0</v>
      </c>
      <c r="CE154" s="675">
        <v>0</v>
      </c>
      <c r="CF154" s="675">
        <v>0</v>
      </c>
      <c r="CG154" s="675">
        <v>0</v>
      </c>
      <c r="CH154" s="675">
        <v>59212</v>
      </c>
      <c r="CI154" s="675">
        <v>0</v>
      </c>
      <c r="CJ154" s="675">
        <v>4</v>
      </c>
      <c r="CK154" s="675">
        <v>0</v>
      </c>
      <c r="CL154" s="675">
        <v>0</v>
      </c>
      <c r="CM154" s="675">
        <v>0</v>
      </c>
      <c r="CN154" s="675">
        <v>0</v>
      </c>
      <c r="CO154" s="675">
        <v>1</v>
      </c>
      <c r="CP154" s="675">
        <v>0</v>
      </c>
      <c r="CQ154" s="675">
        <v>0</v>
      </c>
      <c r="CR154" s="675">
        <v>346.904</v>
      </c>
      <c r="CS154" s="675">
        <v>0</v>
      </c>
      <c r="CT154" s="675">
        <v>0</v>
      </c>
      <c r="CU154" s="675">
        <v>0</v>
      </c>
      <c r="CV154" s="675">
        <v>0</v>
      </c>
      <c r="CW154" s="675">
        <v>0</v>
      </c>
      <c r="CX154" s="675">
        <v>0</v>
      </c>
      <c r="CY154" s="675">
        <v>0</v>
      </c>
      <c r="CZ154" s="675">
        <v>0</v>
      </c>
      <c r="DA154" s="675">
        <v>0</v>
      </c>
      <c r="DB154" s="675">
        <v>1930504</v>
      </c>
      <c r="DC154" s="675">
        <v>0</v>
      </c>
      <c r="DD154" s="675">
        <v>0</v>
      </c>
      <c r="DE154" s="675">
        <v>660426</v>
      </c>
      <c r="DF154" s="675">
        <v>660426</v>
      </c>
      <c r="DG154" s="675">
        <v>107.21300000000001</v>
      </c>
      <c r="DH154" s="675">
        <v>0</v>
      </c>
      <c r="DI154" s="675">
        <v>0</v>
      </c>
      <c r="DJ154" s="675">
        <v>0</v>
      </c>
      <c r="DK154" s="675">
        <v>3170</v>
      </c>
      <c r="DL154" s="675">
        <v>0</v>
      </c>
      <c r="DM154" s="675">
        <v>222117</v>
      </c>
      <c r="DN154" s="675">
        <v>846</v>
      </c>
      <c r="DO154" s="675">
        <v>0</v>
      </c>
      <c r="DP154" s="675">
        <v>0</v>
      </c>
      <c r="DQ154" s="675">
        <v>0</v>
      </c>
      <c r="DR154" s="675">
        <v>0</v>
      </c>
      <c r="DS154" s="675">
        <v>0</v>
      </c>
      <c r="DT154" s="675">
        <v>0</v>
      </c>
      <c r="DU154" s="675">
        <v>0</v>
      </c>
      <c r="DV154" s="675">
        <v>0</v>
      </c>
      <c r="DW154" s="675">
        <v>0</v>
      </c>
      <c r="DX154" s="675">
        <v>0</v>
      </c>
      <c r="DY154" s="675">
        <v>0</v>
      </c>
      <c r="DZ154" s="675">
        <v>0</v>
      </c>
      <c r="EA154" s="675">
        <v>0</v>
      </c>
      <c r="EB154" s="675">
        <v>0</v>
      </c>
      <c r="EC154" s="675">
        <v>3.29</v>
      </c>
      <c r="ED154" s="675">
        <v>23306</v>
      </c>
      <c r="EE154" s="675">
        <v>0</v>
      </c>
      <c r="EF154" s="675">
        <v>0</v>
      </c>
      <c r="EG154" s="675">
        <v>0</v>
      </c>
      <c r="EH154" s="675">
        <v>199657</v>
      </c>
      <c r="EI154" s="675">
        <v>0</v>
      </c>
      <c r="EJ154" s="675">
        <v>0</v>
      </c>
      <c r="EK154" s="675">
        <v>10.264000000000001</v>
      </c>
      <c r="EL154" s="675">
        <v>0</v>
      </c>
      <c r="EM154" s="675">
        <v>0</v>
      </c>
      <c r="EN154" s="675">
        <v>0.32400000000000001</v>
      </c>
      <c r="EO154" s="675">
        <v>0</v>
      </c>
      <c r="EP154" s="675">
        <v>0</v>
      </c>
      <c r="EQ154" s="675">
        <v>10.588000000000001</v>
      </c>
      <c r="ER154" s="675">
        <v>0</v>
      </c>
      <c r="ES154" s="675">
        <v>32.411999999999999</v>
      </c>
      <c r="ET154" s="675">
        <v>0</v>
      </c>
      <c r="EU154" s="675">
        <v>0</v>
      </c>
      <c r="EV154" s="675">
        <v>0</v>
      </c>
      <c r="EW154" s="675">
        <v>0</v>
      </c>
      <c r="EX154" s="675">
        <v>0</v>
      </c>
      <c r="EY154" s="675">
        <v>0</v>
      </c>
      <c r="EZ154" s="675">
        <v>3153007</v>
      </c>
      <c r="FA154" s="675">
        <v>0</v>
      </c>
      <c r="FB154" s="675">
        <v>3280479</v>
      </c>
      <c r="FC154" s="675">
        <v>0</v>
      </c>
      <c r="FD154" s="675">
        <v>0</v>
      </c>
      <c r="FE154" s="675">
        <v>333782</v>
      </c>
      <c r="FF154" s="675">
        <v>69038</v>
      </c>
      <c r="FG154" s="675">
        <v>6.3574999999999993E-2</v>
      </c>
      <c r="FH154" s="675">
        <v>2.6298999999999999E-2</v>
      </c>
      <c r="FI154" s="675">
        <v>0</v>
      </c>
      <c r="FJ154" s="675">
        <v>0</v>
      </c>
      <c r="FK154" s="675">
        <v>532.69100000000003</v>
      </c>
      <c r="FL154" s="675">
        <v>3742511</v>
      </c>
      <c r="FM154" s="675">
        <v>0</v>
      </c>
      <c r="FN154" s="675">
        <v>0</v>
      </c>
      <c r="FO154" s="675">
        <v>0</v>
      </c>
      <c r="FP154" s="675">
        <v>0</v>
      </c>
      <c r="FQ154" s="675">
        <v>0</v>
      </c>
      <c r="FR154" s="675">
        <v>0</v>
      </c>
      <c r="FS154" s="675">
        <v>0</v>
      </c>
      <c r="FT154" s="675">
        <v>0</v>
      </c>
      <c r="FU154" s="675">
        <v>0</v>
      </c>
      <c r="FV154" s="675">
        <v>0</v>
      </c>
      <c r="FW154" s="675">
        <v>0</v>
      </c>
      <c r="FX154" s="675">
        <v>0</v>
      </c>
      <c r="FY154" s="675">
        <v>0</v>
      </c>
      <c r="FZ154" s="675">
        <v>0</v>
      </c>
      <c r="GA154" s="675">
        <v>0</v>
      </c>
      <c r="GB154" s="675">
        <v>0</v>
      </c>
      <c r="GC154" s="675">
        <v>0</v>
      </c>
      <c r="GD154" s="675">
        <v>0</v>
      </c>
      <c r="GE154" s="675">
        <v>0</v>
      </c>
      <c r="GF154" s="675">
        <v>0</v>
      </c>
      <c r="GG154" s="675">
        <v>0</v>
      </c>
      <c r="GH154" s="675">
        <v>0</v>
      </c>
      <c r="GI154" s="675">
        <v>0</v>
      </c>
      <c r="GJ154" s="675">
        <v>0</v>
      </c>
      <c r="GK154" s="675">
        <v>0</v>
      </c>
      <c r="GL154" s="675">
        <v>0</v>
      </c>
      <c r="GM154" s="675">
        <v>0</v>
      </c>
      <c r="GN154" s="675">
        <v>0</v>
      </c>
      <c r="GO154" s="675">
        <v>0</v>
      </c>
      <c r="GP154" s="675">
        <v>0</v>
      </c>
      <c r="GQ154" s="675">
        <v>0</v>
      </c>
      <c r="GR154" s="675">
        <v>0</v>
      </c>
      <c r="GS154" s="675">
        <v>0</v>
      </c>
      <c r="GT154" s="675">
        <v>0</v>
      </c>
      <c r="GU154" s="675">
        <v>0</v>
      </c>
      <c r="GV154" s="675">
        <v>0</v>
      </c>
      <c r="GW154" s="675">
        <v>0</v>
      </c>
      <c r="GX154" s="675">
        <v>0</v>
      </c>
      <c r="GY154" s="675">
        <v>0</v>
      </c>
      <c r="GZ154" s="675">
        <v>0</v>
      </c>
      <c r="HA154" s="675">
        <v>0</v>
      </c>
      <c r="HB154" s="675">
        <v>298386780</v>
      </c>
      <c r="HC154" s="675">
        <v>4.5690999999999996E-2</v>
      </c>
      <c r="HD154" s="675">
        <v>59212</v>
      </c>
      <c r="HE154" s="675">
        <v>0</v>
      </c>
      <c r="HF154" s="675">
        <v>344735</v>
      </c>
      <c r="HG154" s="675">
        <v>0</v>
      </c>
      <c r="HH154" s="675">
        <v>110371</v>
      </c>
      <c r="HI154" s="675">
        <v>0</v>
      </c>
      <c r="HJ154" s="675">
        <v>3149</v>
      </c>
      <c r="HK154" s="675">
        <v>0</v>
      </c>
      <c r="HL154" s="675">
        <v>0</v>
      </c>
      <c r="HM154" s="675">
        <v>0</v>
      </c>
      <c r="HN154" s="675">
        <v>0</v>
      </c>
      <c r="HO154" s="675">
        <v>0</v>
      </c>
      <c r="HP154" s="675">
        <v>0</v>
      </c>
      <c r="HQ154" s="675">
        <v>0</v>
      </c>
      <c r="HR154" s="675">
        <v>0</v>
      </c>
      <c r="HS154" s="675">
        <v>3152125</v>
      </c>
      <c r="HT154" s="675">
        <v>69038</v>
      </c>
      <c r="HU154" s="675">
        <v>0</v>
      </c>
      <c r="HV154" s="675">
        <v>0</v>
      </c>
      <c r="HW154" s="675">
        <v>0</v>
      </c>
      <c r="HX154" s="675">
        <v>52</v>
      </c>
      <c r="HY154" s="675">
        <v>45</v>
      </c>
      <c r="HZ154" s="675">
        <v>49</v>
      </c>
      <c r="IA154" s="675">
        <v>68</v>
      </c>
      <c r="IB154" s="675">
        <v>199</v>
      </c>
      <c r="IC154" s="675">
        <v>413</v>
      </c>
      <c r="ID154" s="675">
        <v>0</v>
      </c>
      <c r="IE154" s="675">
        <v>0</v>
      </c>
      <c r="IF154" s="675">
        <v>0</v>
      </c>
      <c r="IG154" s="675">
        <v>0</v>
      </c>
      <c r="IH154" s="675">
        <v>179.17500000000001</v>
      </c>
      <c r="II154" s="675">
        <v>0</v>
      </c>
      <c r="IJ154" s="675">
        <v>5.9030000000000005</v>
      </c>
      <c r="IK154" s="675">
        <v>0</v>
      </c>
      <c r="IL154" s="675">
        <v>0</v>
      </c>
      <c r="IM154" s="675">
        <v>0</v>
      </c>
      <c r="IN154" s="675">
        <v>0</v>
      </c>
      <c r="IO154" s="675">
        <v>0</v>
      </c>
      <c r="IP154" s="675">
        <v>0</v>
      </c>
      <c r="IQ154" s="675">
        <v>5.9030000000000005</v>
      </c>
      <c r="IR154" s="675">
        <v>3636</v>
      </c>
      <c r="IS154" s="675">
        <v>0</v>
      </c>
      <c r="IT154" s="675">
        <v>0</v>
      </c>
      <c r="IU154" s="675">
        <v>0</v>
      </c>
      <c r="IV154" s="675">
        <v>0</v>
      </c>
      <c r="IW154" s="675">
        <v>6160</v>
      </c>
      <c r="IX154" s="675">
        <v>0</v>
      </c>
      <c r="IY154" s="675">
        <v>0</v>
      </c>
      <c r="IZ154" s="675">
        <v>0</v>
      </c>
      <c r="JA154" s="675">
        <v>0</v>
      </c>
      <c r="JB154" s="675">
        <v>0</v>
      </c>
      <c r="JC154" s="675">
        <v>0</v>
      </c>
      <c r="JD154" s="675">
        <v>0</v>
      </c>
      <c r="JE154" s="675">
        <v>0</v>
      </c>
      <c r="JF154" s="675">
        <v>0</v>
      </c>
      <c r="JG154" s="675">
        <v>0</v>
      </c>
      <c r="JH154" s="675">
        <v>0</v>
      </c>
      <c r="JI154" s="675">
        <v>0</v>
      </c>
      <c r="JJ154" s="675">
        <v>0</v>
      </c>
      <c r="JK154" s="675">
        <v>0</v>
      </c>
      <c r="JL154" s="675">
        <v>0</v>
      </c>
      <c r="JM154" s="675">
        <v>0</v>
      </c>
      <c r="JN154" s="675">
        <v>32469</v>
      </c>
      <c r="JO154" s="675">
        <v>0</v>
      </c>
      <c r="JP154" s="675">
        <v>0</v>
      </c>
      <c r="JQ154" s="675">
        <v>0</v>
      </c>
      <c r="JR154" s="675">
        <v>0</v>
      </c>
      <c r="JS154" s="675">
        <v>0</v>
      </c>
      <c r="JT154" s="675">
        <v>0</v>
      </c>
      <c r="JU154" s="675">
        <v>5577</v>
      </c>
      <c r="JV154" s="675">
        <v>0</v>
      </c>
      <c r="JW154" s="675">
        <v>0</v>
      </c>
      <c r="JX154" s="675">
        <v>0</v>
      </c>
      <c r="JY154" s="675">
        <v>0</v>
      </c>
      <c r="JZ154" s="675">
        <v>0</v>
      </c>
      <c r="KA154" s="675">
        <v>0</v>
      </c>
      <c r="KB154" s="675">
        <v>0</v>
      </c>
      <c r="KC154" s="675">
        <v>0</v>
      </c>
      <c r="KD154" s="675">
        <v>5577</v>
      </c>
      <c r="KE154" s="675">
        <v>7260</v>
      </c>
      <c r="KF154" s="675">
        <v>0</v>
      </c>
      <c r="KG154" s="675">
        <v>0</v>
      </c>
      <c r="KH154" s="675">
        <v>0</v>
      </c>
      <c r="KI154" s="675">
        <v>0</v>
      </c>
    </row>
    <row r="155" spans="1:295" ht="12.5" x14ac:dyDescent="0.25">
      <c r="A155" s="675">
        <v>35795</v>
      </c>
      <c r="B155" s="675">
        <v>15841</v>
      </c>
      <c r="C155" s="675">
        <v>9</v>
      </c>
      <c r="D155" s="675">
        <v>2022</v>
      </c>
      <c r="E155" s="675">
        <v>6160</v>
      </c>
      <c r="F155" s="675">
        <v>0</v>
      </c>
      <c r="G155" s="675">
        <v>592.80000000000007</v>
      </c>
      <c r="H155" s="675">
        <v>589.91600000000005</v>
      </c>
      <c r="I155" s="675">
        <v>589.91600000000005</v>
      </c>
      <c r="J155" s="675">
        <v>592.80000000000007</v>
      </c>
      <c r="K155" s="675">
        <v>0</v>
      </c>
      <c r="L155" s="675">
        <v>6160</v>
      </c>
      <c r="M155" s="675">
        <v>0</v>
      </c>
      <c r="N155" s="675">
        <v>0</v>
      </c>
      <c r="O155" s="675">
        <v>0</v>
      </c>
      <c r="P155" s="675">
        <v>326.25300000000004</v>
      </c>
      <c r="Q155" s="675">
        <v>0</v>
      </c>
      <c r="R155" s="675">
        <v>131293</v>
      </c>
      <c r="S155" s="675">
        <v>402.428</v>
      </c>
      <c r="T155" s="675">
        <v>0</v>
      </c>
      <c r="U155" s="675">
        <v>69818</v>
      </c>
      <c r="V155" s="675">
        <v>3.8000000000000003</v>
      </c>
      <c r="W155" s="675">
        <v>2341</v>
      </c>
      <c r="X155" s="675">
        <v>2341</v>
      </c>
      <c r="Y155" s="675">
        <v>0</v>
      </c>
      <c r="Z155" s="675">
        <v>0</v>
      </c>
      <c r="AA155" s="675">
        <v>0</v>
      </c>
      <c r="AB155" s="675">
        <v>0</v>
      </c>
      <c r="AC155" s="675">
        <v>0</v>
      </c>
      <c r="AD155" s="675" t="s">
        <v>316</v>
      </c>
      <c r="AE155" s="675">
        <v>0</v>
      </c>
      <c r="AF155" s="675">
        <v>0</v>
      </c>
      <c r="AG155" s="675">
        <v>0</v>
      </c>
      <c r="AH155" s="675">
        <v>0</v>
      </c>
      <c r="AI155" s="675">
        <v>0</v>
      </c>
      <c r="AJ155" s="675">
        <v>6160</v>
      </c>
      <c r="AK155" s="675" t="s">
        <v>671</v>
      </c>
      <c r="AL155" s="675" t="s">
        <v>546</v>
      </c>
      <c r="AM155" s="675">
        <v>0</v>
      </c>
      <c r="AN155" s="675">
        <v>0</v>
      </c>
      <c r="AO155" s="675">
        <v>0</v>
      </c>
      <c r="AP155" s="675">
        <v>0</v>
      </c>
      <c r="AQ155" s="675">
        <v>0</v>
      </c>
      <c r="AR155" s="675">
        <v>0</v>
      </c>
      <c r="AS155" s="675">
        <v>0</v>
      </c>
      <c r="AT155" s="675">
        <v>0</v>
      </c>
      <c r="AU155" s="675">
        <v>0</v>
      </c>
      <c r="AV155" s="675">
        <v>-184</v>
      </c>
      <c r="AW155" s="675">
        <v>6816175</v>
      </c>
      <c r="AX155" s="675">
        <v>6078210</v>
      </c>
      <c r="AY155" s="675">
        <v>3663338</v>
      </c>
      <c r="AZ155" s="675">
        <v>131293</v>
      </c>
      <c r="BA155" s="675">
        <v>0</v>
      </c>
      <c r="BB155" s="675">
        <v>0</v>
      </c>
      <c r="BC155" s="675">
        <v>0</v>
      </c>
      <c r="BD155" s="675">
        <v>0</v>
      </c>
      <c r="BE155" s="675">
        <v>0</v>
      </c>
      <c r="BF155" s="675">
        <v>5317544</v>
      </c>
      <c r="BG155" s="675">
        <v>0</v>
      </c>
      <c r="BH155" s="675">
        <v>0</v>
      </c>
      <c r="BI155" s="675">
        <v>0</v>
      </c>
      <c r="BJ155" s="675">
        <v>12</v>
      </c>
      <c r="BK155" s="675">
        <v>0</v>
      </c>
      <c r="BL155" s="675">
        <v>0</v>
      </c>
      <c r="BM155" s="675">
        <v>0</v>
      </c>
      <c r="BN155" s="675">
        <v>0</v>
      </c>
      <c r="BO155" s="675">
        <v>0</v>
      </c>
      <c r="BP155" s="675">
        <v>0</v>
      </c>
      <c r="BQ155" s="675">
        <v>679</v>
      </c>
      <c r="BR155" s="675">
        <v>0</v>
      </c>
      <c r="BS155" s="675">
        <v>0</v>
      </c>
      <c r="BT155" s="675">
        <v>0</v>
      </c>
      <c r="BU155" s="675">
        <v>0</v>
      </c>
      <c r="BV155" s="675">
        <v>0</v>
      </c>
      <c r="BW155" s="675">
        <v>0</v>
      </c>
      <c r="BX155" s="675">
        <v>0</v>
      </c>
      <c r="BY155" s="675">
        <v>0</v>
      </c>
      <c r="BZ155" s="675">
        <v>0</v>
      </c>
      <c r="CA155" s="675">
        <v>280.47200000000004</v>
      </c>
      <c r="CB155" s="675">
        <v>239179</v>
      </c>
      <c r="CC155" s="675">
        <v>0</v>
      </c>
      <c r="CD155" s="675">
        <v>0</v>
      </c>
      <c r="CE155" s="675">
        <v>0</v>
      </c>
      <c r="CF155" s="675">
        <v>0</v>
      </c>
      <c r="CG155" s="675">
        <v>0</v>
      </c>
      <c r="CH155" s="675">
        <v>739383</v>
      </c>
      <c r="CI155" s="675">
        <v>0</v>
      </c>
      <c r="CJ155" s="675">
        <v>5</v>
      </c>
      <c r="CK155" s="675">
        <v>0</v>
      </c>
      <c r="CL155" s="675">
        <v>0</v>
      </c>
      <c r="CM155" s="675">
        <v>0</v>
      </c>
      <c r="CN155" s="675">
        <v>0</v>
      </c>
      <c r="CO155" s="675">
        <v>1</v>
      </c>
      <c r="CP155" s="675">
        <v>0</v>
      </c>
      <c r="CQ155" s="675">
        <v>0</v>
      </c>
      <c r="CR155" s="675">
        <v>325.327</v>
      </c>
      <c r="CS155" s="675">
        <v>0</v>
      </c>
      <c r="CT155" s="675">
        <v>0</v>
      </c>
      <c r="CU155" s="675">
        <v>0</v>
      </c>
      <c r="CV155" s="675">
        <v>0</v>
      </c>
      <c r="CW155" s="675">
        <v>0</v>
      </c>
      <c r="CX155" s="675">
        <v>0</v>
      </c>
      <c r="CY155" s="675">
        <v>0</v>
      </c>
      <c r="CZ155" s="675">
        <v>0</v>
      </c>
      <c r="DA155" s="675">
        <v>0</v>
      </c>
      <c r="DB155" s="675">
        <v>3633866</v>
      </c>
      <c r="DC155" s="675">
        <v>0</v>
      </c>
      <c r="DD155" s="675">
        <v>0</v>
      </c>
      <c r="DE155" s="675">
        <v>411409</v>
      </c>
      <c r="DF155" s="675">
        <v>411409</v>
      </c>
      <c r="DG155" s="675">
        <v>66.787999999999997</v>
      </c>
      <c r="DH155" s="675">
        <v>0</v>
      </c>
      <c r="DI155" s="675">
        <v>0</v>
      </c>
      <c r="DJ155" s="675">
        <v>0</v>
      </c>
      <c r="DK155" s="675">
        <v>2489</v>
      </c>
      <c r="DL155" s="675">
        <v>0</v>
      </c>
      <c r="DM155" s="675">
        <v>372369</v>
      </c>
      <c r="DN155" s="675">
        <v>1418</v>
      </c>
      <c r="DO155" s="675">
        <v>0</v>
      </c>
      <c r="DP155" s="675">
        <v>0</v>
      </c>
      <c r="DQ155" s="675">
        <v>0</v>
      </c>
      <c r="DR155" s="675">
        <v>0</v>
      </c>
      <c r="DS155" s="675">
        <v>0</v>
      </c>
      <c r="DT155" s="675">
        <v>0</v>
      </c>
      <c r="DU155" s="675">
        <v>0</v>
      </c>
      <c r="DV155" s="675">
        <v>0</v>
      </c>
      <c r="DW155" s="675">
        <v>0</v>
      </c>
      <c r="DX155" s="675">
        <v>0</v>
      </c>
      <c r="DY155" s="675">
        <v>0</v>
      </c>
      <c r="DZ155" s="675">
        <v>0</v>
      </c>
      <c r="EA155" s="675">
        <v>0</v>
      </c>
      <c r="EB155" s="675">
        <v>0</v>
      </c>
      <c r="EC155" s="675">
        <v>41.800000000000004</v>
      </c>
      <c r="ED155" s="675">
        <v>296110</v>
      </c>
      <c r="EE155" s="675">
        <v>0</v>
      </c>
      <c r="EF155" s="675">
        <v>0</v>
      </c>
      <c r="EG155" s="675">
        <v>0</v>
      </c>
      <c r="EH155" s="675">
        <v>77677</v>
      </c>
      <c r="EI155" s="675">
        <v>0</v>
      </c>
      <c r="EJ155" s="675">
        <v>0</v>
      </c>
      <c r="EK155" s="675">
        <v>0.90500000000000003</v>
      </c>
      <c r="EL155" s="675">
        <v>0</v>
      </c>
      <c r="EM155" s="675">
        <v>0</v>
      </c>
      <c r="EN155" s="675">
        <v>1.9790000000000001</v>
      </c>
      <c r="EO155" s="675">
        <v>0</v>
      </c>
      <c r="EP155" s="675">
        <v>0</v>
      </c>
      <c r="EQ155" s="675">
        <v>2.8840000000000003</v>
      </c>
      <c r="ER155" s="675">
        <v>0</v>
      </c>
      <c r="ES155" s="675">
        <v>12.61</v>
      </c>
      <c r="ET155" s="675">
        <v>0</v>
      </c>
      <c r="EU155" s="675">
        <v>0</v>
      </c>
      <c r="EV155" s="675">
        <v>0</v>
      </c>
      <c r="EW155" s="675">
        <v>0</v>
      </c>
      <c r="EX155" s="675">
        <v>0</v>
      </c>
      <c r="EY155" s="675">
        <v>0</v>
      </c>
      <c r="EZ155" s="675">
        <v>5425430</v>
      </c>
      <c r="FA155" s="675">
        <v>0</v>
      </c>
      <c r="FB155" s="675">
        <v>5555305</v>
      </c>
      <c r="FC155" s="675">
        <v>0</v>
      </c>
      <c r="FD155" s="675">
        <v>0</v>
      </c>
      <c r="FE155" s="675">
        <v>540903</v>
      </c>
      <c r="FF155" s="675">
        <v>111877</v>
      </c>
      <c r="FG155" s="675">
        <v>6.3574999999999993E-2</v>
      </c>
      <c r="FH155" s="675">
        <v>2.6298999999999999E-2</v>
      </c>
      <c r="FI155" s="675">
        <v>0</v>
      </c>
      <c r="FJ155" s="675">
        <v>0</v>
      </c>
      <c r="FK155" s="675">
        <v>863.24200000000008</v>
      </c>
      <c r="FL155" s="675">
        <v>6947468</v>
      </c>
      <c r="FM155" s="675">
        <v>0</v>
      </c>
      <c r="FN155" s="675">
        <v>0</v>
      </c>
      <c r="FO155" s="675">
        <v>0</v>
      </c>
      <c r="FP155" s="675">
        <v>0</v>
      </c>
      <c r="FQ155" s="675">
        <v>0</v>
      </c>
      <c r="FR155" s="675">
        <v>0</v>
      </c>
      <c r="FS155" s="675">
        <v>0</v>
      </c>
      <c r="FT155" s="675">
        <v>0</v>
      </c>
      <c r="FU155" s="675">
        <v>0</v>
      </c>
      <c r="FV155" s="675">
        <v>0</v>
      </c>
      <c r="FW155" s="675">
        <v>0</v>
      </c>
      <c r="FX155" s="675">
        <v>0</v>
      </c>
      <c r="FY155" s="675">
        <v>0</v>
      </c>
      <c r="FZ155" s="675">
        <v>0</v>
      </c>
      <c r="GA155" s="675">
        <v>0</v>
      </c>
      <c r="GB155" s="675">
        <v>0</v>
      </c>
      <c r="GC155" s="675">
        <v>0</v>
      </c>
      <c r="GD155" s="675">
        <v>0</v>
      </c>
      <c r="GE155" s="675">
        <v>0</v>
      </c>
      <c r="GF155" s="675">
        <v>0</v>
      </c>
      <c r="GG155" s="675">
        <v>0</v>
      </c>
      <c r="GH155" s="675">
        <v>0</v>
      </c>
      <c r="GI155" s="675">
        <v>0</v>
      </c>
      <c r="GJ155" s="675">
        <v>0</v>
      </c>
      <c r="GK155" s="675">
        <v>0</v>
      </c>
      <c r="GL155" s="675">
        <v>0</v>
      </c>
      <c r="GM155" s="675">
        <v>0</v>
      </c>
      <c r="GN155" s="675">
        <v>0</v>
      </c>
      <c r="GO155" s="675">
        <v>0</v>
      </c>
      <c r="GP155" s="675">
        <v>0</v>
      </c>
      <c r="GQ155" s="675">
        <v>0</v>
      </c>
      <c r="GR155" s="675">
        <v>0</v>
      </c>
      <c r="GS155" s="675">
        <v>0</v>
      </c>
      <c r="GT155" s="675">
        <v>0</v>
      </c>
      <c r="GU155" s="675">
        <v>0</v>
      </c>
      <c r="GV155" s="675">
        <v>0</v>
      </c>
      <c r="GW155" s="675">
        <v>0</v>
      </c>
      <c r="GX155" s="675">
        <v>0</v>
      </c>
      <c r="GY155" s="675">
        <v>0</v>
      </c>
      <c r="GZ155" s="675">
        <v>0</v>
      </c>
      <c r="HA155" s="675">
        <v>0</v>
      </c>
      <c r="HB155" s="675">
        <v>0</v>
      </c>
      <c r="HC155" s="675">
        <v>4.5690999999999996E-2</v>
      </c>
      <c r="HD155" s="675">
        <v>0</v>
      </c>
      <c r="HE155" s="675">
        <v>0</v>
      </c>
      <c r="HF155" s="675">
        <v>648908</v>
      </c>
      <c r="HG155" s="675">
        <v>7392</v>
      </c>
      <c r="HH155" s="675">
        <v>234079</v>
      </c>
      <c r="HI155" s="675">
        <v>0</v>
      </c>
      <c r="HJ155" s="675">
        <v>5762</v>
      </c>
      <c r="HK155" s="675">
        <v>0</v>
      </c>
      <c r="HL155" s="675">
        <v>0</v>
      </c>
      <c r="HM155" s="675">
        <v>0</v>
      </c>
      <c r="HN155" s="675">
        <v>0</v>
      </c>
      <c r="HO155" s="675">
        <v>0</v>
      </c>
      <c r="HP155" s="675">
        <v>0</v>
      </c>
      <c r="HQ155" s="675">
        <v>0</v>
      </c>
      <c r="HR155" s="675">
        <v>0</v>
      </c>
      <c r="HS155" s="675">
        <v>5424012</v>
      </c>
      <c r="HT155" s="675">
        <v>111877</v>
      </c>
      <c r="HU155" s="675">
        <v>0</v>
      </c>
      <c r="HV155" s="675">
        <v>0</v>
      </c>
      <c r="HW155" s="675">
        <v>0</v>
      </c>
      <c r="HX155" s="675">
        <v>45</v>
      </c>
      <c r="HY155" s="675">
        <v>58</v>
      </c>
      <c r="HZ155" s="675">
        <v>71</v>
      </c>
      <c r="IA155" s="675">
        <v>57</v>
      </c>
      <c r="IB155" s="675">
        <v>37</v>
      </c>
      <c r="IC155" s="675">
        <v>268</v>
      </c>
      <c r="ID155" s="675">
        <v>0</v>
      </c>
      <c r="IE155" s="675">
        <v>0</v>
      </c>
      <c r="IF155" s="675">
        <v>0</v>
      </c>
      <c r="IG155" s="675">
        <v>12</v>
      </c>
      <c r="IH155" s="675">
        <v>380</v>
      </c>
      <c r="II155" s="675">
        <v>0</v>
      </c>
      <c r="IJ155" s="675">
        <v>3.8000000000000003</v>
      </c>
      <c r="IK155" s="675">
        <v>0</v>
      </c>
      <c r="IL155" s="675">
        <v>0</v>
      </c>
      <c r="IM155" s="675">
        <v>0</v>
      </c>
      <c r="IN155" s="675">
        <v>0</v>
      </c>
      <c r="IO155" s="675">
        <v>0</v>
      </c>
      <c r="IP155" s="675">
        <v>0</v>
      </c>
      <c r="IQ155" s="675">
        <v>3.8000000000000003</v>
      </c>
      <c r="IR155" s="675">
        <v>2341</v>
      </c>
      <c r="IS155" s="675">
        <v>0</v>
      </c>
      <c r="IT155" s="675">
        <v>0</v>
      </c>
      <c r="IU155" s="675">
        <v>0</v>
      </c>
      <c r="IV155" s="675">
        <v>0</v>
      </c>
      <c r="IW155" s="675">
        <v>6160</v>
      </c>
      <c r="IX155" s="675">
        <v>0</v>
      </c>
      <c r="IY155" s="675">
        <v>0</v>
      </c>
      <c r="IZ155" s="675">
        <v>0</v>
      </c>
      <c r="JA155" s="675">
        <v>0</v>
      </c>
      <c r="JB155" s="675">
        <v>0</v>
      </c>
      <c r="JC155" s="675">
        <v>0</v>
      </c>
      <c r="JD155" s="675">
        <v>0</v>
      </c>
      <c r="JE155" s="675">
        <v>0</v>
      </c>
      <c r="JF155" s="675">
        <v>0</v>
      </c>
      <c r="JG155" s="675">
        <v>0</v>
      </c>
      <c r="JH155" s="675">
        <v>0</v>
      </c>
      <c r="JI155" s="675">
        <v>0</v>
      </c>
      <c r="JJ155" s="675">
        <v>0</v>
      </c>
      <c r="JK155" s="675">
        <v>0</v>
      </c>
      <c r="JL155" s="675">
        <v>0</v>
      </c>
      <c r="JM155" s="675">
        <v>0</v>
      </c>
      <c r="JN155" s="675">
        <v>0</v>
      </c>
      <c r="JO155" s="675">
        <v>0</v>
      </c>
      <c r="JP155" s="675">
        <v>0</v>
      </c>
      <c r="JQ155" s="675">
        <v>0</v>
      </c>
      <c r="JR155" s="675">
        <v>0</v>
      </c>
      <c r="JS155" s="675">
        <v>0</v>
      </c>
      <c r="JT155" s="675">
        <v>0</v>
      </c>
      <c r="JU155" s="675">
        <v>0</v>
      </c>
      <c r="JV155" s="675">
        <v>0</v>
      </c>
      <c r="JW155" s="675">
        <v>0</v>
      </c>
      <c r="JX155" s="675">
        <v>0</v>
      </c>
      <c r="JY155" s="675">
        <v>0</v>
      </c>
      <c r="JZ155" s="675">
        <v>0</v>
      </c>
      <c r="KA155" s="675">
        <v>0</v>
      </c>
      <c r="KB155" s="675">
        <v>0</v>
      </c>
      <c r="KC155" s="675">
        <v>0</v>
      </c>
      <c r="KD155" s="675">
        <v>0</v>
      </c>
      <c r="KE155" s="675">
        <v>7260</v>
      </c>
      <c r="KF155" s="675">
        <v>739383</v>
      </c>
      <c r="KG155" s="675">
        <v>0</v>
      </c>
      <c r="KH155" s="675">
        <v>0</v>
      </c>
      <c r="KI155" s="675">
        <v>0</v>
      </c>
    </row>
    <row r="156" spans="1:295" ht="12.5" x14ac:dyDescent="0.25">
      <c r="A156" s="675">
        <v>35795</v>
      </c>
      <c r="B156" s="675">
        <v>57841</v>
      </c>
      <c r="C156" s="675">
        <v>9</v>
      </c>
      <c r="D156" s="675">
        <v>2022</v>
      </c>
      <c r="E156" s="675">
        <v>6160</v>
      </c>
      <c r="F156" s="675">
        <v>0</v>
      </c>
      <c r="G156" s="675">
        <v>1039.2170000000001</v>
      </c>
      <c r="H156" s="675">
        <v>1025.4260000000002</v>
      </c>
      <c r="I156" s="675">
        <v>1025.4260000000002</v>
      </c>
      <c r="J156" s="675">
        <v>1039.2170000000001</v>
      </c>
      <c r="K156" s="675">
        <v>0</v>
      </c>
      <c r="L156" s="675">
        <v>6160</v>
      </c>
      <c r="M156" s="675">
        <v>0</v>
      </c>
      <c r="N156" s="675">
        <v>0</v>
      </c>
      <c r="O156" s="675">
        <v>0</v>
      </c>
      <c r="P156" s="675">
        <v>975.01600000000008</v>
      </c>
      <c r="Q156" s="675">
        <v>0</v>
      </c>
      <c r="R156" s="675">
        <v>392374</v>
      </c>
      <c r="S156" s="675">
        <v>402.428</v>
      </c>
      <c r="T156" s="675">
        <v>0</v>
      </c>
      <c r="U156" s="675">
        <v>208656</v>
      </c>
      <c r="V156" s="675">
        <v>566.23300000000006</v>
      </c>
      <c r="W156" s="675">
        <v>386522</v>
      </c>
      <c r="X156" s="675">
        <v>386522</v>
      </c>
      <c r="Y156" s="675">
        <v>0</v>
      </c>
      <c r="Z156" s="675">
        <v>0</v>
      </c>
      <c r="AA156" s="675">
        <v>0</v>
      </c>
      <c r="AB156" s="675">
        <v>0</v>
      </c>
      <c r="AC156" s="675">
        <v>0</v>
      </c>
      <c r="AD156" s="675" t="s">
        <v>316</v>
      </c>
      <c r="AE156" s="675">
        <v>0</v>
      </c>
      <c r="AF156" s="675">
        <v>0</v>
      </c>
      <c r="AG156" s="675">
        <v>0</v>
      </c>
      <c r="AH156" s="675">
        <v>0</v>
      </c>
      <c r="AI156" s="675">
        <v>0</v>
      </c>
      <c r="AJ156" s="675">
        <v>6160</v>
      </c>
      <c r="AK156" s="675" t="s">
        <v>671</v>
      </c>
      <c r="AL156" s="675" t="s">
        <v>331</v>
      </c>
      <c r="AM156" s="675">
        <v>0</v>
      </c>
      <c r="AN156" s="675">
        <v>0</v>
      </c>
      <c r="AO156" s="675">
        <v>0</v>
      </c>
      <c r="AP156" s="675">
        <v>0</v>
      </c>
      <c r="AQ156" s="675">
        <v>0</v>
      </c>
      <c r="AR156" s="675">
        <v>0</v>
      </c>
      <c r="AS156" s="675">
        <v>0</v>
      </c>
      <c r="AT156" s="675">
        <v>0</v>
      </c>
      <c r="AU156" s="675">
        <v>0</v>
      </c>
      <c r="AV156" s="675">
        <v>0</v>
      </c>
      <c r="AW156" s="675">
        <v>12145367</v>
      </c>
      <c r="AX156" s="675">
        <v>11958338</v>
      </c>
      <c r="AY156" s="675">
        <v>8112068</v>
      </c>
      <c r="AZ156" s="675">
        <v>392374</v>
      </c>
      <c r="BA156" s="675">
        <v>0</v>
      </c>
      <c r="BB156" s="675">
        <v>0</v>
      </c>
      <c r="BC156" s="675">
        <v>0</v>
      </c>
      <c r="BD156" s="675">
        <v>0</v>
      </c>
      <c r="BE156" s="675">
        <v>0</v>
      </c>
      <c r="BF156" s="675">
        <v>10924613</v>
      </c>
      <c r="BG156" s="675">
        <v>0</v>
      </c>
      <c r="BH156" s="675">
        <v>0</v>
      </c>
      <c r="BI156" s="675">
        <v>0</v>
      </c>
      <c r="BJ156" s="675">
        <v>12</v>
      </c>
      <c r="BK156" s="675">
        <v>0</v>
      </c>
      <c r="BL156" s="675">
        <v>0</v>
      </c>
      <c r="BM156" s="675">
        <v>0</v>
      </c>
      <c r="BN156" s="675">
        <v>0</v>
      </c>
      <c r="BO156" s="675">
        <v>0</v>
      </c>
      <c r="BP156" s="675">
        <v>0</v>
      </c>
      <c r="BQ156" s="675">
        <v>612</v>
      </c>
      <c r="BR156" s="675">
        <v>0</v>
      </c>
      <c r="BS156" s="675">
        <v>0</v>
      </c>
      <c r="BT156" s="675">
        <v>0</v>
      </c>
      <c r="BU156" s="675">
        <v>0</v>
      </c>
      <c r="BV156" s="675">
        <v>0</v>
      </c>
      <c r="BW156" s="675">
        <v>0</v>
      </c>
      <c r="BX156" s="675">
        <v>0</v>
      </c>
      <c r="BY156" s="675">
        <v>0</v>
      </c>
      <c r="BZ156" s="675">
        <v>0</v>
      </c>
      <c r="CA156" s="675">
        <v>99.67</v>
      </c>
      <c r="CB156" s="675">
        <v>84996</v>
      </c>
      <c r="CC156" s="675">
        <v>0</v>
      </c>
      <c r="CD156" s="675">
        <v>0</v>
      </c>
      <c r="CE156" s="675">
        <v>0</v>
      </c>
      <c r="CF156" s="675">
        <v>0</v>
      </c>
      <c r="CG156" s="675">
        <v>0</v>
      </c>
      <c r="CH156" s="675">
        <v>189930</v>
      </c>
      <c r="CI156" s="675">
        <v>0</v>
      </c>
      <c r="CJ156" s="675">
        <v>4</v>
      </c>
      <c r="CK156" s="675">
        <v>0</v>
      </c>
      <c r="CL156" s="675">
        <v>0</v>
      </c>
      <c r="CM156" s="675">
        <v>0</v>
      </c>
      <c r="CN156" s="675">
        <v>0</v>
      </c>
      <c r="CO156" s="675">
        <v>1</v>
      </c>
      <c r="CP156" s="675">
        <v>0</v>
      </c>
      <c r="CQ156" s="675">
        <v>0</v>
      </c>
      <c r="CR156" s="675">
        <v>1049.2240000000002</v>
      </c>
      <c r="CS156" s="675">
        <v>0</v>
      </c>
      <c r="CT156" s="675">
        <v>0</v>
      </c>
      <c r="CU156" s="675">
        <v>0</v>
      </c>
      <c r="CV156" s="675">
        <v>0</v>
      </c>
      <c r="CW156" s="675">
        <v>0</v>
      </c>
      <c r="CX156" s="675">
        <v>0</v>
      </c>
      <c r="CY156" s="675">
        <v>0</v>
      </c>
      <c r="CZ156" s="675">
        <v>0</v>
      </c>
      <c r="DA156" s="675">
        <v>0</v>
      </c>
      <c r="DB156" s="675">
        <v>6316595</v>
      </c>
      <c r="DC156" s="675">
        <v>0</v>
      </c>
      <c r="DD156" s="675">
        <v>0</v>
      </c>
      <c r="DE156" s="675">
        <v>1841831</v>
      </c>
      <c r="DF156" s="675">
        <v>1841831</v>
      </c>
      <c r="DG156" s="675">
        <v>299</v>
      </c>
      <c r="DH156" s="675">
        <v>0</v>
      </c>
      <c r="DI156" s="675">
        <v>0</v>
      </c>
      <c r="DJ156" s="675">
        <v>0</v>
      </c>
      <c r="DK156" s="675">
        <v>1416</v>
      </c>
      <c r="DL156" s="675">
        <v>0</v>
      </c>
      <c r="DM156" s="675">
        <v>761604</v>
      </c>
      <c r="DN156" s="675">
        <v>2901</v>
      </c>
      <c r="DO156" s="675">
        <v>0</v>
      </c>
      <c r="DP156" s="675">
        <v>0</v>
      </c>
      <c r="DQ156" s="675">
        <v>0</v>
      </c>
      <c r="DR156" s="675">
        <v>0</v>
      </c>
      <c r="DS156" s="675">
        <v>0</v>
      </c>
      <c r="DT156" s="675">
        <v>0</v>
      </c>
      <c r="DU156" s="675">
        <v>0</v>
      </c>
      <c r="DV156" s="675">
        <v>0</v>
      </c>
      <c r="DW156" s="675">
        <v>0</v>
      </c>
      <c r="DX156" s="675">
        <v>0</v>
      </c>
      <c r="DY156" s="675">
        <v>0</v>
      </c>
      <c r="DZ156" s="675">
        <v>0</v>
      </c>
      <c r="EA156" s="675">
        <v>0</v>
      </c>
      <c r="EB156" s="675">
        <v>0</v>
      </c>
      <c r="EC156" s="675">
        <v>67.45</v>
      </c>
      <c r="ED156" s="675">
        <v>477814</v>
      </c>
      <c r="EE156" s="675">
        <v>0</v>
      </c>
      <c r="EF156" s="675">
        <v>0</v>
      </c>
      <c r="EG156" s="675">
        <v>0</v>
      </c>
      <c r="EH156" s="675">
        <v>286691</v>
      </c>
      <c r="EI156" s="675">
        <v>0</v>
      </c>
      <c r="EJ156" s="675">
        <v>0</v>
      </c>
      <c r="EK156" s="675">
        <v>11.207000000000001</v>
      </c>
      <c r="EL156" s="675">
        <v>0</v>
      </c>
      <c r="EM156" s="675">
        <v>0</v>
      </c>
      <c r="EN156" s="675">
        <v>2.5840000000000001</v>
      </c>
      <c r="EO156" s="675">
        <v>0</v>
      </c>
      <c r="EP156" s="675">
        <v>0</v>
      </c>
      <c r="EQ156" s="675">
        <v>13.791</v>
      </c>
      <c r="ER156" s="675">
        <v>0</v>
      </c>
      <c r="ES156" s="675">
        <v>46.541000000000004</v>
      </c>
      <c r="ET156" s="675">
        <v>0</v>
      </c>
      <c r="EU156" s="675">
        <v>0</v>
      </c>
      <c r="EV156" s="675">
        <v>0</v>
      </c>
      <c r="EW156" s="675">
        <v>0</v>
      </c>
      <c r="EX156" s="675">
        <v>0</v>
      </c>
      <c r="EY156" s="675">
        <v>0</v>
      </c>
      <c r="EZ156" s="675">
        <v>10617235</v>
      </c>
      <c r="FA156" s="675">
        <v>0</v>
      </c>
      <c r="FB156" s="675">
        <v>11006708</v>
      </c>
      <c r="FC156" s="675">
        <v>0</v>
      </c>
      <c r="FD156" s="675">
        <v>0</v>
      </c>
      <c r="FE156" s="675">
        <v>1111257</v>
      </c>
      <c r="FF156" s="675">
        <v>229846</v>
      </c>
      <c r="FG156" s="675">
        <v>6.3574999999999993E-2</v>
      </c>
      <c r="FH156" s="675">
        <v>2.6298999999999999E-2</v>
      </c>
      <c r="FI156" s="675">
        <v>0</v>
      </c>
      <c r="FJ156" s="675">
        <v>0</v>
      </c>
      <c r="FK156" s="675">
        <v>1773.4840000000002</v>
      </c>
      <c r="FL156" s="675">
        <v>12537741</v>
      </c>
      <c r="FM156" s="675">
        <v>0</v>
      </c>
      <c r="FN156" s="675">
        <v>0</v>
      </c>
      <c r="FO156" s="675">
        <v>0</v>
      </c>
      <c r="FP156" s="675">
        <v>0</v>
      </c>
      <c r="FQ156" s="675">
        <v>0</v>
      </c>
      <c r="FR156" s="675">
        <v>0</v>
      </c>
      <c r="FS156" s="675">
        <v>0</v>
      </c>
      <c r="FT156" s="675">
        <v>0</v>
      </c>
      <c r="FU156" s="675">
        <v>0</v>
      </c>
      <c r="FV156" s="675">
        <v>0</v>
      </c>
      <c r="FW156" s="675">
        <v>0</v>
      </c>
      <c r="FX156" s="675">
        <v>0</v>
      </c>
      <c r="FY156" s="675">
        <v>0</v>
      </c>
      <c r="FZ156" s="675">
        <v>0</v>
      </c>
      <c r="GA156" s="675">
        <v>0</v>
      </c>
      <c r="GB156" s="675">
        <v>0</v>
      </c>
      <c r="GC156" s="675">
        <v>0</v>
      </c>
      <c r="GD156" s="675">
        <v>0</v>
      </c>
      <c r="GE156" s="675">
        <v>0</v>
      </c>
      <c r="GF156" s="675">
        <v>0</v>
      </c>
      <c r="GG156" s="675">
        <v>0</v>
      </c>
      <c r="GH156" s="675">
        <v>0</v>
      </c>
      <c r="GI156" s="675">
        <v>0</v>
      </c>
      <c r="GJ156" s="675">
        <v>0</v>
      </c>
      <c r="GK156" s="675">
        <v>0</v>
      </c>
      <c r="GL156" s="675">
        <v>0</v>
      </c>
      <c r="GM156" s="675">
        <v>0</v>
      </c>
      <c r="GN156" s="675">
        <v>0</v>
      </c>
      <c r="GO156" s="675">
        <v>0</v>
      </c>
      <c r="GP156" s="675">
        <v>0</v>
      </c>
      <c r="GQ156" s="675">
        <v>0</v>
      </c>
      <c r="GR156" s="675">
        <v>0</v>
      </c>
      <c r="GS156" s="675">
        <v>0</v>
      </c>
      <c r="GT156" s="675">
        <v>0</v>
      </c>
      <c r="GU156" s="675">
        <v>0</v>
      </c>
      <c r="GV156" s="675">
        <v>0</v>
      </c>
      <c r="GW156" s="675">
        <v>0</v>
      </c>
      <c r="GX156" s="675">
        <v>0</v>
      </c>
      <c r="GY156" s="675">
        <v>0</v>
      </c>
      <c r="GZ156" s="675">
        <v>0</v>
      </c>
      <c r="HA156" s="675">
        <v>0</v>
      </c>
      <c r="HB156" s="675">
        <v>298386780</v>
      </c>
      <c r="HC156" s="675">
        <v>4.5690999999999996E-2</v>
      </c>
      <c r="HD156" s="675">
        <v>189930</v>
      </c>
      <c r="HE156" s="675">
        <v>0</v>
      </c>
      <c r="HF156" s="675">
        <v>1127969</v>
      </c>
      <c r="HG156" s="675">
        <v>27720</v>
      </c>
      <c r="HH156" s="675">
        <v>449370</v>
      </c>
      <c r="HI156" s="675">
        <v>0</v>
      </c>
      <c r="HJ156" s="675">
        <v>10101</v>
      </c>
      <c r="HK156" s="675">
        <v>0</v>
      </c>
      <c r="HL156" s="675">
        <v>0</v>
      </c>
      <c r="HM156" s="675">
        <v>0</v>
      </c>
      <c r="HN156" s="675">
        <v>0</v>
      </c>
      <c r="HO156" s="675">
        <v>0</v>
      </c>
      <c r="HP156" s="675">
        <v>0</v>
      </c>
      <c r="HQ156" s="675">
        <v>0</v>
      </c>
      <c r="HR156" s="675">
        <v>0</v>
      </c>
      <c r="HS156" s="675">
        <v>10614334</v>
      </c>
      <c r="HT156" s="675">
        <v>229846</v>
      </c>
      <c r="HU156" s="675">
        <v>0</v>
      </c>
      <c r="HV156" s="675">
        <v>0</v>
      </c>
      <c r="HW156" s="675">
        <v>0</v>
      </c>
      <c r="HX156" s="675">
        <v>61</v>
      </c>
      <c r="HY156" s="675">
        <v>131</v>
      </c>
      <c r="HZ156" s="675">
        <v>202</v>
      </c>
      <c r="IA156" s="675">
        <v>361</v>
      </c>
      <c r="IB156" s="675">
        <v>396</v>
      </c>
      <c r="IC156" s="675">
        <v>1151</v>
      </c>
      <c r="ID156" s="675">
        <v>0</v>
      </c>
      <c r="IE156" s="675">
        <v>36.183</v>
      </c>
      <c r="IF156" s="675">
        <v>13.933</v>
      </c>
      <c r="IG156" s="675">
        <v>45</v>
      </c>
      <c r="IH156" s="675">
        <v>729.5</v>
      </c>
      <c r="II156" s="675">
        <v>0</v>
      </c>
      <c r="IJ156" s="675">
        <v>616.34900000000005</v>
      </c>
      <c r="IK156" s="675">
        <v>0</v>
      </c>
      <c r="IL156" s="675">
        <v>0</v>
      </c>
      <c r="IM156" s="675">
        <v>0</v>
      </c>
      <c r="IN156" s="675">
        <v>0</v>
      </c>
      <c r="IO156" s="675">
        <v>0</v>
      </c>
      <c r="IP156" s="675">
        <v>0</v>
      </c>
      <c r="IQ156" s="675">
        <v>566.23300000000006</v>
      </c>
      <c r="IR156" s="675">
        <v>348798</v>
      </c>
      <c r="IS156" s="675">
        <v>0</v>
      </c>
      <c r="IT156" s="675">
        <v>0</v>
      </c>
      <c r="IU156" s="675">
        <v>0</v>
      </c>
      <c r="IV156" s="675">
        <v>0</v>
      </c>
      <c r="IW156" s="675">
        <v>6160</v>
      </c>
      <c r="IX156" s="675">
        <v>33433</v>
      </c>
      <c r="IY156" s="675">
        <v>4291</v>
      </c>
      <c r="IZ156" s="675">
        <v>0</v>
      </c>
      <c r="JA156" s="675">
        <v>0</v>
      </c>
      <c r="JB156" s="675">
        <v>0</v>
      </c>
      <c r="JC156" s="675">
        <v>0</v>
      </c>
      <c r="JD156" s="675">
        <v>0</v>
      </c>
      <c r="JE156" s="675">
        <v>0</v>
      </c>
      <c r="JF156" s="675">
        <v>0</v>
      </c>
      <c r="JG156" s="675">
        <v>0</v>
      </c>
      <c r="JH156" s="675">
        <v>0</v>
      </c>
      <c r="JI156" s="675">
        <v>0</v>
      </c>
      <c r="JJ156" s="675">
        <v>0</v>
      </c>
      <c r="JK156" s="675">
        <v>0</v>
      </c>
      <c r="JL156" s="675">
        <v>0</v>
      </c>
      <c r="JM156" s="675">
        <v>0</v>
      </c>
      <c r="JN156" s="675">
        <v>32469</v>
      </c>
      <c r="JO156" s="675">
        <v>0</v>
      </c>
      <c r="JP156" s="675">
        <v>0</v>
      </c>
      <c r="JQ156" s="675">
        <v>0</v>
      </c>
      <c r="JR156" s="675">
        <v>0</v>
      </c>
      <c r="JS156" s="675">
        <v>0</v>
      </c>
      <c r="JT156" s="675">
        <v>0</v>
      </c>
      <c r="JU156" s="675">
        <v>0</v>
      </c>
      <c r="JV156" s="675">
        <v>0</v>
      </c>
      <c r="JW156" s="675">
        <v>0</v>
      </c>
      <c r="JX156" s="675">
        <v>0</v>
      </c>
      <c r="JY156" s="675">
        <v>0</v>
      </c>
      <c r="JZ156" s="675">
        <v>0</v>
      </c>
      <c r="KA156" s="675">
        <v>0</v>
      </c>
      <c r="KB156" s="675">
        <v>0</v>
      </c>
      <c r="KC156" s="675">
        <v>0</v>
      </c>
      <c r="KD156" s="675">
        <v>0</v>
      </c>
      <c r="KE156" s="675">
        <v>7260</v>
      </c>
      <c r="KF156" s="675">
        <v>0</v>
      </c>
      <c r="KG156" s="675">
        <v>0</v>
      </c>
      <c r="KH156" s="675">
        <v>0</v>
      </c>
      <c r="KI156" s="675">
        <v>0</v>
      </c>
    </row>
    <row r="157" spans="1:295" ht="12.5" x14ac:dyDescent="0.25">
      <c r="A157" s="675">
        <v>35795</v>
      </c>
      <c r="B157" s="675">
        <v>15842</v>
      </c>
      <c r="C157" s="675">
        <v>9</v>
      </c>
      <c r="D157" s="675">
        <v>2022</v>
      </c>
      <c r="E157" s="675">
        <v>6160</v>
      </c>
      <c r="F157" s="675">
        <v>0</v>
      </c>
      <c r="G157" s="675">
        <v>93.913000000000011</v>
      </c>
      <c r="H157" s="675">
        <v>92.242000000000004</v>
      </c>
      <c r="I157" s="675">
        <v>92.242000000000004</v>
      </c>
      <c r="J157" s="675">
        <v>93.913000000000011</v>
      </c>
      <c r="K157" s="675">
        <v>0</v>
      </c>
      <c r="L157" s="675">
        <v>6160</v>
      </c>
      <c r="M157" s="675">
        <v>0</v>
      </c>
      <c r="N157" s="675">
        <v>0</v>
      </c>
      <c r="O157" s="675">
        <v>0</v>
      </c>
      <c r="P157" s="675">
        <v>0</v>
      </c>
      <c r="Q157" s="675">
        <v>0</v>
      </c>
      <c r="R157" s="675">
        <v>0</v>
      </c>
      <c r="S157" s="675">
        <v>402.428</v>
      </c>
      <c r="T157" s="675">
        <v>0</v>
      </c>
      <c r="U157" s="675">
        <v>0</v>
      </c>
      <c r="V157" s="675">
        <v>8.1280000000000001</v>
      </c>
      <c r="W157" s="675">
        <v>5007</v>
      </c>
      <c r="X157" s="675">
        <v>5007</v>
      </c>
      <c r="Y157" s="675">
        <v>0</v>
      </c>
      <c r="Z157" s="675">
        <v>0</v>
      </c>
      <c r="AA157" s="675">
        <v>0</v>
      </c>
      <c r="AB157" s="675">
        <v>0</v>
      </c>
      <c r="AC157" s="675">
        <v>0</v>
      </c>
      <c r="AD157" s="675" t="s">
        <v>316</v>
      </c>
      <c r="AE157" s="675">
        <v>0</v>
      </c>
      <c r="AF157" s="675">
        <v>0</v>
      </c>
      <c r="AG157" s="675">
        <v>0</v>
      </c>
      <c r="AH157" s="675">
        <v>0</v>
      </c>
      <c r="AI157" s="675">
        <v>0</v>
      </c>
      <c r="AJ157" s="675">
        <v>6160</v>
      </c>
      <c r="AK157" s="675" t="s">
        <v>671</v>
      </c>
      <c r="AL157" s="675" t="s">
        <v>794</v>
      </c>
      <c r="AM157" s="675">
        <v>0</v>
      </c>
      <c r="AN157" s="675">
        <v>0</v>
      </c>
      <c r="AO157" s="675">
        <v>0</v>
      </c>
      <c r="AP157" s="675">
        <v>0</v>
      </c>
      <c r="AQ157" s="675">
        <v>0</v>
      </c>
      <c r="AR157" s="675">
        <v>0</v>
      </c>
      <c r="AS157" s="675">
        <v>0</v>
      </c>
      <c r="AT157" s="675">
        <v>0</v>
      </c>
      <c r="AU157" s="675">
        <v>0</v>
      </c>
      <c r="AV157" s="675">
        <v>0</v>
      </c>
      <c r="AW157" s="675">
        <v>1313320</v>
      </c>
      <c r="AX157" s="675">
        <v>1313500</v>
      </c>
      <c r="AY157" s="675">
        <v>1197315</v>
      </c>
      <c r="AZ157" s="675">
        <v>0</v>
      </c>
      <c r="BA157" s="675">
        <v>0</v>
      </c>
      <c r="BB157" s="675">
        <v>719</v>
      </c>
      <c r="BC157" s="675">
        <v>714</v>
      </c>
      <c r="BD157" s="675">
        <v>1.667</v>
      </c>
      <c r="BE157" s="675">
        <v>5</v>
      </c>
      <c r="BF157" s="675">
        <v>951140</v>
      </c>
      <c r="BG157" s="675">
        <v>0</v>
      </c>
      <c r="BH157" s="675">
        <v>0</v>
      </c>
      <c r="BI157" s="675">
        <v>0</v>
      </c>
      <c r="BJ157" s="675">
        <v>12</v>
      </c>
      <c r="BK157" s="675">
        <v>0</v>
      </c>
      <c r="BL157" s="675">
        <v>0</v>
      </c>
      <c r="BM157" s="675">
        <v>0</v>
      </c>
      <c r="BN157" s="675">
        <v>0</v>
      </c>
      <c r="BO157" s="675">
        <v>0</v>
      </c>
      <c r="BP157" s="675">
        <v>0</v>
      </c>
      <c r="BQ157" s="675">
        <v>756</v>
      </c>
      <c r="BR157" s="675">
        <v>0</v>
      </c>
      <c r="BS157" s="675">
        <v>0</v>
      </c>
      <c r="BT157" s="675">
        <v>0</v>
      </c>
      <c r="BU157" s="675">
        <v>0</v>
      </c>
      <c r="BV157" s="675">
        <v>0</v>
      </c>
      <c r="BW157" s="675">
        <v>0</v>
      </c>
      <c r="BX157" s="675">
        <v>0</v>
      </c>
      <c r="BY157" s="675">
        <v>0</v>
      </c>
      <c r="BZ157" s="675">
        <v>0</v>
      </c>
      <c r="CA157" s="675">
        <v>288</v>
      </c>
      <c r="CB157" s="675">
        <v>245598</v>
      </c>
      <c r="CC157" s="675">
        <v>0</v>
      </c>
      <c r="CD157" s="675">
        <v>0</v>
      </c>
      <c r="CE157" s="675">
        <v>0</v>
      </c>
      <c r="CF157" s="675">
        <v>0</v>
      </c>
      <c r="CG157" s="675">
        <v>0</v>
      </c>
      <c r="CH157" s="675">
        <v>0</v>
      </c>
      <c r="CI157" s="675">
        <v>0</v>
      </c>
      <c r="CJ157" s="675">
        <v>4</v>
      </c>
      <c r="CK157" s="675">
        <v>0</v>
      </c>
      <c r="CL157" s="675">
        <v>0</v>
      </c>
      <c r="CM157" s="675">
        <v>0</v>
      </c>
      <c r="CN157" s="675">
        <v>0</v>
      </c>
      <c r="CO157" s="675">
        <v>0</v>
      </c>
      <c r="CP157" s="675">
        <v>0</v>
      </c>
      <c r="CQ157" s="675">
        <v>0</v>
      </c>
      <c r="CR157" s="675">
        <v>0</v>
      </c>
      <c r="CS157" s="675">
        <v>0</v>
      </c>
      <c r="CT157" s="675">
        <v>0</v>
      </c>
      <c r="CU157" s="675">
        <v>0</v>
      </c>
      <c r="CV157" s="675">
        <v>0</v>
      </c>
      <c r="CW157" s="675">
        <v>0</v>
      </c>
      <c r="CX157" s="675">
        <v>0</v>
      </c>
      <c r="CY157" s="675">
        <v>0</v>
      </c>
      <c r="CZ157" s="675">
        <v>0</v>
      </c>
      <c r="DA157" s="675">
        <v>0</v>
      </c>
      <c r="DB157" s="675">
        <v>568208</v>
      </c>
      <c r="DC157" s="675">
        <v>0</v>
      </c>
      <c r="DD157" s="675">
        <v>0</v>
      </c>
      <c r="DE157" s="675">
        <v>173480</v>
      </c>
      <c r="DF157" s="675">
        <v>173480</v>
      </c>
      <c r="DG157" s="675">
        <v>28.163</v>
      </c>
      <c r="DH157" s="675">
        <v>0</v>
      </c>
      <c r="DI157" s="675">
        <v>0</v>
      </c>
      <c r="DJ157" s="675">
        <v>0</v>
      </c>
      <c r="DK157" s="675">
        <v>3715</v>
      </c>
      <c r="DL157" s="675">
        <v>0</v>
      </c>
      <c r="DM157" s="675">
        <v>45991</v>
      </c>
      <c r="DN157" s="675">
        <v>175</v>
      </c>
      <c r="DO157" s="675">
        <v>0</v>
      </c>
      <c r="DP157" s="675">
        <v>0</v>
      </c>
      <c r="DQ157" s="675">
        <v>0</v>
      </c>
      <c r="DR157" s="675">
        <v>0</v>
      </c>
      <c r="DS157" s="675">
        <v>0</v>
      </c>
      <c r="DT157" s="675">
        <v>0</v>
      </c>
      <c r="DU157" s="675">
        <v>0</v>
      </c>
      <c r="DV157" s="675">
        <v>0</v>
      </c>
      <c r="DW157" s="675">
        <v>0</v>
      </c>
      <c r="DX157" s="675">
        <v>0</v>
      </c>
      <c r="DY157" s="675">
        <v>0</v>
      </c>
      <c r="DZ157" s="675">
        <v>0</v>
      </c>
      <c r="EA157" s="675">
        <v>0</v>
      </c>
      <c r="EB157" s="675">
        <v>0</v>
      </c>
      <c r="EC157" s="675">
        <v>1.417</v>
      </c>
      <c r="ED157" s="675">
        <v>10038</v>
      </c>
      <c r="EE157" s="675">
        <v>0</v>
      </c>
      <c r="EF157" s="675">
        <v>0</v>
      </c>
      <c r="EG157" s="675">
        <v>0</v>
      </c>
      <c r="EH157" s="675">
        <v>36128</v>
      </c>
      <c r="EI157" s="675">
        <v>0</v>
      </c>
      <c r="EJ157" s="675">
        <v>0</v>
      </c>
      <c r="EK157" s="675">
        <v>1.2450000000000001</v>
      </c>
      <c r="EL157" s="675">
        <v>0</v>
      </c>
      <c r="EM157" s="675">
        <v>0</v>
      </c>
      <c r="EN157" s="675">
        <v>0.42600000000000005</v>
      </c>
      <c r="EO157" s="675">
        <v>0</v>
      </c>
      <c r="EP157" s="675">
        <v>0</v>
      </c>
      <c r="EQ157" s="675">
        <v>1.671</v>
      </c>
      <c r="ER157" s="675">
        <v>0</v>
      </c>
      <c r="ES157" s="675">
        <v>5.8650000000000002</v>
      </c>
      <c r="ET157" s="675">
        <v>0</v>
      </c>
      <c r="EU157" s="675">
        <v>0</v>
      </c>
      <c r="EV157" s="675">
        <v>0</v>
      </c>
      <c r="EW157" s="675">
        <v>0</v>
      </c>
      <c r="EX157" s="675">
        <v>0</v>
      </c>
      <c r="EY157" s="675">
        <v>0</v>
      </c>
      <c r="EZ157" s="675">
        <v>1196738</v>
      </c>
      <c r="FA157" s="675">
        <v>0</v>
      </c>
      <c r="FB157" s="675">
        <v>1196558</v>
      </c>
      <c r="FC157" s="675">
        <v>0</v>
      </c>
      <c r="FD157" s="675">
        <v>0</v>
      </c>
      <c r="FE157" s="675">
        <v>96751</v>
      </c>
      <c r="FF157" s="675">
        <v>20011</v>
      </c>
      <c r="FG157" s="675">
        <v>6.3574999999999993E-2</v>
      </c>
      <c r="FH157" s="675">
        <v>2.6298999999999999E-2</v>
      </c>
      <c r="FI157" s="675">
        <v>0</v>
      </c>
      <c r="FJ157" s="675">
        <v>0</v>
      </c>
      <c r="FK157" s="675">
        <v>154.40700000000001</v>
      </c>
      <c r="FL157" s="675">
        <v>1313320</v>
      </c>
      <c r="FM157" s="675">
        <v>0</v>
      </c>
      <c r="FN157" s="675">
        <v>0</v>
      </c>
      <c r="FO157" s="675">
        <v>0</v>
      </c>
      <c r="FP157" s="675">
        <v>0</v>
      </c>
      <c r="FQ157" s="675">
        <v>0</v>
      </c>
      <c r="FR157" s="675">
        <v>0</v>
      </c>
      <c r="FS157" s="675">
        <v>0</v>
      </c>
      <c r="FT157" s="675">
        <v>0</v>
      </c>
      <c r="FU157" s="675">
        <v>0</v>
      </c>
      <c r="FV157" s="675">
        <v>0</v>
      </c>
      <c r="FW157" s="675">
        <v>0</v>
      </c>
      <c r="FX157" s="675">
        <v>0</v>
      </c>
      <c r="FY157" s="675">
        <v>0</v>
      </c>
      <c r="FZ157" s="675">
        <v>0</v>
      </c>
      <c r="GA157" s="675">
        <v>0</v>
      </c>
      <c r="GB157" s="675">
        <v>0</v>
      </c>
      <c r="GC157" s="675">
        <v>0</v>
      </c>
      <c r="GD157" s="675">
        <v>0</v>
      </c>
      <c r="GE157" s="675">
        <v>0</v>
      </c>
      <c r="GF157" s="675">
        <v>0</v>
      </c>
      <c r="GG157" s="675">
        <v>0</v>
      </c>
      <c r="GH157" s="675">
        <v>0</v>
      </c>
      <c r="GI157" s="675">
        <v>0</v>
      </c>
      <c r="GJ157" s="675">
        <v>0</v>
      </c>
      <c r="GK157" s="675">
        <v>0</v>
      </c>
      <c r="GL157" s="675">
        <v>0</v>
      </c>
      <c r="GM157" s="675">
        <v>0</v>
      </c>
      <c r="GN157" s="675">
        <v>0</v>
      </c>
      <c r="GO157" s="675">
        <v>0</v>
      </c>
      <c r="GP157" s="675">
        <v>0</v>
      </c>
      <c r="GQ157" s="675">
        <v>0</v>
      </c>
      <c r="GR157" s="675">
        <v>0</v>
      </c>
      <c r="GS157" s="675">
        <v>0</v>
      </c>
      <c r="GT157" s="675">
        <v>0</v>
      </c>
      <c r="GU157" s="675">
        <v>0</v>
      </c>
      <c r="GV157" s="675">
        <v>0</v>
      </c>
      <c r="GW157" s="675">
        <v>0</v>
      </c>
      <c r="GX157" s="675">
        <v>0</v>
      </c>
      <c r="GY157" s="675">
        <v>0</v>
      </c>
      <c r="GZ157" s="675">
        <v>0</v>
      </c>
      <c r="HA157" s="675">
        <v>0</v>
      </c>
      <c r="HB157" s="675">
        <v>0</v>
      </c>
      <c r="HC157" s="675">
        <v>4.5690999999999996E-2</v>
      </c>
      <c r="HD157" s="675">
        <v>0</v>
      </c>
      <c r="HE157" s="675">
        <v>0</v>
      </c>
      <c r="HF157" s="675">
        <v>101466</v>
      </c>
      <c r="HG157" s="675">
        <v>0</v>
      </c>
      <c r="HH157" s="675">
        <v>55181</v>
      </c>
      <c r="HI157" s="675">
        <v>0</v>
      </c>
      <c r="HJ157" s="675">
        <v>913</v>
      </c>
      <c r="HK157" s="675">
        <v>0</v>
      </c>
      <c r="HL157" s="675">
        <v>0</v>
      </c>
      <c r="HM157" s="675">
        <v>0</v>
      </c>
      <c r="HN157" s="675">
        <v>0</v>
      </c>
      <c r="HO157" s="675">
        <v>0</v>
      </c>
      <c r="HP157" s="675">
        <v>0</v>
      </c>
      <c r="HQ157" s="675">
        <v>0</v>
      </c>
      <c r="HR157" s="675">
        <v>0</v>
      </c>
      <c r="HS157" s="675">
        <v>1196558</v>
      </c>
      <c r="HT157" s="675">
        <v>20011</v>
      </c>
      <c r="HU157" s="675">
        <v>0</v>
      </c>
      <c r="HV157" s="675">
        <v>0</v>
      </c>
      <c r="HW157" s="675">
        <v>0</v>
      </c>
      <c r="HX157" s="675">
        <v>12</v>
      </c>
      <c r="HY157" s="675">
        <v>3</v>
      </c>
      <c r="HZ157" s="675">
        <v>16</v>
      </c>
      <c r="IA157" s="675">
        <v>34</v>
      </c>
      <c r="IB157" s="675">
        <v>43</v>
      </c>
      <c r="IC157" s="675">
        <v>108</v>
      </c>
      <c r="ID157" s="675">
        <v>0</v>
      </c>
      <c r="IE157" s="675">
        <v>0</v>
      </c>
      <c r="IF157" s="675">
        <v>0</v>
      </c>
      <c r="IG157" s="675">
        <v>0</v>
      </c>
      <c r="IH157" s="675">
        <v>89.58</v>
      </c>
      <c r="II157" s="675">
        <v>0</v>
      </c>
      <c r="IJ157" s="675">
        <v>8.1280000000000001</v>
      </c>
      <c r="IK157" s="675">
        <v>0</v>
      </c>
      <c r="IL157" s="675">
        <v>0</v>
      </c>
      <c r="IM157" s="675">
        <v>0</v>
      </c>
      <c r="IN157" s="675">
        <v>0</v>
      </c>
      <c r="IO157" s="675">
        <v>0</v>
      </c>
      <c r="IP157" s="675">
        <v>0</v>
      </c>
      <c r="IQ157" s="675">
        <v>8.1280000000000001</v>
      </c>
      <c r="IR157" s="675">
        <v>5007</v>
      </c>
      <c r="IS157" s="675">
        <v>0</v>
      </c>
      <c r="IT157" s="675">
        <v>0</v>
      </c>
      <c r="IU157" s="675">
        <v>0</v>
      </c>
      <c r="IV157" s="675">
        <v>0</v>
      </c>
      <c r="IW157" s="675">
        <v>6160</v>
      </c>
      <c r="IX157" s="675">
        <v>0</v>
      </c>
      <c r="IY157" s="675">
        <v>0</v>
      </c>
      <c r="IZ157" s="675">
        <v>0</v>
      </c>
      <c r="JA157" s="675">
        <v>0</v>
      </c>
      <c r="JB157" s="675">
        <v>0</v>
      </c>
      <c r="JC157" s="675">
        <v>0</v>
      </c>
      <c r="JD157" s="675">
        <v>0</v>
      </c>
      <c r="JE157" s="675">
        <v>0</v>
      </c>
      <c r="JF157" s="675">
        <v>0</v>
      </c>
      <c r="JG157" s="675">
        <v>0</v>
      </c>
      <c r="JH157" s="675">
        <v>0</v>
      </c>
      <c r="JI157" s="675">
        <v>0</v>
      </c>
      <c r="JJ157" s="675">
        <v>0</v>
      </c>
      <c r="JK157" s="675">
        <v>0</v>
      </c>
      <c r="JL157" s="675">
        <v>0</v>
      </c>
      <c r="JM157" s="675">
        <v>0</v>
      </c>
      <c r="JN157" s="675">
        <v>0</v>
      </c>
      <c r="JO157" s="675">
        <v>0</v>
      </c>
      <c r="JP157" s="675">
        <v>0</v>
      </c>
      <c r="JQ157" s="675">
        <v>0</v>
      </c>
      <c r="JR157" s="675">
        <v>0</v>
      </c>
      <c r="JS157" s="675">
        <v>0</v>
      </c>
      <c r="JT157" s="675">
        <v>0</v>
      </c>
      <c r="JU157" s="675">
        <v>719</v>
      </c>
      <c r="JV157" s="675">
        <v>0</v>
      </c>
      <c r="JW157" s="675">
        <v>0</v>
      </c>
      <c r="JX157" s="675">
        <v>0</v>
      </c>
      <c r="JY157" s="675">
        <v>0</v>
      </c>
      <c r="JZ157" s="675">
        <v>0</v>
      </c>
      <c r="KA157" s="675">
        <v>0</v>
      </c>
      <c r="KB157" s="675">
        <v>0</v>
      </c>
      <c r="KC157" s="675">
        <v>0</v>
      </c>
      <c r="KD157" s="675">
        <v>719</v>
      </c>
      <c r="KE157" s="675">
        <v>7260</v>
      </c>
      <c r="KF157" s="675">
        <v>0</v>
      </c>
      <c r="KG157" s="675">
        <v>0</v>
      </c>
      <c r="KH157" s="675">
        <v>0</v>
      </c>
      <c r="KI157" s="675">
        <v>0</v>
      </c>
    </row>
    <row r="158" spans="1:295" ht="12.5" x14ac:dyDescent="0.25">
      <c r="A158" s="675">
        <v>35795</v>
      </c>
      <c r="B158" s="675">
        <v>101842</v>
      </c>
      <c r="C158" s="675">
        <v>9</v>
      </c>
      <c r="D158" s="675">
        <v>2022</v>
      </c>
      <c r="E158" s="675">
        <v>6160</v>
      </c>
      <c r="F158" s="675">
        <v>0</v>
      </c>
      <c r="G158" s="675">
        <v>36.885000000000005</v>
      </c>
      <c r="H158" s="675">
        <v>16.571000000000002</v>
      </c>
      <c r="I158" s="675">
        <v>16.571000000000002</v>
      </c>
      <c r="J158" s="675">
        <v>36.885000000000005</v>
      </c>
      <c r="K158" s="675">
        <v>0</v>
      </c>
      <c r="L158" s="675">
        <v>6160</v>
      </c>
      <c r="M158" s="675">
        <v>0</v>
      </c>
      <c r="N158" s="675">
        <v>0</v>
      </c>
      <c r="O158" s="675">
        <v>0</v>
      </c>
      <c r="P158" s="675">
        <v>34.847000000000001</v>
      </c>
      <c r="Q158" s="675">
        <v>0</v>
      </c>
      <c r="R158" s="675">
        <v>14023</v>
      </c>
      <c r="S158" s="675">
        <v>402.428</v>
      </c>
      <c r="T158" s="675">
        <v>0</v>
      </c>
      <c r="U158" s="675">
        <v>7456</v>
      </c>
      <c r="V158" s="675">
        <v>10.84</v>
      </c>
      <c r="W158" s="675">
        <v>6677</v>
      </c>
      <c r="X158" s="675">
        <v>6677</v>
      </c>
      <c r="Y158" s="675">
        <v>0</v>
      </c>
      <c r="Z158" s="675">
        <v>0</v>
      </c>
      <c r="AA158" s="675">
        <v>0</v>
      </c>
      <c r="AB158" s="675">
        <v>0</v>
      </c>
      <c r="AC158" s="675">
        <v>0</v>
      </c>
      <c r="AD158" s="675" t="s">
        <v>316</v>
      </c>
      <c r="AE158" s="675">
        <v>0</v>
      </c>
      <c r="AF158" s="675">
        <v>0</v>
      </c>
      <c r="AG158" s="675">
        <v>0</v>
      </c>
      <c r="AH158" s="675">
        <v>0</v>
      </c>
      <c r="AI158" s="675">
        <v>0</v>
      </c>
      <c r="AJ158" s="675">
        <v>6160</v>
      </c>
      <c r="AK158" s="675" t="s">
        <v>671</v>
      </c>
      <c r="AL158" s="675" t="s">
        <v>30</v>
      </c>
      <c r="AM158" s="675">
        <v>0</v>
      </c>
      <c r="AN158" s="675">
        <v>0</v>
      </c>
      <c r="AO158" s="675">
        <v>0</v>
      </c>
      <c r="AP158" s="675">
        <v>0</v>
      </c>
      <c r="AQ158" s="675">
        <v>0</v>
      </c>
      <c r="AR158" s="675">
        <v>0</v>
      </c>
      <c r="AS158" s="675">
        <v>0</v>
      </c>
      <c r="AT158" s="675">
        <v>0</v>
      </c>
      <c r="AU158" s="675">
        <v>0</v>
      </c>
      <c r="AV158" s="675">
        <v>-31332</v>
      </c>
      <c r="AW158" s="675">
        <v>425265</v>
      </c>
      <c r="AX158" s="675">
        <v>418583</v>
      </c>
      <c r="AY158" s="675">
        <v>262577</v>
      </c>
      <c r="AZ158" s="675">
        <v>14023</v>
      </c>
      <c r="BA158" s="675">
        <v>0</v>
      </c>
      <c r="BB158" s="675">
        <v>0</v>
      </c>
      <c r="BC158" s="675">
        <v>0</v>
      </c>
      <c r="BD158" s="675">
        <v>0</v>
      </c>
      <c r="BE158" s="675">
        <v>0</v>
      </c>
      <c r="BF158" s="675">
        <v>384648</v>
      </c>
      <c r="BG158" s="675">
        <v>0</v>
      </c>
      <c r="BH158" s="675">
        <v>0</v>
      </c>
      <c r="BI158" s="675">
        <v>0</v>
      </c>
      <c r="BJ158" s="675">
        <v>12</v>
      </c>
      <c r="BK158" s="675">
        <v>0</v>
      </c>
      <c r="BL158" s="675">
        <v>0</v>
      </c>
      <c r="BM158" s="675">
        <v>0</v>
      </c>
      <c r="BN158" s="675">
        <v>0</v>
      </c>
      <c r="BO158" s="675">
        <v>0</v>
      </c>
      <c r="BP158" s="675">
        <v>0</v>
      </c>
      <c r="BQ158" s="675">
        <v>767</v>
      </c>
      <c r="BR158" s="675">
        <v>0</v>
      </c>
      <c r="BS158" s="675">
        <v>0</v>
      </c>
      <c r="BT158" s="675">
        <v>0</v>
      </c>
      <c r="BU158" s="675">
        <v>0</v>
      </c>
      <c r="BV158" s="675">
        <v>0</v>
      </c>
      <c r="BW158" s="675">
        <v>0</v>
      </c>
      <c r="BX158" s="675">
        <v>0</v>
      </c>
      <c r="BY158" s="675">
        <v>0</v>
      </c>
      <c r="BZ158" s="675">
        <v>0</v>
      </c>
      <c r="CA158" s="675">
        <v>0</v>
      </c>
      <c r="CB158" s="675">
        <v>0</v>
      </c>
      <c r="CC158" s="675">
        <v>0</v>
      </c>
      <c r="CD158" s="675">
        <v>0</v>
      </c>
      <c r="CE158" s="675">
        <v>0</v>
      </c>
      <c r="CF158" s="675">
        <v>0</v>
      </c>
      <c r="CG158" s="675">
        <v>0</v>
      </c>
      <c r="CH158" s="675">
        <v>6741</v>
      </c>
      <c r="CI158" s="675">
        <v>0</v>
      </c>
      <c r="CJ158" s="675">
        <v>4</v>
      </c>
      <c r="CK158" s="675">
        <v>0</v>
      </c>
      <c r="CL158" s="675">
        <v>0</v>
      </c>
      <c r="CM158" s="675">
        <v>0</v>
      </c>
      <c r="CN158" s="675">
        <v>0</v>
      </c>
      <c r="CO158" s="675">
        <v>1</v>
      </c>
      <c r="CP158" s="675">
        <v>0</v>
      </c>
      <c r="CQ158" s="675">
        <v>0</v>
      </c>
      <c r="CR158" s="675">
        <v>38.694000000000003</v>
      </c>
      <c r="CS158" s="675">
        <v>0</v>
      </c>
      <c r="CT158" s="675">
        <v>0</v>
      </c>
      <c r="CU158" s="675">
        <v>0</v>
      </c>
      <c r="CV158" s="675">
        <v>0</v>
      </c>
      <c r="CW158" s="675">
        <v>0</v>
      </c>
      <c r="CX158" s="675">
        <v>0</v>
      </c>
      <c r="CY158" s="675">
        <v>0</v>
      </c>
      <c r="CZ158" s="675">
        <v>0</v>
      </c>
      <c r="DA158" s="675">
        <v>0</v>
      </c>
      <c r="DB158" s="675">
        <v>93360</v>
      </c>
      <c r="DC158" s="675">
        <v>0</v>
      </c>
      <c r="DD158" s="675">
        <v>0</v>
      </c>
      <c r="DE158" s="675">
        <v>41195</v>
      </c>
      <c r="DF158" s="675">
        <v>41195</v>
      </c>
      <c r="DG158" s="675">
        <v>6.6880000000000006</v>
      </c>
      <c r="DH158" s="675">
        <v>0</v>
      </c>
      <c r="DI158" s="675">
        <v>0</v>
      </c>
      <c r="DJ158" s="675">
        <v>0</v>
      </c>
      <c r="DK158" s="675">
        <v>3902</v>
      </c>
      <c r="DL158" s="675">
        <v>0</v>
      </c>
      <c r="DM158" s="675">
        <v>24186</v>
      </c>
      <c r="DN158" s="675">
        <v>59</v>
      </c>
      <c r="DO158" s="675">
        <v>0</v>
      </c>
      <c r="DP158" s="675">
        <v>0</v>
      </c>
      <c r="DQ158" s="675">
        <v>0</v>
      </c>
      <c r="DR158" s="675">
        <v>0</v>
      </c>
      <c r="DS158" s="675">
        <v>0</v>
      </c>
      <c r="DT158" s="675">
        <v>0</v>
      </c>
      <c r="DU158" s="675">
        <v>0</v>
      </c>
      <c r="DV158" s="675">
        <v>0</v>
      </c>
      <c r="DW158" s="675">
        <v>0</v>
      </c>
      <c r="DX158" s="675">
        <v>0</v>
      </c>
      <c r="DY158" s="675">
        <v>0</v>
      </c>
      <c r="DZ158" s="675">
        <v>0</v>
      </c>
      <c r="EA158" s="675">
        <v>0</v>
      </c>
      <c r="EB158" s="675">
        <v>0</v>
      </c>
      <c r="EC158" s="675">
        <v>2.0920000000000001</v>
      </c>
      <c r="ED158" s="675">
        <v>14820</v>
      </c>
      <c r="EE158" s="675">
        <v>0</v>
      </c>
      <c r="EF158" s="675">
        <v>0</v>
      </c>
      <c r="EG158" s="675">
        <v>0</v>
      </c>
      <c r="EH158" s="675">
        <v>708</v>
      </c>
      <c r="EI158" s="675">
        <v>0</v>
      </c>
      <c r="EJ158" s="675">
        <v>0</v>
      </c>
      <c r="EK158" s="675">
        <v>0</v>
      </c>
      <c r="EL158" s="675">
        <v>0</v>
      </c>
      <c r="EM158" s="675">
        <v>0</v>
      </c>
      <c r="EN158" s="675">
        <v>2.3E-2</v>
      </c>
      <c r="EO158" s="675">
        <v>0</v>
      </c>
      <c r="EP158" s="675">
        <v>0</v>
      </c>
      <c r="EQ158" s="675">
        <v>2.3E-2</v>
      </c>
      <c r="ER158" s="675">
        <v>0</v>
      </c>
      <c r="ES158" s="675">
        <v>0.115</v>
      </c>
      <c r="ET158" s="675">
        <v>0</v>
      </c>
      <c r="EU158" s="675">
        <v>0</v>
      </c>
      <c r="EV158" s="675">
        <v>0</v>
      </c>
      <c r="EW158" s="675">
        <v>0</v>
      </c>
      <c r="EX158" s="675">
        <v>0</v>
      </c>
      <c r="EY158" s="675">
        <v>0</v>
      </c>
      <c r="EZ158" s="675">
        <v>371364</v>
      </c>
      <c r="FA158" s="675">
        <v>0</v>
      </c>
      <c r="FB158" s="675">
        <v>385328</v>
      </c>
      <c r="FC158" s="675">
        <v>0</v>
      </c>
      <c r="FD158" s="675">
        <v>0</v>
      </c>
      <c r="FE158" s="675">
        <v>39126</v>
      </c>
      <c r="FF158" s="675">
        <v>8093</v>
      </c>
      <c r="FG158" s="675">
        <v>6.3574999999999993E-2</v>
      </c>
      <c r="FH158" s="675">
        <v>2.6298999999999999E-2</v>
      </c>
      <c r="FI158" s="675">
        <v>0</v>
      </c>
      <c r="FJ158" s="675">
        <v>0</v>
      </c>
      <c r="FK158" s="675">
        <v>62.443000000000005</v>
      </c>
      <c r="FL158" s="675">
        <v>439288</v>
      </c>
      <c r="FM158" s="675">
        <v>0</v>
      </c>
      <c r="FN158" s="675">
        <v>0</v>
      </c>
      <c r="FO158" s="675">
        <v>0</v>
      </c>
      <c r="FP158" s="675">
        <v>0</v>
      </c>
      <c r="FQ158" s="675">
        <v>0</v>
      </c>
      <c r="FR158" s="675">
        <v>0</v>
      </c>
      <c r="FS158" s="675">
        <v>0</v>
      </c>
      <c r="FT158" s="675">
        <v>0</v>
      </c>
      <c r="FU158" s="675">
        <v>0</v>
      </c>
      <c r="FV158" s="675">
        <v>0</v>
      </c>
      <c r="FW158" s="675">
        <v>0</v>
      </c>
      <c r="FX158" s="675">
        <v>0</v>
      </c>
      <c r="FY158" s="675">
        <v>0</v>
      </c>
      <c r="FZ158" s="675">
        <v>0</v>
      </c>
      <c r="GA158" s="675">
        <v>0</v>
      </c>
      <c r="GB158" s="675">
        <v>193194</v>
      </c>
      <c r="GC158" s="675">
        <v>193194</v>
      </c>
      <c r="GD158" s="675">
        <v>20.291</v>
      </c>
      <c r="GE158" s="675">
        <v>0</v>
      </c>
      <c r="GF158" s="675">
        <v>0</v>
      </c>
      <c r="GG158" s="675">
        <v>0</v>
      </c>
      <c r="GH158" s="675">
        <v>0</v>
      </c>
      <c r="GI158" s="675">
        <v>0</v>
      </c>
      <c r="GJ158" s="675">
        <v>0</v>
      </c>
      <c r="GK158" s="675">
        <v>0</v>
      </c>
      <c r="GL158" s="675">
        <v>0</v>
      </c>
      <c r="GM158" s="675">
        <v>0</v>
      </c>
      <c r="GN158" s="675">
        <v>0</v>
      </c>
      <c r="GO158" s="675">
        <v>0</v>
      </c>
      <c r="GP158" s="675">
        <v>0</v>
      </c>
      <c r="GQ158" s="675">
        <v>0</v>
      </c>
      <c r="GR158" s="675">
        <v>0</v>
      </c>
      <c r="GS158" s="675">
        <v>0</v>
      </c>
      <c r="GT158" s="675">
        <v>0</v>
      </c>
      <c r="GU158" s="675">
        <v>0</v>
      </c>
      <c r="GV158" s="675">
        <v>0</v>
      </c>
      <c r="GW158" s="675">
        <v>0</v>
      </c>
      <c r="GX158" s="675">
        <v>0</v>
      </c>
      <c r="GY158" s="675">
        <v>0</v>
      </c>
      <c r="GZ158" s="675">
        <v>0</v>
      </c>
      <c r="HA158" s="675">
        <v>0</v>
      </c>
      <c r="HB158" s="675">
        <v>298386780</v>
      </c>
      <c r="HC158" s="675">
        <v>4.5690999999999996E-2</v>
      </c>
      <c r="HD158" s="675">
        <v>6741</v>
      </c>
      <c r="HE158" s="675">
        <v>0</v>
      </c>
      <c r="HF158" s="675">
        <v>18228</v>
      </c>
      <c r="HG158" s="675">
        <v>642</v>
      </c>
      <c r="HH158" s="675">
        <v>1748</v>
      </c>
      <c r="HI158" s="675">
        <v>0</v>
      </c>
      <c r="HJ158" s="675">
        <v>359</v>
      </c>
      <c r="HK158" s="675">
        <v>450</v>
      </c>
      <c r="HL158" s="675">
        <v>289</v>
      </c>
      <c r="HM158" s="675">
        <v>5000</v>
      </c>
      <c r="HN158" s="675">
        <v>0</v>
      </c>
      <c r="HO158" s="675">
        <v>0</v>
      </c>
      <c r="HP158" s="675">
        <v>0</v>
      </c>
      <c r="HQ158" s="675">
        <v>0</v>
      </c>
      <c r="HR158" s="675">
        <v>0</v>
      </c>
      <c r="HS158" s="675">
        <v>371305</v>
      </c>
      <c r="HT158" s="675">
        <v>8093</v>
      </c>
      <c r="HU158" s="675">
        <v>0</v>
      </c>
      <c r="HV158" s="675">
        <v>0</v>
      </c>
      <c r="HW158" s="675">
        <v>0</v>
      </c>
      <c r="HX158" s="675">
        <v>4</v>
      </c>
      <c r="HY158" s="675">
        <v>8</v>
      </c>
      <c r="HZ158" s="675">
        <v>5</v>
      </c>
      <c r="IA158" s="675">
        <v>9</v>
      </c>
      <c r="IB158" s="675">
        <v>1</v>
      </c>
      <c r="IC158" s="675">
        <v>27</v>
      </c>
      <c r="ID158" s="675">
        <v>0</v>
      </c>
      <c r="IE158" s="675">
        <v>0</v>
      </c>
      <c r="IF158" s="675">
        <v>0</v>
      </c>
      <c r="IG158" s="675">
        <v>1.042</v>
      </c>
      <c r="IH158" s="675">
        <v>2.8370000000000002</v>
      </c>
      <c r="II158" s="675">
        <v>0</v>
      </c>
      <c r="IJ158" s="675">
        <v>10.84</v>
      </c>
      <c r="IK158" s="675">
        <v>0</v>
      </c>
      <c r="IL158" s="675">
        <v>1</v>
      </c>
      <c r="IM158" s="675">
        <v>0</v>
      </c>
      <c r="IN158" s="675">
        <v>0</v>
      </c>
      <c r="IO158" s="675">
        <v>1</v>
      </c>
      <c r="IP158" s="675">
        <v>0</v>
      </c>
      <c r="IQ158" s="675">
        <v>10.84</v>
      </c>
      <c r="IR158" s="675">
        <v>6677</v>
      </c>
      <c r="IS158" s="675">
        <v>0</v>
      </c>
      <c r="IT158" s="675">
        <v>5000</v>
      </c>
      <c r="IU158" s="675">
        <v>0</v>
      </c>
      <c r="IV158" s="675">
        <v>0</v>
      </c>
      <c r="IW158" s="675">
        <v>6160</v>
      </c>
      <c r="IX158" s="675">
        <v>0</v>
      </c>
      <c r="IY158" s="675">
        <v>0</v>
      </c>
      <c r="IZ158" s="675">
        <v>0</v>
      </c>
      <c r="JA158" s="675">
        <v>0</v>
      </c>
      <c r="JB158" s="675">
        <v>0</v>
      </c>
      <c r="JC158" s="675">
        <v>0</v>
      </c>
      <c r="JD158" s="675">
        <v>0</v>
      </c>
      <c r="JE158" s="675">
        <v>0</v>
      </c>
      <c r="JF158" s="675">
        <v>0</v>
      </c>
      <c r="JG158" s="675">
        <v>0</v>
      </c>
      <c r="JH158" s="675">
        <v>0</v>
      </c>
      <c r="JI158" s="675">
        <v>0</v>
      </c>
      <c r="JJ158" s="675">
        <v>0</v>
      </c>
      <c r="JK158" s="675">
        <v>0</v>
      </c>
      <c r="JL158" s="675">
        <v>0</v>
      </c>
      <c r="JM158" s="675">
        <v>0</v>
      </c>
      <c r="JN158" s="675">
        <v>32469</v>
      </c>
      <c r="JO158" s="675">
        <v>3.7890000000000001</v>
      </c>
      <c r="JP158" s="675">
        <v>9.5530000000000008</v>
      </c>
      <c r="JQ158" s="675">
        <v>6.9490000000000007</v>
      </c>
      <c r="JR158" s="675">
        <v>30259</v>
      </c>
      <c r="JS158" s="675">
        <v>88774</v>
      </c>
      <c r="JT158" s="675">
        <v>74161</v>
      </c>
      <c r="JU158" s="675">
        <v>0</v>
      </c>
      <c r="JV158" s="675">
        <v>0</v>
      </c>
      <c r="JW158" s="675">
        <v>0</v>
      </c>
      <c r="JX158" s="675">
        <v>0</v>
      </c>
      <c r="JY158" s="675">
        <v>0</v>
      </c>
      <c r="JZ158" s="675">
        <v>0</v>
      </c>
      <c r="KA158" s="675">
        <v>0</v>
      </c>
      <c r="KB158" s="675">
        <v>0</v>
      </c>
      <c r="KC158" s="675">
        <v>0</v>
      </c>
      <c r="KD158" s="675">
        <v>0</v>
      </c>
      <c r="KE158" s="675">
        <v>7260</v>
      </c>
      <c r="KF158" s="675">
        <v>0</v>
      </c>
      <c r="KG158" s="675">
        <v>0</v>
      </c>
      <c r="KH158" s="675">
        <v>0</v>
      </c>
      <c r="KI158" s="675">
        <v>0</v>
      </c>
    </row>
    <row r="159" spans="1:295" ht="12.5" x14ac:dyDescent="0.25">
      <c r="A159" s="675">
        <v>35795</v>
      </c>
      <c r="B159" s="675">
        <v>15843</v>
      </c>
      <c r="C159" s="675">
        <v>9</v>
      </c>
      <c r="D159" s="675">
        <v>2022</v>
      </c>
      <c r="E159" s="675">
        <v>6160</v>
      </c>
      <c r="F159" s="675">
        <v>0</v>
      </c>
      <c r="G159" s="675">
        <v>23.347000000000001</v>
      </c>
      <c r="H159" s="675">
        <v>23.015000000000001</v>
      </c>
      <c r="I159" s="675">
        <v>23.015000000000001</v>
      </c>
      <c r="J159" s="675">
        <v>23.347000000000001</v>
      </c>
      <c r="K159" s="675">
        <v>0</v>
      </c>
      <c r="L159" s="675">
        <v>6160</v>
      </c>
      <c r="M159" s="675">
        <v>0</v>
      </c>
      <c r="N159" s="675">
        <v>0</v>
      </c>
      <c r="O159" s="675">
        <v>0</v>
      </c>
      <c r="P159" s="675">
        <v>0</v>
      </c>
      <c r="Q159" s="675">
        <v>0</v>
      </c>
      <c r="R159" s="675">
        <v>0</v>
      </c>
      <c r="S159" s="675">
        <v>402.428</v>
      </c>
      <c r="T159" s="675">
        <v>0</v>
      </c>
      <c r="U159" s="675">
        <v>0</v>
      </c>
      <c r="V159" s="675">
        <v>0</v>
      </c>
      <c r="W159" s="675">
        <v>0</v>
      </c>
      <c r="X159" s="675">
        <v>0</v>
      </c>
      <c r="Y159" s="675">
        <v>0</v>
      </c>
      <c r="Z159" s="675">
        <v>0</v>
      </c>
      <c r="AA159" s="675">
        <v>0</v>
      </c>
      <c r="AB159" s="675">
        <v>0</v>
      </c>
      <c r="AC159" s="675">
        <v>0</v>
      </c>
      <c r="AD159" s="675" t="s">
        <v>316</v>
      </c>
      <c r="AE159" s="675">
        <v>0</v>
      </c>
      <c r="AF159" s="675">
        <v>0</v>
      </c>
      <c r="AG159" s="675">
        <v>0</v>
      </c>
      <c r="AH159" s="675">
        <v>0</v>
      </c>
      <c r="AI159" s="675">
        <v>0</v>
      </c>
      <c r="AJ159" s="675">
        <v>6160</v>
      </c>
      <c r="AK159" s="675" t="s">
        <v>671</v>
      </c>
      <c r="AL159" s="675" t="s">
        <v>795</v>
      </c>
      <c r="AM159" s="675">
        <v>0</v>
      </c>
      <c r="AN159" s="675">
        <v>0</v>
      </c>
      <c r="AO159" s="675">
        <v>0</v>
      </c>
      <c r="AP159" s="675">
        <v>0</v>
      </c>
      <c r="AQ159" s="675">
        <v>0</v>
      </c>
      <c r="AR159" s="675">
        <v>0</v>
      </c>
      <c r="AS159" s="675">
        <v>0</v>
      </c>
      <c r="AT159" s="675">
        <v>0</v>
      </c>
      <c r="AU159" s="675">
        <v>0</v>
      </c>
      <c r="AV159" s="675">
        <v>0</v>
      </c>
      <c r="AW159" s="675">
        <v>436933</v>
      </c>
      <c r="AX159" s="675">
        <v>436962</v>
      </c>
      <c r="AY159" s="675">
        <v>346984</v>
      </c>
      <c r="AZ159" s="675">
        <v>0</v>
      </c>
      <c r="BA159" s="675">
        <v>0</v>
      </c>
      <c r="BB159" s="675">
        <v>0</v>
      </c>
      <c r="BC159" s="675">
        <v>0</v>
      </c>
      <c r="BD159" s="675">
        <v>0</v>
      </c>
      <c r="BE159" s="675">
        <v>0</v>
      </c>
      <c r="BF159" s="675">
        <v>225126</v>
      </c>
      <c r="BG159" s="675">
        <v>0</v>
      </c>
      <c r="BH159" s="675">
        <v>0</v>
      </c>
      <c r="BI159" s="675">
        <v>0</v>
      </c>
      <c r="BJ159" s="675">
        <v>12</v>
      </c>
      <c r="BK159" s="675">
        <v>0</v>
      </c>
      <c r="BL159" s="675">
        <v>0</v>
      </c>
      <c r="BM159" s="675">
        <v>0</v>
      </c>
      <c r="BN159" s="675">
        <v>0</v>
      </c>
      <c r="BO159" s="675">
        <v>0</v>
      </c>
      <c r="BP159" s="675">
        <v>0</v>
      </c>
      <c r="BQ159" s="675">
        <v>766</v>
      </c>
      <c r="BR159" s="675">
        <v>0</v>
      </c>
      <c r="BS159" s="675">
        <v>0</v>
      </c>
      <c r="BT159" s="675">
        <v>0</v>
      </c>
      <c r="BU159" s="675">
        <v>0</v>
      </c>
      <c r="BV159" s="675">
        <v>0</v>
      </c>
      <c r="BW159" s="675">
        <v>0</v>
      </c>
      <c r="BX159" s="675">
        <v>0</v>
      </c>
      <c r="BY159" s="675">
        <v>0</v>
      </c>
      <c r="BZ159" s="675">
        <v>0</v>
      </c>
      <c r="CA159" s="675">
        <v>216</v>
      </c>
      <c r="CB159" s="675">
        <v>184199</v>
      </c>
      <c r="CC159" s="675">
        <v>0</v>
      </c>
      <c r="CD159" s="675">
        <v>0</v>
      </c>
      <c r="CE159" s="675">
        <v>0</v>
      </c>
      <c r="CF159" s="675">
        <v>0</v>
      </c>
      <c r="CG159" s="675">
        <v>0</v>
      </c>
      <c r="CH159" s="675">
        <v>0</v>
      </c>
      <c r="CI159" s="675">
        <v>0</v>
      </c>
      <c r="CJ159" s="675">
        <v>4</v>
      </c>
      <c r="CK159" s="675">
        <v>0</v>
      </c>
      <c r="CL159" s="675">
        <v>0</v>
      </c>
      <c r="CM159" s="675">
        <v>0</v>
      </c>
      <c r="CN159" s="675">
        <v>0</v>
      </c>
      <c r="CO159" s="675">
        <v>1</v>
      </c>
      <c r="CP159" s="675">
        <v>0</v>
      </c>
      <c r="CQ159" s="675">
        <v>0</v>
      </c>
      <c r="CR159" s="675">
        <v>0</v>
      </c>
      <c r="CS159" s="675">
        <v>0</v>
      </c>
      <c r="CT159" s="675">
        <v>0</v>
      </c>
      <c r="CU159" s="675">
        <v>0</v>
      </c>
      <c r="CV159" s="675">
        <v>0</v>
      </c>
      <c r="CW159" s="675">
        <v>0</v>
      </c>
      <c r="CX159" s="675">
        <v>0</v>
      </c>
      <c r="CY159" s="675">
        <v>0</v>
      </c>
      <c r="CZ159" s="675">
        <v>0</v>
      </c>
      <c r="DA159" s="675">
        <v>0</v>
      </c>
      <c r="DB159" s="675">
        <v>141772</v>
      </c>
      <c r="DC159" s="675">
        <v>0</v>
      </c>
      <c r="DD159" s="675">
        <v>0</v>
      </c>
      <c r="DE159" s="675">
        <v>39501</v>
      </c>
      <c r="DF159" s="675">
        <v>39501</v>
      </c>
      <c r="DG159" s="675">
        <v>6.4130000000000003</v>
      </c>
      <c r="DH159" s="675">
        <v>0</v>
      </c>
      <c r="DI159" s="675">
        <v>0</v>
      </c>
      <c r="DJ159" s="675">
        <v>0</v>
      </c>
      <c r="DK159" s="675">
        <v>3886</v>
      </c>
      <c r="DL159" s="675">
        <v>0</v>
      </c>
      <c r="DM159" s="675">
        <v>7597</v>
      </c>
      <c r="DN159" s="675">
        <v>29</v>
      </c>
      <c r="DO159" s="675">
        <v>0</v>
      </c>
      <c r="DP159" s="675">
        <v>0</v>
      </c>
      <c r="DQ159" s="675">
        <v>0</v>
      </c>
      <c r="DR159" s="675">
        <v>0</v>
      </c>
      <c r="DS159" s="675">
        <v>0</v>
      </c>
      <c r="DT159" s="675">
        <v>0</v>
      </c>
      <c r="DU159" s="675">
        <v>0</v>
      </c>
      <c r="DV159" s="675">
        <v>0</v>
      </c>
      <c r="DW159" s="675">
        <v>0</v>
      </c>
      <c r="DX159" s="675">
        <v>0</v>
      </c>
      <c r="DY159" s="675">
        <v>0</v>
      </c>
      <c r="DZ159" s="675">
        <v>0</v>
      </c>
      <c r="EA159" s="675">
        <v>0</v>
      </c>
      <c r="EB159" s="675">
        <v>0</v>
      </c>
      <c r="EC159" s="675">
        <v>0</v>
      </c>
      <c r="ED159" s="675">
        <v>0</v>
      </c>
      <c r="EE159" s="675">
        <v>0</v>
      </c>
      <c r="EF159" s="675">
        <v>0</v>
      </c>
      <c r="EG159" s="675">
        <v>0</v>
      </c>
      <c r="EH159" s="675">
        <v>7626</v>
      </c>
      <c r="EI159" s="675">
        <v>0</v>
      </c>
      <c r="EJ159" s="675">
        <v>0</v>
      </c>
      <c r="EK159" s="675">
        <v>0.21100000000000002</v>
      </c>
      <c r="EL159" s="675">
        <v>0</v>
      </c>
      <c r="EM159" s="675">
        <v>0</v>
      </c>
      <c r="EN159" s="675">
        <v>0.12100000000000001</v>
      </c>
      <c r="EO159" s="675">
        <v>0</v>
      </c>
      <c r="EP159" s="675">
        <v>0</v>
      </c>
      <c r="EQ159" s="675">
        <v>0.33200000000000002</v>
      </c>
      <c r="ER159" s="675">
        <v>0</v>
      </c>
      <c r="ES159" s="675">
        <v>1.238</v>
      </c>
      <c r="ET159" s="675">
        <v>0</v>
      </c>
      <c r="EU159" s="675">
        <v>0</v>
      </c>
      <c r="EV159" s="675">
        <v>0</v>
      </c>
      <c r="EW159" s="675">
        <v>0</v>
      </c>
      <c r="EX159" s="675">
        <v>0</v>
      </c>
      <c r="EY159" s="675">
        <v>0</v>
      </c>
      <c r="EZ159" s="675">
        <v>409325</v>
      </c>
      <c r="FA159" s="675">
        <v>0</v>
      </c>
      <c r="FB159" s="675">
        <v>409296</v>
      </c>
      <c r="FC159" s="675">
        <v>0</v>
      </c>
      <c r="FD159" s="675">
        <v>0</v>
      </c>
      <c r="FE159" s="675">
        <v>22900</v>
      </c>
      <c r="FF159" s="675">
        <v>4737</v>
      </c>
      <c r="FG159" s="675">
        <v>6.3574999999999993E-2</v>
      </c>
      <c r="FH159" s="675">
        <v>2.6298999999999999E-2</v>
      </c>
      <c r="FI159" s="675">
        <v>0</v>
      </c>
      <c r="FJ159" s="675">
        <v>0</v>
      </c>
      <c r="FK159" s="675">
        <v>36.547000000000004</v>
      </c>
      <c r="FL159" s="675">
        <v>436933</v>
      </c>
      <c r="FM159" s="675">
        <v>0</v>
      </c>
      <c r="FN159" s="675">
        <v>0</v>
      </c>
      <c r="FO159" s="675">
        <v>0</v>
      </c>
      <c r="FP159" s="675">
        <v>0</v>
      </c>
      <c r="FQ159" s="675">
        <v>0</v>
      </c>
      <c r="FR159" s="675">
        <v>0</v>
      </c>
      <c r="FS159" s="675">
        <v>0</v>
      </c>
      <c r="FT159" s="675">
        <v>0</v>
      </c>
      <c r="FU159" s="675">
        <v>0</v>
      </c>
      <c r="FV159" s="675">
        <v>0</v>
      </c>
      <c r="FW159" s="675">
        <v>0</v>
      </c>
      <c r="FX159" s="675">
        <v>0</v>
      </c>
      <c r="FY159" s="675">
        <v>0</v>
      </c>
      <c r="FZ159" s="675">
        <v>0</v>
      </c>
      <c r="GA159" s="675">
        <v>0</v>
      </c>
      <c r="GB159" s="675">
        <v>0</v>
      </c>
      <c r="GC159" s="675">
        <v>0</v>
      </c>
      <c r="GD159" s="675">
        <v>0</v>
      </c>
      <c r="GE159" s="675">
        <v>0</v>
      </c>
      <c r="GF159" s="675">
        <v>0</v>
      </c>
      <c r="GG159" s="675">
        <v>0</v>
      </c>
      <c r="GH159" s="675">
        <v>0</v>
      </c>
      <c r="GI159" s="675">
        <v>0</v>
      </c>
      <c r="GJ159" s="675">
        <v>0</v>
      </c>
      <c r="GK159" s="675">
        <v>0</v>
      </c>
      <c r="GL159" s="675">
        <v>0</v>
      </c>
      <c r="GM159" s="675">
        <v>0</v>
      </c>
      <c r="GN159" s="675">
        <v>0</v>
      </c>
      <c r="GO159" s="675">
        <v>0</v>
      </c>
      <c r="GP159" s="675">
        <v>0</v>
      </c>
      <c r="GQ159" s="675">
        <v>0</v>
      </c>
      <c r="GR159" s="675">
        <v>0</v>
      </c>
      <c r="GS159" s="675">
        <v>0</v>
      </c>
      <c r="GT159" s="675">
        <v>0</v>
      </c>
      <c r="GU159" s="675">
        <v>0</v>
      </c>
      <c r="GV159" s="675">
        <v>0</v>
      </c>
      <c r="GW159" s="675">
        <v>0</v>
      </c>
      <c r="GX159" s="675">
        <v>0</v>
      </c>
      <c r="GY159" s="675">
        <v>0</v>
      </c>
      <c r="GZ159" s="675">
        <v>0</v>
      </c>
      <c r="HA159" s="675">
        <v>0</v>
      </c>
      <c r="HB159" s="675">
        <v>0</v>
      </c>
      <c r="HC159" s="675">
        <v>4.5690999999999996E-2</v>
      </c>
      <c r="HD159" s="675">
        <v>0</v>
      </c>
      <c r="HE159" s="675">
        <v>0</v>
      </c>
      <c r="HF159" s="675">
        <v>25317</v>
      </c>
      <c r="HG159" s="675">
        <v>0</v>
      </c>
      <c r="HH159" s="675">
        <v>10683</v>
      </c>
      <c r="HI159" s="675">
        <v>0</v>
      </c>
      <c r="HJ159" s="675">
        <v>227</v>
      </c>
      <c r="HK159" s="675">
        <v>0</v>
      </c>
      <c r="HL159" s="675">
        <v>0</v>
      </c>
      <c r="HM159" s="675">
        <v>0</v>
      </c>
      <c r="HN159" s="675">
        <v>0</v>
      </c>
      <c r="HO159" s="675">
        <v>0</v>
      </c>
      <c r="HP159" s="675">
        <v>0</v>
      </c>
      <c r="HQ159" s="675">
        <v>0</v>
      </c>
      <c r="HR159" s="675">
        <v>0</v>
      </c>
      <c r="HS159" s="675">
        <v>409296</v>
      </c>
      <c r="HT159" s="675">
        <v>4737</v>
      </c>
      <c r="HU159" s="675">
        <v>0</v>
      </c>
      <c r="HV159" s="675">
        <v>0</v>
      </c>
      <c r="HW159" s="675">
        <v>0</v>
      </c>
      <c r="HX159" s="675">
        <v>1</v>
      </c>
      <c r="HY159" s="675">
        <v>5</v>
      </c>
      <c r="HZ159" s="675">
        <v>6</v>
      </c>
      <c r="IA159" s="675">
        <v>6</v>
      </c>
      <c r="IB159" s="675">
        <v>7</v>
      </c>
      <c r="IC159" s="675">
        <v>25</v>
      </c>
      <c r="ID159" s="675">
        <v>0</v>
      </c>
      <c r="IE159" s="675">
        <v>0</v>
      </c>
      <c r="IF159" s="675">
        <v>0</v>
      </c>
      <c r="IG159" s="675">
        <v>0</v>
      </c>
      <c r="IH159" s="675">
        <v>17.343</v>
      </c>
      <c r="II159" s="675">
        <v>0</v>
      </c>
      <c r="IJ159" s="675">
        <v>0</v>
      </c>
      <c r="IK159" s="675">
        <v>0</v>
      </c>
      <c r="IL159" s="675">
        <v>0</v>
      </c>
      <c r="IM159" s="675">
        <v>0</v>
      </c>
      <c r="IN159" s="675">
        <v>0</v>
      </c>
      <c r="IO159" s="675">
        <v>0</v>
      </c>
      <c r="IP159" s="675">
        <v>0</v>
      </c>
      <c r="IQ159" s="675">
        <v>0</v>
      </c>
      <c r="IR159" s="675">
        <v>0</v>
      </c>
      <c r="IS159" s="675">
        <v>0</v>
      </c>
      <c r="IT159" s="675">
        <v>0</v>
      </c>
      <c r="IU159" s="675">
        <v>0</v>
      </c>
      <c r="IV159" s="675">
        <v>0</v>
      </c>
      <c r="IW159" s="675">
        <v>6160</v>
      </c>
      <c r="IX159" s="675">
        <v>0</v>
      </c>
      <c r="IY159" s="675">
        <v>0</v>
      </c>
      <c r="IZ159" s="675">
        <v>0</v>
      </c>
      <c r="JA159" s="675">
        <v>0</v>
      </c>
      <c r="JB159" s="675">
        <v>0</v>
      </c>
      <c r="JC159" s="675">
        <v>0</v>
      </c>
      <c r="JD159" s="675">
        <v>0</v>
      </c>
      <c r="JE159" s="675">
        <v>0</v>
      </c>
      <c r="JF159" s="675">
        <v>0</v>
      </c>
      <c r="JG159" s="675">
        <v>0</v>
      </c>
      <c r="JH159" s="675">
        <v>0</v>
      </c>
      <c r="JI159" s="675">
        <v>0</v>
      </c>
      <c r="JJ159" s="675">
        <v>0</v>
      </c>
      <c r="JK159" s="675">
        <v>0</v>
      </c>
      <c r="JL159" s="675">
        <v>0</v>
      </c>
      <c r="JM159" s="675">
        <v>0</v>
      </c>
      <c r="JN159" s="675">
        <v>0</v>
      </c>
      <c r="JO159" s="675">
        <v>0</v>
      </c>
      <c r="JP159" s="675">
        <v>0</v>
      </c>
      <c r="JQ159" s="675">
        <v>0</v>
      </c>
      <c r="JR159" s="675">
        <v>0</v>
      </c>
      <c r="JS159" s="675">
        <v>0</v>
      </c>
      <c r="JT159" s="675">
        <v>0</v>
      </c>
      <c r="JU159" s="675">
        <v>0</v>
      </c>
      <c r="JV159" s="675">
        <v>0</v>
      </c>
      <c r="JW159" s="675">
        <v>0</v>
      </c>
      <c r="JX159" s="675">
        <v>0</v>
      </c>
      <c r="JY159" s="675">
        <v>0</v>
      </c>
      <c r="JZ159" s="675">
        <v>0</v>
      </c>
      <c r="KA159" s="675">
        <v>0</v>
      </c>
      <c r="KB159" s="675">
        <v>0</v>
      </c>
      <c r="KC159" s="675">
        <v>0</v>
      </c>
      <c r="KD159" s="675">
        <v>0</v>
      </c>
      <c r="KE159" s="675">
        <v>7260</v>
      </c>
      <c r="KF159" s="675">
        <v>0</v>
      </c>
      <c r="KG159" s="675">
        <v>0</v>
      </c>
      <c r="KH159" s="675">
        <v>0</v>
      </c>
      <c r="KI159" s="675">
        <v>0</v>
      </c>
    </row>
    <row r="160" spans="1:295" ht="12.5" x14ac:dyDescent="0.25">
      <c r="A160" s="675">
        <v>35795</v>
      </c>
      <c r="B160" s="675">
        <v>57844</v>
      </c>
      <c r="C160" s="675">
        <v>9</v>
      </c>
      <c r="D160" s="675">
        <v>2022</v>
      </c>
      <c r="E160" s="675">
        <v>6160</v>
      </c>
      <c r="F160" s="675">
        <v>0</v>
      </c>
      <c r="G160" s="675">
        <v>483.40200000000004</v>
      </c>
      <c r="H160" s="675">
        <v>457.459</v>
      </c>
      <c r="I160" s="675">
        <v>457.459</v>
      </c>
      <c r="J160" s="675">
        <v>483.40200000000004</v>
      </c>
      <c r="K160" s="675">
        <v>0</v>
      </c>
      <c r="L160" s="675">
        <v>6160</v>
      </c>
      <c r="M160" s="675">
        <v>0</v>
      </c>
      <c r="N160" s="675">
        <v>0</v>
      </c>
      <c r="O160" s="675">
        <v>0</v>
      </c>
      <c r="P160" s="675">
        <v>594.53100000000006</v>
      </c>
      <c r="Q160" s="675">
        <v>0</v>
      </c>
      <c r="R160" s="675">
        <v>239256</v>
      </c>
      <c r="S160" s="675">
        <v>402.428</v>
      </c>
      <c r="T160" s="675">
        <v>0</v>
      </c>
      <c r="U160" s="675">
        <v>127230</v>
      </c>
      <c r="V160" s="675">
        <v>202.53</v>
      </c>
      <c r="W160" s="675">
        <v>124758</v>
      </c>
      <c r="X160" s="675">
        <v>124758</v>
      </c>
      <c r="Y160" s="675">
        <v>0</v>
      </c>
      <c r="Z160" s="675">
        <v>0</v>
      </c>
      <c r="AA160" s="675">
        <v>0</v>
      </c>
      <c r="AB160" s="675">
        <v>0</v>
      </c>
      <c r="AC160" s="675">
        <v>0</v>
      </c>
      <c r="AD160" s="675" t="s">
        <v>316</v>
      </c>
      <c r="AE160" s="675">
        <v>0</v>
      </c>
      <c r="AF160" s="675">
        <v>0</v>
      </c>
      <c r="AG160" s="675">
        <v>0</v>
      </c>
      <c r="AH160" s="675">
        <v>0</v>
      </c>
      <c r="AI160" s="675">
        <v>0</v>
      </c>
      <c r="AJ160" s="675">
        <v>6160</v>
      </c>
      <c r="AK160" s="675" t="s">
        <v>671</v>
      </c>
      <c r="AL160" s="675" t="s">
        <v>332</v>
      </c>
      <c r="AM160" s="675">
        <v>0</v>
      </c>
      <c r="AN160" s="675">
        <v>0</v>
      </c>
      <c r="AO160" s="675">
        <v>0</v>
      </c>
      <c r="AP160" s="675">
        <v>0</v>
      </c>
      <c r="AQ160" s="675">
        <v>0</v>
      </c>
      <c r="AR160" s="675">
        <v>0</v>
      </c>
      <c r="AS160" s="675">
        <v>0</v>
      </c>
      <c r="AT160" s="675">
        <v>0</v>
      </c>
      <c r="AU160" s="675">
        <v>0</v>
      </c>
      <c r="AV160" s="675">
        <v>-13446</v>
      </c>
      <c r="AW160" s="675">
        <v>4957161</v>
      </c>
      <c r="AX160" s="675">
        <v>4869995</v>
      </c>
      <c r="AY160" s="675">
        <v>3473660</v>
      </c>
      <c r="AZ160" s="675">
        <v>239256</v>
      </c>
      <c r="BA160" s="675">
        <v>0</v>
      </c>
      <c r="BB160" s="675">
        <v>1006</v>
      </c>
      <c r="BC160" s="675">
        <v>1000</v>
      </c>
      <c r="BD160" s="675">
        <v>2.3330000000000002</v>
      </c>
      <c r="BE160" s="675">
        <v>6</v>
      </c>
      <c r="BF160" s="675">
        <v>4518362</v>
      </c>
      <c r="BG160" s="675">
        <v>0</v>
      </c>
      <c r="BH160" s="675">
        <v>0</v>
      </c>
      <c r="BI160" s="675">
        <v>0</v>
      </c>
      <c r="BJ160" s="675">
        <v>12</v>
      </c>
      <c r="BK160" s="675">
        <v>0</v>
      </c>
      <c r="BL160" s="675">
        <v>0</v>
      </c>
      <c r="BM160" s="675">
        <v>0</v>
      </c>
      <c r="BN160" s="675">
        <v>0</v>
      </c>
      <c r="BO160" s="675">
        <v>0</v>
      </c>
      <c r="BP160" s="675">
        <v>0</v>
      </c>
      <c r="BQ160" s="675">
        <v>700</v>
      </c>
      <c r="BR160" s="675">
        <v>0</v>
      </c>
      <c r="BS160" s="675">
        <v>0</v>
      </c>
      <c r="BT160" s="675">
        <v>0</v>
      </c>
      <c r="BU160" s="675">
        <v>0</v>
      </c>
      <c r="BV160" s="675">
        <v>0</v>
      </c>
      <c r="BW160" s="675">
        <v>0</v>
      </c>
      <c r="BX160" s="675">
        <v>0</v>
      </c>
      <c r="BY160" s="675">
        <v>0</v>
      </c>
      <c r="BZ160" s="675">
        <v>0</v>
      </c>
      <c r="CA160" s="675">
        <v>0</v>
      </c>
      <c r="CB160" s="675">
        <v>0</v>
      </c>
      <c r="CC160" s="675">
        <v>0</v>
      </c>
      <c r="CD160" s="675">
        <v>0</v>
      </c>
      <c r="CE160" s="675">
        <v>0</v>
      </c>
      <c r="CF160" s="675">
        <v>0</v>
      </c>
      <c r="CG160" s="675">
        <v>0</v>
      </c>
      <c r="CH160" s="675">
        <v>88348</v>
      </c>
      <c r="CI160" s="675">
        <v>0</v>
      </c>
      <c r="CJ160" s="675">
        <v>4</v>
      </c>
      <c r="CK160" s="675">
        <v>0</v>
      </c>
      <c r="CL160" s="675">
        <v>0</v>
      </c>
      <c r="CM160" s="675">
        <v>0</v>
      </c>
      <c r="CN160" s="675">
        <v>0</v>
      </c>
      <c r="CO160" s="675">
        <v>1</v>
      </c>
      <c r="CP160" s="675">
        <v>0</v>
      </c>
      <c r="CQ160" s="675">
        <v>0</v>
      </c>
      <c r="CR160" s="675">
        <v>598.26</v>
      </c>
      <c r="CS160" s="675">
        <v>0</v>
      </c>
      <c r="CT160" s="675">
        <v>0</v>
      </c>
      <c r="CU160" s="675">
        <v>0</v>
      </c>
      <c r="CV160" s="675">
        <v>0</v>
      </c>
      <c r="CW160" s="675">
        <v>0</v>
      </c>
      <c r="CX160" s="675">
        <v>0</v>
      </c>
      <c r="CY160" s="675">
        <v>0</v>
      </c>
      <c r="CZ160" s="675">
        <v>0</v>
      </c>
      <c r="DA160" s="675">
        <v>0</v>
      </c>
      <c r="DB160" s="675">
        <v>2693206</v>
      </c>
      <c r="DC160" s="675">
        <v>0</v>
      </c>
      <c r="DD160" s="675">
        <v>0</v>
      </c>
      <c r="DE160" s="675">
        <v>508429</v>
      </c>
      <c r="DF160" s="675">
        <v>508429</v>
      </c>
      <c r="DG160" s="675">
        <v>82.538000000000011</v>
      </c>
      <c r="DH160" s="675">
        <v>0</v>
      </c>
      <c r="DI160" s="675">
        <v>0</v>
      </c>
      <c r="DJ160" s="675">
        <v>0</v>
      </c>
      <c r="DK160" s="675">
        <v>2815</v>
      </c>
      <c r="DL160" s="675">
        <v>0</v>
      </c>
      <c r="DM160" s="675">
        <v>433320</v>
      </c>
      <c r="DN160" s="675">
        <v>1175</v>
      </c>
      <c r="DO160" s="675">
        <v>0</v>
      </c>
      <c r="DP160" s="675">
        <v>0</v>
      </c>
      <c r="DQ160" s="675">
        <v>0</v>
      </c>
      <c r="DR160" s="675">
        <v>0</v>
      </c>
      <c r="DS160" s="675">
        <v>0</v>
      </c>
      <c r="DT160" s="675">
        <v>0</v>
      </c>
      <c r="DU160" s="675">
        <v>0</v>
      </c>
      <c r="DV160" s="675">
        <v>0</v>
      </c>
      <c r="DW160" s="675">
        <v>0</v>
      </c>
      <c r="DX160" s="675">
        <v>0</v>
      </c>
      <c r="DY160" s="675">
        <v>0</v>
      </c>
      <c r="DZ160" s="675">
        <v>0</v>
      </c>
      <c r="EA160" s="675">
        <v>0</v>
      </c>
      <c r="EB160" s="675">
        <v>0</v>
      </c>
      <c r="EC160" s="675">
        <v>1</v>
      </c>
      <c r="ED160" s="675">
        <v>7084</v>
      </c>
      <c r="EE160" s="675">
        <v>0</v>
      </c>
      <c r="EF160" s="675">
        <v>0</v>
      </c>
      <c r="EG160" s="675">
        <v>0</v>
      </c>
      <c r="EH160" s="675">
        <v>302683</v>
      </c>
      <c r="EI160" s="675">
        <v>0</v>
      </c>
      <c r="EJ160" s="675">
        <v>0</v>
      </c>
      <c r="EK160" s="675">
        <v>9.870000000000001</v>
      </c>
      <c r="EL160" s="675">
        <v>0</v>
      </c>
      <c r="EM160" s="675">
        <v>5.4190000000000005</v>
      </c>
      <c r="EN160" s="675">
        <v>0.65400000000000003</v>
      </c>
      <c r="EO160" s="675">
        <v>0</v>
      </c>
      <c r="EP160" s="675">
        <v>0</v>
      </c>
      <c r="EQ160" s="675">
        <v>15.943000000000001</v>
      </c>
      <c r="ER160" s="675">
        <v>0</v>
      </c>
      <c r="ES160" s="675">
        <v>49.137</v>
      </c>
      <c r="ET160" s="675">
        <v>0</v>
      </c>
      <c r="EU160" s="675">
        <v>0</v>
      </c>
      <c r="EV160" s="675">
        <v>0</v>
      </c>
      <c r="EW160" s="675">
        <v>0</v>
      </c>
      <c r="EX160" s="675">
        <v>0</v>
      </c>
      <c r="EY160" s="675">
        <v>0</v>
      </c>
      <c r="EZ160" s="675">
        <v>4315322</v>
      </c>
      <c r="FA160" s="675">
        <v>0</v>
      </c>
      <c r="FB160" s="675">
        <v>4553396</v>
      </c>
      <c r="FC160" s="675">
        <v>0</v>
      </c>
      <c r="FD160" s="675">
        <v>0</v>
      </c>
      <c r="FE160" s="675">
        <v>459610</v>
      </c>
      <c r="FF160" s="675">
        <v>95063</v>
      </c>
      <c r="FG160" s="675">
        <v>6.3574999999999993E-2</v>
      </c>
      <c r="FH160" s="675">
        <v>2.6298999999999999E-2</v>
      </c>
      <c r="FI160" s="675">
        <v>0</v>
      </c>
      <c r="FJ160" s="675">
        <v>0</v>
      </c>
      <c r="FK160" s="675">
        <v>733.50400000000002</v>
      </c>
      <c r="FL160" s="675">
        <v>5196417</v>
      </c>
      <c r="FM160" s="675">
        <v>0</v>
      </c>
      <c r="FN160" s="675">
        <v>0</v>
      </c>
      <c r="FO160" s="675">
        <v>35100</v>
      </c>
      <c r="FP160" s="675">
        <v>0</v>
      </c>
      <c r="FQ160" s="675">
        <v>35100</v>
      </c>
      <c r="FR160" s="675">
        <v>35100</v>
      </c>
      <c r="FS160" s="675">
        <v>0</v>
      </c>
      <c r="FT160" s="675">
        <v>0</v>
      </c>
      <c r="FU160" s="675">
        <v>0</v>
      </c>
      <c r="FV160" s="675">
        <v>0</v>
      </c>
      <c r="FW160" s="675">
        <v>0</v>
      </c>
      <c r="FX160" s="675">
        <v>0</v>
      </c>
      <c r="FY160" s="675">
        <v>0</v>
      </c>
      <c r="FZ160" s="675">
        <v>0</v>
      </c>
      <c r="GA160" s="675">
        <v>0</v>
      </c>
      <c r="GB160" s="675">
        <v>93699</v>
      </c>
      <c r="GC160" s="675">
        <v>93699</v>
      </c>
      <c r="GD160" s="675">
        <v>10</v>
      </c>
      <c r="GE160" s="675">
        <v>0</v>
      </c>
      <c r="GF160" s="675">
        <v>0</v>
      </c>
      <c r="GG160" s="675">
        <v>0</v>
      </c>
      <c r="GH160" s="675">
        <v>0</v>
      </c>
      <c r="GI160" s="675">
        <v>0</v>
      </c>
      <c r="GJ160" s="675">
        <v>0</v>
      </c>
      <c r="GK160" s="675">
        <v>0</v>
      </c>
      <c r="GL160" s="675">
        <v>0</v>
      </c>
      <c r="GM160" s="675">
        <v>0</v>
      </c>
      <c r="GN160" s="675">
        <v>0</v>
      </c>
      <c r="GO160" s="675">
        <v>0</v>
      </c>
      <c r="GP160" s="675">
        <v>0</v>
      </c>
      <c r="GQ160" s="675">
        <v>0</v>
      </c>
      <c r="GR160" s="675">
        <v>0</v>
      </c>
      <c r="GS160" s="675">
        <v>0</v>
      </c>
      <c r="GT160" s="675">
        <v>0</v>
      </c>
      <c r="GU160" s="675">
        <v>0</v>
      </c>
      <c r="GV160" s="675">
        <v>0</v>
      </c>
      <c r="GW160" s="675">
        <v>0</v>
      </c>
      <c r="GX160" s="675">
        <v>0</v>
      </c>
      <c r="GY160" s="675">
        <v>0</v>
      </c>
      <c r="GZ160" s="675">
        <v>0</v>
      </c>
      <c r="HA160" s="675">
        <v>0</v>
      </c>
      <c r="HB160" s="675">
        <v>298386780</v>
      </c>
      <c r="HC160" s="675">
        <v>4.5690999999999996E-2</v>
      </c>
      <c r="HD160" s="675">
        <v>88348</v>
      </c>
      <c r="HE160" s="675">
        <v>0</v>
      </c>
      <c r="HF160" s="675">
        <v>503205</v>
      </c>
      <c r="HG160" s="675">
        <v>3696</v>
      </c>
      <c r="HH160" s="675">
        <v>115169</v>
      </c>
      <c r="HI160" s="675">
        <v>0</v>
      </c>
      <c r="HJ160" s="675">
        <v>4699</v>
      </c>
      <c r="HK160" s="675">
        <v>1116</v>
      </c>
      <c r="HL160" s="675">
        <v>0</v>
      </c>
      <c r="HM160" s="675">
        <v>36000</v>
      </c>
      <c r="HN160" s="675">
        <v>0</v>
      </c>
      <c r="HO160" s="675">
        <v>0</v>
      </c>
      <c r="HP160" s="675">
        <v>0</v>
      </c>
      <c r="HQ160" s="675">
        <v>0</v>
      </c>
      <c r="HR160" s="675">
        <v>0</v>
      </c>
      <c r="HS160" s="675">
        <v>4314140</v>
      </c>
      <c r="HT160" s="675">
        <v>95063</v>
      </c>
      <c r="HU160" s="675">
        <v>0</v>
      </c>
      <c r="HV160" s="675">
        <v>0</v>
      </c>
      <c r="HW160" s="675">
        <v>0</v>
      </c>
      <c r="HX160" s="675">
        <v>50</v>
      </c>
      <c r="HY160" s="675">
        <v>88</v>
      </c>
      <c r="HZ160" s="675">
        <v>53</v>
      </c>
      <c r="IA160" s="675">
        <v>109</v>
      </c>
      <c r="IB160" s="675">
        <v>31</v>
      </c>
      <c r="IC160" s="675">
        <v>331</v>
      </c>
      <c r="ID160" s="675">
        <v>0</v>
      </c>
      <c r="IE160" s="675">
        <v>0</v>
      </c>
      <c r="IF160" s="675">
        <v>0</v>
      </c>
      <c r="IG160" s="675">
        <v>6</v>
      </c>
      <c r="IH160" s="675">
        <v>186.96300000000002</v>
      </c>
      <c r="II160" s="675">
        <v>0</v>
      </c>
      <c r="IJ160" s="675">
        <v>202.53</v>
      </c>
      <c r="IK160" s="675">
        <v>0</v>
      </c>
      <c r="IL160" s="675">
        <v>5</v>
      </c>
      <c r="IM160" s="675">
        <v>3</v>
      </c>
      <c r="IN160" s="675">
        <v>1</v>
      </c>
      <c r="IO160" s="675">
        <v>9</v>
      </c>
      <c r="IP160" s="675">
        <v>0</v>
      </c>
      <c r="IQ160" s="675">
        <v>202.53</v>
      </c>
      <c r="IR160" s="675">
        <v>124758</v>
      </c>
      <c r="IS160" s="675">
        <v>0</v>
      </c>
      <c r="IT160" s="675">
        <v>25000</v>
      </c>
      <c r="IU160" s="675">
        <v>9000</v>
      </c>
      <c r="IV160" s="675">
        <v>2000</v>
      </c>
      <c r="IW160" s="675">
        <v>6160</v>
      </c>
      <c r="IX160" s="675">
        <v>0</v>
      </c>
      <c r="IY160" s="675">
        <v>0</v>
      </c>
      <c r="IZ160" s="675">
        <v>0</v>
      </c>
      <c r="JA160" s="675">
        <v>0</v>
      </c>
      <c r="JB160" s="675">
        <v>0</v>
      </c>
      <c r="JC160" s="675">
        <v>0</v>
      </c>
      <c r="JD160" s="675">
        <v>0</v>
      </c>
      <c r="JE160" s="675">
        <v>0</v>
      </c>
      <c r="JF160" s="675">
        <v>0</v>
      </c>
      <c r="JG160" s="675">
        <v>0</v>
      </c>
      <c r="JH160" s="675">
        <v>0</v>
      </c>
      <c r="JI160" s="675">
        <v>0</v>
      </c>
      <c r="JJ160" s="675">
        <v>0</v>
      </c>
      <c r="JK160" s="675">
        <v>0</v>
      </c>
      <c r="JL160" s="675">
        <v>0</v>
      </c>
      <c r="JM160" s="675">
        <v>0</v>
      </c>
      <c r="JN160" s="675">
        <v>32469</v>
      </c>
      <c r="JO160" s="675">
        <v>0</v>
      </c>
      <c r="JP160" s="675">
        <v>9.4410000000000007</v>
      </c>
      <c r="JQ160" s="675">
        <v>0.55900000000000005</v>
      </c>
      <c r="JR160" s="675">
        <v>0</v>
      </c>
      <c r="JS160" s="675">
        <v>87733</v>
      </c>
      <c r="JT160" s="675">
        <v>5966</v>
      </c>
      <c r="JU160" s="675">
        <v>1006</v>
      </c>
      <c r="JV160" s="675">
        <v>0</v>
      </c>
      <c r="JW160" s="675">
        <v>0</v>
      </c>
      <c r="JX160" s="675">
        <v>0</v>
      </c>
      <c r="JY160" s="675">
        <v>0</v>
      </c>
      <c r="JZ160" s="675">
        <v>0</v>
      </c>
      <c r="KA160" s="675">
        <v>0</v>
      </c>
      <c r="KB160" s="675">
        <v>0</v>
      </c>
      <c r="KC160" s="675">
        <v>0</v>
      </c>
      <c r="KD160" s="675">
        <v>1006</v>
      </c>
      <c r="KE160" s="675">
        <v>7260</v>
      </c>
      <c r="KF160" s="675">
        <v>0</v>
      </c>
      <c r="KG160" s="675">
        <v>0</v>
      </c>
      <c r="KH160" s="675">
        <v>0</v>
      </c>
      <c r="KI160" s="675">
        <v>0</v>
      </c>
    </row>
    <row r="161" spans="1:295" ht="12.5" x14ac:dyDescent="0.25">
      <c r="A161" s="675">
        <v>35795</v>
      </c>
      <c r="B161" s="675">
        <v>57845</v>
      </c>
      <c r="C161" s="675">
        <v>9</v>
      </c>
      <c r="D161" s="675">
        <v>2022</v>
      </c>
      <c r="E161" s="675">
        <v>6160</v>
      </c>
      <c r="F161" s="675">
        <v>0</v>
      </c>
      <c r="G161" s="675">
        <v>1276.317</v>
      </c>
      <c r="H161" s="675">
        <v>1226.6670000000001</v>
      </c>
      <c r="I161" s="675">
        <v>1226.6670000000001</v>
      </c>
      <c r="J161" s="675">
        <v>1276.317</v>
      </c>
      <c r="K161" s="675">
        <v>0</v>
      </c>
      <c r="L161" s="675">
        <v>6160</v>
      </c>
      <c r="M161" s="675">
        <v>0</v>
      </c>
      <c r="N161" s="675">
        <v>0</v>
      </c>
      <c r="O161" s="675">
        <v>0</v>
      </c>
      <c r="P161" s="675">
        <v>1217.989</v>
      </c>
      <c r="Q161" s="675">
        <v>0</v>
      </c>
      <c r="R161" s="675">
        <v>490153</v>
      </c>
      <c r="S161" s="675">
        <v>402.428</v>
      </c>
      <c r="T161" s="675">
        <v>0</v>
      </c>
      <c r="U161" s="675">
        <v>260653</v>
      </c>
      <c r="V161" s="675">
        <v>97.082999999999998</v>
      </c>
      <c r="W161" s="675">
        <v>59803</v>
      </c>
      <c r="X161" s="675">
        <v>59803</v>
      </c>
      <c r="Y161" s="675">
        <v>0</v>
      </c>
      <c r="Z161" s="675">
        <v>0</v>
      </c>
      <c r="AA161" s="675">
        <v>0</v>
      </c>
      <c r="AB161" s="675">
        <v>0</v>
      </c>
      <c r="AC161" s="675">
        <v>0</v>
      </c>
      <c r="AD161" s="675" t="s">
        <v>316</v>
      </c>
      <c r="AE161" s="675">
        <v>0</v>
      </c>
      <c r="AF161" s="675">
        <v>0</v>
      </c>
      <c r="AG161" s="675">
        <v>0</v>
      </c>
      <c r="AH161" s="675">
        <v>0</v>
      </c>
      <c r="AI161" s="675">
        <v>0</v>
      </c>
      <c r="AJ161" s="675">
        <v>6160</v>
      </c>
      <c r="AK161" s="675" t="s">
        <v>671</v>
      </c>
      <c r="AL161" s="675" t="s">
        <v>116</v>
      </c>
      <c r="AM161" s="675">
        <v>0</v>
      </c>
      <c r="AN161" s="675">
        <v>0</v>
      </c>
      <c r="AO161" s="675">
        <v>0</v>
      </c>
      <c r="AP161" s="675">
        <v>0</v>
      </c>
      <c r="AQ161" s="675">
        <v>0</v>
      </c>
      <c r="AR161" s="675">
        <v>0</v>
      </c>
      <c r="AS161" s="675">
        <v>0</v>
      </c>
      <c r="AT161" s="675">
        <v>0</v>
      </c>
      <c r="AU161" s="675">
        <v>0</v>
      </c>
      <c r="AV161" s="675">
        <v>0</v>
      </c>
      <c r="AW161" s="675">
        <v>11921066</v>
      </c>
      <c r="AX161" s="675">
        <v>11689594</v>
      </c>
      <c r="AY161" s="675">
        <v>8670980</v>
      </c>
      <c r="AZ161" s="675">
        <v>490153</v>
      </c>
      <c r="BA161" s="675">
        <v>0</v>
      </c>
      <c r="BB161" s="675">
        <v>0</v>
      </c>
      <c r="BC161" s="675">
        <v>0</v>
      </c>
      <c r="BD161" s="675">
        <v>0</v>
      </c>
      <c r="BE161" s="675">
        <v>0</v>
      </c>
      <c r="BF161" s="675">
        <v>10844569</v>
      </c>
      <c r="BG161" s="675">
        <v>0</v>
      </c>
      <c r="BH161" s="675">
        <v>0</v>
      </c>
      <c r="BI161" s="675">
        <v>0</v>
      </c>
      <c r="BJ161" s="675">
        <v>12</v>
      </c>
      <c r="BK161" s="675">
        <v>0</v>
      </c>
      <c r="BL161" s="675">
        <v>0</v>
      </c>
      <c r="BM161" s="675">
        <v>0</v>
      </c>
      <c r="BN161" s="675">
        <v>0</v>
      </c>
      <c r="BO161" s="675">
        <v>0</v>
      </c>
      <c r="BP161" s="675">
        <v>0</v>
      </c>
      <c r="BQ161" s="675">
        <v>581</v>
      </c>
      <c r="BR161" s="675">
        <v>0</v>
      </c>
      <c r="BS161" s="675">
        <v>0</v>
      </c>
      <c r="BT161" s="675">
        <v>0</v>
      </c>
      <c r="BU161" s="675">
        <v>0</v>
      </c>
      <c r="BV161" s="675">
        <v>0</v>
      </c>
      <c r="BW161" s="675">
        <v>0</v>
      </c>
      <c r="BX161" s="675">
        <v>0</v>
      </c>
      <c r="BY161" s="675">
        <v>0</v>
      </c>
      <c r="BZ161" s="675">
        <v>0</v>
      </c>
      <c r="CA161" s="675">
        <v>0</v>
      </c>
      <c r="CB161" s="675">
        <v>0</v>
      </c>
      <c r="CC161" s="675">
        <v>0</v>
      </c>
      <c r="CD161" s="675">
        <v>0</v>
      </c>
      <c r="CE161" s="675">
        <v>0</v>
      </c>
      <c r="CF161" s="675">
        <v>0</v>
      </c>
      <c r="CG161" s="675">
        <v>0</v>
      </c>
      <c r="CH161" s="675">
        <v>233263</v>
      </c>
      <c r="CI161" s="675">
        <v>0</v>
      </c>
      <c r="CJ161" s="675">
        <v>5</v>
      </c>
      <c r="CK161" s="675">
        <v>0</v>
      </c>
      <c r="CL161" s="675">
        <v>0</v>
      </c>
      <c r="CM161" s="675">
        <v>0</v>
      </c>
      <c r="CN161" s="675">
        <v>0</v>
      </c>
      <c r="CO161" s="675">
        <v>1</v>
      </c>
      <c r="CP161" s="675">
        <v>0</v>
      </c>
      <c r="CQ161" s="675">
        <v>0</v>
      </c>
      <c r="CR161" s="675">
        <v>1378.546</v>
      </c>
      <c r="CS161" s="675">
        <v>0</v>
      </c>
      <c r="CT161" s="675">
        <v>0</v>
      </c>
      <c r="CU161" s="675">
        <v>0</v>
      </c>
      <c r="CV161" s="675">
        <v>0</v>
      </c>
      <c r="CW161" s="675">
        <v>0</v>
      </c>
      <c r="CX161" s="675">
        <v>0</v>
      </c>
      <c r="CY161" s="675">
        <v>0</v>
      </c>
      <c r="CZ161" s="675">
        <v>0</v>
      </c>
      <c r="DA161" s="675">
        <v>0</v>
      </c>
      <c r="DB161" s="675">
        <v>7556234</v>
      </c>
      <c r="DC161" s="675">
        <v>0</v>
      </c>
      <c r="DD161" s="675">
        <v>0</v>
      </c>
      <c r="DE161" s="675">
        <v>900280</v>
      </c>
      <c r="DF161" s="675">
        <v>900280</v>
      </c>
      <c r="DG161" s="675">
        <v>146.15</v>
      </c>
      <c r="DH161" s="675">
        <v>0</v>
      </c>
      <c r="DI161" s="675">
        <v>0</v>
      </c>
      <c r="DJ161" s="675">
        <v>0</v>
      </c>
      <c r="DK161" s="675">
        <v>920</v>
      </c>
      <c r="DL161" s="675">
        <v>0</v>
      </c>
      <c r="DM161" s="675">
        <v>470272</v>
      </c>
      <c r="DN161" s="675">
        <v>1791</v>
      </c>
      <c r="DO161" s="675">
        <v>0</v>
      </c>
      <c r="DP161" s="675">
        <v>0</v>
      </c>
      <c r="DQ161" s="675">
        <v>0</v>
      </c>
      <c r="DR161" s="675">
        <v>0</v>
      </c>
      <c r="DS161" s="675">
        <v>0</v>
      </c>
      <c r="DT161" s="675">
        <v>0</v>
      </c>
      <c r="DU161" s="675">
        <v>0</v>
      </c>
      <c r="DV161" s="675">
        <v>0</v>
      </c>
      <c r="DW161" s="675">
        <v>0</v>
      </c>
      <c r="DX161" s="675">
        <v>0</v>
      </c>
      <c r="DY161" s="675">
        <v>0</v>
      </c>
      <c r="DZ161" s="675">
        <v>0</v>
      </c>
      <c r="EA161" s="675">
        <v>0</v>
      </c>
      <c r="EB161" s="675">
        <v>0</v>
      </c>
      <c r="EC161" s="675">
        <v>6.0330000000000004</v>
      </c>
      <c r="ED161" s="675">
        <v>42738</v>
      </c>
      <c r="EE161" s="675">
        <v>0</v>
      </c>
      <c r="EF161" s="675">
        <v>0</v>
      </c>
      <c r="EG161" s="675">
        <v>0</v>
      </c>
      <c r="EH161" s="675">
        <v>429325</v>
      </c>
      <c r="EI161" s="675">
        <v>0</v>
      </c>
      <c r="EJ161" s="675">
        <v>0</v>
      </c>
      <c r="EK161" s="675">
        <v>19.627000000000002</v>
      </c>
      <c r="EL161" s="675">
        <v>0</v>
      </c>
      <c r="EM161" s="675">
        <v>0</v>
      </c>
      <c r="EN161" s="675">
        <v>2.1630000000000003</v>
      </c>
      <c r="EO161" s="675">
        <v>0</v>
      </c>
      <c r="EP161" s="675">
        <v>0</v>
      </c>
      <c r="EQ161" s="675">
        <v>21.79</v>
      </c>
      <c r="ER161" s="675">
        <v>0</v>
      </c>
      <c r="ES161" s="675">
        <v>69.695999999999998</v>
      </c>
      <c r="ET161" s="675">
        <v>0</v>
      </c>
      <c r="EU161" s="675">
        <v>0</v>
      </c>
      <c r="EV161" s="675">
        <v>0</v>
      </c>
      <c r="EW161" s="675">
        <v>0</v>
      </c>
      <c r="EX161" s="675">
        <v>0</v>
      </c>
      <c r="EY161" s="675">
        <v>0</v>
      </c>
      <c r="EZ161" s="675">
        <v>10358317</v>
      </c>
      <c r="FA161" s="675">
        <v>0</v>
      </c>
      <c r="FB161" s="675">
        <v>10846679</v>
      </c>
      <c r="FC161" s="675">
        <v>0</v>
      </c>
      <c r="FD161" s="675">
        <v>0</v>
      </c>
      <c r="FE161" s="675">
        <v>1103115</v>
      </c>
      <c r="FF161" s="675">
        <v>228162</v>
      </c>
      <c r="FG161" s="675">
        <v>6.3574999999999993E-2</v>
      </c>
      <c r="FH161" s="675">
        <v>2.6298999999999999E-2</v>
      </c>
      <c r="FI161" s="675">
        <v>0</v>
      </c>
      <c r="FJ161" s="675">
        <v>0</v>
      </c>
      <c r="FK161" s="675">
        <v>1760.49</v>
      </c>
      <c r="FL161" s="675">
        <v>12411219</v>
      </c>
      <c r="FM161" s="675">
        <v>0</v>
      </c>
      <c r="FN161" s="675">
        <v>0</v>
      </c>
      <c r="FO161" s="675">
        <v>0</v>
      </c>
      <c r="FP161" s="675">
        <v>0</v>
      </c>
      <c r="FQ161" s="675">
        <v>0</v>
      </c>
      <c r="FR161" s="675">
        <v>0</v>
      </c>
      <c r="FS161" s="675">
        <v>0</v>
      </c>
      <c r="FT161" s="675">
        <v>0</v>
      </c>
      <c r="FU161" s="675">
        <v>0</v>
      </c>
      <c r="FV161" s="675">
        <v>0</v>
      </c>
      <c r="FW161" s="675">
        <v>0</v>
      </c>
      <c r="FX161" s="675">
        <v>0</v>
      </c>
      <c r="FY161" s="675">
        <v>0</v>
      </c>
      <c r="FZ161" s="675">
        <v>0</v>
      </c>
      <c r="GA161" s="675">
        <v>0</v>
      </c>
      <c r="GB161" s="675">
        <v>277311</v>
      </c>
      <c r="GC161" s="675">
        <v>277311</v>
      </c>
      <c r="GD161" s="675">
        <v>27.86</v>
      </c>
      <c r="GE161" s="675">
        <v>0</v>
      </c>
      <c r="GF161" s="675">
        <v>0</v>
      </c>
      <c r="GG161" s="675">
        <v>0</v>
      </c>
      <c r="GH161" s="675">
        <v>0</v>
      </c>
      <c r="GI161" s="675">
        <v>0</v>
      </c>
      <c r="GJ161" s="675">
        <v>0</v>
      </c>
      <c r="GK161" s="675">
        <v>0</v>
      </c>
      <c r="GL161" s="675">
        <v>0</v>
      </c>
      <c r="GM161" s="675">
        <v>0</v>
      </c>
      <c r="GN161" s="675">
        <v>0</v>
      </c>
      <c r="GO161" s="675">
        <v>0</v>
      </c>
      <c r="GP161" s="675">
        <v>0</v>
      </c>
      <c r="GQ161" s="675">
        <v>0</v>
      </c>
      <c r="GR161" s="675">
        <v>0</v>
      </c>
      <c r="GS161" s="675">
        <v>0</v>
      </c>
      <c r="GT161" s="675">
        <v>0</v>
      </c>
      <c r="GU161" s="675">
        <v>0</v>
      </c>
      <c r="GV161" s="675">
        <v>0</v>
      </c>
      <c r="GW161" s="675">
        <v>0</v>
      </c>
      <c r="GX161" s="675">
        <v>0</v>
      </c>
      <c r="GY161" s="675">
        <v>0</v>
      </c>
      <c r="GZ161" s="675">
        <v>0</v>
      </c>
      <c r="HA161" s="675">
        <v>0</v>
      </c>
      <c r="HB161" s="675">
        <v>298386780</v>
      </c>
      <c r="HC161" s="675">
        <v>4.5690999999999996E-2</v>
      </c>
      <c r="HD161" s="675">
        <v>233263</v>
      </c>
      <c r="HE161" s="675">
        <v>0</v>
      </c>
      <c r="HF161" s="675">
        <v>1349334</v>
      </c>
      <c r="HG161" s="675">
        <v>52360</v>
      </c>
      <c r="HH161" s="675">
        <v>147778</v>
      </c>
      <c r="HI161" s="675">
        <v>0</v>
      </c>
      <c r="HJ161" s="675">
        <v>12406</v>
      </c>
      <c r="HK161" s="675">
        <v>3762</v>
      </c>
      <c r="HL161" s="675">
        <v>139</v>
      </c>
      <c r="HM161" s="675">
        <v>17000</v>
      </c>
      <c r="HN161" s="675">
        <v>0</v>
      </c>
      <c r="HO161" s="675">
        <v>0</v>
      </c>
      <c r="HP161" s="675">
        <v>0</v>
      </c>
      <c r="HQ161" s="675">
        <v>0</v>
      </c>
      <c r="HR161" s="675">
        <v>0</v>
      </c>
      <c r="HS161" s="675">
        <v>10356526</v>
      </c>
      <c r="HT161" s="675">
        <v>228162</v>
      </c>
      <c r="HU161" s="675">
        <v>0</v>
      </c>
      <c r="HV161" s="675">
        <v>0</v>
      </c>
      <c r="HW161" s="675">
        <v>0</v>
      </c>
      <c r="HX161" s="675">
        <v>123</v>
      </c>
      <c r="HY161" s="675">
        <v>118</v>
      </c>
      <c r="HZ161" s="675">
        <v>118</v>
      </c>
      <c r="IA161" s="675">
        <v>140</v>
      </c>
      <c r="IB161" s="675">
        <v>88</v>
      </c>
      <c r="IC161" s="675">
        <v>587</v>
      </c>
      <c r="ID161" s="675">
        <v>0</v>
      </c>
      <c r="IE161" s="675">
        <v>0</v>
      </c>
      <c r="IF161" s="675">
        <v>0</v>
      </c>
      <c r="IG161" s="675">
        <v>85</v>
      </c>
      <c r="IH161" s="675">
        <v>239.9</v>
      </c>
      <c r="II161" s="675">
        <v>0</v>
      </c>
      <c r="IJ161" s="675">
        <v>97.082999999999998</v>
      </c>
      <c r="IK161" s="675">
        <v>0</v>
      </c>
      <c r="IL161" s="675">
        <v>1</v>
      </c>
      <c r="IM161" s="675">
        <v>4</v>
      </c>
      <c r="IN161" s="675">
        <v>0</v>
      </c>
      <c r="IO161" s="675">
        <v>5</v>
      </c>
      <c r="IP161" s="675">
        <v>0</v>
      </c>
      <c r="IQ161" s="675">
        <v>97.082999999999998</v>
      </c>
      <c r="IR161" s="675">
        <v>59803</v>
      </c>
      <c r="IS161" s="675">
        <v>0</v>
      </c>
      <c r="IT161" s="675">
        <v>5000</v>
      </c>
      <c r="IU161" s="675">
        <v>12000</v>
      </c>
      <c r="IV161" s="675">
        <v>0</v>
      </c>
      <c r="IW161" s="675">
        <v>6160</v>
      </c>
      <c r="IX161" s="675">
        <v>0</v>
      </c>
      <c r="IY161" s="675">
        <v>0</v>
      </c>
      <c r="IZ161" s="675">
        <v>0</v>
      </c>
      <c r="JA161" s="675">
        <v>0</v>
      </c>
      <c r="JB161" s="675">
        <v>0</v>
      </c>
      <c r="JC161" s="675">
        <v>0</v>
      </c>
      <c r="JD161" s="675">
        <v>0</v>
      </c>
      <c r="JE161" s="675">
        <v>0</v>
      </c>
      <c r="JF161" s="675">
        <v>0</v>
      </c>
      <c r="JG161" s="675">
        <v>0</v>
      </c>
      <c r="JH161" s="675">
        <v>0</v>
      </c>
      <c r="JI161" s="675">
        <v>0</v>
      </c>
      <c r="JJ161" s="675">
        <v>0</v>
      </c>
      <c r="JK161" s="675">
        <v>0</v>
      </c>
      <c r="JL161" s="675">
        <v>0</v>
      </c>
      <c r="JM161" s="675">
        <v>0</v>
      </c>
      <c r="JN161" s="675">
        <v>32469</v>
      </c>
      <c r="JO161" s="675">
        <v>0</v>
      </c>
      <c r="JP161" s="675">
        <v>14.511000000000001</v>
      </c>
      <c r="JQ161" s="675">
        <v>13.349</v>
      </c>
      <c r="JR161" s="675">
        <v>0</v>
      </c>
      <c r="JS161" s="675">
        <v>134848</v>
      </c>
      <c r="JT161" s="675">
        <v>142463</v>
      </c>
      <c r="JU161" s="675">
        <v>0</v>
      </c>
      <c r="JV161" s="675">
        <v>0</v>
      </c>
      <c r="JW161" s="675">
        <v>0</v>
      </c>
      <c r="JX161" s="675">
        <v>0</v>
      </c>
      <c r="JY161" s="675">
        <v>0</v>
      </c>
      <c r="JZ161" s="675">
        <v>0</v>
      </c>
      <c r="KA161" s="675">
        <v>0</v>
      </c>
      <c r="KB161" s="675">
        <v>0</v>
      </c>
      <c r="KC161" s="675">
        <v>0</v>
      </c>
      <c r="KD161" s="675">
        <v>0</v>
      </c>
      <c r="KE161" s="675">
        <v>7260</v>
      </c>
      <c r="KF161" s="675">
        <v>0</v>
      </c>
      <c r="KG161" s="675">
        <v>0</v>
      </c>
      <c r="KH161" s="675">
        <v>0</v>
      </c>
      <c r="KI161" s="675">
        <v>0</v>
      </c>
    </row>
    <row r="162" spans="1:295" ht="12.5" x14ac:dyDescent="0.25">
      <c r="A162" s="675">
        <v>35795</v>
      </c>
      <c r="B162" s="675">
        <v>101845</v>
      </c>
      <c r="C162" s="675">
        <v>9</v>
      </c>
      <c r="D162" s="675">
        <v>2022</v>
      </c>
      <c r="E162" s="675">
        <v>6160</v>
      </c>
      <c r="F162" s="675">
        <v>0</v>
      </c>
      <c r="G162" s="675">
        <v>13084.275</v>
      </c>
      <c r="H162" s="675">
        <v>12024.637000000001</v>
      </c>
      <c r="I162" s="675">
        <v>12024.637000000001</v>
      </c>
      <c r="J162" s="675">
        <v>13084.275</v>
      </c>
      <c r="K162" s="675">
        <v>0</v>
      </c>
      <c r="L162" s="675">
        <v>6160</v>
      </c>
      <c r="M162" s="675">
        <v>0</v>
      </c>
      <c r="N162" s="675">
        <v>0</v>
      </c>
      <c r="O162" s="675">
        <v>0</v>
      </c>
      <c r="P162" s="675">
        <v>12770.581</v>
      </c>
      <c r="Q162" s="675">
        <v>0</v>
      </c>
      <c r="R162" s="675">
        <v>5139239</v>
      </c>
      <c r="S162" s="675">
        <v>402.428</v>
      </c>
      <c r="T162" s="675">
        <v>0</v>
      </c>
      <c r="U162" s="675">
        <v>2732921</v>
      </c>
      <c r="V162" s="675">
        <v>4817.8220000000001</v>
      </c>
      <c r="W162" s="675">
        <v>2967765</v>
      </c>
      <c r="X162" s="675">
        <v>2967765</v>
      </c>
      <c r="Y162" s="675">
        <v>0</v>
      </c>
      <c r="Z162" s="675">
        <v>0</v>
      </c>
      <c r="AA162" s="675">
        <v>0</v>
      </c>
      <c r="AB162" s="675">
        <v>0</v>
      </c>
      <c r="AC162" s="675">
        <v>0</v>
      </c>
      <c r="AD162" s="675" t="s">
        <v>316</v>
      </c>
      <c r="AE162" s="675">
        <v>0</v>
      </c>
      <c r="AF162" s="675">
        <v>0</v>
      </c>
      <c r="AG162" s="675">
        <v>0</v>
      </c>
      <c r="AH162" s="675">
        <v>0</v>
      </c>
      <c r="AI162" s="675">
        <v>0</v>
      </c>
      <c r="AJ162" s="675">
        <v>6160</v>
      </c>
      <c r="AK162" s="675" t="s">
        <v>671</v>
      </c>
      <c r="AL162" s="675" t="s">
        <v>102</v>
      </c>
      <c r="AM162" s="675">
        <v>0</v>
      </c>
      <c r="AN162" s="675">
        <v>0</v>
      </c>
      <c r="AO162" s="675">
        <v>0</v>
      </c>
      <c r="AP162" s="675">
        <v>0</v>
      </c>
      <c r="AQ162" s="675">
        <v>0</v>
      </c>
      <c r="AR162" s="675">
        <v>0</v>
      </c>
      <c r="AS162" s="675">
        <v>0</v>
      </c>
      <c r="AT162" s="675">
        <v>0</v>
      </c>
      <c r="AU162" s="675">
        <v>0</v>
      </c>
      <c r="AV162" s="675">
        <v>-398440</v>
      </c>
      <c r="AW162" s="675">
        <v>144181410</v>
      </c>
      <c r="AX162" s="675">
        <v>141817064</v>
      </c>
      <c r="AY162" s="675">
        <v>96814932</v>
      </c>
      <c r="AZ162" s="675">
        <v>5139239</v>
      </c>
      <c r="BA162" s="675">
        <v>0</v>
      </c>
      <c r="BB162" s="675">
        <v>0</v>
      </c>
      <c r="BC162" s="675">
        <v>0</v>
      </c>
      <c r="BD162" s="675">
        <v>0</v>
      </c>
      <c r="BE162" s="675">
        <v>0</v>
      </c>
      <c r="BF162" s="675">
        <v>129352739</v>
      </c>
      <c r="BG162" s="675">
        <v>0</v>
      </c>
      <c r="BH162" s="675">
        <v>0</v>
      </c>
      <c r="BI162" s="675">
        <v>0</v>
      </c>
      <c r="BJ162" s="675">
        <v>12</v>
      </c>
      <c r="BK162" s="675">
        <v>0</v>
      </c>
      <c r="BL162" s="675">
        <v>0</v>
      </c>
      <c r="BM162" s="675">
        <v>0</v>
      </c>
      <c r="BN162" s="675">
        <v>0</v>
      </c>
      <c r="BO162" s="675">
        <v>0</v>
      </c>
      <c r="BP162" s="675">
        <v>0</v>
      </c>
      <c r="BQ162" s="675">
        <v>0</v>
      </c>
      <c r="BR162" s="675">
        <v>0</v>
      </c>
      <c r="BS162" s="675">
        <v>0</v>
      </c>
      <c r="BT162" s="675">
        <v>0</v>
      </c>
      <c r="BU162" s="675">
        <v>0</v>
      </c>
      <c r="BV162" s="675">
        <v>0</v>
      </c>
      <c r="BW162" s="675">
        <v>0</v>
      </c>
      <c r="BX162" s="675">
        <v>0</v>
      </c>
      <c r="BY162" s="675">
        <v>0</v>
      </c>
      <c r="BZ162" s="675">
        <v>0</v>
      </c>
      <c r="CA162" s="675">
        <v>1053.114</v>
      </c>
      <c r="CB162" s="675">
        <v>898068</v>
      </c>
      <c r="CC162" s="675">
        <v>0</v>
      </c>
      <c r="CD162" s="675">
        <v>0</v>
      </c>
      <c r="CE162" s="675">
        <v>0</v>
      </c>
      <c r="CF162" s="675">
        <v>0</v>
      </c>
      <c r="CG162" s="675">
        <v>0</v>
      </c>
      <c r="CH162" s="675">
        <v>2391318</v>
      </c>
      <c r="CI162" s="675">
        <v>0</v>
      </c>
      <c r="CJ162" s="675">
        <v>4</v>
      </c>
      <c r="CK162" s="675">
        <v>0</v>
      </c>
      <c r="CL162" s="675">
        <v>0</v>
      </c>
      <c r="CM162" s="675">
        <v>0</v>
      </c>
      <c r="CN162" s="675">
        <v>0</v>
      </c>
      <c r="CO162" s="675">
        <v>1</v>
      </c>
      <c r="CP162" s="675">
        <v>2.855</v>
      </c>
      <c r="CQ162" s="675">
        <v>0</v>
      </c>
      <c r="CR162" s="675">
        <v>12655.837</v>
      </c>
      <c r="CS162" s="675">
        <v>0</v>
      </c>
      <c r="CT162" s="675">
        <v>0</v>
      </c>
      <c r="CU162" s="675">
        <v>0</v>
      </c>
      <c r="CV162" s="675">
        <v>0</v>
      </c>
      <c r="CW162" s="675">
        <v>0</v>
      </c>
      <c r="CX162" s="675">
        <v>0</v>
      </c>
      <c r="CY162" s="675">
        <v>0</v>
      </c>
      <c r="CZ162" s="675">
        <v>0</v>
      </c>
      <c r="DA162" s="675">
        <v>0</v>
      </c>
      <c r="DB162" s="675">
        <v>74071420</v>
      </c>
      <c r="DC162" s="675">
        <v>0</v>
      </c>
      <c r="DD162" s="675">
        <v>0</v>
      </c>
      <c r="DE162" s="675">
        <v>21040383</v>
      </c>
      <c r="DF162" s="675">
        <v>21082767</v>
      </c>
      <c r="DG162" s="675">
        <v>3415.663</v>
      </c>
      <c r="DH162" s="675">
        <v>0</v>
      </c>
      <c r="DI162" s="675">
        <v>42384</v>
      </c>
      <c r="DJ162" s="675">
        <v>0</v>
      </c>
      <c r="DK162" s="675">
        <v>0</v>
      </c>
      <c r="DL162" s="675">
        <v>0</v>
      </c>
      <c r="DM162" s="675">
        <v>7081135</v>
      </c>
      <c r="DN162" s="675">
        <v>26972</v>
      </c>
      <c r="DO162" s="675">
        <v>0</v>
      </c>
      <c r="DP162" s="675">
        <v>0</v>
      </c>
      <c r="DQ162" s="675">
        <v>0</v>
      </c>
      <c r="DR162" s="675">
        <v>0</v>
      </c>
      <c r="DS162" s="675">
        <v>0</v>
      </c>
      <c r="DT162" s="675">
        <v>0</v>
      </c>
      <c r="DU162" s="675">
        <v>0</v>
      </c>
      <c r="DV162" s="675">
        <v>0</v>
      </c>
      <c r="DW162" s="675">
        <v>0</v>
      </c>
      <c r="DX162" s="675">
        <v>0</v>
      </c>
      <c r="DY162" s="675">
        <v>0</v>
      </c>
      <c r="DZ162" s="675">
        <v>0</v>
      </c>
      <c r="EA162" s="675">
        <v>4.3000000000000003E-2</v>
      </c>
      <c r="EB162" s="675">
        <v>0</v>
      </c>
      <c r="EC162" s="675">
        <v>325.64699999999999</v>
      </c>
      <c r="ED162" s="675">
        <v>2306873</v>
      </c>
      <c r="EE162" s="675">
        <v>0</v>
      </c>
      <c r="EF162" s="675">
        <v>0</v>
      </c>
      <c r="EG162" s="675">
        <v>0</v>
      </c>
      <c r="EH162" s="675">
        <v>4801234</v>
      </c>
      <c r="EI162" s="675">
        <v>0</v>
      </c>
      <c r="EJ162" s="675">
        <v>0</v>
      </c>
      <c r="EK162" s="675">
        <v>193.78200000000001</v>
      </c>
      <c r="EL162" s="675">
        <v>0</v>
      </c>
      <c r="EM162" s="675">
        <v>38.777999999999999</v>
      </c>
      <c r="EN162" s="675">
        <v>12.953000000000001</v>
      </c>
      <c r="EO162" s="675">
        <v>0</v>
      </c>
      <c r="EP162" s="675">
        <v>0</v>
      </c>
      <c r="EQ162" s="675">
        <v>252.845</v>
      </c>
      <c r="ER162" s="675">
        <v>7.2890000000000006</v>
      </c>
      <c r="ES162" s="675">
        <v>779.42500000000007</v>
      </c>
      <c r="ET162" s="675">
        <v>0</v>
      </c>
      <c r="EU162" s="675">
        <v>0</v>
      </c>
      <c r="EV162" s="675">
        <v>0</v>
      </c>
      <c r="EW162" s="675">
        <v>0</v>
      </c>
      <c r="EX162" s="675">
        <v>0</v>
      </c>
      <c r="EY162" s="675">
        <v>0</v>
      </c>
      <c r="EZ162" s="675">
        <v>125937751</v>
      </c>
      <c r="FA162" s="675">
        <v>0</v>
      </c>
      <c r="FB162" s="675">
        <v>131050018</v>
      </c>
      <c r="FC162" s="675">
        <v>0</v>
      </c>
      <c r="FD162" s="675">
        <v>0</v>
      </c>
      <c r="FE162" s="675">
        <v>13157822</v>
      </c>
      <c r="FF162" s="675">
        <v>2721491</v>
      </c>
      <c r="FG162" s="675">
        <v>6.3574999999999993E-2</v>
      </c>
      <c r="FH162" s="675">
        <v>2.6298999999999999E-2</v>
      </c>
      <c r="FI162" s="675">
        <v>0</v>
      </c>
      <c r="FJ162" s="675">
        <v>0</v>
      </c>
      <c r="FK162" s="675">
        <v>20998.919000000002</v>
      </c>
      <c r="FL162" s="675">
        <v>149320649</v>
      </c>
      <c r="FM162" s="675">
        <v>0</v>
      </c>
      <c r="FN162" s="675">
        <v>0</v>
      </c>
      <c r="FO162" s="675">
        <v>755038</v>
      </c>
      <c r="FP162" s="675">
        <v>0</v>
      </c>
      <c r="FQ162" s="675">
        <v>755038</v>
      </c>
      <c r="FR162" s="675">
        <v>755038</v>
      </c>
      <c r="FS162" s="675">
        <v>0</v>
      </c>
      <c r="FT162" s="675">
        <v>0</v>
      </c>
      <c r="FU162" s="675">
        <v>0</v>
      </c>
      <c r="FV162" s="675">
        <v>0</v>
      </c>
      <c r="FW162" s="675">
        <v>0</v>
      </c>
      <c r="FX162" s="675">
        <v>0</v>
      </c>
      <c r="FY162" s="675">
        <v>0</v>
      </c>
      <c r="FZ162" s="675">
        <v>0</v>
      </c>
      <c r="GA162" s="675">
        <v>0</v>
      </c>
      <c r="GB162" s="675">
        <v>7244288</v>
      </c>
      <c r="GC162" s="675">
        <v>7244288</v>
      </c>
      <c r="GD162" s="675">
        <v>806.79300000000001</v>
      </c>
      <c r="GE162" s="675">
        <v>0</v>
      </c>
      <c r="GF162" s="675">
        <v>0</v>
      </c>
      <c r="GG162" s="675">
        <v>0</v>
      </c>
      <c r="GH162" s="675">
        <v>0</v>
      </c>
      <c r="GI162" s="675">
        <v>0</v>
      </c>
      <c r="GJ162" s="675">
        <v>0</v>
      </c>
      <c r="GK162" s="675">
        <v>0</v>
      </c>
      <c r="GL162" s="675">
        <v>0</v>
      </c>
      <c r="GM162" s="675">
        <v>0</v>
      </c>
      <c r="GN162" s="675">
        <v>0</v>
      </c>
      <c r="GO162" s="675">
        <v>0</v>
      </c>
      <c r="GP162" s="675">
        <v>0</v>
      </c>
      <c r="GQ162" s="675">
        <v>0</v>
      </c>
      <c r="GR162" s="675">
        <v>0</v>
      </c>
      <c r="GS162" s="675">
        <v>0</v>
      </c>
      <c r="GT162" s="675">
        <v>0</v>
      </c>
      <c r="GU162" s="675">
        <v>0</v>
      </c>
      <c r="GV162" s="675">
        <v>0</v>
      </c>
      <c r="GW162" s="675">
        <v>0</v>
      </c>
      <c r="GX162" s="675">
        <v>0</v>
      </c>
      <c r="GY162" s="675">
        <v>0</v>
      </c>
      <c r="GZ162" s="675">
        <v>0</v>
      </c>
      <c r="HA162" s="675">
        <v>0</v>
      </c>
      <c r="HB162" s="675">
        <v>298386780</v>
      </c>
      <c r="HC162" s="675">
        <v>4.5690999999999996E-2</v>
      </c>
      <c r="HD162" s="675">
        <v>2391318</v>
      </c>
      <c r="HE162" s="675">
        <v>0</v>
      </c>
      <c r="HF162" s="675">
        <v>13227101</v>
      </c>
      <c r="HG162" s="675">
        <v>123815</v>
      </c>
      <c r="HH162" s="675">
        <v>889170</v>
      </c>
      <c r="HI162" s="675">
        <v>0</v>
      </c>
      <c r="HJ162" s="675">
        <v>127179</v>
      </c>
      <c r="HK162" s="675">
        <v>71145</v>
      </c>
      <c r="HL162" s="675">
        <v>0</v>
      </c>
      <c r="HM162" s="675">
        <v>1533000</v>
      </c>
      <c r="HN162" s="675">
        <v>978127</v>
      </c>
      <c r="HO162" s="675">
        <v>0</v>
      </c>
      <c r="HP162" s="675">
        <v>0</v>
      </c>
      <c r="HQ162" s="675">
        <v>0</v>
      </c>
      <c r="HR162" s="675">
        <v>0</v>
      </c>
      <c r="HS162" s="675">
        <v>125910779</v>
      </c>
      <c r="HT162" s="675">
        <v>2721491</v>
      </c>
      <c r="HU162" s="675">
        <v>0</v>
      </c>
      <c r="HV162" s="675">
        <v>0</v>
      </c>
      <c r="HW162" s="675">
        <v>0</v>
      </c>
      <c r="HX162" s="675">
        <v>874</v>
      </c>
      <c r="HY162" s="675">
        <v>1199</v>
      </c>
      <c r="HZ162" s="675">
        <v>2178</v>
      </c>
      <c r="IA162" s="675">
        <v>3476</v>
      </c>
      <c r="IB162" s="675">
        <v>5372</v>
      </c>
      <c r="IC162" s="675">
        <v>13099</v>
      </c>
      <c r="ID162" s="675">
        <v>0</v>
      </c>
      <c r="IE162" s="675">
        <v>0</v>
      </c>
      <c r="IF162" s="675">
        <v>0</v>
      </c>
      <c r="IG162" s="675">
        <v>201</v>
      </c>
      <c r="IH162" s="675">
        <v>1443.4650000000001</v>
      </c>
      <c r="II162" s="675">
        <v>0</v>
      </c>
      <c r="IJ162" s="675">
        <v>4817.8220000000001</v>
      </c>
      <c r="IK162" s="675">
        <v>0</v>
      </c>
      <c r="IL162" s="675">
        <v>285</v>
      </c>
      <c r="IM162" s="675">
        <v>36</v>
      </c>
      <c r="IN162" s="675">
        <v>0</v>
      </c>
      <c r="IO162" s="675">
        <v>321</v>
      </c>
      <c r="IP162" s="675">
        <v>0</v>
      </c>
      <c r="IQ162" s="675">
        <v>4817.8220000000001</v>
      </c>
      <c r="IR162" s="675">
        <v>2967765</v>
      </c>
      <c r="IS162" s="675">
        <v>0</v>
      </c>
      <c r="IT162" s="675">
        <v>1425000</v>
      </c>
      <c r="IU162" s="675">
        <v>108000</v>
      </c>
      <c r="IV162" s="675">
        <v>0</v>
      </c>
      <c r="IW162" s="675">
        <v>6160</v>
      </c>
      <c r="IX162" s="675">
        <v>0</v>
      </c>
      <c r="IY162" s="675">
        <v>0</v>
      </c>
      <c r="IZ162" s="675">
        <v>0</v>
      </c>
      <c r="JA162" s="675">
        <v>0</v>
      </c>
      <c r="JB162" s="675">
        <v>11</v>
      </c>
      <c r="JC162" s="675">
        <v>276421</v>
      </c>
      <c r="JD162" s="675">
        <v>36</v>
      </c>
      <c r="JE162" s="675">
        <v>488425</v>
      </c>
      <c r="JF162" s="675">
        <v>26</v>
      </c>
      <c r="JG162" s="675">
        <v>178281</v>
      </c>
      <c r="JH162" s="675">
        <v>35000</v>
      </c>
      <c r="JI162" s="675">
        <v>0</v>
      </c>
      <c r="JJ162" s="675">
        <v>0</v>
      </c>
      <c r="JK162" s="675">
        <v>0</v>
      </c>
      <c r="JL162" s="675">
        <v>0</v>
      </c>
      <c r="JM162" s="675">
        <v>0</v>
      </c>
      <c r="JN162" s="675">
        <v>32469</v>
      </c>
      <c r="JO162" s="675">
        <v>286.25800000000004</v>
      </c>
      <c r="JP162" s="675">
        <v>432.81300000000005</v>
      </c>
      <c r="JQ162" s="675">
        <v>87.722000000000008</v>
      </c>
      <c r="JR162" s="675">
        <v>2286056</v>
      </c>
      <c r="JS162" s="675">
        <v>4022045</v>
      </c>
      <c r="JT162" s="675">
        <v>936187</v>
      </c>
      <c r="JU162" s="675">
        <v>0</v>
      </c>
      <c r="JV162" s="675">
        <v>0</v>
      </c>
      <c r="JW162" s="675">
        <v>0</v>
      </c>
      <c r="JX162" s="675">
        <v>0</v>
      </c>
      <c r="JY162" s="675">
        <v>0</v>
      </c>
      <c r="JZ162" s="675">
        <v>0</v>
      </c>
      <c r="KA162" s="675">
        <v>0</v>
      </c>
      <c r="KB162" s="675">
        <v>0</v>
      </c>
      <c r="KC162" s="675">
        <v>0</v>
      </c>
      <c r="KD162" s="675">
        <v>0</v>
      </c>
      <c r="KE162" s="675">
        <v>7260</v>
      </c>
      <c r="KF162" s="675">
        <v>0</v>
      </c>
      <c r="KG162" s="675">
        <v>0</v>
      </c>
      <c r="KH162" s="675">
        <v>0</v>
      </c>
      <c r="KI162" s="675">
        <v>0</v>
      </c>
    </row>
    <row r="163" spans="1:295" ht="12.5" x14ac:dyDescent="0.25">
      <c r="A163" s="675">
        <v>35795</v>
      </c>
      <c r="B163" s="675">
        <v>57846</v>
      </c>
      <c r="C163" s="675">
        <v>9</v>
      </c>
      <c r="D163" s="675">
        <v>2022</v>
      </c>
      <c r="E163" s="675">
        <v>6160</v>
      </c>
      <c r="F163" s="675">
        <v>0</v>
      </c>
      <c r="G163" s="675">
        <v>1341.3330000000001</v>
      </c>
      <c r="H163" s="675">
        <v>1222.261</v>
      </c>
      <c r="I163" s="675">
        <v>1222.261</v>
      </c>
      <c r="J163" s="675">
        <v>1341.3330000000001</v>
      </c>
      <c r="K163" s="675">
        <v>0</v>
      </c>
      <c r="L163" s="675">
        <v>6160</v>
      </c>
      <c r="M163" s="675">
        <v>0</v>
      </c>
      <c r="N163" s="675">
        <v>0</v>
      </c>
      <c r="O163" s="675">
        <v>0</v>
      </c>
      <c r="P163" s="675">
        <v>1445.412</v>
      </c>
      <c r="Q163" s="675">
        <v>0</v>
      </c>
      <c r="R163" s="675">
        <v>581674</v>
      </c>
      <c r="S163" s="675">
        <v>402.428</v>
      </c>
      <c r="T163" s="675">
        <v>0</v>
      </c>
      <c r="U163" s="675">
        <v>309320</v>
      </c>
      <c r="V163" s="675">
        <v>540.58299999999997</v>
      </c>
      <c r="W163" s="675">
        <v>397303</v>
      </c>
      <c r="X163" s="675">
        <v>397303</v>
      </c>
      <c r="Y163" s="675">
        <v>0</v>
      </c>
      <c r="Z163" s="675">
        <v>0</v>
      </c>
      <c r="AA163" s="675">
        <v>0</v>
      </c>
      <c r="AB163" s="675">
        <v>0</v>
      </c>
      <c r="AC163" s="675">
        <v>0</v>
      </c>
      <c r="AD163" s="675" t="s">
        <v>316</v>
      </c>
      <c r="AE163" s="675">
        <v>0</v>
      </c>
      <c r="AF163" s="675">
        <v>0</v>
      </c>
      <c r="AG163" s="675">
        <v>0</v>
      </c>
      <c r="AH163" s="675">
        <v>0</v>
      </c>
      <c r="AI163" s="675">
        <v>0</v>
      </c>
      <c r="AJ163" s="675">
        <v>6160</v>
      </c>
      <c r="AK163" s="675" t="s">
        <v>671</v>
      </c>
      <c r="AL163" s="675" t="s">
        <v>117</v>
      </c>
      <c r="AM163" s="675">
        <v>0</v>
      </c>
      <c r="AN163" s="675">
        <v>0</v>
      </c>
      <c r="AO163" s="675">
        <v>0</v>
      </c>
      <c r="AP163" s="675">
        <v>0</v>
      </c>
      <c r="AQ163" s="675">
        <v>0</v>
      </c>
      <c r="AR163" s="675">
        <v>0</v>
      </c>
      <c r="AS163" s="675">
        <v>0</v>
      </c>
      <c r="AT163" s="675">
        <v>0</v>
      </c>
      <c r="AU163" s="675">
        <v>0</v>
      </c>
      <c r="AV163" s="675">
        <v>-70853</v>
      </c>
      <c r="AW163" s="675">
        <v>14478110</v>
      </c>
      <c r="AX163" s="675">
        <v>14235727</v>
      </c>
      <c r="AY163" s="675">
        <v>9830518</v>
      </c>
      <c r="AZ163" s="675">
        <v>581674</v>
      </c>
      <c r="BA163" s="675">
        <v>0</v>
      </c>
      <c r="BB163" s="675">
        <v>28754</v>
      </c>
      <c r="BC163" s="675">
        <v>28568</v>
      </c>
      <c r="BD163" s="675">
        <v>66.685000000000002</v>
      </c>
      <c r="BE163" s="675">
        <v>186</v>
      </c>
      <c r="BF163" s="675">
        <v>13190090</v>
      </c>
      <c r="BG163" s="675">
        <v>0</v>
      </c>
      <c r="BH163" s="675">
        <v>0</v>
      </c>
      <c r="BI163" s="675">
        <v>0</v>
      </c>
      <c r="BJ163" s="675">
        <v>12</v>
      </c>
      <c r="BK163" s="675">
        <v>0</v>
      </c>
      <c r="BL163" s="675">
        <v>0</v>
      </c>
      <c r="BM163" s="675">
        <v>0</v>
      </c>
      <c r="BN163" s="675">
        <v>0</v>
      </c>
      <c r="BO163" s="675">
        <v>0</v>
      </c>
      <c r="BP163" s="675">
        <v>0</v>
      </c>
      <c r="BQ163" s="675">
        <v>582</v>
      </c>
      <c r="BR163" s="675">
        <v>0</v>
      </c>
      <c r="BS163" s="675">
        <v>0</v>
      </c>
      <c r="BT163" s="675">
        <v>0</v>
      </c>
      <c r="BU163" s="675">
        <v>0</v>
      </c>
      <c r="BV163" s="675">
        <v>0</v>
      </c>
      <c r="BW163" s="675">
        <v>0</v>
      </c>
      <c r="BX163" s="675">
        <v>0</v>
      </c>
      <c r="BY163" s="675">
        <v>0</v>
      </c>
      <c r="BZ163" s="675">
        <v>0</v>
      </c>
      <c r="CA163" s="675">
        <v>0</v>
      </c>
      <c r="CB163" s="675">
        <v>0</v>
      </c>
      <c r="CC163" s="675">
        <v>0</v>
      </c>
      <c r="CD163" s="675">
        <v>0</v>
      </c>
      <c r="CE163" s="675">
        <v>0</v>
      </c>
      <c r="CF163" s="675">
        <v>0</v>
      </c>
      <c r="CG163" s="675">
        <v>0</v>
      </c>
      <c r="CH163" s="675">
        <v>245146</v>
      </c>
      <c r="CI163" s="675">
        <v>0</v>
      </c>
      <c r="CJ163" s="675">
        <v>4</v>
      </c>
      <c r="CK163" s="675">
        <v>0</v>
      </c>
      <c r="CL163" s="675">
        <v>0</v>
      </c>
      <c r="CM163" s="675">
        <v>0</v>
      </c>
      <c r="CN163" s="675">
        <v>0</v>
      </c>
      <c r="CO163" s="675">
        <v>1</v>
      </c>
      <c r="CP163" s="675">
        <v>0</v>
      </c>
      <c r="CQ163" s="675">
        <v>0</v>
      </c>
      <c r="CR163" s="675">
        <v>1463.008</v>
      </c>
      <c r="CS163" s="675">
        <v>0</v>
      </c>
      <c r="CT163" s="675">
        <v>0</v>
      </c>
      <c r="CU163" s="675">
        <v>0</v>
      </c>
      <c r="CV163" s="675">
        <v>0</v>
      </c>
      <c r="CW163" s="675">
        <v>0</v>
      </c>
      <c r="CX163" s="675">
        <v>0</v>
      </c>
      <c r="CY163" s="675">
        <v>0</v>
      </c>
      <c r="CZ163" s="675">
        <v>0</v>
      </c>
      <c r="DA163" s="675">
        <v>0</v>
      </c>
      <c r="DB163" s="675">
        <v>7321478</v>
      </c>
      <c r="DC163" s="675">
        <v>0</v>
      </c>
      <c r="DD163" s="675">
        <v>0</v>
      </c>
      <c r="DE163" s="675">
        <v>1852611</v>
      </c>
      <c r="DF163" s="675">
        <v>1852611</v>
      </c>
      <c r="DG163" s="675">
        <v>300.75</v>
      </c>
      <c r="DH163" s="675">
        <v>0</v>
      </c>
      <c r="DI163" s="675">
        <v>0</v>
      </c>
      <c r="DJ163" s="675">
        <v>0</v>
      </c>
      <c r="DK163" s="675">
        <v>931</v>
      </c>
      <c r="DL163" s="675">
        <v>0</v>
      </c>
      <c r="DM163" s="675">
        <v>884243</v>
      </c>
      <c r="DN163" s="675">
        <v>2577</v>
      </c>
      <c r="DO163" s="675">
        <v>0</v>
      </c>
      <c r="DP163" s="675">
        <v>0</v>
      </c>
      <c r="DQ163" s="675">
        <v>0</v>
      </c>
      <c r="DR163" s="675">
        <v>0</v>
      </c>
      <c r="DS163" s="675">
        <v>0</v>
      </c>
      <c r="DT163" s="675">
        <v>0</v>
      </c>
      <c r="DU163" s="675">
        <v>0</v>
      </c>
      <c r="DV163" s="675">
        <v>0</v>
      </c>
      <c r="DW163" s="675">
        <v>0</v>
      </c>
      <c r="DX163" s="675">
        <v>0</v>
      </c>
      <c r="DY163" s="675">
        <v>0</v>
      </c>
      <c r="DZ163" s="675">
        <v>0</v>
      </c>
      <c r="EA163" s="675">
        <v>0</v>
      </c>
      <c r="EB163" s="675">
        <v>0</v>
      </c>
      <c r="EC163" s="675">
        <v>48.133000000000003</v>
      </c>
      <c r="ED163" s="675">
        <v>340973</v>
      </c>
      <c r="EE163" s="675">
        <v>0</v>
      </c>
      <c r="EF163" s="675">
        <v>0</v>
      </c>
      <c r="EG163" s="675">
        <v>0</v>
      </c>
      <c r="EH163" s="675">
        <v>338232</v>
      </c>
      <c r="EI163" s="675">
        <v>0</v>
      </c>
      <c r="EJ163" s="675">
        <v>0</v>
      </c>
      <c r="EK163" s="675">
        <v>15.532</v>
      </c>
      <c r="EL163" s="675">
        <v>0</v>
      </c>
      <c r="EM163" s="675">
        <v>0.44400000000000001</v>
      </c>
      <c r="EN163" s="675">
        <v>1.3960000000000001</v>
      </c>
      <c r="EO163" s="675">
        <v>0</v>
      </c>
      <c r="EP163" s="675">
        <v>0</v>
      </c>
      <c r="EQ163" s="675">
        <v>17.372</v>
      </c>
      <c r="ER163" s="675">
        <v>0</v>
      </c>
      <c r="ES163" s="675">
        <v>54.908000000000001</v>
      </c>
      <c r="ET163" s="675">
        <v>0</v>
      </c>
      <c r="EU163" s="675">
        <v>0</v>
      </c>
      <c r="EV163" s="675">
        <v>0</v>
      </c>
      <c r="EW163" s="675">
        <v>0</v>
      </c>
      <c r="EX163" s="675">
        <v>0</v>
      </c>
      <c r="EY163" s="675">
        <v>0</v>
      </c>
      <c r="EZ163" s="675">
        <v>12616515</v>
      </c>
      <c r="FA163" s="675">
        <v>0</v>
      </c>
      <c r="FB163" s="675">
        <v>13195426</v>
      </c>
      <c r="FC163" s="675">
        <v>0</v>
      </c>
      <c r="FD163" s="675">
        <v>0</v>
      </c>
      <c r="FE163" s="675">
        <v>1341702</v>
      </c>
      <c r="FF163" s="675">
        <v>277510</v>
      </c>
      <c r="FG163" s="675">
        <v>6.3574999999999993E-2</v>
      </c>
      <c r="FH163" s="675">
        <v>2.6298999999999999E-2</v>
      </c>
      <c r="FI163" s="675">
        <v>0</v>
      </c>
      <c r="FJ163" s="675">
        <v>0</v>
      </c>
      <c r="FK163" s="675">
        <v>2141.2580000000003</v>
      </c>
      <c r="FL163" s="675">
        <v>15059784</v>
      </c>
      <c r="FM163" s="675">
        <v>0</v>
      </c>
      <c r="FN163" s="675">
        <v>0</v>
      </c>
      <c r="FO163" s="675">
        <v>0</v>
      </c>
      <c r="FP163" s="675">
        <v>0</v>
      </c>
      <c r="FQ163" s="675">
        <v>0</v>
      </c>
      <c r="FR163" s="675">
        <v>0</v>
      </c>
      <c r="FS163" s="675">
        <v>0</v>
      </c>
      <c r="FT163" s="675">
        <v>0</v>
      </c>
      <c r="FU163" s="675">
        <v>0</v>
      </c>
      <c r="FV163" s="675">
        <v>0</v>
      </c>
      <c r="FW163" s="675">
        <v>0</v>
      </c>
      <c r="FX163" s="675">
        <v>0</v>
      </c>
      <c r="FY163" s="675">
        <v>0</v>
      </c>
      <c r="FZ163" s="675">
        <v>0</v>
      </c>
      <c r="GA163" s="675">
        <v>0</v>
      </c>
      <c r="GB163" s="675">
        <v>1024154</v>
      </c>
      <c r="GC163" s="675">
        <v>1024154</v>
      </c>
      <c r="GD163" s="675">
        <v>101.7</v>
      </c>
      <c r="GE163" s="675">
        <v>0</v>
      </c>
      <c r="GF163" s="675">
        <v>0</v>
      </c>
      <c r="GG163" s="675">
        <v>0</v>
      </c>
      <c r="GH163" s="675">
        <v>0</v>
      </c>
      <c r="GI163" s="675">
        <v>0</v>
      </c>
      <c r="GJ163" s="675">
        <v>0</v>
      </c>
      <c r="GK163" s="675">
        <v>0</v>
      </c>
      <c r="GL163" s="675">
        <v>0</v>
      </c>
      <c r="GM163" s="675">
        <v>0</v>
      </c>
      <c r="GN163" s="675">
        <v>0</v>
      </c>
      <c r="GO163" s="675">
        <v>0</v>
      </c>
      <c r="GP163" s="675">
        <v>0</v>
      </c>
      <c r="GQ163" s="675">
        <v>0</v>
      </c>
      <c r="GR163" s="675">
        <v>0</v>
      </c>
      <c r="GS163" s="675">
        <v>0</v>
      </c>
      <c r="GT163" s="675">
        <v>0</v>
      </c>
      <c r="GU163" s="675">
        <v>0</v>
      </c>
      <c r="GV163" s="675">
        <v>0</v>
      </c>
      <c r="GW163" s="675">
        <v>0</v>
      </c>
      <c r="GX163" s="675">
        <v>0</v>
      </c>
      <c r="GY163" s="675">
        <v>0</v>
      </c>
      <c r="GZ163" s="675">
        <v>0</v>
      </c>
      <c r="HA163" s="675">
        <v>0</v>
      </c>
      <c r="HB163" s="675">
        <v>298386780</v>
      </c>
      <c r="HC163" s="675">
        <v>4.5690999999999996E-2</v>
      </c>
      <c r="HD163" s="675">
        <v>245146</v>
      </c>
      <c r="HE163" s="675">
        <v>0</v>
      </c>
      <c r="HF163" s="675">
        <v>1344487</v>
      </c>
      <c r="HG163" s="675">
        <v>27720</v>
      </c>
      <c r="HH163" s="675">
        <v>278759</v>
      </c>
      <c r="HI163" s="675">
        <v>0</v>
      </c>
      <c r="HJ163" s="675">
        <v>13038</v>
      </c>
      <c r="HK163" s="675">
        <v>4482</v>
      </c>
      <c r="HL163" s="675">
        <v>3617</v>
      </c>
      <c r="HM163" s="675">
        <v>3000</v>
      </c>
      <c r="HN163" s="675">
        <v>11966</v>
      </c>
      <c r="HO163" s="675">
        <v>0</v>
      </c>
      <c r="HP163" s="675">
        <v>0</v>
      </c>
      <c r="HQ163" s="675">
        <v>0</v>
      </c>
      <c r="HR163" s="675">
        <v>0</v>
      </c>
      <c r="HS163" s="675">
        <v>12613752</v>
      </c>
      <c r="HT163" s="675">
        <v>277510</v>
      </c>
      <c r="HU163" s="675">
        <v>0</v>
      </c>
      <c r="HV163" s="675">
        <v>0</v>
      </c>
      <c r="HW163" s="675">
        <v>0</v>
      </c>
      <c r="HX163" s="675">
        <v>124</v>
      </c>
      <c r="HY163" s="675">
        <v>120</v>
      </c>
      <c r="HZ163" s="675">
        <v>235</v>
      </c>
      <c r="IA163" s="675">
        <v>354</v>
      </c>
      <c r="IB163" s="675">
        <v>337</v>
      </c>
      <c r="IC163" s="675">
        <v>1170</v>
      </c>
      <c r="ID163" s="675">
        <v>0</v>
      </c>
      <c r="IE163" s="675">
        <v>69.483000000000004</v>
      </c>
      <c r="IF163" s="675">
        <v>0.33300000000000002</v>
      </c>
      <c r="IG163" s="675">
        <v>45</v>
      </c>
      <c r="IH163" s="675">
        <v>452.53300000000002</v>
      </c>
      <c r="II163" s="675">
        <v>0</v>
      </c>
      <c r="IJ163" s="675">
        <v>610.399</v>
      </c>
      <c r="IK163" s="675">
        <v>0</v>
      </c>
      <c r="IL163" s="675">
        <v>0</v>
      </c>
      <c r="IM163" s="675">
        <v>1</v>
      </c>
      <c r="IN163" s="675">
        <v>0</v>
      </c>
      <c r="IO163" s="675">
        <v>1</v>
      </c>
      <c r="IP163" s="675">
        <v>0</v>
      </c>
      <c r="IQ163" s="675">
        <v>540.58299999999997</v>
      </c>
      <c r="IR163" s="675">
        <v>332998</v>
      </c>
      <c r="IS163" s="675">
        <v>0</v>
      </c>
      <c r="IT163" s="675">
        <v>0</v>
      </c>
      <c r="IU163" s="675">
        <v>3000</v>
      </c>
      <c r="IV163" s="675">
        <v>0</v>
      </c>
      <c r="IW163" s="675">
        <v>6160</v>
      </c>
      <c r="IX163" s="675">
        <v>64202</v>
      </c>
      <c r="IY163" s="675">
        <v>103</v>
      </c>
      <c r="IZ163" s="675">
        <v>0</v>
      </c>
      <c r="JA163" s="675">
        <v>0</v>
      </c>
      <c r="JB163" s="675">
        <v>0</v>
      </c>
      <c r="JC163" s="675">
        <v>0</v>
      </c>
      <c r="JD163" s="675">
        <v>0</v>
      </c>
      <c r="JE163" s="675">
        <v>0</v>
      </c>
      <c r="JF163" s="675">
        <v>2</v>
      </c>
      <c r="JG163" s="675">
        <v>10966</v>
      </c>
      <c r="JH163" s="675">
        <v>1000</v>
      </c>
      <c r="JI163" s="675">
        <v>0</v>
      </c>
      <c r="JJ163" s="675">
        <v>0</v>
      </c>
      <c r="JK163" s="675">
        <v>0</v>
      </c>
      <c r="JL163" s="675">
        <v>0</v>
      </c>
      <c r="JM163" s="675">
        <v>0</v>
      </c>
      <c r="JN163" s="675">
        <v>32469</v>
      </c>
      <c r="JO163" s="675">
        <v>0</v>
      </c>
      <c r="JP163" s="675">
        <v>44.374000000000002</v>
      </c>
      <c r="JQ163" s="675">
        <v>57.326000000000001</v>
      </c>
      <c r="JR163" s="675">
        <v>0</v>
      </c>
      <c r="JS163" s="675">
        <v>412359</v>
      </c>
      <c r="JT163" s="675">
        <v>611795</v>
      </c>
      <c r="JU163" s="675">
        <v>28754</v>
      </c>
      <c r="JV163" s="675">
        <v>0</v>
      </c>
      <c r="JW163" s="675">
        <v>0</v>
      </c>
      <c r="JX163" s="675">
        <v>0</v>
      </c>
      <c r="JY163" s="675">
        <v>0</v>
      </c>
      <c r="JZ163" s="675">
        <v>0</v>
      </c>
      <c r="KA163" s="675">
        <v>0</v>
      </c>
      <c r="KB163" s="675">
        <v>0</v>
      </c>
      <c r="KC163" s="675">
        <v>0</v>
      </c>
      <c r="KD163" s="675">
        <v>28754</v>
      </c>
      <c r="KE163" s="675">
        <v>7260</v>
      </c>
      <c r="KF163" s="675">
        <v>0</v>
      </c>
      <c r="KG163" s="675">
        <v>0</v>
      </c>
      <c r="KH163" s="675">
        <v>0</v>
      </c>
      <c r="KI163" s="675">
        <v>0</v>
      </c>
    </row>
    <row r="164" spans="1:295" ht="12.5" x14ac:dyDescent="0.25">
      <c r="A164" s="675">
        <v>35795</v>
      </c>
      <c r="B164" s="675">
        <v>101846</v>
      </c>
      <c r="C164" s="675">
        <v>9</v>
      </c>
      <c r="D164" s="675">
        <v>2022</v>
      </c>
      <c r="E164" s="675">
        <v>6160</v>
      </c>
      <c r="F164" s="675">
        <v>0</v>
      </c>
      <c r="G164" s="675">
        <v>3324.8510000000001</v>
      </c>
      <c r="H164" s="675">
        <v>3010.087</v>
      </c>
      <c r="I164" s="675">
        <v>3010.087</v>
      </c>
      <c r="J164" s="675">
        <v>3324.8510000000001</v>
      </c>
      <c r="K164" s="675">
        <v>0</v>
      </c>
      <c r="L164" s="675">
        <v>6160</v>
      </c>
      <c r="M164" s="675">
        <v>0</v>
      </c>
      <c r="N164" s="675">
        <v>0</v>
      </c>
      <c r="O164" s="675">
        <v>0</v>
      </c>
      <c r="P164" s="675">
        <v>3491.627</v>
      </c>
      <c r="Q164" s="675">
        <v>0</v>
      </c>
      <c r="R164" s="675">
        <v>1405128</v>
      </c>
      <c r="S164" s="675">
        <v>402.428</v>
      </c>
      <c r="T164" s="675">
        <v>0</v>
      </c>
      <c r="U164" s="675">
        <v>747212</v>
      </c>
      <c r="V164" s="675">
        <v>1218.7080000000001</v>
      </c>
      <c r="W164" s="675">
        <v>750721</v>
      </c>
      <c r="X164" s="675">
        <v>750721</v>
      </c>
      <c r="Y164" s="675">
        <v>0</v>
      </c>
      <c r="Z164" s="675">
        <v>0</v>
      </c>
      <c r="AA164" s="675">
        <v>0</v>
      </c>
      <c r="AB164" s="675">
        <v>0</v>
      </c>
      <c r="AC164" s="675">
        <v>0</v>
      </c>
      <c r="AD164" s="675" t="s">
        <v>316</v>
      </c>
      <c r="AE164" s="675">
        <v>0</v>
      </c>
      <c r="AF164" s="675">
        <v>0</v>
      </c>
      <c r="AG164" s="675">
        <v>0</v>
      </c>
      <c r="AH164" s="675">
        <v>0</v>
      </c>
      <c r="AI164" s="675">
        <v>0</v>
      </c>
      <c r="AJ164" s="675">
        <v>6160</v>
      </c>
      <c r="AK164" s="675" t="s">
        <v>671</v>
      </c>
      <c r="AL164" s="675" t="s">
        <v>906</v>
      </c>
      <c r="AM164" s="675">
        <v>0</v>
      </c>
      <c r="AN164" s="675">
        <v>0</v>
      </c>
      <c r="AO164" s="675">
        <v>0</v>
      </c>
      <c r="AP164" s="675">
        <v>0</v>
      </c>
      <c r="AQ164" s="675">
        <v>0</v>
      </c>
      <c r="AR164" s="675">
        <v>0</v>
      </c>
      <c r="AS164" s="675">
        <v>0</v>
      </c>
      <c r="AT164" s="675">
        <v>0</v>
      </c>
      <c r="AU164" s="675">
        <v>0</v>
      </c>
      <c r="AV164" s="675">
        <v>-345011</v>
      </c>
      <c r="AW164" s="675">
        <v>36989933</v>
      </c>
      <c r="AX164" s="675">
        <v>36392685</v>
      </c>
      <c r="AY164" s="675">
        <v>24524998</v>
      </c>
      <c r="AZ164" s="675">
        <v>1405128</v>
      </c>
      <c r="BA164" s="675">
        <v>0</v>
      </c>
      <c r="BB164" s="675">
        <v>71683</v>
      </c>
      <c r="BC164" s="675">
        <v>71220</v>
      </c>
      <c r="BD164" s="675">
        <v>166.24200000000002</v>
      </c>
      <c r="BE164" s="675">
        <v>463</v>
      </c>
      <c r="BF164" s="675">
        <v>33645716</v>
      </c>
      <c r="BG164" s="675">
        <v>0</v>
      </c>
      <c r="BH164" s="675">
        <v>0</v>
      </c>
      <c r="BI164" s="675">
        <v>0</v>
      </c>
      <c r="BJ164" s="675">
        <v>12</v>
      </c>
      <c r="BK164" s="675">
        <v>0</v>
      </c>
      <c r="BL164" s="675">
        <v>0</v>
      </c>
      <c r="BM164" s="675">
        <v>0</v>
      </c>
      <c r="BN164" s="675">
        <v>0</v>
      </c>
      <c r="BO164" s="675">
        <v>0</v>
      </c>
      <c r="BP164" s="675">
        <v>0</v>
      </c>
      <c r="BQ164" s="675">
        <v>306</v>
      </c>
      <c r="BR164" s="675">
        <v>0</v>
      </c>
      <c r="BS164" s="675">
        <v>0</v>
      </c>
      <c r="BT164" s="675">
        <v>0</v>
      </c>
      <c r="BU164" s="675">
        <v>0</v>
      </c>
      <c r="BV164" s="675">
        <v>0</v>
      </c>
      <c r="BW164" s="675">
        <v>0</v>
      </c>
      <c r="BX164" s="675">
        <v>0</v>
      </c>
      <c r="BY164" s="675">
        <v>0</v>
      </c>
      <c r="BZ164" s="675">
        <v>0</v>
      </c>
      <c r="CA164" s="675">
        <v>0</v>
      </c>
      <c r="CB164" s="675">
        <v>0</v>
      </c>
      <c r="CC164" s="675">
        <v>0</v>
      </c>
      <c r="CD164" s="675">
        <v>0</v>
      </c>
      <c r="CE164" s="675">
        <v>0</v>
      </c>
      <c r="CF164" s="675">
        <v>0</v>
      </c>
      <c r="CG164" s="675">
        <v>0</v>
      </c>
      <c r="CH164" s="675">
        <v>607659</v>
      </c>
      <c r="CI164" s="675">
        <v>0</v>
      </c>
      <c r="CJ164" s="675">
        <v>4</v>
      </c>
      <c r="CK164" s="675">
        <v>0</v>
      </c>
      <c r="CL164" s="675">
        <v>0</v>
      </c>
      <c r="CM164" s="675">
        <v>0</v>
      </c>
      <c r="CN164" s="675">
        <v>0</v>
      </c>
      <c r="CO164" s="675">
        <v>1</v>
      </c>
      <c r="CP164" s="675">
        <v>0</v>
      </c>
      <c r="CQ164" s="675">
        <v>0</v>
      </c>
      <c r="CR164" s="675">
        <v>3512.0750000000003</v>
      </c>
      <c r="CS164" s="675">
        <v>0</v>
      </c>
      <c r="CT164" s="675">
        <v>0</v>
      </c>
      <c r="CU164" s="675">
        <v>0</v>
      </c>
      <c r="CV164" s="675">
        <v>0</v>
      </c>
      <c r="CW164" s="675">
        <v>0</v>
      </c>
      <c r="CX164" s="675">
        <v>0</v>
      </c>
      <c r="CY164" s="675">
        <v>0</v>
      </c>
      <c r="CZ164" s="675">
        <v>0</v>
      </c>
      <c r="DA164" s="675">
        <v>0</v>
      </c>
      <c r="DB164" s="675">
        <v>18542050</v>
      </c>
      <c r="DC164" s="675">
        <v>0</v>
      </c>
      <c r="DD164" s="675">
        <v>0</v>
      </c>
      <c r="DE164" s="675">
        <v>4860217</v>
      </c>
      <c r="DF164" s="675">
        <v>4860217</v>
      </c>
      <c r="DG164" s="675">
        <v>789</v>
      </c>
      <c r="DH164" s="675">
        <v>0</v>
      </c>
      <c r="DI164" s="675">
        <v>0</v>
      </c>
      <c r="DJ164" s="675">
        <v>0</v>
      </c>
      <c r="DK164" s="675">
        <v>0</v>
      </c>
      <c r="DL164" s="675">
        <v>0</v>
      </c>
      <c r="DM164" s="675">
        <v>2611860</v>
      </c>
      <c r="DN164" s="675">
        <v>9948</v>
      </c>
      <c r="DO164" s="675">
        <v>0</v>
      </c>
      <c r="DP164" s="675">
        <v>0</v>
      </c>
      <c r="DQ164" s="675">
        <v>0</v>
      </c>
      <c r="DR164" s="675">
        <v>0</v>
      </c>
      <c r="DS164" s="675">
        <v>0</v>
      </c>
      <c r="DT164" s="675">
        <v>0</v>
      </c>
      <c r="DU164" s="675">
        <v>0</v>
      </c>
      <c r="DV164" s="675">
        <v>0</v>
      </c>
      <c r="DW164" s="675">
        <v>0</v>
      </c>
      <c r="DX164" s="675">
        <v>0</v>
      </c>
      <c r="DY164" s="675">
        <v>0</v>
      </c>
      <c r="DZ164" s="675">
        <v>0</v>
      </c>
      <c r="EA164" s="675">
        <v>0</v>
      </c>
      <c r="EB164" s="675">
        <v>0</v>
      </c>
      <c r="EC164" s="675">
        <v>64.77</v>
      </c>
      <c r="ED164" s="675">
        <v>458829</v>
      </c>
      <c r="EE164" s="675">
        <v>0</v>
      </c>
      <c r="EF164" s="675">
        <v>0</v>
      </c>
      <c r="EG164" s="675">
        <v>0</v>
      </c>
      <c r="EH164" s="675">
        <v>2162979</v>
      </c>
      <c r="EI164" s="675">
        <v>0</v>
      </c>
      <c r="EJ164" s="675">
        <v>0</v>
      </c>
      <c r="EK164" s="675">
        <v>94.825000000000003</v>
      </c>
      <c r="EL164" s="675">
        <v>0</v>
      </c>
      <c r="EM164" s="675">
        <v>14.237</v>
      </c>
      <c r="EN164" s="675">
        <v>4.7290000000000001</v>
      </c>
      <c r="EO164" s="675">
        <v>0</v>
      </c>
      <c r="EP164" s="675">
        <v>0</v>
      </c>
      <c r="EQ164" s="675">
        <v>113.923</v>
      </c>
      <c r="ER164" s="675">
        <v>0.13200000000000001</v>
      </c>
      <c r="ES164" s="675">
        <v>351.13499999999999</v>
      </c>
      <c r="ET164" s="675">
        <v>0</v>
      </c>
      <c r="EU164" s="675">
        <v>0</v>
      </c>
      <c r="EV164" s="675">
        <v>0</v>
      </c>
      <c r="EW164" s="675">
        <v>0</v>
      </c>
      <c r="EX164" s="675">
        <v>0</v>
      </c>
      <c r="EY164" s="675">
        <v>0</v>
      </c>
      <c r="EZ164" s="675">
        <v>32262345</v>
      </c>
      <c r="FA164" s="675">
        <v>0</v>
      </c>
      <c r="FB164" s="675">
        <v>33657062</v>
      </c>
      <c r="FC164" s="675">
        <v>0</v>
      </c>
      <c r="FD164" s="675">
        <v>0</v>
      </c>
      <c r="FE164" s="675">
        <v>3422458</v>
      </c>
      <c r="FF164" s="675">
        <v>707882</v>
      </c>
      <c r="FG164" s="675">
        <v>6.3574999999999993E-2</v>
      </c>
      <c r="FH164" s="675">
        <v>2.6298999999999999E-2</v>
      </c>
      <c r="FI164" s="675">
        <v>0</v>
      </c>
      <c r="FJ164" s="675">
        <v>0</v>
      </c>
      <c r="FK164" s="675">
        <v>5461.9920000000002</v>
      </c>
      <c r="FL164" s="675">
        <v>38395061</v>
      </c>
      <c r="FM164" s="675">
        <v>0</v>
      </c>
      <c r="FN164" s="675">
        <v>0</v>
      </c>
      <c r="FO164" s="675">
        <v>0</v>
      </c>
      <c r="FP164" s="675">
        <v>0</v>
      </c>
      <c r="FQ164" s="675">
        <v>0</v>
      </c>
      <c r="FR164" s="675">
        <v>0</v>
      </c>
      <c r="FS164" s="675">
        <v>0</v>
      </c>
      <c r="FT164" s="675">
        <v>0</v>
      </c>
      <c r="FU164" s="675">
        <v>0</v>
      </c>
      <c r="FV164" s="675">
        <v>0</v>
      </c>
      <c r="FW164" s="675">
        <v>0</v>
      </c>
      <c r="FX164" s="675">
        <v>0</v>
      </c>
      <c r="FY164" s="675">
        <v>0</v>
      </c>
      <c r="FZ164" s="675">
        <v>0</v>
      </c>
      <c r="GA164" s="675">
        <v>0</v>
      </c>
      <c r="GB164" s="675">
        <v>1994977</v>
      </c>
      <c r="GC164" s="675">
        <v>1994977</v>
      </c>
      <c r="GD164" s="675">
        <v>200.84100000000001</v>
      </c>
      <c r="GE164" s="675">
        <v>0</v>
      </c>
      <c r="GF164" s="675">
        <v>0</v>
      </c>
      <c r="GG164" s="675">
        <v>0</v>
      </c>
      <c r="GH164" s="675">
        <v>0</v>
      </c>
      <c r="GI164" s="675">
        <v>0</v>
      </c>
      <c r="GJ164" s="675">
        <v>0</v>
      </c>
      <c r="GK164" s="675">
        <v>0</v>
      </c>
      <c r="GL164" s="675">
        <v>0</v>
      </c>
      <c r="GM164" s="675">
        <v>0</v>
      </c>
      <c r="GN164" s="675">
        <v>0</v>
      </c>
      <c r="GO164" s="675">
        <v>0</v>
      </c>
      <c r="GP164" s="675">
        <v>0</v>
      </c>
      <c r="GQ164" s="675">
        <v>0</v>
      </c>
      <c r="GR164" s="675">
        <v>0</v>
      </c>
      <c r="GS164" s="675">
        <v>0</v>
      </c>
      <c r="GT164" s="675">
        <v>0</v>
      </c>
      <c r="GU164" s="675">
        <v>0</v>
      </c>
      <c r="GV164" s="675">
        <v>0</v>
      </c>
      <c r="GW164" s="675">
        <v>0</v>
      </c>
      <c r="GX164" s="675">
        <v>0</v>
      </c>
      <c r="GY164" s="675">
        <v>0</v>
      </c>
      <c r="GZ164" s="675">
        <v>0</v>
      </c>
      <c r="HA164" s="675">
        <v>0</v>
      </c>
      <c r="HB164" s="675">
        <v>298386780</v>
      </c>
      <c r="HC164" s="675">
        <v>4.5690999999999996E-2</v>
      </c>
      <c r="HD164" s="675">
        <v>607659</v>
      </c>
      <c r="HE164" s="675">
        <v>0</v>
      </c>
      <c r="HF164" s="675">
        <v>3311096</v>
      </c>
      <c r="HG164" s="675">
        <v>33880</v>
      </c>
      <c r="HH164" s="675">
        <v>612480</v>
      </c>
      <c r="HI164" s="675">
        <v>0</v>
      </c>
      <c r="HJ164" s="675">
        <v>32318</v>
      </c>
      <c r="HK164" s="675">
        <v>13347</v>
      </c>
      <c r="HL164" s="675">
        <v>8410</v>
      </c>
      <c r="HM164" s="675">
        <v>363000</v>
      </c>
      <c r="HN164" s="675">
        <v>352486</v>
      </c>
      <c r="HO164" s="675">
        <v>99000</v>
      </c>
      <c r="HP164" s="675">
        <v>0</v>
      </c>
      <c r="HQ164" s="675">
        <v>0</v>
      </c>
      <c r="HR164" s="675">
        <v>0</v>
      </c>
      <c r="HS164" s="675">
        <v>32251934</v>
      </c>
      <c r="HT164" s="675">
        <v>707882</v>
      </c>
      <c r="HU164" s="675">
        <v>0</v>
      </c>
      <c r="HV164" s="675">
        <v>0</v>
      </c>
      <c r="HW164" s="675">
        <v>0</v>
      </c>
      <c r="HX164" s="675">
        <v>323</v>
      </c>
      <c r="HY164" s="675">
        <v>436</v>
      </c>
      <c r="HZ164" s="675">
        <v>726</v>
      </c>
      <c r="IA164" s="675">
        <v>698</v>
      </c>
      <c r="IB164" s="675">
        <v>902</v>
      </c>
      <c r="IC164" s="675">
        <v>3085</v>
      </c>
      <c r="ID164" s="675">
        <v>0</v>
      </c>
      <c r="IE164" s="675">
        <v>0</v>
      </c>
      <c r="IF164" s="675">
        <v>0</v>
      </c>
      <c r="IG164" s="675">
        <v>55</v>
      </c>
      <c r="IH164" s="675">
        <v>994.29000000000008</v>
      </c>
      <c r="II164" s="675">
        <v>0</v>
      </c>
      <c r="IJ164" s="675">
        <v>1218.7080000000001</v>
      </c>
      <c r="IK164" s="675">
        <v>0</v>
      </c>
      <c r="IL164" s="675">
        <v>65</v>
      </c>
      <c r="IM164" s="675">
        <v>12</v>
      </c>
      <c r="IN164" s="675">
        <v>1</v>
      </c>
      <c r="IO164" s="675">
        <v>78</v>
      </c>
      <c r="IP164" s="675">
        <v>0</v>
      </c>
      <c r="IQ164" s="675">
        <v>1218.7080000000001</v>
      </c>
      <c r="IR164" s="675">
        <v>750721</v>
      </c>
      <c r="IS164" s="675">
        <v>0</v>
      </c>
      <c r="IT164" s="675">
        <v>325000</v>
      </c>
      <c r="IU164" s="675">
        <v>36000</v>
      </c>
      <c r="IV164" s="675">
        <v>2000</v>
      </c>
      <c r="IW164" s="675">
        <v>6160</v>
      </c>
      <c r="IX164" s="675">
        <v>0</v>
      </c>
      <c r="IY164" s="675">
        <v>0</v>
      </c>
      <c r="IZ164" s="675">
        <v>0</v>
      </c>
      <c r="JA164" s="675">
        <v>0</v>
      </c>
      <c r="JB164" s="675">
        <v>5</v>
      </c>
      <c r="JC164" s="675">
        <v>113811</v>
      </c>
      <c r="JD164" s="675">
        <v>11</v>
      </c>
      <c r="JE164" s="675">
        <v>138181</v>
      </c>
      <c r="JF164" s="675">
        <v>13</v>
      </c>
      <c r="JG164" s="675">
        <v>81994</v>
      </c>
      <c r="JH164" s="675">
        <v>18500</v>
      </c>
      <c r="JI164" s="675">
        <v>0</v>
      </c>
      <c r="JJ164" s="675">
        <v>0</v>
      </c>
      <c r="JK164" s="675">
        <v>0</v>
      </c>
      <c r="JL164" s="675">
        <v>0</v>
      </c>
      <c r="JM164" s="675">
        <v>0</v>
      </c>
      <c r="JN164" s="675">
        <v>32469</v>
      </c>
      <c r="JO164" s="675">
        <v>0</v>
      </c>
      <c r="JP164" s="675">
        <v>107.611</v>
      </c>
      <c r="JQ164" s="675">
        <v>93.23</v>
      </c>
      <c r="JR164" s="675">
        <v>0</v>
      </c>
      <c r="JS164" s="675">
        <v>1000008</v>
      </c>
      <c r="JT164" s="675">
        <v>994969</v>
      </c>
      <c r="JU164" s="675">
        <v>71683</v>
      </c>
      <c r="JV164" s="675">
        <v>0</v>
      </c>
      <c r="JW164" s="675">
        <v>0</v>
      </c>
      <c r="JX164" s="675">
        <v>0</v>
      </c>
      <c r="JY164" s="675">
        <v>0</v>
      </c>
      <c r="JZ164" s="675">
        <v>0</v>
      </c>
      <c r="KA164" s="675">
        <v>0</v>
      </c>
      <c r="KB164" s="675">
        <v>0</v>
      </c>
      <c r="KC164" s="675">
        <v>0</v>
      </c>
      <c r="KD164" s="675">
        <v>71683</v>
      </c>
      <c r="KE164" s="675">
        <v>7260</v>
      </c>
      <c r="KF164" s="675">
        <v>0</v>
      </c>
      <c r="KG164" s="675">
        <v>0</v>
      </c>
      <c r="KH164" s="675">
        <v>0</v>
      </c>
      <c r="KI164" s="675">
        <v>0</v>
      </c>
    </row>
    <row r="165" spans="1:295" ht="12.5" x14ac:dyDescent="0.25">
      <c r="A165" s="675">
        <v>35795</v>
      </c>
      <c r="B165" s="675">
        <v>57847</v>
      </c>
      <c r="C165" s="675">
        <v>9</v>
      </c>
      <c r="D165" s="675">
        <v>2022</v>
      </c>
      <c r="E165" s="675">
        <v>6160</v>
      </c>
      <c r="F165" s="675">
        <v>0</v>
      </c>
      <c r="G165" s="675">
        <v>1113.883</v>
      </c>
      <c r="H165" s="675">
        <v>1009.3670000000001</v>
      </c>
      <c r="I165" s="675">
        <v>1009.3670000000001</v>
      </c>
      <c r="J165" s="675">
        <v>1113.883</v>
      </c>
      <c r="K165" s="675">
        <v>0</v>
      </c>
      <c r="L165" s="675">
        <v>6160</v>
      </c>
      <c r="M165" s="675">
        <v>0</v>
      </c>
      <c r="N165" s="675">
        <v>0</v>
      </c>
      <c r="O165" s="675">
        <v>0</v>
      </c>
      <c r="P165" s="675">
        <v>1096.5030000000002</v>
      </c>
      <c r="Q165" s="675">
        <v>0</v>
      </c>
      <c r="R165" s="675">
        <v>441264</v>
      </c>
      <c r="S165" s="675">
        <v>402.428</v>
      </c>
      <c r="T165" s="675">
        <v>0</v>
      </c>
      <c r="U165" s="675">
        <v>234653</v>
      </c>
      <c r="V165" s="675">
        <v>30.1</v>
      </c>
      <c r="W165" s="675">
        <v>18542</v>
      </c>
      <c r="X165" s="675">
        <v>18542</v>
      </c>
      <c r="Y165" s="675">
        <v>0</v>
      </c>
      <c r="Z165" s="675">
        <v>0</v>
      </c>
      <c r="AA165" s="675">
        <v>0</v>
      </c>
      <c r="AB165" s="675">
        <v>0</v>
      </c>
      <c r="AC165" s="675">
        <v>0</v>
      </c>
      <c r="AD165" s="675" t="s">
        <v>316</v>
      </c>
      <c r="AE165" s="675">
        <v>0</v>
      </c>
      <c r="AF165" s="675">
        <v>0</v>
      </c>
      <c r="AG165" s="675">
        <v>0</v>
      </c>
      <c r="AH165" s="675">
        <v>0</v>
      </c>
      <c r="AI165" s="675">
        <v>0</v>
      </c>
      <c r="AJ165" s="675">
        <v>6160</v>
      </c>
      <c r="AK165" s="675" t="s">
        <v>671</v>
      </c>
      <c r="AL165" s="675" t="s">
        <v>333</v>
      </c>
      <c r="AM165" s="675">
        <v>0</v>
      </c>
      <c r="AN165" s="675">
        <v>0</v>
      </c>
      <c r="AO165" s="675">
        <v>0</v>
      </c>
      <c r="AP165" s="675">
        <v>0</v>
      </c>
      <c r="AQ165" s="675">
        <v>0</v>
      </c>
      <c r="AR165" s="675">
        <v>0</v>
      </c>
      <c r="AS165" s="675">
        <v>0</v>
      </c>
      <c r="AT165" s="675">
        <v>0</v>
      </c>
      <c r="AU165" s="675">
        <v>0</v>
      </c>
      <c r="AV165" s="675">
        <v>0</v>
      </c>
      <c r="AW165" s="675">
        <v>10773459</v>
      </c>
      <c r="AX165" s="675">
        <v>10572214</v>
      </c>
      <c r="AY165" s="675">
        <v>7233191</v>
      </c>
      <c r="AZ165" s="675">
        <v>441264</v>
      </c>
      <c r="BA165" s="675">
        <v>0</v>
      </c>
      <c r="BB165" s="675">
        <v>0</v>
      </c>
      <c r="BC165" s="675">
        <v>0</v>
      </c>
      <c r="BD165" s="675">
        <v>0</v>
      </c>
      <c r="BE165" s="675">
        <v>0</v>
      </c>
      <c r="BF165" s="675">
        <v>9803855</v>
      </c>
      <c r="BG165" s="675">
        <v>0</v>
      </c>
      <c r="BH165" s="675">
        <v>0</v>
      </c>
      <c r="BI165" s="675">
        <v>0</v>
      </c>
      <c r="BJ165" s="675">
        <v>12</v>
      </c>
      <c r="BK165" s="675">
        <v>0</v>
      </c>
      <c r="BL165" s="675">
        <v>0</v>
      </c>
      <c r="BM165" s="675">
        <v>0</v>
      </c>
      <c r="BN165" s="675">
        <v>0</v>
      </c>
      <c r="BO165" s="675">
        <v>0</v>
      </c>
      <c r="BP165" s="675">
        <v>0</v>
      </c>
      <c r="BQ165" s="675">
        <v>615</v>
      </c>
      <c r="BR165" s="675">
        <v>0</v>
      </c>
      <c r="BS165" s="675">
        <v>0</v>
      </c>
      <c r="BT165" s="675">
        <v>0</v>
      </c>
      <c r="BU165" s="675">
        <v>0</v>
      </c>
      <c r="BV165" s="675">
        <v>0</v>
      </c>
      <c r="BW165" s="675">
        <v>0</v>
      </c>
      <c r="BX165" s="675">
        <v>0</v>
      </c>
      <c r="BY165" s="675">
        <v>0</v>
      </c>
      <c r="BZ165" s="675">
        <v>0</v>
      </c>
      <c r="CA165" s="675">
        <v>0</v>
      </c>
      <c r="CB165" s="675">
        <v>0</v>
      </c>
      <c r="CC165" s="675">
        <v>0</v>
      </c>
      <c r="CD165" s="675">
        <v>0</v>
      </c>
      <c r="CE165" s="675">
        <v>0</v>
      </c>
      <c r="CF165" s="675">
        <v>0</v>
      </c>
      <c r="CG165" s="675">
        <v>0</v>
      </c>
      <c r="CH165" s="675">
        <v>203576</v>
      </c>
      <c r="CI165" s="675">
        <v>0</v>
      </c>
      <c r="CJ165" s="675">
        <v>4</v>
      </c>
      <c r="CK165" s="675">
        <v>0</v>
      </c>
      <c r="CL165" s="675">
        <v>0</v>
      </c>
      <c r="CM165" s="675">
        <v>0</v>
      </c>
      <c r="CN165" s="675">
        <v>0</v>
      </c>
      <c r="CO165" s="675">
        <v>1</v>
      </c>
      <c r="CP165" s="675">
        <v>0</v>
      </c>
      <c r="CQ165" s="675">
        <v>0</v>
      </c>
      <c r="CR165" s="675">
        <v>1209.566</v>
      </c>
      <c r="CS165" s="675">
        <v>0</v>
      </c>
      <c r="CT165" s="675">
        <v>0</v>
      </c>
      <c r="CU165" s="675">
        <v>0</v>
      </c>
      <c r="CV165" s="675">
        <v>0</v>
      </c>
      <c r="CW165" s="675">
        <v>0</v>
      </c>
      <c r="CX165" s="675">
        <v>0</v>
      </c>
      <c r="CY165" s="675">
        <v>0</v>
      </c>
      <c r="CZ165" s="675">
        <v>0</v>
      </c>
      <c r="DA165" s="675">
        <v>0</v>
      </c>
      <c r="DB165" s="675">
        <v>6217672</v>
      </c>
      <c r="DC165" s="675">
        <v>0</v>
      </c>
      <c r="DD165" s="675">
        <v>0</v>
      </c>
      <c r="DE165" s="675">
        <v>859008</v>
      </c>
      <c r="DF165" s="675">
        <v>859008</v>
      </c>
      <c r="DG165" s="675">
        <v>139.45000000000002</v>
      </c>
      <c r="DH165" s="675">
        <v>0</v>
      </c>
      <c r="DI165" s="675">
        <v>0</v>
      </c>
      <c r="DJ165" s="675">
        <v>0</v>
      </c>
      <c r="DK165" s="675">
        <v>1455</v>
      </c>
      <c r="DL165" s="675">
        <v>0</v>
      </c>
      <c r="DM165" s="675">
        <v>612086</v>
      </c>
      <c r="DN165" s="675">
        <v>2331</v>
      </c>
      <c r="DO165" s="675">
        <v>0</v>
      </c>
      <c r="DP165" s="675">
        <v>0</v>
      </c>
      <c r="DQ165" s="675">
        <v>0</v>
      </c>
      <c r="DR165" s="675">
        <v>0</v>
      </c>
      <c r="DS165" s="675">
        <v>0</v>
      </c>
      <c r="DT165" s="675">
        <v>0</v>
      </c>
      <c r="DU165" s="675">
        <v>0</v>
      </c>
      <c r="DV165" s="675">
        <v>0</v>
      </c>
      <c r="DW165" s="675">
        <v>0</v>
      </c>
      <c r="DX165" s="675">
        <v>0</v>
      </c>
      <c r="DY165" s="675">
        <v>0</v>
      </c>
      <c r="DZ165" s="675">
        <v>0</v>
      </c>
      <c r="EA165" s="675">
        <v>0</v>
      </c>
      <c r="EB165" s="675">
        <v>0</v>
      </c>
      <c r="EC165" s="675">
        <v>33.417000000000002</v>
      </c>
      <c r="ED165" s="675">
        <v>236725</v>
      </c>
      <c r="EE165" s="675">
        <v>0</v>
      </c>
      <c r="EF165" s="675">
        <v>0</v>
      </c>
      <c r="EG165" s="675">
        <v>0</v>
      </c>
      <c r="EH165" s="675">
        <v>377692</v>
      </c>
      <c r="EI165" s="675">
        <v>0</v>
      </c>
      <c r="EJ165" s="675">
        <v>0</v>
      </c>
      <c r="EK165" s="675">
        <v>15.049000000000001</v>
      </c>
      <c r="EL165" s="675">
        <v>0</v>
      </c>
      <c r="EM165" s="675">
        <v>2.2690000000000001</v>
      </c>
      <c r="EN165" s="675">
        <v>1.8720000000000001</v>
      </c>
      <c r="EO165" s="675">
        <v>0</v>
      </c>
      <c r="EP165" s="675">
        <v>0</v>
      </c>
      <c r="EQ165" s="675">
        <v>19.190000000000001</v>
      </c>
      <c r="ER165" s="675">
        <v>0</v>
      </c>
      <c r="ES165" s="675">
        <v>61.314</v>
      </c>
      <c r="ET165" s="675">
        <v>0</v>
      </c>
      <c r="EU165" s="675">
        <v>0</v>
      </c>
      <c r="EV165" s="675">
        <v>0</v>
      </c>
      <c r="EW165" s="675">
        <v>0</v>
      </c>
      <c r="EX165" s="675">
        <v>0</v>
      </c>
      <c r="EY165" s="675">
        <v>0</v>
      </c>
      <c r="EZ165" s="675">
        <v>9368695</v>
      </c>
      <c r="FA165" s="675">
        <v>0</v>
      </c>
      <c r="FB165" s="675">
        <v>9807628</v>
      </c>
      <c r="FC165" s="675">
        <v>0</v>
      </c>
      <c r="FD165" s="675">
        <v>0</v>
      </c>
      <c r="FE165" s="675">
        <v>997253</v>
      </c>
      <c r="FF165" s="675">
        <v>206266</v>
      </c>
      <c r="FG165" s="675">
        <v>6.3574999999999993E-2</v>
      </c>
      <c r="FH165" s="675">
        <v>2.6298999999999999E-2</v>
      </c>
      <c r="FI165" s="675">
        <v>0</v>
      </c>
      <c r="FJ165" s="675">
        <v>0</v>
      </c>
      <c r="FK165" s="675">
        <v>1591.5420000000001</v>
      </c>
      <c r="FL165" s="675">
        <v>11214723</v>
      </c>
      <c r="FM165" s="675">
        <v>0</v>
      </c>
      <c r="FN165" s="675">
        <v>0</v>
      </c>
      <c r="FO165" s="675">
        <v>0</v>
      </c>
      <c r="FP165" s="675">
        <v>0</v>
      </c>
      <c r="FQ165" s="675">
        <v>0</v>
      </c>
      <c r="FR165" s="675">
        <v>0</v>
      </c>
      <c r="FS165" s="675">
        <v>0</v>
      </c>
      <c r="FT165" s="675">
        <v>0</v>
      </c>
      <c r="FU165" s="675">
        <v>0</v>
      </c>
      <c r="FV165" s="675">
        <v>0</v>
      </c>
      <c r="FW165" s="675">
        <v>0</v>
      </c>
      <c r="FX165" s="675">
        <v>0</v>
      </c>
      <c r="FY165" s="675">
        <v>0</v>
      </c>
      <c r="FZ165" s="675">
        <v>0</v>
      </c>
      <c r="GA165" s="675">
        <v>0</v>
      </c>
      <c r="GB165" s="675">
        <v>792917</v>
      </c>
      <c r="GC165" s="675">
        <v>792917</v>
      </c>
      <c r="GD165" s="675">
        <v>85.326000000000008</v>
      </c>
      <c r="GE165" s="675">
        <v>0</v>
      </c>
      <c r="GF165" s="675">
        <v>0</v>
      </c>
      <c r="GG165" s="675">
        <v>0</v>
      </c>
      <c r="GH165" s="675">
        <v>0</v>
      </c>
      <c r="GI165" s="675">
        <v>0</v>
      </c>
      <c r="GJ165" s="675">
        <v>0</v>
      </c>
      <c r="GK165" s="675">
        <v>0</v>
      </c>
      <c r="GL165" s="675">
        <v>0</v>
      </c>
      <c r="GM165" s="675">
        <v>0</v>
      </c>
      <c r="GN165" s="675">
        <v>0</v>
      </c>
      <c r="GO165" s="675">
        <v>0</v>
      </c>
      <c r="GP165" s="675">
        <v>0</v>
      </c>
      <c r="GQ165" s="675">
        <v>0</v>
      </c>
      <c r="GR165" s="675">
        <v>0</v>
      </c>
      <c r="GS165" s="675">
        <v>0</v>
      </c>
      <c r="GT165" s="675">
        <v>0</v>
      </c>
      <c r="GU165" s="675">
        <v>0</v>
      </c>
      <c r="GV165" s="675">
        <v>0</v>
      </c>
      <c r="GW165" s="675">
        <v>0</v>
      </c>
      <c r="GX165" s="675">
        <v>0</v>
      </c>
      <c r="GY165" s="675">
        <v>0</v>
      </c>
      <c r="GZ165" s="675">
        <v>0</v>
      </c>
      <c r="HA165" s="675">
        <v>0</v>
      </c>
      <c r="HB165" s="675">
        <v>298386780</v>
      </c>
      <c r="HC165" s="675">
        <v>4.5690999999999996E-2</v>
      </c>
      <c r="HD165" s="675">
        <v>203576</v>
      </c>
      <c r="HE165" s="675">
        <v>0</v>
      </c>
      <c r="HF165" s="675">
        <v>1110304</v>
      </c>
      <c r="HG165" s="675">
        <v>36344</v>
      </c>
      <c r="HH165" s="675">
        <v>116824</v>
      </c>
      <c r="HI165" s="675">
        <v>0</v>
      </c>
      <c r="HJ165" s="675">
        <v>10827</v>
      </c>
      <c r="HK165" s="675">
        <v>3429</v>
      </c>
      <c r="HL165" s="675">
        <v>2675</v>
      </c>
      <c r="HM165" s="675">
        <v>0</v>
      </c>
      <c r="HN165" s="675">
        <v>0</v>
      </c>
      <c r="HO165" s="675">
        <v>27000</v>
      </c>
      <c r="HP165" s="675">
        <v>0</v>
      </c>
      <c r="HQ165" s="675">
        <v>0</v>
      </c>
      <c r="HR165" s="675">
        <v>0</v>
      </c>
      <c r="HS165" s="675">
        <v>9366364</v>
      </c>
      <c r="HT165" s="675">
        <v>206266</v>
      </c>
      <c r="HU165" s="675">
        <v>0</v>
      </c>
      <c r="HV165" s="675">
        <v>0</v>
      </c>
      <c r="HW165" s="675">
        <v>0</v>
      </c>
      <c r="HX165" s="675">
        <v>178</v>
      </c>
      <c r="HY165" s="675">
        <v>144</v>
      </c>
      <c r="HZ165" s="675">
        <v>79</v>
      </c>
      <c r="IA165" s="675">
        <v>126</v>
      </c>
      <c r="IB165" s="675">
        <v>45</v>
      </c>
      <c r="IC165" s="675">
        <v>572</v>
      </c>
      <c r="ID165" s="675">
        <v>0</v>
      </c>
      <c r="IE165" s="675">
        <v>0</v>
      </c>
      <c r="IF165" s="675">
        <v>0</v>
      </c>
      <c r="IG165" s="675">
        <v>59</v>
      </c>
      <c r="IH165" s="675">
        <v>189.65</v>
      </c>
      <c r="II165" s="675">
        <v>0</v>
      </c>
      <c r="IJ165" s="675">
        <v>30.1</v>
      </c>
      <c r="IK165" s="675">
        <v>0</v>
      </c>
      <c r="IL165" s="675">
        <v>0</v>
      </c>
      <c r="IM165" s="675">
        <v>0</v>
      </c>
      <c r="IN165" s="675">
        <v>0</v>
      </c>
      <c r="IO165" s="675">
        <v>0</v>
      </c>
      <c r="IP165" s="675">
        <v>0</v>
      </c>
      <c r="IQ165" s="675">
        <v>30.1</v>
      </c>
      <c r="IR165" s="675">
        <v>18542</v>
      </c>
      <c r="IS165" s="675">
        <v>0</v>
      </c>
      <c r="IT165" s="675">
        <v>0</v>
      </c>
      <c r="IU165" s="675">
        <v>0</v>
      </c>
      <c r="IV165" s="675">
        <v>0</v>
      </c>
      <c r="IW165" s="675">
        <v>6160</v>
      </c>
      <c r="IX165" s="675">
        <v>0</v>
      </c>
      <c r="IY165" s="675">
        <v>0</v>
      </c>
      <c r="IZ165" s="675">
        <v>0</v>
      </c>
      <c r="JA165" s="675">
        <v>0</v>
      </c>
      <c r="JB165" s="675">
        <v>0</v>
      </c>
      <c r="JC165" s="675">
        <v>0</v>
      </c>
      <c r="JD165" s="675">
        <v>0</v>
      </c>
      <c r="JE165" s="675">
        <v>0</v>
      </c>
      <c r="JF165" s="675">
        <v>0</v>
      </c>
      <c r="JG165" s="675">
        <v>0</v>
      </c>
      <c r="JH165" s="675">
        <v>0</v>
      </c>
      <c r="JI165" s="675">
        <v>0</v>
      </c>
      <c r="JJ165" s="675">
        <v>0</v>
      </c>
      <c r="JK165" s="675">
        <v>0</v>
      </c>
      <c r="JL165" s="675">
        <v>0</v>
      </c>
      <c r="JM165" s="675">
        <v>0</v>
      </c>
      <c r="JN165" s="675">
        <v>32469</v>
      </c>
      <c r="JO165" s="675">
        <v>0</v>
      </c>
      <c r="JP165" s="675">
        <v>85.326000000000008</v>
      </c>
      <c r="JQ165" s="675">
        <v>0</v>
      </c>
      <c r="JR165" s="675">
        <v>0</v>
      </c>
      <c r="JS165" s="675">
        <v>792917</v>
      </c>
      <c r="JT165" s="675">
        <v>0</v>
      </c>
      <c r="JU165" s="675">
        <v>0</v>
      </c>
      <c r="JV165" s="675">
        <v>0</v>
      </c>
      <c r="JW165" s="675">
        <v>0</v>
      </c>
      <c r="JX165" s="675">
        <v>0</v>
      </c>
      <c r="JY165" s="675">
        <v>0</v>
      </c>
      <c r="JZ165" s="675">
        <v>0</v>
      </c>
      <c r="KA165" s="675">
        <v>0</v>
      </c>
      <c r="KB165" s="675">
        <v>0</v>
      </c>
      <c r="KC165" s="675">
        <v>0</v>
      </c>
      <c r="KD165" s="675">
        <v>0</v>
      </c>
      <c r="KE165" s="675">
        <v>7260</v>
      </c>
      <c r="KF165" s="675">
        <v>0</v>
      </c>
      <c r="KG165" s="675">
        <v>0</v>
      </c>
      <c r="KH165" s="675">
        <v>0</v>
      </c>
      <c r="KI165" s="675">
        <v>0</v>
      </c>
    </row>
    <row r="166" spans="1:295" ht="12.5" x14ac:dyDescent="0.25">
      <c r="A166" s="675">
        <v>35795</v>
      </c>
      <c r="B166" s="675">
        <v>101847</v>
      </c>
      <c r="C166" s="675">
        <v>9</v>
      </c>
      <c r="D166" s="675">
        <v>2022</v>
      </c>
      <c r="E166" s="675">
        <v>6160</v>
      </c>
      <c r="F166" s="675">
        <v>0</v>
      </c>
      <c r="G166" s="675">
        <v>417.733</v>
      </c>
      <c r="H166" s="675">
        <v>412.85500000000002</v>
      </c>
      <c r="I166" s="675">
        <v>412.85500000000002</v>
      </c>
      <c r="J166" s="675">
        <v>417.733</v>
      </c>
      <c r="K166" s="675">
        <v>0</v>
      </c>
      <c r="L166" s="675">
        <v>6160</v>
      </c>
      <c r="M166" s="675">
        <v>0</v>
      </c>
      <c r="N166" s="675">
        <v>0</v>
      </c>
      <c r="O166" s="675">
        <v>0</v>
      </c>
      <c r="P166" s="675">
        <v>450.71000000000004</v>
      </c>
      <c r="Q166" s="675">
        <v>0</v>
      </c>
      <c r="R166" s="675">
        <v>181378</v>
      </c>
      <c r="S166" s="675">
        <v>402.428</v>
      </c>
      <c r="T166" s="675">
        <v>0</v>
      </c>
      <c r="U166" s="675">
        <v>96453</v>
      </c>
      <c r="V166" s="675">
        <v>0</v>
      </c>
      <c r="W166" s="675">
        <v>0</v>
      </c>
      <c r="X166" s="675">
        <v>0</v>
      </c>
      <c r="Y166" s="675">
        <v>0</v>
      </c>
      <c r="Z166" s="675">
        <v>0</v>
      </c>
      <c r="AA166" s="675">
        <v>0</v>
      </c>
      <c r="AB166" s="675">
        <v>0</v>
      </c>
      <c r="AC166" s="675">
        <v>0</v>
      </c>
      <c r="AD166" s="675" t="s">
        <v>316</v>
      </c>
      <c r="AE166" s="675">
        <v>0</v>
      </c>
      <c r="AF166" s="675">
        <v>0</v>
      </c>
      <c r="AG166" s="675">
        <v>0</v>
      </c>
      <c r="AH166" s="675">
        <v>0</v>
      </c>
      <c r="AI166" s="675">
        <v>0</v>
      </c>
      <c r="AJ166" s="675">
        <v>6160</v>
      </c>
      <c r="AK166" s="675" t="s">
        <v>671</v>
      </c>
      <c r="AL166" s="675" t="s">
        <v>32</v>
      </c>
      <c r="AM166" s="675">
        <v>0</v>
      </c>
      <c r="AN166" s="675">
        <v>0</v>
      </c>
      <c r="AO166" s="675">
        <v>0</v>
      </c>
      <c r="AP166" s="675">
        <v>0</v>
      </c>
      <c r="AQ166" s="675">
        <v>0</v>
      </c>
      <c r="AR166" s="675">
        <v>0</v>
      </c>
      <c r="AS166" s="675">
        <v>0</v>
      </c>
      <c r="AT166" s="675">
        <v>0</v>
      </c>
      <c r="AU166" s="675">
        <v>0</v>
      </c>
      <c r="AV166" s="675">
        <v>0</v>
      </c>
      <c r="AW166" s="675">
        <v>4177405</v>
      </c>
      <c r="AX166" s="675">
        <v>4101920</v>
      </c>
      <c r="AY166" s="675">
        <v>2834218</v>
      </c>
      <c r="AZ166" s="675">
        <v>181378</v>
      </c>
      <c r="BA166" s="675">
        <v>0</v>
      </c>
      <c r="BB166" s="675">
        <v>0</v>
      </c>
      <c r="BC166" s="675">
        <v>0</v>
      </c>
      <c r="BD166" s="675">
        <v>0</v>
      </c>
      <c r="BE166" s="675">
        <v>0</v>
      </c>
      <c r="BF166" s="675">
        <v>3814973</v>
      </c>
      <c r="BG166" s="675">
        <v>0</v>
      </c>
      <c r="BH166" s="675">
        <v>0</v>
      </c>
      <c r="BI166" s="675">
        <v>0</v>
      </c>
      <c r="BJ166" s="675">
        <v>12</v>
      </c>
      <c r="BK166" s="675">
        <v>0</v>
      </c>
      <c r="BL166" s="675">
        <v>0</v>
      </c>
      <c r="BM166" s="675">
        <v>0</v>
      </c>
      <c r="BN166" s="675">
        <v>0</v>
      </c>
      <c r="BO166" s="675">
        <v>0</v>
      </c>
      <c r="BP166" s="675">
        <v>0</v>
      </c>
      <c r="BQ166" s="675">
        <v>706</v>
      </c>
      <c r="BR166" s="675">
        <v>0</v>
      </c>
      <c r="BS166" s="675">
        <v>0</v>
      </c>
      <c r="BT166" s="675">
        <v>0</v>
      </c>
      <c r="BU166" s="675">
        <v>0</v>
      </c>
      <c r="BV166" s="675">
        <v>0</v>
      </c>
      <c r="BW166" s="675">
        <v>0</v>
      </c>
      <c r="BX166" s="675">
        <v>0</v>
      </c>
      <c r="BY166" s="675">
        <v>0</v>
      </c>
      <c r="BZ166" s="675">
        <v>0</v>
      </c>
      <c r="CA166" s="675">
        <v>0</v>
      </c>
      <c r="CB166" s="675">
        <v>0</v>
      </c>
      <c r="CC166" s="675">
        <v>0</v>
      </c>
      <c r="CD166" s="675">
        <v>0</v>
      </c>
      <c r="CE166" s="675">
        <v>0</v>
      </c>
      <c r="CF166" s="675">
        <v>0</v>
      </c>
      <c r="CG166" s="675">
        <v>0</v>
      </c>
      <c r="CH166" s="675">
        <v>76346</v>
      </c>
      <c r="CI166" s="675">
        <v>0</v>
      </c>
      <c r="CJ166" s="675">
        <v>4</v>
      </c>
      <c r="CK166" s="675">
        <v>0</v>
      </c>
      <c r="CL166" s="675">
        <v>0</v>
      </c>
      <c r="CM166" s="675">
        <v>0</v>
      </c>
      <c r="CN166" s="675">
        <v>0</v>
      </c>
      <c r="CO166" s="675">
        <v>1</v>
      </c>
      <c r="CP166" s="675">
        <v>0</v>
      </c>
      <c r="CQ166" s="675">
        <v>0</v>
      </c>
      <c r="CR166" s="675">
        <v>450.34500000000003</v>
      </c>
      <c r="CS166" s="675">
        <v>0</v>
      </c>
      <c r="CT166" s="675">
        <v>0</v>
      </c>
      <c r="CU166" s="675">
        <v>0</v>
      </c>
      <c r="CV166" s="675">
        <v>0</v>
      </c>
      <c r="CW166" s="675">
        <v>0</v>
      </c>
      <c r="CX166" s="675">
        <v>0</v>
      </c>
      <c r="CY166" s="675">
        <v>0</v>
      </c>
      <c r="CZ166" s="675">
        <v>0</v>
      </c>
      <c r="DA166" s="675">
        <v>0</v>
      </c>
      <c r="DB166" s="675">
        <v>2543175</v>
      </c>
      <c r="DC166" s="675">
        <v>0</v>
      </c>
      <c r="DD166" s="675">
        <v>0</v>
      </c>
      <c r="DE166" s="675">
        <v>508121</v>
      </c>
      <c r="DF166" s="675">
        <v>508121</v>
      </c>
      <c r="DG166" s="675">
        <v>82.488</v>
      </c>
      <c r="DH166" s="675">
        <v>0</v>
      </c>
      <c r="DI166" s="675">
        <v>0</v>
      </c>
      <c r="DJ166" s="675">
        <v>0</v>
      </c>
      <c r="DK166" s="675">
        <v>2925</v>
      </c>
      <c r="DL166" s="675">
        <v>0</v>
      </c>
      <c r="DM166" s="675">
        <v>226096</v>
      </c>
      <c r="DN166" s="675">
        <v>861</v>
      </c>
      <c r="DO166" s="675">
        <v>0</v>
      </c>
      <c r="DP166" s="675">
        <v>0</v>
      </c>
      <c r="DQ166" s="675">
        <v>0</v>
      </c>
      <c r="DR166" s="675">
        <v>0</v>
      </c>
      <c r="DS166" s="675">
        <v>0</v>
      </c>
      <c r="DT166" s="675">
        <v>0</v>
      </c>
      <c r="DU166" s="675">
        <v>0</v>
      </c>
      <c r="DV166" s="675">
        <v>0</v>
      </c>
      <c r="DW166" s="675">
        <v>0</v>
      </c>
      <c r="DX166" s="675">
        <v>0</v>
      </c>
      <c r="DY166" s="675">
        <v>0</v>
      </c>
      <c r="DZ166" s="675">
        <v>0</v>
      </c>
      <c r="EA166" s="675">
        <v>0</v>
      </c>
      <c r="EB166" s="675">
        <v>0</v>
      </c>
      <c r="EC166" s="675">
        <v>18.833000000000002</v>
      </c>
      <c r="ED166" s="675">
        <v>133412</v>
      </c>
      <c r="EE166" s="675">
        <v>0</v>
      </c>
      <c r="EF166" s="675">
        <v>0</v>
      </c>
      <c r="EG166" s="675">
        <v>0</v>
      </c>
      <c r="EH166" s="675">
        <v>93545</v>
      </c>
      <c r="EI166" s="675">
        <v>0</v>
      </c>
      <c r="EJ166" s="675">
        <v>0</v>
      </c>
      <c r="EK166" s="675">
        <v>4.6020000000000003</v>
      </c>
      <c r="EL166" s="675">
        <v>0</v>
      </c>
      <c r="EM166" s="675">
        <v>0</v>
      </c>
      <c r="EN166" s="675">
        <v>0.27600000000000002</v>
      </c>
      <c r="EO166" s="675">
        <v>0</v>
      </c>
      <c r="EP166" s="675">
        <v>0</v>
      </c>
      <c r="EQ166" s="675">
        <v>4.8780000000000001</v>
      </c>
      <c r="ER166" s="675">
        <v>0</v>
      </c>
      <c r="ES166" s="675">
        <v>15.186</v>
      </c>
      <c r="ET166" s="675">
        <v>0</v>
      </c>
      <c r="EU166" s="675">
        <v>0</v>
      </c>
      <c r="EV166" s="675">
        <v>0</v>
      </c>
      <c r="EW166" s="675">
        <v>0</v>
      </c>
      <c r="EX166" s="675">
        <v>0</v>
      </c>
      <c r="EY166" s="675">
        <v>0</v>
      </c>
      <c r="EZ166" s="675">
        <v>3633595</v>
      </c>
      <c r="FA166" s="675">
        <v>0</v>
      </c>
      <c r="FB166" s="675">
        <v>3814112</v>
      </c>
      <c r="FC166" s="675">
        <v>0</v>
      </c>
      <c r="FD166" s="675">
        <v>0</v>
      </c>
      <c r="FE166" s="675">
        <v>388061</v>
      </c>
      <c r="FF166" s="675">
        <v>80264</v>
      </c>
      <c r="FG166" s="675">
        <v>6.3574999999999993E-2</v>
      </c>
      <c r="FH166" s="675">
        <v>2.6298999999999999E-2</v>
      </c>
      <c r="FI166" s="675">
        <v>0</v>
      </c>
      <c r="FJ166" s="675">
        <v>0</v>
      </c>
      <c r="FK166" s="675">
        <v>619.31700000000001</v>
      </c>
      <c r="FL166" s="675">
        <v>4358783</v>
      </c>
      <c r="FM166" s="675">
        <v>0</v>
      </c>
      <c r="FN166" s="675">
        <v>0</v>
      </c>
      <c r="FO166" s="675">
        <v>0</v>
      </c>
      <c r="FP166" s="675">
        <v>0</v>
      </c>
      <c r="FQ166" s="675">
        <v>0</v>
      </c>
      <c r="FR166" s="675">
        <v>0</v>
      </c>
      <c r="FS166" s="675">
        <v>0</v>
      </c>
      <c r="FT166" s="675">
        <v>0</v>
      </c>
      <c r="FU166" s="675">
        <v>0</v>
      </c>
      <c r="FV166" s="675">
        <v>0</v>
      </c>
      <c r="FW166" s="675">
        <v>0</v>
      </c>
      <c r="FX166" s="675">
        <v>0</v>
      </c>
      <c r="FY166" s="675">
        <v>0</v>
      </c>
      <c r="FZ166" s="675">
        <v>0</v>
      </c>
      <c r="GA166" s="675">
        <v>0</v>
      </c>
      <c r="GB166" s="675">
        <v>0</v>
      </c>
      <c r="GC166" s="675">
        <v>0</v>
      </c>
      <c r="GD166" s="675">
        <v>0</v>
      </c>
      <c r="GE166" s="675">
        <v>0</v>
      </c>
      <c r="GF166" s="675">
        <v>0</v>
      </c>
      <c r="GG166" s="675">
        <v>0</v>
      </c>
      <c r="GH166" s="675">
        <v>0</v>
      </c>
      <c r="GI166" s="675">
        <v>0</v>
      </c>
      <c r="GJ166" s="675">
        <v>0</v>
      </c>
      <c r="GK166" s="675">
        <v>0</v>
      </c>
      <c r="GL166" s="675">
        <v>0</v>
      </c>
      <c r="GM166" s="675">
        <v>0</v>
      </c>
      <c r="GN166" s="675">
        <v>0</v>
      </c>
      <c r="GO166" s="675">
        <v>0</v>
      </c>
      <c r="GP166" s="675">
        <v>0</v>
      </c>
      <c r="GQ166" s="675">
        <v>0</v>
      </c>
      <c r="GR166" s="675">
        <v>0</v>
      </c>
      <c r="GS166" s="675">
        <v>0</v>
      </c>
      <c r="GT166" s="675">
        <v>0</v>
      </c>
      <c r="GU166" s="675">
        <v>0</v>
      </c>
      <c r="GV166" s="675">
        <v>0</v>
      </c>
      <c r="GW166" s="675">
        <v>0</v>
      </c>
      <c r="GX166" s="675">
        <v>0</v>
      </c>
      <c r="GY166" s="675">
        <v>0</v>
      </c>
      <c r="GZ166" s="675">
        <v>0</v>
      </c>
      <c r="HA166" s="675">
        <v>0</v>
      </c>
      <c r="HB166" s="675">
        <v>298386780</v>
      </c>
      <c r="HC166" s="675">
        <v>4.5690999999999996E-2</v>
      </c>
      <c r="HD166" s="675">
        <v>76346</v>
      </c>
      <c r="HE166" s="675">
        <v>0</v>
      </c>
      <c r="HF166" s="675">
        <v>454141</v>
      </c>
      <c r="HG166" s="675">
        <v>0</v>
      </c>
      <c r="HH166" s="675">
        <v>78519</v>
      </c>
      <c r="HI166" s="675">
        <v>0</v>
      </c>
      <c r="HJ166" s="675">
        <v>4060</v>
      </c>
      <c r="HK166" s="675">
        <v>0</v>
      </c>
      <c r="HL166" s="675">
        <v>0</v>
      </c>
      <c r="HM166" s="675">
        <v>0</v>
      </c>
      <c r="HN166" s="675">
        <v>0</v>
      </c>
      <c r="HO166" s="675">
        <v>0</v>
      </c>
      <c r="HP166" s="675">
        <v>0</v>
      </c>
      <c r="HQ166" s="675">
        <v>0</v>
      </c>
      <c r="HR166" s="675">
        <v>0</v>
      </c>
      <c r="HS166" s="675">
        <v>3632734</v>
      </c>
      <c r="HT166" s="675">
        <v>80264</v>
      </c>
      <c r="HU166" s="675">
        <v>0</v>
      </c>
      <c r="HV166" s="675">
        <v>0</v>
      </c>
      <c r="HW166" s="675">
        <v>0</v>
      </c>
      <c r="HX166" s="675">
        <v>46</v>
      </c>
      <c r="HY166" s="675">
        <v>51</v>
      </c>
      <c r="HZ166" s="675">
        <v>79</v>
      </c>
      <c r="IA166" s="675">
        <v>56</v>
      </c>
      <c r="IB166" s="675">
        <v>93</v>
      </c>
      <c r="IC166" s="675">
        <v>325</v>
      </c>
      <c r="ID166" s="675">
        <v>0</v>
      </c>
      <c r="IE166" s="675">
        <v>0</v>
      </c>
      <c r="IF166" s="675">
        <v>0</v>
      </c>
      <c r="IG166" s="675">
        <v>0</v>
      </c>
      <c r="IH166" s="675">
        <v>127.46700000000001</v>
      </c>
      <c r="II166" s="675">
        <v>0</v>
      </c>
      <c r="IJ166" s="675">
        <v>0</v>
      </c>
      <c r="IK166" s="675">
        <v>0</v>
      </c>
      <c r="IL166" s="675">
        <v>0</v>
      </c>
      <c r="IM166" s="675">
        <v>0</v>
      </c>
      <c r="IN166" s="675">
        <v>0</v>
      </c>
      <c r="IO166" s="675">
        <v>0</v>
      </c>
      <c r="IP166" s="675">
        <v>0</v>
      </c>
      <c r="IQ166" s="675">
        <v>0</v>
      </c>
      <c r="IR166" s="675">
        <v>0</v>
      </c>
      <c r="IS166" s="675">
        <v>0</v>
      </c>
      <c r="IT166" s="675">
        <v>0</v>
      </c>
      <c r="IU166" s="675">
        <v>0</v>
      </c>
      <c r="IV166" s="675">
        <v>0</v>
      </c>
      <c r="IW166" s="675">
        <v>6160</v>
      </c>
      <c r="IX166" s="675">
        <v>0</v>
      </c>
      <c r="IY166" s="675">
        <v>0</v>
      </c>
      <c r="IZ166" s="675">
        <v>0</v>
      </c>
      <c r="JA166" s="675">
        <v>0</v>
      </c>
      <c r="JB166" s="675">
        <v>0</v>
      </c>
      <c r="JC166" s="675">
        <v>0</v>
      </c>
      <c r="JD166" s="675">
        <v>0</v>
      </c>
      <c r="JE166" s="675">
        <v>0</v>
      </c>
      <c r="JF166" s="675">
        <v>0</v>
      </c>
      <c r="JG166" s="675">
        <v>0</v>
      </c>
      <c r="JH166" s="675">
        <v>0</v>
      </c>
      <c r="JI166" s="675">
        <v>0</v>
      </c>
      <c r="JJ166" s="675">
        <v>0</v>
      </c>
      <c r="JK166" s="675">
        <v>0</v>
      </c>
      <c r="JL166" s="675">
        <v>0</v>
      </c>
      <c r="JM166" s="675">
        <v>0</v>
      </c>
      <c r="JN166" s="675">
        <v>32469</v>
      </c>
      <c r="JO166" s="675">
        <v>0</v>
      </c>
      <c r="JP166" s="675">
        <v>0</v>
      </c>
      <c r="JQ166" s="675">
        <v>0</v>
      </c>
      <c r="JR166" s="675">
        <v>0</v>
      </c>
      <c r="JS166" s="675">
        <v>0</v>
      </c>
      <c r="JT166" s="675">
        <v>0</v>
      </c>
      <c r="JU166" s="675">
        <v>0</v>
      </c>
      <c r="JV166" s="675">
        <v>0</v>
      </c>
      <c r="JW166" s="675">
        <v>0</v>
      </c>
      <c r="JX166" s="675">
        <v>0</v>
      </c>
      <c r="JY166" s="675">
        <v>0</v>
      </c>
      <c r="JZ166" s="675">
        <v>0</v>
      </c>
      <c r="KA166" s="675">
        <v>0</v>
      </c>
      <c r="KB166" s="675">
        <v>0</v>
      </c>
      <c r="KC166" s="675">
        <v>0</v>
      </c>
      <c r="KD166" s="675">
        <v>0</v>
      </c>
      <c r="KE166" s="675">
        <v>7260</v>
      </c>
      <c r="KF166" s="675">
        <v>0</v>
      </c>
      <c r="KG166" s="675">
        <v>0</v>
      </c>
      <c r="KH166" s="675">
        <v>0</v>
      </c>
      <c r="KI166" s="675">
        <v>0</v>
      </c>
    </row>
    <row r="167" spans="1:295" ht="12.5" x14ac:dyDescent="0.25">
      <c r="A167" s="675">
        <v>35795</v>
      </c>
      <c r="B167" s="675">
        <v>57848</v>
      </c>
      <c r="C167" s="675">
        <v>9</v>
      </c>
      <c r="D167" s="675">
        <v>2022</v>
      </c>
      <c r="E167" s="675">
        <v>6160</v>
      </c>
      <c r="F167" s="675">
        <v>0</v>
      </c>
      <c r="G167" s="675">
        <v>18872.133000000002</v>
      </c>
      <c r="H167" s="675">
        <v>17451.240000000002</v>
      </c>
      <c r="I167" s="675">
        <v>17451.240000000002</v>
      </c>
      <c r="J167" s="675">
        <v>18872.133000000002</v>
      </c>
      <c r="K167" s="675">
        <v>0</v>
      </c>
      <c r="L167" s="675">
        <v>6160</v>
      </c>
      <c r="M167" s="675">
        <v>0</v>
      </c>
      <c r="N167" s="675">
        <v>0</v>
      </c>
      <c r="O167" s="675">
        <v>0</v>
      </c>
      <c r="P167" s="675">
        <v>19751.718000000001</v>
      </c>
      <c r="Q167" s="675">
        <v>0</v>
      </c>
      <c r="R167" s="675">
        <v>7948644</v>
      </c>
      <c r="S167" s="675">
        <v>402.428</v>
      </c>
      <c r="T167" s="675">
        <v>0</v>
      </c>
      <c r="U167" s="675">
        <v>4226892</v>
      </c>
      <c r="V167" s="675">
        <v>6589.2170000000006</v>
      </c>
      <c r="W167" s="675">
        <v>4343827</v>
      </c>
      <c r="X167" s="675">
        <v>4343827</v>
      </c>
      <c r="Y167" s="675">
        <v>0</v>
      </c>
      <c r="Z167" s="675">
        <v>0</v>
      </c>
      <c r="AA167" s="675">
        <v>0</v>
      </c>
      <c r="AB167" s="675">
        <v>0</v>
      </c>
      <c r="AC167" s="675">
        <v>0</v>
      </c>
      <c r="AD167" s="675" t="s">
        <v>316</v>
      </c>
      <c r="AE167" s="675">
        <v>0</v>
      </c>
      <c r="AF167" s="675">
        <v>0</v>
      </c>
      <c r="AG167" s="675">
        <v>0</v>
      </c>
      <c r="AH167" s="675">
        <v>0</v>
      </c>
      <c r="AI167" s="675">
        <v>0</v>
      </c>
      <c r="AJ167" s="675">
        <v>6160</v>
      </c>
      <c r="AK167" s="675" t="s">
        <v>671</v>
      </c>
      <c r="AL167" s="675" t="s">
        <v>464</v>
      </c>
      <c r="AM167" s="675">
        <v>0</v>
      </c>
      <c r="AN167" s="675">
        <v>0</v>
      </c>
      <c r="AO167" s="675">
        <v>0</v>
      </c>
      <c r="AP167" s="675">
        <v>0</v>
      </c>
      <c r="AQ167" s="675">
        <v>0</v>
      </c>
      <c r="AR167" s="675">
        <v>0</v>
      </c>
      <c r="AS167" s="675">
        <v>0</v>
      </c>
      <c r="AT167" s="675">
        <v>0</v>
      </c>
      <c r="AU167" s="675">
        <v>0</v>
      </c>
      <c r="AV167" s="675">
        <v>-346</v>
      </c>
      <c r="AW167" s="675">
        <v>191376439</v>
      </c>
      <c r="AX167" s="675">
        <v>187960367</v>
      </c>
      <c r="AY167" s="675">
        <v>129490854</v>
      </c>
      <c r="AZ167" s="675">
        <v>7948644</v>
      </c>
      <c r="BA167" s="675">
        <v>0</v>
      </c>
      <c r="BB167" s="675">
        <v>406881</v>
      </c>
      <c r="BC167" s="675">
        <v>404255</v>
      </c>
      <c r="BD167" s="675">
        <v>943.60700000000008</v>
      </c>
      <c r="BE167" s="675">
        <v>2626</v>
      </c>
      <c r="BF167" s="675">
        <v>174009129</v>
      </c>
      <c r="BG167" s="675">
        <v>0</v>
      </c>
      <c r="BH167" s="675">
        <v>0</v>
      </c>
      <c r="BI167" s="675">
        <v>0</v>
      </c>
      <c r="BJ167" s="675">
        <v>12</v>
      </c>
      <c r="BK167" s="675">
        <v>0</v>
      </c>
      <c r="BL167" s="675">
        <v>0</v>
      </c>
      <c r="BM167" s="675">
        <v>0</v>
      </c>
      <c r="BN167" s="675">
        <v>0</v>
      </c>
      <c r="BO167" s="675">
        <v>0</v>
      </c>
      <c r="BP167" s="675">
        <v>0</v>
      </c>
      <c r="BQ167" s="675">
        <v>0</v>
      </c>
      <c r="BR167" s="675">
        <v>0</v>
      </c>
      <c r="BS167" s="675">
        <v>0</v>
      </c>
      <c r="BT167" s="675">
        <v>0</v>
      </c>
      <c r="BU167" s="675">
        <v>0</v>
      </c>
      <c r="BV167" s="675">
        <v>0</v>
      </c>
      <c r="BW167" s="675">
        <v>0</v>
      </c>
      <c r="BX167" s="675">
        <v>0</v>
      </c>
      <c r="BY167" s="675">
        <v>0</v>
      </c>
      <c r="BZ167" s="675">
        <v>0</v>
      </c>
      <c r="CA167" s="675">
        <v>537.90899999999999</v>
      </c>
      <c r="CB167" s="675">
        <v>458714</v>
      </c>
      <c r="CC167" s="675">
        <v>0</v>
      </c>
      <c r="CD167" s="675">
        <v>0</v>
      </c>
      <c r="CE167" s="675">
        <v>0</v>
      </c>
      <c r="CF167" s="675">
        <v>0</v>
      </c>
      <c r="CG167" s="675">
        <v>0</v>
      </c>
      <c r="CH167" s="675">
        <v>3449122</v>
      </c>
      <c r="CI167" s="675">
        <v>0</v>
      </c>
      <c r="CJ167" s="675">
        <v>4</v>
      </c>
      <c r="CK167" s="675">
        <v>0</v>
      </c>
      <c r="CL167" s="675">
        <v>0</v>
      </c>
      <c r="CM167" s="675">
        <v>0</v>
      </c>
      <c r="CN167" s="675">
        <v>0</v>
      </c>
      <c r="CO167" s="675">
        <v>1</v>
      </c>
      <c r="CP167" s="675">
        <v>0.63900000000000001</v>
      </c>
      <c r="CQ167" s="675">
        <v>0</v>
      </c>
      <c r="CR167" s="675">
        <v>19932.914000000001</v>
      </c>
      <c r="CS167" s="675">
        <v>0</v>
      </c>
      <c r="CT167" s="675">
        <v>0</v>
      </c>
      <c r="CU167" s="675">
        <v>0</v>
      </c>
      <c r="CV167" s="675">
        <v>0</v>
      </c>
      <c r="CW167" s="675">
        <v>0</v>
      </c>
      <c r="CX167" s="675">
        <v>0</v>
      </c>
      <c r="CY167" s="675">
        <v>0</v>
      </c>
      <c r="CZ167" s="675">
        <v>0</v>
      </c>
      <c r="DA167" s="675">
        <v>0</v>
      </c>
      <c r="DB167" s="675">
        <v>107499140</v>
      </c>
      <c r="DC167" s="675">
        <v>0</v>
      </c>
      <c r="DD167" s="675">
        <v>0</v>
      </c>
      <c r="DE167" s="675">
        <v>19356247</v>
      </c>
      <c r="DF167" s="675">
        <v>19365733</v>
      </c>
      <c r="DG167" s="675">
        <v>3142.2630000000004</v>
      </c>
      <c r="DH167" s="675">
        <v>0</v>
      </c>
      <c r="DI167" s="675">
        <v>9486</v>
      </c>
      <c r="DJ167" s="675">
        <v>0</v>
      </c>
      <c r="DK167" s="675">
        <v>0</v>
      </c>
      <c r="DL167" s="675">
        <v>0</v>
      </c>
      <c r="DM167" s="675">
        <v>7987398</v>
      </c>
      <c r="DN167" s="675">
        <v>30424</v>
      </c>
      <c r="DO167" s="675">
        <v>0</v>
      </c>
      <c r="DP167" s="675">
        <v>0</v>
      </c>
      <c r="DQ167" s="675">
        <v>0</v>
      </c>
      <c r="DR167" s="675">
        <v>0</v>
      </c>
      <c r="DS167" s="675">
        <v>0</v>
      </c>
      <c r="DT167" s="675">
        <v>0</v>
      </c>
      <c r="DU167" s="675">
        <v>0</v>
      </c>
      <c r="DV167" s="675">
        <v>0</v>
      </c>
      <c r="DW167" s="675">
        <v>0</v>
      </c>
      <c r="DX167" s="675">
        <v>0</v>
      </c>
      <c r="DY167" s="675">
        <v>0</v>
      </c>
      <c r="DZ167" s="675">
        <v>0</v>
      </c>
      <c r="EA167" s="675">
        <v>0.10400000000000001</v>
      </c>
      <c r="EB167" s="675">
        <v>0</v>
      </c>
      <c r="EC167" s="675">
        <v>264.483</v>
      </c>
      <c r="ED167" s="675">
        <v>1873589</v>
      </c>
      <c r="EE167" s="675">
        <v>0</v>
      </c>
      <c r="EF167" s="675">
        <v>0</v>
      </c>
      <c r="EG167" s="675">
        <v>0</v>
      </c>
      <c r="EH167" s="675">
        <v>6144233</v>
      </c>
      <c r="EI167" s="675">
        <v>0</v>
      </c>
      <c r="EJ167" s="675">
        <v>0</v>
      </c>
      <c r="EK167" s="675">
        <v>241.821</v>
      </c>
      <c r="EL167" s="675">
        <v>0</v>
      </c>
      <c r="EM167" s="675">
        <v>45.829000000000001</v>
      </c>
      <c r="EN167" s="675">
        <v>26.795000000000002</v>
      </c>
      <c r="EO167" s="675">
        <v>0</v>
      </c>
      <c r="EP167" s="675">
        <v>0</v>
      </c>
      <c r="EQ167" s="675">
        <v>314.54900000000004</v>
      </c>
      <c r="ER167" s="675">
        <v>0</v>
      </c>
      <c r="ES167" s="675">
        <v>997.44500000000005</v>
      </c>
      <c r="ET167" s="675">
        <v>0</v>
      </c>
      <c r="EU167" s="675">
        <v>0</v>
      </c>
      <c r="EV167" s="675">
        <v>0</v>
      </c>
      <c r="EW167" s="675">
        <v>0</v>
      </c>
      <c r="EX167" s="675">
        <v>0</v>
      </c>
      <c r="EY167" s="675">
        <v>0</v>
      </c>
      <c r="EZ167" s="675">
        <v>166599046</v>
      </c>
      <c r="FA167" s="675">
        <v>0</v>
      </c>
      <c r="FB167" s="675">
        <v>174514640</v>
      </c>
      <c r="FC167" s="675">
        <v>0</v>
      </c>
      <c r="FD167" s="675">
        <v>0</v>
      </c>
      <c r="FE167" s="675">
        <v>17700291</v>
      </c>
      <c r="FF167" s="675">
        <v>3661030</v>
      </c>
      <c r="FG167" s="675">
        <v>6.3574999999999993E-2</v>
      </c>
      <c r="FH167" s="675">
        <v>2.6298999999999999E-2</v>
      </c>
      <c r="FI167" s="675">
        <v>0</v>
      </c>
      <c r="FJ167" s="675">
        <v>0</v>
      </c>
      <c r="FK167" s="675">
        <v>28248.366000000002</v>
      </c>
      <c r="FL167" s="675">
        <v>199325083</v>
      </c>
      <c r="FM167" s="675">
        <v>0</v>
      </c>
      <c r="FN167" s="675">
        <v>0</v>
      </c>
      <c r="FO167" s="675">
        <v>22392</v>
      </c>
      <c r="FP167" s="675">
        <v>0</v>
      </c>
      <c r="FQ167" s="675">
        <v>22392</v>
      </c>
      <c r="FR167" s="675">
        <v>22392</v>
      </c>
      <c r="FS167" s="675">
        <v>0</v>
      </c>
      <c r="FT167" s="675">
        <v>0</v>
      </c>
      <c r="FU167" s="675">
        <v>0.4</v>
      </c>
      <c r="FV167" s="675">
        <v>0</v>
      </c>
      <c r="FW167" s="675">
        <v>0</v>
      </c>
      <c r="FX167" s="675">
        <v>0</v>
      </c>
      <c r="FY167" s="675">
        <v>0</v>
      </c>
      <c r="FZ167" s="675">
        <v>0</v>
      </c>
      <c r="GA167" s="675">
        <v>0</v>
      </c>
      <c r="GB167" s="675">
        <v>10757288</v>
      </c>
      <c r="GC167" s="675">
        <v>10757288</v>
      </c>
      <c r="GD167" s="675">
        <v>1106.3440000000001</v>
      </c>
      <c r="GE167" s="675">
        <v>0</v>
      </c>
      <c r="GF167" s="675">
        <v>0</v>
      </c>
      <c r="GG167" s="675">
        <v>0</v>
      </c>
      <c r="GH167" s="675">
        <v>0</v>
      </c>
      <c r="GI167" s="675">
        <v>0</v>
      </c>
      <c r="GJ167" s="675">
        <v>0</v>
      </c>
      <c r="GK167" s="675">
        <v>0</v>
      </c>
      <c r="GL167" s="675">
        <v>0</v>
      </c>
      <c r="GM167" s="675">
        <v>0</v>
      </c>
      <c r="GN167" s="675">
        <v>0</v>
      </c>
      <c r="GO167" s="675">
        <v>0</v>
      </c>
      <c r="GP167" s="675">
        <v>0</v>
      </c>
      <c r="GQ167" s="675">
        <v>0</v>
      </c>
      <c r="GR167" s="675">
        <v>0</v>
      </c>
      <c r="GS167" s="675">
        <v>0</v>
      </c>
      <c r="GT167" s="675">
        <v>0</v>
      </c>
      <c r="GU167" s="675">
        <v>0</v>
      </c>
      <c r="GV167" s="675">
        <v>0</v>
      </c>
      <c r="GW167" s="675">
        <v>0</v>
      </c>
      <c r="GX167" s="675">
        <v>0</v>
      </c>
      <c r="GY167" s="675">
        <v>0</v>
      </c>
      <c r="GZ167" s="675">
        <v>0</v>
      </c>
      <c r="HA167" s="675">
        <v>0</v>
      </c>
      <c r="HB167" s="675">
        <v>298386780</v>
      </c>
      <c r="HC167" s="675">
        <v>4.5690999999999996E-2</v>
      </c>
      <c r="HD167" s="675">
        <v>3449122</v>
      </c>
      <c r="HE167" s="675">
        <v>0</v>
      </c>
      <c r="HF167" s="675">
        <v>19196364</v>
      </c>
      <c r="HG167" s="675">
        <v>153999</v>
      </c>
      <c r="HH167" s="675">
        <v>3599487</v>
      </c>
      <c r="HI167" s="675">
        <v>0</v>
      </c>
      <c r="HJ167" s="675">
        <v>183437</v>
      </c>
      <c r="HK167" s="675">
        <v>38880</v>
      </c>
      <c r="HL167" s="675">
        <v>18575</v>
      </c>
      <c r="HM167" s="675">
        <v>227000</v>
      </c>
      <c r="HN167" s="675">
        <v>258151</v>
      </c>
      <c r="HO167" s="675">
        <v>0</v>
      </c>
      <c r="HP167" s="675">
        <v>0</v>
      </c>
      <c r="HQ167" s="675">
        <v>0</v>
      </c>
      <c r="HR167" s="675">
        <v>0</v>
      </c>
      <c r="HS167" s="675">
        <v>166565996</v>
      </c>
      <c r="HT167" s="675">
        <v>3661030</v>
      </c>
      <c r="HU167" s="675">
        <v>0</v>
      </c>
      <c r="HV167" s="675">
        <v>0</v>
      </c>
      <c r="HW167" s="675">
        <v>0</v>
      </c>
      <c r="HX167" s="675">
        <v>2635</v>
      </c>
      <c r="HY167" s="675">
        <v>2827</v>
      </c>
      <c r="HZ167" s="675">
        <v>2597</v>
      </c>
      <c r="IA167" s="675">
        <v>2308</v>
      </c>
      <c r="IB167" s="675">
        <v>2265</v>
      </c>
      <c r="IC167" s="675">
        <v>12632</v>
      </c>
      <c r="ID167" s="675">
        <v>0</v>
      </c>
      <c r="IE167" s="675">
        <v>180.03300000000002</v>
      </c>
      <c r="IF167" s="675">
        <v>384.86700000000002</v>
      </c>
      <c r="IG167" s="675">
        <v>250</v>
      </c>
      <c r="IH167" s="675">
        <v>5843.35</v>
      </c>
      <c r="II167" s="675">
        <v>0</v>
      </c>
      <c r="IJ167" s="675">
        <v>7154.1170000000002</v>
      </c>
      <c r="IK167" s="675">
        <v>0</v>
      </c>
      <c r="IL167" s="675">
        <v>34</v>
      </c>
      <c r="IM167" s="675">
        <v>19</v>
      </c>
      <c r="IN167" s="675">
        <v>0</v>
      </c>
      <c r="IO167" s="675">
        <v>53</v>
      </c>
      <c r="IP167" s="675">
        <v>0</v>
      </c>
      <c r="IQ167" s="675">
        <v>6589.2170000000006</v>
      </c>
      <c r="IR167" s="675">
        <v>4058939</v>
      </c>
      <c r="IS167" s="675">
        <v>0</v>
      </c>
      <c r="IT167" s="675">
        <v>170000</v>
      </c>
      <c r="IU167" s="675">
        <v>57000</v>
      </c>
      <c r="IV167" s="675">
        <v>0</v>
      </c>
      <c r="IW167" s="675">
        <v>6160</v>
      </c>
      <c r="IX167" s="675">
        <v>166350</v>
      </c>
      <c r="IY167" s="675">
        <v>118538</v>
      </c>
      <c r="IZ167" s="675">
        <v>0</v>
      </c>
      <c r="JA167" s="675">
        <v>0</v>
      </c>
      <c r="JB167" s="675">
        <v>9</v>
      </c>
      <c r="JC167" s="675">
        <v>155418</v>
      </c>
      <c r="JD167" s="675">
        <v>7</v>
      </c>
      <c r="JE167" s="675">
        <v>70644</v>
      </c>
      <c r="JF167" s="675">
        <v>7</v>
      </c>
      <c r="JG167" s="675">
        <v>31089</v>
      </c>
      <c r="JH167" s="675">
        <v>1000</v>
      </c>
      <c r="JI167" s="675">
        <v>0</v>
      </c>
      <c r="JJ167" s="675">
        <v>0</v>
      </c>
      <c r="JK167" s="675">
        <v>0</v>
      </c>
      <c r="JL167" s="675">
        <v>0</v>
      </c>
      <c r="JM167" s="675">
        <v>0</v>
      </c>
      <c r="JN167" s="675">
        <v>32469</v>
      </c>
      <c r="JO167" s="675">
        <v>107.07100000000001</v>
      </c>
      <c r="JP167" s="675">
        <v>552.57500000000005</v>
      </c>
      <c r="JQ167" s="675">
        <v>446.69800000000004</v>
      </c>
      <c r="JR167" s="675">
        <v>855069</v>
      </c>
      <c r="JS167" s="675">
        <v>5134969</v>
      </c>
      <c r="JT167" s="675">
        <v>4767250</v>
      </c>
      <c r="JU167" s="675">
        <v>406881</v>
      </c>
      <c r="JV167" s="675">
        <v>0</v>
      </c>
      <c r="JW167" s="675">
        <v>0</v>
      </c>
      <c r="JX167" s="675">
        <v>0</v>
      </c>
      <c r="JY167" s="675">
        <v>0</v>
      </c>
      <c r="JZ167" s="675">
        <v>0</v>
      </c>
      <c r="KA167" s="675">
        <v>0</v>
      </c>
      <c r="KB167" s="675">
        <v>0</v>
      </c>
      <c r="KC167" s="675">
        <v>0</v>
      </c>
      <c r="KD167" s="675">
        <v>406881</v>
      </c>
      <c r="KE167" s="675">
        <v>7260</v>
      </c>
      <c r="KF167" s="675">
        <v>0</v>
      </c>
      <c r="KG167" s="675">
        <v>0</v>
      </c>
      <c r="KH167" s="675">
        <v>0</v>
      </c>
      <c r="KI167" s="675">
        <v>0</v>
      </c>
    </row>
    <row r="168" spans="1:295" ht="12.5" x14ac:dyDescent="0.25">
      <c r="A168" s="675">
        <v>35795</v>
      </c>
      <c r="B168" s="675">
        <v>101849</v>
      </c>
      <c r="C168" s="675">
        <v>9</v>
      </c>
      <c r="D168" s="675">
        <v>2022</v>
      </c>
      <c r="E168" s="675">
        <v>6160</v>
      </c>
      <c r="F168" s="675">
        <v>0</v>
      </c>
      <c r="G168" s="675">
        <v>192.18200000000002</v>
      </c>
      <c r="H168" s="675">
        <v>191.69400000000002</v>
      </c>
      <c r="I168" s="675">
        <v>191.69400000000002</v>
      </c>
      <c r="J168" s="675">
        <v>192.18200000000002</v>
      </c>
      <c r="K168" s="675">
        <v>0</v>
      </c>
      <c r="L168" s="675">
        <v>6160</v>
      </c>
      <c r="M168" s="675">
        <v>0</v>
      </c>
      <c r="N168" s="675">
        <v>0</v>
      </c>
      <c r="O168" s="675">
        <v>0</v>
      </c>
      <c r="P168" s="675">
        <v>216.00800000000001</v>
      </c>
      <c r="Q168" s="675">
        <v>0</v>
      </c>
      <c r="R168" s="675">
        <v>86928</v>
      </c>
      <c r="S168" s="675">
        <v>402.428</v>
      </c>
      <c r="T168" s="675">
        <v>0</v>
      </c>
      <c r="U168" s="675">
        <v>46226</v>
      </c>
      <c r="V168" s="675">
        <v>66.206000000000003</v>
      </c>
      <c r="W168" s="675">
        <v>40783</v>
      </c>
      <c r="X168" s="675">
        <v>40783</v>
      </c>
      <c r="Y168" s="675">
        <v>0</v>
      </c>
      <c r="Z168" s="675">
        <v>0</v>
      </c>
      <c r="AA168" s="675">
        <v>0</v>
      </c>
      <c r="AB168" s="675">
        <v>0</v>
      </c>
      <c r="AC168" s="675">
        <v>0</v>
      </c>
      <c r="AD168" s="675" t="s">
        <v>316</v>
      </c>
      <c r="AE168" s="675">
        <v>0</v>
      </c>
      <c r="AF168" s="675">
        <v>0</v>
      </c>
      <c r="AG168" s="675">
        <v>0</v>
      </c>
      <c r="AH168" s="675">
        <v>0</v>
      </c>
      <c r="AI168" s="675">
        <v>0</v>
      </c>
      <c r="AJ168" s="675">
        <v>6160</v>
      </c>
      <c r="AK168" s="675" t="s">
        <v>671</v>
      </c>
      <c r="AL168" s="675" t="s">
        <v>14</v>
      </c>
      <c r="AM168" s="675">
        <v>0</v>
      </c>
      <c r="AN168" s="675">
        <v>0</v>
      </c>
      <c r="AO168" s="675">
        <v>0</v>
      </c>
      <c r="AP168" s="675">
        <v>0</v>
      </c>
      <c r="AQ168" s="675">
        <v>0</v>
      </c>
      <c r="AR168" s="675">
        <v>0</v>
      </c>
      <c r="AS168" s="675">
        <v>0</v>
      </c>
      <c r="AT168" s="675">
        <v>0</v>
      </c>
      <c r="AU168" s="675">
        <v>0</v>
      </c>
      <c r="AV168" s="675">
        <v>-60815</v>
      </c>
      <c r="AW168" s="675">
        <v>1978690</v>
      </c>
      <c r="AX168" s="675">
        <v>1943612</v>
      </c>
      <c r="AY168" s="675">
        <v>1335363</v>
      </c>
      <c r="AZ168" s="675">
        <v>86928</v>
      </c>
      <c r="BA168" s="675">
        <v>0</v>
      </c>
      <c r="BB168" s="675">
        <v>0</v>
      </c>
      <c r="BC168" s="675">
        <v>0</v>
      </c>
      <c r="BD168" s="675">
        <v>0</v>
      </c>
      <c r="BE168" s="675">
        <v>0</v>
      </c>
      <c r="BF168" s="675">
        <v>1808526</v>
      </c>
      <c r="BG168" s="675">
        <v>0</v>
      </c>
      <c r="BH168" s="675">
        <v>0</v>
      </c>
      <c r="BI168" s="675">
        <v>0</v>
      </c>
      <c r="BJ168" s="675">
        <v>12</v>
      </c>
      <c r="BK168" s="675">
        <v>0</v>
      </c>
      <c r="BL168" s="675">
        <v>0</v>
      </c>
      <c r="BM168" s="675">
        <v>0</v>
      </c>
      <c r="BN168" s="675">
        <v>0</v>
      </c>
      <c r="BO168" s="675">
        <v>0</v>
      </c>
      <c r="BP168" s="675">
        <v>0</v>
      </c>
      <c r="BQ168" s="675">
        <v>740</v>
      </c>
      <c r="BR168" s="675">
        <v>0</v>
      </c>
      <c r="BS168" s="675">
        <v>0</v>
      </c>
      <c r="BT168" s="675">
        <v>0</v>
      </c>
      <c r="BU168" s="675">
        <v>0</v>
      </c>
      <c r="BV168" s="675">
        <v>0</v>
      </c>
      <c r="BW168" s="675">
        <v>0</v>
      </c>
      <c r="BX168" s="675">
        <v>0</v>
      </c>
      <c r="BY168" s="675">
        <v>0</v>
      </c>
      <c r="BZ168" s="675">
        <v>0</v>
      </c>
      <c r="CA168" s="675">
        <v>0</v>
      </c>
      <c r="CB168" s="675">
        <v>0</v>
      </c>
      <c r="CC168" s="675">
        <v>0</v>
      </c>
      <c r="CD168" s="675">
        <v>0</v>
      </c>
      <c r="CE168" s="675">
        <v>0</v>
      </c>
      <c r="CF168" s="675">
        <v>0</v>
      </c>
      <c r="CG168" s="675">
        <v>0</v>
      </c>
      <c r="CH168" s="675">
        <v>35124</v>
      </c>
      <c r="CI168" s="675">
        <v>0</v>
      </c>
      <c r="CJ168" s="675">
        <v>4</v>
      </c>
      <c r="CK168" s="675">
        <v>0</v>
      </c>
      <c r="CL168" s="675">
        <v>0</v>
      </c>
      <c r="CM168" s="675">
        <v>0</v>
      </c>
      <c r="CN168" s="675">
        <v>0</v>
      </c>
      <c r="CO168" s="675">
        <v>1</v>
      </c>
      <c r="CP168" s="675">
        <v>0</v>
      </c>
      <c r="CQ168" s="675">
        <v>0</v>
      </c>
      <c r="CR168" s="675">
        <v>206.471</v>
      </c>
      <c r="CS168" s="675">
        <v>0</v>
      </c>
      <c r="CT168" s="675">
        <v>0</v>
      </c>
      <c r="CU168" s="675">
        <v>0</v>
      </c>
      <c r="CV168" s="675">
        <v>0</v>
      </c>
      <c r="CW168" s="675">
        <v>0</v>
      </c>
      <c r="CX168" s="675">
        <v>0</v>
      </c>
      <c r="CY168" s="675">
        <v>0</v>
      </c>
      <c r="CZ168" s="675">
        <v>0</v>
      </c>
      <c r="DA168" s="675">
        <v>0</v>
      </c>
      <c r="DB168" s="675">
        <v>1161527</v>
      </c>
      <c r="DC168" s="675">
        <v>0</v>
      </c>
      <c r="DD168" s="675">
        <v>0</v>
      </c>
      <c r="DE168" s="675">
        <v>307614</v>
      </c>
      <c r="DF168" s="675">
        <v>307614</v>
      </c>
      <c r="DG168" s="675">
        <v>49.938000000000002</v>
      </c>
      <c r="DH168" s="675">
        <v>0</v>
      </c>
      <c r="DI168" s="675">
        <v>0</v>
      </c>
      <c r="DJ168" s="675">
        <v>0</v>
      </c>
      <c r="DK168" s="675">
        <v>3470</v>
      </c>
      <c r="DL168" s="675">
        <v>0</v>
      </c>
      <c r="DM168" s="675">
        <v>31463</v>
      </c>
      <c r="DN168" s="675">
        <v>46</v>
      </c>
      <c r="DO168" s="675">
        <v>0</v>
      </c>
      <c r="DP168" s="675">
        <v>0</v>
      </c>
      <c r="DQ168" s="675">
        <v>0</v>
      </c>
      <c r="DR168" s="675">
        <v>0</v>
      </c>
      <c r="DS168" s="675">
        <v>0</v>
      </c>
      <c r="DT168" s="675">
        <v>0</v>
      </c>
      <c r="DU168" s="675">
        <v>0</v>
      </c>
      <c r="DV168" s="675">
        <v>0</v>
      </c>
      <c r="DW168" s="675">
        <v>0</v>
      </c>
      <c r="DX168" s="675">
        <v>0</v>
      </c>
      <c r="DY168" s="675">
        <v>0</v>
      </c>
      <c r="DZ168" s="675">
        <v>0</v>
      </c>
      <c r="EA168" s="675">
        <v>0</v>
      </c>
      <c r="EB168" s="675">
        <v>0</v>
      </c>
      <c r="EC168" s="675">
        <v>0.14899999999999999</v>
      </c>
      <c r="ED168" s="675">
        <v>1056</v>
      </c>
      <c r="EE168" s="675">
        <v>0</v>
      </c>
      <c r="EF168" s="675">
        <v>0</v>
      </c>
      <c r="EG168" s="675">
        <v>0</v>
      </c>
      <c r="EH168" s="675">
        <v>11150</v>
      </c>
      <c r="EI168" s="675">
        <v>0</v>
      </c>
      <c r="EJ168" s="675">
        <v>0</v>
      </c>
      <c r="EK168" s="675">
        <v>0.315</v>
      </c>
      <c r="EL168" s="675">
        <v>0</v>
      </c>
      <c r="EM168" s="675">
        <v>0</v>
      </c>
      <c r="EN168" s="675">
        <v>0.17300000000000001</v>
      </c>
      <c r="EO168" s="675">
        <v>0</v>
      </c>
      <c r="EP168" s="675">
        <v>0</v>
      </c>
      <c r="EQ168" s="675">
        <v>0.48800000000000004</v>
      </c>
      <c r="ER168" s="675">
        <v>0</v>
      </c>
      <c r="ES168" s="675">
        <v>1.81</v>
      </c>
      <c r="ET168" s="675">
        <v>0</v>
      </c>
      <c r="EU168" s="675">
        <v>0</v>
      </c>
      <c r="EV168" s="675">
        <v>0</v>
      </c>
      <c r="EW168" s="675">
        <v>0</v>
      </c>
      <c r="EX168" s="675">
        <v>0</v>
      </c>
      <c r="EY168" s="675">
        <v>0</v>
      </c>
      <c r="EZ168" s="675">
        <v>1721598</v>
      </c>
      <c r="FA168" s="675">
        <v>0</v>
      </c>
      <c r="FB168" s="675">
        <v>1808480</v>
      </c>
      <c r="FC168" s="675">
        <v>0</v>
      </c>
      <c r="FD168" s="675">
        <v>0</v>
      </c>
      <c r="FE168" s="675">
        <v>183964</v>
      </c>
      <c r="FF168" s="675">
        <v>38050</v>
      </c>
      <c r="FG168" s="675">
        <v>6.3574999999999993E-2</v>
      </c>
      <c r="FH168" s="675">
        <v>2.6298999999999999E-2</v>
      </c>
      <c r="FI168" s="675">
        <v>0</v>
      </c>
      <c r="FJ168" s="675">
        <v>0</v>
      </c>
      <c r="FK168" s="675">
        <v>293.59300000000002</v>
      </c>
      <c r="FL168" s="675">
        <v>2065618</v>
      </c>
      <c r="FM168" s="675">
        <v>0</v>
      </c>
      <c r="FN168" s="675">
        <v>0</v>
      </c>
      <c r="FO168" s="675">
        <v>0</v>
      </c>
      <c r="FP168" s="675">
        <v>0</v>
      </c>
      <c r="FQ168" s="675">
        <v>0</v>
      </c>
      <c r="FR168" s="675">
        <v>0</v>
      </c>
      <c r="FS168" s="675">
        <v>0</v>
      </c>
      <c r="FT168" s="675">
        <v>0</v>
      </c>
      <c r="FU168" s="675">
        <v>0</v>
      </c>
      <c r="FV168" s="675">
        <v>0</v>
      </c>
      <c r="FW168" s="675">
        <v>0</v>
      </c>
      <c r="FX168" s="675">
        <v>0</v>
      </c>
      <c r="FY168" s="675">
        <v>0</v>
      </c>
      <c r="FZ168" s="675">
        <v>0</v>
      </c>
      <c r="GA168" s="675">
        <v>0</v>
      </c>
      <c r="GB168" s="675">
        <v>0</v>
      </c>
      <c r="GC168" s="675">
        <v>0</v>
      </c>
      <c r="GD168" s="675">
        <v>0</v>
      </c>
      <c r="GE168" s="675">
        <v>0</v>
      </c>
      <c r="GF168" s="675">
        <v>0</v>
      </c>
      <c r="GG168" s="675">
        <v>0</v>
      </c>
      <c r="GH168" s="675">
        <v>0</v>
      </c>
      <c r="GI168" s="675">
        <v>0</v>
      </c>
      <c r="GJ168" s="675">
        <v>0</v>
      </c>
      <c r="GK168" s="675">
        <v>0</v>
      </c>
      <c r="GL168" s="675">
        <v>0</v>
      </c>
      <c r="GM168" s="675">
        <v>0</v>
      </c>
      <c r="GN168" s="675">
        <v>0</v>
      </c>
      <c r="GO168" s="675">
        <v>0</v>
      </c>
      <c r="GP168" s="675">
        <v>0</v>
      </c>
      <c r="GQ168" s="675">
        <v>0</v>
      </c>
      <c r="GR168" s="675">
        <v>0</v>
      </c>
      <c r="GS168" s="675">
        <v>0</v>
      </c>
      <c r="GT168" s="675">
        <v>0</v>
      </c>
      <c r="GU168" s="675">
        <v>0</v>
      </c>
      <c r="GV168" s="675">
        <v>0</v>
      </c>
      <c r="GW168" s="675">
        <v>0</v>
      </c>
      <c r="GX168" s="675">
        <v>0</v>
      </c>
      <c r="GY168" s="675">
        <v>0</v>
      </c>
      <c r="GZ168" s="675">
        <v>0</v>
      </c>
      <c r="HA168" s="675">
        <v>0</v>
      </c>
      <c r="HB168" s="675">
        <v>298386780</v>
      </c>
      <c r="HC168" s="675">
        <v>4.5690999999999996E-2</v>
      </c>
      <c r="HD168" s="675">
        <v>35124</v>
      </c>
      <c r="HE168" s="675">
        <v>0</v>
      </c>
      <c r="HF168" s="675">
        <v>210863</v>
      </c>
      <c r="HG168" s="675">
        <v>0</v>
      </c>
      <c r="HH168" s="675">
        <v>54362</v>
      </c>
      <c r="HI168" s="675">
        <v>0</v>
      </c>
      <c r="HJ168" s="675">
        <v>1868</v>
      </c>
      <c r="HK168" s="675">
        <v>0</v>
      </c>
      <c r="HL168" s="675">
        <v>0</v>
      </c>
      <c r="HM168" s="675">
        <v>0</v>
      </c>
      <c r="HN168" s="675">
        <v>0</v>
      </c>
      <c r="HO168" s="675">
        <v>0</v>
      </c>
      <c r="HP168" s="675">
        <v>0</v>
      </c>
      <c r="HQ168" s="675">
        <v>0</v>
      </c>
      <c r="HR168" s="675">
        <v>0</v>
      </c>
      <c r="HS168" s="675">
        <v>1721552</v>
      </c>
      <c r="HT168" s="675">
        <v>38050</v>
      </c>
      <c r="HU168" s="675">
        <v>0</v>
      </c>
      <c r="HV168" s="675">
        <v>0</v>
      </c>
      <c r="HW168" s="675">
        <v>0</v>
      </c>
      <c r="HX168" s="675">
        <v>25</v>
      </c>
      <c r="HY168" s="675">
        <v>39</v>
      </c>
      <c r="HZ168" s="675">
        <v>72</v>
      </c>
      <c r="IA168" s="675">
        <v>22</v>
      </c>
      <c r="IB168" s="675">
        <v>41</v>
      </c>
      <c r="IC168" s="675">
        <v>199</v>
      </c>
      <c r="ID168" s="675">
        <v>0</v>
      </c>
      <c r="IE168" s="675">
        <v>0</v>
      </c>
      <c r="IF168" s="675">
        <v>0</v>
      </c>
      <c r="IG168" s="675">
        <v>0</v>
      </c>
      <c r="IH168" s="675">
        <v>88.25</v>
      </c>
      <c r="II168" s="675">
        <v>0</v>
      </c>
      <c r="IJ168" s="675">
        <v>66.206000000000003</v>
      </c>
      <c r="IK168" s="675">
        <v>0</v>
      </c>
      <c r="IL168" s="675">
        <v>0</v>
      </c>
      <c r="IM168" s="675">
        <v>0</v>
      </c>
      <c r="IN168" s="675">
        <v>0</v>
      </c>
      <c r="IO168" s="675">
        <v>0</v>
      </c>
      <c r="IP168" s="675">
        <v>0</v>
      </c>
      <c r="IQ168" s="675">
        <v>66.206000000000003</v>
      </c>
      <c r="IR168" s="675">
        <v>40783</v>
      </c>
      <c r="IS168" s="675">
        <v>0</v>
      </c>
      <c r="IT168" s="675">
        <v>0</v>
      </c>
      <c r="IU168" s="675">
        <v>0</v>
      </c>
      <c r="IV168" s="675">
        <v>0</v>
      </c>
      <c r="IW168" s="675">
        <v>6160</v>
      </c>
      <c r="IX168" s="675">
        <v>0</v>
      </c>
      <c r="IY168" s="675">
        <v>0</v>
      </c>
      <c r="IZ168" s="675">
        <v>0</v>
      </c>
      <c r="JA168" s="675">
        <v>0</v>
      </c>
      <c r="JB168" s="675">
        <v>0</v>
      </c>
      <c r="JC168" s="675">
        <v>0</v>
      </c>
      <c r="JD168" s="675">
        <v>0</v>
      </c>
      <c r="JE168" s="675">
        <v>0</v>
      </c>
      <c r="JF168" s="675">
        <v>0</v>
      </c>
      <c r="JG168" s="675">
        <v>0</v>
      </c>
      <c r="JH168" s="675">
        <v>0</v>
      </c>
      <c r="JI168" s="675">
        <v>0</v>
      </c>
      <c r="JJ168" s="675">
        <v>0</v>
      </c>
      <c r="JK168" s="675">
        <v>0</v>
      </c>
      <c r="JL168" s="675">
        <v>0</v>
      </c>
      <c r="JM168" s="675">
        <v>0</v>
      </c>
      <c r="JN168" s="675">
        <v>32469</v>
      </c>
      <c r="JO168" s="675">
        <v>0</v>
      </c>
      <c r="JP168" s="675">
        <v>0</v>
      </c>
      <c r="JQ168" s="675">
        <v>0</v>
      </c>
      <c r="JR168" s="675">
        <v>0</v>
      </c>
      <c r="JS168" s="675">
        <v>0</v>
      </c>
      <c r="JT168" s="675">
        <v>0</v>
      </c>
      <c r="JU168" s="675">
        <v>0</v>
      </c>
      <c r="JV168" s="675">
        <v>0</v>
      </c>
      <c r="JW168" s="675">
        <v>0</v>
      </c>
      <c r="JX168" s="675">
        <v>0</v>
      </c>
      <c r="JY168" s="675">
        <v>0</v>
      </c>
      <c r="JZ168" s="675">
        <v>0</v>
      </c>
      <c r="KA168" s="675">
        <v>0</v>
      </c>
      <c r="KB168" s="675">
        <v>0</v>
      </c>
      <c r="KC168" s="675">
        <v>0</v>
      </c>
      <c r="KD168" s="675">
        <v>0</v>
      </c>
      <c r="KE168" s="675">
        <v>7260</v>
      </c>
      <c r="KF168" s="675">
        <v>0</v>
      </c>
      <c r="KG168" s="675">
        <v>0</v>
      </c>
      <c r="KH168" s="675">
        <v>0</v>
      </c>
      <c r="KI168" s="675">
        <v>0</v>
      </c>
    </row>
    <row r="169" spans="1:295" ht="12.5" x14ac:dyDescent="0.25">
      <c r="A169" s="675">
        <v>35795</v>
      </c>
      <c r="B169" s="675">
        <v>57850</v>
      </c>
      <c r="C169" s="675">
        <v>9</v>
      </c>
      <c r="D169" s="675">
        <v>2022</v>
      </c>
      <c r="E169" s="675">
        <v>6160</v>
      </c>
      <c r="F169" s="675">
        <v>0</v>
      </c>
      <c r="G169" s="675">
        <v>2070.183</v>
      </c>
      <c r="H169" s="675">
        <v>1954.04</v>
      </c>
      <c r="I169" s="675">
        <v>1954.04</v>
      </c>
      <c r="J169" s="675">
        <v>2070.183</v>
      </c>
      <c r="K169" s="675">
        <v>0</v>
      </c>
      <c r="L169" s="675">
        <v>6160</v>
      </c>
      <c r="M169" s="675">
        <v>0</v>
      </c>
      <c r="N169" s="675">
        <v>0</v>
      </c>
      <c r="O169" s="675">
        <v>0</v>
      </c>
      <c r="P169" s="675">
        <v>1621.403</v>
      </c>
      <c r="Q169" s="675">
        <v>0</v>
      </c>
      <c r="R169" s="675">
        <v>652498</v>
      </c>
      <c r="S169" s="675">
        <v>402.428</v>
      </c>
      <c r="T169" s="675">
        <v>0</v>
      </c>
      <c r="U169" s="675">
        <v>346981</v>
      </c>
      <c r="V169" s="675">
        <v>371.21700000000004</v>
      </c>
      <c r="W169" s="675">
        <v>228669</v>
      </c>
      <c r="X169" s="675">
        <v>228669</v>
      </c>
      <c r="Y169" s="675">
        <v>0</v>
      </c>
      <c r="Z169" s="675">
        <v>0</v>
      </c>
      <c r="AA169" s="675">
        <v>0</v>
      </c>
      <c r="AB169" s="675">
        <v>0</v>
      </c>
      <c r="AC169" s="675">
        <v>0</v>
      </c>
      <c r="AD169" s="675" t="s">
        <v>316</v>
      </c>
      <c r="AE169" s="675">
        <v>0</v>
      </c>
      <c r="AF169" s="675">
        <v>0</v>
      </c>
      <c r="AG169" s="675">
        <v>0</v>
      </c>
      <c r="AH169" s="675">
        <v>0</v>
      </c>
      <c r="AI169" s="675">
        <v>0</v>
      </c>
      <c r="AJ169" s="675">
        <v>6160</v>
      </c>
      <c r="AK169" s="675" t="s">
        <v>671</v>
      </c>
      <c r="AL169" s="675" t="s">
        <v>388</v>
      </c>
      <c r="AM169" s="675">
        <v>0</v>
      </c>
      <c r="AN169" s="675">
        <v>0</v>
      </c>
      <c r="AO169" s="675">
        <v>0</v>
      </c>
      <c r="AP169" s="675">
        <v>0</v>
      </c>
      <c r="AQ169" s="675">
        <v>0</v>
      </c>
      <c r="AR169" s="675">
        <v>0</v>
      </c>
      <c r="AS169" s="675">
        <v>0</v>
      </c>
      <c r="AT169" s="675">
        <v>0</v>
      </c>
      <c r="AU169" s="675">
        <v>0</v>
      </c>
      <c r="AV169" s="675">
        <v>-74292</v>
      </c>
      <c r="AW169" s="675">
        <v>20281481</v>
      </c>
      <c r="AX169" s="675">
        <v>19907147</v>
      </c>
      <c r="AY169" s="675">
        <v>13705558</v>
      </c>
      <c r="AZ169" s="675">
        <v>652498</v>
      </c>
      <c r="BA169" s="675">
        <v>0</v>
      </c>
      <c r="BB169" s="675">
        <v>44633</v>
      </c>
      <c r="BC169" s="675">
        <v>44345</v>
      </c>
      <c r="BD169" s="675">
        <v>103.509</v>
      </c>
      <c r="BE169" s="675">
        <v>288</v>
      </c>
      <c r="BF169" s="675">
        <v>18307855</v>
      </c>
      <c r="BG169" s="675">
        <v>0</v>
      </c>
      <c r="BH169" s="675">
        <v>0</v>
      </c>
      <c r="BI169" s="675">
        <v>0</v>
      </c>
      <c r="BJ169" s="675">
        <v>12</v>
      </c>
      <c r="BK169" s="675">
        <v>0</v>
      </c>
      <c r="BL169" s="675">
        <v>0</v>
      </c>
      <c r="BM169" s="675">
        <v>0</v>
      </c>
      <c r="BN169" s="675">
        <v>0</v>
      </c>
      <c r="BO169" s="675">
        <v>0</v>
      </c>
      <c r="BP169" s="675">
        <v>0</v>
      </c>
      <c r="BQ169" s="675">
        <v>469</v>
      </c>
      <c r="BR169" s="675">
        <v>0</v>
      </c>
      <c r="BS169" s="675">
        <v>0</v>
      </c>
      <c r="BT169" s="675">
        <v>0</v>
      </c>
      <c r="BU169" s="675">
        <v>0</v>
      </c>
      <c r="BV169" s="675">
        <v>0</v>
      </c>
      <c r="BW169" s="675">
        <v>0</v>
      </c>
      <c r="BX169" s="675">
        <v>0</v>
      </c>
      <c r="BY169" s="675">
        <v>0</v>
      </c>
      <c r="BZ169" s="675">
        <v>0</v>
      </c>
      <c r="CA169" s="675">
        <v>0</v>
      </c>
      <c r="CB169" s="675">
        <v>0</v>
      </c>
      <c r="CC169" s="675">
        <v>0</v>
      </c>
      <c r="CD169" s="675">
        <v>0</v>
      </c>
      <c r="CE169" s="675">
        <v>0</v>
      </c>
      <c r="CF169" s="675">
        <v>0</v>
      </c>
      <c r="CG169" s="675">
        <v>0</v>
      </c>
      <c r="CH169" s="675">
        <v>378352</v>
      </c>
      <c r="CI169" s="675">
        <v>0</v>
      </c>
      <c r="CJ169" s="675">
        <v>4</v>
      </c>
      <c r="CK169" s="675">
        <v>0</v>
      </c>
      <c r="CL169" s="675">
        <v>0</v>
      </c>
      <c r="CM169" s="675">
        <v>0</v>
      </c>
      <c r="CN169" s="675">
        <v>0</v>
      </c>
      <c r="CO169" s="675">
        <v>1</v>
      </c>
      <c r="CP169" s="675">
        <v>0</v>
      </c>
      <c r="CQ169" s="675">
        <v>0</v>
      </c>
      <c r="CR169" s="675">
        <v>1642.2850000000001</v>
      </c>
      <c r="CS169" s="675">
        <v>0</v>
      </c>
      <c r="CT169" s="675">
        <v>0</v>
      </c>
      <c r="CU169" s="675">
        <v>0</v>
      </c>
      <c r="CV169" s="675">
        <v>0</v>
      </c>
      <c r="CW169" s="675">
        <v>0</v>
      </c>
      <c r="CX169" s="675">
        <v>0</v>
      </c>
      <c r="CY169" s="675">
        <v>0</v>
      </c>
      <c r="CZ169" s="675">
        <v>0</v>
      </c>
      <c r="DA169" s="675">
        <v>0</v>
      </c>
      <c r="DB169" s="675">
        <v>12036831</v>
      </c>
      <c r="DC169" s="675">
        <v>0</v>
      </c>
      <c r="DD169" s="675">
        <v>0</v>
      </c>
      <c r="DE169" s="675">
        <v>1883796</v>
      </c>
      <c r="DF169" s="675">
        <v>1883796</v>
      </c>
      <c r="DG169" s="675">
        <v>305.81299999999999</v>
      </c>
      <c r="DH169" s="675">
        <v>0</v>
      </c>
      <c r="DI169" s="675">
        <v>0</v>
      </c>
      <c r="DJ169" s="675">
        <v>0</v>
      </c>
      <c r="DK169" s="675">
        <v>0</v>
      </c>
      <c r="DL169" s="675">
        <v>0</v>
      </c>
      <c r="DM169" s="675">
        <v>979281</v>
      </c>
      <c r="DN169" s="675">
        <v>3730</v>
      </c>
      <c r="DO169" s="675">
        <v>0</v>
      </c>
      <c r="DP169" s="675">
        <v>0</v>
      </c>
      <c r="DQ169" s="675">
        <v>0</v>
      </c>
      <c r="DR169" s="675">
        <v>0</v>
      </c>
      <c r="DS169" s="675">
        <v>0</v>
      </c>
      <c r="DT169" s="675">
        <v>0</v>
      </c>
      <c r="DU169" s="675">
        <v>0</v>
      </c>
      <c r="DV169" s="675">
        <v>0</v>
      </c>
      <c r="DW169" s="675">
        <v>0</v>
      </c>
      <c r="DX169" s="675">
        <v>0</v>
      </c>
      <c r="DY169" s="675">
        <v>0</v>
      </c>
      <c r="DZ169" s="675">
        <v>0</v>
      </c>
      <c r="EA169" s="675">
        <v>0</v>
      </c>
      <c r="EB169" s="675">
        <v>0</v>
      </c>
      <c r="EC169" s="675">
        <v>97.582999999999998</v>
      </c>
      <c r="ED169" s="675">
        <v>691275</v>
      </c>
      <c r="EE169" s="675">
        <v>0</v>
      </c>
      <c r="EF169" s="675">
        <v>0</v>
      </c>
      <c r="EG169" s="675">
        <v>0</v>
      </c>
      <c r="EH169" s="675">
        <v>291736</v>
      </c>
      <c r="EI169" s="675">
        <v>0</v>
      </c>
      <c r="EJ169" s="675">
        <v>0</v>
      </c>
      <c r="EK169" s="675">
        <v>5.3380000000000001</v>
      </c>
      <c r="EL169" s="675">
        <v>0</v>
      </c>
      <c r="EM169" s="675">
        <v>0.50700000000000001</v>
      </c>
      <c r="EN169" s="675">
        <v>5.9649999999999999</v>
      </c>
      <c r="EO169" s="675">
        <v>0</v>
      </c>
      <c r="EP169" s="675">
        <v>0</v>
      </c>
      <c r="EQ169" s="675">
        <v>11.81</v>
      </c>
      <c r="ER169" s="675">
        <v>0</v>
      </c>
      <c r="ES169" s="675">
        <v>47.36</v>
      </c>
      <c r="ET169" s="675">
        <v>0</v>
      </c>
      <c r="EU169" s="675">
        <v>0</v>
      </c>
      <c r="EV169" s="675">
        <v>0</v>
      </c>
      <c r="EW169" s="675">
        <v>0</v>
      </c>
      <c r="EX169" s="675">
        <v>0</v>
      </c>
      <c r="EY169" s="675">
        <v>0</v>
      </c>
      <c r="EZ169" s="675">
        <v>17659679</v>
      </c>
      <c r="FA169" s="675">
        <v>0</v>
      </c>
      <c r="FB169" s="675">
        <v>18308159</v>
      </c>
      <c r="FC169" s="675">
        <v>0</v>
      </c>
      <c r="FD169" s="675">
        <v>0</v>
      </c>
      <c r="FE169" s="675">
        <v>1862284</v>
      </c>
      <c r="FF169" s="675">
        <v>385184</v>
      </c>
      <c r="FG169" s="675">
        <v>6.3574999999999993E-2</v>
      </c>
      <c r="FH169" s="675">
        <v>2.6298999999999999E-2</v>
      </c>
      <c r="FI169" s="675">
        <v>0</v>
      </c>
      <c r="FJ169" s="675">
        <v>0</v>
      </c>
      <c r="FK169" s="675">
        <v>2972.0680000000002</v>
      </c>
      <c r="FL169" s="675">
        <v>20933979</v>
      </c>
      <c r="FM169" s="675">
        <v>0</v>
      </c>
      <c r="FN169" s="675">
        <v>0</v>
      </c>
      <c r="FO169" s="675">
        <v>0</v>
      </c>
      <c r="FP169" s="675">
        <v>0</v>
      </c>
      <c r="FQ169" s="675">
        <v>0</v>
      </c>
      <c r="FR169" s="675">
        <v>0</v>
      </c>
      <c r="FS169" s="675">
        <v>0</v>
      </c>
      <c r="FT169" s="675">
        <v>0</v>
      </c>
      <c r="FU169" s="675">
        <v>0</v>
      </c>
      <c r="FV169" s="675">
        <v>0</v>
      </c>
      <c r="FW169" s="675">
        <v>0</v>
      </c>
      <c r="FX169" s="675">
        <v>0</v>
      </c>
      <c r="FY169" s="675">
        <v>0</v>
      </c>
      <c r="FZ169" s="675">
        <v>0</v>
      </c>
      <c r="GA169" s="675">
        <v>0</v>
      </c>
      <c r="GB169" s="675">
        <v>891187</v>
      </c>
      <c r="GC169" s="675">
        <v>891187</v>
      </c>
      <c r="GD169" s="675">
        <v>104.333</v>
      </c>
      <c r="GE169" s="675">
        <v>0</v>
      </c>
      <c r="GF169" s="675">
        <v>0</v>
      </c>
      <c r="GG169" s="675">
        <v>0</v>
      </c>
      <c r="GH169" s="675">
        <v>0</v>
      </c>
      <c r="GI169" s="675">
        <v>0</v>
      </c>
      <c r="GJ169" s="675">
        <v>0</v>
      </c>
      <c r="GK169" s="675">
        <v>0</v>
      </c>
      <c r="GL169" s="675">
        <v>0</v>
      </c>
      <c r="GM169" s="675">
        <v>0</v>
      </c>
      <c r="GN169" s="675">
        <v>0</v>
      </c>
      <c r="GO169" s="675">
        <v>0</v>
      </c>
      <c r="GP169" s="675">
        <v>0</v>
      </c>
      <c r="GQ169" s="675">
        <v>0</v>
      </c>
      <c r="GR169" s="675">
        <v>0</v>
      </c>
      <c r="GS169" s="675">
        <v>0</v>
      </c>
      <c r="GT169" s="675">
        <v>0</v>
      </c>
      <c r="GU169" s="675">
        <v>0</v>
      </c>
      <c r="GV169" s="675">
        <v>0</v>
      </c>
      <c r="GW169" s="675">
        <v>0</v>
      </c>
      <c r="GX169" s="675">
        <v>0</v>
      </c>
      <c r="GY169" s="675">
        <v>0</v>
      </c>
      <c r="GZ169" s="675">
        <v>0</v>
      </c>
      <c r="HA169" s="675">
        <v>0</v>
      </c>
      <c r="HB169" s="675">
        <v>298386780</v>
      </c>
      <c r="HC169" s="675">
        <v>4.5690999999999996E-2</v>
      </c>
      <c r="HD169" s="675">
        <v>378352</v>
      </c>
      <c r="HE169" s="675">
        <v>0</v>
      </c>
      <c r="HF169" s="675">
        <v>2149444</v>
      </c>
      <c r="HG169" s="675">
        <v>52360</v>
      </c>
      <c r="HH169" s="675">
        <v>17802</v>
      </c>
      <c r="HI169" s="675">
        <v>0</v>
      </c>
      <c r="HJ169" s="675">
        <v>20122</v>
      </c>
      <c r="HK169" s="675">
        <v>4311</v>
      </c>
      <c r="HL169" s="675">
        <v>11</v>
      </c>
      <c r="HM169" s="675">
        <v>0</v>
      </c>
      <c r="HN169" s="675">
        <v>0</v>
      </c>
      <c r="HO169" s="675">
        <v>0</v>
      </c>
      <c r="HP169" s="675">
        <v>0</v>
      </c>
      <c r="HQ169" s="675">
        <v>0</v>
      </c>
      <c r="HR169" s="675">
        <v>0</v>
      </c>
      <c r="HS169" s="675">
        <v>17655661</v>
      </c>
      <c r="HT169" s="675">
        <v>385184</v>
      </c>
      <c r="HU169" s="675">
        <v>0</v>
      </c>
      <c r="HV169" s="675">
        <v>0</v>
      </c>
      <c r="HW169" s="675">
        <v>0</v>
      </c>
      <c r="HX169" s="675">
        <v>529</v>
      </c>
      <c r="HY169" s="675">
        <v>197</v>
      </c>
      <c r="HZ169" s="675">
        <v>138</v>
      </c>
      <c r="IA169" s="675">
        <v>206</v>
      </c>
      <c r="IB169" s="675">
        <v>187</v>
      </c>
      <c r="IC169" s="675">
        <v>1257</v>
      </c>
      <c r="ID169" s="675">
        <v>0</v>
      </c>
      <c r="IE169" s="675">
        <v>0</v>
      </c>
      <c r="IF169" s="675">
        <v>0</v>
      </c>
      <c r="IG169" s="675">
        <v>85</v>
      </c>
      <c r="IH169" s="675">
        <v>28.900000000000002</v>
      </c>
      <c r="II169" s="675">
        <v>0</v>
      </c>
      <c r="IJ169" s="675">
        <v>371.21700000000004</v>
      </c>
      <c r="IK169" s="675">
        <v>0</v>
      </c>
      <c r="IL169" s="675">
        <v>0</v>
      </c>
      <c r="IM169" s="675">
        <v>0</v>
      </c>
      <c r="IN169" s="675">
        <v>0</v>
      </c>
      <c r="IO169" s="675">
        <v>0</v>
      </c>
      <c r="IP169" s="675">
        <v>0</v>
      </c>
      <c r="IQ169" s="675">
        <v>371.21700000000004</v>
      </c>
      <c r="IR169" s="675">
        <v>228669</v>
      </c>
      <c r="IS169" s="675">
        <v>0</v>
      </c>
      <c r="IT169" s="675">
        <v>0</v>
      </c>
      <c r="IU169" s="675">
        <v>0</v>
      </c>
      <c r="IV169" s="675">
        <v>0</v>
      </c>
      <c r="IW169" s="675">
        <v>6160</v>
      </c>
      <c r="IX169" s="675">
        <v>0</v>
      </c>
      <c r="IY169" s="675">
        <v>0</v>
      </c>
      <c r="IZ169" s="675">
        <v>0</v>
      </c>
      <c r="JA169" s="675">
        <v>0</v>
      </c>
      <c r="JB169" s="675">
        <v>0</v>
      </c>
      <c r="JC169" s="675">
        <v>0</v>
      </c>
      <c r="JD169" s="675">
        <v>0</v>
      </c>
      <c r="JE169" s="675">
        <v>0</v>
      </c>
      <c r="JF169" s="675">
        <v>0</v>
      </c>
      <c r="JG169" s="675">
        <v>0</v>
      </c>
      <c r="JH169" s="675">
        <v>0</v>
      </c>
      <c r="JI169" s="675">
        <v>0</v>
      </c>
      <c r="JJ169" s="675">
        <v>0</v>
      </c>
      <c r="JK169" s="675">
        <v>0</v>
      </c>
      <c r="JL169" s="675">
        <v>0</v>
      </c>
      <c r="JM169" s="675">
        <v>0</v>
      </c>
      <c r="JN169" s="675">
        <v>32469</v>
      </c>
      <c r="JO169" s="675">
        <v>73.332999999999998</v>
      </c>
      <c r="JP169" s="675">
        <v>18.333000000000002</v>
      </c>
      <c r="JQ169" s="675">
        <v>12.667</v>
      </c>
      <c r="JR169" s="675">
        <v>585637</v>
      </c>
      <c r="JS169" s="675">
        <v>170365</v>
      </c>
      <c r="JT169" s="675">
        <v>135185</v>
      </c>
      <c r="JU169" s="675">
        <v>44633</v>
      </c>
      <c r="JV169" s="675">
        <v>0</v>
      </c>
      <c r="JW169" s="675">
        <v>0</v>
      </c>
      <c r="JX169" s="675">
        <v>0</v>
      </c>
      <c r="JY169" s="675">
        <v>0</v>
      </c>
      <c r="JZ169" s="675">
        <v>0</v>
      </c>
      <c r="KA169" s="675">
        <v>0</v>
      </c>
      <c r="KB169" s="675">
        <v>0</v>
      </c>
      <c r="KC169" s="675">
        <v>0</v>
      </c>
      <c r="KD169" s="675">
        <v>44633</v>
      </c>
      <c r="KE169" s="675">
        <v>7260</v>
      </c>
      <c r="KF169" s="675">
        <v>0</v>
      </c>
      <c r="KG169" s="675">
        <v>0</v>
      </c>
      <c r="KH169" s="675">
        <v>0</v>
      </c>
      <c r="KI169" s="675">
        <v>0</v>
      </c>
    </row>
    <row r="170" spans="1:295" ht="12.5" x14ac:dyDescent="0.25">
      <c r="A170" s="675">
        <v>35795</v>
      </c>
      <c r="B170" s="675">
        <v>57851</v>
      </c>
      <c r="C170" s="675">
        <v>9</v>
      </c>
      <c r="D170" s="675">
        <v>2022</v>
      </c>
      <c r="E170" s="675">
        <v>6160</v>
      </c>
      <c r="F170" s="675">
        <v>0</v>
      </c>
      <c r="G170" s="675">
        <v>69.05</v>
      </c>
      <c r="H170" s="675">
        <v>63.230000000000004</v>
      </c>
      <c r="I170" s="675">
        <v>63.230000000000004</v>
      </c>
      <c r="J170" s="675">
        <v>69.05</v>
      </c>
      <c r="K170" s="675">
        <v>0</v>
      </c>
      <c r="L170" s="675">
        <v>6160</v>
      </c>
      <c r="M170" s="675">
        <v>0</v>
      </c>
      <c r="N170" s="675">
        <v>0</v>
      </c>
      <c r="O170" s="675">
        <v>0</v>
      </c>
      <c r="P170" s="675">
        <v>75.094000000000008</v>
      </c>
      <c r="Q170" s="675">
        <v>0</v>
      </c>
      <c r="R170" s="675">
        <v>30220</v>
      </c>
      <c r="S170" s="675">
        <v>402.428</v>
      </c>
      <c r="T170" s="675">
        <v>0</v>
      </c>
      <c r="U170" s="675">
        <v>16069</v>
      </c>
      <c r="V170" s="675">
        <v>18.765000000000001</v>
      </c>
      <c r="W170" s="675">
        <v>11559</v>
      </c>
      <c r="X170" s="675">
        <v>11559</v>
      </c>
      <c r="Y170" s="675">
        <v>0</v>
      </c>
      <c r="Z170" s="675">
        <v>0</v>
      </c>
      <c r="AA170" s="675">
        <v>0</v>
      </c>
      <c r="AB170" s="675">
        <v>0</v>
      </c>
      <c r="AC170" s="675">
        <v>0</v>
      </c>
      <c r="AD170" s="675" t="s">
        <v>316</v>
      </c>
      <c r="AE170" s="675">
        <v>0</v>
      </c>
      <c r="AF170" s="675">
        <v>0</v>
      </c>
      <c r="AG170" s="675">
        <v>0</v>
      </c>
      <c r="AH170" s="675">
        <v>0</v>
      </c>
      <c r="AI170" s="675">
        <v>0</v>
      </c>
      <c r="AJ170" s="675">
        <v>6160</v>
      </c>
      <c r="AK170" s="675" t="s">
        <v>671</v>
      </c>
      <c r="AL170" s="675" t="s">
        <v>442</v>
      </c>
      <c r="AM170" s="675">
        <v>0</v>
      </c>
      <c r="AN170" s="675">
        <v>0</v>
      </c>
      <c r="AO170" s="675">
        <v>0</v>
      </c>
      <c r="AP170" s="675">
        <v>0</v>
      </c>
      <c r="AQ170" s="675">
        <v>0</v>
      </c>
      <c r="AR170" s="675">
        <v>0</v>
      </c>
      <c r="AS170" s="675">
        <v>0</v>
      </c>
      <c r="AT170" s="675">
        <v>0</v>
      </c>
      <c r="AU170" s="675">
        <v>0</v>
      </c>
      <c r="AV170" s="675">
        <v>-1845</v>
      </c>
      <c r="AW170" s="675">
        <v>751508</v>
      </c>
      <c r="AX170" s="675">
        <v>751942</v>
      </c>
      <c r="AY170" s="675">
        <v>538564</v>
      </c>
      <c r="AZ170" s="675">
        <v>30220</v>
      </c>
      <c r="BA170" s="675">
        <v>0</v>
      </c>
      <c r="BB170" s="675">
        <v>0</v>
      </c>
      <c r="BC170" s="675">
        <v>0</v>
      </c>
      <c r="BD170" s="675">
        <v>0</v>
      </c>
      <c r="BE170" s="675">
        <v>0</v>
      </c>
      <c r="BF170" s="675">
        <v>696642</v>
      </c>
      <c r="BG170" s="675">
        <v>0</v>
      </c>
      <c r="BH170" s="675">
        <v>0</v>
      </c>
      <c r="BI170" s="675">
        <v>0</v>
      </c>
      <c r="BJ170" s="675">
        <v>12</v>
      </c>
      <c r="BK170" s="675">
        <v>0</v>
      </c>
      <c r="BL170" s="675">
        <v>0</v>
      </c>
      <c r="BM170" s="675">
        <v>0</v>
      </c>
      <c r="BN170" s="675">
        <v>0</v>
      </c>
      <c r="BO170" s="675">
        <v>0</v>
      </c>
      <c r="BP170" s="675">
        <v>0</v>
      </c>
      <c r="BQ170" s="675">
        <v>760</v>
      </c>
      <c r="BR170" s="675">
        <v>0</v>
      </c>
      <c r="BS170" s="675">
        <v>0</v>
      </c>
      <c r="BT170" s="675">
        <v>0</v>
      </c>
      <c r="BU170" s="675">
        <v>0</v>
      </c>
      <c r="BV170" s="675">
        <v>0</v>
      </c>
      <c r="BW170" s="675">
        <v>0</v>
      </c>
      <c r="BX170" s="675">
        <v>0</v>
      </c>
      <c r="BY170" s="675">
        <v>0</v>
      </c>
      <c r="BZ170" s="675">
        <v>0</v>
      </c>
      <c r="CA170" s="675">
        <v>0</v>
      </c>
      <c r="CB170" s="675">
        <v>0</v>
      </c>
      <c r="CC170" s="675">
        <v>0</v>
      </c>
      <c r="CD170" s="675">
        <v>0</v>
      </c>
      <c r="CE170" s="675">
        <v>0</v>
      </c>
      <c r="CF170" s="675">
        <v>0</v>
      </c>
      <c r="CG170" s="675">
        <v>0</v>
      </c>
      <c r="CH170" s="675">
        <v>0</v>
      </c>
      <c r="CI170" s="675">
        <v>0</v>
      </c>
      <c r="CJ170" s="675">
        <v>4</v>
      </c>
      <c r="CK170" s="675">
        <v>0</v>
      </c>
      <c r="CL170" s="675">
        <v>0</v>
      </c>
      <c r="CM170" s="675">
        <v>0</v>
      </c>
      <c r="CN170" s="675">
        <v>0</v>
      </c>
      <c r="CO170" s="675">
        <v>1</v>
      </c>
      <c r="CP170" s="675">
        <v>0</v>
      </c>
      <c r="CQ170" s="675">
        <v>0</v>
      </c>
      <c r="CR170" s="675">
        <v>78.749000000000009</v>
      </c>
      <c r="CS170" s="675">
        <v>0</v>
      </c>
      <c r="CT170" s="675">
        <v>0</v>
      </c>
      <c r="CU170" s="675">
        <v>0</v>
      </c>
      <c r="CV170" s="675">
        <v>0</v>
      </c>
      <c r="CW170" s="675">
        <v>0</v>
      </c>
      <c r="CX170" s="675">
        <v>0</v>
      </c>
      <c r="CY170" s="675">
        <v>0</v>
      </c>
      <c r="CZ170" s="675">
        <v>0</v>
      </c>
      <c r="DA170" s="675">
        <v>0</v>
      </c>
      <c r="DB170" s="675">
        <v>389495</v>
      </c>
      <c r="DC170" s="675">
        <v>0</v>
      </c>
      <c r="DD170" s="675">
        <v>0</v>
      </c>
      <c r="DE170" s="675">
        <v>91322</v>
      </c>
      <c r="DF170" s="675">
        <v>91322</v>
      </c>
      <c r="DG170" s="675">
        <v>14.825000000000001</v>
      </c>
      <c r="DH170" s="675">
        <v>0</v>
      </c>
      <c r="DI170" s="675">
        <v>0</v>
      </c>
      <c r="DJ170" s="675">
        <v>0</v>
      </c>
      <c r="DK170" s="675">
        <v>3787</v>
      </c>
      <c r="DL170" s="675">
        <v>0</v>
      </c>
      <c r="DM170" s="675">
        <v>113932</v>
      </c>
      <c r="DN170" s="675">
        <v>434</v>
      </c>
      <c r="DO170" s="675">
        <v>0</v>
      </c>
      <c r="DP170" s="675">
        <v>0</v>
      </c>
      <c r="DQ170" s="675">
        <v>0</v>
      </c>
      <c r="DR170" s="675">
        <v>0</v>
      </c>
      <c r="DS170" s="675">
        <v>0</v>
      </c>
      <c r="DT170" s="675">
        <v>0</v>
      </c>
      <c r="DU170" s="675">
        <v>0</v>
      </c>
      <c r="DV170" s="675">
        <v>0</v>
      </c>
      <c r="DW170" s="675">
        <v>0</v>
      </c>
      <c r="DX170" s="675">
        <v>0</v>
      </c>
      <c r="DY170" s="675">
        <v>0</v>
      </c>
      <c r="DZ170" s="675">
        <v>0</v>
      </c>
      <c r="EA170" s="675">
        <v>0.14899999999999999</v>
      </c>
      <c r="EB170" s="675">
        <v>0</v>
      </c>
      <c r="EC170" s="675">
        <v>0</v>
      </c>
      <c r="ED170" s="675">
        <v>0</v>
      </c>
      <c r="EE170" s="675">
        <v>0</v>
      </c>
      <c r="EF170" s="675">
        <v>0</v>
      </c>
      <c r="EG170" s="675">
        <v>0</v>
      </c>
      <c r="EH170" s="675">
        <v>114366</v>
      </c>
      <c r="EI170" s="675">
        <v>0</v>
      </c>
      <c r="EJ170" s="675">
        <v>0</v>
      </c>
      <c r="EK170" s="675">
        <v>5.2670000000000003</v>
      </c>
      <c r="EL170" s="675">
        <v>0</v>
      </c>
      <c r="EM170" s="675">
        <v>0</v>
      </c>
      <c r="EN170" s="675">
        <v>0.40400000000000003</v>
      </c>
      <c r="EO170" s="675">
        <v>0</v>
      </c>
      <c r="EP170" s="675">
        <v>0</v>
      </c>
      <c r="EQ170" s="675">
        <v>5.82</v>
      </c>
      <c r="ER170" s="675">
        <v>0</v>
      </c>
      <c r="ES170" s="675">
        <v>18.566000000000003</v>
      </c>
      <c r="ET170" s="675">
        <v>0</v>
      </c>
      <c r="EU170" s="675">
        <v>0</v>
      </c>
      <c r="EV170" s="675">
        <v>0</v>
      </c>
      <c r="EW170" s="675">
        <v>0</v>
      </c>
      <c r="EX170" s="675">
        <v>0</v>
      </c>
      <c r="EY170" s="675">
        <v>0</v>
      </c>
      <c r="EZ170" s="675">
        <v>666422</v>
      </c>
      <c r="FA170" s="675">
        <v>0</v>
      </c>
      <c r="FB170" s="675">
        <v>696208</v>
      </c>
      <c r="FC170" s="675">
        <v>0</v>
      </c>
      <c r="FD170" s="675">
        <v>0</v>
      </c>
      <c r="FE170" s="675">
        <v>70863</v>
      </c>
      <c r="FF170" s="675">
        <v>14657</v>
      </c>
      <c r="FG170" s="675">
        <v>6.3574999999999993E-2</v>
      </c>
      <c r="FH170" s="675">
        <v>2.6298999999999999E-2</v>
      </c>
      <c r="FI170" s="675">
        <v>0</v>
      </c>
      <c r="FJ170" s="675">
        <v>0</v>
      </c>
      <c r="FK170" s="675">
        <v>113.092</v>
      </c>
      <c r="FL170" s="675">
        <v>781728</v>
      </c>
      <c r="FM170" s="675">
        <v>0</v>
      </c>
      <c r="FN170" s="675">
        <v>0</v>
      </c>
      <c r="FO170" s="675">
        <v>0</v>
      </c>
      <c r="FP170" s="675">
        <v>0</v>
      </c>
      <c r="FQ170" s="675">
        <v>0</v>
      </c>
      <c r="FR170" s="675">
        <v>0</v>
      </c>
      <c r="FS170" s="675">
        <v>0</v>
      </c>
      <c r="FT170" s="675">
        <v>0</v>
      </c>
      <c r="FU170" s="675">
        <v>0</v>
      </c>
      <c r="FV170" s="675">
        <v>0</v>
      </c>
      <c r="FW170" s="675">
        <v>0</v>
      </c>
      <c r="FX170" s="675">
        <v>0</v>
      </c>
      <c r="FY170" s="675">
        <v>0</v>
      </c>
      <c r="FZ170" s="675">
        <v>0</v>
      </c>
      <c r="GA170" s="675">
        <v>0</v>
      </c>
      <c r="GB170" s="675">
        <v>0</v>
      </c>
      <c r="GC170" s="675">
        <v>0</v>
      </c>
      <c r="GD170" s="675">
        <v>0</v>
      </c>
      <c r="GE170" s="675">
        <v>0</v>
      </c>
      <c r="GF170" s="675">
        <v>0</v>
      </c>
      <c r="GG170" s="675">
        <v>0</v>
      </c>
      <c r="GH170" s="675">
        <v>0</v>
      </c>
      <c r="GI170" s="675">
        <v>0</v>
      </c>
      <c r="GJ170" s="675">
        <v>0</v>
      </c>
      <c r="GK170" s="675">
        <v>0</v>
      </c>
      <c r="GL170" s="675">
        <v>0</v>
      </c>
      <c r="GM170" s="675">
        <v>0</v>
      </c>
      <c r="GN170" s="675">
        <v>0</v>
      </c>
      <c r="GO170" s="675">
        <v>0</v>
      </c>
      <c r="GP170" s="675">
        <v>0</v>
      </c>
      <c r="GQ170" s="675">
        <v>0</v>
      </c>
      <c r="GR170" s="675">
        <v>0</v>
      </c>
      <c r="GS170" s="675">
        <v>0</v>
      </c>
      <c r="GT170" s="675">
        <v>0</v>
      </c>
      <c r="GU170" s="675">
        <v>0</v>
      </c>
      <c r="GV170" s="675">
        <v>0</v>
      </c>
      <c r="GW170" s="675">
        <v>0</v>
      </c>
      <c r="GX170" s="675">
        <v>0</v>
      </c>
      <c r="GY170" s="675">
        <v>0</v>
      </c>
      <c r="GZ170" s="675">
        <v>0</v>
      </c>
      <c r="HA170" s="675">
        <v>0</v>
      </c>
      <c r="HB170" s="675">
        <v>0</v>
      </c>
      <c r="HC170" s="675">
        <v>4.5690999999999996E-2</v>
      </c>
      <c r="HD170" s="675">
        <v>0</v>
      </c>
      <c r="HE170" s="675">
        <v>0</v>
      </c>
      <c r="HF170" s="675">
        <v>69553</v>
      </c>
      <c r="HG170" s="675">
        <v>3080</v>
      </c>
      <c r="HH170" s="675">
        <v>16596</v>
      </c>
      <c r="HI170" s="675">
        <v>0</v>
      </c>
      <c r="HJ170" s="675">
        <v>671</v>
      </c>
      <c r="HK170" s="675">
        <v>0</v>
      </c>
      <c r="HL170" s="675">
        <v>0</v>
      </c>
      <c r="HM170" s="675">
        <v>0</v>
      </c>
      <c r="HN170" s="675">
        <v>0</v>
      </c>
      <c r="HO170" s="675">
        <v>0</v>
      </c>
      <c r="HP170" s="675">
        <v>0</v>
      </c>
      <c r="HQ170" s="675">
        <v>0</v>
      </c>
      <c r="HR170" s="675">
        <v>0</v>
      </c>
      <c r="HS170" s="675">
        <v>665988</v>
      </c>
      <c r="HT170" s="675">
        <v>14657</v>
      </c>
      <c r="HU170" s="675">
        <v>0</v>
      </c>
      <c r="HV170" s="675">
        <v>0</v>
      </c>
      <c r="HW170" s="675">
        <v>0</v>
      </c>
      <c r="HX170" s="675">
        <v>8</v>
      </c>
      <c r="HY170" s="675">
        <v>14</v>
      </c>
      <c r="HZ170" s="675">
        <v>11</v>
      </c>
      <c r="IA170" s="675">
        <v>16</v>
      </c>
      <c r="IB170" s="675">
        <v>10</v>
      </c>
      <c r="IC170" s="675">
        <v>59</v>
      </c>
      <c r="ID170" s="675">
        <v>0</v>
      </c>
      <c r="IE170" s="675">
        <v>0</v>
      </c>
      <c r="IF170" s="675">
        <v>0</v>
      </c>
      <c r="IG170" s="675">
        <v>5</v>
      </c>
      <c r="IH170" s="675">
        <v>26.942</v>
      </c>
      <c r="II170" s="675">
        <v>0</v>
      </c>
      <c r="IJ170" s="675">
        <v>18.765000000000001</v>
      </c>
      <c r="IK170" s="675">
        <v>0</v>
      </c>
      <c r="IL170" s="675">
        <v>0</v>
      </c>
      <c r="IM170" s="675">
        <v>0</v>
      </c>
      <c r="IN170" s="675">
        <v>0</v>
      </c>
      <c r="IO170" s="675">
        <v>0</v>
      </c>
      <c r="IP170" s="675">
        <v>0</v>
      </c>
      <c r="IQ170" s="675">
        <v>18.765000000000001</v>
      </c>
      <c r="IR170" s="675">
        <v>11559</v>
      </c>
      <c r="IS170" s="675">
        <v>0</v>
      </c>
      <c r="IT170" s="675">
        <v>0</v>
      </c>
      <c r="IU170" s="675">
        <v>0</v>
      </c>
      <c r="IV170" s="675">
        <v>0</v>
      </c>
      <c r="IW170" s="675">
        <v>6160</v>
      </c>
      <c r="IX170" s="675">
        <v>0</v>
      </c>
      <c r="IY170" s="675">
        <v>0</v>
      </c>
      <c r="IZ170" s="675">
        <v>0</v>
      </c>
      <c r="JA170" s="675">
        <v>0</v>
      </c>
      <c r="JB170" s="675">
        <v>0</v>
      </c>
      <c r="JC170" s="675">
        <v>0</v>
      </c>
      <c r="JD170" s="675">
        <v>0</v>
      </c>
      <c r="JE170" s="675">
        <v>0</v>
      </c>
      <c r="JF170" s="675">
        <v>0</v>
      </c>
      <c r="JG170" s="675">
        <v>0</v>
      </c>
      <c r="JH170" s="675">
        <v>0</v>
      </c>
      <c r="JI170" s="675">
        <v>0</v>
      </c>
      <c r="JJ170" s="675">
        <v>0</v>
      </c>
      <c r="JK170" s="675">
        <v>0</v>
      </c>
      <c r="JL170" s="675">
        <v>0</v>
      </c>
      <c r="JM170" s="675">
        <v>0</v>
      </c>
      <c r="JN170" s="675">
        <v>32469</v>
      </c>
      <c r="JO170" s="675">
        <v>0</v>
      </c>
      <c r="JP170" s="675">
        <v>0</v>
      </c>
      <c r="JQ170" s="675">
        <v>0</v>
      </c>
      <c r="JR170" s="675">
        <v>0</v>
      </c>
      <c r="JS170" s="675">
        <v>0</v>
      </c>
      <c r="JT170" s="675">
        <v>0</v>
      </c>
      <c r="JU170" s="675">
        <v>0</v>
      </c>
      <c r="JV170" s="675">
        <v>0</v>
      </c>
      <c r="JW170" s="675">
        <v>0</v>
      </c>
      <c r="JX170" s="675">
        <v>0</v>
      </c>
      <c r="JY170" s="675">
        <v>0</v>
      </c>
      <c r="JZ170" s="675">
        <v>0</v>
      </c>
      <c r="KA170" s="675">
        <v>0</v>
      </c>
      <c r="KB170" s="675">
        <v>0</v>
      </c>
      <c r="KC170" s="675">
        <v>0</v>
      </c>
      <c r="KD170" s="675">
        <v>0</v>
      </c>
      <c r="KE170" s="675">
        <v>7260</v>
      </c>
      <c r="KF170" s="675">
        <v>0</v>
      </c>
      <c r="KG170" s="675">
        <v>0</v>
      </c>
      <c r="KH170" s="675">
        <v>0</v>
      </c>
      <c r="KI170" s="675">
        <v>0</v>
      </c>
    </row>
    <row r="171" spans="1:295" ht="12.5" x14ac:dyDescent="0.25">
      <c r="A171" s="675">
        <v>35795</v>
      </c>
      <c r="B171" s="675">
        <v>101853</v>
      </c>
      <c r="C171" s="675">
        <v>9</v>
      </c>
      <c r="D171" s="675">
        <v>2022</v>
      </c>
      <c r="E171" s="675">
        <v>6160</v>
      </c>
      <c r="F171" s="675">
        <v>0</v>
      </c>
      <c r="G171" s="675">
        <v>1113.1030000000001</v>
      </c>
      <c r="H171" s="675">
        <v>1085.8869999999999</v>
      </c>
      <c r="I171" s="675">
        <v>1085.8869999999999</v>
      </c>
      <c r="J171" s="675">
        <v>1113.1030000000001</v>
      </c>
      <c r="K171" s="675">
        <v>0</v>
      </c>
      <c r="L171" s="675">
        <v>6160</v>
      </c>
      <c r="M171" s="675">
        <v>0</v>
      </c>
      <c r="N171" s="675">
        <v>0</v>
      </c>
      <c r="O171" s="675">
        <v>0</v>
      </c>
      <c r="P171" s="675">
        <v>1005.7220000000001</v>
      </c>
      <c r="Q171" s="675">
        <v>0</v>
      </c>
      <c r="R171" s="675">
        <v>404731</v>
      </c>
      <c r="S171" s="675">
        <v>402.428</v>
      </c>
      <c r="T171" s="675">
        <v>0</v>
      </c>
      <c r="U171" s="675">
        <v>215225</v>
      </c>
      <c r="V171" s="675">
        <v>425.28500000000003</v>
      </c>
      <c r="W171" s="675">
        <v>261974</v>
      </c>
      <c r="X171" s="675">
        <v>261974</v>
      </c>
      <c r="Y171" s="675">
        <v>0</v>
      </c>
      <c r="Z171" s="675">
        <v>0</v>
      </c>
      <c r="AA171" s="675">
        <v>0</v>
      </c>
      <c r="AB171" s="675">
        <v>0</v>
      </c>
      <c r="AC171" s="675">
        <v>0</v>
      </c>
      <c r="AD171" s="675" t="s">
        <v>316</v>
      </c>
      <c r="AE171" s="675">
        <v>0</v>
      </c>
      <c r="AF171" s="675">
        <v>0</v>
      </c>
      <c r="AG171" s="675">
        <v>0</v>
      </c>
      <c r="AH171" s="675">
        <v>0</v>
      </c>
      <c r="AI171" s="675">
        <v>0</v>
      </c>
      <c r="AJ171" s="675">
        <v>6160</v>
      </c>
      <c r="AK171" s="675" t="s">
        <v>671</v>
      </c>
      <c r="AL171" s="675" t="s">
        <v>99</v>
      </c>
      <c r="AM171" s="675">
        <v>0</v>
      </c>
      <c r="AN171" s="675">
        <v>0</v>
      </c>
      <c r="AO171" s="675">
        <v>0</v>
      </c>
      <c r="AP171" s="675">
        <v>0</v>
      </c>
      <c r="AQ171" s="675">
        <v>0</v>
      </c>
      <c r="AR171" s="675">
        <v>0</v>
      </c>
      <c r="AS171" s="675">
        <v>0</v>
      </c>
      <c r="AT171" s="675">
        <v>0</v>
      </c>
      <c r="AU171" s="675">
        <v>0</v>
      </c>
      <c r="AV171" s="675">
        <v>0</v>
      </c>
      <c r="AW171" s="675">
        <v>13120256</v>
      </c>
      <c r="AX171" s="675">
        <v>12919116</v>
      </c>
      <c r="AY171" s="675">
        <v>9018662</v>
      </c>
      <c r="AZ171" s="675">
        <v>404731</v>
      </c>
      <c r="BA171" s="675">
        <v>0</v>
      </c>
      <c r="BB171" s="675">
        <v>0</v>
      </c>
      <c r="BC171" s="675">
        <v>0</v>
      </c>
      <c r="BD171" s="675">
        <v>0</v>
      </c>
      <c r="BE171" s="675">
        <v>0</v>
      </c>
      <c r="BF171" s="675">
        <v>11867051</v>
      </c>
      <c r="BG171" s="675">
        <v>0</v>
      </c>
      <c r="BH171" s="675">
        <v>0</v>
      </c>
      <c r="BI171" s="675">
        <v>0</v>
      </c>
      <c r="BJ171" s="675">
        <v>12</v>
      </c>
      <c r="BK171" s="675">
        <v>0</v>
      </c>
      <c r="BL171" s="675">
        <v>0</v>
      </c>
      <c r="BM171" s="675">
        <v>0</v>
      </c>
      <c r="BN171" s="675">
        <v>0</v>
      </c>
      <c r="BO171" s="675">
        <v>0</v>
      </c>
      <c r="BP171" s="675">
        <v>0</v>
      </c>
      <c r="BQ171" s="675">
        <v>603</v>
      </c>
      <c r="BR171" s="675">
        <v>0</v>
      </c>
      <c r="BS171" s="675">
        <v>0</v>
      </c>
      <c r="BT171" s="675">
        <v>0</v>
      </c>
      <c r="BU171" s="675">
        <v>0</v>
      </c>
      <c r="BV171" s="675">
        <v>0</v>
      </c>
      <c r="BW171" s="675">
        <v>0</v>
      </c>
      <c r="BX171" s="675">
        <v>0</v>
      </c>
      <c r="BY171" s="675">
        <v>0</v>
      </c>
      <c r="BZ171" s="675">
        <v>0</v>
      </c>
      <c r="CA171" s="675">
        <v>0</v>
      </c>
      <c r="CB171" s="675">
        <v>0</v>
      </c>
      <c r="CC171" s="675">
        <v>0</v>
      </c>
      <c r="CD171" s="675">
        <v>0</v>
      </c>
      <c r="CE171" s="675">
        <v>0</v>
      </c>
      <c r="CF171" s="675">
        <v>0</v>
      </c>
      <c r="CG171" s="675">
        <v>0</v>
      </c>
      <c r="CH171" s="675">
        <v>203434</v>
      </c>
      <c r="CI171" s="675">
        <v>0</v>
      </c>
      <c r="CJ171" s="675">
        <v>4</v>
      </c>
      <c r="CK171" s="675">
        <v>0</v>
      </c>
      <c r="CL171" s="675">
        <v>0</v>
      </c>
      <c r="CM171" s="675">
        <v>0</v>
      </c>
      <c r="CN171" s="675">
        <v>0</v>
      </c>
      <c r="CO171" s="675">
        <v>1</v>
      </c>
      <c r="CP171" s="675">
        <v>0</v>
      </c>
      <c r="CQ171" s="675">
        <v>0</v>
      </c>
      <c r="CR171" s="675">
        <v>1102.566</v>
      </c>
      <c r="CS171" s="675">
        <v>0</v>
      </c>
      <c r="CT171" s="675">
        <v>0</v>
      </c>
      <c r="CU171" s="675">
        <v>0</v>
      </c>
      <c r="CV171" s="675">
        <v>0</v>
      </c>
      <c r="CW171" s="675">
        <v>0</v>
      </c>
      <c r="CX171" s="675">
        <v>0</v>
      </c>
      <c r="CY171" s="675">
        <v>0</v>
      </c>
      <c r="CZ171" s="675">
        <v>0</v>
      </c>
      <c r="DA171" s="675">
        <v>0</v>
      </c>
      <c r="DB171" s="675">
        <v>6669463</v>
      </c>
      <c r="DC171" s="675">
        <v>0</v>
      </c>
      <c r="DD171" s="675">
        <v>0</v>
      </c>
      <c r="DE171" s="675">
        <v>2748656</v>
      </c>
      <c r="DF171" s="675">
        <v>2748656</v>
      </c>
      <c r="DG171" s="675">
        <v>446.21300000000002</v>
      </c>
      <c r="DH171" s="675">
        <v>0</v>
      </c>
      <c r="DI171" s="675">
        <v>0</v>
      </c>
      <c r="DJ171" s="675">
        <v>0</v>
      </c>
      <c r="DK171" s="675">
        <v>1267</v>
      </c>
      <c r="DL171" s="675">
        <v>0</v>
      </c>
      <c r="DM171" s="675">
        <v>621799</v>
      </c>
      <c r="DN171" s="675">
        <v>2294</v>
      </c>
      <c r="DO171" s="675">
        <v>0</v>
      </c>
      <c r="DP171" s="675">
        <v>0</v>
      </c>
      <c r="DQ171" s="675">
        <v>0</v>
      </c>
      <c r="DR171" s="675">
        <v>0</v>
      </c>
      <c r="DS171" s="675">
        <v>0</v>
      </c>
      <c r="DT171" s="675">
        <v>0</v>
      </c>
      <c r="DU171" s="675">
        <v>0</v>
      </c>
      <c r="DV171" s="675">
        <v>0</v>
      </c>
      <c r="DW171" s="675">
        <v>0</v>
      </c>
      <c r="DX171" s="675">
        <v>0</v>
      </c>
      <c r="DY171" s="675">
        <v>0</v>
      </c>
      <c r="DZ171" s="675">
        <v>0</v>
      </c>
      <c r="EA171" s="675">
        <v>0</v>
      </c>
      <c r="EB171" s="675">
        <v>0</v>
      </c>
      <c r="EC171" s="675">
        <v>6.5750000000000002</v>
      </c>
      <c r="ED171" s="675">
        <v>46577</v>
      </c>
      <c r="EE171" s="675">
        <v>0</v>
      </c>
      <c r="EF171" s="675">
        <v>0</v>
      </c>
      <c r="EG171" s="675">
        <v>0</v>
      </c>
      <c r="EH171" s="675">
        <v>557946</v>
      </c>
      <c r="EI171" s="675">
        <v>0</v>
      </c>
      <c r="EJ171" s="675">
        <v>0</v>
      </c>
      <c r="EK171" s="675">
        <v>19.488</v>
      </c>
      <c r="EL171" s="675">
        <v>0</v>
      </c>
      <c r="EM171" s="675">
        <v>3.2640000000000002</v>
      </c>
      <c r="EN171" s="675">
        <v>4.4640000000000004</v>
      </c>
      <c r="EO171" s="675">
        <v>0</v>
      </c>
      <c r="EP171" s="675">
        <v>0</v>
      </c>
      <c r="EQ171" s="675">
        <v>27.216000000000001</v>
      </c>
      <c r="ER171" s="675">
        <v>0</v>
      </c>
      <c r="ES171" s="675">
        <v>90.576000000000008</v>
      </c>
      <c r="ET171" s="675">
        <v>0</v>
      </c>
      <c r="EU171" s="675">
        <v>0</v>
      </c>
      <c r="EV171" s="675">
        <v>0</v>
      </c>
      <c r="EW171" s="675">
        <v>0</v>
      </c>
      <c r="EX171" s="675">
        <v>0</v>
      </c>
      <c r="EY171" s="675">
        <v>0</v>
      </c>
      <c r="EZ171" s="675">
        <v>11462320</v>
      </c>
      <c r="FA171" s="675">
        <v>0</v>
      </c>
      <c r="FB171" s="675">
        <v>11864757</v>
      </c>
      <c r="FC171" s="675">
        <v>0</v>
      </c>
      <c r="FD171" s="675">
        <v>0</v>
      </c>
      <c r="FE171" s="675">
        <v>1207122</v>
      </c>
      <c r="FF171" s="675">
        <v>249674</v>
      </c>
      <c r="FG171" s="675">
        <v>6.3574999999999993E-2</v>
      </c>
      <c r="FH171" s="675">
        <v>2.6298999999999999E-2</v>
      </c>
      <c r="FI171" s="675">
        <v>0</v>
      </c>
      <c r="FJ171" s="675">
        <v>0</v>
      </c>
      <c r="FK171" s="675">
        <v>1926.4780000000001</v>
      </c>
      <c r="FL171" s="675">
        <v>13524987</v>
      </c>
      <c r="FM171" s="675">
        <v>0</v>
      </c>
      <c r="FN171" s="675">
        <v>0</v>
      </c>
      <c r="FO171" s="675">
        <v>0</v>
      </c>
      <c r="FP171" s="675">
        <v>0</v>
      </c>
      <c r="FQ171" s="675">
        <v>0</v>
      </c>
      <c r="FR171" s="675">
        <v>0</v>
      </c>
      <c r="FS171" s="675">
        <v>0</v>
      </c>
      <c r="FT171" s="675">
        <v>0</v>
      </c>
      <c r="FU171" s="675">
        <v>0</v>
      </c>
      <c r="FV171" s="675">
        <v>0</v>
      </c>
      <c r="FW171" s="675">
        <v>0</v>
      </c>
      <c r="FX171" s="675">
        <v>0</v>
      </c>
      <c r="FY171" s="675">
        <v>0</v>
      </c>
      <c r="FZ171" s="675">
        <v>0</v>
      </c>
      <c r="GA171" s="675">
        <v>0</v>
      </c>
      <c r="GB171" s="675">
        <v>0</v>
      </c>
      <c r="GC171" s="675">
        <v>0</v>
      </c>
      <c r="GD171" s="675">
        <v>0</v>
      </c>
      <c r="GE171" s="675">
        <v>0</v>
      </c>
      <c r="GF171" s="675">
        <v>0</v>
      </c>
      <c r="GG171" s="675">
        <v>0</v>
      </c>
      <c r="GH171" s="675">
        <v>0</v>
      </c>
      <c r="GI171" s="675">
        <v>0</v>
      </c>
      <c r="GJ171" s="675">
        <v>0</v>
      </c>
      <c r="GK171" s="675">
        <v>0</v>
      </c>
      <c r="GL171" s="675">
        <v>0</v>
      </c>
      <c r="GM171" s="675">
        <v>0</v>
      </c>
      <c r="GN171" s="675">
        <v>0</v>
      </c>
      <c r="GO171" s="675">
        <v>0</v>
      </c>
      <c r="GP171" s="675">
        <v>0</v>
      </c>
      <c r="GQ171" s="675">
        <v>0</v>
      </c>
      <c r="GR171" s="675">
        <v>0</v>
      </c>
      <c r="GS171" s="675">
        <v>0</v>
      </c>
      <c r="GT171" s="675">
        <v>0</v>
      </c>
      <c r="GU171" s="675">
        <v>0</v>
      </c>
      <c r="GV171" s="675">
        <v>0</v>
      </c>
      <c r="GW171" s="675">
        <v>0</v>
      </c>
      <c r="GX171" s="675">
        <v>0</v>
      </c>
      <c r="GY171" s="675">
        <v>0</v>
      </c>
      <c r="GZ171" s="675">
        <v>0</v>
      </c>
      <c r="HA171" s="675">
        <v>0</v>
      </c>
      <c r="HB171" s="675">
        <v>298386780</v>
      </c>
      <c r="HC171" s="675">
        <v>4.5690999999999996E-2</v>
      </c>
      <c r="HD171" s="675">
        <v>203434</v>
      </c>
      <c r="HE171" s="675">
        <v>0</v>
      </c>
      <c r="HF171" s="675">
        <v>1194476</v>
      </c>
      <c r="HG171" s="675">
        <v>0</v>
      </c>
      <c r="HH171" s="675">
        <v>317970</v>
      </c>
      <c r="HI171" s="675">
        <v>0</v>
      </c>
      <c r="HJ171" s="675">
        <v>10819</v>
      </c>
      <c r="HK171" s="675">
        <v>0</v>
      </c>
      <c r="HL171" s="675">
        <v>0</v>
      </c>
      <c r="HM171" s="675">
        <v>0</v>
      </c>
      <c r="HN171" s="675">
        <v>0</v>
      </c>
      <c r="HO171" s="675">
        <v>39600</v>
      </c>
      <c r="HP171" s="675">
        <v>0</v>
      </c>
      <c r="HQ171" s="675">
        <v>0</v>
      </c>
      <c r="HR171" s="675">
        <v>0</v>
      </c>
      <c r="HS171" s="675">
        <v>11460026</v>
      </c>
      <c r="HT171" s="675">
        <v>249674</v>
      </c>
      <c r="HU171" s="675">
        <v>0</v>
      </c>
      <c r="HV171" s="675">
        <v>0</v>
      </c>
      <c r="HW171" s="675">
        <v>0</v>
      </c>
      <c r="HX171" s="675">
        <v>90</v>
      </c>
      <c r="HY171" s="675">
        <v>116</v>
      </c>
      <c r="HZ171" s="675">
        <v>297</v>
      </c>
      <c r="IA171" s="675">
        <v>489</v>
      </c>
      <c r="IB171" s="675">
        <v>712</v>
      </c>
      <c r="IC171" s="675">
        <v>1704</v>
      </c>
      <c r="ID171" s="675">
        <v>0</v>
      </c>
      <c r="IE171" s="675">
        <v>0</v>
      </c>
      <c r="IF171" s="675">
        <v>0</v>
      </c>
      <c r="IG171" s="675">
        <v>0</v>
      </c>
      <c r="IH171" s="675">
        <v>516.18799999999999</v>
      </c>
      <c r="II171" s="675">
        <v>0</v>
      </c>
      <c r="IJ171" s="675">
        <v>425.28500000000003</v>
      </c>
      <c r="IK171" s="675">
        <v>0</v>
      </c>
      <c r="IL171" s="675">
        <v>0</v>
      </c>
      <c r="IM171" s="675">
        <v>0</v>
      </c>
      <c r="IN171" s="675">
        <v>0</v>
      </c>
      <c r="IO171" s="675">
        <v>0</v>
      </c>
      <c r="IP171" s="675">
        <v>0</v>
      </c>
      <c r="IQ171" s="675">
        <v>425.28500000000003</v>
      </c>
      <c r="IR171" s="675">
        <v>261974</v>
      </c>
      <c r="IS171" s="675">
        <v>0</v>
      </c>
      <c r="IT171" s="675">
        <v>0</v>
      </c>
      <c r="IU171" s="675">
        <v>0</v>
      </c>
      <c r="IV171" s="675">
        <v>0</v>
      </c>
      <c r="IW171" s="675">
        <v>6160</v>
      </c>
      <c r="IX171" s="675">
        <v>0</v>
      </c>
      <c r="IY171" s="675">
        <v>0</v>
      </c>
      <c r="IZ171" s="675">
        <v>0</v>
      </c>
      <c r="JA171" s="675">
        <v>0</v>
      </c>
      <c r="JB171" s="675">
        <v>0</v>
      </c>
      <c r="JC171" s="675">
        <v>0</v>
      </c>
      <c r="JD171" s="675">
        <v>0</v>
      </c>
      <c r="JE171" s="675">
        <v>0</v>
      </c>
      <c r="JF171" s="675">
        <v>0</v>
      </c>
      <c r="JG171" s="675">
        <v>0</v>
      </c>
      <c r="JH171" s="675">
        <v>0</v>
      </c>
      <c r="JI171" s="675">
        <v>0</v>
      </c>
      <c r="JJ171" s="675">
        <v>0</v>
      </c>
      <c r="JK171" s="675">
        <v>0</v>
      </c>
      <c r="JL171" s="675">
        <v>0</v>
      </c>
      <c r="JM171" s="675">
        <v>0</v>
      </c>
      <c r="JN171" s="675">
        <v>32469</v>
      </c>
      <c r="JO171" s="675">
        <v>0</v>
      </c>
      <c r="JP171" s="675">
        <v>0</v>
      </c>
      <c r="JQ171" s="675">
        <v>0</v>
      </c>
      <c r="JR171" s="675">
        <v>0</v>
      </c>
      <c r="JS171" s="675">
        <v>0</v>
      </c>
      <c r="JT171" s="675">
        <v>0</v>
      </c>
      <c r="JU171" s="675">
        <v>0</v>
      </c>
      <c r="JV171" s="675">
        <v>0</v>
      </c>
      <c r="JW171" s="675">
        <v>0</v>
      </c>
      <c r="JX171" s="675">
        <v>0</v>
      </c>
      <c r="JY171" s="675">
        <v>0</v>
      </c>
      <c r="JZ171" s="675">
        <v>0</v>
      </c>
      <c r="KA171" s="675">
        <v>0</v>
      </c>
      <c r="KB171" s="675">
        <v>0</v>
      </c>
      <c r="KC171" s="675">
        <v>0</v>
      </c>
      <c r="KD171" s="675">
        <v>0</v>
      </c>
      <c r="KE171" s="675">
        <v>7260</v>
      </c>
      <c r="KF171" s="675">
        <v>0</v>
      </c>
      <c r="KG171" s="675">
        <v>0</v>
      </c>
      <c r="KH171" s="675">
        <v>0</v>
      </c>
      <c r="KI171" s="675">
        <v>0</v>
      </c>
    </row>
    <row r="172" spans="1:295" ht="12.5" x14ac:dyDescent="0.25">
      <c r="A172" s="675">
        <v>35795</v>
      </c>
      <c r="B172" s="675">
        <v>101855</v>
      </c>
      <c r="C172" s="675">
        <v>9</v>
      </c>
      <c r="D172" s="675">
        <v>2022</v>
      </c>
      <c r="E172" s="675">
        <v>6160</v>
      </c>
      <c r="F172" s="675">
        <v>0</v>
      </c>
      <c r="G172" s="675">
        <v>229.68</v>
      </c>
      <c r="H172" s="675">
        <v>225.001</v>
      </c>
      <c r="I172" s="675">
        <v>225.001</v>
      </c>
      <c r="J172" s="675">
        <v>229.68</v>
      </c>
      <c r="K172" s="675">
        <v>0</v>
      </c>
      <c r="L172" s="675">
        <v>6160</v>
      </c>
      <c r="M172" s="675">
        <v>0</v>
      </c>
      <c r="N172" s="675">
        <v>0</v>
      </c>
      <c r="O172" s="675">
        <v>0</v>
      </c>
      <c r="P172" s="675">
        <v>221.82400000000001</v>
      </c>
      <c r="Q172" s="675">
        <v>0</v>
      </c>
      <c r="R172" s="675">
        <v>89268</v>
      </c>
      <c r="S172" s="675">
        <v>402.428</v>
      </c>
      <c r="T172" s="675">
        <v>0</v>
      </c>
      <c r="U172" s="675">
        <v>47471</v>
      </c>
      <c r="V172" s="675">
        <v>3.2410000000000001</v>
      </c>
      <c r="W172" s="675">
        <v>1996</v>
      </c>
      <c r="X172" s="675">
        <v>1996</v>
      </c>
      <c r="Y172" s="675">
        <v>0</v>
      </c>
      <c r="Z172" s="675">
        <v>0</v>
      </c>
      <c r="AA172" s="675">
        <v>0</v>
      </c>
      <c r="AB172" s="675">
        <v>0</v>
      </c>
      <c r="AC172" s="675">
        <v>0</v>
      </c>
      <c r="AD172" s="675" t="s">
        <v>316</v>
      </c>
      <c r="AE172" s="675">
        <v>0</v>
      </c>
      <c r="AF172" s="675">
        <v>0</v>
      </c>
      <c r="AG172" s="675">
        <v>0</v>
      </c>
      <c r="AH172" s="675">
        <v>0</v>
      </c>
      <c r="AI172" s="675">
        <v>0</v>
      </c>
      <c r="AJ172" s="675">
        <v>6160</v>
      </c>
      <c r="AK172" s="675" t="s">
        <v>671</v>
      </c>
      <c r="AL172" s="675" t="s">
        <v>2</v>
      </c>
      <c r="AM172" s="675">
        <v>0</v>
      </c>
      <c r="AN172" s="675">
        <v>0</v>
      </c>
      <c r="AO172" s="675">
        <v>0</v>
      </c>
      <c r="AP172" s="675">
        <v>0</v>
      </c>
      <c r="AQ172" s="675">
        <v>0</v>
      </c>
      <c r="AR172" s="675">
        <v>0</v>
      </c>
      <c r="AS172" s="675">
        <v>0</v>
      </c>
      <c r="AT172" s="675">
        <v>0</v>
      </c>
      <c r="AU172" s="675">
        <v>0</v>
      </c>
      <c r="AV172" s="675">
        <v>0</v>
      </c>
      <c r="AW172" s="675">
        <v>2430021</v>
      </c>
      <c r="AX172" s="675">
        <v>2388455</v>
      </c>
      <c r="AY172" s="675">
        <v>1621460</v>
      </c>
      <c r="AZ172" s="675">
        <v>89268</v>
      </c>
      <c r="BA172" s="675">
        <v>0</v>
      </c>
      <c r="BB172" s="675">
        <v>0</v>
      </c>
      <c r="BC172" s="675">
        <v>0</v>
      </c>
      <c r="BD172" s="675">
        <v>0</v>
      </c>
      <c r="BE172" s="675">
        <v>0</v>
      </c>
      <c r="BF172" s="675">
        <v>2200858</v>
      </c>
      <c r="BG172" s="675">
        <v>0</v>
      </c>
      <c r="BH172" s="675">
        <v>0</v>
      </c>
      <c r="BI172" s="675">
        <v>0</v>
      </c>
      <c r="BJ172" s="675">
        <v>12</v>
      </c>
      <c r="BK172" s="675">
        <v>0</v>
      </c>
      <c r="BL172" s="675">
        <v>0</v>
      </c>
      <c r="BM172" s="675">
        <v>0</v>
      </c>
      <c r="BN172" s="675">
        <v>0</v>
      </c>
      <c r="BO172" s="675">
        <v>0</v>
      </c>
      <c r="BP172" s="675">
        <v>0</v>
      </c>
      <c r="BQ172" s="675">
        <v>735</v>
      </c>
      <c r="BR172" s="675">
        <v>0</v>
      </c>
      <c r="BS172" s="675">
        <v>0</v>
      </c>
      <c r="BT172" s="675">
        <v>0</v>
      </c>
      <c r="BU172" s="675">
        <v>0</v>
      </c>
      <c r="BV172" s="675">
        <v>0</v>
      </c>
      <c r="BW172" s="675">
        <v>0</v>
      </c>
      <c r="BX172" s="675">
        <v>0</v>
      </c>
      <c r="BY172" s="675">
        <v>0</v>
      </c>
      <c r="BZ172" s="675">
        <v>0</v>
      </c>
      <c r="CA172" s="675">
        <v>0</v>
      </c>
      <c r="CB172" s="675">
        <v>0</v>
      </c>
      <c r="CC172" s="675">
        <v>0</v>
      </c>
      <c r="CD172" s="675">
        <v>0</v>
      </c>
      <c r="CE172" s="675">
        <v>0</v>
      </c>
      <c r="CF172" s="675">
        <v>0</v>
      </c>
      <c r="CG172" s="675">
        <v>0</v>
      </c>
      <c r="CH172" s="675">
        <v>41977</v>
      </c>
      <c r="CI172" s="675">
        <v>0</v>
      </c>
      <c r="CJ172" s="675">
        <v>4</v>
      </c>
      <c r="CK172" s="675">
        <v>0</v>
      </c>
      <c r="CL172" s="675">
        <v>0</v>
      </c>
      <c r="CM172" s="675">
        <v>0</v>
      </c>
      <c r="CN172" s="675">
        <v>0</v>
      </c>
      <c r="CO172" s="675">
        <v>1</v>
      </c>
      <c r="CP172" s="675">
        <v>0</v>
      </c>
      <c r="CQ172" s="675">
        <v>0</v>
      </c>
      <c r="CR172" s="675">
        <v>230.21900000000002</v>
      </c>
      <c r="CS172" s="675">
        <v>0</v>
      </c>
      <c r="CT172" s="675">
        <v>0</v>
      </c>
      <c r="CU172" s="675">
        <v>0</v>
      </c>
      <c r="CV172" s="675">
        <v>0</v>
      </c>
      <c r="CW172" s="675">
        <v>0</v>
      </c>
      <c r="CX172" s="675">
        <v>0</v>
      </c>
      <c r="CY172" s="675">
        <v>0</v>
      </c>
      <c r="CZ172" s="675">
        <v>0</v>
      </c>
      <c r="DA172" s="675">
        <v>0</v>
      </c>
      <c r="DB172" s="675">
        <v>1386000</v>
      </c>
      <c r="DC172" s="675">
        <v>0</v>
      </c>
      <c r="DD172" s="675">
        <v>0</v>
      </c>
      <c r="DE172" s="675">
        <v>377606</v>
      </c>
      <c r="DF172" s="675">
        <v>377606</v>
      </c>
      <c r="DG172" s="675">
        <v>61.300000000000004</v>
      </c>
      <c r="DH172" s="675">
        <v>0</v>
      </c>
      <c r="DI172" s="675">
        <v>0</v>
      </c>
      <c r="DJ172" s="675">
        <v>0</v>
      </c>
      <c r="DK172" s="675">
        <v>3388</v>
      </c>
      <c r="DL172" s="675">
        <v>0</v>
      </c>
      <c r="DM172" s="675">
        <v>107889</v>
      </c>
      <c r="DN172" s="675">
        <v>411</v>
      </c>
      <c r="DO172" s="675">
        <v>0</v>
      </c>
      <c r="DP172" s="675">
        <v>0</v>
      </c>
      <c r="DQ172" s="675">
        <v>0</v>
      </c>
      <c r="DR172" s="675">
        <v>0</v>
      </c>
      <c r="DS172" s="675">
        <v>0</v>
      </c>
      <c r="DT172" s="675">
        <v>0</v>
      </c>
      <c r="DU172" s="675">
        <v>0</v>
      </c>
      <c r="DV172" s="675">
        <v>0</v>
      </c>
      <c r="DW172" s="675">
        <v>0</v>
      </c>
      <c r="DX172" s="675">
        <v>0</v>
      </c>
      <c r="DY172" s="675">
        <v>0</v>
      </c>
      <c r="DZ172" s="675">
        <v>0</v>
      </c>
      <c r="EA172" s="675">
        <v>0</v>
      </c>
      <c r="EB172" s="675">
        <v>0</v>
      </c>
      <c r="EC172" s="675">
        <v>1.9480000000000002</v>
      </c>
      <c r="ED172" s="675">
        <v>13800</v>
      </c>
      <c r="EE172" s="675">
        <v>0</v>
      </c>
      <c r="EF172" s="675">
        <v>0</v>
      </c>
      <c r="EG172" s="675">
        <v>0</v>
      </c>
      <c r="EH172" s="675">
        <v>94500</v>
      </c>
      <c r="EI172" s="675">
        <v>0</v>
      </c>
      <c r="EJ172" s="675">
        <v>0</v>
      </c>
      <c r="EK172" s="675">
        <v>4.0270000000000001</v>
      </c>
      <c r="EL172" s="675">
        <v>0</v>
      </c>
      <c r="EM172" s="675">
        <v>0</v>
      </c>
      <c r="EN172" s="675">
        <v>0.65200000000000002</v>
      </c>
      <c r="EO172" s="675">
        <v>0</v>
      </c>
      <c r="EP172" s="675">
        <v>0</v>
      </c>
      <c r="EQ172" s="675">
        <v>4.6790000000000003</v>
      </c>
      <c r="ER172" s="675">
        <v>0</v>
      </c>
      <c r="ES172" s="675">
        <v>15.341000000000001</v>
      </c>
      <c r="ET172" s="675">
        <v>0</v>
      </c>
      <c r="EU172" s="675">
        <v>0</v>
      </c>
      <c r="EV172" s="675">
        <v>0</v>
      </c>
      <c r="EW172" s="675">
        <v>0</v>
      </c>
      <c r="EX172" s="675">
        <v>0</v>
      </c>
      <c r="EY172" s="675">
        <v>0</v>
      </c>
      <c r="EZ172" s="675">
        <v>2118278</v>
      </c>
      <c r="FA172" s="675">
        <v>0</v>
      </c>
      <c r="FB172" s="675">
        <v>2207135</v>
      </c>
      <c r="FC172" s="675">
        <v>0</v>
      </c>
      <c r="FD172" s="675">
        <v>0</v>
      </c>
      <c r="FE172" s="675">
        <v>223872</v>
      </c>
      <c r="FF172" s="675">
        <v>46305</v>
      </c>
      <c r="FG172" s="675">
        <v>6.3574999999999993E-2</v>
      </c>
      <c r="FH172" s="675">
        <v>2.6298999999999999E-2</v>
      </c>
      <c r="FI172" s="675">
        <v>0</v>
      </c>
      <c r="FJ172" s="675">
        <v>0</v>
      </c>
      <c r="FK172" s="675">
        <v>357.28399999999999</v>
      </c>
      <c r="FL172" s="675">
        <v>2519289</v>
      </c>
      <c r="FM172" s="675">
        <v>0</v>
      </c>
      <c r="FN172" s="675">
        <v>0</v>
      </c>
      <c r="FO172" s="675">
        <v>6688</v>
      </c>
      <c r="FP172" s="675">
        <v>0</v>
      </c>
      <c r="FQ172" s="675">
        <v>6688</v>
      </c>
      <c r="FR172" s="675">
        <v>6688</v>
      </c>
      <c r="FS172" s="675">
        <v>0</v>
      </c>
      <c r="FT172" s="675">
        <v>0</v>
      </c>
      <c r="FU172" s="675">
        <v>0</v>
      </c>
      <c r="FV172" s="675">
        <v>0</v>
      </c>
      <c r="FW172" s="675">
        <v>0</v>
      </c>
      <c r="FX172" s="675">
        <v>0</v>
      </c>
      <c r="FY172" s="675">
        <v>0</v>
      </c>
      <c r="FZ172" s="675">
        <v>0</v>
      </c>
      <c r="GA172" s="675">
        <v>0</v>
      </c>
      <c r="GB172" s="675">
        <v>0</v>
      </c>
      <c r="GC172" s="675">
        <v>0</v>
      </c>
      <c r="GD172" s="675">
        <v>0</v>
      </c>
      <c r="GE172" s="675">
        <v>0</v>
      </c>
      <c r="GF172" s="675">
        <v>0</v>
      </c>
      <c r="GG172" s="675">
        <v>0</v>
      </c>
      <c r="GH172" s="675">
        <v>0</v>
      </c>
      <c r="GI172" s="675">
        <v>0</v>
      </c>
      <c r="GJ172" s="675">
        <v>0</v>
      </c>
      <c r="GK172" s="675">
        <v>0</v>
      </c>
      <c r="GL172" s="675">
        <v>0</v>
      </c>
      <c r="GM172" s="675">
        <v>0</v>
      </c>
      <c r="GN172" s="675">
        <v>0</v>
      </c>
      <c r="GO172" s="675">
        <v>0</v>
      </c>
      <c r="GP172" s="675">
        <v>0</v>
      </c>
      <c r="GQ172" s="675">
        <v>0</v>
      </c>
      <c r="GR172" s="675">
        <v>0</v>
      </c>
      <c r="GS172" s="675">
        <v>0</v>
      </c>
      <c r="GT172" s="675">
        <v>0</v>
      </c>
      <c r="GU172" s="675">
        <v>0</v>
      </c>
      <c r="GV172" s="675">
        <v>0</v>
      </c>
      <c r="GW172" s="675">
        <v>0</v>
      </c>
      <c r="GX172" s="675">
        <v>0</v>
      </c>
      <c r="GY172" s="675">
        <v>0</v>
      </c>
      <c r="GZ172" s="675">
        <v>0</v>
      </c>
      <c r="HA172" s="675">
        <v>0</v>
      </c>
      <c r="HB172" s="675">
        <v>298386780</v>
      </c>
      <c r="HC172" s="675">
        <v>4.5690999999999996E-2</v>
      </c>
      <c r="HD172" s="675">
        <v>41977</v>
      </c>
      <c r="HE172" s="675">
        <v>0</v>
      </c>
      <c r="HF172" s="675">
        <v>247501</v>
      </c>
      <c r="HG172" s="675">
        <v>0</v>
      </c>
      <c r="HH172" s="675">
        <v>77223</v>
      </c>
      <c r="HI172" s="675">
        <v>0</v>
      </c>
      <c r="HJ172" s="675">
        <v>2232</v>
      </c>
      <c r="HK172" s="675">
        <v>0</v>
      </c>
      <c r="HL172" s="675">
        <v>0</v>
      </c>
      <c r="HM172" s="675">
        <v>0</v>
      </c>
      <c r="HN172" s="675">
        <v>0</v>
      </c>
      <c r="HO172" s="675">
        <v>0</v>
      </c>
      <c r="HP172" s="675">
        <v>0</v>
      </c>
      <c r="HQ172" s="675">
        <v>0</v>
      </c>
      <c r="HR172" s="675">
        <v>0</v>
      </c>
      <c r="HS172" s="675">
        <v>2117867</v>
      </c>
      <c r="HT172" s="675">
        <v>46305</v>
      </c>
      <c r="HU172" s="675">
        <v>0</v>
      </c>
      <c r="HV172" s="675">
        <v>0</v>
      </c>
      <c r="HW172" s="675">
        <v>0</v>
      </c>
      <c r="HX172" s="675">
        <v>22</v>
      </c>
      <c r="HY172" s="675">
        <v>48</v>
      </c>
      <c r="HZ172" s="675">
        <v>73</v>
      </c>
      <c r="IA172" s="675">
        <v>42</v>
      </c>
      <c r="IB172" s="675">
        <v>57</v>
      </c>
      <c r="IC172" s="675">
        <v>242</v>
      </c>
      <c r="ID172" s="675">
        <v>0</v>
      </c>
      <c r="IE172" s="675">
        <v>0</v>
      </c>
      <c r="IF172" s="675">
        <v>0</v>
      </c>
      <c r="IG172" s="675">
        <v>0</v>
      </c>
      <c r="IH172" s="675">
        <v>125.36200000000001</v>
      </c>
      <c r="II172" s="675">
        <v>0</v>
      </c>
      <c r="IJ172" s="675">
        <v>3.2410000000000001</v>
      </c>
      <c r="IK172" s="675">
        <v>0</v>
      </c>
      <c r="IL172" s="675">
        <v>0</v>
      </c>
      <c r="IM172" s="675">
        <v>0</v>
      </c>
      <c r="IN172" s="675">
        <v>0</v>
      </c>
      <c r="IO172" s="675">
        <v>0</v>
      </c>
      <c r="IP172" s="675">
        <v>0</v>
      </c>
      <c r="IQ172" s="675">
        <v>3.2410000000000001</v>
      </c>
      <c r="IR172" s="675">
        <v>1996</v>
      </c>
      <c r="IS172" s="675">
        <v>0</v>
      </c>
      <c r="IT172" s="675">
        <v>0</v>
      </c>
      <c r="IU172" s="675">
        <v>0</v>
      </c>
      <c r="IV172" s="675">
        <v>0</v>
      </c>
      <c r="IW172" s="675">
        <v>6160</v>
      </c>
      <c r="IX172" s="675">
        <v>0</v>
      </c>
      <c r="IY172" s="675">
        <v>0</v>
      </c>
      <c r="IZ172" s="675">
        <v>0</v>
      </c>
      <c r="JA172" s="675">
        <v>0</v>
      </c>
      <c r="JB172" s="675">
        <v>0</v>
      </c>
      <c r="JC172" s="675">
        <v>0</v>
      </c>
      <c r="JD172" s="675">
        <v>0</v>
      </c>
      <c r="JE172" s="675">
        <v>0</v>
      </c>
      <c r="JF172" s="675">
        <v>0</v>
      </c>
      <c r="JG172" s="675">
        <v>0</v>
      </c>
      <c r="JH172" s="675">
        <v>0</v>
      </c>
      <c r="JI172" s="675">
        <v>0</v>
      </c>
      <c r="JJ172" s="675">
        <v>0</v>
      </c>
      <c r="JK172" s="675">
        <v>0</v>
      </c>
      <c r="JL172" s="675">
        <v>0</v>
      </c>
      <c r="JM172" s="675">
        <v>0</v>
      </c>
      <c r="JN172" s="675">
        <v>32469</v>
      </c>
      <c r="JO172" s="675">
        <v>0</v>
      </c>
      <c r="JP172" s="675">
        <v>0</v>
      </c>
      <c r="JQ172" s="675">
        <v>0</v>
      </c>
      <c r="JR172" s="675">
        <v>0</v>
      </c>
      <c r="JS172" s="675">
        <v>0</v>
      </c>
      <c r="JT172" s="675">
        <v>0</v>
      </c>
      <c r="JU172" s="675">
        <v>0</v>
      </c>
      <c r="JV172" s="675">
        <v>0</v>
      </c>
      <c r="JW172" s="675">
        <v>0</v>
      </c>
      <c r="JX172" s="675">
        <v>0</v>
      </c>
      <c r="JY172" s="675">
        <v>0</v>
      </c>
      <c r="JZ172" s="675">
        <v>0</v>
      </c>
      <c r="KA172" s="675">
        <v>0</v>
      </c>
      <c r="KB172" s="675">
        <v>0</v>
      </c>
      <c r="KC172" s="675">
        <v>0</v>
      </c>
      <c r="KD172" s="675">
        <v>0</v>
      </c>
      <c r="KE172" s="675">
        <v>7260</v>
      </c>
      <c r="KF172" s="675">
        <v>0</v>
      </c>
      <c r="KG172" s="675">
        <v>0</v>
      </c>
      <c r="KH172" s="675">
        <v>0</v>
      </c>
      <c r="KI172" s="675">
        <v>0</v>
      </c>
    </row>
    <row r="173" spans="1:295" ht="12.5" x14ac:dyDescent="0.25">
      <c r="A173" s="675">
        <v>35795</v>
      </c>
      <c r="B173" s="675">
        <v>101856</v>
      </c>
      <c r="C173" s="675">
        <v>9</v>
      </c>
      <c r="D173" s="675">
        <v>2022</v>
      </c>
      <c r="E173" s="675">
        <v>6160</v>
      </c>
      <c r="F173" s="675">
        <v>0</v>
      </c>
      <c r="G173" s="675">
        <v>627.29200000000003</v>
      </c>
      <c r="H173" s="675">
        <v>620.93299999999999</v>
      </c>
      <c r="I173" s="675">
        <v>620.93299999999999</v>
      </c>
      <c r="J173" s="675">
        <v>627.29200000000003</v>
      </c>
      <c r="K173" s="675">
        <v>0</v>
      </c>
      <c r="L173" s="675">
        <v>6160</v>
      </c>
      <c r="M173" s="675">
        <v>0</v>
      </c>
      <c r="N173" s="675">
        <v>0</v>
      </c>
      <c r="O173" s="675">
        <v>0</v>
      </c>
      <c r="P173" s="675">
        <v>632.69500000000005</v>
      </c>
      <c r="Q173" s="675">
        <v>0</v>
      </c>
      <c r="R173" s="675">
        <v>254614</v>
      </c>
      <c r="S173" s="675">
        <v>402.428</v>
      </c>
      <c r="T173" s="675">
        <v>0</v>
      </c>
      <c r="U173" s="675">
        <v>135398</v>
      </c>
      <c r="V173" s="675">
        <v>142.08199999999999</v>
      </c>
      <c r="W173" s="675">
        <v>483009</v>
      </c>
      <c r="X173" s="675">
        <v>483009</v>
      </c>
      <c r="Y173" s="675">
        <v>0</v>
      </c>
      <c r="Z173" s="675">
        <v>0</v>
      </c>
      <c r="AA173" s="675">
        <v>0</v>
      </c>
      <c r="AB173" s="675">
        <v>0</v>
      </c>
      <c r="AC173" s="675">
        <v>0</v>
      </c>
      <c r="AD173" s="675" t="s">
        <v>316</v>
      </c>
      <c r="AE173" s="675">
        <v>0</v>
      </c>
      <c r="AF173" s="675">
        <v>0</v>
      </c>
      <c r="AG173" s="675">
        <v>0</v>
      </c>
      <c r="AH173" s="675">
        <v>0</v>
      </c>
      <c r="AI173" s="675">
        <v>0</v>
      </c>
      <c r="AJ173" s="675">
        <v>6160</v>
      </c>
      <c r="AK173" s="675" t="s">
        <v>671</v>
      </c>
      <c r="AL173" s="675" t="s">
        <v>33</v>
      </c>
      <c r="AM173" s="675">
        <v>0</v>
      </c>
      <c r="AN173" s="675">
        <v>0</v>
      </c>
      <c r="AO173" s="675">
        <v>0</v>
      </c>
      <c r="AP173" s="675">
        <v>0</v>
      </c>
      <c r="AQ173" s="675">
        <v>0</v>
      </c>
      <c r="AR173" s="675">
        <v>0</v>
      </c>
      <c r="AS173" s="675">
        <v>0</v>
      </c>
      <c r="AT173" s="675">
        <v>0</v>
      </c>
      <c r="AU173" s="675">
        <v>0</v>
      </c>
      <c r="AV173" s="675">
        <v>0</v>
      </c>
      <c r="AW173" s="675">
        <v>7244684</v>
      </c>
      <c r="AX173" s="675">
        <v>7130513</v>
      </c>
      <c r="AY173" s="675">
        <v>4808748</v>
      </c>
      <c r="AZ173" s="675">
        <v>254614</v>
      </c>
      <c r="BA173" s="675">
        <v>0</v>
      </c>
      <c r="BB173" s="675">
        <v>0</v>
      </c>
      <c r="BC173" s="675">
        <v>0</v>
      </c>
      <c r="BD173" s="675">
        <v>0</v>
      </c>
      <c r="BE173" s="675">
        <v>0</v>
      </c>
      <c r="BF173" s="675">
        <v>6577656</v>
      </c>
      <c r="BG173" s="675">
        <v>0</v>
      </c>
      <c r="BH173" s="675">
        <v>0</v>
      </c>
      <c r="BI173" s="675">
        <v>0</v>
      </c>
      <c r="BJ173" s="675">
        <v>12</v>
      </c>
      <c r="BK173" s="675">
        <v>0</v>
      </c>
      <c r="BL173" s="675">
        <v>0</v>
      </c>
      <c r="BM173" s="675">
        <v>0</v>
      </c>
      <c r="BN173" s="675">
        <v>0</v>
      </c>
      <c r="BO173" s="675">
        <v>0</v>
      </c>
      <c r="BP173" s="675">
        <v>0</v>
      </c>
      <c r="BQ173" s="675">
        <v>674</v>
      </c>
      <c r="BR173" s="675">
        <v>0</v>
      </c>
      <c r="BS173" s="675">
        <v>0</v>
      </c>
      <c r="BT173" s="675">
        <v>0</v>
      </c>
      <c r="BU173" s="675">
        <v>0</v>
      </c>
      <c r="BV173" s="675">
        <v>0</v>
      </c>
      <c r="BW173" s="675">
        <v>0</v>
      </c>
      <c r="BX173" s="675">
        <v>0</v>
      </c>
      <c r="BY173" s="675">
        <v>0</v>
      </c>
      <c r="BZ173" s="675">
        <v>0</v>
      </c>
      <c r="CA173" s="675">
        <v>0</v>
      </c>
      <c r="CB173" s="675">
        <v>0</v>
      </c>
      <c r="CC173" s="675">
        <v>0</v>
      </c>
      <c r="CD173" s="675">
        <v>0</v>
      </c>
      <c r="CE173" s="675">
        <v>0</v>
      </c>
      <c r="CF173" s="675">
        <v>0</v>
      </c>
      <c r="CG173" s="675">
        <v>0</v>
      </c>
      <c r="CH173" s="675">
        <v>114646</v>
      </c>
      <c r="CI173" s="675">
        <v>0</v>
      </c>
      <c r="CJ173" s="675">
        <v>4</v>
      </c>
      <c r="CK173" s="675">
        <v>0</v>
      </c>
      <c r="CL173" s="675">
        <v>0</v>
      </c>
      <c r="CM173" s="675">
        <v>0</v>
      </c>
      <c r="CN173" s="675">
        <v>0</v>
      </c>
      <c r="CO173" s="675">
        <v>1</v>
      </c>
      <c r="CP173" s="675">
        <v>0</v>
      </c>
      <c r="CQ173" s="675">
        <v>0</v>
      </c>
      <c r="CR173" s="675">
        <v>636.40899999999999</v>
      </c>
      <c r="CS173" s="675">
        <v>0</v>
      </c>
      <c r="CT173" s="675">
        <v>0</v>
      </c>
      <c r="CU173" s="675">
        <v>0</v>
      </c>
      <c r="CV173" s="675">
        <v>0</v>
      </c>
      <c r="CW173" s="675">
        <v>0</v>
      </c>
      <c r="CX173" s="675">
        <v>0</v>
      </c>
      <c r="CY173" s="675">
        <v>0</v>
      </c>
      <c r="CZ173" s="675">
        <v>0</v>
      </c>
      <c r="DA173" s="675">
        <v>0</v>
      </c>
      <c r="DB173" s="675">
        <v>3824930</v>
      </c>
      <c r="DC173" s="675">
        <v>0</v>
      </c>
      <c r="DD173" s="675">
        <v>0</v>
      </c>
      <c r="DE173" s="675">
        <v>1132357</v>
      </c>
      <c r="DF173" s="675">
        <v>1132357</v>
      </c>
      <c r="DG173" s="675">
        <v>183.82500000000002</v>
      </c>
      <c r="DH173" s="675">
        <v>0</v>
      </c>
      <c r="DI173" s="675">
        <v>0</v>
      </c>
      <c r="DJ173" s="675">
        <v>0</v>
      </c>
      <c r="DK173" s="675">
        <v>2412</v>
      </c>
      <c r="DL173" s="675">
        <v>0</v>
      </c>
      <c r="DM173" s="675">
        <v>124825</v>
      </c>
      <c r="DN173" s="675">
        <v>475</v>
      </c>
      <c r="DO173" s="675">
        <v>0</v>
      </c>
      <c r="DP173" s="675">
        <v>0</v>
      </c>
      <c r="DQ173" s="675">
        <v>0</v>
      </c>
      <c r="DR173" s="675">
        <v>0</v>
      </c>
      <c r="DS173" s="675">
        <v>0</v>
      </c>
      <c r="DT173" s="675">
        <v>0</v>
      </c>
      <c r="DU173" s="675">
        <v>0</v>
      </c>
      <c r="DV173" s="675">
        <v>0</v>
      </c>
      <c r="DW173" s="675">
        <v>0</v>
      </c>
      <c r="DX173" s="675">
        <v>0</v>
      </c>
      <c r="DY173" s="675">
        <v>0</v>
      </c>
      <c r="DZ173" s="675">
        <v>0</v>
      </c>
      <c r="EA173" s="675">
        <v>0</v>
      </c>
      <c r="EB173" s="675">
        <v>0</v>
      </c>
      <c r="EC173" s="675">
        <v>0</v>
      </c>
      <c r="ED173" s="675">
        <v>0</v>
      </c>
      <c r="EE173" s="675">
        <v>0</v>
      </c>
      <c r="EF173" s="675">
        <v>0</v>
      </c>
      <c r="EG173" s="675">
        <v>0</v>
      </c>
      <c r="EH173" s="675">
        <v>125300</v>
      </c>
      <c r="EI173" s="675">
        <v>0</v>
      </c>
      <c r="EJ173" s="675">
        <v>0</v>
      </c>
      <c r="EK173" s="675">
        <v>5.7270000000000003</v>
      </c>
      <c r="EL173" s="675">
        <v>0</v>
      </c>
      <c r="EM173" s="675">
        <v>0</v>
      </c>
      <c r="EN173" s="675">
        <v>0.63200000000000001</v>
      </c>
      <c r="EO173" s="675">
        <v>0</v>
      </c>
      <c r="EP173" s="675">
        <v>0</v>
      </c>
      <c r="EQ173" s="675">
        <v>6.359</v>
      </c>
      <c r="ER173" s="675">
        <v>0</v>
      </c>
      <c r="ES173" s="675">
        <v>20.341000000000001</v>
      </c>
      <c r="ET173" s="675">
        <v>0</v>
      </c>
      <c r="EU173" s="675">
        <v>0</v>
      </c>
      <c r="EV173" s="675">
        <v>0</v>
      </c>
      <c r="EW173" s="675">
        <v>0</v>
      </c>
      <c r="EX173" s="675">
        <v>0</v>
      </c>
      <c r="EY173" s="675">
        <v>0</v>
      </c>
      <c r="EZ173" s="675">
        <v>6323042</v>
      </c>
      <c r="FA173" s="675">
        <v>0</v>
      </c>
      <c r="FB173" s="675">
        <v>6577181</v>
      </c>
      <c r="FC173" s="675">
        <v>0</v>
      </c>
      <c r="FD173" s="675">
        <v>0</v>
      </c>
      <c r="FE173" s="675">
        <v>669082</v>
      </c>
      <c r="FF173" s="675">
        <v>138389</v>
      </c>
      <c r="FG173" s="675">
        <v>6.3574999999999993E-2</v>
      </c>
      <c r="FH173" s="675">
        <v>2.6298999999999999E-2</v>
      </c>
      <c r="FI173" s="675">
        <v>0</v>
      </c>
      <c r="FJ173" s="675">
        <v>0</v>
      </c>
      <c r="FK173" s="675">
        <v>1067.806</v>
      </c>
      <c r="FL173" s="675">
        <v>7499298</v>
      </c>
      <c r="FM173" s="675">
        <v>0</v>
      </c>
      <c r="FN173" s="675">
        <v>0</v>
      </c>
      <c r="FO173" s="675">
        <v>0</v>
      </c>
      <c r="FP173" s="675">
        <v>0</v>
      </c>
      <c r="FQ173" s="675">
        <v>0</v>
      </c>
      <c r="FR173" s="675">
        <v>0</v>
      </c>
      <c r="FS173" s="675">
        <v>0</v>
      </c>
      <c r="FT173" s="675">
        <v>0</v>
      </c>
      <c r="FU173" s="675">
        <v>0</v>
      </c>
      <c r="FV173" s="675">
        <v>0</v>
      </c>
      <c r="FW173" s="675">
        <v>0</v>
      </c>
      <c r="FX173" s="675">
        <v>0</v>
      </c>
      <c r="FY173" s="675">
        <v>0</v>
      </c>
      <c r="FZ173" s="675">
        <v>0</v>
      </c>
      <c r="GA173" s="675">
        <v>0</v>
      </c>
      <c r="GB173" s="675">
        <v>0</v>
      </c>
      <c r="GC173" s="675">
        <v>0</v>
      </c>
      <c r="GD173" s="675">
        <v>0</v>
      </c>
      <c r="GE173" s="675">
        <v>0</v>
      </c>
      <c r="GF173" s="675">
        <v>0</v>
      </c>
      <c r="GG173" s="675">
        <v>0</v>
      </c>
      <c r="GH173" s="675">
        <v>0</v>
      </c>
      <c r="GI173" s="675">
        <v>0</v>
      </c>
      <c r="GJ173" s="675">
        <v>0</v>
      </c>
      <c r="GK173" s="675">
        <v>0</v>
      </c>
      <c r="GL173" s="675">
        <v>0</v>
      </c>
      <c r="GM173" s="675">
        <v>0</v>
      </c>
      <c r="GN173" s="675">
        <v>0</v>
      </c>
      <c r="GO173" s="675">
        <v>0</v>
      </c>
      <c r="GP173" s="675">
        <v>0</v>
      </c>
      <c r="GQ173" s="675">
        <v>0</v>
      </c>
      <c r="GR173" s="675">
        <v>0</v>
      </c>
      <c r="GS173" s="675">
        <v>0</v>
      </c>
      <c r="GT173" s="675">
        <v>0</v>
      </c>
      <c r="GU173" s="675">
        <v>0</v>
      </c>
      <c r="GV173" s="675">
        <v>0</v>
      </c>
      <c r="GW173" s="675">
        <v>0</v>
      </c>
      <c r="GX173" s="675">
        <v>0</v>
      </c>
      <c r="GY173" s="675">
        <v>0</v>
      </c>
      <c r="GZ173" s="675">
        <v>0</v>
      </c>
      <c r="HA173" s="675">
        <v>0</v>
      </c>
      <c r="HB173" s="675">
        <v>298386780</v>
      </c>
      <c r="HC173" s="675">
        <v>4.5690999999999996E-2</v>
      </c>
      <c r="HD173" s="675">
        <v>114646</v>
      </c>
      <c r="HE173" s="675">
        <v>0</v>
      </c>
      <c r="HF173" s="675">
        <v>683026</v>
      </c>
      <c r="HG173" s="675">
        <v>0</v>
      </c>
      <c r="HH173" s="675">
        <v>322937</v>
      </c>
      <c r="HI173" s="675">
        <v>0</v>
      </c>
      <c r="HJ173" s="675">
        <v>6097</v>
      </c>
      <c r="HK173" s="675">
        <v>0</v>
      </c>
      <c r="HL173" s="675">
        <v>0</v>
      </c>
      <c r="HM173" s="675">
        <v>0</v>
      </c>
      <c r="HN173" s="675">
        <v>0</v>
      </c>
      <c r="HO173" s="675">
        <v>0</v>
      </c>
      <c r="HP173" s="675">
        <v>0</v>
      </c>
      <c r="HQ173" s="675">
        <v>0</v>
      </c>
      <c r="HR173" s="675">
        <v>0</v>
      </c>
      <c r="HS173" s="675">
        <v>6322567</v>
      </c>
      <c r="HT173" s="675">
        <v>138389</v>
      </c>
      <c r="HU173" s="675">
        <v>0</v>
      </c>
      <c r="HV173" s="675">
        <v>0</v>
      </c>
      <c r="HW173" s="675">
        <v>0</v>
      </c>
      <c r="HX173" s="675">
        <v>31</v>
      </c>
      <c r="HY173" s="675">
        <v>17</v>
      </c>
      <c r="HZ173" s="675">
        <v>74</v>
      </c>
      <c r="IA173" s="675">
        <v>195</v>
      </c>
      <c r="IB173" s="675">
        <v>375</v>
      </c>
      <c r="IC173" s="675">
        <v>692</v>
      </c>
      <c r="ID173" s="675">
        <v>0</v>
      </c>
      <c r="IE173" s="675">
        <v>428.01800000000003</v>
      </c>
      <c r="IF173" s="675">
        <v>0</v>
      </c>
      <c r="IG173" s="675">
        <v>0</v>
      </c>
      <c r="IH173" s="675">
        <v>524.25</v>
      </c>
      <c r="II173" s="675">
        <v>0</v>
      </c>
      <c r="IJ173" s="675">
        <v>570.1</v>
      </c>
      <c r="IK173" s="675">
        <v>0</v>
      </c>
      <c r="IL173" s="675">
        <v>0</v>
      </c>
      <c r="IM173" s="675">
        <v>0</v>
      </c>
      <c r="IN173" s="675">
        <v>0</v>
      </c>
      <c r="IO173" s="675">
        <v>0</v>
      </c>
      <c r="IP173" s="675">
        <v>0</v>
      </c>
      <c r="IQ173" s="675">
        <v>142.08199999999999</v>
      </c>
      <c r="IR173" s="675">
        <v>87522</v>
      </c>
      <c r="IS173" s="675">
        <v>0</v>
      </c>
      <c r="IT173" s="675">
        <v>0</v>
      </c>
      <c r="IU173" s="675">
        <v>0</v>
      </c>
      <c r="IV173" s="675">
        <v>0</v>
      </c>
      <c r="IW173" s="675">
        <v>6160</v>
      </c>
      <c r="IX173" s="675">
        <v>395487</v>
      </c>
      <c r="IY173" s="675">
        <v>0</v>
      </c>
      <c r="IZ173" s="675">
        <v>0</v>
      </c>
      <c r="JA173" s="675">
        <v>0</v>
      </c>
      <c r="JB173" s="675">
        <v>0</v>
      </c>
      <c r="JC173" s="675">
        <v>0</v>
      </c>
      <c r="JD173" s="675">
        <v>0</v>
      </c>
      <c r="JE173" s="675">
        <v>0</v>
      </c>
      <c r="JF173" s="675">
        <v>0</v>
      </c>
      <c r="JG173" s="675">
        <v>0</v>
      </c>
      <c r="JH173" s="675">
        <v>0</v>
      </c>
      <c r="JI173" s="675">
        <v>0</v>
      </c>
      <c r="JJ173" s="675">
        <v>0</v>
      </c>
      <c r="JK173" s="675">
        <v>0</v>
      </c>
      <c r="JL173" s="675">
        <v>0</v>
      </c>
      <c r="JM173" s="675">
        <v>0</v>
      </c>
      <c r="JN173" s="675">
        <v>32469</v>
      </c>
      <c r="JO173" s="675">
        <v>0</v>
      </c>
      <c r="JP173" s="675">
        <v>0</v>
      </c>
      <c r="JQ173" s="675">
        <v>0</v>
      </c>
      <c r="JR173" s="675">
        <v>0</v>
      </c>
      <c r="JS173" s="675">
        <v>0</v>
      </c>
      <c r="JT173" s="675">
        <v>0</v>
      </c>
      <c r="JU173" s="675">
        <v>0</v>
      </c>
      <c r="JV173" s="675">
        <v>0</v>
      </c>
      <c r="JW173" s="675">
        <v>0</v>
      </c>
      <c r="JX173" s="675">
        <v>0</v>
      </c>
      <c r="JY173" s="675">
        <v>0</v>
      </c>
      <c r="JZ173" s="675">
        <v>0</v>
      </c>
      <c r="KA173" s="675">
        <v>0</v>
      </c>
      <c r="KB173" s="675">
        <v>0</v>
      </c>
      <c r="KC173" s="675">
        <v>0</v>
      </c>
      <c r="KD173" s="675">
        <v>0</v>
      </c>
      <c r="KE173" s="675">
        <v>7260</v>
      </c>
      <c r="KF173" s="675">
        <v>0</v>
      </c>
      <c r="KG173" s="675">
        <v>0</v>
      </c>
      <c r="KH173" s="675">
        <v>0</v>
      </c>
      <c r="KI173" s="675">
        <v>0</v>
      </c>
    </row>
    <row r="174" spans="1:295" ht="12.5" x14ac:dyDescent="0.25">
      <c r="A174" s="675">
        <v>35795</v>
      </c>
      <c r="B174" s="675">
        <v>101858</v>
      </c>
      <c r="C174" s="675">
        <v>9</v>
      </c>
      <c r="D174" s="675">
        <v>2022</v>
      </c>
      <c r="E174" s="675">
        <v>6160</v>
      </c>
      <c r="F174" s="675">
        <v>0</v>
      </c>
      <c r="G174" s="675">
        <v>5449.5650000000005</v>
      </c>
      <c r="H174" s="675">
        <v>5062.49</v>
      </c>
      <c r="I174" s="675">
        <v>5062.49</v>
      </c>
      <c r="J174" s="675">
        <v>5449.5650000000005</v>
      </c>
      <c r="K174" s="675">
        <v>0</v>
      </c>
      <c r="L174" s="675">
        <v>6160</v>
      </c>
      <c r="M174" s="675">
        <v>0</v>
      </c>
      <c r="N174" s="675">
        <v>0</v>
      </c>
      <c r="O174" s="675">
        <v>0</v>
      </c>
      <c r="P174" s="675">
        <v>5674.7620000000006</v>
      </c>
      <c r="Q174" s="675">
        <v>0</v>
      </c>
      <c r="R174" s="675">
        <v>2283683</v>
      </c>
      <c r="S174" s="675">
        <v>402.428</v>
      </c>
      <c r="T174" s="675">
        <v>0</v>
      </c>
      <c r="U174" s="675">
        <v>1214407</v>
      </c>
      <c r="V174" s="675">
        <v>1442.683</v>
      </c>
      <c r="W174" s="675">
        <v>888689</v>
      </c>
      <c r="X174" s="675">
        <v>888689</v>
      </c>
      <c r="Y174" s="675">
        <v>0</v>
      </c>
      <c r="Z174" s="675">
        <v>0</v>
      </c>
      <c r="AA174" s="675">
        <v>0</v>
      </c>
      <c r="AB174" s="675">
        <v>0</v>
      </c>
      <c r="AC174" s="675">
        <v>0</v>
      </c>
      <c r="AD174" s="675" t="s">
        <v>316</v>
      </c>
      <c r="AE174" s="675">
        <v>0</v>
      </c>
      <c r="AF174" s="675">
        <v>0</v>
      </c>
      <c r="AG174" s="675">
        <v>0</v>
      </c>
      <c r="AH174" s="675">
        <v>0</v>
      </c>
      <c r="AI174" s="675">
        <v>0</v>
      </c>
      <c r="AJ174" s="675">
        <v>6160</v>
      </c>
      <c r="AK174" s="675" t="s">
        <v>671</v>
      </c>
      <c r="AL174" s="675" t="s">
        <v>907</v>
      </c>
      <c r="AM174" s="675">
        <v>0</v>
      </c>
      <c r="AN174" s="675">
        <v>0</v>
      </c>
      <c r="AO174" s="675">
        <v>0</v>
      </c>
      <c r="AP174" s="675">
        <v>0</v>
      </c>
      <c r="AQ174" s="675">
        <v>0</v>
      </c>
      <c r="AR174" s="675">
        <v>0</v>
      </c>
      <c r="AS174" s="675">
        <v>0</v>
      </c>
      <c r="AT174" s="675">
        <v>0</v>
      </c>
      <c r="AU174" s="675">
        <v>0</v>
      </c>
      <c r="AV174" s="675">
        <v>0</v>
      </c>
      <c r="AW174" s="675">
        <v>57373122</v>
      </c>
      <c r="AX174" s="675">
        <v>56391621</v>
      </c>
      <c r="AY174" s="675">
        <v>38300354</v>
      </c>
      <c r="AZ174" s="675">
        <v>2283683</v>
      </c>
      <c r="BA174" s="675">
        <v>0</v>
      </c>
      <c r="BB174" s="675">
        <v>117492</v>
      </c>
      <c r="BC174" s="675">
        <v>116734</v>
      </c>
      <c r="BD174" s="675">
        <v>272.47800000000001</v>
      </c>
      <c r="BE174" s="675">
        <v>758</v>
      </c>
      <c r="BF174" s="675">
        <v>52245483</v>
      </c>
      <c r="BG174" s="675">
        <v>0</v>
      </c>
      <c r="BH174" s="675">
        <v>0</v>
      </c>
      <c r="BI174" s="675">
        <v>0</v>
      </c>
      <c r="BJ174" s="675">
        <v>12</v>
      </c>
      <c r="BK174" s="675">
        <v>0</v>
      </c>
      <c r="BL174" s="675">
        <v>0</v>
      </c>
      <c r="BM174" s="675">
        <v>0</v>
      </c>
      <c r="BN174" s="675">
        <v>0</v>
      </c>
      <c r="BO174" s="675">
        <v>0</v>
      </c>
      <c r="BP174" s="675">
        <v>0</v>
      </c>
      <c r="BQ174" s="675">
        <v>0</v>
      </c>
      <c r="BR174" s="675">
        <v>0</v>
      </c>
      <c r="BS174" s="675">
        <v>0</v>
      </c>
      <c r="BT174" s="675">
        <v>0</v>
      </c>
      <c r="BU174" s="675">
        <v>0</v>
      </c>
      <c r="BV174" s="675">
        <v>0</v>
      </c>
      <c r="BW174" s="675">
        <v>0</v>
      </c>
      <c r="BX174" s="675">
        <v>0</v>
      </c>
      <c r="BY174" s="675">
        <v>0</v>
      </c>
      <c r="BZ174" s="675">
        <v>0</v>
      </c>
      <c r="CA174" s="675">
        <v>0</v>
      </c>
      <c r="CB174" s="675">
        <v>0</v>
      </c>
      <c r="CC174" s="675">
        <v>0</v>
      </c>
      <c r="CD174" s="675">
        <v>0</v>
      </c>
      <c r="CE174" s="675">
        <v>0</v>
      </c>
      <c r="CF174" s="675">
        <v>0</v>
      </c>
      <c r="CG174" s="675">
        <v>0</v>
      </c>
      <c r="CH174" s="675">
        <v>995977</v>
      </c>
      <c r="CI174" s="675">
        <v>0</v>
      </c>
      <c r="CJ174" s="675">
        <v>4</v>
      </c>
      <c r="CK174" s="675">
        <v>0</v>
      </c>
      <c r="CL174" s="675">
        <v>0</v>
      </c>
      <c r="CM174" s="675">
        <v>0</v>
      </c>
      <c r="CN174" s="675">
        <v>0</v>
      </c>
      <c r="CO174" s="675">
        <v>1</v>
      </c>
      <c r="CP174" s="675">
        <v>0</v>
      </c>
      <c r="CQ174" s="675">
        <v>0</v>
      </c>
      <c r="CR174" s="675">
        <v>5712.3630000000003</v>
      </c>
      <c r="CS174" s="675">
        <v>0</v>
      </c>
      <c r="CT174" s="675">
        <v>0</v>
      </c>
      <c r="CU174" s="675">
        <v>0</v>
      </c>
      <c r="CV174" s="675">
        <v>0</v>
      </c>
      <c r="CW174" s="675">
        <v>0</v>
      </c>
      <c r="CX174" s="675">
        <v>0</v>
      </c>
      <c r="CY174" s="675">
        <v>0</v>
      </c>
      <c r="CZ174" s="675">
        <v>0</v>
      </c>
      <c r="DA174" s="675">
        <v>0</v>
      </c>
      <c r="DB174" s="675">
        <v>31184794</v>
      </c>
      <c r="DC174" s="675">
        <v>0</v>
      </c>
      <c r="DD174" s="675">
        <v>0</v>
      </c>
      <c r="DE174" s="675">
        <v>6550437</v>
      </c>
      <c r="DF174" s="675">
        <v>6550437</v>
      </c>
      <c r="DG174" s="675">
        <v>1063.3880000000001</v>
      </c>
      <c r="DH174" s="675">
        <v>0</v>
      </c>
      <c r="DI174" s="675">
        <v>0</v>
      </c>
      <c r="DJ174" s="675">
        <v>0</v>
      </c>
      <c r="DK174" s="675">
        <v>0</v>
      </c>
      <c r="DL174" s="675">
        <v>0</v>
      </c>
      <c r="DM174" s="675">
        <v>3601482</v>
      </c>
      <c r="DN174" s="675">
        <v>13718</v>
      </c>
      <c r="DO174" s="675">
        <v>0</v>
      </c>
      <c r="DP174" s="675">
        <v>0</v>
      </c>
      <c r="DQ174" s="675">
        <v>0</v>
      </c>
      <c r="DR174" s="675">
        <v>0</v>
      </c>
      <c r="DS174" s="675">
        <v>0</v>
      </c>
      <c r="DT174" s="675">
        <v>0</v>
      </c>
      <c r="DU174" s="675">
        <v>0</v>
      </c>
      <c r="DV174" s="675">
        <v>0</v>
      </c>
      <c r="DW174" s="675">
        <v>0</v>
      </c>
      <c r="DX174" s="675">
        <v>0</v>
      </c>
      <c r="DY174" s="675">
        <v>0</v>
      </c>
      <c r="DZ174" s="675">
        <v>0</v>
      </c>
      <c r="EA174" s="675">
        <v>0.17</v>
      </c>
      <c r="EB174" s="675">
        <v>0</v>
      </c>
      <c r="EC174" s="675">
        <v>90.725000000000009</v>
      </c>
      <c r="ED174" s="675">
        <v>642693</v>
      </c>
      <c r="EE174" s="675">
        <v>0</v>
      </c>
      <c r="EF174" s="675">
        <v>0</v>
      </c>
      <c r="EG174" s="675">
        <v>0</v>
      </c>
      <c r="EH174" s="675">
        <v>2972507</v>
      </c>
      <c r="EI174" s="675">
        <v>0</v>
      </c>
      <c r="EJ174" s="675">
        <v>0</v>
      </c>
      <c r="EK174" s="675">
        <v>123.289</v>
      </c>
      <c r="EL174" s="675">
        <v>0</v>
      </c>
      <c r="EM174" s="675">
        <v>20.61</v>
      </c>
      <c r="EN174" s="675">
        <v>10.001000000000001</v>
      </c>
      <c r="EO174" s="675">
        <v>0</v>
      </c>
      <c r="EP174" s="675">
        <v>0</v>
      </c>
      <c r="EQ174" s="675">
        <v>154.07</v>
      </c>
      <c r="ER174" s="675">
        <v>0</v>
      </c>
      <c r="ES174" s="675">
        <v>482.55200000000002</v>
      </c>
      <c r="ET174" s="675">
        <v>0</v>
      </c>
      <c r="EU174" s="675">
        <v>0</v>
      </c>
      <c r="EV174" s="675">
        <v>0</v>
      </c>
      <c r="EW174" s="675">
        <v>0</v>
      </c>
      <c r="EX174" s="675">
        <v>0</v>
      </c>
      <c r="EY174" s="675">
        <v>0</v>
      </c>
      <c r="EZ174" s="675">
        <v>49977978</v>
      </c>
      <c r="FA174" s="675">
        <v>0</v>
      </c>
      <c r="FB174" s="675">
        <v>52247185</v>
      </c>
      <c r="FC174" s="675">
        <v>0</v>
      </c>
      <c r="FD174" s="675">
        <v>0</v>
      </c>
      <c r="FE174" s="675">
        <v>5314435</v>
      </c>
      <c r="FF174" s="675">
        <v>1099208</v>
      </c>
      <c r="FG174" s="675">
        <v>6.3574999999999993E-2</v>
      </c>
      <c r="FH174" s="675">
        <v>2.6298999999999999E-2</v>
      </c>
      <c r="FI174" s="675">
        <v>0</v>
      </c>
      <c r="FJ174" s="675">
        <v>0</v>
      </c>
      <c r="FK174" s="675">
        <v>8481.4490000000005</v>
      </c>
      <c r="FL174" s="675">
        <v>59656805</v>
      </c>
      <c r="FM174" s="675">
        <v>0</v>
      </c>
      <c r="FN174" s="675">
        <v>0</v>
      </c>
      <c r="FO174" s="675">
        <v>0</v>
      </c>
      <c r="FP174" s="675">
        <v>0</v>
      </c>
      <c r="FQ174" s="675">
        <v>0</v>
      </c>
      <c r="FR174" s="675">
        <v>0</v>
      </c>
      <c r="FS174" s="675">
        <v>0</v>
      </c>
      <c r="FT174" s="675">
        <v>0</v>
      </c>
      <c r="FU174" s="675">
        <v>0</v>
      </c>
      <c r="FV174" s="675">
        <v>0</v>
      </c>
      <c r="FW174" s="675">
        <v>0</v>
      </c>
      <c r="FX174" s="675">
        <v>0</v>
      </c>
      <c r="FY174" s="675">
        <v>0</v>
      </c>
      <c r="FZ174" s="675">
        <v>0</v>
      </c>
      <c r="GA174" s="675">
        <v>0</v>
      </c>
      <c r="GB174" s="675">
        <v>2208057</v>
      </c>
      <c r="GC174" s="675">
        <v>2208057</v>
      </c>
      <c r="GD174" s="675">
        <v>233.00500000000002</v>
      </c>
      <c r="GE174" s="675">
        <v>0</v>
      </c>
      <c r="GF174" s="675">
        <v>0</v>
      </c>
      <c r="GG174" s="675">
        <v>0</v>
      </c>
      <c r="GH174" s="675">
        <v>0</v>
      </c>
      <c r="GI174" s="675">
        <v>0</v>
      </c>
      <c r="GJ174" s="675">
        <v>0</v>
      </c>
      <c r="GK174" s="675">
        <v>0</v>
      </c>
      <c r="GL174" s="675">
        <v>0</v>
      </c>
      <c r="GM174" s="675">
        <v>0</v>
      </c>
      <c r="GN174" s="675">
        <v>0</v>
      </c>
      <c r="GO174" s="675">
        <v>0</v>
      </c>
      <c r="GP174" s="675">
        <v>0</v>
      </c>
      <c r="GQ174" s="675">
        <v>0</v>
      </c>
      <c r="GR174" s="675">
        <v>0</v>
      </c>
      <c r="GS174" s="675">
        <v>0</v>
      </c>
      <c r="GT174" s="675">
        <v>0</v>
      </c>
      <c r="GU174" s="675">
        <v>0</v>
      </c>
      <c r="GV174" s="675">
        <v>0</v>
      </c>
      <c r="GW174" s="675">
        <v>0</v>
      </c>
      <c r="GX174" s="675">
        <v>0</v>
      </c>
      <c r="GY174" s="675">
        <v>0</v>
      </c>
      <c r="GZ174" s="675">
        <v>0</v>
      </c>
      <c r="HA174" s="675">
        <v>0</v>
      </c>
      <c r="HB174" s="675">
        <v>298386780</v>
      </c>
      <c r="HC174" s="675">
        <v>4.5690999999999996E-2</v>
      </c>
      <c r="HD174" s="675">
        <v>995977</v>
      </c>
      <c r="HE174" s="675">
        <v>0</v>
      </c>
      <c r="HF174" s="675">
        <v>5568739</v>
      </c>
      <c r="HG174" s="675">
        <v>57904</v>
      </c>
      <c r="HH174" s="675">
        <v>1117189</v>
      </c>
      <c r="HI174" s="675">
        <v>0</v>
      </c>
      <c r="HJ174" s="675">
        <v>52970</v>
      </c>
      <c r="HK174" s="675">
        <v>12240</v>
      </c>
      <c r="HL174" s="675">
        <v>3938</v>
      </c>
      <c r="HM174" s="675">
        <v>423000</v>
      </c>
      <c r="HN174" s="675">
        <v>461012</v>
      </c>
      <c r="HO174" s="675">
        <v>0</v>
      </c>
      <c r="HP174" s="675">
        <v>0</v>
      </c>
      <c r="HQ174" s="675">
        <v>0</v>
      </c>
      <c r="HR174" s="675">
        <v>0</v>
      </c>
      <c r="HS174" s="675">
        <v>49963502</v>
      </c>
      <c r="HT174" s="675">
        <v>1099208</v>
      </c>
      <c r="HU174" s="675">
        <v>0</v>
      </c>
      <c r="HV174" s="675">
        <v>0</v>
      </c>
      <c r="HW174" s="675">
        <v>0</v>
      </c>
      <c r="HX174" s="675">
        <v>704</v>
      </c>
      <c r="HY174" s="675">
        <v>1357</v>
      </c>
      <c r="HZ174" s="675">
        <v>965</v>
      </c>
      <c r="IA174" s="675">
        <v>690</v>
      </c>
      <c r="IB174" s="675">
        <v>583</v>
      </c>
      <c r="IC174" s="675">
        <v>4299</v>
      </c>
      <c r="ID174" s="675">
        <v>0</v>
      </c>
      <c r="IE174" s="675">
        <v>0</v>
      </c>
      <c r="IF174" s="675">
        <v>0</v>
      </c>
      <c r="IG174" s="675">
        <v>94</v>
      </c>
      <c r="IH174" s="675">
        <v>1813.6270000000002</v>
      </c>
      <c r="II174" s="675">
        <v>0</v>
      </c>
      <c r="IJ174" s="675">
        <v>1442.683</v>
      </c>
      <c r="IK174" s="675">
        <v>0</v>
      </c>
      <c r="IL174" s="675">
        <v>69</v>
      </c>
      <c r="IM174" s="675">
        <v>26</v>
      </c>
      <c r="IN174" s="675">
        <v>0</v>
      </c>
      <c r="IO174" s="675">
        <v>95</v>
      </c>
      <c r="IP174" s="675">
        <v>0</v>
      </c>
      <c r="IQ174" s="675">
        <v>1442.683</v>
      </c>
      <c r="IR174" s="675">
        <v>888689</v>
      </c>
      <c r="IS174" s="675">
        <v>0</v>
      </c>
      <c r="IT174" s="675">
        <v>345000</v>
      </c>
      <c r="IU174" s="675">
        <v>78000</v>
      </c>
      <c r="IV174" s="675">
        <v>0</v>
      </c>
      <c r="IW174" s="675">
        <v>6160</v>
      </c>
      <c r="IX174" s="675">
        <v>0</v>
      </c>
      <c r="IY174" s="675">
        <v>0</v>
      </c>
      <c r="IZ174" s="675">
        <v>0</v>
      </c>
      <c r="JA174" s="675">
        <v>0</v>
      </c>
      <c r="JB174" s="675">
        <v>6</v>
      </c>
      <c r="JC174" s="675">
        <v>101900</v>
      </c>
      <c r="JD174" s="675">
        <v>18</v>
      </c>
      <c r="JE174" s="675">
        <v>166348</v>
      </c>
      <c r="JF174" s="675">
        <v>34</v>
      </c>
      <c r="JG174" s="675">
        <v>164264</v>
      </c>
      <c r="JH174" s="675">
        <v>28500</v>
      </c>
      <c r="JI174" s="675">
        <v>0</v>
      </c>
      <c r="JJ174" s="675">
        <v>0</v>
      </c>
      <c r="JK174" s="675">
        <v>0</v>
      </c>
      <c r="JL174" s="675">
        <v>0</v>
      </c>
      <c r="JM174" s="675">
        <v>0</v>
      </c>
      <c r="JN174" s="675">
        <v>32469</v>
      </c>
      <c r="JO174" s="675">
        <v>37.103999999999999</v>
      </c>
      <c r="JP174" s="675">
        <v>129.738</v>
      </c>
      <c r="JQ174" s="675">
        <v>66.164000000000001</v>
      </c>
      <c r="JR174" s="675">
        <v>296313</v>
      </c>
      <c r="JS174" s="675">
        <v>1205629</v>
      </c>
      <c r="JT174" s="675">
        <v>706115</v>
      </c>
      <c r="JU174" s="675">
        <v>117492</v>
      </c>
      <c r="JV174" s="675">
        <v>0</v>
      </c>
      <c r="JW174" s="675">
        <v>0</v>
      </c>
      <c r="JX174" s="675">
        <v>0</v>
      </c>
      <c r="JY174" s="675">
        <v>0</v>
      </c>
      <c r="JZ174" s="675">
        <v>0</v>
      </c>
      <c r="KA174" s="675">
        <v>0</v>
      </c>
      <c r="KB174" s="675">
        <v>0</v>
      </c>
      <c r="KC174" s="675">
        <v>0</v>
      </c>
      <c r="KD174" s="675">
        <v>117492</v>
      </c>
      <c r="KE174" s="675">
        <v>7260</v>
      </c>
      <c r="KF174" s="675">
        <v>0</v>
      </c>
      <c r="KG174" s="675">
        <v>0</v>
      </c>
      <c r="KH174" s="675">
        <v>0</v>
      </c>
      <c r="KI174" s="675">
        <v>0</v>
      </c>
    </row>
    <row r="175" spans="1:295" ht="12.5" x14ac:dyDescent="0.25">
      <c r="A175" s="675">
        <v>35795</v>
      </c>
      <c r="B175" s="675">
        <v>101859</v>
      </c>
      <c r="C175" s="675">
        <v>9</v>
      </c>
      <c r="D175" s="675">
        <v>2022</v>
      </c>
      <c r="E175" s="675">
        <v>6160</v>
      </c>
      <c r="F175" s="675">
        <v>0</v>
      </c>
      <c r="G175" s="675">
        <v>536.31299999999999</v>
      </c>
      <c r="H175" s="675">
        <v>524.12300000000005</v>
      </c>
      <c r="I175" s="675">
        <v>524.12300000000005</v>
      </c>
      <c r="J175" s="675">
        <v>536.31299999999999</v>
      </c>
      <c r="K175" s="675">
        <v>0</v>
      </c>
      <c r="L175" s="675">
        <v>6160</v>
      </c>
      <c r="M175" s="675">
        <v>0</v>
      </c>
      <c r="N175" s="675">
        <v>0</v>
      </c>
      <c r="O175" s="675">
        <v>0</v>
      </c>
      <c r="P175" s="675">
        <v>483.35300000000001</v>
      </c>
      <c r="Q175" s="675">
        <v>0</v>
      </c>
      <c r="R175" s="675">
        <v>194515</v>
      </c>
      <c r="S175" s="675">
        <v>402.428</v>
      </c>
      <c r="T175" s="675">
        <v>0</v>
      </c>
      <c r="U175" s="675">
        <v>103438</v>
      </c>
      <c r="V175" s="675">
        <v>308.53300000000002</v>
      </c>
      <c r="W175" s="675">
        <v>190055</v>
      </c>
      <c r="X175" s="675">
        <v>190055</v>
      </c>
      <c r="Y175" s="675">
        <v>0</v>
      </c>
      <c r="Z175" s="675">
        <v>0</v>
      </c>
      <c r="AA175" s="675">
        <v>0</v>
      </c>
      <c r="AB175" s="675">
        <v>0</v>
      </c>
      <c r="AC175" s="675">
        <v>0</v>
      </c>
      <c r="AD175" s="675" t="s">
        <v>316</v>
      </c>
      <c r="AE175" s="675">
        <v>0</v>
      </c>
      <c r="AF175" s="675">
        <v>0</v>
      </c>
      <c r="AG175" s="675">
        <v>0</v>
      </c>
      <c r="AH175" s="675">
        <v>0</v>
      </c>
      <c r="AI175" s="675">
        <v>0</v>
      </c>
      <c r="AJ175" s="675">
        <v>6160</v>
      </c>
      <c r="AK175" s="675" t="s">
        <v>671</v>
      </c>
      <c r="AL175" s="675" t="s">
        <v>349</v>
      </c>
      <c r="AM175" s="675">
        <v>0</v>
      </c>
      <c r="AN175" s="675">
        <v>0</v>
      </c>
      <c r="AO175" s="675">
        <v>0</v>
      </c>
      <c r="AP175" s="675">
        <v>0</v>
      </c>
      <c r="AQ175" s="675">
        <v>0</v>
      </c>
      <c r="AR175" s="675">
        <v>0</v>
      </c>
      <c r="AS175" s="675">
        <v>0</v>
      </c>
      <c r="AT175" s="675">
        <v>0</v>
      </c>
      <c r="AU175" s="675">
        <v>0</v>
      </c>
      <c r="AV175" s="675">
        <v>-4085</v>
      </c>
      <c r="AW175" s="675">
        <v>5931607</v>
      </c>
      <c r="AX175" s="675">
        <v>5834718</v>
      </c>
      <c r="AY175" s="675">
        <v>3920986</v>
      </c>
      <c r="AZ175" s="675">
        <v>194515</v>
      </c>
      <c r="BA175" s="675">
        <v>0</v>
      </c>
      <c r="BB175" s="675">
        <v>0</v>
      </c>
      <c r="BC175" s="675">
        <v>0</v>
      </c>
      <c r="BD175" s="675">
        <v>0</v>
      </c>
      <c r="BE175" s="675">
        <v>0</v>
      </c>
      <c r="BF175" s="675">
        <v>5370012</v>
      </c>
      <c r="BG175" s="675">
        <v>0</v>
      </c>
      <c r="BH175" s="675">
        <v>0</v>
      </c>
      <c r="BI175" s="675">
        <v>0</v>
      </c>
      <c r="BJ175" s="675">
        <v>12</v>
      </c>
      <c r="BK175" s="675">
        <v>0</v>
      </c>
      <c r="BL175" s="675">
        <v>0</v>
      </c>
      <c r="BM175" s="675">
        <v>0</v>
      </c>
      <c r="BN175" s="675">
        <v>0</v>
      </c>
      <c r="BO175" s="675">
        <v>0</v>
      </c>
      <c r="BP175" s="675">
        <v>0</v>
      </c>
      <c r="BQ175" s="675">
        <v>689</v>
      </c>
      <c r="BR175" s="675">
        <v>0</v>
      </c>
      <c r="BS175" s="675">
        <v>0</v>
      </c>
      <c r="BT175" s="675">
        <v>0</v>
      </c>
      <c r="BU175" s="675">
        <v>0</v>
      </c>
      <c r="BV175" s="675">
        <v>0</v>
      </c>
      <c r="BW175" s="675">
        <v>0</v>
      </c>
      <c r="BX175" s="675">
        <v>0</v>
      </c>
      <c r="BY175" s="675">
        <v>0</v>
      </c>
      <c r="BZ175" s="675">
        <v>0</v>
      </c>
      <c r="CA175" s="675">
        <v>0</v>
      </c>
      <c r="CB175" s="675">
        <v>0</v>
      </c>
      <c r="CC175" s="675">
        <v>0</v>
      </c>
      <c r="CD175" s="675">
        <v>0</v>
      </c>
      <c r="CE175" s="675">
        <v>0</v>
      </c>
      <c r="CF175" s="675">
        <v>0</v>
      </c>
      <c r="CG175" s="675">
        <v>0</v>
      </c>
      <c r="CH175" s="675">
        <v>98018</v>
      </c>
      <c r="CI175" s="675">
        <v>0</v>
      </c>
      <c r="CJ175" s="675">
        <v>4</v>
      </c>
      <c r="CK175" s="675">
        <v>0</v>
      </c>
      <c r="CL175" s="675">
        <v>0</v>
      </c>
      <c r="CM175" s="675">
        <v>0</v>
      </c>
      <c r="CN175" s="675">
        <v>0</v>
      </c>
      <c r="CO175" s="675">
        <v>1</v>
      </c>
      <c r="CP175" s="675">
        <v>0</v>
      </c>
      <c r="CQ175" s="675">
        <v>0</v>
      </c>
      <c r="CR175" s="675">
        <v>466.22</v>
      </c>
      <c r="CS175" s="675">
        <v>0</v>
      </c>
      <c r="CT175" s="675">
        <v>0</v>
      </c>
      <c r="CU175" s="675">
        <v>0</v>
      </c>
      <c r="CV175" s="675">
        <v>0</v>
      </c>
      <c r="CW175" s="675">
        <v>0</v>
      </c>
      <c r="CX175" s="675">
        <v>0</v>
      </c>
      <c r="CY175" s="675">
        <v>0</v>
      </c>
      <c r="CZ175" s="675">
        <v>0</v>
      </c>
      <c r="DA175" s="675">
        <v>0</v>
      </c>
      <c r="DB175" s="675">
        <v>3228583</v>
      </c>
      <c r="DC175" s="675">
        <v>0</v>
      </c>
      <c r="DD175" s="675">
        <v>0</v>
      </c>
      <c r="DE175" s="675">
        <v>901743</v>
      </c>
      <c r="DF175" s="675">
        <v>901743</v>
      </c>
      <c r="DG175" s="675">
        <v>146.38800000000001</v>
      </c>
      <c r="DH175" s="675">
        <v>0</v>
      </c>
      <c r="DI175" s="675">
        <v>0</v>
      </c>
      <c r="DJ175" s="675">
        <v>0</v>
      </c>
      <c r="DK175" s="675">
        <v>2651</v>
      </c>
      <c r="DL175" s="675">
        <v>0</v>
      </c>
      <c r="DM175" s="675">
        <v>296457</v>
      </c>
      <c r="DN175" s="675">
        <v>1129</v>
      </c>
      <c r="DO175" s="675">
        <v>0</v>
      </c>
      <c r="DP175" s="675">
        <v>0</v>
      </c>
      <c r="DQ175" s="675">
        <v>0</v>
      </c>
      <c r="DR175" s="675">
        <v>0</v>
      </c>
      <c r="DS175" s="675">
        <v>0</v>
      </c>
      <c r="DT175" s="675">
        <v>0</v>
      </c>
      <c r="DU175" s="675">
        <v>0</v>
      </c>
      <c r="DV175" s="675">
        <v>0</v>
      </c>
      <c r="DW175" s="675">
        <v>0</v>
      </c>
      <c r="DX175" s="675">
        <v>0</v>
      </c>
      <c r="DY175" s="675">
        <v>0</v>
      </c>
      <c r="DZ175" s="675">
        <v>0</v>
      </c>
      <c r="EA175" s="675">
        <v>0</v>
      </c>
      <c r="EB175" s="675">
        <v>0</v>
      </c>
      <c r="EC175" s="675">
        <v>8.6170000000000009</v>
      </c>
      <c r="ED175" s="675">
        <v>61043</v>
      </c>
      <c r="EE175" s="675">
        <v>0</v>
      </c>
      <c r="EF175" s="675">
        <v>0</v>
      </c>
      <c r="EG175" s="675">
        <v>0</v>
      </c>
      <c r="EH175" s="675">
        <v>236543</v>
      </c>
      <c r="EI175" s="675">
        <v>0</v>
      </c>
      <c r="EJ175" s="675">
        <v>0</v>
      </c>
      <c r="EK175" s="675">
        <v>11.275</v>
      </c>
      <c r="EL175" s="675">
        <v>0</v>
      </c>
      <c r="EM175" s="675">
        <v>0</v>
      </c>
      <c r="EN175" s="675">
        <v>0.91500000000000004</v>
      </c>
      <c r="EO175" s="675">
        <v>0</v>
      </c>
      <c r="EP175" s="675">
        <v>0</v>
      </c>
      <c r="EQ175" s="675">
        <v>12.19</v>
      </c>
      <c r="ER175" s="675">
        <v>0</v>
      </c>
      <c r="ES175" s="675">
        <v>38.4</v>
      </c>
      <c r="ET175" s="675">
        <v>0</v>
      </c>
      <c r="EU175" s="675">
        <v>0</v>
      </c>
      <c r="EV175" s="675">
        <v>0</v>
      </c>
      <c r="EW175" s="675">
        <v>0</v>
      </c>
      <c r="EX175" s="675">
        <v>0</v>
      </c>
      <c r="EY175" s="675">
        <v>0</v>
      </c>
      <c r="EZ175" s="675">
        <v>5175497</v>
      </c>
      <c r="FA175" s="675">
        <v>0</v>
      </c>
      <c r="FB175" s="675">
        <v>5368883</v>
      </c>
      <c r="FC175" s="675">
        <v>0</v>
      </c>
      <c r="FD175" s="675">
        <v>0</v>
      </c>
      <c r="FE175" s="675">
        <v>546240</v>
      </c>
      <c r="FF175" s="675">
        <v>112981</v>
      </c>
      <c r="FG175" s="675">
        <v>6.3574999999999993E-2</v>
      </c>
      <c r="FH175" s="675">
        <v>2.6298999999999999E-2</v>
      </c>
      <c r="FI175" s="675">
        <v>0</v>
      </c>
      <c r="FJ175" s="675">
        <v>0</v>
      </c>
      <c r="FK175" s="675">
        <v>871.75900000000001</v>
      </c>
      <c r="FL175" s="675">
        <v>6126122</v>
      </c>
      <c r="FM175" s="675">
        <v>0</v>
      </c>
      <c r="FN175" s="675">
        <v>0</v>
      </c>
      <c r="FO175" s="675">
        <v>0</v>
      </c>
      <c r="FP175" s="675">
        <v>0</v>
      </c>
      <c r="FQ175" s="675">
        <v>0</v>
      </c>
      <c r="FR175" s="675">
        <v>0</v>
      </c>
      <c r="FS175" s="675">
        <v>0</v>
      </c>
      <c r="FT175" s="675">
        <v>0</v>
      </c>
      <c r="FU175" s="675">
        <v>0</v>
      </c>
      <c r="FV175" s="675">
        <v>0</v>
      </c>
      <c r="FW175" s="675">
        <v>0</v>
      </c>
      <c r="FX175" s="675">
        <v>0</v>
      </c>
      <c r="FY175" s="675">
        <v>0</v>
      </c>
      <c r="FZ175" s="675">
        <v>0</v>
      </c>
      <c r="GA175" s="675">
        <v>0</v>
      </c>
      <c r="GB175" s="675">
        <v>0</v>
      </c>
      <c r="GC175" s="675">
        <v>0</v>
      </c>
      <c r="GD175" s="675">
        <v>0</v>
      </c>
      <c r="GE175" s="675">
        <v>0</v>
      </c>
      <c r="GF175" s="675">
        <v>0</v>
      </c>
      <c r="GG175" s="675">
        <v>0</v>
      </c>
      <c r="GH175" s="675">
        <v>0</v>
      </c>
      <c r="GI175" s="675">
        <v>0</v>
      </c>
      <c r="GJ175" s="675">
        <v>0</v>
      </c>
      <c r="GK175" s="675">
        <v>0</v>
      </c>
      <c r="GL175" s="675">
        <v>0</v>
      </c>
      <c r="GM175" s="675">
        <v>0</v>
      </c>
      <c r="GN175" s="675">
        <v>0</v>
      </c>
      <c r="GO175" s="675">
        <v>0</v>
      </c>
      <c r="GP175" s="675">
        <v>0</v>
      </c>
      <c r="GQ175" s="675">
        <v>0</v>
      </c>
      <c r="GR175" s="675">
        <v>0</v>
      </c>
      <c r="GS175" s="675">
        <v>0</v>
      </c>
      <c r="GT175" s="675">
        <v>0</v>
      </c>
      <c r="GU175" s="675">
        <v>0</v>
      </c>
      <c r="GV175" s="675">
        <v>0</v>
      </c>
      <c r="GW175" s="675">
        <v>0</v>
      </c>
      <c r="GX175" s="675">
        <v>0</v>
      </c>
      <c r="GY175" s="675">
        <v>0</v>
      </c>
      <c r="GZ175" s="675">
        <v>0</v>
      </c>
      <c r="HA175" s="675">
        <v>0</v>
      </c>
      <c r="HB175" s="675">
        <v>298386780</v>
      </c>
      <c r="HC175" s="675">
        <v>4.5690999999999996E-2</v>
      </c>
      <c r="HD175" s="675">
        <v>98018</v>
      </c>
      <c r="HE175" s="675">
        <v>0</v>
      </c>
      <c r="HF175" s="675">
        <v>576535</v>
      </c>
      <c r="HG175" s="675">
        <v>0</v>
      </c>
      <c r="HH175" s="675">
        <v>170297</v>
      </c>
      <c r="HI175" s="675">
        <v>0</v>
      </c>
      <c r="HJ175" s="675">
        <v>5213</v>
      </c>
      <c r="HK175" s="675">
        <v>0</v>
      </c>
      <c r="HL175" s="675">
        <v>0</v>
      </c>
      <c r="HM175" s="675">
        <v>0</v>
      </c>
      <c r="HN175" s="675">
        <v>0</v>
      </c>
      <c r="HO175" s="675">
        <v>0</v>
      </c>
      <c r="HP175" s="675">
        <v>0</v>
      </c>
      <c r="HQ175" s="675">
        <v>0</v>
      </c>
      <c r="HR175" s="675">
        <v>0</v>
      </c>
      <c r="HS175" s="675">
        <v>5174368</v>
      </c>
      <c r="HT175" s="675">
        <v>112981</v>
      </c>
      <c r="HU175" s="675">
        <v>0</v>
      </c>
      <c r="HV175" s="675">
        <v>0</v>
      </c>
      <c r="HW175" s="675">
        <v>0</v>
      </c>
      <c r="HX175" s="675">
        <v>29</v>
      </c>
      <c r="HY175" s="675">
        <v>55</v>
      </c>
      <c r="HZ175" s="675">
        <v>80</v>
      </c>
      <c r="IA175" s="675">
        <v>124</v>
      </c>
      <c r="IB175" s="675">
        <v>270</v>
      </c>
      <c r="IC175" s="675">
        <v>558</v>
      </c>
      <c r="ID175" s="675">
        <v>0</v>
      </c>
      <c r="IE175" s="675">
        <v>0</v>
      </c>
      <c r="IF175" s="675">
        <v>0</v>
      </c>
      <c r="IG175" s="675">
        <v>0</v>
      </c>
      <c r="IH175" s="675">
        <v>276.45800000000003</v>
      </c>
      <c r="II175" s="675">
        <v>0</v>
      </c>
      <c r="IJ175" s="675">
        <v>308.53300000000002</v>
      </c>
      <c r="IK175" s="675">
        <v>0</v>
      </c>
      <c r="IL175" s="675">
        <v>0</v>
      </c>
      <c r="IM175" s="675">
        <v>0</v>
      </c>
      <c r="IN175" s="675">
        <v>0</v>
      </c>
      <c r="IO175" s="675">
        <v>0</v>
      </c>
      <c r="IP175" s="675">
        <v>0</v>
      </c>
      <c r="IQ175" s="675">
        <v>308.53300000000002</v>
      </c>
      <c r="IR175" s="675">
        <v>190055</v>
      </c>
      <c r="IS175" s="675">
        <v>0</v>
      </c>
      <c r="IT175" s="675">
        <v>0</v>
      </c>
      <c r="IU175" s="675">
        <v>0</v>
      </c>
      <c r="IV175" s="675">
        <v>0</v>
      </c>
      <c r="IW175" s="675">
        <v>6160</v>
      </c>
      <c r="IX175" s="675">
        <v>0</v>
      </c>
      <c r="IY175" s="675">
        <v>0</v>
      </c>
      <c r="IZ175" s="675">
        <v>0</v>
      </c>
      <c r="JA175" s="675">
        <v>0</v>
      </c>
      <c r="JB175" s="675">
        <v>0</v>
      </c>
      <c r="JC175" s="675">
        <v>0</v>
      </c>
      <c r="JD175" s="675">
        <v>0</v>
      </c>
      <c r="JE175" s="675">
        <v>0</v>
      </c>
      <c r="JF175" s="675">
        <v>0</v>
      </c>
      <c r="JG175" s="675">
        <v>0</v>
      </c>
      <c r="JH175" s="675">
        <v>0</v>
      </c>
      <c r="JI175" s="675">
        <v>0</v>
      </c>
      <c r="JJ175" s="675">
        <v>0</v>
      </c>
      <c r="JK175" s="675">
        <v>0</v>
      </c>
      <c r="JL175" s="675">
        <v>0</v>
      </c>
      <c r="JM175" s="675">
        <v>0</v>
      </c>
      <c r="JN175" s="675">
        <v>32469</v>
      </c>
      <c r="JO175" s="675">
        <v>0</v>
      </c>
      <c r="JP175" s="675">
        <v>0</v>
      </c>
      <c r="JQ175" s="675">
        <v>0</v>
      </c>
      <c r="JR175" s="675">
        <v>0</v>
      </c>
      <c r="JS175" s="675">
        <v>0</v>
      </c>
      <c r="JT175" s="675">
        <v>0</v>
      </c>
      <c r="JU175" s="675">
        <v>0</v>
      </c>
      <c r="JV175" s="675">
        <v>0</v>
      </c>
      <c r="JW175" s="675">
        <v>0</v>
      </c>
      <c r="JX175" s="675">
        <v>0</v>
      </c>
      <c r="JY175" s="675">
        <v>0</v>
      </c>
      <c r="JZ175" s="675">
        <v>0</v>
      </c>
      <c r="KA175" s="675">
        <v>0</v>
      </c>
      <c r="KB175" s="675">
        <v>0</v>
      </c>
      <c r="KC175" s="675">
        <v>0</v>
      </c>
      <c r="KD175" s="675">
        <v>0</v>
      </c>
      <c r="KE175" s="675">
        <v>7260</v>
      </c>
      <c r="KF175" s="675">
        <v>0</v>
      </c>
      <c r="KG175" s="675">
        <v>0</v>
      </c>
      <c r="KH175" s="675">
        <v>0</v>
      </c>
      <c r="KI175" s="675">
        <v>0</v>
      </c>
    </row>
    <row r="176" spans="1:295" ht="12.5" x14ac:dyDescent="0.25">
      <c r="A176" s="675">
        <v>35795</v>
      </c>
      <c r="B176" s="675">
        <v>101861</v>
      </c>
      <c r="C176" s="675">
        <v>9</v>
      </c>
      <c r="D176" s="675">
        <v>2022</v>
      </c>
      <c r="E176" s="675">
        <v>6160</v>
      </c>
      <c r="F176" s="675">
        <v>0</v>
      </c>
      <c r="G176" s="675">
        <v>520.298</v>
      </c>
      <c r="H176" s="675">
        <v>508.25300000000004</v>
      </c>
      <c r="I176" s="675">
        <v>508.25300000000004</v>
      </c>
      <c r="J176" s="675">
        <v>520.298</v>
      </c>
      <c r="K176" s="675">
        <v>0</v>
      </c>
      <c r="L176" s="675">
        <v>6160</v>
      </c>
      <c r="M176" s="675">
        <v>0</v>
      </c>
      <c r="N176" s="675">
        <v>0</v>
      </c>
      <c r="O176" s="675">
        <v>0</v>
      </c>
      <c r="P176" s="675">
        <v>601.90300000000002</v>
      </c>
      <c r="Q176" s="675">
        <v>0</v>
      </c>
      <c r="R176" s="675">
        <v>242223</v>
      </c>
      <c r="S176" s="675">
        <v>402.428</v>
      </c>
      <c r="T176" s="675">
        <v>0</v>
      </c>
      <c r="U176" s="675">
        <v>128807</v>
      </c>
      <c r="V176" s="675">
        <v>10.503</v>
      </c>
      <c r="W176" s="675">
        <v>6470</v>
      </c>
      <c r="X176" s="675">
        <v>6470</v>
      </c>
      <c r="Y176" s="675">
        <v>0</v>
      </c>
      <c r="Z176" s="675">
        <v>0</v>
      </c>
      <c r="AA176" s="675">
        <v>0</v>
      </c>
      <c r="AB176" s="675">
        <v>0</v>
      </c>
      <c r="AC176" s="675">
        <v>0</v>
      </c>
      <c r="AD176" s="675" t="s">
        <v>316</v>
      </c>
      <c r="AE176" s="675">
        <v>0</v>
      </c>
      <c r="AF176" s="675">
        <v>0</v>
      </c>
      <c r="AG176" s="675">
        <v>0</v>
      </c>
      <c r="AH176" s="675">
        <v>0</v>
      </c>
      <c r="AI176" s="675">
        <v>0</v>
      </c>
      <c r="AJ176" s="675">
        <v>6160</v>
      </c>
      <c r="AK176" s="675" t="s">
        <v>671</v>
      </c>
      <c r="AL176" s="675" t="s">
        <v>796</v>
      </c>
      <c r="AM176" s="675">
        <v>0</v>
      </c>
      <c r="AN176" s="675">
        <v>0</v>
      </c>
      <c r="AO176" s="675">
        <v>0</v>
      </c>
      <c r="AP176" s="675">
        <v>0</v>
      </c>
      <c r="AQ176" s="675">
        <v>0</v>
      </c>
      <c r="AR176" s="675">
        <v>0</v>
      </c>
      <c r="AS176" s="675">
        <v>0</v>
      </c>
      <c r="AT176" s="675">
        <v>0</v>
      </c>
      <c r="AU176" s="675">
        <v>0</v>
      </c>
      <c r="AV176" s="675">
        <v>-331318</v>
      </c>
      <c r="AW176" s="675">
        <v>5967885</v>
      </c>
      <c r="AX176" s="675">
        <v>5580609</v>
      </c>
      <c r="AY176" s="675">
        <v>4069266</v>
      </c>
      <c r="AZ176" s="675">
        <v>242223</v>
      </c>
      <c r="BA176" s="675">
        <v>0</v>
      </c>
      <c r="BB176" s="675">
        <v>4528</v>
      </c>
      <c r="BC176" s="675">
        <v>4499</v>
      </c>
      <c r="BD176" s="675">
        <v>10.5</v>
      </c>
      <c r="BE176" s="675">
        <v>29</v>
      </c>
      <c r="BF176" s="675">
        <v>5132742</v>
      </c>
      <c r="BG176" s="675">
        <v>0</v>
      </c>
      <c r="BH176" s="675">
        <v>0</v>
      </c>
      <c r="BI176" s="675">
        <v>0</v>
      </c>
      <c r="BJ176" s="675">
        <v>12</v>
      </c>
      <c r="BK176" s="675">
        <v>0</v>
      </c>
      <c r="BL176" s="675">
        <v>0</v>
      </c>
      <c r="BM176" s="675">
        <v>0</v>
      </c>
      <c r="BN176" s="675">
        <v>0</v>
      </c>
      <c r="BO176" s="675">
        <v>0</v>
      </c>
      <c r="BP176" s="675">
        <v>0</v>
      </c>
      <c r="BQ176" s="675">
        <v>692</v>
      </c>
      <c r="BR176" s="675">
        <v>0</v>
      </c>
      <c r="BS176" s="675">
        <v>0</v>
      </c>
      <c r="BT176" s="675">
        <v>0</v>
      </c>
      <c r="BU176" s="675">
        <v>0</v>
      </c>
      <c r="BV176" s="675">
        <v>0</v>
      </c>
      <c r="BW176" s="675">
        <v>0</v>
      </c>
      <c r="BX176" s="675">
        <v>0</v>
      </c>
      <c r="BY176" s="675">
        <v>0</v>
      </c>
      <c r="BZ176" s="675">
        <v>0</v>
      </c>
      <c r="CA176" s="675">
        <v>2.6640000000000001</v>
      </c>
      <c r="CB176" s="675">
        <v>2272</v>
      </c>
      <c r="CC176" s="675">
        <v>0</v>
      </c>
      <c r="CD176" s="675">
        <v>0</v>
      </c>
      <c r="CE176" s="675">
        <v>0</v>
      </c>
      <c r="CF176" s="675">
        <v>0</v>
      </c>
      <c r="CG176" s="675">
        <v>0</v>
      </c>
      <c r="CH176" s="675">
        <v>388875</v>
      </c>
      <c r="CI176" s="675">
        <v>0</v>
      </c>
      <c r="CJ176" s="675">
        <v>4</v>
      </c>
      <c r="CK176" s="675">
        <v>0</v>
      </c>
      <c r="CL176" s="675">
        <v>0</v>
      </c>
      <c r="CM176" s="675">
        <v>0</v>
      </c>
      <c r="CN176" s="675">
        <v>0</v>
      </c>
      <c r="CO176" s="675">
        <v>1</v>
      </c>
      <c r="CP176" s="675">
        <v>0</v>
      </c>
      <c r="CQ176" s="675">
        <v>0</v>
      </c>
      <c r="CR176" s="675">
        <v>637.76200000000006</v>
      </c>
      <c r="CS176" s="675">
        <v>0</v>
      </c>
      <c r="CT176" s="675">
        <v>0</v>
      </c>
      <c r="CU176" s="675">
        <v>0</v>
      </c>
      <c r="CV176" s="675">
        <v>0</v>
      </c>
      <c r="CW176" s="675">
        <v>0</v>
      </c>
      <c r="CX176" s="675">
        <v>0</v>
      </c>
      <c r="CY176" s="675">
        <v>0</v>
      </c>
      <c r="CZ176" s="675">
        <v>0</v>
      </c>
      <c r="DA176" s="675">
        <v>0</v>
      </c>
      <c r="DB176" s="675">
        <v>3013285</v>
      </c>
      <c r="DC176" s="675">
        <v>0</v>
      </c>
      <c r="DD176" s="675">
        <v>0</v>
      </c>
      <c r="DE176" s="675">
        <v>858931</v>
      </c>
      <c r="DF176" s="675">
        <v>858931</v>
      </c>
      <c r="DG176" s="675">
        <v>139.43800000000002</v>
      </c>
      <c r="DH176" s="675">
        <v>0</v>
      </c>
      <c r="DI176" s="675">
        <v>0</v>
      </c>
      <c r="DJ176" s="675">
        <v>0</v>
      </c>
      <c r="DK176" s="675">
        <v>2690</v>
      </c>
      <c r="DL176" s="675">
        <v>0</v>
      </c>
      <c r="DM176" s="675">
        <v>529780</v>
      </c>
      <c r="DN176" s="675">
        <v>1570</v>
      </c>
      <c r="DO176" s="675">
        <v>0</v>
      </c>
      <c r="DP176" s="675">
        <v>0</v>
      </c>
      <c r="DQ176" s="675">
        <v>0</v>
      </c>
      <c r="DR176" s="675">
        <v>0</v>
      </c>
      <c r="DS176" s="675">
        <v>0</v>
      </c>
      <c r="DT176" s="675">
        <v>0</v>
      </c>
      <c r="DU176" s="675">
        <v>0</v>
      </c>
      <c r="DV176" s="675">
        <v>0</v>
      </c>
      <c r="DW176" s="675">
        <v>0</v>
      </c>
      <c r="DX176" s="675">
        <v>0</v>
      </c>
      <c r="DY176" s="675">
        <v>0</v>
      </c>
      <c r="DZ176" s="675">
        <v>0</v>
      </c>
      <c r="EA176" s="675">
        <v>0</v>
      </c>
      <c r="EB176" s="675">
        <v>0</v>
      </c>
      <c r="EC176" s="675">
        <v>24.903000000000002</v>
      </c>
      <c r="ED176" s="675">
        <v>176412</v>
      </c>
      <c r="EE176" s="675">
        <v>0</v>
      </c>
      <c r="EF176" s="675">
        <v>0</v>
      </c>
      <c r="EG176" s="675">
        <v>0</v>
      </c>
      <c r="EH176" s="675">
        <v>237399</v>
      </c>
      <c r="EI176" s="675">
        <v>0</v>
      </c>
      <c r="EJ176" s="675">
        <v>0</v>
      </c>
      <c r="EK176" s="675">
        <v>10.843</v>
      </c>
      <c r="EL176" s="675">
        <v>0</v>
      </c>
      <c r="EM176" s="675">
        <v>0</v>
      </c>
      <c r="EN176" s="675">
        <v>1.202</v>
      </c>
      <c r="EO176" s="675">
        <v>0</v>
      </c>
      <c r="EP176" s="675">
        <v>0</v>
      </c>
      <c r="EQ176" s="675">
        <v>12.045</v>
      </c>
      <c r="ER176" s="675">
        <v>0</v>
      </c>
      <c r="ES176" s="675">
        <v>38.539000000000001</v>
      </c>
      <c r="ET176" s="675">
        <v>0</v>
      </c>
      <c r="EU176" s="675">
        <v>0</v>
      </c>
      <c r="EV176" s="675">
        <v>0</v>
      </c>
      <c r="EW176" s="675">
        <v>0</v>
      </c>
      <c r="EX176" s="675">
        <v>0</v>
      </c>
      <c r="EY176" s="675">
        <v>0</v>
      </c>
      <c r="EZ176" s="675">
        <v>4950515</v>
      </c>
      <c r="FA176" s="675">
        <v>0</v>
      </c>
      <c r="FB176" s="675">
        <v>5191139</v>
      </c>
      <c r="FC176" s="675">
        <v>0</v>
      </c>
      <c r="FD176" s="675">
        <v>0</v>
      </c>
      <c r="FE176" s="675">
        <v>522105</v>
      </c>
      <c r="FF176" s="675">
        <v>107989</v>
      </c>
      <c r="FG176" s="675">
        <v>6.3574999999999993E-2</v>
      </c>
      <c r="FH176" s="675">
        <v>2.6298999999999999E-2</v>
      </c>
      <c r="FI176" s="675">
        <v>0</v>
      </c>
      <c r="FJ176" s="675">
        <v>0</v>
      </c>
      <c r="FK176" s="675">
        <v>833.24099999999999</v>
      </c>
      <c r="FL176" s="675">
        <v>6210108</v>
      </c>
      <c r="FM176" s="675">
        <v>0</v>
      </c>
      <c r="FN176" s="675">
        <v>0</v>
      </c>
      <c r="FO176" s="675">
        <v>57724</v>
      </c>
      <c r="FP176" s="675">
        <v>0</v>
      </c>
      <c r="FQ176" s="675">
        <v>57724</v>
      </c>
      <c r="FR176" s="675">
        <v>57724</v>
      </c>
      <c r="FS176" s="675">
        <v>0</v>
      </c>
      <c r="FT176" s="675">
        <v>0</v>
      </c>
      <c r="FU176" s="675">
        <v>0</v>
      </c>
      <c r="FV176" s="675">
        <v>0</v>
      </c>
      <c r="FW176" s="675">
        <v>0</v>
      </c>
      <c r="FX176" s="675">
        <v>0</v>
      </c>
      <c r="FY176" s="675">
        <v>0</v>
      </c>
      <c r="FZ176" s="675">
        <v>0</v>
      </c>
      <c r="GA176" s="675">
        <v>0</v>
      </c>
      <c r="GB176" s="675">
        <v>0</v>
      </c>
      <c r="GC176" s="675">
        <v>0</v>
      </c>
      <c r="GD176" s="675">
        <v>0</v>
      </c>
      <c r="GE176" s="675">
        <v>0</v>
      </c>
      <c r="GF176" s="675">
        <v>0</v>
      </c>
      <c r="GG176" s="675">
        <v>0</v>
      </c>
      <c r="GH176" s="675">
        <v>0</v>
      </c>
      <c r="GI176" s="675">
        <v>0</v>
      </c>
      <c r="GJ176" s="675">
        <v>0</v>
      </c>
      <c r="GK176" s="675">
        <v>0</v>
      </c>
      <c r="GL176" s="675">
        <v>0</v>
      </c>
      <c r="GM176" s="675">
        <v>0</v>
      </c>
      <c r="GN176" s="675">
        <v>0</v>
      </c>
      <c r="GO176" s="675">
        <v>0</v>
      </c>
      <c r="GP176" s="675">
        <v>0</v>
      </c>
      <c r="GQ176" s="675">
        <v>0</v>
      </c>
      <c r="GR176" s="675">
        <v>0</v>
      </c>
      <c r="GS176" s="675">
        <v>0</v>
      </c>
      <c r="GT176" s="675">
        <v>0</v>
      </c>
      <c r="GU176" s="675">
        <v>0</v>
      </c>
      <c r="GV176" s="675">
        <v>0</v>
      </c>
      <c r="GW176" s="675">
        <v>0</v>
      </c>
      <c r="GX176" s="675">
        <v>0</v>
      </c>
      <c r="GY176" s="675">
        <v>0</v>
      </c>
      <c r="GZ176" s="675">
        <v>0</v>
      </c>
      <c r="HA176" s="675">
        <v>0</v>
      </c>
      <c r="HB176" s="675">
        <v>298386780</v>
      </c>
      <c r="HC176" s="675">
        <v>4.5690999999999996E-2</v>
      </c>
      <c r="HD176" s="675">
        <v>95091</v>
      </c>
      <c r="HE176" s="675">
        <v>0</v>
      </c>
      <c r="HF176" s="675">
        <v>559078</v>
      </c>
      <c r="HG176" s="675">
        <v>6776</v>
      </c>
      <c r="HH176" s="675">
        <v>147267</v>
      </c>
      <c r="HI176" s="675">
        <v>0</v>
      </c>
      <c r="HJ176" s="675">
        <v>5057</v>
      </c>
      <c r="HK176" s="675">
        <v>0</v>
      </c>
      <c r="HL176" s="675">
        <v>0</v>
      </c>
      <c r="HM176" s="675">
        <v>0</v>
      </c>
      <c r="HN176" s="675">
        <v>0</v>
      </c>
      <c r="HO176" s="675">
        <v>0</v>
      </c>
      <c r="HP176" s="675">
        <v>0</v>
      </c>
      <c r="HQ176" s="675">
        <v>0</v>
      </c>
      <c r="HR176" s="675">
        <v>0</v>
      </c>
      <c r="HS176" s="675">
        <v>4948916</v>
      </c>
      <c r="HT176" s="675">
        <v>107989</v>
      </c>
      <c r="HU176" s="675">
        <v>0</v>
      </c>
      <c r="HV176" s="675">
        <v>0</v>
      </c>
      <c r="HW176" s="675">
        <v>0</v>
      </c>
      <c r="HX176" s="675">
        <v>46</v>
      </c>
      <c r="HY176" s="675">
        <v>136</v>
      </c>
      <c r="HZ176" s="675">
        <v>120</v>
      </c>
      <c r="IA176" s="675">
        <v>91</v>
      </c>
      <c r="IB176" s="675">
        <v>156</v>
      </c>
      <c r="IC176" s="675">
        <v>549</v>
      </c>
      <c r="ID176" s="675">
        <v>0</v>
      </c>
      <c r="IE176" s="675">
        <v>0</v>
      </c>
      <c r="IF176" s="675">
        <v>0</v>
      </c>
      <c r="IG176" s="675">
        <v>11</v>
      </c>
      <c r="IH176" s="675">
        <v>239.071</v>
      </c>
      <c r="II176" s="675">
        <v>0</v>
      </c>
      <c r="IJ176" s="675">
        <v>10.503</v>
      </c>
      <c r="IK176" s="675">
        <v>0</v>
      </c>
      <c r="IL176" s="675">
        <v>0</v>
      </c>
      <c r="IM176" s="675">
        <v>0</v>
      </c>
      <c r="IN176" s="675">
        <v>0</v>
      </c>
      <c r="IO176" s="675">
        <v>0</v>
      </c>
      <c r="IP176" s="675">
        <v>0</v>
      </c>
      <c r="IQ176" s="675">
        <v>10.503</v>
      </c>
      <c r="IR176" s="675">
        <v>6470</v>
      </c>
      <c r="IS176" s="675">
        <v>0</v>
      </c>
      <c r="IT176" s="675">
        <v>0</v>
      </c>
      <c r="IU176" s="675">
        <v>0</v>
      </c>
      <c r="IV176" s="675">
        <v>0</v>
      </c>
      <c r="IW176" s="675">
        <v>6160</v>
      </c>
      <c r="IX176" s="675">
        <v>0</v>
      </c>
      <c r="IY176" s="675">
        <v>0</v>
      </c>
      <c r="IZ176" s="675">
        <v>0</v>
      </c>
      <c r="JA176" s="675">
        <v>0</v>
      </c>
      <c r="JB176" s="675">
        <v>0</v>
      </c>
      <c r="JC176" s="675">
        <v>0</v>
      </c>
      <c r="JD176" s="675">
        <v>0</v>
      </c>
      <c r="JE176" s="675">
        <v>0</v>
      </c>
      <c r="JF176" s="675">
        <v>0</v>
      </c>
      <c r="JG176" s="675">
        <v>0</v>
      </c>
      <c r="JH176" s="675">
        <v>0</v>
      </c>
      <c r="JI176" s="675">
        <v>0</v>
      </c>
      <c r="JJ176" s="675">
        <v>0</v>
      </c>
      <c r="JK176" s="675">
        <v>0</v>
      </c>
      <c r="JL176" s="675">
        <v>0</v>
      </c>
      <c r="JM176" s="675">
        <v>0</v>
      </c>
      <c r="JN176" s="675">
        <v>32469</v>
      </c>
      <c r="JO176" s="675">
        <v>0</v>
      </c>
      <c r="JP176" s="675">
        <v>0</v>
      </c>
      <c r="JQ176" s="675">
        <v>0</v>
      </c>
      <c r="JR176" s="675">
        <v>0</v>
      </c>
      <c r="JS176" s="675">
        <v>0</v>
      </c>
      <c r="JT176" s="675">
        <v>0</v>
      </c>
      <c r="JU176" s="675">
        <v>4528</v>
      </c>
      <c r="JV176" s="675">
        <v>0</v>
      </c>
      <c r="JW176" s="675">
        <v>0</v>
      </c>
      <c r="JX176" s="675">
        <v>0</v>
      </c>
      <c r="JY176" s="675">
        <v>0</v>
      </c>
      <c r="JZ176" s="675">
        <v>0</v>
      </c>
      <c r="KA176" s="675">
        <v>0</v>
      </c>
      <c r="KB176" s="675">
        <v>0</v>
      </c>
      <c r="KC176" s="675">
        <v>0</v>
      </c>
      <c r="KD176" s="675">
        <v>4528</v>
      </c>
      <c r="KE176" s="675">
        <v>7260</v>
      </c>
      <c r="KF176" s="675">
        <v>293784</v>
      </c>
      <c r="KG176" s="675">
        <v>0</v>
      </c>
      <c r="KH176" s="675">
        <v>0</v>
      </c>
      <c r="KI176" s="675">
        <v>0</v>
      </c>
    </row>
    <row r="177" spans="1:295" ht="12.5" x14ac:dyDescent="0.25">
      <c r="A177" s="675">
        <v>35795</v>
      </c>
      <c r="B177" s="675">
        <v>101862</v>
      </c>
      <c r="C177" s="675">
        <v>9</v>
      </c>
      <c r="D177" s="675">
        <v>2022</v>
      </c>
      <c r="E177" s="675">
        <v>6160</v>
      </c>
      <c r="F177" s="675">
        <v>0</v>
      </c>
      <c r="G177" s="675">
        <v>3844.5250000000001</v>
      </c>
      <c r="H177" s="675">
        <v>3481.373</v>
      </c>
      <c r="I177" s="675">
        <v>3481.373</v>
      </c>
      <c r="J177" s="675">
        <v>3844.5250000000001</v>
      </c>
      <c r="K177" s="675">
        <v>0</v>
      </c>
      <c r="L177" s="675">
        <v>6160</v>
      </c>
      <c r="M177" s="675">
        <v>0</v>
      </c>
      <c r="N177" s="675">
        <v>0</v>
      </c>
      <c r="O177" s="675">
        <v>0</v>
      </c>
      <c r="P177" s="675">
        <v>3816.607</v>
      </c>
      <c r="Q177" s="675">
        <v>0</v>
      </c>
      <c r="R177" s="675">
        <v>1535910</v>
      </c>
      <c r="S177" s="675">
        <v>402.428</v>
      </c>
      <c r="T177" s="675">
        <v>0</v>
      </c>
      <c r="U177" s="675">
        <v>816758</v>
      </c>
      <c r="V177" s="675">
        <v>840.27500000000009</v>
      </c>
      <c r="W177" s="675">
        <v>517607</v>
      </c>
      <c r="X177" s="675">
        <v>517607</v>
      </c>
      <c r="Y177" s="675">
        <v>0</v>
      </c>
      <c r="Z177" s="675">
        <v>0</v>
      </c>
      <c r="AA177" s="675">
        <v>0</v>
      </c>
      <c r="AB177" s="675">
        <v>0</v>
      </c>
      <c r="AC177" s="675">
        <v>0</v>
      </c>
      <c r="AD177" s="675" t="s">
        <v>316</v>
      </c>
      <c r="AE177" s="675">
        <v>0</v>
      </c>
      <c r="AF177" s="675">
        <v>0</v>
      </c>
      <c r="AG177" s="675">
        <v>0</v>
      </c>
      <c r="AH177" s="675">
        <v>0</v>
      </c>
      <c r="AI177" s="675">
        <v>0</v>
      </c>
      <c r="AJ177" s="675">
        <v>6160</v>
      </c>
      <c r="AK177" s="675" t="s">
        <v>671</v>
      </c>
      <c r="AL177" s="675" t="s">
        <v>908</v>
      </c>
      <c r="AM177" s="675">
        <v>0</v>
      </c>
      <c r="AN177" s="675">
        <v>0</v>
      </c>
      <c r="AO177" s="675">
        <v>0</v>
      </c>
      <c r="AP177" s="675">
        <v>0</v>
      </c>
      <c r="AQ177" s="675">
        <v>0</v>
      </c>
      <c r="AR177" s="675">
        <v>0</v>
      </c>
      <c r="AS177" s="675">
        <v>0</v>
      </c>
      <c r="AT177" s="675">
        <v>0</v>
      </c>
      <c r="AU177" s="675">
        <v>0</v>
      </c>
      <c r="AV177" s="675">
        <v>-32396</v>
      </c>
      <c r="AW177" s="675">
        <v>39524977</v>
      </c>
      <c r="AX177" s="675">
        <v>38830756</v>
      </c>
      <c r="AY177" s="675">
        <v>26162286</v>
      </c>
      <c r="AZ177" s="675">
        <v>1535910</v>
      </c>
      <c r="BA177" s="675">
        <v>0</v>
      </c>
      <c r="BB177" s="675">
        <v>82888</v>
      </c>
      <c r="BC177" s="675">
        <v>82353</v>
      </c>
      <c r="BD177" s="675">
        <v>192.226</v>
      </c>
      <c r="BE177" s="675">
        <v>535</v>
      </c>
      <c r="BF177" s="675">
        <v>35932080</v>
      </c>
      <c r="BG177" s="675">
        <v>0</v>
      </c>
      <c r="BH177" s="675">
        <v>0</v>
      </c>
      <c r="BI177" s="675">
        <v>0</v>
      </c>
      <c r="BJ177" s="675">
        <v>12</v>
      </c>
      <c r="BK177" s="675">
        <v>0</v>
      </c>
      <c r="BL177" s="675">
        <v>0</v>
      </c>
      <c r="BM177" s="675">
        <v>0</v>
      </c>
      <c r="BN177" s="675">
        <v>0</v>
      </c>
      <c r="BO177" s="675">
        <v>0</v>
      </c>
      <c r="BP177" s="675">
        <v>0</v>
      </c>
      <c r="BQ177" s="675">
        <v>234</v>
      </c>
      <c r="BR177" s="675">
        <v>0</v>
      </c>
      <c r="BS177" s="675">
        <v>0</v>
      </c>
      <c r="BT177" s="675">
        <v>0</v>
      </c>
      <c r="BU177" s="675">
        <v>0</v>
      </c>
      <c r="BV177" s="675">
        <v>0</v>
      </c>
      <c r="BW177" s="675">
        <v>0</v>
      </c>
      <c r="BX177" s="675">
        <v>0</v>
      </c>
      <c r="BY177" s="675">
        <v>0</v>
      </c>
      <c r="BZ177" s="675">
        <v>0</v>
      </c>
      <c r="CA177" s="675">
        <v>0</v>
      </c>
      <c r="CB177" s="675">
        <v>0</v>
      </c>
      <c r="CC177" s="675">
        <v>0</v>
      </c>
      <c r="CD177" s="675">
        <v>0</v>
      </c>
      <c r="CE177" s="675">
        <v>0</v>
      </c>
      <c r="CF177" s="675">
        <v>0</v>
      </c>
      <c r="CG177" s="675">
        <v>0</v>
      </c>
      <c r="CH177" s="675">
        <v>702636</v>
      </c>
      <c r="CI177" s="675">
        <v>0</v>
      </c>
      <c r="CJ177" s="675">
        <v>4</v>
      </c>
      <c r="CK177" s="675">
        <v>0</v>
      </c>
      <c r="CL177" s="675">
        <v>0</v>
      </c>
      <c r="CM177" s="675">
        <v>0</v>
      </c>
      <c r="CN177" s="675">
        <v>0</v>
      </c>
      <c r="CO177" s="675">
        <v>1</v>
      </c>
      <c r="CP177" s="675">
        <v>0</v>
      </c>
      <c r="CQ177" s="675">
        <v>0</v>
      </c>
      <c r="CR177" s="675">
        <v>3832.049</v>
      </c>
      <c r="CS177" s="675">
        <v>0</v>
      </c>
      <c r="CT177" s="675">
        <v>0</v>
      </c>
      <c r="CU177" s="675">
        <v>0</v>
      </c>
      <c r="CV177" s="675">
        <v>0</v>
      </c>
      <c r="CW177" s="675">
        <v>0</v>
      </c>
      <c r="CX177" s="675">
        <v>0</v>
      </c>
      <c r="CY177" s="675">
        <v>0</v>
      </c>
      <c r="CZ177" s="675">
        <v>0</v>
      </c>
      <c r="DA177" s="675">
        <v>0</v>
      </c>
      <c r="DB177" s="675">
        <v>21445158</v>
      </c>
      <c r="DC177" s="675">
        <v>0</v>
      </c>
      <c r="DD177" s="675">
        <v>0</v>
      </c>
      <c r="DE177" s="675">
        <v>3695521</v>
      </c>
      <c r="DF177" s="675">
        <v>3695521</v>
      </c>
      <c r="DG177" s="675">
        <v>599.92500000000007</v>
      </c>
      <c r="DH177" s="675">
        <v>0</v>
      </c>
      <c r="DI177" s="675">
        <v>0</v>
      </c>
      <c r="DJ177" s="675">
        <v>0</v>
      </c>
      <c r="DK177" s="675">
        <v>0</v>
      </c>
      <c r="DL177" s="675">
        <v>0</v>
      </c>
      <c r="DM177" s="675">
        <v>2068679</v>
      </c>
      <c r="DN177" s="675">
        <v>7880</v>
      </c>
      <c r="DO177" s="675">
        <v>0</v>
      </c>
      <c r="DP177" s="675">
        <v>0</v>
      </c>
      <c r="DQ177" s="675">
        <v>0</v>
      </c>
      <c r="DR177" s="675">
        <v>0</v>
      </c>
      <c r="DS177" s="675">
        <v>0</v>
      </c>
      <c r="DT177" s="675">
        <v>0</v>
      </c>
      <c r="DU177" s="675">
        <v>0</v>
      </c>
      <c r="DV177" s="675">
        <v>0</v>
      </c>
      <c r="DW177" s="675">
        <v>0</v>
      </c>
      <c r="DX177" s="675">
        <v>0</v>
      </c>
      <c r="DY177" s="675">
        <v>0</v>
      </c>
      <c r="DZ177" s="675">
        <v>0</v>
      </c>
      <c r="EA177" s="675">
        <v>0</v>
      </c>
      <c r="EB177" s="675">
        <v>0</v>
      </c>
      <c r="EC177" s="675">
        <v>35.521999999999998</v>
      </c>
      <c r="ED177" s="675">
        <v>251637</v>
      </c>
      <c r="EE177" s="675">
        <v>14765</v>
      </c>
      <c r="EF177" s="675">
        <v>1.41</v>
      </c>
      <c r="EG177" s="675">
        <v>0</v>
      </c>
      <c r="EH177" s="675">
        <v>1810157</v>
      </c>
      <c r="EI177" s="675">
        <v>0</v>
      </c>
      <c r="EJ177" s="675">
        <v>0</v>
      </c>
      <c r="EK177" s="675">
        <v>79.457000000000008</v>
      </c>
      <c r="EL177" s="675">
        <v>0</v>
      </c>
      <c r="EM177" s="675">
        <v>9.3290000000000006</v>
      </c>
      <c r="EN177" s="675">
        <v>5.5</v>
      </c>
      <c r="EO177" s="675">
        <v>0</v>
      </c>
      <c r="EP177" s="675">
        <v>0</v>
      </c>
      <c r="EQ177" s="675">
        <v>94.286000000000001</v>
      </c>
      <c r="ER177" s="675">
        <v>0</v>
      </c>
      <c r="ES177" s="675">
        <v>293.858</v>
      </c>
      <c r="ET177" s="675">
        <v>0</v>
      </c>
      <c r="EU177" s="675">
        <v>0</v>
      </c>
      <c r="EV177" s="675">
        <v>0</v>
      </c>
      <c r="EW177" s="675">
        <v>0</v>
      </c>
      <c r="EX177" s="675">
        <v>0</v>
      </c>
      <c r="EY177" s="675">
        <v>0</v>
      </c>
      <c r="EZ177" s="675">
        <v>34419742</v>
      </c>
      <c r="FA177" s="675">
        <v>0</v>
      </c>
      <c r="FB177" s="675">
        <v>35947237</v>
      </c>
      <c r="FC177" s="675">
        <v>0</v>
      </c>
      <c r="FD177" s="675">
        <v>0</v>
      </c>
      <c r="FE177" s="675">
        <v>3655028</v>
      </c>
      <c r="FF177" s="675">
        <v>755986</v>
      </c>
      <c r="FG177" s="675">
        <v>6.3574999999999993E-2</v>
      </c>
      <c r="FH177" s="675">
        <v>2.6298999999999999E-2</v>
      </c>
      <c r="FI177" s="675">
        <v>0</v>
      </c>
      <c r="FJ177" s="675">
        <v>0</v>
      </c>
      <c r="FK177" s="675">
        <v>5833.1570000000002</v>
      </c>
      <c r="FL177" s="675">
        <v>41060887</v>
      </c>
      <c r="FM177" s="675">
        <v>0</v>
      </c>
      <c r="FN177" s="675">
        <v>0</v>
      </c>
      <c r="FO177" s="675">
        <v>0</v>
      </c>
      <c r="FP177" s="675">
        <v>0</v>
      </c>
      <c r="FQ177" s="675">
        <v>0</v>
      </c>
      <c r="FR177" s="675">
        <v>0</v>
      </c>
      <c r="FS177" s="675">
        <v>0</v>
      </c>
      <c r="FT177" s="675">
        <v>0</v>
      </c>
      <c r="FU177" s="675">
        <v>0</v>
      </c>
      <c r="FV177" s="675">
        <v>0</v>
      </c>
      <c r="FW177" s="675">
        <v>0</v>
      </c>
      <c r="FX177" s="675">
        <v>0</v>
      </c>
      <c r="FY177" s="675">
        <v>0</v>
      </c>
      <c r="FZ177" s="675">
        <v>0</v>
      </c>
      <c r="GA177" s="675">
        <v>0</v>
      </c>
      <c r="GB177" s="675">
        <v>2635651</v>
      </c>
      <c r="GC177" s="675">
        <v>2635651</v>
      </c>
      <c r="GD177" s="675">
        <v>268.86599999999999</v>
      </c>
      <c r="GE177" s="675">
        <v>0</v>
      </c>
      <c r="GF177" s="675">
        <v>0</v>
      </c>
      <c r="GG177" s="675">
        <v>0</v>
      </c>
      <c r="GH177" s="675">
        <v>0</v>
      </c>
      <c r="GI177" s="675">
        <v>0</v>
      </c>
      <c r="GJ177" s="675">
        <v>0</v>
      </c>
      <c r="GK177" s="675">
        <v>0</v>
      </c>
      <c r="GL177" s="675">
        <v>0</v>
      </c>
      <c r="GM177" s="675">
        <v>0</v>
      </c>
      <c r="GN177" s="675">
        <v>0</v>
      </c>
      <c r="GO177" s="675">
        <v>0</v>
      </c>
      <c r="GP177" s="675">
        <v>0</v>
      </c>
      <c r="GQ177" s="675">
        <v>0</v>
      </c>
      <c r="GR177" s="675">
        <v>0</v>
      </c>
      <c r="GS177" s="675">
        <v>0</v>
      </c>
      <c r="GT177" s="675">
        <v>0</v>
      </c>
      <c r="GU177" s="675">
        <v>0</v>
      </c>
      <c r="GV177" s="675">
        <v>0</v>
      </c>
      <c r="GW177" s="675">
        <v>0</v>
      </c>
      <c r="GX177" s="675">
        <v>0</v>
      </c>
      <c r="GY177" s="675">
        <v>0</v>
      </c>
      <c r="GZ177" s="675">
        <v>0</v>
      </c>
      <c r="HA177" s="675">
        <v>0</v>
      </c>
      <c r="HB177" s="675">
        <v>298386780</v>
      </c>
      <c r="HC177" s="675">
        <v>4.5690999999999996E-2</v>
      </c>
      <c r="HD177" s="675">
        <v>702636</v>
      </c>
      <c r="HE177" s="675">
        <v>0</v>
      </c>
      <c r="HF177" s="675">
        <v>3829510</v>
      </c>
      <c r="HG177" s="675">
        <v>31416</v>
      </c>
      <c r="HH177" s="675">
        <v>589585</v>
      </c>
      <c r="HI177" s="675">
        <v>0</v>
      </c>
      <c r="HJ177" s="675">
        <v>37369</v>
      </c>
      <c r="HK177" s="675">
        <v>13995</v>
      </c>
      <c r="HL177" s="675">
        <v>9577</v>
      </c>
      <c r="HM177" s="675">
        <v>530000</v>
      </c>
      <c r="HN177" s="675">
        <v>460816</v>
      </c>
      <c r="HO177" s="675">
        <v>0</v>
      </c>
      <c r="HP177" s="675">
        <v>0</v>
      </c>
      <c r="HQ177" s="675">
        <v>0</v>
      </c>
      <c r="HR177" s="675">
        <v>0</v>
      </c>
      <c r="HS177" s="675">
        <v>34411327</v>
      </c>
      <c r="HT177" s="675">
        <v>755986</v>
      </c>
      <c r="HU177" s="675">
        <v>0</v>
      </c>
      <c r="HV177" s="675">
        <v>0</v>
      </c>
      <c r="HW177" s="675">
        <v>0</v>
      </c>
      <c r="HX177" s="675">
        <v>1044</v>
      </c>
      <c r="HY177" s="675">
        <v>547</v>
      </c>
      <c r="HZ177" s="675">
        <v>311</v>
      </c>
      <c r="IA177" s="675">
        <v>347</v>
      </c>
      <c r="IB177" s="675">
        <v>241</v>
      </c>
      <c r="IC177" s="675">
        <v>2490</v>
      </c>
      <c r="ID177" s="675">
        <v>0</v>
      </c>
      <c r="IE177" s="675">
        <v>0</v>
      </c>
      <c r="IF177" s="675">
        <v>0</v>
      </c>
      <c r="IG177" s="675">
        <v>51</v>
      </c>
      <c r="IH177" s="675">
        <v>957.12300000000005</v>
      </c>
      <c r="II177" s="675">
        <v>0</v>
      </c>
      <c r="IJ177" s="675">
        <v>840.27500000000009</v>
      </c>
      <c r="IK177" s="675">
        <v>0</v>
      </c>
      <c r="IL177" s="675">
        <v>75</v>
      </c>
      <c r="IM177" s="675">
        <v>51</v>
      </c>
      <c r="IN177" s="675">
        <v>1</v>
      </c>
      <c r="IO177" s="675">
        <v>127</v>
      </c>
      <c r="IP177" s="675">
        <v>0</v>
      </c>
      <c r="IQ177" s="675">
        <v>840.27500000000009</v>
      </c>
      <c r="IR177" s="675">
        <v>517607</v>
      </c>
      <c r="IS177" s="675">
        <v>0</v>
      </c>
      <c r="IT177" s="675">
        <v>375000</v>
      </c>
      <c r="IU177" s="675">
        <v>153000</v>
      </c>
      <c r="IV177" s="675">
        <v>2000</v>
      </c>
      <c r="IW177" s="675">
        <v>6160</v>
      </c>
      <c r="IX177" s="675">
        <v>0</v>
      </c>
      <c r="IY177" s="675">
        <v>0</v>
      </c>
      <c r="IZ177" s="675">
        <v>0</v>
      </c>
      <c r="JA177" s="675">
        <v>0</v>
      </c>
      <c r="JB177" s="675">
        <v>8</v>
      </c>
      <c r="JC177" s="675">
        <v>121639</v>
      </c>
      <c r="JD177" s="675">
        <v>28</v>
      </c>
      <c r="JE177" s="675">
        <v>240716</v>
      </c>
      <c r="JF177" s="675">
        <v>20</v>
      </c>
      <c r="JG177" s="675">
        <v>83961</v>
      </c>
      <c r="JH177" s="675">
        <v>14500</v>
      </c>
      <c r="JI177" s="675">
        <v>0</v>
      </c>
      <c r="JJ177" s="675">
        <v>0</v>
      </c>
      <c r="JK177" s="675">
        <v>0</v>
      </c>
      <c r="JL177" s="675">
        <v>0</v>
      </c>
      <c r="JM177" s="675">
        <v>0</v>
      </c>
      <c r="JN177" s="675">
        <v>32469</v>
      </c>
      <c r="JO177" s="675">
        <v>0</v>
      </c>
      <c r="JP177" s="675">
        <v>169.45100000000002</v>
      </c>
      <c r="JQ177" s="675">
        <v>99.415000000000006</v>
      </c>
      <c r="JR177" s="675">
        <v>0</v>
      </c>
      <c r="JS177" s="675">
        <v>1574674</v>
      </c>
      <c r="JT177" s="675">
        <v>1060977</v>
      </c>
      <c r="JU177" s="675">
        <v>82888</v>
      </c>
      <c r="JV177" s="675">
        <v>0</v>
      </c>
      <c r="JW177" s="675">
        <v>0</v>
      </c>
      <c r="JX177" s="675">
        <v>0</v>
      </c>
      <c r="JY177" s="675">
        <v>0</v>
      </c>
      <c r="JZ177" s="675">
        <v>0</v>
      </c>
      <c r="KA177" s="675">
        <v>0</v>
      </c>
      <c r="KB177" s="675">
        <v>0</v>
      </c>
      <c r="KC177" s="675">
        <v>0</v>
      </c>
      <c r="KD177" s="675">
        <v>82888</v>
      </c>
      <c r="KE177" s="675">
        <v>7260</v>
      </c>
      <c r="KF177" s="675">
        <v>0</v>
      </c>
      <c r="KG177" s="675">
        <v>0</v>
      </c>
      <c r="KH177" s="675">
        <v>0</v>
      </c>
      <c r="KI177" s="675">
        <v>0</v>
      </c>
    </row>
    <row r="178" spans="1:295" ht="12.5" x14ac:dyDescent="0.25">
      <c r="A178" s="675">
        <v>35795</v>
      </c>
      <c r="B178" s="675">
        <v>101864</v>
      </c>
      <c r="C178" s="675">
        <v>9</v>
      </c>
      <c r="D178" s="675">
        <v>2022</v>
      </c>
      <c r="E178" s="675">
        <v>6160</v>
      </c>
      <c r="F178" s="675">
        <v>0</v>
      </c>
      <c r="G178" s="675">
        <v>148.62200000000001</v>
      </c>
      <c r="H178" s="675">
        <v>143.57500000000002</v>
      </c>
      <c r="I178" s="675">
        <v>143.57500000000002</v>
      </c>
      <c r="J178" s="675">
        <v>148.62200000000001</v>
      </c>
      <c r="K178" s="675">
        <v>0</v>
      </c>
      <c r="L178" s="675">
        <v>6160</v>
      </c>
      <c r="M178" s="675">
        <v>0</v>
      </c>
      <c r="N178" s="675">
        <v>0</v>
      </c>
      <c r="O178" s="675">
        <v>0</v>
      </c>
      <c r="P178" s="675">
        <v>166.595</v>
      </c>
      <c r="Q178" s="675">
        <v>0</v>
      </c>
      <c r="R178" s="675">
        <v>67042</v>
      </c>
      <c r="S178" s="675">
        <v>402.428</v>
      </c>
      <c r="T178" s="675">
        <v>0</v>
      </c>
      <c r="U178" s="675">
        <v>35652</v>
      </c>
      <c r="V178" s="675">
        <v>0</v>
      </c>
      <c r="W178" s="675">
        <v>0</v>
      </c>
      <c r="X178" s="675">
        <v>0</v>
      </c>
      <c r="Y178" s="675">
        <v>0</v>
      </c>
      <c r="Z178" s="675">
        <v>0</v>
      </c>
      <c r="AA178" s="675">
        <v>0</v>
      </c>
      <c r="AB178" s="675">
        <v>0</v>
      </c>
      <c r="AC178" s="675">
        <v>0</v>
      </c>
      <c r="AD178" s="675" t="s">
        <v>316</v>
      </c>
      <c r="AE178" s="675">
        <v>0</v>
      </c>
      <c r="AF178" s="675">
        <v>0</v>
      </c>
      <c r="AG178" s="675">
        <v>0</v>
      </c>
      <c r="AH178" s="675">
        <v>0</v>
      </c>
      <c r="AI178" s="675">
        <v>0</v>
      </c>
      <c r="AJ178" s="675">
        <v>6160</v>
      </c>
      <c r="AK178" s="675" t="s">
        <v>671</v>
      </c>
      <c r="AL178" s="675" t="s">
        <v>352</v>
      </c>
      <c r="AM178" s="675">
        <v>0</v>
      </c>
      <c r="AN178" s="675">
        <v>0</v>
      </c>
      <c r="AO178" s="675">
        <v>0</v>
      </c>
      <c r="AP178" s="675">
        <v>0</v>
      </c>
      <c r="AQ178" s="675">
        <v>0</v>
      </c>
      <c r="AR178" s="675">
        <v>0</v>
      </c>
      <c r="AS178" s="675">
        <v>0</v>
      </c>
      <c r="AT178" s="675">
        <v>0</v>
      </c>
      <c r="AU178" s="675">
        <v>0</v>
      </c>
      <c r="AV178" s="675">
        <v>0</v>
      </c>
      <c r="AW178" s="675">
        <v>1599615</v>
      </c>
      <c r="AX178" s="675">
        <v>1573035</v>
      </c>
      <c r="AY178" s="675">
        <v>1121056</v>
      </c>
      <c r="AZ178" s="675">
        <v>67042</v>
      </c>
      <c r="BA178" s="675">
        <v>0</v>
      </c>
      <c r="BB178" s="675">
        <v>0</v>
      </c>
      <c r="BC178" s="675">
        <v>0</v>
      </c>
      <c r="BD178" s="675">
        <v>0</v>
      </c>
      <c r="BE178" s="675">
        <v>0</v>
      </c>
      <c r="BF178" s="675">
        <v>1449151</v>
      </c>
      <c r="BG178" s="675">
        <v>0</v>
      </c>
      <c r="BH178" s="675">
        <v>0</v>
      </c>
      <c r="BI178" s="675">
        <v>0</v>
      </c>
      <c r="BJ178" s="675">
        <v>12</v>
      </c>
      <c r="BK178" s="675">
        <v>0</v>
      </c>
      <c r="BL178" s="675">
        <v>0</v>
      </c>
      <c r="BM178" s="675">
        <v>0</v>
      </c>
      <c r="BN178" s="675">
        <v>0</v>
      </c>
      <c r="BO178" s="675">
        <v>0</v>
      </c>
      <c r="BP178" s="675">
        <v>0</v>
      </c>
      <c r="BQ178" s="675">
        <v>748</v>
      </c>
      <c r="BR178" s="675">
        <v>0</v>
      </c>
      <c r="BS178" s="675">
        <v>0</v>
      </c>
      <c r="BT178" s="675">
        <v>0</v>
      </c>
      <c r="BU178" s="675">
        <v>0</v>
      </c>
      <c r="BV178" s="675">
        <v>0</v>
      </c>
      <c r="BW178" s="675">
        <v>0</v>
      </c>
      <c r="BX178" s="675">
        <v>0</v>
      </c>
      <c r="BY178" s="675">
        <v>0</v>
      </c>
      <c r="BZ178" s="675">
        <v>0</v>
      </c>
      <c r="CA178" s="675">
        <v>0</v>
      </c>
      <c r="CB178" s="675">
        <v>0</v>
      </c>
      <c r="CC178" s="675">
        <v>0</v>
      </c>
      <c r="CD178" s="675">
        <v>0</v>
      </c>
      <c r="CE178" s="675">
        <v>0</v>
      </c>
      <c r="CF178" s="675">
        <v>0</v>
      </c>
      <c r="CG178" s="675">
        <v>0</v>
      </c>
      <c r="CH178" s="675">
        <v>27163</v>
      </c>
      <c r="CI178" s="675">
        <v>0</v>
      </c>
      <c r="CJ178" s="675">
        <v>4</v>
      </c>
      <c r="CK178" s="675">
        <v>0</v>
      </c>
      <c r="CL178" s="675">
        <v>0</v>
      </c>
      <c r="CM178" s="675">
        <v>0</v>
      </c>
      <c r="CN178" s="675">
        <v>0</v>
      </c>
      <c r="CO178" s="675">
        <v>1</v>
      </c>
      <c r="CP178" s="675">
        <v>0</v>
      </c>
      <c r="CQ178" s="675">
        <v>0</v>
      </c>
      <c r="CR178" s="675">
        <v>173.465</v>
      </c>
      <c r="CS178" s="675">
        <v>0</v>
      </c>
      <c r="CT178" s="675">
        <v>0</v>
      </c>
      <c r="CU178" s="675">
        <v>0</v>
      </c>
      <c r="CV178" s="675">
        <v>0</v>
      </c>
      <c r="CW178" s="675">
        <v>0</v>
      </c>
      <c r="CX178" s="675">
        <v>0</v>
      </c>
      <c r="CY178" s="675">
        <v>0</v>
      </c>
      <c r="CZ178" s="675">
        <v>0</v>
      </c>
      <c r="DA178" s="675">
        <v>0</v>
      </c>
      <c r="DB178" s="675">
        <v>884418</v>
      </c>
      <c r="DC178" s="675">
        <v>0</v>
      </c>
      <c r="DD178" s="675">
        <v>0</v>
      </c>
      <c r="DE178" s="675">
        <v>250480</v>
      </c>
      <c r="DF178" s="675">
        <v>250480</v>
      </c>
      <c r="DG178" s="675">
        <v>40.663000000000004</v>
      </c>
      <c r="DH178" s="675">
        <v>0</v>
      </c>
      <c r="DI178" s="675">
        <v>0</v>
      </c>
      <c r="DJ178" s="675">
        <v>0</v>
      </c>
      <c r="DK178" s="675">
        <v>3589</v>
      </c>
      <c r="DL178" s="675">
        <v>0</v>
      </c>
      <c r="DM178" s="675">
        <v>153009</v>
      </c>
      <c r="DN178" s="675">
        <v>583</v>
      </c>
      <c r="DO178" s="675">
        <v>0</v>
      </c>
      <c r="DP178" s="675">
        <v>0</v>
      </c>
      <c r="DQ178" s="675">
        <v>0</v>
      </c>
      <c r="DR178" s="675">
        <v>0</v>
      </c>
      <c r="DS178" s="675">
        <v>0</v>
      </c>
      <c r="DT178" s="675">
        <v>0</v>
      </c>
      <c r="DU178" s="675">
        <v>0</v>
      </c>
      <c r="DV178" s="675">
        <v>0</v>
      </c>
      <c r="DW178" s="675">
        <v>0</v>
      </c>
      <c r="DX178" s="675">
        <v>0</v>
      </c>
      <c r="DY178" s="675">
        <v>0</v>
      </c>
      <c r="DZ178" s="675">
        <v>0</v>
      </c>
      <c r="EA178" s="675">
        <v>0</v>
      </c>
      <c r="EB178" s="675">
        <v>0</v>
      </c>
      <c r="EC178" s="675">
        <v>8.4459999999999997</v>
      </c>
      <c r="ED178" s="675">
        <v>59831</v>
      </c>
      <c r="EE178" s="675">
        <v>0</v>
      </c>
      <c r="EF178" s="675">
        <v>0</v>
      </c>
      <c r="EG178" s="675">
        <v>0</v>
      </c>
      <c r="EH178" s="675">
        <v>93761</v>
      </c>
      <c r="EI178" s="675">
        <v>0</v>
      </c>
      <c r="EJ178" s="675">
        <v>0</v>
      </c>
      <c r="EK178" s="675">
        <v>5.0070000000000006</v>
      </c>
      <c r="EL178" s="675">
        <v>0</v>
      </c>
      <c r="EM178" s="675">
        <v>0</v>
      </c>
      <c r="EN178" s="675">
        <v>0.04</v>
      </c>
      <c r="EO178" s="675">
        <v>0</v>
      </c>
      <c r="EP178" s="675">
        <v>0</v>
      </c>
      <c r="EQ178" s="675">
        <v>5.0470000000000006</v>
      </c>
      <c r="ER178" s="675">
        <v>0</v>
      </c>
      <c r="ES178" s="675">
        <v>15.221</v>
      </c>
      <c r="ET178" s="675">
        <v>0</v>
      </c>
      <c r="EU178" s="675">
        <v>0</v>
      </c>
      <c r="EV178" s="675">
        <v>0</v>
      </c>
      <c r="EW178" s="675">
        <v>0</v>
      </c>
      <c r="EX178" s="675">
        <v>0</v>
      </c>
      <c r="EY178" s="675">
        <v>0</v>
      </c>
      <c r="EZ178" s="675">
        <v>1395138</v>
      </c>
      <c r="FA178" s="675">
        <v>0</v>
      </c>
      <c r="FB178" s="675">
        <v>1461597</v>
      </c>
      <c r="FC178" s="675">
        <v>0</v>
      </c>
      <c r="FD178" s="675">
        <v>0</v>
      </c>
      <c r="FE178" s="675">
        <v>147408</v>
      </c>
      <c r="FF178" s="675">
        <v>30489</v>
      </c>
      <c r="FG178" s="675">
        <v>6.3574999999999993E-2</v>
      </c>
      <c r="FH178" s="675">
        <v>2.6298999999999999E-2</v>
      </c>
      <c r="FI178" s="675">
        <v>0</v>
      </c>
      <c r="FJ178" s="675">
        <v>0</v>
      </c>
      <c r="FK178" s="675">
        <v>235.25300000000001</v>
      </c>
      <c r="FL178" s="675">
        <v>1666657</v>
      </c>
      <c r="FM178" s="675">
        <v>0</v>
      </c>
      <c r="FN178" s="675">
        <v>0</v>
      </c>
      <c r="FO178" s="675">
        <v>13029</v>
      </c>
      <c r="FP178" s="675">
        <v>0</v>
      </c>
      <c r="FQ178" s="675">
        <v>13029</v>
      </c>
      <c r="FR178" s="675">
        <v>13029</v>
      </c>
      <c r="FS178" s="675">
        <v>0</v>
      </c>
      <c r="FT178" s="675">
        <v>0</v>
      </c>
      <c r="FU178" s="675">
        <v>0</v>
      </c>
      <c r="FV178" s="675">
        <v>0</v>
      </c>
      <c r="FW178" s="675">
        <v>0</v>
      </c>
      <c r="FX178" s="675">
        <v>0</v>
      </c>
      <c r="FY178" s="675">
        <v>0</v>
      </c>
      <c r="FZ178" s="675">
        <v>0</v>
      </c>
      <c r="GA178" s="675">
        <v>0</v>
      </c>
      <c r="GB178" s="675">
        <v>0</v>
      </c>
      <c r="GC178" s="675">
        <v>0</v>
      </c>
      <c r="GD178" s="675">
        <v>0</v>
      </c>
      <c r="GE178" s="675">
        <v>0</v>
      </c>
      <c r="GF178" s="675">
        <v>0</v>
      </c>
      <c r="GG178" s="675">
        <v>0</v>
      </c>
      <c r="GH178" s="675">
        <v>0</v>
      </c>
      <c r="GI178" s="675">
        <v>0</v>
      </c>
      <c r="GJ178" s="675">
        <v>0</v>
      </c>
      <c r="GK178" s="675">
        <v>0</v>
      </c>
      <c r="GL178" s="675">
        <v>0</v>
      </c>
      <c r="GM178" s="675">
        <v>0</v>
      </c>
      <c r="GN178" s="675">
        <v>0</v>
      </c>
      <c r="GO178" s="675">
        <v>0</v>
      </c>
      <c r="GP178" s="675">
        <v>0</v>
      </c>
      <c r="GQ178" s="675">
        <v>0</v>
      </c>
      <c r="GR178" s="675">
        <v>0</v>
      </c>
      <c r="GS178" s="675">
        <v>0</v>
      </c>
      <c r="GT178" s="675">
        <v>0</v>
      </c>
      <c r="GU178" s="675">
        <v>0</v>
      </c>
      <c r="GV178" s="675">
        <v>0</v>
      </c>
      <c r="GW178" s="675">
        <v>0</v>
      </c>
      <c r="GX178" s="675">
        <v>0</v>
      </c>
      <c r="GY178" s="675">
        <v>0</v>
      </c>
      <c r="GZ178" s="675">
        <v>0</v>
      </c>
      <c r="HA178" s="675">
        <v>0</v>
      </c>
      <c r="HB178" s="675">
        <v>298386780</v>
      </c>
      <c r="HC178" s="675">
        <v>4.5690999999999996E-2</v>
      </c>
      <c r="HD178" s="675">
        <v>27163</v>
      </c>
      <c r="HE178" s="675">
        <v>0</v>
      </c>
      <c r="HF178" s="675">
        <v>157933</v>
      </c>
      <c r="HG178" s="675">
        <v>1283</v>
      </c>
      <c r="HH178" s="675">
        <v>0</v>
      </c>
      <c r="HI178" s="675">
        <v>0</v>
      </c>
      <c r="HJ178" s="675">
        <v>1445</v>
      </c>
      <c r="HK178" s="675">
        <v>0</v>
      </c>
      <c r="HL178" s="675">
        <v>0</v>
      </c>
      <c r="HM178" s="675">
        <v>0</v>
      </c>
      <c r="HN178" s="675">
        <v>0</v>
      </c>
      <c r="HO178" s="675">
        <v>0</v>
      </c>
      <c r="HP178" s="675">
        <v>0</v>
      </c>
      <c r="HQ178" s="675">
        <v>0</v>
      </c>
      <c r="HR178" s="675">
        <v>0</v>
      </c>
      <c r="HS178" s="675">
        <v>1394555</v>
      </c>
      <c r="HT178" s="675">
        <v>30489</v>
      </c>
      <c r="HU178" s="675">
        <v>0</v>
      </c>
      <c r="HV178" s="675">
        <v>0</v>
      </c>
      <c r="HW178" s="675">
        <v>0</v>
      </c>
      <c r="HX178" s="675">
        <v>14</v>
      </c>
      <c r="HY178" s="675">
        <v>7</v>
      </c>
      <c r="HZ178" s="675">
        <v>23</v>
      </c>
      <c r="IA178" s="675">
        <v>34</v>
      </c>
      <c r="IB178" s="675">
        <v>77</v>
      </c>
      <c r="IC178" s="675">
        <v>155</v>
      </c>
      <c r="ID178" s="675">
        <v>0</v>
      </c>
      <c r="IE178" s="675">
        <v>0</v>
      </c>
      <c r="IF178" s="675">
        <v>0</v>
      </c>
      <c r="IG178" s="675">
        <v>2.0830000000000002</v>
      </c>
      <c r="IH178" s="675">
        <v>0</v>
      </c>
      <c r="II178" s="675">
        <v>0</v>
      </c>
      <c r="IJ178" s="675">
        <v>0</v>
      </c>
      <c r="IK178" s="675">
        <v>0</v>
      </c>
      <c r="IL178" s="675">
        <v>0</v>
      </c>
      <c r="IM178" s="675">
        <v>0</v>
      </c>
      <c r="IN178" s="675">
        <v>0</v>
      </c>
      <c r="IO178" s="675">
        <v>0</v>
      </c>
      <c r="IP178" s="675">
        <v>0</v>
      </c>
      <c r="IQ178" s="675">
        <v>0</v>
      </c>
      <c r="IR178" s="675">
        <v>0</v>
      </c>
      <c r="IS178" s="675">
        <v>0</v>
      </c>
      <c r="IT178" s="675">
        <v>0</v>
      </c>
      <c r="IU178" s="675">
        <v>0</v>
      </c>
      <c r="IV178" s="675">
        <v>0</v>
      </c>
      <c r="IW178" s="675">
        <v>6160</v>
      </c>
      <c r="IX178" s="675">
        <v>0</v>
      </c>
      <c r="IY178" s="675">
        <v>0</v>
      </c>
      <c r="IZ178" s="675">
        <v>0</v>
      </c>
      <c r="JA178" s="675">
        <v>0</v>
      </c>
      <c r="JB178" s="675">
        <v>0</v>
      </c>
      <c r="JC178" s="675">
        <v>0</v>
      </c>
      <c r="JD178" s="675">
        <v>0</v>
      </c>
      <c r="JE178" s="675">
        <v>0</v>
      </c>
      <c r="JF178" s="675">
        <v>0</v>
      </c>
      <c r="JG178" s="675">
        <v>0</v>
      </c>
      <c r="JH178" s="675">
        <v>0</v>
      </c>
      <c r="JI178" s="675">
        <v>0</v>
      </c>
      <c r="JJ178" s="675">
        <v>0</v>
      </c>
      <c r="JK178" s="675">
        <v>0</v>
      </c>
      <c r="JL178" s="675">
        <v>0</v>
      </c>
      <c r="JM178" s="675">
        <v>0</v>
      </c>
      <c r="JN178" s="675">
        <v>32469</v>
      </c>
      <c r="JO178" s="675">
        <v>0</v>
      </c>
      <c r="JP178" s="675">
        <v>0</v>
      </c>
      <c r="JQ178" s="675">
        <v>0</v>
      </c>
      <c r="JR178" s="675">
        <v>0</v>
      </c>
      <c r="JS178" s="675">
        <v>0</v>
      </c>
      <c r="JT178" s="675">
        <v>0</v>
      </c>
      <c r="JU178" s="675">
        <v>0</v>
      </c>
      <c r="JV178" s="675">
        <v>0</v>
      </c>
      <c r="JW178" s="675">
        <v>0</v>
      </c>
      <c r="JX178" s="675">
        <v>0</v>
      </c>
      <c r="JY178" s="675">
        <v>0</v>
      </c>
      <c r="JZ178" s="675">
        <v>0</v>
      </c>
      <c r="KA178" s="675">
        <v>0</v>
      </c>
      <c r="KB178" s="675">
        <v>0</v>
      </c>
      <c r="KC178" s="675">
        <v>0</v>
      </c>
      <c r="KD178" s="675">
        <v>0</v>
      </c>
      <c r="KE178" s="675">
        <v>7260</v>
      </c>
      <c r="KF178" s="675">
        <v>0</v>
      </c>
      <c r="KG178" s="675">
        <v>0</v>
      </c>
      <c r="KH178" s="675">
        <v>0</v>
      </c>
      <c r="KI178" s="675">
        <v>0</v>
      </c>
    </row>
    <row r="179" spans="1:295" ht="12.5" x14ac:dyDescent="0.25">
      <c r="A179" s="675">
        <v>35795</v>
      </c>
      <c r="B179" s="675">
        <v>101868</v>
      </c>
      <c r="C179" s="675">
        <v>9</v>
      </c>
      <c r="D179" s="675">
        <v>2022</v>
      </c>
      <c r="E179" s="675">
        <v>6160</v>
      </c>
      <c r="F179" s="675">
        <v>0</v>
      </c>
      <c r="G179" s="675">
        <v>332.76</v>
      </c>
      <c r="H179" s="675">
        <v>275.29599999999999</v>
      </c>
      <c r="I179" s="675">
        <v>275.29599999999999</v>
      </c>
      <c r="J179" s="675">
        <v>332.76</v>
      </c>
      <c r="K179" s="675">
        <v>0</v>
      </c>
      <c r="L179" s="675">
        <v>6160</v>
      </c>
      <c r="M179" s="675">
        <v>0</v>
      </c>
      <c r="N179" s="675">
        <v>0</v>
      </c>
      <c r="O179" s="675">
        <v>0</v>
      </c>
      <c r="P179" s="675">
        <v>374.22500000000002</v>
      </c>
      <c r="Q179" s="675">
        <v>0</v>
      </c>
      <c r="R179" s="675">
        <v>150599</v>
      </c>
      <c r="S179" s="675">
        <v>402.428</v>
      </c>
      <c r="T179" s="675">
        <v>0</v>
      </c>
      <c r="U179" s="675">
        <v>80086</v>
      </c>
      <c r="V179" s="675">
        <v>0</v>
      </c>
      <c r="W179" s="675">
        <v>0</v>
      </c>
      <c r="X179" s="675">
        <v>0</v>
      </c>
      <c r="Y179" s="675">
        <v>0</v>
      </c>
      <c r="Z179" s="675">
        <v>0</v>
      </c>
      <c r="AA179" s="675">
        <v>0</v>
      </c>
      <c r="AB179" s="675">
        <v>0</v>
      </c>
      <c r="AC179" s="675">
        <v>0</v>
      </c>
      <c r="AD179" s="675" t="s">
        <v>316</v>
      </c>
      <c r="AE179" s="675">
        <v>0</v>
      </c>
      <c r="AF179" s="675">
        <v>0</v>
      </c>
      <c r="AG179" s="675">
        <v>0</v>
      </c>
      <c r="AH179" s="675">
        <v>0</v>
      </c>
      <c r="AI179" s="675">
        <v>0</v>
      </c>
      <c r="AJ179" s="675">
        <v>6160</v>
      </c>
      <c r="AK179" s="675" t="s">
        <v>671</v>
      </c>
      <c r="AL179" s="675" t="s">
        <v>353</v>
      </c>
      <c r="AM179" s="675">
        <v>0</v>
      </c>
      <c r="AN179" s="675">
        <v>0</v>
      </c>
      <c r="AO179" s="675">
        <v>0</v>
      </c>
      <c r="AP179" s="675">
        <v>0</v>
      </c>
      <c r="AQ179" s="675">
        <v>0</v>
      </c>
      <c r="AR179" s="675">
        <v>0</v>
      </c>
      <c r="AS179" s="675">
        <v>0</v>
      </c>
      <c r="AT179" s="675">
        <v>0</v>
      </c>
      <c r="AU179" s="675">
        <v>0</v>
      </c>
      <c r="AV179" s="675">
        <v>-3595</v>
      </c>
      <c r="AW179" s="675">
        <v>3808030</v>
      </c>
      <c r="AX179" s="675">
        <v>3748452</v>
      </c>
      <c r="AY179" s="675">
        <v>2602565</v>
      </c>
      <c r="AZ179" s="675">
        <v>150599</v>
      </c>
      <c r="BA179" s="675">
        <v>0</v>
      </c>
      <c r="BB179" s="675">
        <v>0</v>
      </c>
      <c r="BC179" s="675">
        <v>0</v>
      </c>
      <c r="BD179" s="675">
        <v>0</v>
      </c>
      <c r="BE179" s="675">
        <v>0</v>
      </c>
      <c r="BF179" s="675">
        <v>3443793</v>
      </c>
      <c r="BG179" s="675">
        <v>0</v>
      </c>
      <c r="BH179" s="675">
        <v>0</v>
      </c>
      <c r="BI179" s="675">
        <v>0</v>
      </c>
      <c r="BJ179" s="675">
        <v>12</v>
      </c>
      <c r="BK179" s="675">
        <v>0</v>
      </c>
      <c r="BL179" s="675">
        <v>0</v>
      </c>
      <c r="BM179" s="675">
        <v>0</v>
      </c>
      <c r="BN179" s="675">
        <v>0</v>
      </c>
      <c r="BO179" s="675">
        <v>0</v>
      </c>
      <c r="BP179" s="675">
        <v>0</v>
      </c>
      <c r="BQ179" s="675">
        <v>728</v>
      </c>
      <c r="BR179" s="675">
        <v>0</v>
      </c>
      <c r="BS179" s="675">
        <v>0</v>
      </c>
      <c r="BT179" s="675">
        <v>0</v>
      </c>
      <c r="BU179" s="675">
        <v>0</v>
      </c>
      <c r="BV179" s="675">
        <v>0</v>
      </c>
      <c r="BW179" s="675">
        <v>0</v>
      </c>
      <c r="BX179" s="675">
        <v>0</v>
      </c>
      <c r="BY179" s="675">
        <v>0</v>
      </c>
      <c r="BZ179" s="675">
        <v>0</v>
      </c>
      <c r="CA179" s="675">
        <v>0</v>
      </c>
      <c r="CB179" s="675">
        <v>0</v>
      </c>
      <c r="CC179" s="675">
        <v>0</v>
      </c>
      <c r="CD179" s="675">
        <v>0</v>
      </c>
      <c r="CE179" s="675">
        <v>0</v>
      </c>
      <c r="CF179" s="675">
        <v>0</v>
      </c>
      <c r="CG179" s="675">
        <v>0</v>
      </c>
      <c r="CH179" s="675">
        <v>60816</v>
      </c>
      <c r="CI179" s="675">
        <v>0</v>
      </c>
      <c r="CJ179" s="675">
        <v>4</v>
      </c>
      <c r="CK179" s="675">
        <v>0</v>
      </c>
      <c r="CL179" s="675">
        <v>0</v>
      </c>
      <c r="CM179" s="675">
        <v>0</v>
      </c>
      <c r="CN179" s="675">
        <v>0</v>
      </c>
      <c r="CO179" s="675">
        <v>1</v>
      </c>
      <c r="CP179" s="675">
        <v>0.26</v>
      </c>
      <c r="CQ179" s="675">
        <v>0</v>
      </c>
      <c r="CR179" s="675">
        <v>382.95699999999999</v>
      </c>
      <c r="CS179" s="675">
        <v>0</v>
      </c>
      <c r="CT179" s="675">
        <v>0</v>
      </c>
      <c r="CU179" s="675">
        <v>0</v>
      </c>
      <c r="CV179" s="675">
        <v>0</v>
      </c>
      <c r="CW179" s="675">
        <v>0</v>
      </c>
      <c r="CX179" s="675">
        <v>0</v>
      </c>
      <c r="CY179" s="675">
        <v>0</v>
      </c>
      <c r="CZ179" s="675">
        <v>0</v>
      </c>
      <c r="DA179" s="675">
        <v>0</v>
      </c>
      <c r="DB179" s="675">
        <v>1509810</v>
      </c>
      <c r="DC179" s="675">
        <v>0</v>
      </c>
      <c r="DD179" s="675">
        <v>0</v>
      </c>
      <c r="DE179" s="675">
        <v>598980</v>
      </c>
      <c r="DF179" s="675">
        <v>602840</v>
      </c>
      <c r="DG179" s="675">
        <v>97.238</v>
      </c>
      <c r="DH179" s="675">
        <v>0</v>
      </c>
      <c r="DI179" s="675">
        <v>3860</v>
      </c>
      <c r="DJ179" s="675">
        <v>0</v>
      </c>
      <c r="DK179" s="675">
        <v>3264</v>
      </c>
      <c r="DL179" s="675">
        <v>0</v>
      </c>
      <c r="DM179" s="675">
        <v>511243</v>
      </c>
      <c r="DN179" s="675">
        <v>1239</v>
      </c>
      <c r="DO179" s="675">
        <v>0</v>
      </c>
      <c r="DP179" s="675">
        <v>0</v>
      </c>
      <c r="DQ179" s="675">
        <v>0</v>
      </c>
      <c r="DR179" s="675">
        <v>0</v>
      </c>
      <c r="DS179" s="675">
        <v>0</v>
      </c>
      <c r="DT179" s="675">
        <v>0</v>
      </c>
      <c r="DU179" s="675">
        <v>0</v>
      </c>
      <c r="DV179" s="675">
        <v>0</v>
      </c>
      <c r="DW179" s="675">
        <v>0</v>
      </c>
      <c r="DX179" s="675">
        <v>0</v>
      </c>
      <c r="DY179" s="675">
        <v>0</v>
      </c>
      <c r="DZ179" s="675">
        <v>0</v>
      </c>
      <c r="EA179" s="675">
        <v>0</v>
      </c>
      <c r="EB179" s="675">
        <v>0</v>
      </c>
      <c r="EC179" s="675">
        <v>31.558</v>
      </c>
      <c r="ED179" s="675">
        <v>223556</v>
      </c>
      <c r="EE179" s="675">
        <v>0</v>
      </c>
      <c r="EF179" s="675">
        <v>0</v>
      </c>
      <c r="EG179" s="675">
        <v>0</v>
      </c>
      <c r="EH179" s="675">
        <v>102921</v>
      </c>
      <c r="EI179" s="675">
        <v>0</v>
      </c>
      <c r="EJ179" s="675">
        <v>0</v>
      </c>
      <c r="EK179" s="675">
        <v>5.3159999999999998</v>
      </c>
      <c r="EL179" s="675">
        <v>0</v>
      </c>
      <c r="EM179" s="675">
        <v>0</v>
      </c>
      <c r="EN179" s="675">
        <v>0.152</v>
      </c>
      <c r="EO179" s="675">
        <v>0</v>
      </c>
      <c r="EP179" s="675">
        <v>0</v>
      </c>
      <c r="EQ179" s="675">
        <v>5.468</v>
      </c>
      <c r="ER179" s="675">
        <v>0</v>
      </c>
      <c r="ES179" s="675">
        <v>16.708000000000002</v>
      </c>
      <c r="ET179" s="675">
        <v>0</v>
      </c>
      <c r="EU179" s="675">
        <v>0</v>
      </c>
      <c r="EV179" s="675">
        <v>0</v>
      </c>
      <c r="EW179" s="675">
        <v>0</v>
      </c>
      <c r="EX179" s="675">
        <v>0</v>
      </c>
      <c r="EY179" s="675">
        <v>0</v>
      </c>
      <c r="EZ179" s="675">
        <v>3325693</v>
      </c>
      <c r="FA179" s="675">
        <v>0</v>
      </c>
      <c r="FB179" s="675">
        <v>3475054</v>
      </c>
      <c r="FC179" s="675">
        <v>0</v>
      </c>
      <c r="FD179" s="675">
        <v>0</v>
      </c>
      <c r="FE179" s="675">
        <v>350304</v>
      </c>
      <c r="FF179" s="675">
        <v>72455</v>
      </c>
      <c r="FG179" s="675">
        <v>6.3574999999999993E-2</v>
      </c>
      <c r="FH179" s="675">
        <v>2.6298999999999999E-2</v>
      </c>
      <c r="FI179" s="675">
        <v>0</v>
      </c>
      <c r="FJ179" s="675">
        <v>0</v>
      </c>
      <c r="FK179" s="675">
        <v>559.06000000000006</v>
      </c>
      <c r="FL179" s="675">
        <v>3958629</v>
      </c>
      <c r="FM179" s="675">
        <v>0</v>
      </c>
      <c r="FN179" s="675">
        <v>0</v>
      </c>
      <c r="FO179" s="675">
        <v>28612</v>
      </c>
      <c r="FP179" s="675">
        <v>0</v>
      </c>
      <c r="FQ179" s="675">
        <v>28612</v>
      </c>
      <c r="FR179" s="675">
        <v>28612</v>
      </c>
      <c r="FS179" s="675">
        <v>0</v>
      </c>
      <c r="FT179" s="675">
        <v>0</v>
      </c>
      <c r="FU179" s="675">
        <v>0</v>
      </c>
      <c r="FV179" s="675">
        <v>0</v>
      </c>
      <c r="FW179" s="675">
        <v>0</v>
      </c>
      <c r="FX179" s="675">
        <v>0</v>
      </c>
      <c r="FY179" s="675">
        <v>0</v>
      </c>
      <c r="FZ179" s="675">
        <v>0</v>
      </c>
      <c r="GA179" s="675">
        <v>0</v>
      </c>
      <c r="GB179" s="675">
        <v>498354</v>
      </c>
      <c r="GC179" s="675">
        <v>498354</v>
      </c>
      <c r="GD179" s="675">
        <v>51.996000000000002</v>
      </c>
      <c r="GE179" s="675">
        <v>0</v>
      </c>
      <c r="GF179" s="675">
        <v>0</v>
      </c>
      <c r="GG179" s="675">
        <v>0</v>
      </c>
      <c r="GH179" s="675">
        <v>0</v>
      </c>
      <c r="GI179" s="675">
        <v>0</v>
      </c>
      <c r="GJ179" s="675">
        <v>0</v>
      </c>
      <c r="GK179" s="675">
        <v>0</v>
      </c>
      <c r="GL179" s="675">
        <v>0</v>
      </c>
      <c r="GM179" s="675">
        <v>0</v>
      </c>
      <c r="GN179" s="675">
        <v>0</v>
      </c>
      <c r="GO179" s="675">
        <v>0</v>
      </c>
      <c r="GP179" s="675">
        <v>0</v>
      </c>
      <c r="GQ179" s="675">
        <v>0</v>
      </c>
      <c r="GR179" s="675">
        <v>0</v>
      </c>
      <c r="GS179" s="675">
        <v>0</v>
      </c>
      <c r="GT179" s="675">
        <v>0</v>
      </c>
      <c r="GU179" s="675">
        <v>0</v>
      </c>
      <c r="GV179" s="675">
        <v>0</v>
      </c>
      <c r="GW179" s="675">
        <v>0</v>
      </c>
      <c r="GX179" s="675">
        <v>0</v>
      </c>
      <c r="GY179" s="675">
        <v>0</v>
      </c>
      <c r="GZ179" s="675">
        <v>0</v>
      </c>
      <c r="HA179" s="675">
        <v>0</v>
      </c>
      <c r="HB179" s="675">
        <v>298386780</v>
      </c>
      <c r="HC179" s="675">
        <v>4.5690999999999996E-2</v>
      </c>
      <c r="HD179" s="675">
        <v>60816</v>
      </c>
      <c r="HE179" s="675">
        <v>0</v>
      </c>
      <c r="HF179" s="675">
        <v>302826</v>
      </c>
      <c r="HG179" s="675">
        <v>9240</v>
      </c>
      <c r="HH179" s="675">
        <v>5007</v>
      </c>
      <c r="HI179" s="675">
        <v>0</v>
      </c>
      <c r="HJ179" s="675">
        <v>3234</v>
      </c>
      <c r="HK179" s="675">
        <v>2592</v>
      </c>
      <c r="HL179" s="675">
        <v>342</v>
      </c>
      <c r="HM179" s="675">
        <v>0</v>
      </c>
      <c r="HN179" s="675">
        <v>0</v>
      </c>
      <c r="HO179" s="675">
        <v>0</v>
      </c>
      <c r="HP179" s="675">
        <v>0</v>
      </c>
      <c r="HQ179" s="675">
        <v>0</v>
      </c>
      <c r="HR179" s="675">
        <v>0</v>
      </c>
      <c r="HS179" s="675">
        <v>3324455</v>
      </c>
      <c r="HT179" s="675">
        <v>72455</v>
      </c>
      <c r="HU179" s="675">
        <v>0</v>
      </c>
      <c r="HV179" s="675">
        <v>0</v>
      </c>
      <c r="HW179" s="675">
        <v>0</v>
      </c>
      <c r="HX179" s="675">
        <v>29</v>
      </c>
      <c r="HY179" s="675">
        <v>25</v>
      </c>
      <c r="HZ179" s="675">
        <v>80</v>
      </c>
      <c r="IA179" s="675">
        <v>76</v>
      </c>
      <c r="IB179" s="675">
        <v>163</v>
      </c>
      <c r="IC179" s="675">
        <v>373</v>
      </c>
      <c r="ID179" s="675">
        <v>0</v>
      </c>
      <c r="IE179" s="675">
        <v>0</v>
      </c>
      <c r="IF179" s="675">
        <v>0</v>
      </c>
      <c r="IG179" s="675">
        <v>15</v>
      </c>
      <c r="IH179" s="675">
        <v>8.1280000000000001</v>
      </c>
      <c r="II179" s="675">
        <v>0</v>
      </c>
      <c r="IJ179" s="675">
        <v>0</v>
      </c>
      <c r="IK179" s="675">
        <v>3.4670000000000001</v>
      </c>
      <c r="IL179" s="675">
        <v>0</v>
      </c>
      <c r="IM179" s="675">
        <v>0</v>
      </c>
      <c r="IN179" s="675">
        <v>0</v>
      </c>
      <c r="IO179" s="675">
        <v>0</v>
      </c>
      <c r="IP179" s="675">
        <v>3.4670000000000001</v>
      </c>
      <c r="IQ179" s="675">
        <v>0</v>
      </c>
      <c r="IR179" s="675">
        <v>0</v>
      </c>
      <c r="IS179" s="675">
        <v>953</v>
      </c>
      <c r="IT179" s="675">
        <v>0</v>
      </c>
      <c r="IU179" s="675">
        <v>0</v>
      </c>
      <c r="IV179" s="675">
        <v>0</v>
      </c>
      <c r="IW179" s="675">
        <v>6160</v>
      </c>
      <c r="IX179" s="675">
        <v>0</v>
      </c>
      <c r="IY179" s="675">
        <v>0</v>
      </c>
      <c r="IZ179" s="675">
        <v>953</v>
      </c>
      <c r="JA179" s="675">
        <v>0</v>
      </c>
      <c r="JB179" s="675">
        <v>0</v>
      </c>
      <c r="JC179" s="675">
        <v>0</v>
      </c>
      <c r="JD179" s="675">
        <v>0</v>
      </c>
      <c r="JE179" s="675">
        <v>0</v>
      </c>
      <c r="JF179" s="675">
        <v>0</v>
      </c>
      <c r="JG179" s="675">
        <v>0</v>
      </c>
      <c r="JH179" s="675">
        <v>0</v>
      </c>
      <c r="JI179" s="675">
        <v>0</v>
      </c>
      <c r="JJ179" s="675">
        <v>0</v>
      </c>
      <c r="JK179" s="675">
        <v>0</v>
      </c>
      <c r="JL179" s="675">
        <v>0</v>
      </c>
      <c r="JM179" s="675">
        <v>0</v>
      </c>
      <c r="JN179" s="675">
        <v>32469</v>
      </c>
      <c r="JO179" s="675">
        <v>4.0810000000000004</v>
      </c>
      <c r="JP179" s="675">
        <v>33.055</v>
      </c>
      <c r="JQ179" s="675">
        <v>14.86</v>
      </c>
      <c r="JR179" s="675">
        <v>32591</v>
      </c>
      <c r="JS179" s="675">
        <v>307174</v>
      </c>
      <c r="JT179" s="675">
        <v>158589</v>
      </c>
      <c r="JU179" s="675">
        <v>0</v>
      </c>
      <c r="JV179" s="675">
        <v>0</v>
      </c>
      <c r="JW179" s="675">
        <v>0</v>
      </c>
      <c r="JX179" s="675">
        <v>0</v>
      </c>
      <c r="JY179" s="675">
        <v>0</v>
      </c>
      <c r="JZ179" s="675">
        <v>0</v>
      </c>
      <c r="KA179" s="675">
        <v>0</v>
      </c>
      <c r="KB179" s="675">
        <v>0</v>
      </c>
      <c r="KC179" s="675">
        <v>0</v>
      </c>
      <c r="KD179" s="675">
        <v>0</v>
      </c>
      <c r="KE179" s="675">
        <v>7260</v>
      </c>
      <c r="KF179" s="675">
        <v>0</v>
      </c>
      <c r="KG179" s="675">
        <v>0</v>
      </c>
      <c r="KH179" s="675">
        <v>0</v>
      </c>
      <c r="KI179" s="675">
        <v>0</v>
      </c>
    </row>
    <row r="180" spans="1:295" ht="12.5" x14ac:dyDescent="0.25">
      <c r="A180" s="675">
        <v>35795</v>
      </c>
      <c r="B180" s="675">
        <v>101870</v>
      </c>
      <c r="C180" s="675">
        <v>9</v>
      </c>
      <c r="D180" s="675">
        <v>2022</v>
      </c>
      <c r="E180" s="675">
        <v>6160</v>
      </c>
      <c r="F180" s="675">
        <v>0</v>
      </c>
      <c r="G180" s="675">
        <v>1188.443</v>
      </c>
      <c r="H180" s="675">
        <v>1170.7640000000001</v>
      </c>
      <c r="I180" s="675">
        <v>1170.7640000000001</v>
      </c>
      <c r="J180" s="675">
        <v>1188.443</v>
      </c>
      <c r="K180" s="675">
        <v>0</v>
      </c>
      <c r="L180" s="675">
        <v>6160</v>
      </c>
      <c r="M180" s="675">
        <v>0</v>
      </c>
      <c r="N180" s="675">
        <v>0</v>
      </c>
      <c r="O180" s="675">
        <v>0</v>
      </c>
      <c r="P180" s="675">
        <v>1085.2270000000001</v>
      </c>
      <c r="Q180" s="675">
        <v>0</v>
      </c>
      <c r="R180" s="675">
        <v>436726</v>
      </c>
      <c r="S180" s="675">
        <v>402.428</v>
      </c>
      <c r="T180" s="675">
        <v>0</v>
      </c>
      <c r="U180" s="675">
        <v>232240</v>
      </c>
      <c r="V180" s="675">
        <v>219.28700000000001</v>
      </c>
      <c r="W180" s="675">
        <v>135080</v>
      </c>
      <c r="X180" s="675">
        <v>135080</v>
      </c>
      <c r="Y180" s="675">
        <v>0</v>
      </c>
      <c r="Z180" s="675">
        <v>0</v>
      </c>
      <c r="AA180" s="675">
        <v>0</v>
      </c>
      <c r="AB180" s="675">
        <v>0</v>
      </c>
      <c r="AC180" s="675">
        <v>0</v>
      </c>
      <c r="AD180" s="675" t="s">
        <v>316</v>
      </c>
      <c r="AE180" s="675">
        <v>0</v>
      </c>
      <c r="AF180" s="675">
        <v>0</v>
      </c>
      <c r="AG180" s="675">
        <v>0</v>
      </c>
      <c r="AH180" s="675">
        <v>0</v>
      </c>
      <c r="AI180" s="675">
        <v>0</v>
      </c>
      <c r="AJ180" s="675">
        <v>6160</v>
      </c>
      <c r="AK180" s="675" t="s">
        <v>671</v>
      </c>
      <c r="AL180" s="675" t="s">
        <v>371</v>
      </c>
      <c r="AM180" s="675">
        <v>0</v>
      </c>
      <c r="AN180" s="675">
        <v>0</v>
      </c>
      <c r="AO180" s="675">
        <v>0</v>
      </c>
      <c r="AP180" s="675">
        <v>0</v>
      </c>
      <c r="AQ180" s="675">
        <v>0</v>
      </c>
      <c r="AR180" s="675">
        <v>0</v>
      </c>
      <c r="AS180" s="675">
        <v>0</v>
      </c>
      <c r="AT180" s="675">
        <v>0</v>
      </c>
      <c r="AU180" s="675">
        <v>0</v>
      </c>
      <c r="AV180" s="675">
        <v>0</v>
      </c>
      <c r="AW180" s="675">
        <v>12001111</v>
      </c>
      <c r="AX180" s="675">
        <v>11717055</v>
      </c>
      <c r="AY180" s="675">
        <v>8024205</v>
      </c>
      <c r="AZ180" s="675">
        <v>436726</v>
      </c>
      <c r="BA180" s="675">
        <v>0</v>
      </c>
      <c r="BB180" s="675">
        <v>0</v>
      </c>
      <c r="BC180" s="675">
        <v>0</v>
      </c>
      <c r="BD180" s="675">
        <v>0</v>
      </c>
      <c r="BE180" s="675">
        <v>0</v>
      </c>
      <c r="BF180" s="675">
        <v>10823795</v>
      </c>
      <c r="BG180" s="675">
        <v>0</v>
      </c>
      <c r="BH180" s="675">
        <v>0</v>
      </c>
      <c r="BI180" s="675">
        <v>0</v>
      </c>
      <c r="BJ180" s="675">
        <v>12</v>
      </c>
      <c r="BK180" s="675">
        <v>0</v>
      </c>
      <c r="BL180" s="675">
        <v>0</v>
      </c>
      <c r="BM180" s="675">
        <v>0</v>
      </c>
      <c r="BN180" s="675">
        <v>0</v>
      </c>
      <c r="BO180" s="675">
        <v>0</v>
      </c>
      <c r="BP180" s="675">
        <v>0</v>
      </c>
      <c r="BQ180" s="675">
        <v>590</v>
      </c>
      <c r="BR180" s="675">
        <v>0</v>
      </c>
      <c r="BS180" s="675">
        <v>0</v>
      </c>
      <c r="BT180" s="675">
        <v>0</v>
      </c>
      <c r="BU180" s="675">
        <v>0</v>
      </c>
      <c r="BV180" s="675">
        <v>0</v>
      </c>
      <c r="BW180" s="675">
        <v>0</v>
      </c>
      <c r="BX180" s="675">
        <v>0</v>
      </c>
      <c r="BY180" s="675">
        <v>0</v>
      </c>
      <c r="BZ180" s="675">
        <v>0</v>
      </c>
      <c r="CA180" s="675">
        <v>0</v>
      </c>
      <c r="CB180" s="675">
        <v>0</v>
      </c>
      <c r="CC180" s="675">
        <v>0</v>
      </c>
      <c r="CD180" s="675">
        <v>0</v>
      </c>
      <c r="CE180" s="675">
        <v>0</v>
      </c>
      <c r="CF180" s="675">
        <v>0</v>
      </c>
      <c r="CG180" s="675">
        <v>0</v>
      </c>
      <c r="CH180" s="675">
        <v>285708</v>
      </c>
      <c r="CI180" s="675">
        <v>0</v>
      </c>
      <c r="CJ180" s="675">
        <v>4</v>
      </c>
      <c r="CK180" s="675">
        <v>0</v>
      </c>
      <c r="CL180" s="675">
        <v>0</v>
      </c>
      <c r="CM180" s="675">
        <v>0</v>
      </c>
      <c r="CN180" s="675">
        <v>0</v>
      </c>
      <c r="CO180" s="675">
        <v>1</v>
      </c>
      <c r="CP180" s="675">
        <v>0</v>
      </c>
      <c r="CQ180" s="675">
        <v>0</v>
      </c>
      <c r="CR180" s="675">
        <v>1069.854</v>
      </c>
      <c r="CS180" s="675">
        <v>0</v>
      </c>
      <c r="CT180" s="675">
        <v>0</v>
      </c>
      <c r="CU180" s="675">
        <v>0</v>
      </c>
      <c r="CV180" s="675">
        <v>0</v>
      </c>
      <c r="CW180" s="675">
        <v>0</v>
      </c>
      <c r="CX180" s="675">
        <v>0</v>
      </c>
      <c r="CY180" s="675">
        <v>0</v>
      </c>
      <c r="CZ180" s="675">
        <v>0</v>
      </c>
      <c r="DA180" s="675">
        <v>0</v>
      </c>
      <c r="DB180" s="675">
        <v>7211873</v>
      </c>
      <c r="DC180" s="675">
        <v>0</v>
      </c>
      <c r="DD180" s="675">
        <v>0</v>
      </c>
      <c r="DE180" s="675">
        <v>1443358</v>
      </c>
      <c r="DF180" s="675">
        <v>1443358</v>
      </c>
      <c r="DG180" s="675">
        <v>234.31300000000002</v>
      </c>
      <c r="DH180" s="675">
        <v>0</v>
      </c>
      <c r="DI180" s="675">
        <v>0</v>
      </c>
      <c r="DJ180" s="675">
        <v>0</v>
      </c>
      <c r="DK180" s="675">
        <v>1058</v>
      </c>
      <c r="DL180" s="675">
        <v>0</v>
      </c>
      <c r="DM180" s="675">
        <v>433584</v>
      </c>
      <c r="DN180" s="675">
        <v>1652</v>
      </c>
      <c r="DO180" s="675">
        <v>0</v>
      </c>
      <c r="DP180" s="675">
        <v>0</v>
      </c>
      <c r="DQ180" s="675">
        <v>0</v>
      </c>
      <c r="DR180" s="675">
        <v>0</v>
      </c>
      <c r="DS180" s="675">
        <v>0</v>
      </c>
      <c r="DT180" s="675">
        <v>0</v>
      </c>
      <c r="DU180" s="675">
        <v>0</v>
      </c>
      <c r="DV180" s="675">
        <v>0</v>
      </c>
      <c r="DW180" s="675">
        <v>0</v>
      </c>
      <c r="DX180" s="675">
        <v>0</v>
      </c>
      <c r="DY180" s="675">
        <v>0</v>
      </c>
      <c r="DZ180" s="675">
        <v>0</v>
      </c>
      <c r="EA180" s="675">
        <v>0</v>
      </c>
      <c r="EB180" s="675">
        <v>0</v>
      </c>
      <c r="EC180" s="675">
        <v>25.983000000000001</v>
      </c>
      <c r="ED180" s="675">
        <v>184063</v>
      </c>
      <c r="EE180" s="675">
        <v>0</v>
      </c>
      <c r="EF180" s="675">
        <v>0</v>
      </c>
      <c r="EG180" s="675">
        <v>0</v>
      </c>
      <c r="EH180" s="675">
        <v>251173</v>
      </c>
      <c r="EI180" s="675">
        <v>0</v>
      </c>
      <c r="EJ180" s="675">
        <v>0</v>
      </c>
      <c r="EK180" s="675">
        <v>9.402000000000001</v>
      </c>
      <c r="EL180" s="675">
        <v>0</v>
      </c>
      <c r="EM180" s="675">
        <v>1.3030000000000002</v>
      </c>
      <c r="EN180" s="675">
        <v>1.732</v>
      </c>
      <c r="EO180" s="675">
        <v>0</v>
      </c>
      <c r="EP180" s="675">
        <v>0</v>
      </c>
      <c r="EQ180" s="675">
        <v>12.437000000000001</v>
      </c>
      <c r="ER180" s="675">
        <v>0</v>
      </c>
      <c r="ES180" s="675">
        <v>40.774999999999999</v>
      </c>
      <c r="ET180" s="675">
        <v>0</v>
      </c>
      <c r="EU180" s="675">
        <v>0</v>
      </c>
      <c r="EV180" s="675">
        <v>0</v>
      </c>
      <c r="EW180" s="675">
        <v>0</v>
      </c>
      <c r="EX180" s="675">
        <v>0</v>
      </c>
      <c r="EY180" s="675">
        <v>0</v>
      </c>
      <c r="EZ180" s="675">
        <v>10388328</v>
      </c>
      <c r="FA180" s="675">
        <v>0</v>
      </c>
      <c r="FB180" s="675">
        <v>10823402</v>
      </c>
      <c r="FC180" s="675">
        <v>0</v>
      </c>
      <c r="FD180" s="675">
        <v>0</v>
      </c>
      <c r="FE180" s="675">
        <v>1101002</v>
      </c>
      <c r="FF180" s="675">
        <v>227725</v>
      </c>
      <c r="FG180" s="675">
        <v>6.3574999999999993E-2</v>
      </c>
      <c r="FH180" s="675">
        <v>2.6298999999999999E-2</v>
      </c>
      <c r="FI180" s="675">
        <v>0</v>
      </c>
      <c r="FJ180" s="675">
        <v>0</v>
      </c>
      <c r="FK180" s="675">
        <v>1757.1180000000002</v>
      </c>
      <c r="FL180" s="675">
        <v>12437837</v>
      </c>
      <c r="FM180" s="675">
        <v>0</v>
      </c>
      <c r="FN180" s="675">
        <v>0</v>
      </c>
      <c r="FO180" s="675">
        <v>0</v>
      </c>
      <c r="FP180" s="675">
        <v>0</v>
      </c>
      <c r="FQ180" s="675">
        <v>0</v>
      </c>
      <c r="FR180" s="675">
        <v>0</v>
      </c>
      <c r="FS180" s="675">
        <v>0</v>
      </c>
      <c r="FT180" s="675">
        <v>0</v>
      </c>
      <c r="FU180" s="675">
        <v>0</v>
      </c>
      <c r="FV180" s="675">
        <v>0</v>
      </c>
      <c r="FW180" s="675">
        <v>0</v>
      </c>
      <c r="FX180" s="675">
        <v>0</v>
      </c>
      <c r="FY180" s="675">
        <v>0</v>
      </c>
      <c r="FZ180" s="675">
        <v>0</v>
      </c>
      <c r="GA180" s="675">
        <v>0</v>
      </c>
      <c r="GB180" s="675">
        <v>41863</v>
      </c>
      <c r="GC180" s="675">
        <v>41863</v>
      </c>
      <c r="GD180" s="675">
        <v>5.242</v>
      </c>
      <c r="GE180" s="675">
        <v>0</v>
      </c>
      <c r="GF180" s="675">
        <v>0</v>
      </c>
      <c r="GG180" s="675">
        <v>0</v>
      </c>
      <c r="GH180" s="675">
        <v>0</v>
      </c>
      <c r="GI180" s="675">
        <v>0</v>
      </c>
      <c r="GJ180" s="675">
        <v>0</v>
      </c>
      <c r="GK180" s="675">
        <v>0</v>
      </c>
      <c r="GL180" s="675">
        <v>0</v>
      </c>
      <c r="GM180" s="675">
        <v>0</v>
      </c>
      <c r="GN180" s="675">
        <v>0</v>
      </c>
      <c r="GO180" s="675">
        <v>0</v>
      </c>
      <c r="GP180" s="675">
        <v>0</v>
      </c>
      <c r="GQ180" s="675">
        <v>0</v>
      </c>
      <c r="GR180" s="675">
        <v>0</v>
      </c>
      <c r="GS180" s="675">
        <v>0</v>
      </c>
      <c r="GT180" s="675">
        <v>0</v>
      </c>
      <c r="GU180" s="675">
        <v>0</v>
      </c>
      <c r="GV180" s="675">
        <v>0</v>
      </c>
      <c r="GW180" s="675">
        <v>0</v>
      </c>
      <c r="GX180" s="675">
        <v>0</v>
      </c>
      <c r="GY180" s="675">
        <v>0</v>
      </c>
      <c r="GZ180" s="675">
        <v>0</v>
      </c>
      <c r="HA180" s="675">
        <v>0</v>
      </c>
      <c r="HB180" s="675">
        <v>298386780</v>
      </c>
      <c r="HC180" s="675">
        <v>4.5690999999999996E-2</v>
      </c>
      <c r="HD180" s="675">
        <v>217203</v>
      </c>
      <c r="HE180" s="675">
        <v>0</v>
      </c>
      <c r="HF180" s="675">
        <v>1287840</v>
      </c>
      <c r="HG180" s="675">
        <v>12320</v>
      </c>
      <c r="HH180" s="675">
        <v>244673</v>
      </c>
      <c r="HI180" s="675">
        <v>0</v>
      </c>
      <c r="HJ180" s="675">
        <v>11552</v>
      </c>
      <c r="HK180" s="675">
        <v>1098</v>
      </c>
      <c r="HL180" s="675">
        <v>161</v>
      </c>
      <c r="HM180" s="675">
        <v>0</v>
      </c>
      <c r="HN180" s="675">
        <v>0</v>
      </c>
      <c r="HO180" s="675">
        <v>0</v>
      </c>
      <c r="HP180" s="675">
        <v>0</v>
      </c>
      <c r="HQ180" s="675">
        <v>0</v>
      </c>
      <c r="HR180" s="675">
        <v>0</v>
      </c>
      <c r="HS180" s="675">
        <v>10386676</v>
      </c>
      <c r="HT180" s="675">
        <v>227725</v>
      </c>
      <c r="HU180" s="675">
        <v>0</v>
      </c>
      <c r="HV180" s="675">
        <v>0</v>
      </c>
      <c r="HW180" s="675">
        <v>0</v>
      </c>
      <c r="HX180" s="675">
        <v>170</v>
      </c>
      <c r="HY180" s="675">
        <v>175</v>
      </c>
      <c r="HZ180" s="675">
        <v>240</v>
      </c>
      <c r="IA180" s="675">
        <v>184</v>
      </c>
      <c r="IB180" s="675">
        <v>168</v>
      </c>
      <c r="IC180" s="675">
        <v>937</v>
      </c>
      <c r="ID180" s="675">
        <v>0</v>
      </c>
      <c r="IE180" s="675">
        <v>0</v>
      </c>
      <c r="IF180" s="675">
        <v>0</v>
      </c>
      <c r="IG180" s="675">
        <v>20</v>
      </c>
      <c r="IH180" s="675">
        <v>397.19800000000004</v>
      </c>
      <c r="II180" s="675">
        <v>0</v>
      </c>
      <c r="IJ180" s="675">
        <v>219.28700000000001</v>
      </c>
      <c r="IK180" s="675">
        <v>0</v>
      </c>
      <c r="IL180" s="675">
        <v>0</v>
      </c>
      <c r="IM180" s="675">
        <v>0</v>
      </c>
      <c r="IN180" s="675">
        <v>0</v>
      </c>
      <c r="IO180" s="675">
        <v>0</v>
      </c>
      <c r="IP180" s="675">
        <v>0</v>
      </c>
      <c r="IQ180" s="675">
        <v>219.28700000000001</v>
      </c>
      <c r="IR180" s="675">
        <v>135080</v>
      </c>
      <c r="IS180" s="675">
        <v>0</v>
      </c>
      <c r="IT180" s="675">
        <v>0</v>
      </c>
      <c r="IU180" s="675">
        <v>0</v>
      </c>
      <c r="IV180" s="675">
        <v>0</v>
      </c>
      <c r="IW180" s="675">
        <v>6160</v>
      </c>
      <c r="IX180" s="675">
        <v>0</v>
      </c>
      <c r="IY180" s="675">
        <v>0</v>
      </c>
      <c r="IZ180" s="675">
        <v>0</v>
      </c>
      <c r="JA180" s="675">
        <v>0</v>
      </c>
      <c r="JB180" s="675">
        <v>0</v>
      </c>
      <c r="JC180" s="675">
        <v>0</v>
      </c>
      <c r="JD180" s="675">
        <v>0</v>
      </c>
      <c r="JE180" s="675">
        <v>0</v>
      </c>
      <c r="JF180" s="675">
        <v>0</v>
      </c>
      <c r="JG180" s="675">
        <v>0</v>
      </c>
      <c r="JH180" s="675">
        <v>0</v>
      </c>
      <c r="JI180" s="675">
        <v>0</v>
      </c>
      <c r="JJ180" s="675">
        <v>0</v>
      </c>
      <c r="JK180" s="675">
        <v>0</v>
      </c>
      <c r="JL180" s="675">
        <v>0</v>
      </c>
      <c r="JM180" s="675">
        <v>0</v>
      </c>
      <c r="JN180" s="675">
        <v>32469</v>
      </c>
      <c r="JO180" s="675">
        <v>5.242</v>
      </c>
      <c r="JP180" s="675">
        <v>0</v>
      </c>
      <c r="JQ180" s="675">
        <v>0</v>
      </c>
      <c r="JR180" s="675">
        <v>41863</v>
      </c>
      <c r="JS180" s="675">
        <v>0</v>
      </c>
      <c r="JT180" s="675">
        <v>0</v>
      </c>
      <c r="JU180" s="675">
        <v>0</v>
      </c>
      <c r="JV180" s="675">
        <v>0</v>
      </c>
      <c r="JW180" s="675">
        <v>0</v>
      </c>
      <c r="JX180" s="675">
        <v>0</v>
      </c>
      <c r="JY180" s="675">
        <v>0</v>
      </c>
      <c r="JZ180" s="675">
        <v>0</v>
      </c>
      <c r="KA180" s="675">
        <v>0</v>
      </c>
      <c r="KB180" s="675">
        <v>0</v>
      </c>
      <c r="KC180" s="675">
        <v>0</v>
      </c>
      <c r="KD180" s="675">
        <v>0</v>
      </c>
      <c r="KE180" s="675">
        <v>7260</v>
      </c>
      <c r="KF180" s="675">
        <v>68505</v>
      </c>
      <c r="KG180" s="675">
        <v>0</v>
      </c>
      <c r="KH180" s="675">
        <v>0</v>
      </c>
      <c r="KI180" s="675">
        <v>0</v>
      </c>
    </row>
    <row r="181" spans="1:295" ht="12.5" x14ac:dyDescent="0.25">
      <c r="A181" s="675">
        <v>35795</v>
      </c>
      <c r="B181" s="675">
        <v>101871</v>
      </c>
      <c r="C181" s="675">
        <v>9</v>
      </c>
      <c r="D181" s="675">
        <v>2022</v>
      </c>
      <c r="E181" s="675">
        <v>6160</v>
      </c>
      <c r="F181" s="675">
        <v>0</v>
      </c>
      <c r="G181" s="675">
        <v>128.74700000000001</v>
      </c>
      <c r="H181" s="675">
        <v>128.19300000000001</v>
      </c>
      <c r="I181" s="675">
        <v>128.19300000000001</v>
      </c>
      <c r="J181" s="675">
        <v>128.74700000000001</v>
      </c>
      <c r="K181" s="675">
        <v>0</v>
      </c>
      <c r="L181" s="675">
        <v>6160</v>
      </c>
      <c r="M181" s="675">
        <v>0</v>
      </c>
      <c r="N181" s="675">
        <v>0</v>
      </c>
      <c r="O181" s="675">
        <v>0</v>
      </c>
      <c r="P181" s="675">
        <v>134.161</v>
      </c>
      <c r="Q181" s="675">
        <v>0</v>
      </c>
      <c r="R181" s="675">
        <v>53990</v>
      </c>
      <c r="S181" s="675">
        <v>402.428</v>
      </c>
      <c r="T181" s="675">
        <v>0</v>
      </c>
      <c r="U181" s="675">
        <v>28712</v>
      </c>
      <c r="V181" s="675">
        <v>10.999000000000001</v>
      </c>
      <c r="W181" s="675">
        <v>6775</v>
      </c>
      <c r="X181" s="675">
        <v>6775</v>
      </c>
      <c r="Y181" s="675">
        <v>0</v>
      </c>
      <c r="Z181" s="675">
        <v>0</v>
      </c>
      <c r="AA181" s="675">
        <v>0</v>
      </c>
      <c r="AB181" s="675">
        <v>0</v>
      </c>
      <c r="AC181" s="675">
        <v>0</v>
      </c>
      <c r="AD181" s="675" t="s">
        <v>316</v>
      </c>
      <c r="AE181" s="675">
        <v>0</v>
      </c>
      <c r="AF181" s="675">
        <v>0</v>
      </c>
      <c r="AG181" s="675">
        <v>0</v>
      </c>
      <c r="AH181" s="675">
        <v>0</v>
      </c>
      <c r="AI181" s="675">
        <v>0</v>
      </c>
      <c r="AJ181" s="675">
        <v>6160</v>
      </c>
      <c r="AK181" s="675" t="s">
        <v>671</v>
      </c>
      <c r="AL181" s="675" t="s">
        <v>387</v>
      </c>
      <c r="AM181" s="675">
        <v>0</v>
      </c>
      <c r="AN181" s="675">
        <v>0</v>
      </c>
      <c r="AO181" s="675">
        <v>0</v>
      </c>
      <c r="AP181" s="675">
        <v>0</v>
      </c>
      <c r="AQ181" s="675">
        <v>0</v>
      </c>
      <c r="AR181" s="675">
        <v>0</v>
      </c>
      <c r="AS181" s="675">
        <v>0</v>
      </c>
      <c r="AT181" s="675">
        <v>0</v>
      </c>
      <c r="AU181" s="675">
        <v>0</v>
      </c>
      <c r="AV181" s="675">
        <v>-18401</v>
      </c>
      <c r="AW181" s="675">
        <v>1476294</v>
      </c>
      <c r="AX181" s="675">
        <v>1453636</v>
      </c>
      <c r="AY181" s="675">
        <v>994327</v>
      </c>
      <c r="AZ181" s="675">
        <v>53990</v>
      </c>
      <c r="BA181" s="675">
        <v>0</v>
      </c>
      <c r="BB181" s="675">
        <v>0</v>
      </c>
      <c r="BC181" s="675">
        <v>0</v>
      </c>
      <c r="BD181" s="675">
        <v>0</v>
      </c>
      <c r="BE181" s="675">
        <v>0</v>
      </c>
      <c r="BF181" s="675">
        <v>1342786</v>
      </c>
      <c r="BG181" s="675">
        <v>0</v>
      </c>
      <c r="BH181" s="675">
        <v>0</v>
      </c>
      <c r="BI181" s="675">
        <v>0</v>
      </c>
      <c r="BJ181" s="675">
        <v>12</v>
      </c>
      <c r="BK181" s="675">
        <v>0</v>
      </c>
      <c r="BL181" s="675">
        <v>0</v>
      </c>
      <c r="BM181" s="675">
        <v>0</v>
      </c>
      <c r="BN181" s="675">
        <v>0</v>
      </c>
      <c r="BO181" s="675">
        <v>0</v>
      </c>
      <c r="BP181" s="675">
        <v>0</v>
      </c>
      <c r="BQ181" s="675">
        <v>750</v>
      </c>
      <c r="BR181" s="675">
        <v>0</v>
      </c>
      <c r="BS181" s="675">
        <v>0</v>
      </c>
      <c r="BT181" s="675">
        <v>0</v>
      </c>
      <c r="BU181" s="675">
        <v>0</v>
      </c>
      <c r="BV181" s="675">
        <v>0</v>
      </c>
      <c r="BW181" s="675">
        <v>0</v>
      </c>
      <c r="BX181" s="675">
        <v>0</v>
      </c>
      <c r="BY181" s="675">
        <v>0</v>
      </c>
      <c r="BZ181" s="675">
        <v>0</v>
      </c>
      <c r="CA181" s="675">
        <v>0</v>
      </c>
      <c r="CB181" s="675">
        <v>0</v>
      </c>
      <c r="CC181" s="675">
        <v>0</v>
      </c>
      <c r="CD181" s="675">
        <v>0</v>
      </c>
      <c r="CE181" s="675">
        <v>0</v>
      </c>
      <c r="CF181" s="675">
        <v>0</v>
      </c>
      <c r="CG181" s="675">
        <v>0</v>
      </c>
      <c r="CH181" s="675">
        <v>23530</v>
      </c>
      <c r="CI181" s="675">
        <v>0</v>
      </c>
      <c r="CJ181" s="675">
        <v>4</v>
      </c>
      <c r="CK181" s="675">
        <v>0</v>
      </c>
      <c r="CL181" s="675">
        <v>0</v>
      </c>
      <c r="CM181" s="675">
        <v>0</v>
      </c>
      <c r="CN181" s="675">
        <v>0</v>
      </c>
      <c r="CO181" s="675">
        <v>1</v>
      </c>
      <c r="CP181" s="675">
        <v>0</v>
      </c>
      <c r="CQ181" s="675">
        <v>0</v>
      </c>
      <c r="CR181" s="675">
        <v>139.88900000000001</v>
      </c>
      <c r="CS181" s="675">
        <v>0</v>
      </c>
      <c r="CT181" s="675">
        <v>0</v>
      </c>
      <c r="CU181" s="675">
        <v>0</v>
      </c>
      <c r="CV181" s="675">
        <v>0</v>
      </c>
      <c r="CW181" s="675">
        <v>0</v>
      </c>
      <c r="CX181" s="675">
        <v>0</v>
      </c>
      <c r="CY181" s="675">
        <v>0</v>
      </c>
      <c r="CZ181" s="675">
        <v>0</v>
      </c>
      <c r="DA181" s="675">
        <v>0</v>
      </c>
      <c r="DB181" s="675">
        <v>789665</v>
      </c>
      <c r="DC181" s="675">
        <v>0</v>
      </c>
      <c r="DD181" s="675">
        <v>0</v>
      </c>
      <c r="DE181" s="675">
        <v>173172</v>
      </c>
      <c r="DF181" s="675">
        <v>173172</v>
      </c>
      <c r="DG181" s="675">
        <v>28.113000000000003</v>
      </c>
      <c r="DH181" s="675">
        <v>0</v>
      </c>
      <c r="DI181" s="675">
        <v>0</v>
      </c>
      <c r="DJ181" s="675">
        <v>0</v>
      </c>
      <c r="DK181" s="675">
        <v>3627</v>
      </c>
      <c r="DL181" s="675">
        <v>0</v>
      </c>
      <c r="DM181" s="675">
        <v>228807</v>
      </c>
      <c r="DN181" s="675">
        <v>872</v>
      </c>
      <c r="DO181" s="675">
        <v>0</v>
      </c>
      <c r="DP181" s="675">
        <v>0</v>
      </c>
      <c r="DQ181" s="675">
        <v>0</v>
      </c>
      <c r="DR181" s="675">
        <v>0</v>
      </c>
      <c r="DS181" s="675">
        <v>0</v>
      </c>
      <c r="DT181" s="675">
        <v>0</v>
      </c>
      <c r="DU181" s="675">
        <v>0</v>
      </c>
      <c r="DV181" s="675">
        <v>0</v>
      </c>
      <c r="DW181" s="675">
        <v>0</v>
      </c>
      <c r="DX181" s="675">
        <v>0</v>
      </c>
      <c r="DY181" s="675">
        <v>0</v>
      </c>
      <c r="DZ181" s="675">
        <v>0</v>
      </c>
      <c r="EA181" s="675">
        <v>0</v>
      </c>
      <c r="EB181" s="675">
        <v>0</v>
      </c>
      <c r="EC181" s="675">
        <v>30.304000000000002</v>
      </c>
      <c r="ED181" s="675">
        <v>214673</v>
      </c>
      <c r="EE181" s="675">
        <v>0</v>
      </c>
      <c r="EF181" s="675">
        <v>0</v>
      </c>
      <c r="EG181" s="675">
        <v>0</v>
      </c>
      <c r="EH181" s="675">
        <v>15006</v>
      </c>
      <c r="EI181" s="675">
        <v>0</v>
      </c>
      <c r="EJ181" s="675">
        <v>0</v>
      </c>
      <c r="EK181" s="675">
        <v>0</v>
      </c>
      <c r="EL181" s="675">
        <v>0</v>
      </c>
      <c r="EM181" s="675">
        <v>0.16700000000000001</v>
      </c>
      <c r="EN181" s="675">
        <v>0.38700000000000001</v>
      </c>
      <c r="EO181" s="675">
        <v>0</v>
      </c>
      <c r="EP181" s="675">
        <v>0</v>
      </c>
      <c r="EQ181" s="675">
        <v>0.55400000000000005</v>
      </c>
      <c r="ER181" s="675">
        <v>0</v>
      </c>
      <c r="ES181" s="675">
        <v>2.4359999999999999</v>
      </c>
      <c r="ET181" s="675">
        <v>0</v>
      </c>
      <c r="EU181" s="675">
        <v>0</v>
      </c>
      <c r="EV181" s="675">
        <v>0</v>
      </c>
      <c r="EW181" s="675">
        <v>0</v>
      </c>
      <c r="EX181" s="675">
        <v>0</v>
      </c>
      <c r="EY181" s="675">
        <v>0</v>
      </c>
      <c r="EZ181" s="675">
        <v>1288796</v>
      </c>
      <c r="FA181" s="675">
        <v>0</v>
      </c>
      <c r="FB181" s="675">
        <v>1341914</v>
      </c>
      <c r="FC181" s="675">
        <v>0</v>
      </c>
      <c r="FD181" s="675">
        <v>0</v>
      </c>
      <c r="FE181" s="675">
        <v>136589</v>
      </c>
      <c r="FF181" s="675">
        <v>28251</v>
      </c>
      <c r="FG181" s="675">
        <v>6.3574999999999993E-2</v>
      </c>
      <c r="FH181" s="675">
        <v>2.6298999999999999E-2</v>
      </c>
      <c r="FI181" s="675">
        <v>0</v>
      </c>
      <c r="FJ181" s="675">
        <v>0</v>
      </c>
      <c r="FK181" s="675">
        <v>217.98600000000002</v>
      </c>
      <c r="FL181" s="675">
        <v>1530284</v>
      </c>
      <c r="FM181" s="675">
        <v>0</v>
      </c>
      <c r="FN181" s="675">
        <v>0</v>
      </c>
      <c r="FO181" s="675">
        <v>0</v>
      </c>
      <c r="FP181" s="675">
        <v>0</v>
      </c>
      <c r="FQ181" s="675">
        <v>0</v>
      </c>
      <c r="FR181" s="675">
        <v>0</v>
      </c>
      <c r="FS181" s="675">
        <v>0</v>
      </c>
      <c r="FT181" s="675">
        <v>0</v>
      </c>
      <c r="FU181" s="675">
        <v>0</v>
      </c>
      <c r="FV181" s="675">
        <v>0</v>
      </c>
      <c r="FW181" s="675">
        <v>0</v>
      </c>
      <c r="FX181" s="675">
        <v>0</v>
      </c>
      <c r="FY181" s="675">
        <v>0</v>
      </c>
      <c r="FZ181" s="675">
        <v>0</v>
      </c>
      <c r="GA181" s="675">
        <v>0</v>
      </c>
      <c r="GB181" s="675">
        <v>0</v>
      </c>
      <c r="GC181" s="675">
        <v>0</v>
      </c>
      <c r="GD181" s="675">
        <v>0</v>
      </c>
      <c r="GE181" s="675">
        <v>0</v>
      </c>
      <c r="GF181" s="675">
        <v>0</v>
      </c>
      <c r="GG181" s="675">
        <v>0</v>
      </c>
      <c r="GH181" s="675">
        <v>0</v>
      </c>
      <c r="GI181" s="675">
        <v>0</v>
      </c>
      <c r="GJ181" s="675">
        <v>0</v>
      </c>
      <c r="GK181" s="675">
        <v>0</v>
      </c>
      <c r="GL181" s="675">
        <v>0</v>
      </c>
      <c r="GM181" s="675">
        <v>0</v>
      </c>
      <c r="GN181" s="675">
        <v>0</v>
      </c>
      <c r="GO181" s="675">
        <v>0</v>
      </c>
      <c r="GP181" s="675">
        <v>0</v>
      </c>
      <c r="GQ181" s="675">
        <v>0</v>
      </c>
      <c r="GR181" s="675">
        <v>0</v>
      </c>
      <c r="GS181" s="675">
        <v>0</v>
      </c>
      <c r="GT181" s="675">
        <v>0</v>
      </c>
      <c r="GU181" s="675">
        <v>0</v>
      </c>
      <c r="GV181" s="675">
        <v>0</v>
      </c>
      <c r="GW181" s="675">
        <v>0</v>
      </c>
      <c r="GX181" s="675">
        <v>0</v>
      </c>
      <c r="GY181" s="675">
        <v>0</v>
      </c>
      <c r="GZ181" s="675">
        <v>0</v>
      </c>
      <c r="HA181" s="675">
        <v>0</v>
      </c>
      <c r="HB181" s="675">
        <v>298386780</v>
      </c>
      <c r="HC181" s="675">
        <v>4.5690999999999996E-2</v>
      </c>
      <c r="HD181" s="675">
        <v>23530</v>
      </c>
      <c r="HE181" s="675">
        <v>0</v>
      </c>
      <c r="HF181" s="675">
        <v>141012</v>
      </c>
      <c r="HG181" s="675">
        <v>1232</v>
      </c>
      <c r="HH181" s="675">
        <v>0</v>
      </c>
      <c r="HI181" s="675">
        <v>0</v>
      </c>
      <c r="HJ181" s="675">
        <v>1251</v>
      </c>
      <c r="HK181" s="675">
        <v>0</v>
      </c>
      <c r="HL181" s="675">
        <v>0</v>
      </c>
      <c r="HM181" s="675">
        <v>0</v>
      </c>
      <c r="HN181" s="675">
        <v>0</v>
      </c>
      <c r="HO181" s="675">
        <v>0</v>
      </c>
      <c r="HP181" s="675">
        <v>0</v>
      </c>
      <c r="HQ181" s="675">
        <v>0</v>
      </c>
      <c r="HR181" s="675">
        <v>0</v>
      </c>
      <c r="HS181" s="675">
        <v>1287924</v>
      </c>
      <c r="HT181" s="675">
        <v>28251</v>
      </c>
      <c r="HU181" s="675">
        <v>0</v>
      </c>
      <c r="HV181" s="675">
        <v>0</v>
      </c>
      <c r="HW181" s="675">
        <v>0</v>
      </c>
      <c r="HX181" s="675">
        <v>11</v>
      </c>
      <c r="HY181" s="675">
        <v>10</v>
      </c>
      <c r="HZ181" s="675">
        <v>25</v>
      </c>
      <c r="IA181" s="675">
        <v>25</v>
      </c>
      <c r="IB181" s="675">
        <v>38</v>
      </c>
      <c r="IC181" s="675">
        <v>109</v>
      </c>
      <c r="ID181" s="675">
        <v>0</v>
      </c>
      <c r="IE181" s="675">
        <v>0</v>
      </c>
      <c r="IF181" s="675">
        <v>0</v>
      </c>
      <c r="IG181" s="675">
        <v>2</v>
      </c>
      <c r="IH181" s="675">
        <v>0</v>
      </c>
      <c r="II181" s="675">
        <v>0</v>
      </c>
      <c r="IJ181" s="675">
        <v>10.999000000000001</v>
      </c>
      <c r="IK181" s="675">
        <v>0</v>
      </c>
      <c r="IL181" s="675">
        <v>0</v>
      </c>
      <c r="IM181" s="675">
        <v>0</v>
      </c>
      <c r="IN181" s="675">
        <v>0</v>
      </c>
      <c r="IO181" s="675">
        <v>0</v>
      </c>
      <c r="IP181" s="675">
        <v>0</v>
      </c>
      <c r="IQ181" s="675">
        <v>10.999000000000001</v>
      </c>
      <c r="IR181" s="675">
        <v>6775</v>
      </c>
      <c r="IS181" s="675">
        <v>0</v>
      </c>
      <c r="IT181" s="675">
        <v>0</v>
      </c>
      <c r="IU181" s="675">
        <v>0</v>
      </c>
      <c r="IV181" s="675">
        <v>0</v>
      </c>
      <c r="IW181" s="675">
        <v>6160</v>
      </c>
      <c r="IX181" s="675">
        <v>0</v>
      </c>
      <c r="IY181" s="675">
        <v>0</v>
      </c>
      <c r="IZ181" s="675">
        <v>0</v>
      </c>
      <c r="JA181" s="675">
        <v>0</v>
      </c>
      <c r="JB181" s="675">
        <v>0</v>
      </c>
      <c r="JC181" s="675">
        <v>0</v>
      </c>
      <c r="JD181" s="675">
        <v>0</v>
      </c>
      <c r="JE181" s="675">
        <v>0</v>
      </c>
      <c r="JF181" s="675">
        <v>0</v>
      </c>
      <c r="JG181" s="675">
        <v>0</v>
      </c>
      <c r="JH181" s="675">
        <v>0</v>
      </c>
      <c r="JI181" s="675">
        <v>0</v>
      </c>
      <c r="JJ181" s="675">
        <v>0</v>
      </c>
      <c r="JK181" s="675">
        <v>0</v>
      </c>
      <c r="JL181" s="675">
        <v>0</v>
      </c>
      <c r="JM181" s="675">
        <v>0</v>
      </c>
      <c r="JN181" s="675">
        <v>32469</v>
      </c>
      <c r="JO181" s="675">
        <v>0</v>
      </c>
      <c r="JP181" s="675">
        <v>0</v>
      </c>
      <c r="JQ181" s="675">
        <v>0</v>
      </c>
      <c r="JR181" s="675">
        <v>0</v>
      </c>
      <c r="JS181" s="675">
        <v>0</v>
      </c>
      <c r="JT181" s="675">
        <v>0</v>
      </c>
      <c r="JU181" s="675">
        <v>0</v>
      </c>
      <c r="JV181" s="675">
        <v>0</v>
      </c>
      <c r="JW181" s="675">
        <v>0</v>
      </c>
      <c r="JX181" s="675">
        <v>0</v>
      </c>
      <c r="JY181" s="675">
        <v>0</v>
      </c>
      <c r="JZ181" s="675">
        <v>0</v>
      </c>
      <c r="KA181" s="675">
        <v>0</v>
      </c>
      <c r="KB181" s="675">
        <v>0</v>
      </c>
      <c r="KC181" s="675">
        <v>0</v>
      </c>
      <c r="KD181" s="675">
        <v>0</v>
      </c>
      <c r="KE181" s="675">
        <v>7260</v>
      </c>
      <c r="KF181" s="675">
        <v>0</v>
      </c>
      <c r="KG181" s="675">
        <v>0</v>
      </c>
      <c r="KH181" s="675">
        <v>0</v>
      </c>
      <c r="KI181" s="675">
        <v>0</v>
      </c>
    </row>
    <row r="182" spans="1:295" ht="12.5" x14ac:dyDescent="0.25">
      <c r="A182" s="675">
        <v>35795</v>
      </c>
      <c r="B182" s="675">
        <v>101872</v>
      </c>
      <c r="C182" s="675">
        <v>9</v>
      </c>
      <c r="D182" s="675">
        <v>2022</v>
      </c>
      <c r="E182" s="675">
        <v>6160</v>
      </c>
      <c r="F182" s="675">
        <v>0</v>
      </c>
      <c r="G182" s="675">
        <v>321.512</v>
      </c>
      <c r="H182" s="675">
        <v>318.32300000000004</v>
      </c>
      <c r="I182" s="675">
        <v>318.32300000000004</v>
      </c>
      <c r="J182" s="675">
        <v>321.512</v>
      </c>
      <c r="K182" s="675">
        <v>0</v>
      </c>
      <c r="L182" s="675">
        <v>6160</v>
      </c>
      <c r="M182" s="675">
        <v>0</v>
      </c>
      <c r="N182" s="675">
        <v>0</v>
      </c>
      <c r="O182" s="675">
        <v>0</v>
      </c>
      <c r="P182" s="675">
        <v>214.05</v>
      </c>
      <c r="Q182" s="675">
        <v>0</v>
      </c>
      <c r="R182" s="675">
        <v>86140</v>
      </c>
      <c r="S182" s="675">
        <v>402.428</v>
      </c>
      <c r="T182" s="675">
        <v>0</v>
      </c>
      <c r="U182" s="675">
        <v>45807</v>
      </c>
      <c r="V182" s="675">
        <v>190.67000000000002</v>
      </c>
      <c r="W182" s="675">
        <v>117452</v>
      </c>
      <c r="X182" s="675">
        <v>117452</v>
      </c>
      <c r="Y182" s="675">
        <v>0</v>
      </c>
      <c r="Z182" s="675">
        <v>0</v>
      </c>
      <c r="AA182" s="675">
        <v>0</v>
      </c>
      <c r="AB182" s="675">
        <v>0</v>
      </c>
      <c r="AC182" s="675">
        <v>0</v>
      </c>
      <c r="AD182" s="675" t="s">
        <v>316</v>
      </c>
      <c r="AE182" s="675">
        <v>0</v>
      </c>
      <c r="AF182" s="675">
        <v>0</v>
      </c>
      <c r="AG182" s="675">
        <v>0</v>
      </c>
      <c r="AH182" s="675">
        <v>0</v>
      </c>
      <c r="AI182" s="675">
        <v>0</v>
      </c>
      <c r="AJ182" s="675">
        <v>6160</v>
      </c>
      <c r="AK182" s="675" t="s">
        <v>671</v>
      </c>
      <c r="AL182" s="675" t="s">
        <v>443</v>
      </c>
      <c r="AM182" s="675">
        <v>0</v>
      </c>
      <c r="AN182" s="675">
        <v>0</v>
      </c>
      <c r="AO182" s="675">
        <v>0</v>
      </c>
      <c r="AP182" s="675">
        <v>0</v>
      </c>
      <c r="AQ182" s="675">
        <v>0</v>
      </c>
      <c r="AR182" s="675">
        <v>0</v>
      </c>
      <c r="AS182" s="675">
        <v>0</v>
      </c>
      <c r="AT182" s="675">
        <v>0</v>
      </c>
      <c r="AU182" s="675">
        <v>0</v>
      </c>
      <c r="AV182" s="675">
        <v>-3069</v>
      </c>
      <c r="AW182" s="675">
        <v>3608296</v>
      </c>
      <c r="AX182" s="675">
        <v>3532140</v>
      </c>
      <c r="AY182" s="675">
        <v>2444519</v>
      </c>
      <c r="AZ182" s="675">
        <v>86140</v>
      </c>
      <c r="BA182" s="675">
        <v>0</v>
      </c>
      <c r="BB182" s="675">
        <v>0</v>
      </c>
      <c r="BC182" s="675">
        <v>0</v>
      </c>
      <c r="BD182" s="675">
        <v>0</v>
      </c>
      <c r="BE182" s="675">
        <v>0</v>
      </c>
      <c r="BF182" s="675">
        <v>3190535</v>
      </c>
      <c r="BG182" s="675">
        <v>0</v>
      </c>
      <c r="BH182" s="675">
        <v>0</v>
      </c>
      <c r="BI182" s="675">
        <v>0</v>
      </c>
      <c r="BJ182" s="675">
        <v>12</v>
      </c>
      <c r="BK182" s="675">
        <v>0</v>
      </c>
      <c r="BL182" s="675">
        <v>0</v>
      </c>
      <c r="BM182" s="675">
        <v>0</v>
      </c>
      <c r="BN182" s="675">
        <v>0</v>
      </c>
      <c r="BO182" s="675">
        <v>0</v>
      </c>
      <c r="BP182" s="675">
        <v>0</v>
      </c>
      <c r="BQ182" s="675">
        <v>721</v>
      </c>
      <c r="BR182" s="675">
        <v>0</v>
      </c>
      <c r="BS182" s="675">
        <v>0</v>
      </c>
      <c r="BT182" s="675">
        <v>0</v>
      </c>
      <c r="BU182" s="675">
        <v>0</v>
      </c>
      <c r="BV182" s="675">
        <v>0</v>
      </c>
      <c r="BW182" s="675">
        <v>0</v>
      </c>
      <c r="BX182" s="675">
        <v>0</v>
      </c>
      <c r="BY182" s="675">
        <v>0</v>
      </c>
      <c r="BZ182" s="675">
        <v>0</v>
      </c>
      <c r="CA182" s="675">
        <v>0</v>
      </c>
      <c r="CB182" s="675">
        <v>0</v>
      </c>
      <c r="CC182" s="675">
        <v>0</v>
      </c>
      <c r="CD182" s="675">
        <v>0</v>
      </c>
      <c r="CE182" s="675">
        <v>0</v>
      </c>
      <c r="CF182" s="675">
        <v>0</v>
      </c>
      <c r="CG182" s="675">
        <v>0</v>
      </c>
      <c r="CH182" s="675">
        <v>76943</v>
      </c>
      <c r="CI182" s="675">
        <v>0</v>
      </c>
      <c r="CJ182" s="675">
        <v>5</v>
      </c>
      <c r="CK182" s="675">
        <v>0</v>
      </c>
      <c r="CL182" s="675">
        <v>0</v>
      </c>
      <c r="CM182" s="675">
        <v>0</v>
      </c>
      <c r="CN182" s="675">
        <v>0</v>
      </c>
      <c r="CO182" s="675">
        <v>1</v>
      </c>
      <c r="CP182" s="675">
        <v>0</v>
      </c>
      <c r="CQ182" s="675">
        <v>0</v>
      </c>
      <c r="CR182" s="675">
        <v>208.16900000000001</v>
      </c>
      <c r="CS182" s="675">
        <v>0</v>
      </c>
      <c r="CT182" s="675">
        <v>0</v>
      </c>
      <c r="CU182" s="675">
        <v>0</v>
      </c>
      <c r="CV182" s="675">
        <v>0</v>
      </c>
      <c r="CW182" s="675">
        <v>0</v>
      </c>
      <c r="CX182" s="675">
        <v>0</v>
      </c>
      <c r="CY182" s="675">
        <v>0</v>
      </c>
      <c r="CZ182" s="675">
        <v>0</v>
      </c>
      <c r="DA182" s="675">
        <v>0</v>
      </c>
      <c r="DB182" s="675">
        <v>1960861</v>
      </c>
      <c r="DC182" s="675">
        <v>0</v>
      </c>
      <c r="DD182" s="675">
        <v>0</v>
      </c>
      <c r="DE182" s="675">
        <v>551548</v>
      </c>
      <c r="DF182" s="675">
        <v>551548</v>
      </c>
      <c r="DG182" s="675">
        <v>89.538000000000011</v>
      </c>
      <c r="DH182" s="675">
        <v>0</v>
      </c>
      <c r="DI182" s="675">
        <v>0</v>
      </c>
      <c r="DJ182" s="675">
        <v>0</v>
      </c>
      <c r="DK182" s="675">
        <v>3158</v>
      </c>
      <c r="DL182" s="675">
        <v>0</v>
      </c>
      <c r="DM182" s="675">
        <v>206607</v>
      </c>
      <c r="DN182" s="675">
        <v>787</v>
      </c>
      <c r="DO182" s="675">
        <v>0</v>
      </c>
      <c r="DP182" s="675">
        <v>0</v>
      </c>
      <c r="DQ182" s="675">
        <v>0</v>
      </c>
      <c r="DR182" s="675">
        <v>0</v>
      </c>
      <c r="DS182" s="675">
        <v>0</v>
      </c>
      <c r="DT182" s="675">
        <v>0</v>
      </c>
      <c r="DU182" s="675">
        <v>0</v>
      </c>
      <c r="DV182" s="675">
        <v>0</v>
      </c>
      <c r="DW182" s="675">
        <v>0</v>
      </c>
      <c r="DX182" s="675">
        <v>0</v>
      </c>
      <c r="DY182" s="675">
        <v>0</v>
      </c>
      <c r="DZ182" s="675">
        <v>0</v>
      </c>
      <c r="EA182" s="675">
        <v>0</v>
      </c>
      <c r="EB182" s="675">
        <v>0</v>
      </c>
      <c r="EC182" s="675">
        <v>20.292999999999999</v>
      </c>
      <c r="ED182" s="675">
        <v>143755</v>
      </c>
      <c r="EE182" s="675">
        <v>0</v>
      </c>
      <c r="EF182" s="675">
        <v>0</v>
      </c>
      <c r="EG182" s="675">
        <v>0</v>
      </c>
      <c r="EH182" s="675">
        <v>63639</v>
      </c>
      <c r="EI182" s="675">
        <v>0</v>
      </c>
      <c r="EJ182" s="675">
        <v>0</v>
      </c>
      <c r="EK182" s="675">
        <v>2.8069999999999999</v>
      </c>
      <c r="EL182" s="675">
        <v>0</v>
      </c>
      <c r="EM182" s="675">
        <v>0</v>
      </c>
      <c r="EN182" s="675">
        <v>0.38200000000000001</v>
      </c>
      <c r="EO182" s="675">
        <v>0</v>
      </c>
      <c r="EP182" s="675">
        <v>0</v>
      </c>
      <c r="EQ182" s="675">
        <v>3.1890000000000001</v>
      </c>
      <c r="ER182" s="675">
        <v>0</v>
      </c>
      <c r="ES182" s="675">
        <v>10.331000000000001</v>
      </c>
      <c r="ET182" s="675">
        <v>0</v>
      </c>
      <c r="EU182" s="675">
        <v>0</v>
      </c>
      <c r="EV182" s="675">
        <v>0</v>
      </c>
      <c r="EW182" s="675">
        <v>0</v>
      </c>
      <c r="EX182" s="675">
        <v>0</v>
      </c>
      <c r="EY182" s="675">
        <v>0</v>
      </c>
      <c r="EZ182" s="675">
        <v>3140471</v>
      </c>
      <c r="FA182" s="675">
        <v>0</v>
      </c>
      <c r="FB182" s="675">
        <v>3225824</v>
      </c>
      <c r="FC182" s="675">
        <v>0</v>
      </c>
      <c r="FD182" s="675">
        <v>0</v>
      </c>
      <c r="FE182" s="675">
        <v>324542</v>
      </c>
      <c r="FF182" s="675">
        <v>67127</v>
      </c>
      <c r="FG182" s="675">
        <v>6.3574999999999993E-2</v>
      </c>
      <c r="FH182" s="675">
        <v>2.6298999999999999E-2</v>
      </c>
      <c r="FI182" s="675">
        <v>0</v>
      </c>
      <c r="FJ182" s="675">
        <v>0</v>
      </c>
      <c r="FK182" s="675">
        <v>517.94600000000003</v>
      </c>
      <c r="FL182" s="675">
        <v>3694436</v>
      </c>
      <c r="FM182" s="675">
        <v>0</v>
      </c>
      <c r="FN182" s="675">
        <v>0</v>
      </c>
      <c r="FO182" s="675">
        <v>36076</v>
      </c>
      <c r="FP182" s="675">
        <v>0</v>
      </c>
      <c r="FQ182" s="675">
        <v>36076</v>
      </c>
      <c r="FR182" s="675">
        <v>36076</v>
      </c>
      <c r="FS182" s="675">
        <v>0</v>
      </c>
      <c r="FT182" s="675">
        <v>0</v>
      </c>
      <c r="FU182" s="675">
        <v>0</v>
      </c>
      <c r="FV182" s="675">
        <v>0</v>
      </c>
      <c r="FW182" s="675">
        <v>0</v>
      </c>
      <c r="FX182" s="675">
        <v>0</v>
      </c>
      <c r="FY182" s="675">
        <v>0</v>
      </c>
      <c r="FZ182" s="675">
        <v>0</v>
      </c>
      <c r="GA182" s="675">
        <v>0</v>
      </c>
      <c r="GB182" s="675">
        <v>0</v>
      </c>
      <c r="GC182" s="675">
        <v>0</v>
      </c>
      <c r="GD182" s="675">
        <v>0</v>
      </c>
      <c r="GE182" s="675">
        <v>0</v>
      </c>
      <c r="GF182" s="675">
        <v>0</v>
      </c>
      <c r="GG182" s="675">
        <v>0</v>
      </c>
      <c r="GH182" s="675">
        <v>0</v>
      </c>
      <c r="GI182" s="675">
        <v>0</v>
      </c>
      <c r="GJ182" s="675">
        <v>0</v>
      </c>
      <c r="GK182" s="675">
        <v>0</v>
      </c>
      <c r="GL182" s="675">
        <v>0</v>
      </c>
      <c r="GM182" s="675">
        <v>0</v>
      </c>
      <c r="GN182" s="675">
        <v>0</v>
      </c>
      <c r="GO182" s="675">
        <v>0</v>
      </c>
      <c r="GP182" s="675">
        <v>0</v>
      </c>
      <c r="GQ182" s="675">
        <v>0</v>
      </c>
      <c r="GR182" s="675">
        <v>0</v>
      </c>
      <c r="GS182" s="675">
        <v>0</v>
      </c>
      <c r="GT182" s="675">
        <v>0</v>
      </c>
      <c r="GU182" s="675">
        <v>0</v>
      </c>
      <c r="GV182" s="675">
        <v>0</v>
      </c>
      <c r="GW182" s="675">
        <v>0</v>
      </c>
      <c r="GX182" s="675">
        <v>0</v>
      </c>
      <c r="GY182" s="675">
        <v>0</v>
      </c>
      <c r="GZ182" s="675">
        <v>0</v>
      </c>
      <c r="HA182" s="675">
        <v>0</v>
      </c>
      <c r="HB182" s="675">
        <v>298386780</v>
      </c>
      <c r="HC182" s="675">
        <v>4.5690999999999996E-2</v>
      </c>
      <c r="HD182" s="675">
        <v>58760</v>
      </c>
      <c r="HE182" s="675">
        <v>0</v>
      </c>
      <c r="HF182" s="675">
        <v>350155</v>
      </c>
      <c r="HG182" s="675">
        <v>0</v>
      </c>
      <c r="HH182" s="675">
        <v>0</v>
      </c>
      <c r="HI182" s="675">
        <v>0</v>
      </c>
      <c r="HJ182" s="675">
        <v>3125</v>
      </c>
      <c r="HK182" s="675">
        <v>0</v>
      </c>
      <c r="HL182" s="675">
        <v>0</v>
      </c>
      <c r="HM182" s="675">
        <v>0</v>
      </c>
      <c r="HN182" s="675">
        <v>0</v>
      </c>
      <c r="HO182" s="675">
        <v>0</v>
      </c>
      <c r="HP182" s="675">
        <v>0</v>
      </c>
      <c r="HQ182" s="675">
        <v>0</v>
      </c>
      <c r="HR182" s="675">
        <v>0</v>
      </c>
      <c r="HS182" s="675">
        <v>3139684</v>
      </c>
      <c r="HT182" s="675">
        <v>67127</v>
      </c>
      <c r="HU182" s="675">
        <v>0</v>
      </c>
      <c r="HV182" s="675">
        <v>0</v>
      </c>
      <c r="HW182" s="675">
        <v>0</v>
      </c>
      <c r="HX182" s="675">
        <v>20</v>
      </c>
      <c r="HY182" s="675">
        <v>18</v>
      </c>
      <c r="HZ182" s="675">
        <v>54</v>
      </c>
      <c r="IA182" s="675">
        <v>75</v>
      </c>
      <c r="IB182" s="675">
        <v>173</v>
      </c>
      <c r="IC182" s="675">
        <v>340</v>
      </c>
      <c r="ID182" s="675">
        <v>0</v>
      </c>
      <c r="IE182" s="675">
        <v>0</v>
      </c>
      <c r="IF182" s="675">
        <v>0</v>
      </c>
      <c r="IG182" s="675">
        <v>0</v>
      </c>
      <c r="IH182" s="675">
        <v>0</v>
      </c>
      <c r="II182" s="675">
        <v>0</v>
      </c>
      <c r="IJ182" s="675">
        <v>190.67000000000002</v>
      </c>
      <c r="IK182" s="675">
        <v>0</v>
      </c>
      <c r="IL182" s="675">
        <v>0</v>
      </c>
      <c r="IM182" s="675">
        <v>0</v>
      </c>
      <c r="IN182" s="675">
        <v>0</v>
      </c>
      <c r="IO182" s="675">
        <v>0</v>
      </c>
      <c r="IP182" s="675">
        <v>0</v>
      </c>
      <c r="IQ182" s="675">
        <v>190.67000000000002</v>
      </c>
      <c r="IR182" s="675">
        <v>117452</v>
      </c>
      <c r="IS182" s="675">
        <v>0</v>
      </c>
      <c r="IT182" s="675">
        <v>0</v>
      </c>
      <c r="IU182" s="675">
        <v>0</v>
      </c>
      <c r="IV182" s="675">
        <v>0</v>
      </c>
      <c r="IW182" s="675">
        <v>6160</v>
      </c>
      <c r="IX182" s="675">
        <v>0</v>
      </c>
      <c r="IY182" s="675">
        <v>0</v>
      </c>
      <c r="IZ182" s="675">
        <v>0</v>
      </c>
      <c r="JA182" s="675">
        <v>0</v>
      </c>
      <c r="JB182" s="675">
        <v>0</v>
      </c>
      <c r="JC182" s="675">
        <v>0</v>
      </c>
      <c r="JD182" s="675">
        <v>0</v>
      </c>
      <c r="JE182" s="675">
        <v>0</v>
      </c>
      <c r="JF182" s="675">
        <v>0</v>
      </c>
      <c r="JG182" s="675">
        <v>0</v>
      </c>
      <c r="JH182" s="675">
        <v>0</v>
      </c>
      <c r="JI182" s="675">
        <v>0</v>
      </c>
      <c r="JJ182" s="675">
        <v>0</v>
      </c>
      <c r="JK182" s="675">
        <v>0</v>
      </c>
      <c r="JL182" s="675">
        <v>0</v>
      </c>
      <c r="JM182" s="675">
        <v>0</v>
      </c>
      <c r="JN182" s="675">
        <v>32469</v>
      </c>
      <c r="JO182" s="675">
        <v>0</v>
      </c>
      <c r="JP182" s="675">
        <v>0</v>
      </c>
      <c r="JQ182" s="675">
        <v>0</v>
      </c>
      <c r="JR182" s="675">
        <v>0</v>
      </c>
      <c r="JS182" s="675">
        <v>0</v>
      </c>
      <c r="JT182" s="675">
        <v>0</v>
      </c>
      <c r="JU182" s="675">
        <v>0</v>
      </c>
      <c r="JV182" s="675">
        <v>0</v>
      </c>
      <c r="JW182" s="675">
        <v>0</v>
      </c>
      <c r="JX182" s="675">
        <v>0</v>
      </c>
      <c r="JY182" s="675">
        <v>0</v>
      </c>
      <c r="JZ182" s="675">
        <v>0</v>
      </c>
      <c r="KA182" s="675">
        <v>0</v>
      </c>
      <c r="KB182" s="675">
        <v>0</v>
      </c>
      <c r="KC182" s="675">
        <v>0</v>
      </c>
      <c r="KD182" s="675">
        <v>0</v>
      </c>
      <c r="KE182" s="675">
        <v>7260</v>
      </c>
      <c r="KF182" s="675">
        <v>18183</v>
      </c>
      <c r="KG182" s="675">
        <v>0</v>
      </c>
      <c r="KH182" s="675">
        <v>0</v>
      </c>
      <c r="KI182" s="675">
        <v>0</v>
      </c>
    </row>
    <row r="183" spans="1:295" ht="12.5" x14ac:dyDescent="0.25">
      <c r="A183" s="675">
        <v>35795</v>
      </c>
      <c r="B183" s="675">
        <v>101873</v>
      </c>
      <c r="C183" s="675">
        <v>9</v>
      </c>
      <c r="D183" s="675">
        <v>2022</v>
      </c>
      <c r="E183" s="675">
        <v>6160</v>
      </c>
      <c r="F183" s="675">
        <v>0</v>
      </c>
      <c r="G183" s="675">
        <v>138.042</v>
      </c>
      <c r="H183" s="675">
        <v>134.57500000000002</v>
      </c>
      <c r="I183" s="675">
        <v>134.57500000000002</v>
      </c>
      <c r="J183" s="675">
        <v>138.042</v>
      </c>
      <c r="K183" s="675">
        <v>0</v>
      </c>
      <c r="L183" s="675">
        <v>6160</v>
      </c>
      <c r="M183" s="675">
        <v>0</v>
      </c>
      <c r="N183" s="675">
        <v>0</v>
      </c>
      <c r="O183" s="675">
        <v>0</v>
      </c>
      <c r="P183" s="675">
        <v>204.542</v>
      </c>
      <c r="Q183" s="675">
        <v>0</v>
      </c>
      <c r="R183" s="675">
        <v>82313</v>
      </c>
      <c r="S183" s="675">
        <v>402.428</v>
      </c>
      <c r="T183" s="675">
        <v>0</v>
      </c>
      <c r="U183" s="675">
        <v>43773</v>
      </c>
      <c r="V183" s="675">
        <v>0</v>
      </c>
      <c r="W183" s="675">
        <v>0</v>
      </c>
      <c r="X183" s="675">
        <v>0</v>
      </c>
      <c r="Y183" s="675">
        <v>0</v>
      </c>
      <c r="Z183" s="675">
        <v>0</v>
      </c>
      <c r="AA183" s="675">
        <v>0</v>
      </c>
      <c r="AB183" s="675">
        <v>0</v>
      </c>
      <c r="AC183" s="675">
        <v>0</v>
      </c>
      <c r="AD183" s="675" t="s">
        <v>316</v>
      </c>
      <c r="AE183" s="675">
        <v>0</v>
      </c>
      <c r="AF183" s="675">
        <v>0</v>
      </c>
      <c r="AG183" s="675">
        <v>0</v>
      </c>
      <c r="AH183" s="675">
        <v>0</v>
      </c>
      <c r="AI183" s="675">
        <v>0</v>
      </c>
      <c r="AJ183" s="675">
        <v>6160</v>
      </c>
      <c r="AK183" s="675" t="s">
        <v>671</v>
      </c>
      <c r="AL183" s="675" t="s">
        <v>452</v>
      </c>
      <c r="AM183" s="675">
        <v>0</v>
      </c>
      <c r="AN183" s="675">
        <v>0</v>
      </c>
      <c r="AO183" s="675">
        <v>0</v>
      </c>
      <c r="AP183" s="675">
        <v>0</v>
      </c>
      <c r="AQ183" s="675">
        <v>0</v>
      </c>
      <c r="AR183" s="675">
        <v>0</v>
      </c>
      <c r="AS183" s="675">
        <v>0</v>
      </c>
      <c r="AT183" s="675">
        <v>0</v>
      </c>
      <c r="AU183" s="675">
        <v>0</v>
      </c>
      <c r="AV183" s="675">
        <v>-61246</v>
      </c>
      <c r="AW183" s="675">
        <v>1366480</v>
      </c>
      <c r="AX183" s="675">
        <v>1366736</v>
      </c>
      <c r="AY183" s="675">
        <v>953413</v>
      </c>
      <c r="AZ183" s="675">
        <v>82313</v>
      </c>
      <c r="BA183" s="675">
        <v>0</v>
      </c>
      <c r="BB183" s="675">
        <v>0</v>
      </c>
      <c r="BC183" s="675">
        <v>0</v>
      </c>
      <c r="BD183" s="675">
        <v>0</v>
      </c>
      <c r="BE183" s="675">
        <v>0</v>
      </c>
      <c r="BF183" s="675">
        <v>1290613</v>
      </c>
      <c r="BG183" s="675">
        <v>0</v>
      </c>
      <c r="BH183" s="675">
        <v>0</v>
      </c>
      <c r="BI183" s="675">
        <v>0</v>
      </c>
      <c r="BJ183" s="675">
        <v>12</v>
      </c>
      <c r="BK183" s="675">
        <v>0</v>
      </c>
      <c r="BL183" s="675">
        <v>0</v>
      </c>
      <c r="BM183" s="675">
        <v>0</v>
      </c>
      <c r="BN183" s="675">
        <v>0</v>
      </c>
      <c r="BO183" s="675">
        <v>0</v>
      </c>
      <c r="BP183" s="675">
        <v>0</v>
      </c>
      <c r="BQ183" s="675">
        <v>749</v>
      </c>
      <c r="BR183" s="675">
        <v>0</v>
      </c>
      <c r="BS183" s="675">
        <v>0</v>
      </c>
      <c r="BT183" s="675">
        <v>0</v>
      </c>
      <c r="BU183" s="675">
        <v>0</v>
      </c>
      <c r="BV183" s="675">
        <v>0</v>
      </c>
      <c r="BW183" s="675">
        <v>0</v>
      </c>
      <c r="BX183" s="675">
        <v>0</v>
      </c>
      <c r="BY183" s="675">
        <v>0</v>
      </c>
      <c r="BZ183" s="675">
        <v>0</v>
      </c>
      <c r="CA183" s="675">
        <v>0</v>
      </c>
      <c r="CB183" s="675">
        <v>0</v>
      </c>
      <c r="CC183" s="675">
        <v>0</v>
      </c>
      <c r="CD183" s="675">
        <v>0</v>
      </c>
      <c r="CE183" s="675">
        <v>0</v>
      </c>
      <c r="CF183" s="675">
        <v>0</v>
      </c>
      <c r="CG183" s="675">
        <v>0</v>
      </c>
      <c r="CH183" s="675">
        <v>0</v>
      </c>
      <c r="CI183" s="675">
        <v>0</v>
      </c>
      <c r="CJ183" s="675">
        <v>4</v>
      </c>
      <c r="CK183" s="675">
        <v>0</v>
      </c>
      <c r="CL183" s="675">
        <v>0</v>
      </c>
      <c r="CM183" s="675">
        <v>0</v>
      </c>
      <c r="CN183" s="675">
        <v>0</v>
      </c>
      <c r="CO183" s="675">
        <v>1</v>
      </c>
      <c r="CP183" s="675">
        <v>0</v>
      </c>
      <c r="CQ183" s="675">
        <v>0</v>
      </c>
      <c r="CR183" s="675">
        <v>200.76300000000001</v>
      </c>
      <c r="CS183" s="675">
        <v>0</v>
      </c>
      <c r="CT183" s="675">
        <v>0</v>
      </c>
      <c r="CU183" s="675">
        <v>0</v>
      </c>
      <c r="CV183" s="675">
        <v>0</v>
      </c>
      <c r="CW183" s="675">
        <v>0</v>
      </c>
      <c r="CX183" s="675">
        <v>0</v>
      </c>
      <c r="CY183" s="675">
        <v>0</v>
      </c>
      <c r="CZ183" s="675">
        <v>0</v>
      </c>
      <c r="DA183" s="675">
        <v>0</v>
      </c>
      <c r="DB183" s="675">
        <v>775239</v>
      </c>
      <c r="DC183" s="675">
        <v>0</v>
      </c>
      <c r="DD183" s="675">
        <v>0</v>
      </c>
      <c r="DE183" s="675">
        <v>243473</v>
      </c>
      <c r="DF183" s="675">
        <v>243473</v>
      </c>
      <c r="DG183" s="675">
        <v>39.524999999999999</v>
      </c>
      <c r="DH183" s="675">
        <v>0</v>
      </c>
      <c r="DI183" s="675">
        <v>0</v>
      </c>
      <c r="DJ183" s="675">
        <v>0</v>
      </c>
      <c r="DK183" s="675">
        <v>3611</v>
      </c>
      <c r="DL183" s="675">
        <v>0</v>
      </c>
      <c r="DM183" s="675">
        <v>121038</v>
      </c>
      <c r="DN183" s="675">
        <v>256</v>
      </c>
      <c r="DO183" s="675">
        <v>0</v>
      </c>
      <c r="DP183" s="675">
        <v>0</v>
      </c>
      <c r="DQ183" s="675">
        <v>0</v>
      </c>
      <c r="DR183" s="675">
        <v>0</v>
      </c>
      <c r="DS183" s="675">
        <v>0</v>
      </c>
      <c r="DT183" s="675">
        <v>0</v>
      </c>
      <c r="DU183" s="675">
        <v>0</v>
      </c>
      <c r="DV183" s="675">
        <v>0</v>
      </c>
      <c r="DW183" s="675">
        <v>0</v>
      </c>
      <c r="DX183" s="675">
        <v>0</v>
      </c>
      <c r="DY183" s="675">
        <v>0</v>
      </c>
      <c r="DZ183" s="675">
        <v>0</v>
      </c>
      <c r="EA183" s="675">
        <v>0</v>
      </c>
      <c r="EB183" s="675">
        <v>0</v>
      </c>
      <c r="EC183" s="675">
        <v>0.49200000000000005</v>
      </c>
      <c r="ED183" s="675">
        <v>3485</v>
      </c>
      <c r="EE183" s="675">
        <v>0</v>
      </c>
      <c r="EF183" s="675">
        <v>0</v>
      </c>
      <c r="EG183" s="675">
        <v>0</v>
      </c>
      <c r="EH183" s="675">
        <v>64070</v>
      </c>
      <c r="EI183" s="675">
        <v>0</v>
      </c>
      <c r="EJ183" s="675">
        <v>0</v>
      </c>
      <c r="EK183" s="675">
        <v>3.0350000000000001</v>
      </c>
      <c r="EL183" s="675">
        <v>0</v>
      </c>
      <c r="EM183" s="675">
        <v>0.432</v>
      </c>
      <c r="EN183" s="675">
        <v>0</v>
      </c>
      <c r="EO183" s="675">
        <v>0</v>
      </c>
      <c r="EP183" s="675">
        <v>0</v>
      </c>
      <c r="EQ183" s="675">
        <v>3.4670000000000001</v>
      </c>
      <c r="ER183" s="675">
        <v>0</v>
      </c>
      <c r="ES183" s="675">
        <v>10.401</v>
      </c>
      <c r="ET183" s="675">
        <v>0</v>
      </c>
      <c r="EU183" s="675">
        <v>0</v>
      </c>
      <c r="EV183" s="675">
        <v>0</v>
      </c>
      <c r="EW183" s="675">
        <v>0</v>
      </c>
      <c r="EX183" s="675">
        <v>0</v>
      </c>
      <c r="EY183" s="675">
        <v>0</v>
      </c>
      <c r="EZ183" s="675">
        <v>1208300</v>
      </c>
      <c r="FA183" s="675">
        <v>0</v>
      </c>
      <c r="FB183" s="675">
        <v>1290357</v>
      </c>
      <c r="FC183" s="675">
        <v>0</v>
      </c>
      <c r="FD183" s="675">
        <v>0</v>
      </c>
      <c r="FE183" s="675">
        <v>131282</v>
      </c>
      <c r="FF183" s="675">
        <v>27154</v>
      </c>
      <c r="FG183" s="675">
        <v>6.3574999999999993E-2</v>
      </c>
      <c r="FH183" s="675">
        <v>2.6298999999999999E-2</v>
      </c>
      <c r="FI183" s="675">
        <v>0</v>
      </c>
      <c r="FJ183" s="675">
        <v>0</v>
      </c>
      <c r="FK183" s="675">
        <v>209.51600000000002</v>
      </c>
      <c r="FL183" s="675">
        <v>1448793</v>
      </c>
      <c r="FM183" s="675">
        <v>0</v>
      </c>
      <c r="FN183" s="675">
        <v>0</v>
      </c>
      <c r="FO183" s="675">
        <v>0</v>
      </c>
      <c r="FP183" s="675">
        <v>0</v>
      </c>
      <c r="FQ183" s="675">
        <v>0</v>
      </c>
      <c r="FR183" s="675">
        <v>0</v>
      </c>
      <c r="FS183" s="675">
        <v>0</v>
      </c>
      <c r="FT183" s="675">
        <v>0</v>
      </c>
      <c r="FU183" s="675">
        <v>0</v>
      </c>
      <c r="FV183" s="675">
        <v>0</v>
      </c>
      <c r="FW183" s="675">
        <v>0</v>
      </c>
      <c r="FX183" s="675">
        <v>0</v>
      </c>
      <c r="FY183" s="675">
        <v>0</v>
      </c>
      <c r="FZ183" s="675">
        <v>0</v>
      </c>
      <c r="GA183" s="675">
        <v>0</v>
      </c>
      <c r="GB183" s="675">
        <v>0</v>
      </c>
      <c r="GC183" s="675">
        <v>0</v>
      </c>
      <c r="GD183" s="675">
        <v>0</v>
      </c>
      <c r="GE183" s="675">
        <v>0</v>
      </c>
      <c r="GF183" s="675">
        <v>0</v>
      </c>
      <c r="GG183" s="675">
        <v>0</v>
      </c>
      <c r="GH183" s="675">
        <v>0</v>
      </c>
      <c r="GI183" s="675">
        <v>0</v>
      </c>
      <c r="GJ183" s="675">
        <v>0</v>
      </c>
      <c r="GK183" s="675">
        <v>0</v>
      </c>
      <c r="GL183" s="675">
        <v>0</v>
      </c>
      <c r="GM183" s="675">
        <v>0</v>
      </c>
      <c r="GN183" s="675">
        <v>0</v>
      </c>
      <c r="GO183" s="675">
        <v>0</v>
      </c>
      <c r="GP183" s="675">
        <v>0</v>
      </c>
      <c r="GQ183" s="675">
        <v>0</v>
      </c>
      <c r="GR183" s="675">
        <v>0</v>
      </c>
      <c r="GS183" s="675">
        <v>0</v>
      </c>
      <c r="GT183" s="675">
        <v>0</v>
      </c>
      <c r="GU183" s="675">
        <v>0</v>
      </c>
      <c r="GV183" s="675">
        <v>0</v>
      </c>
      <c r="GW183" s="675">
        <v>0</v>
      </c>
      <c r="GX183" s="675">
        <v>0</v>
      </c>
      <c r="GY183" s="675">
        <v>0</v>
      </c>
      <c r="GZ183" s="675">
        <v>0</v>
      </c>
      <c r="HA183" s="675">
        <v>0</v>
      </c>
      <c r="HB183" s="675">
        <v>0</v>
      </c>
      <c r="HC183" s="675">
        <v>4.5690999999999996E-2</v>
      </c>
      <c r="HD183" s="675">
        <v>0</v>
      </c>
      <c r="HE183" s="675">
        <v>0</v>
      </c>
      <c r="HF183" s="675">
        <v>148033</v>
      </c>
      <c r="HG183" s="675">
        <v>1232</v>
      </c>
      <c r="HH183" s="675">
        <v>0</v>
      </c>
      <c r="HI183" s="675">
        <v>0</v>
      </c>
      <c r="HJ183" s="675">
        <v>1342</v>
      </c>
      <c r="HK183" s="675">
        <v>0</v>
      </c>
      <c r="HL183" s="675">
        <v>0</v>
      </c>
      <c r="HM183" s="675">
        <v>0</v>
      </c>
      <c r="HN183" s="675">
        <v>0</v>
      </c>
      <c r="HO183" s="675">
        <v>0</v>
      </c>
      <c r="HP183" s="675">
        <v>0</v>
      </c>
      <c r="HQ183" s="675">
        <v>0</v>
      </c>
      <c r="HR183" s="675">
        <v>0</v>
      </c>
      <c r="HS183" s="675">
        <v>1208044</v>
      </c>
      <c r="HT183" s="675">
        <v>27154</v>
      </c>
      <c r="HU183" s="675">
        <v>0</v>
      </c>
      <c r="HV183" s="675">
        <v>0</v>
      </c>
      <c r="HW183" s="675">
        <v>0</v>
      </c>
      <c r="HX183" s="675">
        <v>13</v>
      </c>
      <c r="HY183" s="675">
        <v>12</v>
      </c>
      <c r="HZ183" s="675">
        <v>22</v>
      </c>
      <c r="IA183" s="675">
        <v>28</v>
      </c>
      <c r="IB183" s="675">
        <v>76</v>
      </c>
      <c r="IC183" s="675">
        <v>151</v>
      </c>
      <c r="ID183" s="675">
        <v>0</v>
      </c>
      <c r="IE183" s="675">
        <v>0</v>
      </c>
      <c r="IF183" s="675">
        <v>0</v>
      </c>
      <c r="IG183" s="675">
        <v>2</v>
      </c>
      <c r="IH183" s="675">
        <v>0</v>
      </c>
      <c r="II183" s="675">
        <v>0</v>
      </c>
      <c r="IJ183" s="675">
        <v>0</v>
      </c>
      <c r="IK183" s="675">
        <v>0</v>
      </c>
      <c r="IL183" s="675">
        <v>0</v>
      </c>
      <c r="IM183" s="675">
        <v>0</v>
      </c>
      <c r="IN183" s="675">
        <v>0</v>
      </c>
      <c r="IO183" s="675">
        <v>0</v>
      </c>
      <c r="IP183" s="675">
        <v>0</v>
      </c>
      <c r="IQ183" s="675">
        <v>0</v>
      </c>
      <c r="IR183" s="675">
        <v>0</v>
      </c>
      <c r="IS183" s="675">
        <v>0</v>
      </c>
      <c r="IT183" s="675">
        <v>0</v>
      </c>
      <c r="IU183" s="675">
        <v>0</v>
      </c>
      <c r="IV183" s="675">
        <v>0</v>
      </c>
      <c r="IW183" s="675">
        <v>6160</v>
      </c>
      <c r="IX183" s="675">
        <v>0</v>
      </c>
      <c r="IY183" s="675">
        <v>0</v>
      </c>
      <c r="IZ183" s="675">
        <v>0</v>
      </c>
      <c r="JA183" s="675">
        <v>0</v>
      </c>
      <c r="JB183" s="675">
        <v>0</v>
      </c>
      <c r="JC183" s="675">
        <v>0</v>
      </c>
      <c r="JD183" s="675">
        <v>0</v>
      </c>
      <c r="JE183" s="675">
        <v>0</v>
      </c>
      <c r="JF183" s="675">
        <v>0</v>
      </c>
      <c r="JG183" s="675">
        <v>0</v>
      </c>
      <c r="JH183" s="675">
        <v>0</v>
      </c>
      <c r="JI183" s="675">
        <v>0</v>
      </c>
      <c r="JJ183" s="675">
        <v>0</v>
      </c>
      <c r="JK183" s="675">
        <v>0</v>
      </c>
      <c r="JL183" s="675">
        <v>0</v>
      </c>
      <c r="JM183" s="675">
        <v>0</v>
      </c>
      <c r="JN183" s="675">
        <v>32469</v>
      </c>
      <c r="JO183" s="675">
        <v>0</v>
      </c>
      <c r="JP183" s="675">
        <v>0</v>
      </c>
      <c r="JQ183" s="675">
        <v>0</v>
      </c>
      <c r="JR183" s="675">
        <v>0</v>
      </c>
      <c r="JS183" s="675">
        <v>0</v>
      </c>
      <c r="JT183" s="675">
        <v>0</v>
      </c>
      <c r="JU183" s="675">
        <v>0</v>
      </c>
      <c r="JV183" s="675">
        <v>0</v>
      </c>
      <c r="JW183" s="675">
        <v>0</v>
      </c>
      <c r="JX183" s="675">
        <v>0</v>
      </c>
      <c r="JY183" s="675">
        <v>0</v>
      </c>
      <c r="JZ183" s="675">
        <v>0</v>
      </c>
      <c r="KA183" s="675">
        <v>0</v>
      </c>
      <c r="KB183" s="675">
        <v>0</v>
      </c>
      <c r="KC183" s="675">
        <v>0</v>
      </c>
      <c r="KD183" s="675">
        <v>0</v>
      </c>
      <c r="KE183" s="675">
        <v>7260</v>
      </c>
      <c r="KF183" s="675">
        <v>0</v>
      </c>
      <c r="KG183" s="675">
        <v>0</v>
      </c>
      <c r="KH183" s="675">
        <v>0</v>
      </c>
      <c r="KI183" s="675">
        <v>0</v>
      </c>
    </row>
    <row r="184" spans="1:295" ht="12.5" x14ac:dyDescent="0.25">
      <c r="A184" s="675">
        <v>35795</v>
      </c>
      <c r="B184" s="675">
        <v>101874</v>
      </c>
      <c r="C184" s="675">
        <v>9</v>
      </c>
      <c r="D184" s="675">
        <v>2022</v>
      </c>
      <c r="E184" s="675">
        <v>6160</v>
      </c>
      <c r="F184" s="675">
        <v>0</v>
      </c>
      <c r="G184" s="675">
        <v>335.21</v>
      </c>
      <c r="H184" s="675">
        <v>295.20999999999998</v>
      </c>
      <c r="I184" s="675">
        <v>295.20999999999998</v>
      </c>
      <c r="J184" s="675">
        <v>335.21</v>
      </c>
      <c r="K184" s="675">
        <v>0</v>
      </c>
      <c r="L184" s="675">
        <v>6160</v>
      </c>
      <c r="M184" s="675">
        <v>0</v>
      </c>
      <c r="N184" s="675">
        <v>0</v>
      </c>
      <c r="O184" s="675">
        <v>0</v>
      </c>
      <c r="P184" s="675">
        <v>346.89699999999999</v>
      </c>
      <c r="Q184" s="675">
        <v>0</v>
      </c>
      <c r="R184" s="675">
        <v>139601</v>
      </c>
      <c r="S184" s="675">
        <v>402.428</v>
      </c>
      <c r="T184" s="675">
        <v>0</v>
      </c>
      <c r="U184" s="675">
        <v>74237</v>
      </c>
      <c r="V184" s="675">
        <v>1.32</v>
      </c>
      <c r="W184" s="675">
        <v>813</v>
      </c>
      <c r="X184" s="675">
        <v>813</v>
      </c>
      <c r="Y184" s="675">
        <v>0</v>
      </c>
      <c r="Z184" s="675">
        <v>0</v>
      </c>
      <c r="AA184" s="675">
        <v>0</v>
      </c>
      <c r="AB184" s="675">
        <v>0</v>
      </c>
      <c r="AC184" s="675">
        <v>0</v>
      </c>
      <c r="AD184" s="675" t="s">
        <v>316</v>
      </c>
      <c r="AE184" s="675">
        <v>0</v>
      </c>
      <c r="AF184" s="675">
        <v>0</v>
      </c>
      <c r="AG184" s="675">
        <v>0</v>
      </c>
      <c r="AH184" s="675">
        <v>0</v>
      </c>
      <c r="AI184" s="675">
        <v>0</v>
      </c>
      <c r="AJ184" s="675">
        <v>6160</v>
      </c>
      <c r="AK184" s="675" t="s">
        <v>671</v>
      </c>
      <c r="AL184" s="675" t="s">
        <v>445</v>
      </c>
      <c r="AM184" s="675">
        <v>0</v>
      </c>
      <c r="AN184" s="675">
        <v>0</v>
      </c>
      <c r="AO184" s="675">
        <v>0</v>
      </c>
      <c r="AP184" s="675">
        <v>0</v>
      </c>
      <c r="AQ184" s="675">
        <v>0</v>
      </c>
      <c r="AR184" s="675">
        <v>0</v>
      </c>
      <c r="AS184" s="675">
        <v>0</v>
      </c>
      <c r="AT184" s="675">
        <v>0</v>
      </c>
      <c r="AU184" s="675">
        <v>0</v>
      </c>
      <c r="AV184" s="675">
        <v>0</v>
      </c>
      <c r="AW184" s="675">
        <v>3274851</v>
      </c>
      <c r="AX184" s="675">
        <v>3275288</v>
      </c>
      <c r="AY184" s="675">
        <v>2116496</v>
      </c>
      <c r="AZ184" s="675">
        <v>139601</v>
      </c>
      <c r="BA184" s="675">
        <v>0</v>
      </c>
      <c r="BB184" s="675">
        <v>0</v>
      </c>
      <c r="BC184" s="675">
        <v>0</v>
      </c>
      <c r="BD184" s="675">
        <v>0</v>
      </c>
      <c r="BE184" s="675">
        <v>0</v>
      </c>
      <c r="BF184" s="675">
        <v>3038299</v>
      </c>
      <c r="BG184" s="675">
        <v>0</v>
      </c>
      <c r="BH184" s="675">
        <v>0</v>
      </c>
      <c r="BI184" s="675">
        <v>0</v>
      </c>
      <c r="BJ184" s="675">
        <v>12</v>
      </c>
      <c r="BK184" s="675">
        <v>0</v>
      </c>
      <c r="BL184" s="675">
        <v>0</v>
      </c>
      <c r="BM184" s="675">
        <v>0</v>
      </c>
      <c r="BN184" s="675">
        <v>0</v>
      </c>
      <c r="BO184" s="675">
        <v>0</v>
      </c>
      <c r="BP184" s="675">
        <v>0</v>
      </c>
      <c r="BQ184" s="675">
        <v>725</v>
      </c>
      <c r="BR184" s="675">
        <v>0</v>
      </c>
      <c r="BS184" s="675">
        <v>0</v>
      </c>
      <c r="BT184" s="675">
        <v>0</v>
      </c>
      <c r="BU184" s="675">
        <v>0</v>
      </c>
      <c r="BV184" s="675">
        <v>0</v>
      </c>
      <c r="BW184" s="675">
        <v>0</v>
      </c>
      <c r="BX184" s="675">
        <v>0</v>
      </c>
      <c r="BY184" s="675">
        <v>0</v>
      </c>
      <c r="BZ184" s="675">
        <v>0</v>
      </c>
      <c r="CA184" s="675">
        <v>0</v>
      </c>
      <c r="CB184" s="675">
        <v>0</v>
      </c>
      <c r="CC184" s="675">
        <v>0</v>
      </c>
      <c r="CD184" s="675">
        <v>0</v>
      </c>
      <c r="CE184" s="675">
        <v>0</v>
      </c>
      <c r="CF184" s="675">
        <v>0</v>
      </c>
      <c r="CG184" s="675">
        <v>0</v>
      </c>
      <c r="CH184" s="675">
        <v>0</v>
      </c>
      <c r="CI184" s="675">
        <v>0</v>
      </c>
      <c r="CJ184" s="675">
        <v>4</v>
      </c>
      <c r="CK184" s="675">
        <v>0</v>
      </c>
      <c r="CL184" s="675">
        <v>0</v>
      </c>
      <c r="CM184" s="675">
        <v>0</v>
      </c>
      <c r="CN184" s="675">
        <v>0</v>
      </c>
      <c r="CO184" s="675">
        <v>1</v>
      </c>
      <c r="CP184" s="675">
        <v>0</v>
      </c>
      <c r="CQ184" s="675">
        <v>0</v>
      </c>
      <c r="CR184" s="675">
        <v>358.99600000000004</v>
      </c>
      <c r="CS184" s="675">
        <v>0</v>
      </c>
      <c r="CT184" s="675">
        <v>0</v>
      </c>
      <c r="CU184" s="675">
        <v>0</v>
      </c>
      <c r="CV184" s="675">
        <v>0</v>
      </c>
      <c r="CW184" s="675">
        <v>0</v>
      </c>
      <c r="CX184" s="675">
        <v>0</v>
      </c>
      <c r="CY184" s="675">
        <v>0</v>
      </c>
      <c r="CZ184" s="675">
        <v>0</v>
      </c>
      <c r="DA184" s="675">
        <v>0</v>
      </c>
      <c r="DB184" s="675">
        <v>1785147</v>
      </c>
      <c r="DC184" s="675">
        <v>0</v>
      </c>
      <c r="DD184" s="675">
        <v>0</v>
      </c>
      <c r="DE184" s="675">
        <v>387077</v>
      </c>
      <c r="DF184" s="675">
        <v>387077</v>
      </c>
      <c r="DG184" s="675">
        <v>62.838000000000001</v>
      </c>
      <c r="DH184" s="675">
        <v>0</v>
      </c>
      <c r="DI184" s="675">
        <v>0</v>
      </c>
      <c r="DJ184" s="675">
        <v>0</v>
      </c>
      <c r="DK184" s="675">
        <v>3215</v>
      </c>
      <c r="DL184" s="675">
        <v>0</v>
      </c>
      <c r="DM184" s="675">
        <v>148086</v>
      </c>
      <c r="DN184" s="675">
        <v>437</v>
      </c>
      <c r="DO184" s="675">
        <v>0</v>
      </c>
      <c r="DP184" s="675">
        <v>0</v>
      </c>
      <c r="DQ184" s="675">
        <v>0</v>
      </c>
      <c r="DR184" s="675">
        <v>0</v>
      </c>
      <c r="DS184" s="675">
        <v>0</v>
      </c>
      <c r="DT184" s="675">
        <v>0</v>
      </c>
      <c r="DU184" s="675">
        <v>0</v>
      </c>
      <c r="DV184" s="675">
        <v>0</v>
      </c>
      <c r="DW184" s="675">
        <v>0</v>
      </c>
      <c r="DX184" s="675">
        <v>0</v>
      </c>
      <c r="DY184" s="675">
        <v>0</v>
      </c>
      <c r="DZ184" s="675">
        <v>0</v>
      </c>
      <c r="EA184" s="675">
        <v>0</v>
      </c>
      <c r="EB184" s="675">
        <v>0</v>
      </c>
      <c r="EC184" s="675">
        <v>16.260000000000002</v>
      </c>
      <c r="ED184" s="675">
        <v>115185</v>
      </c>
      <c r="EE184" s="675">
        <v>0</v>
      </c>
      <c r="EF184" s="675">
        <v>0</v>
      </c>
      <c r="EG184" s="675">
        <v>0</v>
      </c>
      <c r="EH184" s="675">
        <v>0</v>
      </c>
      <c r="EI184" s="675">
        <v>0</v>
      </c>
      <c r="EJ184" s="675">
        <v>0</v>
      </c>
      <c r="EK184" s="675">
        <v>0</v>
      </c>
      <c r="EL184" s="675">
        <v>0</v>
      </c>
      <c r="EM184" s="675">
        <v>0</v>
      </c>
      <c r="EN184" s="675">
        <v>0</v>
      </c>
      <c r="EO184" s="675">
        <v>0</v>
      </c>
      <c r="EP184" s="675">
        <v>0</v>
      </c>
      <c r="EQ184" s="675">
        <v>0</v>
      </c>
      <c r="ER184" s="675">
        <v>0</v>
      </c>
      <c r="ES184" s="675">
        <v>0</v>
      </c>
      <c r="ET184" s="675">
        <v>0</v>
      </c>
      <c r="EU184" s="675">
        <v>0</v>
      </c>
      <c r="EV184" s="675">
        <v>0</v>
      </c>
      <c r="EW184" s="675">
        <v>0</v>
      </c>
      <c r="EX184" s="675">
        <v>0</v>
      </c>
      <c r="EY184" s="675">
        <v>0</v>
      </c>
      <c r="EZ184" s="675">
        <v>2902307</v>
      </c>
      <c r="FA184" s="675">
        <v>0</v>
      </c>
      <c r="FB184" s="675">
        <v>3041471</v>
      </c>
      <c r="FC184" s="675">
        <v>0</v>
      </c>
      <c r="FD184" s="675">
        <v>0</v>
      </c>
      <c r="FE184" s="675">
        <v>309057</v>
      </c>
      <c r="FF184" s="675">
        <v>63924</v>
      </c>
      <c r="FG184" s="675">
        <v>6.3574999999999993E-2</v>
      </c>
      <c r="FH184" s="675">
        <v>2.6298999999999999E-2</v>
      </c>
      <c r="FI184" s="675">
        <v>0</v>
      </c>
      <c r="FJ184" s="675">
        <v>0</v>
      </c>
      <c r="FK184" s="675">
        <v>493.233</v>
      </c>
      <c r="FL184" s="675">
        <v>3414452</v>
      </c>
      <c r="FM184" s="675">
        <v>0</v>
      </c>
      <c r="FN184" s="675">
        <v>0</v>
      </c>
      <c r="FO184" s="675">
        <v>0</v>
      </c>
      <c r="FP184" s="675">
        <v>0</v>
      </c>
      <c r="FQ184" s="675">
        <v>0</v>
      </c>
      <c r="FR184" s="675">
        <v>0</v>
      </c>
      <c r="FS184" s="675">
        <v>0</v>
      </c>
      <c r="FT184" s="675">
        <v>0</v>
      </c>
      <c r="FU184" s="675">
        <v>0</v>
      </c>
      <c r="FV184" s="675">
        <v>0</v>
      </c>
      <c r="FW184" s="675">
        <v>0</v>
      </c>
      <c r="FX184" s="675">
        <v>0</v>
      </c>
      <c r="FY184" s="675">
        <v>0</v>
      </c>
      <c r="FZ184" s="675">
        <v>0</v>
      </c>
      <c r="GA184" s="675">
        <v>0</v>
      </c>
      <c r="GB184" s="675">
        <v>384259</v>
      </c>
      <c r="GC184" s="675">
        <v>384259</v>
      </c>
      <c r="GD184" s="675">
        <v>40</v>
      </c>
      <c r="GE184" s="675">
        <v>0</v>
      </c>
      <c r="GF184" s="675">
        <v>0</v>
      </c>
      <c r="GG184" s="675">
        <v>0</v>
      </c>
      <c r="GH184" s="675">
        <v>0</v>
      </c>
      <c r="GI184" s="675">
        <v>0</v>
      </c>
      <c r="GJ184" s="675">
        <v>0</v>
      </c>
      <c r="GK184" s="675">
        <v>0</v>
      </c>
      <c r="GL184" s="675">
        <v>0</v>
      </c>
      <c r="GM184" s="675">
        <v>0</v>
      </c>
      <c r="GN184" s="675">
        <v>0</v>
      </c>
      <c r="GO184" s="675">
        <v>0</v>
      </c>
      <c r="GP184" s="675">
        <v>0</v>
      </c>
      <c r="GQ184" s="675">
        <v>0</v>
      </c>
      <c r="GR184" s="675">
        <v>0</v>
      </c>
      <c r="GS184" s="675">
        <v>0</v>
      </c>
      <c r="GT184" s="675">
        <v>0</v>
      </c>
      <c r="GU184" s="675">
        <v>0</v>
      </c>
      <c r="GV184" s="675">
        <v>0</v>
      </c>
      <c r="GW184" s="675">
        <v>0</v>
      </c>
      <c r="GX184" s="675">
        <v>0</v>
      </c>
      <c r="GY184" s="675">
        <v>0</v>
      </c>
      <c r="GZ184" s="675">
        <v>0</v>
      </c>
      <c r="HA184" s="675">
        <v>0</v>
      </c>
      <c r="HB184" s="675">
        <v>0</v>
      </c>
      <c r="HC184" s="675">
        <v>4.5690999999999996E-2</v>
      </c>
      <c r="HD184" s="675">
        <v>0</v>
      </c>
      <c r="HE184" s="675">
        <v>0</v>
      </c>
      <c r="HF184" s="675">
        <v>324731</v>
      </c>
      <c r="HG184" s="675">
        <v>4491</v>
      </c>
      <c r="HH184" s="675">
        <v>0</v>
      </c>
      <c r="HI184" s="675">
        <v>0</v>
      </c>
      <c r="HJ184" s="675">
        <v>3258</v>
      </c>
      <c r="HK184" s="675">
        <v>3213</v>
      </c>
      <c r="HL184" s="675">
        <v>396</v>
      </c>
      <c r="HM184" s="675">
        <v>0</v>
      </c>
      <c r="HN184" s="675">
        <v>0</v>
      </c>
      <c r="HO184" s="675">
        <v>0</v>
      </c>
      <c r="HP184" s="675">
        <v>0</v>
      </c>
      <c r="HQ184" s="675">
        <v>0</v>
      </c>
      <c r="HR184" s="675">
        <v>0</v>
      </c>
      <c r="HS184" s="675">
        <v>2901870</v>
      </c>
      <c r="HT184" s="675">
        <v>63924</v>
      </c>
      <c r="HU184" s="675">
        <v>0</v>
      </c>
      <c r="HV184" s="675">
        <v>0</v>
      </c>
      <c r="HW184" s="675">
        <v>0</v>
      </c>
      <c r="HX184" s="675">
        <v>59</v>
      </c>
      <c r="HY184" s="675">
        <v>71</v>
      </c>
      <c r="HZ184" s="675">
        <v>59</v>
      </c>
      <c r="IA184" s="675">
        <v>38</v>
      </c>
      <c r="IB184" s="675">
        <v>29</v>
      </c>
      <c r="IC184" s="675">
        <v>256</v>
      </c>
      <c r="ID184" s="675">
        <v>0</v>
      </c>
      <c r="IE184" s="675">
        <v>0</v>
      </c>
      <c r="IF184" s="675">
        <v>0</v>
      </c>
      <c r="IG184" s="675">
        <v>7.2910000000000004</v>
      </c>
      <c r="IH184" s="675">
        <v>0</v>
      </c>
      <c r="II184" s="675">
        <v>0</v>
      </c>
      <c r="IJ184" s="675">
        <v>1.32</v>
      </c>
      <c r="IK184" s="675">
        <v>0</v>
      </c>
      <c r="IL184" s="675">
        <v>0</v>
      </c>
      <c r="IM184" s="675">
        <v>0</v>
      </c>
      <c r="IN184" s="675">
        <v>0</v>
      </c>
      <c r="IO184" s="675">
        <v>0</v>
      </c>
      <c r="IP184" s="675">
        <v>0</v>
      </c>
      <c r="IQ184" s="675">
        <v>1.32</v>
      </c>
      <c r="IR184" s="675">
        <v>813</v>
      </c>
      <c r="IS184" s="675">
        <v>0</v>
      </c>
      <c r="IT184" s="675">
        <v>0</v>
      </c>
      <c r="IU184" s="675">
        <v>0</v>
      </c>
      <c r="IV184" s="675">
        <v>0</v>
      </c>
      <c r="IW184" s="675">
        <v>6160</v>
      </c>
      <c r="IX184" s="675">
        <v>0</v>
      </c>
      <c r="IY184" s="675">
        <v>0</v>
      </c>
      <c r="IZ184" s="675">
        <v>0</v>
      </c>
      <c r="JA184" s="675">
        <v>0</v>
      </c>
      <c r="JB184" s="675">
        <v>0</v>
      </c>
      <c r="JC184" s="675">
        <v>0</v>
      </c>
      <c r="JD184" s="675">
        <v>0</v>
      </c>
      <c r="JE184" s="675">
        <v>0</v>
      </c>
      <c r="JF184" s="675">
        <v>0</v>
      </c>
      <c r="JG184" s="675">
        <v>0</v>
      </c>
      <c r="JH184" s="675">
        <v>0</v>
      </c>
      <c r="JI184" s="675">
        <v>0</v>
      </c>
      <c r="JJ184" s="675">
        <v>0</v>
      </c>
      <c r="JK184" s="675">
        <v>0</v>
      </c>
      <c r="JL184" s="675">
        <v>0</v>
      </c>
      <c r="JM184" s="675">
        <v>0</v>
      </c>
      <c r="JN184" s="675">
        <v>32469</v>
      </c>
      <c r="JO184" s="675">
        <v>0</v>
      </c>
      <c r="JP184" s="675">
        <v>30.904</v>
      </c>
      <c r="JQ184" s="675">
        <v>9.0960000000000001</v>
      </c>
      <c r="JR184" s="675">
        <v>0</v>
      </c>
      <c r="JS184" s="675">
        <v>287185</v>
      </c>
      <c r="JT184" s="675">
        <v>97074</v>
      </c>
      <c r="JU184" s="675">
        <v>0</v>
      </c>
      <c r="JV184" s="675">
        <v>0</v>
      </c>
      <c r="JW184" s="675">
        <v>0</v>
      </c>
      <c r="JX184" s="675">
        <v>0</v>
      </c>
      <c r="JY184" s="675">
        <v>0</v>
      </c>
      <c r="JZ184" s="675">
        <v>0</v>
      </c>
      <c r="KA184" s="675">
        <v>0</v>
      </c>
      <c r="KB184" s="675">
        <v>0</v>
      </c>
      <c r="KC184" s="675">
        <v>0</v>
      </c>
      <c r="KD184" s="675">
        <v>0</v>
      </c>
      <c r="KE184" s="675">
        <v>7260</v>
      </c>
      <c r="KF184" s="675">
        <v>0</v>
      </c>
      <c r="KG184" s="675">
        <v>0</v>
      </c>
      <c r="KH184" s="675">
        <v>0</v>
      </c>
      <c r="KI184" s="675">
        <v>0</v>
      </c>
    </row>
    <row r="185" spans="1:295" ht="12.5" x14ac:dyDescent="0.25">
      <c r="A185" s="675">
        <v>35795</v>
      </c>
      <c r="B185" s="675">
        <v>101875</v>
      </c>
      <c r="C185" s="675">
        <v>9</v>
      </c>
      <c r="D185" s="675">
        <v>2022</v>
      </c>
      <c r="E185" s="675">
        <v>6160</v>
      </c>
      <c r="F185" s="675">
        <v>0</v>
      </c>
      <c r="G185" s="675">
        <v>172.27</v>
      </c>
      <c r="H185" s="675">
        <v>169.304</v>
      </c>
      <c r="I185" s="675">
        <v>169.304</v>
      </c>
      <c r="J185" s="675">
        <v>172.27</v>
      </c>
      <c r="K185" s="675">
        <v>0</v>
      </c>
      <c r="L185" s="675">
        <v>6160</v>
      </c>
      <c r="M185" s="675">
        <v>0</v>
      </c>
      <c r="N185" s="675">
        <v>0</v>
      </c>
      <c r="O185" s="675">
        <v>0</v>
      </c>
      <c r="P185" s="675">
        <v>79.906000000000006</v>
      </c>
      <c r="Q185" s="675">
        <v>0</v>
      </c>
      <c r="R185" s="675">
        <v>32156</v>
      </c>
      <c r="S185" s="675">
        <v>402.428</v>
      </c>
      <c r="T185" s="675">
        <v>0</v>
      </c>
      <c r="U185" s="675">
        <v>17102</v>
      </c>
      <c r="V185" s="675">
        <v>0</v>
      </c>
      <c r="W185" s="675">
        <v>0</v>
      </c>
      <c r="X185" s="675">
        <v>0</v>
      </c>
      <c r="Y185" s="675">
        <v>0</v>
      </c>
      <c r="Z185" s="675">
        <v>0</v>
      </c>
      <c r="AA185" s="675">
        <v>0</v>
      </c>
      <c r="AB185" s="675">
        <v>0</v>
      </c>
      <c r="AC185" s="675">
        <v>0</v>
      </c>
      <c r="AD185" s="675" t="s">
        <v>316</v>
      </c>
      <c r="AE185" s="675">
        <v>0</v>
      </c>
      <c r="AF185" s="675">
        <v>0</v>
      </c>
      <c r="AG185" s="675">
        <v>0</v>
      </c>
      <c r="AH185" s="675">
        <v>0</v>
      </c>
      <c r="AI185" s="675">
        <v>0</v>
      </c>
      <c r="AJ185" s="675">
        <v>6160</v>
      </c>
      <c r="AK185" s="675" t="s">
        <v>671</v>
      </c>
      <c r="AL185" s="675" t="s">
        <v>465</v>
      </c>
      <c r="AM185" s="675">
        <v>0</v>
      </c>
      <c r="AN185" s="675">
        <v>0</v>
      </c>
      <c r="AO185" s="675">
        <v>0</v>
      </c>
      <c r="AP185" s="675">
        <v>0</v>
      </c>
      <c r="AQ185" s="675">
        <v>0</v>
      </c>
      <c r="AR185" s="675">
        <v>0</v>
      </c>
      <c r="AS185" s="675">
        <v>0</v>
      </c>
      <c r="AT185" s="675">
        <v>0</v>
      </c>
      <c r="AU185" s="675">
        <v>0</v>
      </c>
      <c r="AV185" s="675">
        <v>-45</v>
      </c>
      <c r="AW185" s="675">
        <v>2195986</v>
      </c>
      <c r="AX185" s="675">
        <v>2196319</v>
      </c>
      <c r="AY185" s="675">
        <v>1467625</v>
      </c>
      <c r="AZ185" s="675">
        <v>32156</v>
      </c>
      <c r="BA185" s="675">
        <v>0</v>
      </c>
      <c r="BB185" s="675">
        <v>0</v>
      </c>
      <c r="BC185" s="675">
        <v>0</v>
      </c>
      <c r="BD185" s="675">
        <v>0</v>
      </c>
      <c r="BE185" s="675">
        <v>0</v>
      </c>
      <c r="BF185" s="675">
        <v>1637875</v>
      </c>
      <c r="BG185" s="675">
        <v>0</v>
      </c>
      <c r="BH185" s="675">
        <v>0</v>
      </c>
      <c r="BI185" s="675">
        <v>0</v>
      </c>
      <c r="BJ185" s="675">
        <v>12</v>
      </c>
      <c r="BK185" s="675">
        <v>0</v>
      </c>
      <c r="BL185" s="675">
        <v>0</v>
      </c>
      <c r="BM185" s="675">
        <v>0</v>
      </c>
      <c r="BN185" s="675">
        <v>0</v>
      </c>
      <c r="BO185" s="675">
        <v>0</v>
      </c>
      <c r="BP185" s="675">
        <v>0</v>
      </c>
      <c r="BQ185" s="675">
        <v>744</v>
      </c>
      <c r="BR185" s="675">
        <v>0</v>
      </c>
      <c r="BS185" s="675">
        <v>0</v>
      </c>
      <c r="BT185" s="675">
        <v>0</v>
      </c>
      <c r="BU185" s="675">
        <v>0</v>
      </c>
      <c r="BV185" s="675">
        <v>0</v>
      </c>
      <c r="BW185" s="675">
        <v>0</v>
      </c>
      <c r="BX185" s="675">
        <v>0</v>
      </c>
      <c r="BY185" s="675">
        <v>0</v>
      </c>
      <c r="BZ185" s="675">
        <v>0</v>
      </c>
      <c r="CA185" s="675">
        <v>456.786</v>
      </c>
      <c r="CB185" s="675">
        <v>389535</v>
      </c>
      <c r="CC185" s="675">
        <v>0</v>
      </c>
      <c r="CD185" s="675">
        <v>0</v>
      </c>
      <c r="CE185" s="675">
        <v>0</v>
      </c>
      <c r="CF185" s="675">
        <v>0</v>
      </c>
      <c r="CG185" s="675">
        <v>0</v>
      </c>
      <c r="CH185" s="675">
        <v>0</v>
      </c>
      <c r="CI185" s="675">
        <v>0</v>
      </c>
      <c r="CJ185" s="675">
        <v>4</v>
      </c>
      <c r="CK185" s="675">
        <v>0</v>
      </c>
      <c r="CL185" s="675">
        <v>0</v>
      </c>
      <c r="CM185" s="675">
        <v>0</v>
      </c>
      <c r="CN185" s="675">
        <v>0</v>
      </c>
      <c r="CO185" s="675">
        <v>1</v>
      </c>
      <c r="CP185" s="675">
        <v>0</v>
      </c>
      <c r="CQ185" s="675">
        <v>0</v>
      </c>
      <c r="CR185" s="675">
        <v>78.587000000000003</v>
      </c>
      <c r="CS185" s="675">
        <v>0</v>
      </c>
      <c r="CT185" s="675">
        <v>0</v>
      </c>
      <c r="CU185" s="675">
        <v>0</v>
      </c>
      <c r="CV185" s="675">
        <v>0</v>
      </c>
      <c r="CW185" s="675">
        <v>0</v>
      </c>
      <c r="CX185" s="675">
        <v>0</v>
      </c>
      <c r="CY185" s="675">
        <v>0</v>
      </c>
      <c r="CZ185" s="675">
        <v>0</v>
      </c>
      <c r="DA185" s="675">
        <v>0</v>
      </c>
      <c r="DB185" s="675">
        <v>1042908</v>
      </c>
      <c r="DC185" s="675">
        <v>0</v>
      </c>
      <c r="DD185" s="675">
        <v>0</v>
      </c>
      <c r="DE185" s="675">
        <v>235080</v>
      </c>
      <c r="DF185" s="675">
        <v>235080</v>
      </c>
      <c r="DG185" s="675">
        <v>38.163000000000004</v>
      </c>
      <c r="DH185" s="675">
        <v>0</v>
      </c>
      <c r="DI185" s="675">
        <v>0</v>
      </c>
      <c r="DJ185" s="675">
        <v>0</v>
      </c>
      <c r="DK185" s="675">
        <v>3525</v>
      </c>
      <c r="DL185" s="675">
        <v>0</v>
      </c>
      <c r="DM185" s="675">
        <v>87464</v>
      </c>
      <c r="DN185" s="675">
        <v>333</v>
      </c>
      <c r="DO185" s="675">
        <v>0</v>
      </c>
      <c r="DP185" s="675">
        <v>0</v>
      </c>
      <c r="DQ185" s="675">
        <v>0</v>
      </c>
      <c r="DR185" s="675">
        <v>0</v>
      </c>
      <c r="DS185" s="675">
        <v>0</v>
      </c>
      <c r="DT185" s="675">
        <v>0</v>
      </c>
      <c r="DU185" s="675">
        <v>0</v>
      </c>
      <c r="DV185" s="675">
        <v>0</v>
      </c>
      <c r="DW185" s="675">
        <v>0</v>
      </c>
      <c r="DX185" s="675">
        <v>0</v>
      </c>
      <c r="DY185" s="675">
        <v>0</v>
      </c>
      <c r="DZ185" s="675">
        <v>0</v>
      </c>
      <c r="EA185" s="675">
        <v>0</v>
      </c>
      <c r="EB185" s="675">
        <v>0</v>
      </c>
      <c r="EC185" s="675">
        <v>3.2250000000000001</v>
      </c>
      <c r="ED185" s="675">
        <v>22846</v>
      </c>
      <c r="EE185" s="675">
        <v>0</v>
      </c>
      <c r="EF185" s="675">
        <v>0</v>
      </c>
      <c r="EG185" s="675">
        <v>0</v>
      </c>
      <c r="EH185" s="675">
        <v>64951</v>
      </c>
      <c r="EI185" s="675">
        <v>0</v>
      </c>
      <c r="EJ185" s="675">
        <v>0</v>
      </c>
      <c r="EK185" s="675">
        <v>0.99</v>
      </c>
      <c r="EL185" s="675">
        <v>0</v>
      </c>
      <c r="EM185" s="675">
        <v>1.153</v>
      </c>
      <c r="EN185" s="675">
        <v>0.82300000000000006</v>
      </c>
      <c r="EO185" s="675">
        <v>0</v>
      </c>
      <c r="EP185" s="675">
        <v>0</v>
      </c>
      <c r="EQ185" s="675">
        <v>2.9660000000000002</v>
      </c>
      <c r="ER185" s="675">
        <v>0</v>
      </c>
      <c r="ES185" s="675">
        <v>10.544</v>
      </c>
      <c r="ET185" s="675">
        <v>0</v>
      </c>
      <c r="EU185" s="675">
        <v>0</v>
      </c>
      <c r="EV185" s="675">
        <v>0</v>
      </c>
      <c r="EW185" s="675">
        <v>0</v>
      </c>
      <c r="EX185" s="675">
        <v>0</v>
      </c>
      <c r="EY185" s="675">
        <v>0</v>
      </c>
      <c r="EZ185" s="675">
        <v>1995254</v>
      </c>
      <c r="FA185" s="675">
        <v>0</v>
      </c>
      <c r="FB185" s="675">
        <v>2027077</v>
      </c>
      <c r="FC185" s="675">
        <v>0</v>
      </c>
      <c r="FD185" s="675">
        <v>0</v>
      </c>
      <c r="FE185" s="675">
        <v>166605</v>
      </c>
      <c r="FF185" s="675">
        <v>34460</v>
      </c>
      <c r="FG185" s="675">
        <v>6.3574999999999993E-2</v>
      </c>
      <c r="FH185" s="675">
        <v>2.6298999999999999E-2</v>
      </c>
      <c r="FI185" s="675">
        <v>0</v>
      </c>
      <c r="FJ185" s="675">
        <v>0</v>
      </c>
      <c r="FK185" s="675">
        <v>265.89</v>
      </c>
      <c r="FL185" s="675">
        <v>2228142</v>
      </c>
      <c r="FM185" s="675">
        <v>0</v>
      </c>
      <c r="FN185" s="675">
        <v>0</v>
      </c>
      <c r="FO185" s="675">
        <v>0</v>
      </c>
      <c r="FP185" s="675">
        <v>0</v>
      </c>
      <c r="FQ185" s="675">
        <v>0</v>
      </c>
      <c r="FR185" s="675">
        <v>0</v>
      </c>
      <c r="FS185" s="675">
        <v>0</v>
      </c>
      <c r="FT185" s="675">
        <v>0</v>
      </c>
      <c r="FU185" s="675">
        <v>0</v>
      </c>
      <c r="FV185" s="675">
        <v>0</v>
      </c>
      <c r="FW185" s="675">
        <v>0</v>
      </c>
      <c r="FX185" s="675">
        <v>0</v>
      </c>
      <c r="FY185" s="675">
        <v>0</v>
      </c>
      <c r="FZ185" s="675">
        <v>0</v>
      </c>
      <c r="GA185" s="675">
        <v>0</v>
      </c>
      <c r="GB185" s="675">
        <v>0</v>
      </c>
      <c r="GC185" s="675">
        <v>0</v>
      </c>
      <c r="GD185" s="675">
        <v>0</v>
      </c>
      <c r="GE185" s="675">
        <v>0</v>
      </c>
      <c r="GF185" s="675">
        <v>0</v>
      </c>
      <c r="GG185" s="675">
        <v>0</v>
      </c>
      <c r="GH185" s="675">
        <v>0</v>
      </c>
      <c r="GI185" s="675">
        <v>0</v>
      </c>
      <c r="GJ185" s="675">
        <v>0</v>
      </c>
      <c r="GK185" s="675">
        <v>0</v>
      </c>
      <c r="GL185" s="675">
        <v>0</v>
      </c>
      <c r="GM185" s="675">
        <v>0</v>
      </c>
      <c r="GN185" s="675">
        <v>0</v>
      </c>
      <c r="GO185" s="675">
        <v>0</v>
      </c>
      <c r="GP185" s="675">
        <v>0</v>
      </c>
      <c r="GQ185" s="675">
        <v>0</v>
      </c>
      <c r="GR185" s="675">
        <v>0</v>
      </c>
      <c r="GS185" s="675">
        <v>0</v>
      </c>
      <c r="GT185" s="675">
        <v>0</v>
      </c>
      <c r="GU185" s="675">
        <v>0</v>
      </c>
      <c r="GV185" s="675">
        <v>0</v>
      </c>
      <c r="GW185" s="675">
        <v>0</v>
      </c>
      <c r="GX185" s="675">
        <v>0</v>
      </c>
      <c r="GY185" s="675">
        <v>0</v>
      </c>
      <c r="GZ185" s="675">
        <v>0</v>
      </c>
      <c r="HA185" s="675">
        <v>0</v>
      </c>
      <c r="HB185" s="675">
        <v>0</v>
      </c>
      <c r="HC185" s="675">
        <v>4.5690999999999996E-2</v>
      </c>
      <c r="HD185" s="675">
        <v>0</v>
      </c>
      <c r="HE185" s="675">
        <v>0</v>
      </c>
      <c r="HF185" s="675">
        <v>186234</v>
      </c>
      <c r="HG185" s="675">
        <v>3080</v>
      </c>
      <c r="HH185" s="675">
        <v>81102</v>
      </c>
      <c r="HI185" s="675">
        <v>0</v>
      </c>
      <c r="HJ185" s="675">
        <v>1674</v>
      </c>
      <c r="HK185" s="675">
        <v>0</v>
      </c>
      <c r="HL185" s="675">
        <v>0</v>
      </c>
      <c r="HM185" s="675">
        <v>0</v>
      </c>
      <c r="HN185" s="675">
        <v>0</v>
      </c>
      <c r="HO185" s="675">
        <v>0</v>
      </c>
      <c r="HP185" s="675">
        <v>0</v>
      </c>
      <c r="HQ185" s="675">
        <v>0</v>
      </c>
      <c r="HR185" s="675">
        <v>0</v>
      </c>
      <c r="HS185" s="675">
        <v>1994921</v>
      </c>
      <c r="HT185" s="675">
        <v>34460</v>
      </c>
      <c r="HU185" s="675">
        <v>0</v>
      </c>
      <c r="HV185" s="675">
        <v>0</v>
      </c>
      <c r="HW185" s="675">
        <v>0</v>
      </c>
      <c r="HX185" s="675">
        <v>13</v>
      </c>
      <c r="HY185" s="675">
        <v>23</v>
      </c>
      <c r="HZ185" s="675">
        <v>29</v>
      </c>
      <c r="IA185" s="675">
        <v>24</v>
      </c>
      <c r="IB185" s="675">
        <v>59</v>
      </c>
      <c r="IC185" s="675">
        <v>148</v>
      </c>
      <c r="ID185" s="675">
        <v>0</v>
      </c>
      <c r="IE185" s="675">
        <v>0</v>
      </c>
      <c r="IF185" s="675">
        <v>0</v>
      </c>
      <c r="IG185" s="675">
        <v>5</v>
      </c>
      <c r="IH185" s="675">
        <v>131.66</v>
      </c>
      <c r="II185" s="675">
        <v>0</v>
      </c>
      <c r="IJ185" s="675">
        <v>0</v>
      </c>
      <c r="IK185" s="675">
        <v>0</v>
      </c>
      <c r="IL185" s="675">
        <v>0</v>
      </c>
      <c r="IM185" s="675">
        <v>0</v>
      </c>
      <c r="IN185" s="675">
        <v>0</v>
      </c>
      <c r="IO185" s="675">
        <v>0</v>
      </c>
      <c r="IP185" s="675">
        <v>0</v>
      </c>
      <c r="IQ185" s="675">
        <v>0</v>
      </c>
      <c r="IR185" s="675">
        <v>0</v>
      </c>
      <c r="IS185" s="675">
        <v>0</v>
      </c>
      <c r="IT185" s="675">
        <v>0</v>
      </c>
      <c r="IU185" s="675">
        <v>0</v>
      </c>
      <c r="IV185" s="675">
        <v>0</v>
      </c>
      <c r="IW185" s="675">
        <v>6160</v>
      </c>
      <c r="IX185" s="675">
        <v>0</v>
      </c>
      <c r="IY185" s="675">
        <v>0</v>
      </c>
      <c r="IZ185" s="675">
        <v>0</v>
      </c>
      <c r="JA185" s="675">
        <v>0</v>
      </c>
      <c r="JB185" s="675">
        <v>0</v>
      </c>
      <c r="JC185" s="675">
        <v>0</v>
      </c>
      <c r="JD185" s="675">
        <v>0</v>
      </c>
      <c r="JE185" s="675">
        <v>0</v>
      </c>
      <c r="JF185" s="675">
        <v>0</v>
      </c>
      <c r="JG185" s="675">
        <v>0</v>
      </c>
      <c r="JH185" s="675">
        <v>0</v>
      </c>
      <c r="JI185" s="675">
        <v>0</v>
      </c>
      <c r="JJ185" s="675">
        <v>0</v>
      </c>
      <c r="JK185" s="675">
        <v>0</v>
      </c>
      <c r="JL185" s="675">
        <v>0</v>
      </c>
      <c r="JM185" s="675">
        <v>0</v>
      </c>
      <c r="JN185" s="675">
        <v>32469</v>
      </c>
      <c r="JO185" s="675">
        <v>0</v>
      </c>
      <c r="JP185" s="675">
        <v>0</v>
      </c>
      <c r="JQ185" s="675">
        <v>0</v>
      </c>
      <c r="JR185" s="675">
        <v>0</v>
      </c>
      <c r="JS185" s="675">
        <v>0</v>
      </c>
      <c r="JT185" s="675">
        <v>0</v>
      </c>
      <c r="JU185" s="675">
        <v>0</v>
      </c>
      <c r="JV185" s="675">
        <v>0</v>
      </c>
      <c r="JW185" s="675">
        <v>0</v>
      </c>
      <c r="JX185" s="675">
        <v>0</v>
      </c>
      <c r="JY185" s="675">
        <v>0</v>
      </c>
      <c r="JZ185" s="675">
        <v>0</v>
      </c>
      <c r="KA185" s="675">
        <v>0</v>
      </c>
      <c r="KB185" s="675">
        <v>0</v>
      </c>
      <c r="KC185" s="675">
        <v>0</v>
      </c>
      <c r="KD185" s="675">
        <v>0</v>
      </c>
      <c r="KE185" s="675">
        <v>7260</v>
      </c>
      <c r="KF185" s="675">
        <v>0</v>
      </c>
      <c r="KG185" s="675">
        <v>0</v>
      </c>
      <c r="KH185" s="675">
        <v>0</v>
      </c>
      <c r="KI185" s="675">
        <v>0</v>
      </c>
    </row>
    <row r="186" spans="1:295" ht="12.5" x14ac:dyDescent="0.25">
      <c r="A186" s="675">
        <v>35795</v>
      </c>
      <c r="B186" s="675">
        <v>101876</v>
      </c>
      <c r="C186" s="675">
        <v>9</v>
      </c>
      <c r="D186" s="675">
        <v>2022</v>
      </c>
      <c r="E186" s="675">
        <v>6160</v>
      </c>
      <c r="F186" s="675">
        <v>0</v>
      </c>
      <c r="G186" s="675">
        <v>145.518</v>
      </c>
      <c r="H186" s="675">
        <v>144.643</v>
      </c>
      <c r="I186" s="675">
        <v>144.643</v>
      </c>
      <c r="J186" s="675">
        <v>145.518</v>
      </c>
      <c r="K186" s="675">
        <v>0</v>
      </c>
      <c r="L186" s="675">
        <v>6160</v>
      </c>
      <c r="M186" s="675">
        <v>0</v>
      </c>
      <c r="N186" s="675">
        <v>0</v>
      </c>
      <c r="O186" s="675">
        <v>0</v>
      </c>
      <c r="P186" s="675">
        <v>108.503</v>
      </c>
      <c r="Q186" s="675">
        <v>0</v>
      </c>
      <c r="R186" s="675">
        <v>43665</v>
      </c>
      <c r="S186" s="675">
        <v>402.428</v>
      </c>
      <c r="T186" s="675">
        <v>0</v>
      </c>
      <c r="U186" s="675">
        <v>23221</v>
      </c>
      <c r="V186" s="675">
        <v>34.428000000000004</v>
      </c>
      <c r="W186" s="675">
        <v>21208</v>
      </c>
      <c r="X186" s="675">
        <v>21208</v>
      </c>
      <c r="Y186" s="675">
        <v>0</v>
      </c>
      <c r="Z186" s="675">
        <v>0</v>
      </c>
      <c r="AA186" s="675">
        <v>0</v>
      </c>
      <c r="AB186" s="675">
        <v>0</v>
      </c>
      <c r="AC186" s="675">
        <v>0</v>
      </c>
      <c r="AD186" s="675" t="s">
        <v>316</v>
      </c>
      <c r="AE186" s="675">
        <v>0</v>
      </c>
      <c r="AF186" s="675">
        <v>0</v>
      </c>
      <c r="AG186" s="675">
        <v>0</v>
      </c>
      <c r="AH186" s="675">
        <v>0</v>
      </c>
      <c r="AI186" s="675">
        <v>0</v>
      </c>
      <c r="AJ186" s="675">
        <v>6160</v>
      </c>
      <c r="AK186" s="675" t="s">
        <v>671</v>
      </c>
      <c r="AL186" s="675" t="s">
        <v>466</v>
      </c>
      <c r="AM186" s="675">
        <v>0</v>
      </c>
      <c r="AN186" s="675">
        <v>0</v>
      </c>
      <c r="AO186" s="675">
        <v>0</v>
      </c>
      <c r="AP186" s="675">
        <v>0</v>
      </c>
      <c r="AQ186" s="675">
        <v>0</v>
      </c>
      <c r="AR186" s="675">
        <v>0</v>
      </c>
      <c r="AS186" s="675">
        <v>0</v>
      </c>
      <c r="AT186" s="675">
        <v>0</v>
      </c>
      <c r="AU186" s="675">
        <v>0</v>
      </c>
      <c r="AV186" s="675">
        <v>-212526</v>
      </c>
      <c r="AW186" s="675">
        <v>1661769</v>
      </c>
      <c r="AX186" s="675">
        <v>1565114</v>
      </c>
      <c r="AY186" s="675">
        <v>1033126</v>
      </c>
      <c r="AZ186" s="675">
        <v>43665</v>
      </c>
      <c r="BA186" s="675">
        <v>0</v>
      </c>
      <c r="BB186" s="675">
        <v>0</v>
      </c>
      <c r="BC186" s="675">
        <v>0</v>
      </c>
      <c r="BD186" s="675">
        <v>0</v>
      </c>
      <c r="BE186" s="675">
        <v>0</v>
      </c>
      <c r="BF186" s="675">
        <v>1413442</v>
      </c>
      <c r="BG186" s="675">
        <v>0</v>
      </c>
      <c r="BH186" s="675">
        <v>0</v>
      </c>
      <c r="BI186" s="675">
        <v>0</v>
      </c>
      <c r="BJ186" s="675">
        <v>12</v>
      </c>
      <c r="BK186" s="675">
        <v>0</v>
      </c>
      <c r="BL186" s="675">
        <v>0</v>
      </c>
      <c r="BM186" s="675">
        <v>0</v>
      </c>
      <c r="BN186" s="675">
        <v>0</v>
      </c>
      <c r="BO186" s="675">
        <v>0</v>
      </c>
      <c r="BP186" s="675">
        <v>0</v>
      </c>
      <c r="BQ186" s="675">
        <v>748</v>
      </c>
      <c r="BR186" s="675">
        <v>0</v>
      </c>
      <c r="BS186" s="675">
        <v>0</v>
      </c>
      <c r="BT186" s="675">
        <v>0</v>
      </c>
      <c r="BU186" s="675">
        <v>0</v>
      </c>
      <c r="BV186" s="675">
        <v>0</v>
      </c>
      <c r="BW186" s="675">
        <v>0</v>
      </c>
      <c r="BX186" s="675">
        <v>0</v>
      </c>
      <c r="BY186" s="675">
        <v>0</v>
      </c>
      <c r="BZ186" s="675">
        <v>0</v>
      </c>
      <c r="CA186" s="675">
        <v>0</v>
      </c>
      <c r="CB186" s="675">
        <v>0</v>
      </c>
      <c r="CC186" s="675">
        <v>0</v>
      </c>
      <c r="CD186" s="675">
        <v>0</v>
      </c>
      <c r="CE186" s="675">
        <v>0</v>
      </c>
      <c r="CF186" s="675">
        <v>0</v>
      </c>
      <c r="CG186" s="675">
        <v>0</v>
      </c>
      <c r="CH186" s="675">
        <v>96800</v>
      </c>
      <c r="CI186" s="675">
        <v>0</v>
      </c>
      <c r="CJ186" s="675">
        <v>5</v>
      </c>
      <c r="CK186" s="675">
        <v>0</v>
      </c>
      <c r="CL186" s="675">
        <v>0</v>
      </c>
      <c r="CM186" s="675">
        <v>0</v>
      </c>
      <c r="CN186" s="675">
        <v>0</v>
      </c>
      <c r="CO186" s="675">
        <v>1</v>
      </c>
      <c r="CP186" s="675">
        <v>0</v>
      </c>
      <c r="CQ186" s="675">
        <v>0</v>
      </c>
      <c r="CR186" s="675">
        <v>107.87100000000001</v>
      </c>
      <c r="CS186" s="675">
        <v>0</v>
      </c>
      <c r="CT186" s="675">
        <v>0</v>
      </c>
      <c r="CU186" s="675">
        <v>0</v>
      </c>
      <c r="CV186" s="675">
        <v>0</v>
      </c>
      <c r="CW186" s="675">
        <v>0</v>
      </c>
      <c r="CX186" s="675">
        <v>0</v>
      </c>
      <c r="CY186" s="675">
        <v>0</v>
      </c>
      <c r="CZ186" s="675">
        <v>0</v>
      </c>
      <c r="DA186" s="675">
        <v>0</v>
      </c>
      <c r="DB186" s="675">
        <v>890997</v>
      </c>
      <c r="DC186" s="675">
        <v>0</v>
      </c>
      <c r="DD186" s="675">
        <v>0</v>
      </c>
      <c r="DE186" s="675">
        <v>222375</v>
      </c>
      <c r="DF186" s="675">
        <v>222375</v>
      </c>
      <c r="DG186" s="675">
        <v>36.1</v>
      </c>
      <c r="DH186" s="675">
        <v>0</v>
      </c>
      <c r="DI186" s="675">
        <v>0</v>
      </c>
      <c r="DJ186" s="675">
        <v>0</v>
      </c>
      <c r="DK186" s="675">
        <v>3586</v>
      </c>
      <c r="DL186" s="675">
        <v>0</v>
      </c>
      <c r="DM186" s="675">
        <v>38002</v>
      </c>
      <c r="DN186" s="675">
        <v>145</v>
      </c>
      <c r="DO186" s="675">
        <v>0</v>
      </c>
      <c r="DP186" s="675">
        <v>0</v>
      </c>
      <c r="DQ186" s="675">
        <v>0</v>
      </c>
      <c r="DR186" s="675">
        <v>0</v>
      </c>
      <c r="DS186" s="675">
        <v>0</v>
      </c>
      <c r="DT186" s="675">
        <v>0</v>
      </c>
      <c r="DU186" s="675">
        <v>0</v>
      </c>
      <c r="DV186" s="675">
        <v>0</v>
      </c>
      <c r="DW186" s="675">
        <v>0</v>
      </c>
      <c r="DX186" s="675">
        <v>0</v>
      </c>
      <c r="DY186" s="675">
        <v>0</v>
      </c>
      <c r="DZ186" s="675">
        <v>0</v>
      </c>
      <c r="EA186" s="675">
        <v>0</v>
      </c>
      <c r="EB186" s="675">
        <v>0</v>
      </c>
      <c r="EC186" s="675">
        <v>2.645</v>
      </c>
      <c r="ED186" s="675">
        <v>18737</v>
      </c>
      <c r="EE186" s="675">
        <v>0</v>
      </c>
      <c r="EF186" s="675">
        <v>0</v>
      </c>
      <c r="EG186" s="675">
        <v>0</v>
      </c>
      <c r="EH186" s="675">
        <v>19410</v>
      </c>
      <c r="EI186" s="675">
        <v>0</v>
      </c>
      <c r="EJ186" s="675">
        <v>0</v>
      </c>
      <c r="EK186" s="675">
        <v>0.61199999999999999</v>
      </c>
      <c r="EL186" s="675">
        <v>0</v>
      </c>
      <c r="EM186" s="675">
        <v>0</v>
      </c>
      <c r="EN186" s="675">
        <v>0.26300000000000001</v>
      </c>
      <c r="EO186" s="675">
        <v>0</v>
      </c>
      <c r="EP186" s="675">
        <v>0</v>
      </c>
      <c r="EQ186" s="675">
        <v>0.875</v>
      </c>
      <c r="ER186" s="675">
        <v>0</v>
      </c>
      <c r="ES186" s="675">
        <v>3.1510000000000002</v>
      </c>
      <c r="ET186" s="675">
        <v>0</v>
      </c>
      <c r="EU186" s="675">
        <v>0</v>
      </c>
      <c r="EV186" s="675">
        <v>0</v>
      </c>
      <c r="EW186" s="675">
        <v>0</v>
      </c>
      <c r="EX186" s="675">
        <v>0</v>
      </c>
      <c r="EY186" s="675">
        <v>0</v>
      </c>
      <c r="EZ186" s="675">
        <v>1391600</v>
      </c>
      <c r="FA186" s="675">
        <v>0</v>
      </c>
      <c r="FB186" s="675">
        <v>1435120</v>
      </c>
      <c r="FC186" s="675">
        <v>0</v>
      </c>
      <c r="FD186" s="675">
        <v>0</v>
      </c>
      <c r="FE186" s="675">
        <v>143776</v>
      </c>
      <c r="FF186" s="675">
        <v>29738</v>
      </c>
      <c r="FG186" s="675">
        <v>6.3574999999999993E-2</v>
      </c>
      <c r="FH186" s="675">
        <v>2.6298999999999999E-2</v>
      </c>
      <c r="FI186" s="675">
        <v>0</v>
      </c>
      <c r="FJ186" s="675">
        <v>0</v>
      </c>
      <c r="FK186" s="675">
        <v>229.45600000000002</v>
      </c>
      <c r="FL186" s="675">
        <v>1705434</v>
      </c>
      <c r="FM186" s="675">
        <v>0</v>
      </c>
      <c r="FN186" s="675">
        <v>0</v>
      </c>
      <c r="FO186" s="675">
        <v>21823</v>
      </c>
      <c r="FP186" s="675">
        <v>0</v>
      </c>
      <c r="FQ186" s="675">
        <v>21823</v>
      </c>
      <c r="FR186" s="675">
        <v>21823</v>
      </c>
      <c r="FS186" s="675">
        <v>0</v>
      </c>
      <c r="FT186" s="675">
        <v>0</v>
      </c>
      <c r="FU186" s="675">
        <v>0</v>
      </c>
      <c r="FV186" s="675">
        <v>0</v>
      </c>
      <c r="FW186" s="675">
        <v>0</v>
      </c>
      <c r="FX186" s="675">
        <v>0</v>
      </c>
      <c r="FY186" s="675">
        <v>0</v>
      </c>
      <c r="FZ186" s="675">
        <v>0</v>
      </c>
      <c r="GA186" s="675">
        <v>0</v>
      </c>
      <c r="GB186" s="675">
        <v>0</v>
      </c>
      <c r="GC186" s="675">
        <v>0</v>
      </c>
      <c r="GD186" s="675">
        <v>0</v>
      </c>
      <c r="GE186" s="675">
        <v>0</v>
      </c>
      <c r="GF186" s="675">
        <v>0</v>
      </c>
      <c r="GG186" s="675">
        <v>0</v>
      </c>
      <c r="GH186" s="675">
        <v>0</v>
      </c>
      <c r="GI186" s="675">
        <v>0</v>
      </c>
      <c r="GJ186" s="675">
        <v>0</v>
      </c>
      <c r="GK186" s="675">
        <v>0</v>
      </c>
      <c r="GL186" s="675">
        <v>0</v>
      </c>
      <c r="GM186" s="675">
        <v>0</v>
      </c>
      <c r="GN186" s="675">
        <v>0</v>
      </c>
      <c r="GO186" s="675">
        <v>0</v>
      </c>
      <c r="GP186" s="675">
        <v>0</v>
      </c>
      <c r="GQ186" s="675">
        <v>0</v>
      </c>
      <c r="GR186" s="675">
        <v>0</v>
      </c>
      <c r="GS186" s="675">
        <v>0</v>
      </c>
      <c r="GT186" s="675">
        <v>0</v>
      </c>
      <c r="GU186" s="675">
        <v>0</v>
      </c>
      <c r="GV186" s="675">
        <v>0</v>
      </c>
      <c r="GW186" s="675">
        <v>0</v>
      </c>
      <c r="GX186" s="675">
        <v>0</v>
      </c>
      <c r="GY186" s="675">
        <v>0</v>
      </c>
      <c r="GZ186" s="675">
        <v>0</v>
      </c>
      <c r="HA186" s="675">
        <v>0</v>
      </c>
      <c r="HB186" s="675">
        <v>0</v>
      </c>
      <c r="HC186" s="675">
        <v>4.5690999999999996E-2</v>
      </c>
      <c r="HD186" s="675">
        <v>0</v>
      </c>
      <c r="HE186" s="675">
        <v>0</v>
      </c>
      <c r="HF186" s="675">
        <v>159107</v>
      </c>
      <c r="HG186" s="675">
        <v>0</v>
      </c>
      <c r="HH186" s="675">
        <v>80194</v>
      </c>
      <c r="HI186" s="675">
        <v>0</v>
      </c>
      <c r="HJ186" s="675">
        <v>1414</v>
      </c>
      <c r="HK186" s="675">
        <v>0</v>
      </c>
      <c r="HL186" s="675">
        <v>0</v>
      </c>
      <c r="HM186" s="675">
        <v>0</v>
      </c>
      <c r="HN186" s="675">
        <v>0</v>
      </c>
      <c r="HO186" s="675">
        <v>0</v>
      </c>
      <c r="HP186" s="675">
        <v>0</v>
      </c>
      <c r="HQ186" s="675">
        <v>0</v>
      </c>
      <c r="HR186" s="675">
        <v>0</v>
      </c>
      <c r="HS186" s="675">
        <v>1391455</v>
      </c>
      <c r="HT186" s="675">
        <v>29738</v>
      </c>
      <c r="HU186" s="675">
        <v>0</v>
      </c>
      <c r="HV186" s="675">
        <v>0</v>
      </c>
      <c r="HW186" s="675">
        <v>0</v>
      </c>
      <c r="HX186" s="675">
        <v>4</v>
      </c>
      <c r="HY186" s="675">
        <v>18</v>
      </c>
      <c r="HZ186" s="675">
        <v>54</v>
      </c>
      <c r="IA186" s="675">
        <v>36</v>
      </c>
      <c r="IB186" s="675">
        <v>29</v>
      </c>
      <c r="IC186" s="675">
        <v>141</v>
      </c>
      <c r="ID186" s="675">
        <v>0</v>
      </c>
      <c r="IE186" s="675">
        <v>0</v>
      </c>
      <c r="IF186" s="675">
        <v>0</v>
      </c>
      <c r="IG186" s="675">
        <v>0</v>
      </c>
      <c r="IH186" s="675">
        <v>130.185</v>
      </c>
      <c r="II186" s="675">
        <v>0</v>
      </c>
      <c r="IJ186" s="675">
        <v>34.428000000000004</v>
      </c>
      <c r="IK186" s="675">
        <v>0</v>
      </c>
      <c r="IL186" s="675">
        <v>0</v>
      </c>
      <c r="IM186" s="675">
        <v>0</v>
      </c>
      <c r="IN186" s="675">
        <v>0</v>
      </c>
      <c r="IO186" s="675">
        <v>0</v>
      </c>
      <c r="IP186" s="675">
        <v>0</v>
      </c>
      <c r="IQ186" s="675">
        <v>34.428000000000004</v>
      </c>
      <c r="IR186" s="675">
        <v>21208</v>
      </c>
      <c r="IS186" s="675">
        <v>0</v>
      </c>
      <c r="IT186" s="675">
        <v>0</v>
      </c>
      <c r="IU186" s="675">
        <v>0</v>
      </c>
      <c r="IV186" s="675">
        <v>0</v>
      </c>
      <c r="IW186" s="675">
        <v>6160</v>
      </c>
      <c r="IX186" s="675">
        <v>0</v>
      </c>
      <c r="IY186" s="675">
        <v>0</v>
      </c>
      <c r="IZ186" s="675">
        <v>0</v>
      </c>
      <c r="JA186" s="675">
        <v>0</v>
      </c>
      <c r="JB186" s="675">
        <v>0</v>
      </c>
      <c r="JC186" s="675">
        <v>0</v>
      </c>
      <c r="JD186" s="675">
        <v>0</v>
      </c>
      <c r="JE186" s="675">
        <v>0</v>
      </c>
      <c r="JF186" s="675">
        <v>0</v>
      </c>
      <c r="JG186" s="675">
        <v>0</v>
      </c>
      <c r="JH186" s="675">
        <v>0</v>
      </c>
      <c r="JI186" s="675">
        <v>0</v>
      </c>
      <c r="JJ186" s="675">
        <v>0</v>
      </c>
      <c r="JK186" s="675">
        <v>0</v>
      </c>
      <c r="JL186" s="675">
        <v>0</v>
      </c>
      <c r="JM186" s="675">
        <v>0</v>
      </c>
      <c r="JN186" s="675">
        <v>32469</v>
      </c>
      <c r="JO186" s="675">
        <v>0</v>
      </c>
      <c r="JP186" s="675">
        <v>0</v>
      </c>
      <c r="JQ186" s="675">
        <v>0</v>
      </c>
      <c r="JR186" s="675">
        <v>0</v>
      </c>
      <c r="JS186" s="675">
        <v>0</v>
      </c>
      <c r="JT186" s="675">
        <v>0</v>
      </c>
      <c r="JU186" s="675">
        <v>0</v>
      </c>
      <c r="JV186" s="675">
        <v>0</v>
      </c>
      <c r="JW186" s="675">
        <v>0</v>
      </c>
      <c r="JX186" s="675">
        <v>0</v>
      </c>
      <c r="JY186" s="675">
        <v>0</v>
      </c>
      <c r="JZ186" s="675">
        <v>0</v>
      </c>
      <c r="KA186" s="675">
        <v>0</v>
      </c>
      <c r="KB186" s="675">
        <v>0</v>
      </c>
      <c r="KC186" s="675">
        <v>0</v>
      </c>
      <c r="KD186" s="675">
        <v>0</v>
      </c>
      <c r="KE186" s="675">
        <v>7260</v>
      </c>
      <c r="KF186" s="675">
        <v>96800</v>
      </c>
      <c r="KG186" s="675">
        <v>0</v>
      </c>
      <c r="KH186" s="675">
        <v>0</v>
      </c>
      <c r="KI186" s="675">
        <v>0</v>
      </c>
    </row>
    <row r="187" spans="1:295" ht="12.5" x14ac:dyDescent="0.25">
      <c r="A187" s="675">
        <v>35795</v>
      </c>
      <c r="B187" s="675">
        <v>101877</v>
      </c>
      <c r="C187" s="675">
        <v>9</v>
      </c>
      <c r="D187" s="675">
        <v>2022</v>
      </c>
      <c r="E187" s="675">
        <v>6160</v>
      </c>
      <c r="F187" s="675">
        <v>0</v>
      </c>
      <c r="G187" s="675">
        <v>37.520000000000003</v>
      </c>
      <c r="H187" s="675">
        <v>37.297000000000004</v>
      </c>
      <c r="I187" s="675">
        <v>37.297000000000004</v>
      </c>
      <c r="J187" s="675">
        <v>37.520000000000003</v>
      </c>
      <c r="K187" s="675">
        <v>0</v>
      </c>
      <c r="L187" s="675">
        <v>6160</v>
      </c>
      <c r="M187" s="675">
        <v>0</v>
      </c>
      <c r="N187" s="675">
        <v>0</v>
      </c>
      <c r="O187" s="675">
        <v>0</v>
      </c>
      <c r="P187" s="675">
        <v>0</v>
      </c>
      <c r="Q187" s="675">
        <v>0</v>
      </c>
      <c r="R187" s="675">
        <v>0</v>
      </c>
      <c r="S187" s="675">
        <v>402.428</v>
      </c>
      <c r="T187" s="675">
        <v>0</v>
      </c>
      <c r="U187" s="675">
        <v>0</v>
      </c>
      <c r="V187" s="675">
        <v>0</v>
      </c>
      <c r="W187" s="675">
        <v>0</v>
      </c>
      <c r="X187" s="675">
        <v>0</v>
      </c>
      <c r="Y187" s="675">
        <v>0</v>
      </c>
      <c r="Z187" s="675">
        <v>0</v>
      </c>
      <c r="AA187" s="675">
        <v>0</v>
      </c>
      <c r="AB187" s="675">
        <v>0</v>
      </c>
      <c r="AC187" s="675">
        <v>0</v>
      </c>
      <c r="AD187" s="675" t="s">
        <v>316</v>
      </c>
      <c r="AE187" s="675">
        <v>0</v>
      </c>
      <c r="AF187" s="675">
        <v>0</v>
      </c>
      <c r="AG187" s="675">
        <v>0</v>
      </c>
      <c r="AH187" s="675">
        <v>0</v>
      </c>
      <c r="AI187" s="675">
        <v>0</v>
      </c>
      <c r="AJ187" s="675">
        <v>6160</v>
      </c>
      <c r="AK187" s="675" t="s">
        <v>671</v>
      </c>
      <c r="AL187" s="675" t="s">
        <v>547</v>
      </c>
      <c r="AM187" s="675">
        <v>0</v>
      </c>
      <c r="AN187" s="675">
        <v>0</v>
      </c>
      <c r="AO187" s="675">
        <v>0</v>
      </c>
      <c r="AP187" s="675">
        <v>0</v>
      </c>
      <c r="AQ187" s="675">
        <v>0</v>
      </c>
      <c r="AR187" s="675">
        <v>0</v>
      </c>
      <c r="AS187" s="675">
        <v>0</v>
      </c>
      <c r="AT187" s="675">
        <v>0</v>
      </c>
      <c r="AU187" s="675">
        <v>0</v>
      </c>
      <c r="AV187" s="675">
        <v>0</v>
      </c>
      <c r="AW187" s="675">
        <v>411555</v>
      </c>
      <c r="AX187" s="675">
        <v>411602</v>
      </c>
      <c r="AY187" s="675">
        <v>302765</v>
      </c>
      <c r="AZ187" s="675">
        <v>0</v>
      </c>
      <c r="BA187" s="675">
        <v>0</v>
      </c>
      <c r="BB187" s="675">
        <v>0</v>
      </c>
      <c r="BC187" s="675">
        <v>0</v>
      </c>
      <c r="BD187" s="675">
        <v>0</v>
      </c>
      <c r="BE187" s="675">
        <v>0</v>
      </c>
      <c r="BF187" s="675">
        <v>366598</v>
      </c>
      <c r="BG187" s="675">
        <v>0</v>
      </c>
      <c r="BH187" s="675">
        <v>0</v>
      </c>
      <c r="BI187" s="675">
        <v>0</v>
      </c>
      <c r="BJ187" s="675">
        <v>12</v>
      </c>
      <c r="BK187" s="675">
        <v>0</v>
      </c>
      <c r="BL187" s="675">
        <v>0</v>
      </c>
      <c r="BM187" s="675">
        <v>0</v>
      </c>
      <c r="BN187" s="675">
        <v>0</v>
      </c>
      <c r="BO187" s="675">
        <v>0</v>
      </c>
      <c r="BP187" s="675">
        <v>0</v>
      </c>
      <c r="BQ187" s="675">
        <v>764</v>
      </c>
      <c r="BR187" s="675">
        <v>0</v>
      </c>
      <c r="BS187" s="675">
        <v>0</v>
      </c>
      <c r="BT187" s="675">
        <v>0</v>
      </c>
      <c r="BU187" s="675">
        <v>0</v>
      </c>
      <c r="BV187" s="675">
        <v>0</v>
      </c>
      <c r="BW187" s="675">
        <v>0</v>
      </c>
      <c r="BX187" s="675">
        <v>0</v>
      </c>
      <c r="BY187" s="675">
        <v>0</v>
      </c>
      <c r="BZ187" s="675">
        <v>0</v>
      </c>
      <c r="CA187" s="675">
        <v>0</v>
      </c>
      <c r="CB187" s="675">
        <v>0</v>
      </c>
      <c r="CC187" s="675">
        <v>0</v>
      </c>
      <c r="CD187" s="675">
        <v>0</v>
      </c>
      <c r="CE187" s="675">
        <v>0</v>
      </c>
      <c r="CF187" s="675">
        <v>0</v>
      </c>
      <c r="CG187" s="675">
        <v>0</v>
      </c>
      <c r="CH187" s="675">
        <v>0</v>
      </c>
      <c r="CI187" s="675">
        <v>0</v>
      </c>
      <c r="CJ187" s="675">
        <v>4</v>
      </c>
      <c r="CK187" s="675">
        <v>0</v>
      </c>
      <c r="CL187" s="675">
        <v>0</v>
      </c>
      <c r="CM187" s="675">
        <v>0</v>
      </c>
      <c r="CN187" s="675">
        <v>0</v>
      </c>
      <c r="CO187" s="675">
        <v>1</v>
      </c>
      <c r="CP187" s="675">
        <v>0</v>
      </c>
      <c r="CQ187" s="675">
        <v>0</v>
      </c>
      <c r="CR187" s="675">
        <v>0</v>
      </c>
      <c r="CS187" s="675">
        <v>0</v>
      </c>
      <c r="CT187" s="675">
        <v>0</v>
      </c>
      <c r="CU187" s="675">
        <v>0</v>
      </c>
      <c r="CV187" s="675">
        <v>0</v>
      </c>
      <c r="CW187" s="675">
        <v>0</v>
      </c>
      <c r="CX187" s="675">
        <v>0</v>
      </c>
      <c r="CY187" s="675">
        <v>0</v>
      </c>
      <c r="CZ187" s="675">
        <v>0</v>
      </c>
      <c r="DA187" s="675">
        <v>0</v>
      </c>
      <c r="DB187" s="675">
        <v>229748</v>
      </c>
      <c r="DC187" s="675">
        <v>0</v>
      </c>
      <c r="DD187" s="675">
        <v>0</v>
      </c>
      <c r="DE187" s="675">
        <v>69454</v>
      </c>
      <c r="DF187" s="675">
        <v>69454</v>
      </c>
      <c r="DG187" s="675">
        <v>11.275</v>
      </c>
      <c r="DH187" s="675">
        <v>0</v>
      </c>
      <c r="DI187" s="675">
        <v>0</v>
      </c>
      <c r="DJ187" s="675">
        <v>0</v>
      </c>
      <c r="DK187" s="675">
        <v>3851</v>
      </c>
      <c r="DL187" s="675">
        <v>0</v>
      </c>
      <c r="DM187" s="675">
        <v>12328</v>
      </c>
      <c r="DN187" s="675">
        <v>47</v>
      </c>
      <c r="DO187" s="675">
        <v>0</v>
      </c>
      <c r="DP187" s="675">
        <v>0</v>
      </c>
      <c r="DQ187" s="675">
        <v>0</v>
      </c>
      <c r="DR187" s="675">
        <v>0</v>
      </c>
      <c r="DS187" s="675">
        <v>0</v>
      </c>
      <c r="DT187" s="675">
        <v>0</v>
      </c>
      <c r="DU187" s="675">
        <v>0</v>
      </c>
      <c r="DV187" s="675">
        <v>0</v>
      </c>
      <c r="DW187" s="675">
        <v>0</v>
      </c>
      <c r="DX187" s="675">
        <v>0</v>
      </c>
      <c r="DY187" s="675">
        <v>0</v>
      </c>
      <c r="DZ187" s="675">
        <v>0</v>
      </c>
      <c r="EA187" s="675">
        <v>0</v>
      </c>
      <c r="EB187" s="675">
        <v>0</v>
      </c>
      <c r="EC187" s="675">
        <v>1.073</v>
      </c>
      <c r="ED187" s="675">
        <v>7601</v>
      </c>
      <c r="EE187" s="675">
        <v>0</v>
      </c>
      <c r="EF187" s="675">
        <v>0</v>
      </c>
      <c r="EG187" s="675">
        <v>0</v>
      </c>
      <c r="EH187" s="675">
        <v>4774</v>
      </c>
      <c r="EI187" s="675">
        <v>0</v>
      </c>
      <c r="EJ187" s="675">
        <v>0</v>
      </c>
      <c r="EK187" s="675">
        <v>0.17</v>
      </c>
      <c r="EL187" s="675">
        <v>0</v>
      </c>
      <c r="EM187" s="675">
        <v>0</v>
      </c>
      <c r="EN187" s="675">
        <v>5.3000000000000005E-2</v>
      </c>
      <c r="EO187" s="675">
        <v>0</v>
      </c>
      <c r="EP187" s="675">
        <v>0</v>
      </c>
      <c r="EQ187" s="675">
        <v>0.223</v>
      </c>
      <c r="ER187" s="675">
        <v>0</v>
      </c>
      <c r="ES187" s="675">
        <v>0.77500000000000002</v>
      </c>
      <c r="ET187" s="675">
        <v>0</v>
      </c>
      <c r="EU187" s="675">
        <v>0</v>
      </c>
      <c r="EV187" s="675">
        <v>0</v>
      </c>
      <c r="EW187" s="675">
        <v>0</v>
      </c>
      <c r="EX187" s="675">
        <v>0</v>
      </c>
      <c r="EY187" s="675">
        <v>0</v>
      </c>
      <c r="EZ187" s="675">
        <v>366598</v>
      </c>
      <c r="FA187" s="675">
        <v>0</v>
      </c>
      <c r="FB187" s="675">
        <v>366551</v>
      </c>
      <c r="FC187" s="675">
        <v>0</v>
      </c>
      <c r="FD187" s="675">
        <v>0</v>
      </c>
      <c r="FE187" s="675">
        <v>37291</v>
      </c>
      <c r="FF187" s="675">
        <v>7713</v>
      </c>
      <c r="FG187" s="675">
        <v>6.3574999999999993E-2</v>
      </c>
      <c r="FH187" s="675">
        <v>2.6298999999999999E-2</v>
      </c>
      <c r="FI187" s="675">
        <v>0</v>
      </c>
      <c r="FJ187" s="675">
        <v>0</v>
      </c>
      <c r="FK187" s="675">
        <v>59.513000000000005</v>
      </c>
      <c r="FL187" s="675">
        <v>411555</v>
      </c>
      <c r="FM187" s="675">
        <v>0</v>
      </c>
      <c r="FN187" s="675">
        <v>0</v>
      </c>
      <c r="FO187" s="675">
        <v>0</v>
      </c>
      <c r="FP187" s="675">
        <v>0</v>
      </c>
      <c r="FQ187" s="675">
        <v>0</v>
      </c>
      <c r="FR187" s="675">
        <v>0</v>
      </c>
      <c r="FS187" s="675">
        <v>0</v>
      </c>
      <c r="FT187" s="675">
        <v>0</v>
      </c>
      <c r="FU187" s="675">
        <v>0</v>
      </c>
      <c r="FV187" s="675">
        <v>0</v>
      </c>
      <c r="FW187" s="675">
        <v>0</v>
      </c>
      <c r="FX187" s="675">
        <v>0</v>
      </c>
      <c r="FY187" s="675">
        <v>0</v>
      </c>
      <c r="FZ187" s="675">
        <v>0</v>
      </c>
      <c r="GA187" s="675">
        <v>0</v>
      </c>
      <c r="GB187" s="675">
        <v>0</v>
      </c>
      <c r="GC187" s="675">
        <v>0</v>
      </c>
      <c r="GD187" s="675">
        <v>0</v>
      </c>
      <c r="GE187" s="675">
        <v>0</v>
      </c>
      <c r="GF187" s="675">
        <v>0</v>
      </c>
      <c r="GG187" s="675">
        <v>0</v>
      </c>
      <c r="GH187" s="675">
        <v>0</v>
      </c>
      <c r="GI187" s="675">
        <v>0</v>
      </c>
      <c r="GJ187" s="675">
        <v>0</v>
      </c>
      <c r="GK187" s="675">
        <v>0</v>
      </c>
      <c r="GL187" s="675">
        <v>0</v>
      </c>
      <c r="GM187" s="675">
        <v>0</v>
      </c>
      <c r="GN187" s="675">
        <v>0</v>
      </c>
      <c r="GO187" s="675">
        <v>0</v>
      </c>
      <c r="GP187" s="675">
        <v>0</v>
      </c>
      <c r="GQ187" s="675">
        <v>0</v>
      </c>
      <c r="GR187" s="675">
        <v>0</v>
      </c>
      <c r="GS187" s="675">
        <v>0</v>
      </c>
      <c r="GT187" s="675">
        <v>0</v>
      </c>
      <c r="GU187" s="675">
        <v>0</v>
      </c>
      <c r="GV187" s="675">
        <v>0</v>
      </c>
      <c r="GW187" s="675">
        <v>0</v>
      </c>
      <c r="GX187" s="675">
        <v>0</v>
      </c>
      <c r="GY187" s="675">
        <v>0</v>
      </c>
      <c r="GZ187" s="675">
        <v>0</v>
      </c>
      <c r="HA187" s="675">
        <v>0</v>
      </c>
      <c r="HB187" s="675">
        <v>0</v>
      </c>
      <c r="HC187" s="675">
        <v>4.5690999999999996E-2</v>
      </c>
      <c r="HD187" s="675">
        <v>0</v>
      </c>
      <c r="HE187" s="675">
        <v>0</v>
      </c>
      <c r="HF187" s="675">
        <v>41027</v>
      </c>
      <c r="HG187" s="675">
        <v>0</v>
      </c>
      <c r="HH187" s="675">
        <v>13629</v>
      </c>
      <c r="HI187" s="675">
        <v>0</v>
      </c>
      <c r="HJ187" s="675">
        <v>365</v>
      </c>
      <c r="HK187" s="675">
        <v>0</v>
      </c>
      <c r="HL187" s="675">
        <v>0</v>
      </c>
      <c r="HM187" s="675">
        <v>0</v>
      </c>
      <c r="HN187" s="675">
        <v>0</v>
      </c>
      <c r="HO187" s="675">
        <v>0</v>
      </c>
      <c r="HP187" s="675">
        <v>0</v>
      </c>
      <c r="HQ187" s="675">
        <v>0</v>
      </c>
      <c r="HR187" s="675">
        <v>0</v>
      </c>
      <c r="HS187" s="675">
        <v>366551</v>
      </c>
      <c r="HT187" s="675">
        <v>7713</v>
      </c>
      <c r="HU187" s="675">
        <v>0</v>
      </c>
      <c r="HV187" s="675">
        <v>0</v>
      </c>
      <c r="HW187" s="675">
        <v>0</v>
      </c>
      <c r="HX187" s="675">
        <v>6</v>
      </c>
      <c r="HY187" s="675">
        <v>3</v>
      </c>
      <c r="HZ187" s="675">
        <v>14</v>
      </c>
      <c r="IA187" s="675">
        <v>5</v>
      </c>
      <c r="IB187" s="675">
        <v>16</v>
      </c>
      <c r="IC187" s="675">
        <v>44</v>
      </c>
      <c r="ID187" s="675">
        <v>0</v>
      </c>
      <c r="IE187" s="675">
        <v>0</v>
      </c>
      <c r="IF187" s="675">
        <v>0</v>
      </c>
      <c r="IG187" s="675">
        <v>0</v>
      </c>
      <c r="IH187" s="675">
        <v>22.125</v>
      </c>
      <c r="II187" s="675">
        <v>0</v>
      </c>
      <c r="IJ187" s="675">
        <v>0</v>
      </c>
      <c r="IK187" s="675">
        <v>0</v>
      </c>
      <c r="IL187" s="675">
        <v>0</v>
      </c>
      <c r="IM187" s="675">
        <v>0</v>
      </c>
      <c r="IN187" s="675">
        <v>0</v>
      </c>
      <c r="IO187" s="675">
        <v>0</v>
      </c>
      <c r="IP187" s="675">
        <v>0</v>
      </c>
      <c r="IQ187" s="675">
        <v>0</v>
      </c>
      <c r="IR187" s="675">
        <v>0</v>
      </c>
      <c r="IS187" s="675">
        <v>0</v>
      </c>
      <c r="IT187" s="675">
        <v>0</v>
      </c>
      <c r="IU187" s="675">
        <v>0</v>
      </c>
      <c r="IV187" s="675">
        <v>0</v>
      </c>
      <c r="IW187" s="675">
        <v>6160</v>
      </c>
      <c r="IX187" s="675">
        <v>0</v>
      </c>
      <c r="IY187" s="675">
        <v>0</v>
      </c>
      <c r="IZ187" s="675">
        <v>0</v>
      </c>
      <c r="JA187" s="675">
        <v>0</v>
      </c>
      <c r="JB187" s="675">
        <v>0</v>
      </c>
      <c r="JC187" s="675">
        <v>0</v>
      </c>
      <c r="JD187" s="675">
        <v>0</v>
      </c>
      <c r="JE187" s="675">
        <v>0</v>
      </c>
      <c r="JF187" s="675">
        <v>0</v>
      </c>
      <c r="JG187" s="675">
        <v>0</v>
      </c>
      <c r="JH187" s="675">
        <v>0</v>
      </c>
      <c r="JI187" s="675">
        <v>0</v>
      </c>
      <c r="JJ187" s="675">
        <v>0</v>
      </c>
      <c r="JK187" s="675">
        <v>0</v>
      </c>
      <c r="JL187" s="675">
        <v>0</v>
      </c>
      <c r="JM187" s="675">
        <v>0</v>
      </c>
      <c r="JN187" s="675">
        <v>0</v>
      </c>
      <c r="JO187" s="675">
        <v>0</v>
      </c>
      <c r="JP187" s="675">
        <v>0</v>
      </c>
      <c r="JQ187" s="675">
        <v>0</v>
      </c>
      <c r="JR187" s="675">
        <v>0</v>
      </c>
      <c r="JS187" s="675">
        <v>0</v>
      </c>
      <c r="JT187" s="675">
        <v>0</v>
      </c>
      <c r="JU187" s="675">
        <v>0</v>
      </c>
      <c r="JV187" s="675">
        <v>0</v>
      </c>
      <c r="JW187" s="675">
        <v>0</v>
      </c>
      <c r="JX187" s="675">
        <v>0</v>
      </c>
      <c r="JY187" s="675">
        <v>0</v>
      </c>
      <c r="JZ187" s="675">
        <v>0</v>
      </c>
      <c r="KA187" s="675">
        <v>0</v>
      </c>
      <c r="KB187" s="675">
        <v>0</v>
      </c>
      <c r="KC187" s="675">
        <v>0</v>
      </c>
      <c r="KD187" s="675">
        <v>0</v>
      </c>
      <c r="KE187" s="675">
        <v>7260</v>
      </c>
      <c r="KF187" s="675">
        <v>0</v>
      </c>
      <c r="KG187" s="675">
        <v>0</v>
      </c>
      <c r="KH187" s="675">
        <v>0</v>
      </c>
      <c r="KI187" s="675">
        <v>0</v>
      </c>
    </row>
    <row r="188" spans="1:295" ht="12.5" x14ac:dyDescent="0.25">
      <c r="A188" s="675">
        <v>35795</v>
      </c>
      <c r="B188" s="675">
        <v>101878</v>
      </c>
      <c r="C188" s="675">
        <v>9</v>
      </c>
      <c r="D188" s="675">
        <v>2022</v>
      </c>
      <c r="E188" s="675">
        <v>6160</v>
      </c>
      <c r="F188" s="675">
        <v>0</v>
      </c>
      <c r="G188" s="675">
        <v>112.00700000000001</v>
      </c>
      <c r="H188" s="675">
        <v>111.07300000000001</v>
      </c>
      <c r="I188" s="675">
        <v>111.07300000000001</v>
      </c>
      <c r="J188" s="675">
        <v>112.00700000000001</v>
      </c>
      <c r="K188" s="675">
        <v>0</v>
      </c>
      <c r="L188" s="675">
        <v>6160</v>
      </c>
      <c r="M188" s="675">
        <v>0</v>
      </c>
      <c r="N188" s="675">
        <v>0</v>
      </c>
      <c r="O188" s="675">
        <v>0</v>
      </c>
      <c r="P188" s="675">
        <v>41.14</v>
      </c>
      <c r="Q188" s="675">
        <v>0</v>
      </c>
      <c r="R188" s="675">
        <v>16556</v>
      </c>
      <c r="S188" s="675">
        <v>402.428</v>
      </c>
      <c r="T188" s="675">
        <v>0</v>
      </c>
      <c r="U188" s="675">
        <v>8806</v>
      </c>
      <c r="V188" s="675">
        <v>7.01</v>
      </c>
      <c r="W188" s="675">
        <v>4318</v>
      </c>
      <c r="X188" s="675">
        <v>4318</v>
      </c>
      <c r="Y188" s="675">
        <v>0</v>
      </c>
      <c r="Z188" s="675">
        <v>0</v>
      </c>
      <c r="AA188" s="675">
        <v>0</v>
      </c>
      <c r="AB188" s="675">
        <v>0</v>
      </c>
      <c r="AC188" s="675">
        <v>0</v>
      </c>
      <c r="AD188" s="675" t="s">
        <v>316</v>
      </c>
      <c r="AE188" s="675">
        <v>0</v>
      </c>
      <c r="AF188" s="675">
        <v>0</v>
      </c>
      <c r="AG188" s="675">
        <v>0</v>
      </c>
      <c r="AH188" s="675">
        <v>0</v>
      </c>
      <c r="AI188" s="675">
        <v>0</v>
      </c>
      <c r="AJ188" s="675">
        <v>6160</v>
      </c>
      <c r="AK188" s="675" t="s">
        <v>671</v>
      </c>
      <c r="AL188" s="675" t="s">
        <v>548</v>
      </c>
      <c r="AM188" s="675">
        <v>0</v>
      </c>
      <c r="AN188" s="675">
        <v>0</v>
      </c>
      <c r="AO188" s="675">
        <v>0</v>
      </c>
      <c r="AP188" s="675">
        <v>0</v>
      </c>
      <c r="AQ188" s="675">
        <v>0</v>
      </c>
      <c r="AR188" s="675">
        <v>0</v>
      </c>
      <c r="AS188" s="675">
        <v>0</v>
      </c>
      <c r="AT188" s="675">
        <v>0</v>
      </c>
      <c r="AU188" s="675">
        <v>0</v>
      </c>
      <c r="AV188" s="675">
        <v>-26</v>
      </c>
      <c r="AW188" s="675">
        <v>1135625</v>
      </c>
      <c r="AX188" s="675">
        <v>1135718</v>
      </c>
      <c r="AY188" s="675">
        <v>742740</v>
      </c>
      <c r="AZ188" s="675">
        <v>16556</v>
      </c>
      <c r="BA188" s="675">
        <v>0</v>
      </c>
      <c r="BB188" s="675">
        <v>0</v>
      </c>
      <c r="BC188" s="675">
        <v>0</v>
      </c>
      <c r="BD188" s="675">
        <v>0</v>
      </c>
      <c r="BE188" s="675">
        <v>0</v>
      </c>
      <c r="BF188" s="675">
        <v>1026287</v>
      </c>
      <c r="BG188" s="675">
        <v>0</v>
      </c>
      <c r="BH188" s="675">
        <v>0</v>
      </c>
      <c r="BI188" s="675">
        <v>0</v>
      </c>
      <c r="BJ188" s="675">
        <v>12</v>
      </c>
      <c r="BK188" s="675">
        <v>0</v>
      </c>
      <c r="BL188" s="675">
        <v>0</v>
      </c>
      <c r="BM188" s="675">
        <v>0</v>
      </c>
      <c r="BN188" s="675">
        <v>0</v>
      </c>
      <c r="BO188" s="675">
        <v>0</v>
      </c>
      <c r="BP188" s="675">
        <v>0</v>
      </c>
      <c r="BQ188" s="675">
        <v>753</v>
      </c>
      <c r="BR188" s="675">
        <v>0</v>
      </c>
      <c r="BS188" s="675">
        <v>0</v>
      </c>
      <c r="BT188" s="675">
        <v>0</v>
      </c>
      <c r="BU188" s="675">
        <v>0</v>
      </c>
      <c r="BV188" s="675">
        <v>0</v>
      </c>
      <c r="BW188" s="675">
        <v>0</v>
      </c>
      <c r="BX188" s="675">
        <v>0</v>
      </c>
      <c r="BY188" s="675">
        <v>0</v>
      </c>
      <c r="BZ188" s="675">
        <v>0</v>
      </c>
      <c r="CA188" s="675">
        <v>0</v>
      </c>
      <c r="CB188" s="675">
        <v>0</v>
      </c>
      <c r="CC188" s="675">
        <v>0</v>
      </c>
      <c r="CD188" s="675">
        <v>0</v>
      </c>
      <c r="CE188" s="675">
        <v>0</v>
      </c>
      <c r="CF188" s="675">
        <v>0</v>
      </c>
      <c r="CG188" s="675">
        <v>0</v>
      </c>
      <c r="CH188" s="675">
        <v>0</v>
      </c>
      <c r="CI188" s="675">
        <v>0</v>
      </c>
      <c r="CJ188" s="675">
        <v>4</v>
      </c>
      <c r="CK188" s="675">
        <v>0</v>
      </c>
      <c r="CL188" s="675">
        <v>0</v>
      </c>
      <c r="CM188" s="675">
        <v>0</v>
      </c>
      <c r="CN188" s="675">
        <v>0</v>
      </c>
      <c r="CO188" s="675">
        <v>1</v>
      </c>
      <c r="CP188" s="675">
        <v>0</v>
      </c>
      <c r="CQ188" s="675">
        <v>0</v>
      </c>
      <c r="CR188" s="675">
        <v>46.798000000000002</v>
      </c>
      <c r="CS188" s="675">
        <v>0</v>
      </c>
      <c r="CT188" s="675">
        <v>0</v>
      </c>
      <c r="CU188" s="675">
        <v>0</v>
      </c>
      <c r="CV188" s="675">
        <v>0</v>
      </c>
      <c r="CW188" s="675">
        <v>0</v>
      </c>
      <c r="CX188" s="675">
        <v>0</v>
      </c>
      <c r="CY188" s="675">
        <v>0</v>
      </c>
      <c r="CZ188" s="675">
        <v>0</v>
      </c>
      <c r="DA188" s="675">
        <v>0</v>
      </c>
      <c r="DB188" s="675">
        <v>684207</v>
      </c>
      <c r="DC188" s="675">
        <v>0</v>
      </c>
      <c r="DD188" s="675">
        <v>0</v>
      </c>
      <c r="DE188" s="675">
        <v>136751</v>
      </c>
      <c r="DF188" s="675">
        <v>136751</v>
      </c>
      <c r="DG188" s="675">
        <v>22.2</v>
      </c>
      <c r="DH188" s="675">
        <v>0</v>
      </c>
      <c r="DI188" s="675">
        <v>0</v>
      </c>
      <c r="DJ188" s="675">
        <v>0</v>
      </c>
      <c r="DK188" s="675">
        <v>3669</v>
      </c>
      <c r="DL188" s="675">
        <v>0</v>
      </c>
      <c r="DM188" s="675">
        <v>24480</v>
      </c>
      <c r="DN188" s="675">
        <v>93</v>
      </c>
      <c r="DO188" s="675">
        <v>0</v>
      </c>
      <c r="DP188" s="675">
        <v>0</v>
      </c>
      <c r="DQ188" s="675">
        <v>0</v>
      </c>
      <c r="DR188" s="675">
        <v>0</v>
      </c>
      <c r="DS188" s="675">
        <v>0</v>
      </c>
      <c r="DT188" s="675">
        <v>0</v>
      </c>
      <c r="DU188" s="675">
        <v>0</v>
      </c>
      <c r="DV188" s="675">
        <v>0</v>
      </c>
      <c r="DW188" s="675">
        <v>0</v>
      </c>
      <c r="DX188" s="675">
        <v>0</v>
      </c>
      <c r="DY188" s="675">
        <v>0</v>
      </c>
      <c r="DZ188" s="675">
        <v>0</v>
      </c>
      <c r="EA188" s="675">
        <v>0</v>
      </c>
      <c r="EB188" s="675">
        <v>0</v>
      </c>
      <c r="EC188" s="675">
        <v>0.40800000000000003</v>
      </c>
      <c r="ED188" s="675">
        <v>2890</v>
      </c>
      <c r="EE188" s="675">
        <v>0</v>
      </c>
      <c r="EF188" s="675">
        <v>0</v>
      </c>
      <c r="EG188" s="675">
        <v>0</v>
      </c>
      <c r="EH188" s="675">
        <v>21683</v>
      </c>
      <c r="EI188" s="675">
        <v>0</v>
      </c>
      <c r="EJ188" s="675">
        <v>0</v>
      </c>
      <c r="EK188" s="675">
        <v>0.57500000000000007</v>
      </c>
      <c r="EL188" s="675">
        <v>0</v>
      </c>
      <c r="EM188" s="675">
        <v>0</v>
      </c>
      <c r="EN188" s="675">
        <v>0.35900000000000004</v>
      </c>
      <c r="EO188" s="675">
        <v>0</v>
      </c>
      <c r="EP188" s="675">
        <v>0</v>
      </c>
      <c r="EQ188" s="675">
        <v>0.93400000000000005</v>
      </c>
      <c r="ER188" s="675">
        <v>0</v>
      </c>
      <c r="ES188" s="675">
        <v>3.52</v>
      </c>
      <c r="ET188" s="675">
        <v>0</v>
      </c>
      <c r="EU188" s="675">
        <v>0</v>
      </c>
      <c r="EV188" s="675">
        <v>0</v>
      </c>
      <c r="EW188" s="675">
        <v>0</v>
      </c>
      <c r="EX188" s="675">
        <v>0</v>
      </c>
      <c r="EY188" s="675">
        <v>0</v>
      </c>
      <c r="EZ188" s="675">
        <v>1009731</v>
      </c>
      <c r="FA188" s="675">
        <v>0</v>
      </c>
      <c r="FB188" s="675">
        <v>1026194</v>
      </c>
      <c r="FC188" s="675">
        <v>0</v>
      </c>
      <c r="FD188" s="675">
        <v>0</v>
      </c>
      <c r="FE188" s="675">
        <v>104395</v>
      </c>
      <c r="FF188" s="675">
        <v>21592</v>
      </c>
      <c r="FG188" s="675">
        <v>6.3574999999999993E-2</v>
      </c>
      <c r="FH188" s="675">
        <v>2.6298999999999999E-2</v>
      </c>
      <c r="FI188" s="675">
        <v>0</v>
      </c>
      <c r="FJ188" s="675">
        <v>0</v>
      </c>
      <c r="FK188" s="675">
        <v>166.60599999999999</v>
      </c>
      <c r="FL188" s="675">
        <v>1152181</v>
      </c>
      <c r="FM188" s="675">
        <v>0</v>
      </c>
      <c r="FN188" s="675">
        <v>0</v>
      </c>
      <c r="FO188" s="675">
        <v>0</v>
      </c>
      <c r="FP188" s="675">
        <v>0</v>
      </c>
      <c r="FQ188" s="675">
        <v>0</v>
      </c>
      <c r="FR188" s="675">
        <v>0</v>
      </c>
      <c r="FS188" s="675">
        <v>0</v>
      </c>
      <c r="FT188" s="675">
        <v>0</v>
      </c>
      <c r="FU188" s="675">
        <v>0</v>
      </c>
      <c r="FV188" s="675">
        <v>0</v>
      </c>
      <c r="FW188" s="675">
        <v>0</v>
      </c>
      <c r="FX188" s="675">
        <v>0</v>
      </c>
      <c r="FY188" s="675">
        <v>0</v>
      </c>
      <c r="FZ188" s="675">
        <v>0</v>
      </c>
      <c r="GA188" s="675">
        <v>0</v>
      </c>
      <c r="GB188" s="675">
        <v>0</v>
      </c>
      <c r="GC188" s="675">
        <v>0</v>
      </c>
      <c r="GD188" s="675">
        <v>0</v>
      </c>
      <c r="GE188" s="675">
        <v>0</v>
      </c>
      <c r="GF188" s="675">
        <v>0</v>
      </c>
      <c r="GG188" s="675">
        <v>0</v>
      </c>
      <c r="GH188" s="675">
        <v>0</v>
      </c>
      <c r="GI188" s="675">
        <v>0</v>
      </c>
      <c r="GJ188" s="675">
        <v>0</v>
      </c>
      <c r="GK188" s="675">
        <v>0</v>
      </c>
      <c r="GL188" s="675">
        <v>0</v>
      </c>
      <c r="GM188" s="675">
        <v>0</v>
      </c>
      <c r="GN188" s="675">
        <v>0</v>
      </c>
      <c r="GO188" s="675">
        <v>0</v>
      </c>
      <c r="GP188" s="675">
        <v>0</v>
      </c>
      <c r="GQ188" s="675">
        <v>0</v>
      </c>
      <c r="GR188" s="675">
        <v>0</v>
      </c>
      <c r="GS188" s="675">
        <v>0</v>
      </c>
      <c r="GT188" s="675">
        <v>0</v>
      </c>
      <c r="GU188" s="675">
        <v>0</v>
      </c>
      <c r="GV188" s="675">
        <v>0</v>
      </c>
      <c r="GW188" s="675">
        <v>0</v>
      </c>
      <c r="GX188" s="675">
        <v>0</v>
      </c>
      <c r="GY188" s="675">
        <v>0</v>
      </c>
      <c r="GZ188" s="675">
        <v>0</v>
      </c>
      <c r="HA188" s="675">
        <v>0</v>
      </c>
      <c r="HB188" s="675">
        <v>0</v>
      </c>
      <c r="HC188" s="675">
        <v>4.5690999999999996E-2</v>
      </c>
      <c r="HD188" s="675">
        <v>0</v>
      </c>
      <c r="HE188" s="675">
        <v>0</v>
      </c>
      <c r="HF188" s="675">
        <v>122180</v>
      </c>
      <c r="HG188" s="675">
        <v>0</v>
      </c>
      <c r="HH188" s="675">
        <v>53169</v>
      </c>
      <c r="HI188" s="675">
        <v>0</v>
      </c>
      <c r="HJ188" s="675">
        <v>1089</v>
      </c>
      <c r="HK188" s="675">
        <v>0</v>
      </c>
      <c r="HL188" s="675">
        <v>0</v>
      </c>
      <c r="HM188" s="675">
        <v>0</v>
      </c>
      <c r="HN188" s="675">
        <v>0</v>
      </c>
      <c r="HO188" s="675">
        <v>0</v>
      </c>
      <c r="HP188" s="675">
        <v>0</v>
      </c>
      <c r="HQ188" s="675">
        <v>0</v>
      </c>
      <c r="HR188" s="675">
        <v>0</v>
      </c>
      <c r="HS188" s="675">
        <v>1009638</v>
      </c>
      <c r="HT188" s="675">
        <v>21592</v>
      </c>
      <c r="HU188" s="675">
        <v>0</v>
      </c>
      <c r="HV188" s="675">
        <v>0</v>
      </c>
      <c r="HW188" s="675">
        <v>0</v>
      </c>
      <c r="HX188" s="675">
        <v>12</v>
      </c>
      <c r="HY188" s="675">
        <v>19</v>
      </c>
      <c r="HZ188" s="675">
        <v>29</v>
      </c>
      <c r="IA188" s="675">
        <v>19</v>
      </c>
      <c r="IB188" s="675">
        <v>10</v>
      </c>
      <c r="IC188" s="675">
        <v>89</v>
      </c>
      <c r="ID188" s="675">
        <v>0</v>
      </c>
      <c r="IE188" s="675">
        <v>0</v>
      </c>
      <c r="IF188" s="675">
        <v>0</v>
      </c>
      <c r="IG188" s="675">
        <v>0</v>
      </c>
      <c r="IH188" s="675">
        <v>86.313000000000002</v>
      </c>
      <c r="II188" s="675">
        <v>0</v>
      </c>
      <c r="IJ188" s="675">
        <v>7.01</v>
      </c>
      <c r="IK188" s="675">
        <v>0</v>
      </c>
      <c r="IL188" s="675">
        <v>0</v>
      </c>
      <c r="IM188" s="675">
        <v>0</v>
      </c>
      <c r="IN188" s="675">
        <v>0</v>
      </c>
      <c r="IO188" s="675">
        <v>0</v>
      </c>
      <c r="IP188" s="675">
        <v>0</v>
      </c>
      <c r="IQ188" s="675">
        <v>7.01</v>
      </c>
      <c r="IR188" s="675">
        <v>4318</v>
      </c>
      <c r="IS188" s="675">
        <v>0</v>
      </c>
      <c r="IT188" s="675">
        <v>0</v>
      </c>
      <c r="IU188" s="675">
        <v>0</v>
      </c>
      <c r="IV188" s="675">
        <v>0</v>
      </c>
      <c r="IW188" s="675">
        <v>6160</v>
      </c>
      <c r="IX188" s="675">
        <v>0</v>
      </c>
      <c r="IY188" s="675">
        <v>0</v>
      </c>
      <c r="IZ188" s="675">
        <v>0</v>
      </c>
      <c r="JA188" s="675">
        <v>0</v>
      </c>
      <c r="JB188" s="675">
        <v>0</v>
      </c>
      <c r="JC188" s="675">
        <v>0</v>
      </c>
      <c r="JD188" s="675">
        <v>0</v>
      </c>
      <c r="JE188" s="675">
        <v>0</v>
      </c>
      <c r="JF188" s="675">
        <v>0</v>
      </c>
      <c r="JG188" s="675">
        <v>0</v>
      </c>
      <c r="JH188" s="675">
        <v>0</v>
      </c>
      <c r="JI188" s="675">
        <v>0</v>
      </c>
      <c r="JJ188" s="675">
        <v>0</v>
      </c>
      <c r="JK188" s="675">
        <v>0</v>
      </c>
      <c r="JL188" s="675">
        <v>0</v>
      </c>
      <c r="JM188" s="675">
        <v>0</v>
      </c>
      <c r="JN188" s="675">
        <v>0</v>
      </c>
      <c r="JO188" s="675">
        <v>0</v>
      </c>
      <c r="JP188" s="675">
        <v>0</v>
      </c>
      <c r="JQ188" s="675">
        <v>0</v>
      </c>
      <c r="JR188" s="675">
        <v>0</v>
      </c>
      <c r="JS188" s="675">
        <v>0</v>
      </c>
      <c r="JT188" s="675">
        <v>0</v>
      </c>
      <c r="JU188" s="675">
        <v>0</v>
      </c>
      <c r="JV188" s="675">
        <v>0</v>
      </c>
      <c r="JW188" s="675">
        <v>0</v>
      </c>
      <c r="JX188" s="675">
        <v>0</v>
      </c>
      <c r="JY188" s="675">
        <v>0</v>
      </c>
      <c r="JZ188" s="675">
        <v>0</v>
      </c>
      <c r="KA188" s="675">
        <v>0</v>
      </c>
      <c r="KB188" s="675">
        <v>0</v>
      </c>
      <c r="KC188" s="675">
        <v>0</v>
      </c>
      <c r="KD188" s="675">
        <v>0</v>
      </c>
      <c r="KE188" s="675">
        <v>7260</v>
      </c>
      <c r="KF188" s="675">
        <v>0</v>
      </c>
      <c r="KG188" s="675">
        <v>0</v>
      </c>
      <c r="KH188" s="675">
        <v>0</v>
      </c>
      <c r="KI188" s="675">
        <v>0</v>
      </c>
    </row>
    <row r="189" spans="1:295" x14ac:dyDescent="0.3">
      <c r="HD189" s="675">
        <f>SUM(HD4:HD188)</f>
        <v>59999997</v>
      </c>
    </row>
  </sheetData>
  <sheetProtection algorithmName="SHA-512" hashValue="/xoCC6a1N4Dh+XCmHK5oa9SQV5yWMqLp0FuPI3bAprVnORQyHnswiTcFK3SJ+VqKyhdWg3CaWBaSxA0mfWJjgw==" saltValue="o9+LIGLml6lciBi+e6Nryw==" spinCount="100000" sheet="1" objects="1" scenarios="1"/>
  <sortState xmlns:xlrd2="http://schemas.microsoft.com/office/spreadsheetml/2017/richdata2" ref="A4:KI188">
    <sortCondition descending="1" ref="JV4:JV188"/>
  </sortState>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996D-1C75-469E-82A3-A0B0370B941A}">
  <sheetPr>
    <tabColor rgb="FFFFC000"/>
  </sheetPr>
  <dimension ref="A1:KI189"/>
  <sheetViews>
    <sheetView workbookViewId="0">
      <pane ySplit="2" topLeftCell="A3" activePane="bottomLeft" state="frozen"/>
      <selection pane="bottomLeft" activeCell="I43" sqref="I43"/>
    </sheetView>
  </sheetViews>
  <sheetFormatPr defaultColWidth="9.1796875" defaultRowHeight="13" x14ac:dyDescent="0.3"/>
  <cols>
    <col min="1" max="1" width="12.453125" style="675" bestFit="1" customWidth="1"/>
    <col min="2" max="2" width="11.7265625" style="675" bestFit="1" customWidth="1"/>
    <col min="3" max="3" width="16" style="675" customWidth="1"/>
    <col min="4" max="4" width="14" style="675" customWidth="1"/>
    <col min="5" max="5" width="5" style="676" customWidth="1"/>
    <col min="6" max="6" width="22.1796875" style="675" customWidth="1"/>
    <col min="7" max="7" width="23.1796875" style="675" customWidth="1"/>
    <col min="8" max="8" width="15.26953125" style="675" customWidth="1"/>
    <col min="9" max="9" width="23.7265625" style="675" customWidth="1"/>
    <col min="10" max="10" width="18.54296875" style="675" customWidth="1"/>
    <col min="11" max="11" width="22.81640625" style="675" customWidth="1"/>
    <col min="12" max="12" width="11.1796875" style="675" customWidth="1"/>
    <col min="13" max="13" width="29.26953125" style="675" customWidth="1"/>
    <col min="14" max="14" width="17.26953125" style="675" customWidth="1"/>
    <col min="15" max="15" width="23.453125" style="675" customWidth="1"/>
    <col min="16" max="16" width="10" style="676" customWidth="1"/>
    <col min="17" max="17" width="23.7265625" style="675" customWidth="1"/>
    <col min="18" max="18" width="11.453125" style="675" customWidth="1"/>
    <col min="19" max="19" width="10.54296875" style="676" customWidth="1"/>
    <col min="20" max="20" width="10.54296875" style="675" customWidth="1"/>
    <col min="21" max="21" width="20.81640625" style="675" customWidth="1"/>
    <col min="22" max="22" width="10" style="675" customWidth="1"/>
    <col min="23" max="23" width="10.453125" style="675" customWidth="1"/>
    <col min="24" max="24" width="18.54296875" style="675" customWidth="1"/>
    <col min="25" max="25" width="17.453125" style="675" customWidth="1"/>
    <col min="26" max="26" width="24.81640625" style="675" customWidth="1"/>
    <col min="27" max="27" width="4" style="675" customWidth="1"/>
    <col min="28" max="28" width="8.453125" style="675" customWidth="1"/>
    <col min="29" max="29" width="18.7265625" style="675" customWidth="1"/>
    <col min="30" max="30" width="11.453125" style="675" customWidth="1"/>
    <col min="31" max="31" width="21" style="675" customWidth="1"/>
    <col min="32" max="33" width="9" style="675" customWidth="1"/>
    <col min="34" max="34" width="24.54296875" style="675" customWidth="1"/>
    <col min="35" max="36" width="12.54296875" style="675" customWidth="1"/>
    <col min="37" max="37" width="19.81640625" style="675" customWidth="1"/>
    <col min="38" max="38" width="60.453125" style="675" customWidth="1"/>
    <col min="39" max="39" width="8.1796875" style="675" customWidth="1"/>
    <col min="40" max="40" width="20.453125" style="675" customWidth="1"/>
    <col min="41" max="41" width="26.1796875" style="675" customWidth="1"/>
    <col min="42" max="42" width="19.54296875" style="675" customWidth="1"/>
    <col min="43" max="43" width="19.453125" style="675" customWidth="1"/>
    <col min="44" max="44" width="8.81640625" style="675" customWidth="1"/>
    <col min="45" max="45" width="5.81640625" style="675" customWidth="1"/>
    <col min="46" max="46" width="14.7265625" style="675" customWidth="1"/>
    <col min="47" max="47" width="10.81640625" style="675" customWidth="1"/>
    <col min="48" max="48" width="23.54296875" style="675" customWidth="1"/>
    <col min="49" max="50" width="15.81640625" style="675" customWidth="1"/>
    <col min="51" max="51" width="20.7265625" style="675" customWidth="1"/>
    <col min="52" max="52" width="19.54296875" style="675" customWidth="1"/>
    <col min="53" max="53" width="14.7265625" style="675" customWidth="1"/>
    <col min="54" max="54" width="10.1796875" style="675" customWidth="1"/>
    <col min="55" max="55" width="18.26953125" style="675" customWidth="1"/>
    <col min="56" max="56" width="11.7265625" style="675" customWidth="1"/>
    <col min="57" max="57" width="17" style="675" customWidth="1"/>
    <col min="58" max="58" width="11" style="675" customWidth="1"/>
    <col min="59" max="59" width="5.81640625" style="675" customWidth="1"/>
    <col min="60" max="60" width="19.26953125" style="675" customWidth="1"/>
    <col min="61" max="61" width="21.1796875" style="675" customWidth="1"/>
    <col min="62" max="62" width="16.7265625" style="675" customWidth="1"/>
    <col min="63" max="63" width="24.54296875" style="675" customWidth="1"/>
    <col min="64" max="64" width="17.453125" style="675" customWidth="1"/>
    <col min="65" max="65" width="17.26953125" style="675" customWidth="1"/>
    <col min="66" max="66" width="24.453125" style="675" customWidth="1"/>
    <col min="67" max="67" width="26" style="675" customWidth="1"/>
    <col min="68" max="68" width="25.81640625" style="675" customWidth="1"/>
    <col min="69" max="69" width="5.1796875" style="675" customWidth="1"/>
    <col min="70" max="70" width="9.1796875" style="675" customWidth="1"/>
    <col min="71" max="71" width="20.453125" style="675" customWidth="1"/>
    <col min="72" max="74" width="14.1796875" style="675" customWidth="1"/>
    <col min="75" max="75" width="20.81640625" style="675" customWidth="1"/>
    <col min="76" max="76" width="18" style="675" customWidth="1"/>
    <col min="77" max="77" width="14.26953125" style="675" customWidth="1"/>
    <col min="78" max="78" width="5.81640625" style="675" customWidth="1"/>
    <col min="79" max="79" width="10" style="675" customWidth="1"/>
    <col min="80" max="80" width="12.453125" style="676" customWidth="1"/>
    <col min="81" max="81" width="19" style="675" customWidth="1"/>
    <col min="82" max="84" width="21.7265625" style="675" customWidth="1"/>
    <col min="85" max="85" width="20.7265625" style="675" customWidth="1"/>
    <col min="86" max="86" width="28.54296875" style="675" customWidth="1"/>
    <col min="87" max="87" width="9.7265625" style="675" customWidth="1"/>
    <col min="88" max="88" width="21" style="675" customWidth="1"/>
    <col min="89" max="89" width="9.81640625" style="675" customWidth="1"/>
    <col min="90" max="90" width="11.7265625" style="675" customWidth="1"/>
    <col min="91" max="91" width="6.7265625" style="675" customWidth="1"/>
    <col min="92" max="92" width="16.81640625" style="675" customWidth="1"/>
    <col min="93" max="93" width="19.453125" style="675" customWidth="1"/>
    <col min="94" max="94" width="9.26953125" style="675" customWidth="1"/>
    <col min="95" max="95" width="14.81640625" style="675" customWidth="1"/>
    <col min="96" max="96" width="23.26953125" style="675" customWidth="1"/>
    <col min="97" max="97" width="16.54296875" style="675" customWidth="1"/>
    <col min="98" max="98" width="13.1796875" style="675" customWidth="1"/>
    <col min="99" max="99" width="21.7265625" style="675" customWidth="1"/>
    <col min="100" max="100" width="22.1796875" style="675" customWidth="1"/>
    <col min="101" max="101" width="19.453125" style="675" customWidth="1"/>
    <col min="102" max="102" width="22.81640625" style="675" customWidth="1"/>
    <col min="103" max="103" width="18.453125" style="675" customWidth="1"/>
    <col min="104" max="104" width="12.26953125" style="675" customWidth="1"/>
    <col min="105" max="105" width="23.54296875" style="675" customWidth="1"/>
    <col min="106" max="106" width="17.26953125" style="675" customWidth="1"/>
    <col min="107" max="107" width="13.54296875" style="675" customWidth="1"/>
    <col min="108" max="108" width="20" style="675" customWidth="1"/>
    <col min="109" max="109" width="11.54296875" style="675" customWidth="1"/>
    <col min="110" max="110" width="19.7265625" style="675" customWidth="1"/>
    <col min="111" max="111" width="13.26953125" style="675" customWidth="1"/>
    <col min="112" max="112" width="21.1796875" style="675" customWidth="1"/>
    <col min="113" max="113" width="16.54296875" style="675" customWidth="1"/>
    <col min="114" max="114" width="18.54296875" style="675" customWidth="1"/>
    <col min="115" max="115" width="5" style="675" customWidth="1"/>
    <col min="116" max="116" width="22.453125" style="675" customWidth="1"/>
    <col min="117" max="117" width="23.7265625" style="675" customWidth="1"/>
    <col min="118" max="118" width="26.453125" style="676" customWidth="1"/>
    <col min="119" max="119" width="20.54296875" style="675" customWidth="1"/>
    <col min="120" max="120" width="31.1796875" style="676" customWidth="1"/>
    <col min="121" max="121" width="28.453125" style="676" customWidth="1"/>
    <col min="122" max="122" width="29.1796875" style="676" customWidth="1"/>
    <col min="123" max="123" width="26.1796875" style="676" customWidth="1"/>
    <col min="124" max="124" width="29.1796875" style="676" customWidth="1"/>
    <col min="125" max="125" width="33.54296875" style="676" customWidth="1"/>
    <col min="126" max="126" width="33.1796875" style="676" customWidth="1"/>
    <col min="127" max="127" width="26.453125" style="676" customWidth="1"/>
    <col min="128" max="128" width="30.453125" style="676" customWidth="1"/>
    <col min="129" max="129" width="22.7265625" style="676" customWidth="1"/>
    <col min="130" max="130" width="29.453125" style="675" customWidth="1"/>
    <col min="131" max="131" width="26.81640625" style="675" customWidth="1"/>
    <col min="132" max="132" width="23.54296875" style="675" customWidth="1"/>
    <col min="133" max="133" width="27.453125" style="675" customWidth="1"/>
    <col min="134" max="134" width="29.26953125" style="675" customWidth="1"/>
    <col min="135" max="135" width="24.7265625" style="675" customWidth="1"/>
    <col min="136" max="136" width="22.453125" style="675" customWidth="1"/>
    <col min="137" max="137" width="24.7265625" style="675" customWidth="1"/>
    <col min="138" max="138" width="20.7265625" style="675" customWidth="1"/>
    <col min="139" max="139" width="24" style="675" customWidth="1"/>
    <col min="140" max="140" width="21.7265625" style="675" customWidth="1"/>
    <col min="141" max="141" width="25" style="675" customWidth="1"/>
    <col min="142" max="142" width="29" style="675" customWidth="1"/>
    <col min="143" max="143" width="28.453125" style="675" customWidth="1"/>
    <col min="144" max="144" width="22.26953125" style="675" customWidth="1"/>
    <col min="145" max="145" width="28" style="675" customWidth="1"/>
    <col min="146" max="146" width="25.7265625" style="675" customWidth="1"/>
    <col min="147" max="147" width="23.1796875" style="675" customWidth="1"/>
    <col min="148" max="148" width="18.26953125" style="675" customWidth="1"/>
    <col min="149" max="149" width="29" style="675" customWidth="1"/>
    <col min="150" max="150" width="13.7265625" style="675" customWidth="1"/>
    <col min="151" max="151" width="12.1796875" style="675" customWidth="1"/>
    <col min="152" max="152" width="20" style="675" customWidth="1"/>
    <col min="153" max="153" width="17.26953125" style="675" customWidth="1"/>
    <col min="154" max="154" width="12.54296875" style="675" customWidth="1"/>
    <col min="155" max="155" width="19.54296875" style="675" customWidth="1"/>
    <col min="156" max="156" width="16.54296875" style="675" customWidth="1"/>
    <col min="157" max="157" width="21.1796875" style="675" customWidth="1"/>
    <col min="158" max="158" width="20.453125" style="675" customWidth="1"/>
    <col min="159" max="159" width="16.26953125" style="675" customWidth="1"/>
    <col min="160" max="162" width="15.26953125" style="675" customWidth="1"/>
    <col min="163" max="164" width="16.54296875" style="676" customWidth="1"/>
    <col min="165" max="166" width="23.453125" style="675" customWidth="1"/>
    <col min="167" max="167" width="13.7265625" style="675" customWidth="1"/>
    <col min="168" max="168" width="15.453125" style="675" customWidth="1"/>
    <col min="169" max="169" width="21.54296875" style="675" customWidth="1"/>
    <col min="170" max="170" width="23.1796875" style="675" customWidth="1"/>
    <col min="171" max="171" width="19.54296875" style="676" customWidth="1"/>
    <col min="172" max="172" width="23.26953125" style="676" customWidth="1"/>
    <col min="173" max="173" width="18.54296875" style="675" customWidth="1"/>
    <col min="174" max="174" width="28.7265625" style="675" customWidth="1"/>
    <col min="175" max="175" width="22.26953125" style="676" customWidth="1"/>
    <col min="176" max="176" width="19.7265625" style="675" customWidth="1"/>
    <col min="177" max="177" width="11.1796875" style="675" customWidth="1"/>
    <col min="178" max="178" width="24.453125" style="675" customWidth="1"/>
    <col min="179" max="179" width="9.453125" style="675" customWidth="1"/>
    <col min="180" max="180" width="22.7265625" style="675" customWidth="1"/>
    <col min="181" max="181" width="13.26953125" style="675" customWidth="1"/>
    <col min="182" max="182" width="19.453125" style="675" customWidth="1"/>
    <col min="183" max="183" width="17" style="675" customWidth="1"/>
    <col min="184" max="184" width="14.453125" style="675" customWidth="1"/>
    <col min="185" max="185" width="22.54296875" style="675" customWidth="1"/>
    <col min="186" max="186" width="12" style="675" customWidth="1"/>
    <col min="187" max="187" width="21.453125" style="675" customWidth="1"/>
    <col min="188" max="188" width="9.7265625" style="675" customWidth="1"/>
    <col min="189" max="189" width="13.26953125" style="675" customWidth="1"/>
    <col min="190" max="190" width="18.54296875" style="675" customWidth="1"/>
    <col min="191" max="191" width="19.1796875" style="675" customWidth="1"/>
    <col min="192" max="192" width="21.81640625" style="675" customWidth="1"/>
    <col min="193" max="193" width="25.81640625" style="675" customWidth="1"/>
    <col min="194" max="194" width="18.453125" style="675" customWidth="1"/>
    <col min="195" max="195" width="16.26953125" style="675" customWidth="1"/>
    <col min="196" max="196" width="18.453125" style="675" customWidth="1"/>
    <col min="197" max="197" width="20.7265625" style="675" customWidth="1"/>
    <col min="198" max="198" width="28.54296875" style="675" customWidth="1"/>
    <col min="199" max="199" width="18.1796875" style="675" customWidth="1"/>
    <col min="200" max="200" width="14" style="675" customWidth="1"/>
    <col min="201" max="202" width="19" style="675" customWidth="1"/>
    <col min="203" max="203" width="18.453125" style="675" customWidth="1"/>
    <col min="204" max="204" width="25.54296875" style="675" customWidth="1"/>
    <col min="205" max="205" width="22.81640625" style="675" customWidth="1"/>
    <col min="206" max="206" width="18.81640625" style="675" customWidth="1"/>
    <col min="207" max="207" width="23.453125" style="675" customWidth="1"/>
    <col min="208" max="208" width="22" style="675" customWidth="1"/>
    <col min="209" max="209" width="23" style="675" customWidth="1"/>
    <col min="210" max="210" width="27.7265625" style="675" customWidth="1"/>
    <col min="211" max="211" width="26.1796875" style="675" customWidth="1"/>
    <col min="212" max="212" width="20.26953125" style="675" customWidth="1"/>
    <col min="213" max="213" width="16.1796875" style="675" customWidth="1"/>
    <col min="214" max="214" width="18.453125" style="675" customWidth="1"/>
    <col min="215" max="215" width="16.7265625" style="675" customWidth="1"/>
    <col min="216" max="216" width="17.7265625" style="675" customWidth="1"/>
    <col min="217" max="217" width="22.1796875" style="675" customWidth="1"/>
    <col min="218" max="218" width="15.1796875" style="675" customWidth="1"/>
    <col min="219" max="219" width="23" style="676" customWidth="1"/>
    <col min="220" max="220" width="19.26953125" style="676" customWidth="1"/>
    <col min="221" max="221" width="25.7265625" style="676" customWidth="1"/>
    <col min="222" max="222" width="24.26953125" style="676" customWidth="1"/>
    <col min="223" max="223" width="16.1796875" style="676" customWidth="1"/>
    <col min="224" max="224" width="16.81640625" style="675" customWidth="1"/>
    <col min="225" max="225" width="20.81640625" style="675" customWidth="1"/>
    <col min="226" max="226" width="18.81640625" style="675" customWidth="1"/>
    <col min="227" max="227" width="21" style="675" customWidth="1"/>
    <col min="228" max="228" width="15.81640625" style="675" customWidth="1"/>
    <col min="229" max="229" width="21.1796875" style="675" customWidth="1"/>
    <col min="230" max="230" width="6.54296875" style="675" customWidth="1"/>
    <col min="231" max="231" width="26.26953125" style="675" customWidth="1"/>
    <col min="232" max="236" width="16.26953125" style="675" customWidth="1"/>
    <col min="237" max="237" width="18.81640625" style="675" customWidth="1"/>
    <col min="238" max="238" width="28.26953125" style="675" customWidth="1"/>
    <col min="239" max="239" width="19.26953125" style="675" customWidth="1"/>
    <col min="240" max="240" width="23.453125" style="675" customWidth="1"/>
    <col min="241" max="241" width="18.453125" style="675" customWidth="1"/>
    <col min="242" max="242" width="15.7265625" style="675" customWidth="1"/>
    <col min="243" max="243" width="15" style="675" customWidth="1"/>
    <col min="244" max="244" width="13.1796875" style="675" customWidth="1"/>
    <col min="245" max="245" width="14.54296875" style="675" customWidth="1"/>
    <col min="246" max="246" width="23.1796875" style="675" customWidth="1"/>
    <col min="247" max="247" width="27.26953125" style="675" customWidth="1"/>
    <col min="248" max="248" width="21.1796875" style="675" customWidth="1"/>
    <col min="249" max="249" width="26.81640625" style="675" customWidth="1"/>
    <col min="250" max="250" width="20" style="675" customWidth="1"/>
    <col min="251" max="251" width="15.453125" style="675" customWidth="1"/>
    <col min="252" max="252" width="17.453125" style="675" customWidth="1"/>
    <col min="253" max="253" width="16.453125" style="675" customWidth="1"/>
    <col min="254" max="254" width="21.54296875" style="675" customWidth="1"/>
    <col min="255" max="255" width="25.7265625" style="675" customWidth="1"/>
    <col min="256" max="256" width="19.54296875" style="675" customWidth="1"/>
    <col min="257" max="257" width="14.453125" style="675" customWidth="1"/>
    <col min="258" max="258" width="21.1796875" style="675" customWidth="1"/>
    <col min="259" max="259" width="25.26953125" style="675" customWidth="1"/>
    <col min="260" max="260" width="22" style="675" customWidth="1"/>
    <col min="261" max="261" width="26.7265625" style="675" customWidth="1"/>
    <col min="262" max="262" width="20.54296875" style="675" customWidth="1"/>
    <col min="263" max="263" width="22.81640625" style="675" customWidth="1"/>
    <col min="264" max="264" width="22" style="675" customWidth="1"/>
    <col min="265" max="265" width="24.1796875" style="675" customWidth="1"/>
    <col min="266" max="266" width="22.26953125" style="675" customWidth="1"/>
    <col min="267" max="267" width="24.453125" style="675" customWidth="1"/>
    <col min="268" max="268" width="15.453125" style="675" customWidth="1"/>
    <col min="269" max="269" width="21.7265625" style="675" customWidth="1"/>
    <col min="270" max="271" width="20.81640625" style="675" customWidth="1"/>
    <col min="272" max="273" width="22.81640625" style="675" customWidth="1"/>
    <col min="274" max="274" width="17.7265625" style="675" customWidth="1"/>
    <col min="275" max="277" width="19.26953125" style="675" customWidth="1"/>
    <col min="278" max="280" width="21.7265625" style="675" customWidth="1"/>
    <col min="281" max="281" width="14.7265625" style="675" customWidth="1"/>
    <col min="282" max="282" width="11.54296875" style="675" customWidth="1"/>
    <col min="283" max="283" width="19.81640625" style="675" customWidth="1"/>
    <col min="284" max="284" width="20.26953125" style="675" customWidth="1"/>
    <col min="285" max="285" width="18.81640625" style="675" customWidth="1"/>
    <col min="286" max="286" width="16.1796875" style="675" customWidth="1"/>
    <col min="287" max="287" width="16.7265625" style="675" customWidth="1"/>
    <col min="288" max="288" width="22.54296875" style="675" customWidth="1"/>
    <col min="289" max="289" width="19.81640625" style="675" customWidth="1"/>
    <col min="290" max="290" width="17.453125" style="675" customWidth="1"/>
    <col min="291" max="291" width="15.81640625" style="675" customWidth="1"/>
    <col min="292" max="292" width="12.1796875" style="675" bestFit="1" customWidth="1"/>
    <col min="293" max="293" width="21.1796875" style="675" bestFit="1" customWidth="1"/>
    <col min="294" max="294" width="28" style="675" bestFit="1" customWidth="1"/>
    <col min="295" max="295" width="22.81640625" style="675" bestFit="1" customWidth="1"/>
    <col min="296" max="16384" width="9.1796875" style="675"/>
  </cols>
  <sheetData>
    <row r="1" spans="1:295" customFormat="1" x14ac:dyDescent="0.3">
      <c r="A1" t="s">
        <v>121</v>
      </c>
      <c r="B1" t="s">
        <v>122</v>
      </c>
      <c r="C1" t="s">
        <v>423</v>
      </c>
      <c r="D1" t="s">
        <v>123</v>
      </c>
      <c r="E1" s="833" t="s">
        <v>124</v>
      </c>
      <c r="F1" t="s">
        <v>125</v>
      </c>
      <c r="G1" t="s">
        <v>126</v>
      </c>
      <c r="H1" t="s">
        <v>127</v>
      </c>
      <c r="I1" t="s">
        <v>128</v>
      </c>
      <c r="J1" t="s">
        <v>129</v>
      </c>
      <c r="K1" t="s">
        <v>130</v>
      </c>
      <c r="L1" s="834" t="s">
        <v>131</v>
      </c>
      <c r="M1" t="s">
        <v>132</v>
      </c>
      <c r="N1" t="s">
        <v>133</v>
      </c>
      <c r="O1" t="s">
        <v>134</v>
      </c>
      <c r="P1" t="s">
        <v>135</v>
      </c>
      <c r="Q1" t="s">
        <v>136</v>
      </c>
      <c r="R1" t="s">
        <v>137</v>
      </c>
      <c r="S1" t="s">
        <v>138</v>
      </c>
      <c r="T1" t="s">
        <v>139</v>
      </c>
      <c r="U1" t="s">
        <v>140</v>
      </c>
      <c r="V1" t="s">
        <v>141</v>
      </c>
      <c r="W1" t="s">
        <v>142</v>
      </c>
      <c r="X1" t="s">
        <v>143</v>
      </c>
      <c r="Y1" t="s">
        <v>144</v>
      </c>
      <c r="Z1" t="s">
        <v>145</v>
      </c>
      <c r="AA1" t="s">
        <v>146</v>
      </c>
      <c r="AB1" t="s">
        <v>147</v>
      </c>
      <c r="AC1" t="s">
        <v>148</v>
      </c>
      <c r="AD1" t="s">
        <v>149</v>
      </c>
      <c r="AE1" t="s">
        <v>150</v>
      </c>
      <c r="AF1" t="s">
        <v>151</v>
      </c>
      <c r="AG1" t="s">
        <v>152</v>
      </c>
      <c r="AH1" t="s">
        <v>153</v>
      </c>
      <c r="AI1" t="s">
        <v>154</v>
      </c>
      <c r="AJ1" t="s">
        <v>155</v>
      </c>
      <c r="AK1" t="s">
        <v>156</v>
      </c>
      <c r="AL1" t="s">
        <v>157</v>
      </c>
      <c r="AM1" t="s">
        <v>158</v>
      </c>
      <c r="AN1" t="s">
        <v>159</v>
      </c>
      <c r="AO1" t="s">
        <v>160</v>
      </c>
      <c r="AP1" t="s">
        <v>161</v>
      </c>
      <c r="AQ1" t="s">
        <v>162</v>
      </c>
      <c r="AR1" t="s">
        <v>163</v>
      </c>
      <c r="AS1" t="s">
        <v>164</v>
      </c>
      <c r="AT1" t="s">
        <v>165</v>
      </c>
      <c r="AU1" t="s">
        <v>166</v>
      </c>
      <c r="AV1" t="s">
        <v>167</v>
      </c>
      <c r="AW1" t="s">
        <v>168</v>
      </c>
      <c r="AX1" t="s">
        <v>169</v>
      </c>
      <c r="AY1" t="s">
        <v>170</v>
      </c>
      <c r="AZ1" t="s">
        <v>171</v>
      </c>
      <c r="BA1" t="s">
        <v>172</v>
      </c>
      <c r="BB1" t="s">
        <v>173</v>
      </c>
      <c r="BC1" t="s">
        <v>174</v>
      </c>
      <c r="BD1" t="s">
        <v>175</v>
      </c>
      <c r="BE1" t="s">
        <v>176</v>
      </c>
      <c r="BF1" t="s">
        <v>177</v>
      </c>
      <c r="BG1" t="s">
        <v>178</v>
      </c>
      <c r="BH1" t="s">
        <v>179</v>
      </c>
      <c r="BI1" t="s">
        <v>180</v>
      </c>
      <c r="BJ1" t="s">
        <v>181</v>
      </c>
      <c r="BK1" t="s">
        <v>182</v>
      </c>
      <c r="BL1" t="s">
        <v>183</v>
      </c>
      <c r="BM1" t="s">
        <v>184</v>
      </c>
      <c r="BN1" t="s">
        <v>185</v>
      </c>
      <c r="BO1" t="s">
        <v>186</v>
      </c>
      <c r="BP1" t="s">
        <v>187</v>
      </c>
      <c r="BQ1" t="s">
        <v>188</v>
      </c>
      <c r="BR1" t="s">
        <v>189</v>
      </c>
      <c r="BS1" t="s">
        <v>190</v>
      </c>
      <c r="BT1" t="s">
        <v>191</v>
      </c>
      <c r="BU1" t="s">
        <v>192</v>
      </c>
      <c r="BV1" t="s">
        <v>193</v>
      </c>
      <c r="BW1" t="s">
        <v>194</v>
      </c>
      <c r="BX1" t="s">
        <v>195</v>
      </c>
      <c r="BY1" t="s">
        <v>196</v>
      </c>
      <c r="BZ1" t="s">
        <v>197</v>
      </c>
      <c r="CA1" t="s">
        <v>198</v>
      </c>
      <c r="CB1" t="s">
        <v>199</v>
      </c>
      <c r="CC1" t="s">
        <v>200</v>
      </c>
      <c r="CD1" t="s">
        <v>201</v>
      </c>
      <c r="CE1" t="s">
        <v>202</v>
      </c>
      <c r="CF1" t="s">
        <v>203</v>
      </c>
      <c r="CG1" t="s">
        <v>204</v>
      </c>
      <c r="CH1" t="s">
        <v>205</v>
      </c>
      <c r="CI1" t="s">
        <v>206</v>
      </c>
      <c r="CJ1" t="s">
        <v>207</v>
      </c>
      <c r="CK1" t="s">
        <v>208</v>
      </c>
      <c r="CL1" t="s">
        <v>209</v>
      </c>
      <c r="CM1" t="s">
        <v>210</v>
      </c>
      <c r="CN1" t="s">
        <v>211</v>
      </c>
      <c r="CO1" t="s">
        <v>212</v>
      </c>
      <c r="CP1" t="s">
        <v>213</v>
      </c>
      <c r="CQ1" t="s">
        <v>214</v>
      </c>
      <c r="CR1" t="s">
        <v>215</v>
      </c>
      <c r="CS1" t="s">
        <v>216</v>
      </c>
      <c r="CT1" t="s">
        <v>217</v>
      </c>
      <c r="CU1" t="s">
        <v>218</v>
      </c>
      <c r="CV1" t="s">
        <v>219</v>
      </c>
      <c r="CW1" t="s">
        <v>220</v>
      </c>
      <c r="CX1" t="s">
        <v>221</v>
      </c>
      <c r="CY1" t="s">
        <v>222</v>
      </c>
      <c r="CZ1" t="s">
        <v>223</v>
      </c>
      <c r="DA1" t="s">
        <v>224</v>
      </c>
      <c r="DB1" t="s">
        <v>225</v>
      </c>
      <c r="DC1" t="s">
        <v>226</v>
      </c>
      <c r="DD1" t="s">
        <v>227</v>
      </c>
      <c r="DE1" t="s">
        <v>228</v>
      </c>
      <c r="DF1" t="s">
        <v>229</v>
      </c>
      <c r="DG1" t="s">
        <v>230</v>
      </c>
      <c r="DH1" t="s">
        <v>231</v>
      </c>
      <c r="DI1" t="s">
        <v>232</v>
      </c>
      <c r="DJ1" t="s">
        <v>233</v>
      </c>
      <c r="DK1" t="s">
        <v>234</v>
      </c>
      <c r="DL1" t="s">
        <v>235</v>
      </c>
      <c r="DM1" t="s">
        <v>236</v>
      </c>
      <c r="DN1" t="s">
        <v>237</v>
      </c>
      <c r="DO1" t="s">
        <v>238</v>
      </c>
      <c r="DP1" t="s">
        <v>239</v>
      </c>
      <c r="DQ1" t="s">
        <v>240</v>
      </c>
      <c r="DR1" t="s">
        <v>241</v>
      </c>
      <c r="DS1" t="s">
        <v>242</v>
      </c>
      <c r="DT1" t="s">
        <v>243</v>
      </c>
      <c r="DU1" t="s">
        <v>244</v>
      </c>
      <c r="DV1" t="s">
        <v>245</v>
      </c>
      <c r="DW1" t="s">
        <v>246</v>
      </c>
      <c r="DX1" t="s">
        <v>247</v>
      </c>
      <c r="DY1" t="s">
        <v>248</v>
      </c>
      <c r="DZ1" t="s">
        <v>249</v>
      </c>
      <c r="EA1" t="s">
        <v>250</v>
      </c>
      <c r="EB1" t="s">
        <v>251</v>
      </c>
      <c r="EC1" t="s">
        <v>252</v>
      </c>
      <c r="ED1" t="s">
        <v>253</v>
      </c>
      <c r="EE1" t="s">
        <v>254</v>
      </c>
      <c r="EF1" t="s">
        <v>255</v>
      </c>
      <c r="EG1" t="s">
        <v>256</v>
      </c>
      <c r="EH1" t="s">
        <v>257</v>
      </c>
      <c r="EI1" t="s">
        <v>258</v>
      </c>
      <c r="EJ1" t="s">
        <v>259</v>
      </c>
      <c r="EK1" t="s">
        <v>260</v>
      </c>
      <c r="EL1" t="s">
        <v>261</v>
      </c>
      <c r="EM1" t="s">
        <v>262</v>
      </c>
      <c r="EN1" t="s">
        <v>263</v>
      </c>
      <c r="EO1" t="s">
        <v>264</v>
      </c>
      <c r="EP1" t="s">
        <v>265</v>
      </c>
      <c r="EQ1" t="s">
        <v>266</v>
      </c>
      <c r="ER1" t="s">
        <v>267</v>
      </c>
      <c r="ES1" t="s">
        <v>268</v>
      </c>
      <c r="ET1" t="s">
        <v>269</v>
      </c>
      <c r="EU1" t="s">
        <v>270</v>
      </c>
      <c r="EV1" t="s">
        <v>271</v>
      </c>
      <c r="EW1" t="s">
        <v>272</v>
      </c>
      <c r="EX1" t="s">
        <v>273</v>
      </c>
      <c r="EY1" t="s">
        <v>274</v>
      </c>
      <c r="EZ1" t="s">
        <v>275</v>
      </c>
      <c r="FA1" t="s">
        <v>276</v>
      </c>
      <c r="FB1" t="s">
        <v>277</v>
      </c>
      <c r="FC1" t="s">
        <v>278</v>
      </c>
      <c r="FD1" t="s">
        <v>279</v>
      </c>
      <c r="FE1" t="s">
        <v>280</v>
      </c>
      <c r="FF1" t="s">
        <v>281</v>
      </c>
      <c r="FG1" s="835" t="s">
        <v>282</v>
      </c>
      <c r="FH1" s="835" t="s">
        <v>283</v>
      </c>
      <c r="FI1" t="s">
        <v>284</v>
      </c>
      <c r="FJ1" t="s">
        <v>285</v>
      </c>
      <c r="FK1" t="s">
        <v>286</v>
      </c>
      <c r="FL1" t="s">
        <v>287</v>
      </c>
      <c r="FM1" t="s">
        <v>288</v>
      </c>
      <c r="FN1" t="s">
        <v>289</v>
      </c>
      <c r="FO1" t="s">
        <v>290</v>
      </c>
      <c r="FP1" t="s">
        <v>291</v>
      </c>
      <c r="FQ1" t="s">
        <v>292</v>
      </c>
      <c r="FR1" t="s">
        <v>293</v>
      </c>
      <c r="FS1" t="s">
        <v>294</v>
      </c>
      <c r="FT1" t="s">
        <v>295</v>
      </c>
      <c r="FU1" t="s">
        <v>296</v>
      </c>
      <c r="FV1" t="s">
        <v>297</v>
      </c>
      <c r="FW1" t="s">
        <v>298</v>
      </c>
      <c r="FX1" t="s">
        <v>299</v>
      </c>
      <c r="FY1" t="s">
        <v>300</v>
      </c>
      <c r="FZ1" t="s">
        <v>301</v>
      </c>
      <c r="GA1" t="s">
        <v>302</v>
      </c>
      <c r="GB1" t="s">
        <v>303</v>
      </c>
      <c r="GC1" t="s">
        <v>304</v>
      </c>
      <c r="GD1" t="s">
        <v>305</v>
      </c>
      <c r="GE1" t="s">
        <v>306</v>
      </c>
      <c r="GF1" t="s">
        <v>307</v>
      </c>
      <c r="GG1" t="s">
        <v>308</v>
      </c>
      <c r="GH1" t="s">
        <v>309</v>
      </c>
      <c r="GI1" t="s">
        <v>310</v>
      </c>
      <c r="GJ1" t="s">
        <v>311</v>
      </c>
      <c r="GK1" t="s">
        <v>312</v>
      </c>
      <c r="GL1" t="s">
        <v>313</v>
      </c>
      <c r="GM1" t="s">
        <v>314</v>
      </c>
      <c r="GN1" t="s">
        <v>315</v>
      </c>
      <c r="GO1" t="s">
        <v>424</v>
      </c>
      <c r="GP1" t="s">
        <v>425</v>
      </c>
      <c r="GQ1" t="s">
        <v>426</v>
      </c>
      <c r="GR1" t="s">
        <v>427</v>
      </c>
      <c r="GS1" t="s">
        <v>428</v>
      </c>
      <c r="GT1" t="s">
        <v>429</v>
      </c>
      <c r="GU1" t="s">
        <v>432</v>
      </c>
      <c r="GV1" t="s">
        <v>433</v>
      </c>
      <c r="GW1" t="s">
        <v>434</v>
      </c>
      <c r="GX1" t="s">
        <v>435</v>
      </c>
      <c r="GY1" t="s">
        <v>436</v>
      </c>
      <c r="GZ1" t="s">
        <v>437</v>
      </c>
      <c r="HA1" t="s">
        <v>438</v>
      </c>
      <c r="HB1" t="s">
        <v>439</v>
      </c>
      <c r="HC1" t="s">
        <v>440</v>
      </c>
      <c r="HD1" s="1" t="s">
        <v>441</v>
      </c>
      <c r="HE1" t="s">
        <v>494</v>
      </c>
      <c r="HF1" t="s">
        <v>495</v>
      </c>
      <c r="HG1" t="s">
        <v>496</v>
      </c>
      <c r="HH1" t="s">
        <v>497</v>
      </c>
      <c r="HI1" t="s">
        <v>498</v>
      </c>
      <c r="HJ1" t="s">
        <v>499</v>
      </c>
      <c r="HK1" t="s">
        <v>500</v>
      </c>
      <c r="HL1" t="s">
        <v>501</v>
      </c>
      <c r="HM1" t="s">
        <v>502</v>
      </c>
      <c r="HN1" t="s">
        <v>503</v>
      </c>
      <c r="HO1" t="s">
        <v>504</v>
      </c>
      <c r="HP1" t="s">
        <v>505</v>
      </c>
      <c r="HQ1" t="s">
        <v>506</v>
      </c>
      <c r="HR1" t="s">
        <v>507</v>
      </c>
      <c r="HS1" t="s">
        <v>508</v>
      </c>
      <c r="HT1" t="s">
        <v>509</v>
      </c>
      <c r="HU1" t="s">
        <v>510</v>
      </c>
      <c r="HV1" t="s">
        <v>511</v>
      </c>
      <c r="HW1" t="s">
        <v>512</v>
      </c>
      <c r="HX1" t="s">
        <v>513</v>
      </c>
      <c r="HY1" t="s">
        <v>514</v>
      </c>
      <c r="HZ1" t="s">
        <v>515</v>
      </c>
      <c r="IA1" t="s">
        <v>516</v>
      </c>
      <c r="IB1" t="s">
        <v>517</v>
      </c>
      <c r="IC1" t="s">
        <v>518</v>
      </c>
      <c r="ID1" t="s">
        <v>519</v>
      </c>
      <c r="IE1" t="s">
        <v>520</v>
      </c>
      <c r="IF1" t="s">
        <v>521</v>
      </c>
      <c r="IG1" t="s">
        <v>522</v>
      </c>
      <c r="IH1" t="s">
        <v>523</v>
      </c>
      <c r="II1" t="s">
        <v>524</v>
      </c>
      <c r="IJ1" t="s">
        <v>525</v>
      </c>
      <c r="IK1" t="s">
        <v>526</v>
      </c>
      <c r="IL1" t="s">
        <v>527</v>
      </c>
      <c r="IM1" t="s">
        <v>528</v>
      </c>
      <c r="IN1" t="s">
        <v>529</v>
      </c>
      <c r="IO1" t="s">
        <v>530</v>
      </c>
      <c r="IP1" t="s">
        <v>531</v>
      </c>
      <c r="IQ1" t="s">
        <v>532</v>
      </c>
      <c r="IR1" t="s">
        <v>533</v>
      </c>
      <c r="IS1" t="s">
        <v>534</v>
      </c>
      <c r="IT1" t="s">
        <v>535</v>
      </c>
      <c r="IU1" t="s">
        <v>536</v>
      </c>
      <c r="IV1" t="s">
        <v>537</v>
      </c>
      <c r="IW1" t="s">
        <v>538</v>
      </c>
      <c r="IX1" t="s">
        <v>539</v>
      </c>
      <c r="IY1" t="s">
        <v>540</v>
      </c>
      <c r="IZ1" t="s">
        <v>541</v>
      </c>
      <c r="JA1" t="s">
        <v>542</v>
      </c>
      <c r="JB1" t="s">
        <v>678</v>
      </c>
      <c r="JC1" t="s">
        <v>679</v>
      </c>
      <c r="JD1" t="s">
        <v>680</v>
      </c>
      <c r="JE1" t="s">
        <v>681</v>
      </c>
      <c r="JF1" t="s">
        <v>682</v>
      </c>
      <c r="JG1" t="s">
        <v>683</v>
      </c>
      <c r="JH1" t="s">
        <v>684</v>
      </c>
      <c r="JI1" t="s">
        <v>685</v>
      </c>
      <c r="JJ1" t="s">
        <v>686</v>
      </c>
      <c r="JK1" t="s">
        <v>687</v>
      </c>
      <c r="JL1" t="s">
        <v>688</v>
      </c>
      <c r="JM1" t="s">
        <v>689</v>
      </c>
      <c r="JN1" t="s">
        <v>775</v>
      </c>
      <c r="JO1" t="s">
        <v>848</v>
      </c>
      <c r="JP1" t="s">
        <v>849</v>
      </c>
      <c r="JQ1" t="s">
        <v>850</v>
      </c>
      <c r="JR1" t="s">
        <v>851</v>
      </c>
      <c r="JS1" t="s">
        <v>852</v>
      </c>
      <c r="JT1" t="s">
        <v>853</v>
      </c>
      <c r="JU1" t="s">
        <v>854</v>
      </c>
      <c r="JV1" t="s">
        <v>855</v>
      </c>
      <c r="JW1" t="s">
        <v>856</v>
      </c>
      <c r="JX1" t="s">
        <v>857</v>
      </c>
      <c r="JY1" t="s">
        <v>858</v>
      </c>
      <c r="JZ1" t="s">
        <v>859</v>
      </c>
      <c r="KA1" t="s">
        <v>860</v>
      </c>
      <c r="KB1" t="s">
        <v>861</v>
      </c>
      <c r="KC1" t="s">
        <v>862</v>
      </c>
      <c r="KD1" t="s">
        <v>941</v>
      </c>
      <c r="KE1" t="s">
        <v>942</v>
      </c>
      <c r="KF1" s="1" t="s">
        <v>943</v>
      </c>
      <c r="KG1" t="s">
        <v>944</v>
      </c>
      <c r="KH1" t="s">
        <v>945</v>
      </c>
      <c r="KI1" t="s">
        <v>946</v>
      </c>
    </row>
    <row r="2" spans="1:295" x14ac:dyDescent="0.3">
      <c r="B2" s="675">
        <v>1</v>
      </c>
      <c r="C2" s="675">
        <v>2</v>
      </c>
      <c r="D2" s="675">
        <v>3</v>
      </c>
      <c r="E2" s="834">
        <v>4</v>
      </c>
      <c r="F2" s="675">
        <v>5</v>
      </c>
      <c r="G2" s="675">
        <v>6</v>
      </c>
      <c r="H2" s="675">
        <v>7</v>
      </c>
      <c r="I2" s="675">
        <v>8</v>
      </c>
      <c r="J2" s="675">
        <v>9</v>
      </c>
      <c r="K2" s="675">
        <v>10</v>
      </c>
      <c r="L2" s="834">
        <v>11</v>
      </c>
      <c r="M2" s="675">
        <v>12</v>
      </c>
      <c r="N2" s="675">
        <v>13</v>
      </c>
      <c r="O2" s="675">
        <v>14</v>
      </c>
      <c r="P2" s="675">
        <v>15</v>
      </c>
      <c r="Q2" s="675">
        <v>16</v>
      </c>
      <c r="R2" s="675">
        <v>17</v>
      </c>
      <c r="S2" s="675">
        <v>18</v>
      </c>
      <c r="T2" s="675">
        <v>19</v>
      </c>
      <c r="U2" s="675">
        <v>20</v>
      </c>
      <c r="V2" s="675">
        <v>21</v>
      </c>
      <c r="W2" s="675">
        <v>22</v>
      </c>
      <c r="X2" s="675">
        <v>23</v>
      </c>
      <c r="Y2" s="675">
        <v>24</v>
      </c>
      <c r="Z2" s="675">
        <v>25</v>
      </c>
      <c r="AA2" s="675">
        <v>26</v>
      </c>
      <c r="AB2" s="675">
        <v>27</v>
      </c>
      <c r="AC2" s="675">
        <v>28</v>
      </c>
      <c r="AD2" s="675">
        <v>29</v>
      </c>
      <c r="AE2" s="675">
        <v>30</v>
      </c>
      <c r="AF2" s="675">
        <v>31</v>
      </c>
      <c r="AG2" s="675">
        <v>32</v>
      </c>
      <c r="AH2" s="675">
        <v>33</v>
      </c>
      <c r="AI2" s="675">
        <v>34</v>
      </c>
      <c r="AJ2" s="675">
        <v>35</v>
      </c>
      <c r="AK2" s="675">
        <v>36</v>
      </c>
      <c r="AL2" s="675">
        <v>37</v>
      </c>
      <c r="AM2" s="675">
        <v>38</v>
      </c>
      <c r="AN2" s="675">
        <v>39</v>
      </c>
      <c r="AO2" s="675">
        <v>40</v>
      </c>
      <c r="AP2" s="675">
        <v>41</v>
      </c>
      <c r="AQ2" s="675">
        <v>42</v>
      </c>
      <c r="AR2" s="675">
        <v>43</v>
      </c>
      <c r="AS2" s="675">
        <v>44</v>
      </c>
      <c r="AT2" s="675">
        <v>45</v>
      </c>
      <c r="AU2" s="675">
        <v>46</v>
      </c>
      <c r="AV2" s="675">
        <v>47</v>
      </c>
      <c r="AW2" s="675">
        <v>48</v>
      </c>
      <c r="AX2" s="675">
        <v>49</v>
      </c>
      <c r="AY2" s="675">
        <v>50</v>
      </c>
      <c r="AZ2" s="675">
        <v>51</v>
      </c>
      <c r="BA2" s="675">
        <v>52</v>
      </c>
      <c r="BB2" s="675">
        <v>53</v>
      </c>
      <c r="BC2" s="675">
        <v>54</v>
      </c>
      <c r="BD2" s="675">
        <v>55</v>
      </c>
      <c r="BE2" s="675">
        <v>56</v>
      </c>
      <c r="BF2" s="675">
        <v>57</v>
      </c>
      <c r="BG2" s="675">
        <v>58</v>
      </c>
      <c r="BH2" s="675">
        <v>59</v>
      </c>
      <c r="BI2" s="675">
        <v>60</v>
      </c>
      <c r="BJ2" s="675">
        <v>61</v>
      </c>
      <c r="BK2" s="675">
        <v>62</v>
      </c>
      <c r="BL2" s="675">
        <v>63</v>
      </c>
      <c r="BM2" s="675">
        <v>64</v>
      </c>
      <c r="BN2" s="675">
        <v>65</v>
      </c>
      <c r="BO2" s="675">
        <v>66</v>
      </c>
      <c r="BP2" s="675">
        <v>67</v>
      </c>
      <c r="BQ2" s="675">
        <v>68</v>
      </c>
      <c r="BR2" s="675">
        <v>69</v>
      </c>
      <c r="BS2" s="675">
        <v>70</v>
      </c>
      <c r="BT2" s="675">
        <v>71</v>
      </c>
      <c r="BU2" s="675">
        <v>72</v>
      </c>
      <c r="BV2" s="675">
        <v>73</v>
      </c>
      <c r="BW2" s="675">
        <v>74</v>
      </c>
      <c r="BX2" s="675">
        <v>75</v>
      </c>
      <c r="BY2" s="675">
        <v>76</v>
      </c>
      <c r="BZ2" s="675">
        <v>77</v>
      </c>
      <c r="CA2" s="675">
        <v>78</v>
      </c>
      <c r="CB2" s="676">
        <v>79</v>
      </c>
      <c r="CC2" s="675">
        <v>80</v>
      </c>
      <c r="CD2" s="675">
        <v>81</v>
      </c>
      <c r="CE2" s="675">
        <v>82</v>
      </c>
      <c r="CF2" s="675">
        <v>83</v>
      </c>
      <c r="CG2" s="675">
        <v>84</v>
      </c>
      <c r="CH2" s="675">
        <v>85</v>
      </c>
      <c r="CI2" s="675">
        <v>86</v>
      </c>
      <c r="CJ2" s="675">
        <v>87</v>
      </c>
      <c r="CK2" s="675">
        <v>88</v>
      </c>
      <c r="CL2" s="675">
        <v>89</v>
      </c>
      <c r="CM2" s="675">
        <v>90</v>
      </c>
      <c r="CN2" s="675">
        <v>91</v>
      </c>
      <c r="CO2" s="675">
        <v>92</v>
      </c>
      <c r="CP2" s="675">
        <v>93</v>
      </c>
      <c r="CQ2" s="675">
        <v>94</v>
      </c>
      <c r="CR2" s="675">
        <v>95</v>
      </c>
      <c r="CS2" s="675">
        <v>96</v>
      </c>
      <c r="CT2" s="675">
        <v>97</v>
      </c>
      <c r="CU2" s="675">
        <v>98</v>
      </c>
      <c r="CV2" s="675">
        <v>99</v>
      </c>
      <c r="CW2" s="675">
        <v>100</v>
      </c>
      <c r="CX2" s="675">
        <v>101</v>
      </c>
      <c r="CY2" s="675">
        <v>102</v>
      </c>
      <c r="CZ2" s="675">
        <v>103</v>
      </c>
      <c r="DA2" s="675">
        <v>104</v>
      </c>
      <c r="DB2" s="675">
        <v>105</v>
      </c>
      <c r="DC2" s="675">
        <v>106</v>
      </c>
      <c r="DD2" s="675">
        <v>107</v>
      </c>
      <c r="DE2" s="675">
        <v>108</v>
      </c>
      <c r="DF2" s="675">
        <v>109</v>
      </c>
      <c r="DG2" s="675">
        <v>110</v>
      </c>
      <c r="DH2" s="675">
        <v>111</v>
      </c>
      <c r="DI2" s="675">
        <v>112</v>
      </c>
      <c r="DJ2" s="675">
        <v>113</v>
      </c>
      <c r="DK2" s="675">
        <v>114</v>
      </c>
      <c r="DL2" s="675">
        <v>115</v>
      </c>
      <c r="DM2" s="675">
        <v>116</v>
      </c>
      <c r="DN2" s="675">
        <v>117</v>
      </c>
      <c r="DO2" s="675">
        <v>118</v>
      </c>
      <c r="DP2" s="675">
        <v>119</v>
      </c>
      <c r="DQ2" s="675">
        <v>120</v>
      </c>
      <c r="DR2" s="675">
        <v>121</v>
      </c>
      <c r="DS2" s="675">
        <v>122</v>
      </c>
      <c r="DT2" s="676">
        <v>123</v>
      </c>
      <c r="DU2" s="676">
        <v>124</v>
      </c>
      <c r="DV2" s="675">
        <v>125</v>
      </c>
      <c r="DW2" s="675">
        <v>126</v>
      </c>
      <c r="DX2" s="675">
        <v>127</v>
      </c>
      <c r="DY2" s="675">
        <v>128</v>
      </c>
      <c r="DZ2" s="675">
        <v>129</v>
      </c>
      <c r="EA2" s="675">
        <v>130</v>
      </c>
      <c r="EB2" s="675">
        <v>131</v>
      </c>
      <c r="EC2" s="675">
        <v>132</v>
      </c>
      <c r="ED2" s="675">
        <v>133</v>
      </c>
      <c r="EE2" s="675">
        <v>134</v>
      </c>
      <c r="EF2" s="675">
        <v>135</v>
      </c>
      <c r="EG2" s="675">
        <v>136</v>
      </c>
      <c r="EH2" s="675">
        <v>137</v>
      </c>
      <c r="EI2" s="675">
        <v>138</v>
      </c>
      <c r="EJ2" s="675">
        <v>139</v>
      </c>
      <c r="EK2" s="675">
        <v>140</v>
      </c>
      <c r="EL2" s="675">
        <v>141</v>
      </c>
      <c r="EM2" s="675">
        <v>142</v>
      </c>
      <c r="EN2" s="675">
        <v>143</v>
      </c>
      <c r="EO2" s="675">
        <v>144</v>
      </c>
      <c r="EP2" s="675">
        <v>145</v>
      </c>
      <c r="EQ2" s="675">
        <v>146</v>
      </c>
      <c r="ER2" s="675">
        <v>147</v>
      </c>
      <c r="ES2" s="675">
        <v>148</v>
      </c>
      <c r="ET2" s="675">
        <v>149</v>
      </c>
      <c r="EU2" s="675">
        <v>150</v>
      </c>
      <c r="EV2" s="675">
        <v>151</v>
      </c>
      <c r="EW2" s="675">
        <v>152</v>
      </c>
      <c r="EX2" s="675">
        <v>153</v>
      </c>
      <c r="EY2" s="675">
        <v>154</v>
      </c>
      <c r="EZ2" s="675">
        <v>155</v>
      </c>
      <c r="FA2" s="675">
        <v>156</v>
      </c>
      <c r="FB2" s="675">
        <v>157</v>
      </c>
      <c r="FC2" s="675">
        <v>158</v>
      </c>
      <c r="FD2" s="675">
        <v>159</v>
      </c>
      <c r="FE2" s="675">
        <v>160</v>
      </c>
      <c r="FF2" s="675">
        <v>161</v>
      </c>
      <c r="FG2" s="834">
        <v>162</v>
      </c>
      <c r="FH2" s="834">
        <v>163</v>
      </c>
      <c r="FI2" s="675">
        <v>164</v>
      </c>
      <c r="FJ2" s="675">
        <v>165</v>
      </c>
      <c r="FK2" s="675">
        <v>166</v>
      </c>
      <c r="FL2" s="675">
        <v>167</v>
      </c>
      <c r="FM2" s="675">
        <v>168</v>
      </c>
      <c r="FN2" s="675">
        <v>169</v>
      </c>
      <c r="FO2" s="675">
        <v>170</v>
      </c>
      <c r="FP2" s="675">
        <v>171</v>
      </c>
      <c r="FQ2" s="675">
        <v>172</v>
      </c>
      <c r="FR2" s="675">
        <v>173</v>
      </c>
      <c r="FS2" s="675">
        <v>174</v>
      </c>
      <c r="FT2" s="675">
        <v>175</v>
      </c>
      <c r="FU2" s="675">
        <v>176</v>
      </c>
      <c r="FV2" s="675">
        <v>177</v>
      </c>
      <c r="FW2" s="675">
        <v>178</v>
      </c>
      <c r="FX2" s="675">
        <v>179</v>
      </c>
      <c r="FY2" s="675">
        <v>180</v>
      </c>
      <c r="FZ2" s="675">
        <v>181</v>
      </c>
      <c r="GA2" s="675">
        <v>182</v>
      </c>
      <c r="GB2" s="675">
        <v>183</v>
      </c>
      <c r="GC2" s="675">
        <v>184</v>
      </c>
      <c r="GD2" s="675">
        <v>185</v>
      </c>
      <c r="GE2" s="675">
        <v>186</v>
      </c>
      <c r="GF2" s="675">
        <v>187</v>
      </c>
      <c r="GG2" s="675">
        <v>188</v>
      </c>
      <c r="GH2" s="675">
        <v>189</v>
      </c>
      <c r="GI2" s="675">
        <v>190</v>
      </c>
      <c r="GJ2" s="675">
        <v>191</v>
      </c>
      <c r="GK2" s="675">
        <v>192</v>
      </c>
      <c r="GL2" s="675">
        <v>193</v>
      </c>
      <c r="GM2" s="675">
        <v>194</v>
      </c>
      <c r="GN2" s="675">
        <v>195</v>
      </c>
      <c r="GO2" s="675">
        <v>196</v>
      </c>
      <c r="GP2" s="675">
        <v>197</v>
      </c>
      <c r="GQ2" s="675">
        <v>198</v>
      </c>
      <c r="GR2" s="675">
        <v>199</v>
      </c>
      <c r="GS2" s="675">
        <v>200</v>
      </c>
      <c r="GT2" s="675">
        <v>201</v>
      </c>
      <c r="GU2" s="675">
        <v>202</v>
      </c>
      <c r="GV2" s="675">
        <v>203</v>
      </c>
      <c r="GW2" s="675">
        <v>204</v>
      </c>
      <c r="GX2" s="675">
        <v>205</v>
      </c>
      <c r="GY2" s="675">
        <v>206</v>
      </c>
      <c r="GZ2" s="675">
        <v>207</v>
      </c>
      <c r="HA2" s="675">
        <v>208</v>
      </c>
      <c r="HB2" s="675">
        <v>209</v>
      </c>
      <c r="HC2" s="833">
        <v>210</v>
      </c>
      <c r="HD2" s="675">
        <v>211</v>
      </c>
      <c r="HE2" s="675">
        <v>212</v>
      </c>
      <c r="HF2" s="675">
        <v>213</v>
      </c>
      <c r="HG2" s="675">
        <v>214</v>
      </c>
      <c r="HH2" s="675">
        <v>215</v>
      </c>
      <c r="HI2" s="675">
        <v>216</v>
      </c>
      <c r="HJ2" s="675">
        <v>217</v>
      </c>
      <c r="HK2" s="675">
        <v>218</v>
      </c>
      <c r="HL2" s="675">
        <v>219</v>
      </c>
      <c r="HM2" s="675">
        <v>220</v>
      </c>
      <c r="HN2" s="675">
        <v>221</v>
      </c>
      <c r="HO2" s="675">
        <v>222</v>
      </c>
      <c r="HP2" s="675">
        <v>223</v>
      </c>
      <c r="HQ2" s="675">
        <v>224</v>
      </c>
      <c r="HR2" s="675">
        <v>225</v>
      </c>
      <c r="HS2" s="675">
        <v>226</v>
      </c>
      <c r="HT2" s="675">
        <v>227</v>
      </c>
      <c r="HU2" s="675">
        <v>228</v>
      </c>
      <c r="HV2" s="675">
        <v>229</v>
      </c>
      <c r="HW2" s="675">
        <v>230</v>
      </c>
      <c r="HX2" s="675">
        <v>231</v>
      </c>
      <c r="HY2" s="675">
        <v>232</v>
      </c>
      <c r="HZ2" s="675">
        <v>233</v>
      </c>
      <c r="IA2" s="675">
        <v>234</v>
      </c>
      <c r="IB2" s="675">
        <v>235</v>
      </c>
      <c r="IC2" s="675">
        <v>236</v>
      </c>
      <c r="ID2" s="675">
        <v>237</v>
      </c>
      <c r="IE2" s="675">
        <v>238</v>
      </c>
      <c r="IG2" s="675">
        <v>240</v>
      </c>
      <c r="IH2" s="675">
        <v>241</v>
      </c>
      <c r="II2" s="675">
        <v>242</v>
      </c>
      <c r="IJ2" s="675">
        <v>243</v>
      </c>
      <c r="IK2" s="675">
        <v>244</v>
      </c>
      <c r="IL2" s="675">
        <v>245</v>
      </c>
      <c r="IM2" s="675">
        <v>246</v>
      </c>
      <c r="IN2" s="675">
        <v>247</v>
      </c>
      <c r="IO2" s="675">
        <v>248</v>
      </c>
      <c r="IP2" s="675">
        <v>249</v>
      </c>
      <c r="IQ2" s="675">
        <v>250</v>
      </c>
      <c r="IR2" s="675">
        <v>251</v>
      </c>
      <c r="IS2" s="675">
        <v>252</v>
      </c>
      <c r="IT2" s="675">
        <v>253</v>
      </c>
      <c r="IU2" s="675">
        <v>254</v>
      </c>
      <c r="IV2" s="675">
        <v>255</v>
      </c>
      <c r="IW2" s="675">
        <v>256</v>
      </c>
      <c r="IX2" s="675">
        <v>257</v>
      </c>
      <c r="IY2" s="675">
        <v>258</v>
      </c>
      <c r="IZ2" s="675">
        <v>259</v>
      </c>
      <c r="JA2" s="675">
        <v>260</v>
      </c>
      <c r="JB2" s="675">
        <v>261</v>
      </c>
      <c r="JC2" s="675">
        <v>262</v>
      </c>
      <c r="JD2" s="675">
        <v>263</v>
      </c>
      <c r="JE2" s="675">
        <v>264</v>
      </c>
      <c r="JF2" s="675">
        <v>265</v>
      </c>
      <c r="JG2" s="675">
        <v>266</v>
      </c>
      <c r="JH2" s="675">
        <v>267</v>
      </c>
      <c r="JI2" s="675">
        <v>268</v>
      </c>
      <c r="JJ2" s="675">
        <v>269</v>
      </c>
      <c r="JK2" s="675">
        <v>270</v>
      </c>
      <c r="JL2" s="675">
        <v>271</v>
      </c>
      <c r="JM2" s="675">
        <v>272</v>
      </c>
      <c r="JN2" s="675">
        <v>273</v>
      </c>
      <c r="JO2" s="675">
        <v>274</v>
      </c>
      <c r="JP2" s="675">
        <v>275</v>
      </c>
      <c r="JQ2" s="675">
        <v>276</v>
      </c>
      <c r="JR2" s="675">
        <v>277</v>
      </c>
      <c r="JS2" s="675">
        <v>278</v>
      </c>
      <c r="JT2" s="675">
        <v>279</v>
      </c>
      <c r="JU2" s="675">
        <v>280</v>
      </c>
      <c r="JV2" s="675">
        <v>281</v>
      </c>
      <c r="JW2" s="675">
        <v>282</v>
      </c>
      <c r="JX2" s="675">
        <v>283</v>
      </c>
      <c r="JY2" s="675">
        <v>284</v>
      </c>
      <c r="JZ2" s="675">
        <v>285</v>
      </c>
      <c r="KA2" s="675">
        <v>286</v>
      </c>
      <c r="KB2" s="675">
        <v>287</v>
      </c>
      <c r="KC2" s="675">
        <v>288</v>
      </c>
      <c r="KD2" s="675">
        <v>289</v>
      </c>
      <c r="KE2" s="675">
        <v>290</v>
      </c>
      <c r="KF2" s="675">
        <v>291</v>
      </c>
      <c r="KG2" s="675">
        <v>292</v>
      </c>
      <c r="KH2" s="675">
        <v>293</v>
      </c>
      <c r="KI2" s="675">
        <v>294</v>
      </c>
    </row>
    <row r="3" spans="1:295" x14ac:dyDescent="0.3">
      <c r="B3" s="675">
        <v>0</v>
      </c>
      <c r="C3" s="675">
        <v>0</v>
      </c>
      <c r="D3" s="675">
        <v>0</v>
      </c>
      <c r="E3" s="834">
        <v>6160</v>
      </c>
      <c r="F3" s="675">
        <v>0</v>
      </c>
      <c r="G3" s="675">
        <v>0</v>
      </c>
      <c r="H3" s="675">
        <v>0</v>
      </c>
      <c r="I3" s="675">
        <v>0</v>
      </c>
      <c r="J3" s="675">
        <v>0</v>
      </c>
      <c r="K3" s="675">
        <v>0</v>
      </c>
      <c r="L3" s="834">
        <v>6160</v>
      </c>
      <c r="M3" s="675">
        <v>0</v>
      </c>
      <c r="N3" s="675">
        <v>0</v>
      </c>
      <c r="O3" s="675">
        <v>0</v>
      </c>
      <c r="P3" s="675">
        <v>0</v>
      </c>
      <c r="Q3" s="675">
        <v>0</v>
      </c>
      <c r="R3" s="675">
        <v>0</v>
      </c>
      <c r="S3" s="675">
        <v>0</v>
      </c>
      <c r="T3" s="675">
        <v>0</v>
      </c>
      <c r="U3" s="675">
        <v>0</v>
      </c>
      <c r="V3" s="675">
        <v>0</v>
      </c>
      <c r="W3" s="675">
        <v>0</v>
      </c>
      <c r="X3" s="675">
        <v>0</v>
      </c>
      <c r="Y3" s="675">
        <v>0</v>
      </c>
      <c r="Z3" s="675">
        <v>0</v>
      </c>
      <c r="AA3" s="675">
        <v>0</v>
      </c>
      <c r="AB3" s="675">
        <v>0</v>
      </c>
      <c r="AC3" s="675">
        <v>0</v>
      </c>
      <c r="AD3" s="675">
        <v>0</v>
      </c>
      <c r="AE3" s="675">
        <v>0</v>
      </c>
      <c r="AF3" s="675">
        <v>0</v>
      </c>
      <c r="AG3" s="675">
        <v>0</v>
      </c>
      <c r="AH3" s="675">
        <v>0</v>
      </c>
      <c r="AI3" s="675">
        <v>0</v>
      </c>
      <c r="AJ3" s="675">
        <v>6160</v>
      </c>
      <c r="AK3" s="675">
        <v>0</v>
      </c>
      <c r="AL3" s="675">
        <v>0</v>
      </c>
      <c r="AM3" s="675">
        <v>0</v>
      </c>
      <c r="AN3" s="675">
        <v>0</v>
      </c>
      <c r="AO3" s="675">
        <v>0</v>
      </c>
      <c r="AP3" s="675">
        <v>0</v>
      </c>
      <c r="AQ3" s="675">
        <v>0</v>
      </c>
      <c r="AR3" s="675">
        <v>0</v>
      </c>
      <c r="AS3" s="675">
        <v>0</v>
      </c>
      <c r="AT3" s="675">
        <v>0</v>
      </c>
      <c r="AU3" s="675">
        <v>0</v>
      </c>
      <c r="AV3" s="675">
        <v>0</v>
      </c>
      <c r="AW3" s="675">
        <v>0</v>
      </c>
      <c r="AX3" s="675">
        <v>0</v>
      </c>
      <c r="AY3" s="675">
        <v>0</v>
      </c>
      <c r="AZ3" s="675">
        <v>0</v>
      </c>
      <c r="BA3" s="675">
        <v>0</v>
      </c>
      <c r="BB3" s="675">
        <v>0</v>
      </c>
      <c r="BC3" s="675">
        <v>0</v>
      </c>
      <c r="BD3" s="675">
        <v>0</v>
      </c>
      <c r="BE3" s="675">
        <v>0</v>
      </c>
      <c r="BF3" s="675">
        <v>0</v>
      </c>
      <c r="BG3" s="675">
        <v>0</v>
      </c>
      <c r="BH3" s="675">
        <v>0</v>
      </c>
      <c r="BI3" s="675">
        <v>0</v>
      </c>
      <c r="BJ3" s="675">
        <v>0</v>
      </c>
      <c r="BK3" s="675">
        <v>0</v>
      </c>
      <c r="BL3" s="675">
        <v>0</v>
      </c>
      <c r="BM3" s="675">
        <v>0</v>
      </c>
      <c r="BN3" s="675">
        <v>0</v>
      </c>
      <c r="BO3" s="675">
        <v>0</v>
      </c>
      <c r="BP3" s="675">
        <v>0</v>
      </c>
      <c r="BQ3" s="675">
        <v>0</v>
      </c>
      <c r="BR3" s="675">
        <v>0</v>
      </c>
      <c r="BS3" s="675">
        <v>0</v>
      </c>
      <c r="BT3" s="675">
        <v>0</v>
      </c>
      <c r="BU3" s="675">
        <v>0</v>
      </c>
      <c r="BV3" s="675">
        <v>0</v>
      </c>
      <c r="BW3" s="675">
        <v>0</v>
      </c>
      <c r="BX3" s="675">
        <v>0</v>
      </c>
      <c r="BY3" s="675">
        <v>0</v>
      </c>
      <c r="BZ3" s="675">
        <v>0</v>
      </c>
      <c r="CA3" s="675">
        <v>0</v>
      </c>
      <c r="CB3" s="676">
        <v>0</v>
      </c>
      <c r="CC3" s="675">
        <v>0</v>
      </c>
      <c r="CD3" s="675">
        <v>0</v>
      </c>
      <c r="CE3" s="675">
        <v>0</v>
      </c>
      <c r="CF3" s="675">
        <v>0</v>
      </c>
      <c r="CG3" s="675">
        <v>0</v>
      </c>
      <c r="CH3" s="675">
        <v>0</v>
      </c>
      <c r="CI3" s="675">
        <v>0</v>
      </c>
      <c r="CJ3" s="675">
        <v>0</v>
      </c>
      <c r="CK3" s="675">
        <v>0</v>
      </c>
      <c r="CL3" s="675">
        <v>0</v>
      </c>
      <c r="CM3" s="675">
        <v>0</v>
      </c>
      <c r="CN3" s="675">
        <v>0</v>
      </c>
      <c r="CO3" s="675">
        <v>0</v>
      </c>
      <c r="CP3" s="675">
        <v>0</v>
      </c>
      <c r="CQ3" s="675">
        <v>0</v>
      </c>
      <c r="CR3" s="675">
        <v>0</v>
      </c>
      <c r="CS3" s="675">
        <v>0</v>
      </c>
      <c r="CT3" s="675">
        <v>0</v>
      </c>
      <c r="CU3" s="675">
        <v>0</v>
      </c>
      <c r="CV3" s="675">
        <v>0</v>
      </c>
      <c r="CW3" s="675">
        <v>0</v>
      </c>
      <c r="CX3" s="675">
        <v>0</v>
      </c>
      <c r="CY3" s="675">
        <v>0</v>
      </c>
      <c r="CZ3" s="675">
        <v>0</v>
      </c>
      <c r="DA3" s="675">
        <v>0</v>
      </c>
      <c r="DB3" s="675">
        <v>0</v>
      </c>
      <c r="DC3" s="675">
        <v>0</v>
      </c>
      <c r="DD3" s="675">
        <v>0</v>
      </c>
      <c r="DE3" s="675">
        <v>0</v>
      </c>
      <c r="DF3" s="675">
        <v>0</v>
      </c>
      <c r="DG3" s="675">
        <v>0</v>
      </c>
      <c r="DH3" s="675">
        <v>0</v>
      </c>
      <c r="DI3" s="675">
        <v>0</v>
      </c>
      <c r="DJ3" s="675">
        <v>0</v>
      </c>
      <c r="DK3" s="675">
        <v>0</v>
      </c>
      <c r="DL3" s="675">
        <v>0</v>
      </c>
      <c r="DM3" s="675">
        <v>0</v>
      </c>
      <c r="DN3" s="675">
        <v>0</v>
      </c>
      <c r="DO3" s="675">
        <v>0</v>
      </c>
      <c r="DP3" s="675">
        <v>0</v>
      </c>
      <c r="DQ3" s="675">
        <v>0</v>
      </c>
      <c r="DR3" s="675">
        <v>0</v>
      </c>
      <c r="DS3" s="675">
        <v>0</v>
      </c>
      <c r="DT3" s="676">
        <v>0</v>
      </c>
      <c r="DU3" s="676">
        <v>0</v>
      </c>
      <c r="DV3" s="676">
        <v>0</v>
      </c>
      <c r="DW3" s="676">
        <v>0</v>
      </c>
      <c r="DX3" s="676">
        <v>0</v>
      </c>
      <c r="DY3" s="676">
        <v>0</v>
      </c>
      <c r="DZ3" s="675">
        <v>0</v>
      </c>
      <c r="EA3" s="675">
        <v>0</v>
      </c>
      <c r="EB3" s="675">
        <v>0</v>
      </c>
      <c r="EC3" s="675">
        <v>0</v>
      </c>
      <c r="ED3" s="675">
        <v>0</v>
      </c>
      <c r="EE3" s="675">
        <v>0</v>
      </c>
      <c r="EF3" s="675">
        <v>0</v>
      </c>
      <c r="EG3" s="675">
        <v>0</v>
      </c>
      <c r="EH3" s="675">
        <v>0</v>
      </c>
      <c r="EI3" s="675">
        <v>0</v>
      </c>
      <c r="EJ3" s="675">
        <v>0</v>
      </c>
      <c r="EK3" s="675">
        <v>0</v>
      </c>
      <c r="EL3" s="675">
        <v>0</v>
      </c>
      <c r="EM3" s="675">
        <v>0</v>
      </c>
      <c r="EN3" s="675">
        <v>0</v>
      </c>
      <c r="EO3" s="675">
        <v>0</v>
      </c>
      <c r="EP3" s="675">
        <v>0</v>
      </c>
      <c r="EQ3" s="675">
        <v>0</v>
      </c>
      <c r="ER3" s="675">
        <v>0</v>
      </c>
      <c r="ES3" s="675">
        <v>0</v>
      </c>
      <c r="ET3" s="675">
        <v>0</v>
      </c>
      <c r="EU3" s="675">
        <v>0</v>
      </c>
      <c r="EV3" s="675">
        <v>0</v>
      </c>
      <c r="EW3" s="675">
        <v>0</v>
      </c>
      <c r="EX3" s="675">
        <v>0</v>
      </c>
      <c r="EY3" s="675">
        <v>0</v>
      </c>
      <c r="EZ3" s="675">
        <v>0</v>
      </c>
      <c r="FA3" s="675">
        <v>0</v>
      </c>
      <c r="FB3" s="675">
        <v>0</v>
      </c>
      <c r="FC3" s="675">
        <v>0</v>
      </c>
      <c r="FD3" s="675">
        <v>0</v>
      </c>
      <c r="FE3" s="675">
        <v>0</v>
      </c>
      <c r="FF3" s="675">
        <v>0</v>
      </c>
      <c r="FG3" s="834">
        <v>6.3574999999999993E-2</v>
      </c>
      <c r="FH3" s="834">
        <v>2.6297999999999998E-2</v>
      </c>
      <c r="FI3" s="675">
        <v>0</v>
      </c>
      <c r="FJ3" s="675">
        <v>0</v>
      </c>
      <c r="FK3" s="675">
        <v>0</v>
      </c>
      <c r="FL3" s="675">
        <v>0</v>
      </c>
      <c r="FM3" s="675">
        <v>0</v>
      </c>
      <c r="FN3" s="675">
        <v>0</v>
      </c>
      <c r="FO3" s="675">
        <v>0</v>
      </c>
      <c r="FP3" s="675">
        <v>0</v>
      </c>
      <c r="FQ3" s="675">
        <v>0</v>
      </c>
      <c r="FR3" s="675">
        <v>0</v>
      </c>
      <c r="FS3" s="675">
        <v>0</v>
      </c>
      <c r="FT3" s="675">
        <v>0</v>
      </c>
      <c r="FU3" s="675">
        <v>0</v>
      </c>
      <c r="FV3" s="675">
        <v>0</v>
      </c>
      <c r="FW3" s="675">
        <v>0</v>
      </c>
      <c r="FX3" s="675">
        <v>0</v>
      </c>
      <c r="FY3" s="675">
        <v>0</v>
      </c>
      <c r="FZ3" s="675">
        <v>0</v>
      </c>
      <c r="GA3" s="675">
        <v>0</v>
      </c>
      <c r="GB3" s="675">
        <v>0</v>
      </c>
      <c r="GC3" s="675">
        <v>0</v>
      </c>
      <c r="GD3" s="675">
        <v>0</v>
      </c>
      <c r="GE3" s="675">
        <v>0</v>
      </c>
      <c r="GF3" s="675">
        <v>0</v>
      </c>
      <c r="GG3" s="675">
        <v>0</v>
      </c>
      <c r="GH3" s="675">
        <v>0</v>
      </c>
      <c r="GI3" s="675">
        <v>0</v>
      </c>
      <c r="GJ3" s="675">
        <v>0</v>
      </c>
      <c r="GK3" s="675">
        <v>0</v>
      </c>
      <c r="GL3" s="675">
        <v>0</v>
      </c>
      <c r="GM3" s="675">
        <v>0</v>
      </c>
      <c r="GN3" s="675">
        <v>0</v>
      </c>
      <c r="GO3" s="675">
        <v>0</v>
      </c>
      <c r="GP3" s="675">
        <v>0</v>
      </c>
      <c r="GQ3" s="675">
        <v>0</v>
      </c>
      <c r="GR3" s="675">
        <v>0</v>
      </c>
      <c r="GS3" s="675">
        <v>0</v>
      </c>
      <c r="GT3" s="675">
        <v>0</v>
      </c>
      <c r="GU3" s="675">
        <v>0</v>
      </c>
      <c r="GV3" s="675">
        <v>0</v>
      </c>
      <c r="GW3" s="675">
        <v>0</v>
      </c>
      <c r="GX3" s="675">
        <v>0</v>
      </c>
      <c r="GY3" s="675">
        <v>0</v>
      </c>
      <c r="GZ3" s="675">
        <v>0</v>
      </c>
      <c r="HA3" s="675">
        <v>0</v>
      </c>
      <c r="HB3" s="675">
        <v>0</v>
      </c>
      <c r="HC3" s="834">
        <v>4.4138999999999998E-2</v>
      </c>
      <c r="HD3" s="675">
        <v>0</v>
      </c>
      <c r="HE3" s="675">
        <v>0</v>
      </c>
      <c r="HF3" s="675">
        <v>0</v>
      </c>
      <c r="HG3" s="675">
        <v>0</v>
      </c>
      <c r="HH3" s="675">
        <v>0</v>
      </c>
      <c r="HI3" s="675">
        <v>0</v>
      </c>
      <c r="HJ3" s="675">
        <v>0</v>
      </c>
      <c r="HK3" s="675">
        <v>0</v>
      </c>
      <c r="HL3" s="675">
        <v>0</v>
      </c>
      <c r="HM3" s="675">
        <v>0</v>
      </c>
      <c r="HN3" s="675">
        <v>0</v>
      </c>
      <c r="HO3" s="675">
        <v>0</v>
      </c>
      <c r="HP3" s="675">
        <v>0</v>
      </c>
      <c r="HQ3" s="675">
        <v>0</v>
      </c>
      <c r="HR3" s="675">
        <v>0</v>
      </c>
      <c r="HS3" s="675">
        <v>0</v>
      </c>
      <c r="HT3" s="675">
        <v>0</v>
      </c>
      <c r="HU3" s="675">
        <v>0</v>
      </c>
      <c r="HV3" s="675">
        <v>0</v>
      </c>
      <c r="HW3" s="675">
        <v>0</v>
      </c>
      <c r="HX3" s="675">
        <v>0</v>
      </c>
      <c r="HY3" s="675">
        <v>0</v>
      </c>
      <c r="HZ3" s="675">
        <v>0</v>
      </c>
      <c r="IA3" s="675">
        <v>0</v>
      </c>
      <c r="IB3" s="675">
        <v>0</v>
      </c>
      <c r="IC3" s="675">
        <v>0</v>
      </c>
      <c r="ID3" s="675">
        <v>0</v>
      </c>
      <c r="IE3" s="675">
        <v>0</v>
      </c>
      <c r="IF3" s="675">
        <v>0</v>
      </c>
      <c r="IG3" s="675">
        <v>0</v>
      </c>
      <c r="IH3" s="675">
        <v>0</v>
      </c>
      <c r="II3" s="675">
        <v>0</v>
      </c>
      <c r="IJ3" s="675">
        <v>0</v>
      </c>
      <c r="IK3" s="675">
        <v>0</v>
      </c>
      <c r="IL3" s="675">
        <v>0</v>
      </c>
      <c r="IM3" s="675">
        <v>0</v>
      </c>
      <c r="IN3" s="675">
        <v>0</v>
      </c>
      <c r="IO3" s="675">
        <v>0</v>
      </c>
      <c r="IP3" s="675">
        <v>0</v>
      </c>
      <c r="IQ3" s="675">
        <v>0</v>
      </c>
      <c r="IR3" s="675">
        <v>0</v>
      </c>
      <c r="IS3" s="675">
        <v>0</v>
      </c>
      <c r="IT3" s="675">
        <v>0</v>
      </c>
      <c r="IU3" s="675">
        <v>0</v>
      </c>
      <c r="IV3" s="675">
        <v>0</v>
      </c>
      <c r="IW3" s="675">
        <v>6159</v>
      </c>
      <c r="IX3" s="675">
        <v>0</v>
      </c>
      <c r="IY3" s="675">
        <v>0</v>
      </c>
      <c r="IZ3" s="675">
        <v>0</v>
      </c>
      <c r="JA3" s="675">
        <v>0</v>
      </c>
      <c r="JB3" s="675">
        <v>0</v>
      </c>
      <c r="JC3" s="675">
        <v>0</v>
      </c>
      <c r="JD3" s="675">
        <v>0</v>
      </c>
      <c r="JE3" s="675">
        <v>0</v>
      </c>
      <c r="JF3" s="675">
        <v>0</v>
      </c>
      <c r="JG3" s="675">
        <v>0</v>
      </c>
      <c r="JH3" s="675">
        <v>0</v>
      </c>
      <c r="JI3" s="675">
        <v>0</v>
      </c>
      <c r="JJ3" s="675">
        <v>0</v>
      </c>
      <c r="JK3" s="675">
        <v>0</v>
      </c>
      <c r="JL3" s="675">
        <v>0</v>
      </c>
      <c r="JM3" s="675">
        <v>0</v>
      </c>
      <c r="JN3" s="675">
        <v>0</v>
      </c>
      <c r="JO3" s="675">
        <v>0</v>
      </c>
      <c r="JP3" s="675">
        <v>0</v>
      </c>
      <c r="JQ3" s="675">
        <v>0</v>
      </c>
      <c r="JR3" s="675">
        <v>0</v>
      </c>
      <c r="JS3" s="675">
        <v>0</v>
      </c>
      <c r="JT3" s="675">
        <v>0</v>
      </c>
      <c r="JU3" s="675">
        <v>0</v>
      </c>
      <c r="JV3" s="675">
        <v>0</v>
      </c>
      <c r="JW3" s="675">
        <v>0</v>
      </c>
      <c r="JX3" s="675">
        <v>0</v>
      </c>
      <c r="JY3" s="675">
        <v>0</v>
      </c>
      <c r="JZ3" s="675">
        <v>0</v>
      </c>
      <c r="KA3" s="675">
        <v>0</v>
      </c>
      <c r="KB3" s="675">
        <v>0</v>
      </c>
      <c r="KC3" s="675">
        <v>0</v>
      </c>
      <c r="KD3" s="675">
        <v>0</v>
      </c>
      <c r="KE3" s="675">
        <v>0</v>
      </c>
      <c r="KF3" s="675">
        <v>0</v>
      </c>
      <c r="KG3" s="675">
        <v>0</v>
      </c>
      <c r="KH3" s="675">
        <v>0</v>
      </c>
      <c r="KI3" s="675">
        <v>0</v>
      </c>
    </row>
    <row r="4" spans="1:295" ht="12.5" x14ac:dyDescent="0.25">
      <c r="A4" s="675">
        <v>35795</v>
      </c>
      <c r="B4" s="675">
        <v>3801</v>
      </c>
      <c r="C4" s="675">
        <v>7</v>
      </c>
      <c r="D4" s="675">
        <v>2022</v>
      </c>
      <c r="E4" s="675">
        <v>6160</v>
      </c>
      <c r="F4" s="675">
        <v>0</v>
      </c>
      <c r="G4" s="675">
        <v>932.83900000000006</v>
      </c>
      <c r="H4" s="675">
        <v>893.29600000000005</v>
      </c>
      <c r="I4" s="675">
        <v>893.29600000000005</v>
      </c>
      <c r="J4" s="675">
        <v>932.83900000000006</v>
      </c>
      <c r="K4" s="675">
        <v>0</v>
      </c>
      <c r="L4" s="675">
        <v>6160</v>
      </c>
      <c r="M4" s="675">
        <v>0</v>
      </c>
      <c r="N4" s="675">
        <v>0</v>
      </c>
      <c r="O4" s="675">
        <v>0</v>
      </c>
      <c r="P4" s="675">
        <v>934.72500000000002</v>
      </c>
      <c r="Q4" s="675">
        <v>0</v>
      </c>
      <c r="R4" s="675">
        <v>376160</v>
      </c>
      <c r="S4" s="675">
        <v>402.428</v>
      </c>
      <c r="T4" s="675">
        <v>0</v>
      </c>
      <c r="U4" s="675">
        <v>200033</v>
      </c>
      <c r="V4" s="675">
        <v>35.167999999999999</v>
      </c>
      <c r="W4" s="675">
        <v>21663</v>
      </c>
      <c r="X4" s="675">
        <v>21663</v>
      </c>
      <c r="Y4" s="675">
        <v>0</v>
      </c>
      <c r="Z4" s="675">
        <v>0</v>
      </c>
      <c r="AA4" s="675">
        <v>0</v>
      </c>
      <c r="AB4" s="675">
        <v>0</v>
      </c>
      <c r="AC4" s="675">
        <v>0</v>
      </c>
      <c r="AD4" s="675" t="s">
        <v>316</v>
      </c>
      <c r="AE4" s="675">
        <v>0</v>
      </c>
      <c r="AF4" s="675">
        <v>0</v>
      </c>
      <c r="AG4" s="675">
        <v>0</v>
      </c>
      <c r="AH4" s="675">
        <v>0</v>
      </c>
      <c r="AI4" s="675">
        <v>0</v>
      </c>
      <c r="AJ4" s="675">
        <v>6160</v>
      </c>
      <c r="AK4" s="675" t="s">
        <v>671</v>
      </c>
      <c r="AL4" s="675" t="s">
        <v>54</v>
      </c>
      <c r="AM4" s="675">
        <v>0</v>
      </c>
      <c r="AN4" s="675">
        <v>0</v>
      </c>
      <c r="AO4" s="675">
        <v>0</v>
      </c>
      <c r="AP4" s="675">
        <v>0</v>
      </c>
      <c r="AQ4" s="675">
        <v>0</v>
      </c>
      <c r="AR4" s="675">
        <v>0</v>
      </c>
      <c r="AS4" s="675">
        <v>0</v>
      </c>
      <c r="AT4" s="675">
        <v>0</v>
      </c>
      <c r="AU4" s="675">
        <v>0</v>
      </c>
      <c r="AV4" s="675">
        <v>-1097</v>
      </c>
      <c r="AW4" s="675">
        <v>9327843</v>
      </c>
      <c r="AX4" s="675">
        <v>9166059</v>
      </c>
      <c r="AY4" s="675">
        <v>5714592</v>
      </c>
      <c r="AZ4" s="675">
        <v>376160</v>
      </c>
      <c r="BA4" s="675">
        <v>0</v>
      </c>
      <c r="BB4" s="675">
        <v>17248</v>
      </c>
      <c r="BC4" s="675">
        <v>17136</v>
      </c>
      <c r="BD4" s="675">
        <v>40</v>
      </c>
      <c r="BE4" s="675">
        <v>112</v>
      </c>
      <c r="BF4" s="675">
        <v>8489278</v>
      </c>
      <c r="BG4" s="675">
        <v>0</v>
      </c>
      <c r="BH4" s="675">
        <v>0</v>
      </c>
      <c r="BI4" s="675">
        <v>0</v>
      </c>
      <c r="BJ4" s="675">
        <v>12</v>
      </c>
      <c r="BK4" s="675">
        <v>0</v>
      </c>
      <c r="BL4" s="675">
        <v>0</v>
      </c>
      <c r="BM4" s="675">
        <v>0</v>
      </c>
      <c r="BN4" s="675">
        <v>0</v>
      </c>
      <c r="BO4" s="675">
        <v>0</v>
      </c>
      <c r="BP4" s="675">
        <v>0</v>
      </c>
      <c r="BQ4" s="675">
        <v>632</v>
      </c>
      <c r="BR4" s="675">
        <v>0</v>
      </c>
      <c r="BS4" s="675">
        <v>0</v>
      </c>
      <c r="BT4" s="675">
        <v>0</v>
      </c>
      <c r="BU4" s="675">
        <v>0</v>
      </c>
      <c r="BV4" s="675">
        <v>0</v>
      </c>
      <c r="BW4" s="675">
        <v>0</v>
      </c>
      <c r="BX4" s="675">
        <v>0</v>
      </c>
      <c r="BY4" s="675">
        <v>0</v>
      </c>
      <c r="BZ4" s="675">
        <v>0</v>
      </c>
      <c r="CA4" s="675">
        <v>0</v>
      </c>
      <c r="CB4" s="675">
        <v>0</v>
      </c>
      <c r="CC4" s="675">
        <v>0</v>
      </c>
      <c r="CD4" s="675">
        <v>0</v>
      </c>
      <c r="CE4" s="675">
        <v>0</v>
      </c>
      <c r="CF4" s="675">
        <v>0</v>
      </c>
      <c r="CG4" s="675">
        <v>0</v>
      </c>
      <c r="CH4" s="675">
        <v>164698</v>
      </c>
      <c r="CI4" s="675">
        <v>0</v>
      </c>
      <c r="CJ4" s="675">
        <v>4</v>
      </c>
      <c r="CK4" s="675">
        <v>0</v>
      </c>
      <c r="CL4" s="675">
        <v>0</v>
      </c>
      <c r="CM4" s="675">
        <v>0</v>
      </c>
      <c r="CN4" s="675">
        <v>0</v>
      </c>
      <c r="CO4" s="675">
        <v>1</v>
      </c>
      <c r="CP4" s="675">
        <v>0</v>
      </c>
      <c r="CQ4" s="675">
        <v>0</v>
      </c>
      <c r="CR4" s="675">
        <v>925.48300000000006</v>
      </c>
      <c r="CS4" s="675">
        <v>0</v>
      </c>
      <c r="CT4" s="675">
        <v>0</v>
      </c>
      <c r="CU4" s="675">
        <v>0</v>
      </c>
      <c r="CV4" s="675">
        <v>0</v>
      </c>
      <c r="CW4" s="675">
        <v>0</v>
      </c>
      <c r="CX4" s="675">
        <v>0</v>
      </c>
      <c r="CY4" s="675">
        <v>0</v>
      </c>
      <c r="CZ4" s="675">
        <v>0</v>
      </c>
      <c r="DA4" s="675">
        <v>0</v>
      </c>
      <c r="DB4" s="675">
        <v>5502678</v>
      </c>
      <c r="DC4" s="675">
        <v>0</v>
      </c>
      <c r="DD4" s="675">
        <v>0</v>
      </c>
      <c r="DE4" s="675">
        <v>874254</v>
      </c>
      <c r="DF4" s="675">
        <v>874254</v>
      </c>
      <c r="DG4" s="675">
        <v>141.92500000000001</v>
      </c>
      <c r="DH4" s="675">
        <v>0</v>
      </c>
      <c r="DI4" s="675">
        <v>0</v>
      </c>
      <c r="DJ4" s="675">
        <v>0</v>
      </c>
      <c r="DK4" s="675">
        <v>1741</v>
      </c>
      <c r="DL4" s="675">
        <v>0</v>
      </c>
      <c r="DM4" s="675">
        <v>744951</v>
      </c>
      <c r="DN4" s="675">
        <v>2802</v>
      </c>
      <c r="DO4" s="675">
        <v>0</v>
      </c>
      <c r="DP4" s="675">
        <v>0</v>
      </c>
      <c r="DQ4" s="675">
        <v>0</v>
      </c>
      <c r="DR4" s="675">
        <v>0</v>
      </c>
      <c r="DS4" s="675">
        <v>0</v>
      </c>
      <c r="DT4" s="675">
        <v>0</v>
      </c>
      <c r="DU4" s="675">
        <v>0</v>
      </c>
      <c r="DV4" s="675">
        <v>0</v>
      </c>
      <c r="DW4" s="675">
        <v>0</v>
      </c>
      <c r="DX4" s="675">
        <v>0</v>
      </c>
      <c r="DY4" s="675">
        <v>0</v>
      </c>
      <c r="DZ4" s="675">
        <v>0</v>
      </c>
      <c r="EA4" s="675">
        <v>0</v>
      </c>
      <c r="EB4" s="675">
        <v>0</v>
      </c>
      <c r="EC4" s="675">
        <v>42.4</v>
      </c>
      <c r="ED4" s="675">
        <v>300360</v>
      </c>
      <c r="EE4" s="675">
        <v>0</v>
      </c>
      <c r="EF4" s="675">
        <v>0</v>
      </c>
      <c r="EG4" s="675">
        <v>0</v>
      </c>
      <c r="EH4" s="675">
        <v>447393</v>
      </c>
      <c r="EI4" s="675">
        <v>0</v>
      </c>
      <c r="EJ4" s="675">
        <v>0</v>
      </c>
      <c r="EK4" s="675">
        <v>21.993000000000002</v>
      </c>
      <c r="EL4" s="675">
        <v>0</v>
      </c>
      <c r="EM4" s="675">
        <v>0</v>
      </c>
      <c r="EN4" s="675">
        <v>1.33</v>
      </c>
      <c r="EO4" s="675">
        <v>0</v>
      </c>
      <c r="EP4" s="675">
        <v>0</v>
      </c>
      <c r="EQ4" s="675">
        <v>23.323</v>
      </c>
      <c r="ER4" s="675">
        <v>0</v>
      </c>
      <c r="ES4" s="675">
        <v>72.629000000000005</v>
      </c>
      <c r="ET4" s="675">
        <v>0</v>
      </c>
      <c r="EU4" s="675">
        <v>0</v>
      </c>
      <c r="EV4" s="675">
        <v>0</v>
      </c>
      <c r="EW4" s="675">
        <v>0</v>
      </c>
      <c r="EX4" s="675">
        <v>0</v>
      </c>
      <c r="EY4" s="675">
        <v>0</v>
      </c>
      <c r="EZ4" s="675">
        <v>8123924</v>
      </c>
      <c r="FA4" s="675">
        <v>0</v>
      </c>
      <c r="FB4" s="675">
        <v>8497170</v>
      </c>
      <c r="FC4" s="675">
        <v>0</v>
      </c>
      <c r="FD4" s="675">
        <v>0</v>
      </c>
      <c r="FE4" s="675">
        <v>863533</v>
      </c>
      <c r="FF4" s="675">
        <v>178602</v>
      </c>
      <c r="FG4" s="675">
        <v>6.3574999999999993E-2</v>
      </c>
      <c r="FH4" s="675">
        <v>2.6297999999999998E-2</v>
      </c>
      <c r="FI4" s="675">
        <v>0</v>
      </c>
      <c r="FJ4" s="675">
        <v>0</v>
      </c>
      <c r="FK4" s="675">
        <v>1378.136</v>
      </c>
      <c r="FL4" s="675">
        <v>9704003</v>
      </c>
      <c r="FM4" s="675">
        <v>0</v>
      </c>
      <c r="FN4" s="675">
        <v>0</v>
      </c>
      <c r="FO4" s="675">
        <v>5460</v>
      </c>
      <c r="FP4" s="675">
        <v>0</v>
      </c>
      <c r="FQ4" s="675">
        <v>6957</v>
      </c>
      <c r="FR4" s="675">
        <v>5460</v>
      </c>
      <c r="FS4" s="675">
        <v>1497</v>
      </c>
      <c r="FT4" s="675">
        <v>0</v>
      </c>
      <c r="FU4" s="675">
        <v>0</v>
      </c>
      <c r="FV4" s="675">
        <v>0</v>
      </c>
      <c r="FW4" s="675">
        <v>0</v>
      </c>
      <c r="FX4" s="675">
        <v>0</v>
      </c>
      <c r="FY4" s="675">
        <v>0</v>
      </c>
      <c r="FZ4" s="675">
        <v>0</v>
      </c>
      <c r="GA4" s="675">
        <v>0</v>
      </c>
      <c r="GB4" s="675">
        <v>133893</v>
      </c>
      <c r="GC4" s="675">
        <v>133893</v>
      </c>
      <c r="GD4" s="675">
        <v>16.22</v>
      </c>
      <c r="GE4" s="675">
        <v>0</v>
      </c>
      <c r="GF4" s="675">
        <v>0</v>
      </c>
      <c r="GG4" s="675">
        <v>0</v>
      </c>
      <c r="GH4" s="675">
        <v>0</v>
      </c>
      <c r="GI4" s="675">
        <v>0</v>
      </c>
      <c r="GJ4" s="675">
        <v>0</v>
      </c>
      <c r="GK4" s="675">
        <v>0</v>
      </c>
      <c r="GL4" s="675">
        <v>0</v>
      </c>
      <c r="GM4" s="675">
        <v>0</v>
      </c>
      <c r="GN4" s="675">
        <v>0</v>
      </c>
      <c r="GO4" s="675">
        <v>0</v>
      </c>
      <c r="GP4" s="675">
        <v>0</v>
      </c>
      <c r="GQ4" s="675">
        <v>0</v>
      </c>
      <c r="GR4" s="675">
        <v>0</v>
      </c>
      <c r="GS4" s="675">
        <v>0</v>
      </c>
      <c r="GT4" s="675">
        <v>0</v>
      </c>
      <c r="GU4" s="675">
        <v>0</v>
      </c>
      <c r="GV4" s="675">
        <v>0</v>
      </c>
      <c r="GW4" s="675">
        <v>0</v>
      </c>
      <c r="GX4" s="675">
        <v>0</v>
      </c>
      <c r="GY4" s="675">
        <v>0</v>
      </c>
      <c r="GZ4" s="675">
        <v>0</v>
      </c>
      <c r="HA4" s="675">
        <v>0</v>
      </c>
      <c r="HB4" s="675">
        <v>308877260</v>
      </c>
      <c r="HC4" s="675">
        <v>4.4138999999999998E-2</v>
      </c>
      <c r="HD4" s="675">
        <v>164698</v>
      </c>
      <c r="HE4" s="675">
        <v>0</v>
      </c>
      <c r="HF4" s="675">
        <v>985305</v>
      </c>
      <c r="HG4" s="675">
        <v>28952</v>
      </c>
      <c r="HH4" s="675">
        <v>110265</v>
      </c>
      <c r="HI4" s="675">
        <v>0</v>
      </c>
      <c r="HJ4" s="675">
        <v>9067</v>
      </c>
      <c r="HK4" s="675">
        <v>3303</v>
      </c>
      <c r="HL4" s="675">
        <v>546</v>
      </c>
      <c r="HM4" s="675">
        <v>33000</v>
      </c>
      <c r="HN4" s="675">
        <v>0</v>
      </c>
      <c r="HO4" s="675">
        <v>25200</v>
      </c>
      <c r="HP4" s="675">
        <v>0</v>
      </c>
      <c r="HQ4" s="675">
        <v>0</v>
      </c>
      <c r="HR4" s="675">
        <v>0</v>
      </c>
      <c r="HS4" s="675">
        <v>8121010</v>
      </c>
      <c r="HT4" s="675">
        <v>178602</v>
      </c>
      <c r="HU4" s="675">
        <v>0</v>
      </c>
      <c r="HV4" s="675">
        <v>0</v>
      </c>
      <c r="HW4" s="675">
        <v>0</v>
      </c>
      <c r="HX4" s="675">
        <v>123</v>
      </c>
      <c r="HY4" s="675">
        <v>173</v>
      </c>
      <c r="HZ4" s="675">
        <v>92</v>
      </c>
      <c r="IA4" s="675">
        <v>101</v>
      </c>
      <c r="IB4" s="675">
        <v>86</v>
      </c>
      <c r="IC4" s="675">
        <v>575</v>
      </c>
      <c r="ID4" s="675">
        <v>0</v>
      </c>
      <c r="IE4" s="675">
        <v>0</v>
      </c>
      <c r="IF4" s="675">
        <v>0</v>
      </c>
      <c r="IG4" s="675">
        <v>47</v>
      </c>
      <c r="IH4" s="675">
        <v>179.00300000000001</v>
      </c>
      <c r="II4" s="675">
        <v>0</v>
      </c>
      <c r="IJ4" s="675">
        <v>35.167999999999999</v>
      </c>
      <c r="IK4" s="675">
        <v>0</v>
      </c>
      <c r="IL4" s="675">
        <v>3</v>
      </c>
      <c r="IM4" s="675">
        <v>6</v>
      </c>
      <c r="IN4" s="675">
        <v>0</v>
      </c>
      <c r="IO4" s="675">
        <v>9</v>
      </c>
      <c r="IP4" s="675">
        <v>0</v>
      </c>
      <c r="IQ4" s="675">
        <v>35.167999999999999</v>
      </c>
      <c r="IR4" s="675">
        <v>21663</v>
      </c>
      <c r="IS4" s="675">
        <v>0</v>
      </c>
      <c r="IT4" s="675">
        <v>15000</v>
      </c>
      <c r="IU4" s="675">
        <v>18000</v>
      </c>
      <c r="IV4" s="675">
        <v>0</v>
      </c>
      <c r="IW4" s="675">
        <v>6160</v>
      </c>
      <c r="IX4" s="675">
        <v>0</v>
      </c>
      <c r="IY4" s="675">
        <v>0</v>
      </c>
      <c r="IZ4" s="675">
        <v>0</v>
      </c>
      <c r="JA4" s="675">
        <v>0</v>
      </c>
      <c r="JB4" s="675">
        <v>0</v>
      </c>
      <c r="JC4" s="675">
        <v>0</v>
      </c>
      <c r="JD4" s="675">
        <v>0</v>
      </c>
      <c r="JE4" s="675">
        <v>0</v>
      </c>
      <c r="JF4" s="675">
        <v>0</v>
      </c>
      <c r="JG4" s="675">
        <v>0</v>
      </c>
      <c r="JH4" s="675">
        <v>0</v>
      </c>
      <c r="JI4" s="675">
        <v>0</v>
      </c>
      <c r="JJ4" s="675">
        <v>0</v>
      </c>
      <c r="JK4" s="675">
        <v>0</v>
      </c>
      <c r="JL4" s="675">
        <v>0</v>
      </c>
      <c r="JM4" s="675">
        <v>0</v>
      </c>
      <c r="JN4" s="675">
        <v>32469</v>
      </c>
      <c r="JO4" s="675">
        <v>13.450000000000001</v>
      </c>
      <c r="JP4" s="675">
        <v>2.274</v>
      </c>
      <c r="JQ4" s="675">
        <v>0.496</v>
      </c>
      <c r="JR4" s="675">
        <v>107456</v>
      </c>
      <c r="JS4" s="675">
        <v>21141</v>
      </c>
      <c r="JT4" s="675">
        <v>5296</v>
      </c>
      <c r="JU4" s="675">
        <v>17248</v>
      </c>
      <c r="JV4" s="675">
        <v>0</v>
      </c>
      <c r="JW4" s="675">
        <v>0</v>
      </c>
      <c r="JX4" s="675">
        <v>0</v>
      </c>
      <c r="JY4" s="675">
        <v>0</v>
      </c>
      <c r="JZ4" s="675">
        <v>0</v>
      </c>
      <c r="KA4" s="675">
        <v>0</v>
      </c>
      <c r="KB4" s="675">
        <v>0</v>
      </c>
      <c r="KC4" s="675">
        <v>0</v>
      </c>
      <c r="KD4" s="675">
        <v>17248</v>
      </c>
      <c r="KE4" s="675">
        <v>7263</v>
      </c>
      <c r="KF4" s="675">
        <v>0</v>
      </c>
      <c r="KG4" s="675">
        <v>0</v>
      </c>
      <c r="KH4" s="675">
        <v>0</v>
      </c>
      <c r="KI4" s="675">
        <v>0</v>
      </c>
    </row>
    <row r="5" spans="1:295" ht="12.5" x14ac:dyDescent="0.25">
      <c r="A5" s="675">
        <v>35795</v>
      </c>
      <c r="B5" s="675">
        <v>13801</v>
      </c>
      <c r="C5" s="675">
        <v>7</v>
      </c>
      <c r="D5" s="675">
        <v>2022</v>
      </c>
      <c r="E5" s="675">
        <v>6160</v>
      </c>
      <c r="F5" s="675">
        <v>0</v>
      </c>
      <c r="G5" s="675">
        <v>375.82300000000004</v>
      </c>
      <c r="H5" s="675">
        <v>366.63100000000003</v>
      </c>
      <c r="I5" s="675">
        <v>366.63100000000003</v>
      </c>
      <c r="J5" s="675">
        <v>375.82300000000004</v>
      </c>
      <c r="K5" s="675">
        <v>0</v>
      </c>
      <c r="L5" s="675">
        <v>6160</v>
      </c>
      <c r="M5" s="675">
        <v>0</v>
      </c>
      <c r="N5" s="675">
        <v>0</v>
      </c>
      <c r="O5" s="675">
        <v>0</v>
      </c>
      <c r="P5" s="675">
        <v>368.73200000000003</v>
      </c>
      <c r="Q5" s="675">
        <v>0</v>
      </c>
      <c r="R5" s="675">
        <v>148388</v>
      </c>
      <c r="S5" s="675">
        <v>402.428</v>
      </c>
      <c r="T5" s="675">
        <v>0</v>
      </c>
      <c r="U5" s="675">
        <v>78910</v>
      </c>
      <c r="V5" s="675">
        <v>4.7229999999999999</v>
      </c>
      <c r="W5" s="675">
        <v>2909</v>
      </c>
      <c r="X5" s="675">
        <v>2909</v>
      </c>
      <c r="Y5" s="675">
        <v>0</v>
      </c>
      <c r="Z5" s="675">
        <v>0</v>
      </c>
      <c r="AA5" s="675">
        <v>0</v>
      </c>
      <c r="AB5" s="675">
        <v>0</v>
      </c>
      <c r="AC5" s="675">
        <v>0</v>
      </c>
      <c r="AD5" s="675" t="s">
        <v>316</v>
      </c>
      <c r="AE5" s="675">
        <v>0</v>
      </c>
      <c r="AF5" s="675">
        <v>0</v>
      </c>
      <c r="AG5" s="675">
        <v>0</v>
      </c>
      <c r="AH5" s="675">
        <v>0</v>
      </c>
      <c r="AI5" s="675">
        <v>0</v>
      </c>
      <c r="AJ5" s="675">
        <v>6160</v>
      </c>
      <c r="AK5" s="675" t="s">
        <v>671</v>
      </c>
      <c r="AL5" s="675" t="s">
        <v>55</v>
      </c>
      <c r="AM5" s="675">
        <v>0</v>
      </c>
      <c r="AN5" s="675">
        <v>0</v>
      </c>
      <c r="AO5" s="675">
        <v>0</v>
      </c>
      <c r="AP5" s="675">
        <v>0</v>
      </c>
      <c r="AQ5" s="675">
        <v>0</v>
      </c>
      <c r="AR5" s="675">
        <v>0</v>
      </c>
      <c r="AS5" s="675">
        <v>0</v>
      </c>
      <c r="AT5" s="675">
        <v>0</v>
      </c>
      <c r="AU5" s="675">
        <v>0</v>
      </c>
      <c r="AV5" s="675">
        <v>-26763</v>
      </c>
      <c r="AW5" s="675">
        <v>3879040</v>
      </c>
      <c r="AX5" s="675">
        <v>3813548</v>
      </c>
      <c r="AY5" s="675">
        <v>2578643</v>
      </c>
      <c r="AZ5" s="675">
        <v>148388</v>
      </c>
      <c r="BA5" s="675">
        <v>0</v>
      </c>
      <c r="BB5" s="675">
        <v>8103</v>
      </c>
      <c r="BC5" s="675">
        <v>8051</v>
      </c>
      <c r="BD5" s="675">
        <v>18.791</v>
      </c>
      <c r="BE5" s="675">
        <v>52</v>
      </c>
      <c r="BF5" s="675">
        <v>3528750</v>
      </c>
      <c r="BG5" s="675">
        <v>0</v>
      </c>
      <c r="BH5" s="675">
        <v>0</v>
      </c>
      <c r="BI5" s="675">
        <v>0</v>
      </c>
      <c r="BJ5" s="675">
        <v>12</v>
      </c>
      <c r="BK5" s="675">
        <v>0</v>
      </c>
      <c r="BL5" s="675">
        <v>0</v>
      </c>
      <c r="BM5" s="675">
        <v>0</v>
      </c>
      <c r="BN5" s="675">
        <v>0</v>
      </c>
      <c r="BO5" s="675">
        <v>0</v>
      </c>
      <c r="BP5" s="675">
        <v>0</v>
      </c>
      <c r="BQ5" s="675">
        <v>714</v>
      </c>
      <c r="BR5" s="675">
        <v>0</v>
      </c>
      <c r="BS5" s="675">
        <v>0</v>
      </c>
      <c r="BT5" s="675">
        <v>0</v>
      </c>
      <c r="BU5" s="675">
        <v>0</v>
      </c>
      <c r="BV5" s="675">
        <v>0</v>
      </c>
      <c r="BW5" s="675">
        <v>0</v>
      </c>
      <c r="BX5" s="675">
        <v>0</v>
      </c>
      <c r="BY5" s="675">
        <v>0</v>
      </c>
      <c r="BZ5" s="675">
        <v>0</v>
      </c>
      <c r="CA5" s="675">
        <v>0</v>
      </c>
      <c r="CB5" s="675">
        <v>0</v>
      </c>
      <c r="CC5" s="675">
        <v>0</v>
      </c>
      <c r="CD5" s="675">
        <v>0</v>
      </c>
      <c r="CE5" s="675">
        <v>0</v>
      </c>
      <c r="CF5" s="675">
        <v>0</v>
      </c>
      <c r="CG5" s="675">
        <v>0</v>
      </c>
      <c r="CH5" s="675">
        <v>66354</v>
      </c>
      <c r="CI5" s="675">
        <v>0</v>
      </c>
      <c r="CJ5" s="675">
        <v>4</v>
      </c>
      <c r="CK5" s="675">
        <v>0</v>
      </c>
      <c r="CL5" s="675">
        <v>0</v>
      </c>
      <c r="CM5" s="675">
        <v>0</v>
      </c>
      <c r="CN5" s="675">
        <v>0</v>
      </c>
      <c r="CO5" s="675">
        <v>1</v>
      </c>
      <c r="CP5" s="675">
        <v>0</v>
      </c>
      <c r="CQ5" s="675">
        <v>0</v>
      </c>
      <c r="CR5" s="675">
        <v>365.19600000000003</v>
      </c>
      <c r="CS5" s="675">
        <v>0</v>
      </c>
      <c r="CT5" s="675">
        <v>0</v>
      </c>
      <c r="CU5" s="675">
        <v>0</v>
      </c>
      <c r="CV5" s="675">
        <v>0</v>
      </c>
      <c r="CW5" s="675">
        <v>0</v>
      </c>
      <c r="CX5" s="675">
        <v>0</v>
      </c>
      <c r="CY5" s="675">
        <v>0</v>
      </c>
      <c r="CZ5" s="675">
        <v>0</v>
      </c>
      <c r="DA5" s="675">
        <v>0</v>
      </c>
      <c r="DB5" s="675">
        <v>2258436</v>
      </c>
      <c r="DC5" s="675">
        <v>0</v>
      </c>
      <c r="DD5" s="675">
        <v>0</v>
      </c>
      <c r="DE5" s="675">
        <v>511201</v>
      </c>
      <c r="DF5" s="675">
        <v>511201</v>
      </c>
      <c r="DG5" s="675">
        <v>82.988</v>
      </c>
      <c r="DH5" s="675">
        <v>0</v>
      </c>
      <c r="DI5" s="675">
        <v>0</v>
      </c>
      <c r="DJ5" s="675">
        <v>0</v>
      </c>
      <c r="DK5" s="675">
        <v>3039</v>
      </c>
      <c r="DL5" s="675">
        <v>0</v>
      </c>
      <c r="DM5" s="675">
        <v>215143</v>
      </c>
      <c r="DN5" s="675">
        <v>809</v>
      </c>
      <c r="DO5" s="675">
        <v>0</v>
      </c>
      <c r="DP5" s="675">
        <v>0</v>
      </c>
      <c r="DQ5" s="675">
        <v>0</v>
      </c>
      <c r="DR5" s="675">
        <v>0</v>
      </c>
      <c r="DS5" s="675">
        <v>0</v>
      </c>
      <c r="DT5" s="675">
        <v>0</v>
      </c>
      <c r="DU5" s="675">
        <v>0</v>
      </c>
      <c r="DV5" s="675">
        <v>0</v>
      </c>
      <c r="DW5" s="675">
        <v>0</v>
      </c>
      <c r="DX5" s="675">
        <v>0</v>
      </c>
      <c r="DY5" s="675">
        <v>0</v>
      </c>
      <c r="DZ5" s="675">
        <v>0</v>
      </c>
      <c r="EA5" s="675">
        <v>0</v>
      </c>
      <c r="EB5" s="675">
        <v>0</v>
      </c>
      <c r="EC5" s="675">
        <v>3.7090000000000001</v>
      </c>
      <c r="ED5" s="675">
        <v>26274</v>
      </c>
      <c r="EE5" s="675">
        <v>0</v>
      </c>
      <c r="EF5" s="675">
        <v>0</v>
      </c>
      <c r="EG5" s="675">
        <v>0</v>
      </c>
      <c r="EH5" s="675">
        <v>189678</v>
      </c>
      <c r="EI5" s="675">
        <v>0</v>
      </c>
      <c r="EJ5" s="675">
        <v>0</v>
      </c>
      <c r="EK5" s="675">
        <v>7.5840000000000005</v>
      </c>
      <c r="EL5" s="675">
        <v>0</v>
      </c>
      <c r="EM5" s="675">
        <v>0</v>
      </c>
      <c r="EN5" s="675">
        <v>1.6080000000000001</v>
      </c>
      <c r="EO5" s="675">
        <v>0</v>
      </c>
      <c r="EP5" s="675">
        <v>0</v>
      </c>
      <c r="EQ5" s="675">
        <v>9.1920000000000002</v>
      </c>
      <c r="ER5" s="675">
        <v>0</v>
      </c>
      <c r="ES5" s="675">
        <v>30.792000000000002</v>
      </c>
      <c r="ET5" s="675">
        <v>0</v>
      </c>
      <c r="EU5" s="675">
        <v>0</v>
      </c>
      <c r="EV5" s="675">
        <v>0</v>
      </c>
      <c r="EW5" s="675">
        <v>0</v>
      </c>
      <c r="EX5" s="675">
        <v>0</v>
      </c>
      <c r="EY5" s="675">
        <v>0</v>
      </c>
      <c r="EZ5" s="675">
        <v>3380362</v>
      </c>
      <c r="FA5" s="675">
        <v>0</v>
      </c>
      <c r="FB5" s="675">
        <v>3527888</v>
      </c>
      <c r="FC5" s="675">
        <v>0</v>
      </c>
      <c r="FD5" s="675">
        <v>0</v>
      </c>
      <c r="FE5" s="675">
        <v>358946</v>
      </c>
      <c r="FF5" s="675">
        <v>74240</v>
      </c>
      <c r="FG5" s="675">
        <v>6.3574999999999993E-2</v>
      </c>
      <c r="FH5" s="675">
        <v>2.6297999999999998E-2</v>
      </c>
      <c r="FI5" s="675">
        <v>0</v>
      </c>
      <c r="FJ5" s="675">
        <v>0</v>
      </c>
      <c r="FK5" s="675">
        <v>572.85199999999998</v>
      </c>
      <c r="FL5" s="675">
        <v>4027428</v>
      </c>
      <c r="FM5" s="675">
        <v>0</v>
      </c>
      <c r="FN5" s="675">
        <v>0</v>
      </c>
      <c r="FO5" s="675">
        <v>0</v>
      </c>
      <c r="FP5" s="675">
        <v>0</v>
      </c>
      <c r="FQ5" s="675">
        <v>0</v>
      </c>
      <c r="FR5" s="675">
        <v>0</v>
      </c>
      <c r="FS5" s="675">
        <v>0</v>
      </c>
      <c r="FT5" s="675">
        <v>0</v>
      </c>
      <c r="FU5" s="675">
        <v>0</v>
      </c>
      <c r="FV5" s="675">
        <v>0</v>
      </c>
      <c r="FW5" s="675">
        <v>0</v>
      </c>
      <c r="FX5" s="675">
        <v>0</v>
      </c>
      <c r="FY5" s="675">
        <v>0</v>
      </c>
      <c r="FZ5" s="675">
        <v>0</v>
      </c>
      <c r="GA5" s="675">
        <v>0</v>
      </c>
      <c r="GB5" s="675">
        <v>0</v>
      </c>
      <c r="GC5" s="675">
        <v>0</v>
      </c>
      <c r="GD5" s="675">
        <v>0</v>
      </c>
      <c r="GE5" s="675">
        <v>0</v>
      </c>
      <c r="GF5" s="675">
        <v>0</v>
      </c>
      <c r="GG5" s="675">
        <v>0</v>
      </c>
      <c r="GH5" s="675">
        <v>0</v>
      </c>
      <c r="GI5" s="675">
        <v>0</v>
      </c>
      <c r="GJ5" s="675">
        <v>0</v>
      </c>
      <c r="GK5" s="675">
        <v>0</v>
      </c>
      <c r="GL5" s="675">
        <v>0</v>
      </c>
      <c r="GM5" s="675">
        <v>0</v>
      </c>
      <c r="GN5" s="675">
        <v>0</v>
      </c>
      <c r="GO5" s="675">
        <v>0</v>
      </c>
      <c r="GP5" s="675">
        <v>0</v>
      </c>
      <c r="GQ5" s="675">
        <v>0</v>
      </c>
      <c r="GR5" s="675">
        <v>0</v>
      </c>
      <c r="GS5" s="675">
        <v>0</v>
      </c>
      <c r="GT5" s="675">
        <v>0</v>
      </c>
      <c r="GU5" s="675">
        <v>0</v>
      </c>
      <c r="GV5" s="675">
        <v>0</v>
      </c>
      <c r="GW5" s="675">
        <v>0</v>
      </c>
      <c r="GX5" s="675">
        <v>0</v>
      </c>
      <c r="GY5" s="675">
        <v>0</v>
      </c>
      <c r="GZ5" s="675">
        <v>0</v>
      </c>
      <c r="HA5" s="675">
        <v>0</v>
      </c>
      <c r="HB5" s="675">
        <v>308877260</v>
      </c>
      <c r="HC5" s="675">
        <v>4.4138999999999998E-2</v>
      </c>
      <c r="HD5" s="675">
        <v>66354</v>
      </c>
      <c r="HE5" s="675">
        <v>0</v>
      </c>
      <c r="HF5" s="675">
        <v>404394</v>
      </c>
      <c r="HG5" s="675">
        <v>3696</v>
      </c>
      <c r="HH5" s="675">
        <v>120406</v>
      </c>
      <c r="HI5" s="675">
        <v>0</v>
      </c>
      <c r="HJ5" s="675">
        <v>3653</v>
      </c>
      <c r="HK5" s="675">
        <v>0</v>
      </c>
      <c r="HL5" s="675">
        <v>0</v>
      </c>
      <c r="HM5" s="675">
        <v>0</v>
      </c>
      <c r="HN5" s="675">
        <v>0</v>
      </c>
      <c r="HO5" s="675">
        <v>0</v>
      </c>
      <c r="HP5" s="675">
        <v>0</v>
      </c>
      <c r="HQ5" s="675">
        <v>0</v>
      </c>
      <c r="HR5" s="675">
        <v>0</v>
      </c>
      <c r="HS5" s="675">
        <v>3379500</v>
      </c>
      <c r="HT5" s="675">
        <v>74240</v>
      </c>
      <c r="HU5" s="675">
        <v>0</v>
      </c>
      <c r="HV5" s="675">
        <v>0</v>
      </c>
      <c r="HW5" s="675">
        <v>0</v>
      </c>
      <c r="HX5" s="675">
        <v>94</v>
      </c>
      <c r="HY5" s="675">
        <v>46</v>
      </c>
      <c r="HZ5" s="675">
        <v>65</v>
      </c>
      <c r="IA5" s="675">
        <v>87</v>
      </c>
      <c r="IB5" s="675">
        <v>43</v>
      </c>
      <c r="IC5" s="675">
        <v>335</v>
      </c>
      <c r="ID5" s="675">
        <v>0</v>
      </c>
      <c r="IE5" s="675">
        <v>0</v>
      </c>
      <c r="IF5" s="675">
        <v>0</v>
      </c>
      <c r="IG5" s="675">
        <v>6</v>
      </c>
      <c r="IH5" s="675">
        <v>195.46600000000001</v>
      </c>
      <c r="II5" s="675">
        <v>0</v>
      </c>
      <c r="IJ5" s="675">
        <v>4.7229999999999999</v>
      </c>
      <c r="IK5" s="675">
        <v>0</v>
      </c>
      <c r="IL5" s="675">
        <v>0</v>
      </c>
      <c r="IM5" s="675">
        <v>0</v>
      </c>
      <c r="IN5" s="675">
        <v>0</v>
      </c>
      <c r="IO5" s="675">
        <v>0</v>
      </c>
      <c r="IP5" s="675">
        <v>0</v>
      </c>
      <c r="IQ5" s="675">
        <v>4.7229999999999999</v>
      </c>
      <c r="IR5" s="675">
        <v>2909</v>
      </c>
      <c r="IS5" s="675">
        <v>0</v>
      </c>
      <c r="IT5" s="675">
        <v>0</v>
      </c>
      <c r="IU5" s="675">
        <v>0</v>
      </c>
      <c r="IV5" s="675">
        <v>0</v>
      </c>
      <c r="IW5" s="675">
        <v>6160</v>
      </c>
      <c r="IX5" s="675">
        <v>0</v>
      </c>
      <c r="IY5" s="675">
        <v>0</v>
      </c>
      <c r="IZ5" s="675">
        <v>0</v>
      </c>
      <c r="JA5" s="675">
        <v>0</v>
      </c>
      <c r="JB5" s="675">
        <v>0</v>
      </c>
      <c r="JC5" s="675">
        <v>0</v>
      </c>
      <c r="JD5" s="675">
        <v>0</v>
      </c>
      <c r="JE5" s="675">
        <v>0</v>
      </c>
      <c r="JF5" s="675">
        <v>0</v>
      </c>
      <c r="JG5" s="675">
        <v>0</v>
      </c>
      <c r="JH5" s="675">
        <v>0</v>
      </c>
      <c r="JI5" s="675">
        <v>0</v>
      </c>
      <c r="JJ5" s="675">
        <v>0</v>
      </c>
      <c r="JK5" s="675">
        <v>0</v>
      </c>
      <c r="JL5" s="675">
        <v>0</v>
      </c>
      <c r="JM5" s="675">
        <v>0</v>
      </c>
      <c r="JN5" s="675">
        <v>32469</v>
      </c>
      <c r="JO5" s="675">
        <v>0</v>
      </c>
      <c r="JP5" s="675">
        <v>0</v>
      </c>
      <c r="JQ5" s="675">
        <v>0</v>
      </c>
      <c r="JR5" s="675">
        <v>0</v>
      </c>
      <c r="JS5" s="675">
        <v>0</v>
      </c>
      <c r="JT5" s="675">
        <v>0</v>
      </c>
      <c r="JU5" s="675">
        <v>8103</v>
      </c>
      <c r="JV5" s="675">
        <v>0</v>
      </c>
      <c r="JW5" s="675">
        <v>0</v>
      </c>
      <c r="JX5" s="675">
        <v>0</v>
      </c>
      <c r="JY5" s="675">
        <v>0</v>
      </c>
      <c r="JZ5" s="675">
        <v>0</v>
      </c>
      <c r="KA5" s="675">
        <v>0</v>
      </c>
      <c r="KB5" s="675">
        <v>0</v>
      </c>
      <c r="KC5" s="675">
        <v>0</v>
      </c>
      <c r="KD5" s="675">
        <v>8193</v>
      </c>
      <c r="KE5" s="675">
        <v>7263</v>
      </c>
      <c r="KF5" s="675">
        <v>0</v>
      </c>
      <c r="KG5" s="675">
        <v>0</v>
      </c>
      <c r="KH5" s="675">
        <v>0</v>
      </c>
      <c r="KI5" s="675">
        <v>0</v>
      </c>
    </row>
    <row r="6" spans="1:295" ht="12.5" x14ac:dyDescent="0.25">
      <c r="A6" s="675">
        <v>35795</v>
      </c>
      <c r="B6" s="675">
        <v>14801</v>
      </c>
      <c r="C6" s="675">
        <v>7</v>
      </c>
      <c r="D6" s="675">
        <v>2022</v>
      </c>
      <c r="E6" s="675">
        <v>6160</v>
      </c>
      <c r="F6" s="675">
        <v>0</v>
      </c>
      <c r="G6" s="675">
        <v>1270.8530000000001</v>
      </c>
      <c r="H6" s="675">
        <v>1097.058</v>
      </c>
      <c r="I6" s="675">
        <v>1097.058</v>
      </c>
      <c r="J6" s="675">
        <v>1270.8530000000001</v>
      </c>
      <c r="K6" s="675">
        <v>0</v>
      </c>
      <c r="L6" s="675">
        <v>6160</v>
      </c>
      <c r="M6" s="675">
        <v>0</v>
      </c>
      <c r="N6" s="675">
        <v>0</v>
      </c>
      <c r="O6" s="675">
        <v>0</v>
      </c>
      <c r="P6" s="675">
        <v>1494.288</v>
      </c>
      <c r="Q6" s="675">
        <v>0</v>
      </c>
      <c r="R6" s="675">
        <v>601343</v>
      </c>
      <c r="S6" s="675">
        <v>402.428</v>
      </c>
      <c r="T6" s="675">
        <v>0</v>
      </c>
      <c r="U6" s="675">
        <v>319781</v>
      </c>
      <c r="V6" s="675">
        <v>91.625</v>
      </c>
      <c r="W6" s="675">
        <v>56441</v>
      </c>
      <c r="X6" s="675">
        <v>56441</v>
      </c>
      <c r="Y6" s="675">
        <v>0</v>
      </c>
      <c r="Z6" s="675">
        <v>0</v>
      </c>
      <c r="AA6" s="675">
        <v>0</v>
      </c>
      <c r="AB6" s="675">
        <v>0</v>
      </c>
      <c r="AC6" s="675">
        <v>0</v>
      </c>
      <c r="AD6" s="675" t="s">
        <v>316</v>
      </c>
      <c r="AE6" s="675">
        <v>0</v>
      </c>
      <c r="AF6" s="675">
        <v>0</v>
      </c>
      <c r="AG6" s="675">
        <v>0</v>
      </c>
      <c r="AH6" s="675">
        <v>0</v>
      </c>
      <c r="AI6" s="675">
        <v>0</v>
      </c>
      <c r="AJ6" s="675">
        <v>6160</v>
      </c>
      <c r="AK6" s="675" t="s">
        <v>671</v>
      </c>
      <c r="AL6" s="675" t="s">
        <v>899</v>
      </c>
      <c r="AM6" s="675">
        <v>0</v>
      </c>
      <c r="AN6" s="675">
        <v>0</v>
      </c>
      <c r="AO6" s="675">
        <v>0</v>
      </c>
      <c r="AP6" s="675">
        <v>0</v>
      </c>
      <c r="AQ6" s="675">
        <v>0</v>
      </c>
      <c r="AR6" s="675">
        <v>0</v>
      </c>
      <c r="AS6" s="675">
        <v>0</v>
      </c>
      <c r="AT6" s="675">
        <v>0</v>
      </c>
      <c r="AU6" s="675">
        <v>0</v>
      </c>
      <c r="AV6" s="675">
        <v>-50894</v>
      </c>
      <c r="AW6" s="675">
        <v>14908382</v>
      </c>
      <c r="AX6" s="675">
        <v>14688584</v>
      </c>
      <c r="AY6" s="675">
        <v>9050860</v>
      </c>
      <c r="AZ6" s="675">
        <v>601343</v>
      </c>
      <c r="BA6" s="675">
        <v>0</v>
      </c>
      <c r="BB6" s="675">
        <v>0</v>
      </c>
      <c r="BC6" s="675">
        <v>0</v>
      </c>
      <c r="BD6" s="675">
        <v>0</v>
      </c>
      <c r="BE6" s="675">
        <v>0</v>
      </c>
      <c r="BF6" s="675">
        <v>13298255</v>
      </c>
      <c r="BG6" s="675">
        <v>0</v>
      </c>
      <c r="BH6" s="675">
        <v>0</v>
      </c>
      <c r="BI6" s="675">
        <v>0</v>
      </c>
      <c r="BJ6" s="675">
        <v>12</v>
      </c>
      <c r="BK6" s="675">
        <v>0</v>
      </c>
      <c r="BL6" s="675">
        <v>0</v>
      </c>
      <c r="BM6" s="675">
        <v>0</v>
      </c>
      <c r="BN6" s="675">
        <v>0</v>
      </c>
      <c r="BO6" s="675">
        <v>0</v>
      </c>
      <c r="BP6" s="675">
        <v>0</v>
      </c>
      <c r="BQ6" s="675">
        <v>601</v>
      </c>
      <c r="BR6" s="675">
        <v>0</v>
      </c>
      <c r="BS6" s="675">
        <v>0</v>
      </c>
      <c r="BT6" s="675">
        <v>0</v>
      </c>
      <c r="BU6" s="675">
        <v>0</v>
      </c>
      <c r="BV6" s="675">
        <v>0</v>
      </c>
      <c r="BW6" s="675">
        <v>0</v>
      </c>
      <c r="BX6" s="675">
        <v>0</v>
      </c>
      <c r="BY6" s="675">
        <v>0</v>
      </c>
      <c r="BZ6" s="675">
        <v>0</v>
      </c>
      <c r="CA6" s="675">
        <v>0</v>
      </c>
      <c r="CB6" s="675">
        <v>0</v>
      </c>
      <c r="CC6" s="675">
        <v>0</v>
      </c>
      <c r="CD6" s="675">
        <v>0</v>
      </c>
      <c r="CE6" s="675">
        <v>0</v>
      </c>
      <c r="CF6" s="675">
        <v>0</v>
      </c>
      <c r="CG6" s="675">
        <v>0</v>
      </c>
      <c r="CH6" s="675">
        <v>224376</v>
      </c>
      <c r="CI6" s="675">
        <v>0</v>
      </c>
      <c r="CJ6" s="675">
        <v>4</v>
      </c>
      <c r="CK6" s="675">
        <v>0</v>
      </c>
      <c r="CL6" s="675">
        <v>0</v>
      </c>
      <c r="CM6" s="675">
        <v>0</v>
      </c>
      <c r="CN6" s="675">
        <v>0</v>
      </c>
      <c r="CO6" s="675">
        <v>1</v>
      </c>
      <c r="CP6" s="675">
        <v>7.0780000000000003</v>
      </c>
      <c r="CQ6" s="675">
        <v>0</v>
      </c>
      <c r="CR6" s="675">
        <v>1226.53</v>
      </c>
      <c r="CS6" s="675">
        <v>0</v>
      </c>
      <c r="CT6" s="675">
        <v>0</v>
      </c>
      <c r="CU6" s="675">
        <v>0</v>
      </c>
      <c r="CV6" s="675">
        <v>0</v>
      </c>
      <c r="CW6" s="675">
        <v>0</v>
      </c>
      <c r="CX6" s="675">
        <v>0</v>
      </c>
      <c r="CY6" s="675">
        <v>0</v>
      </c>
      <c r="CZ6" s="675">
        <v>0</v>
      </c>
      <c r="DA6" s="675">
        <v>0</v>
      </c>
      <c r="DB6" s="675">
        <v>6542316</v>
      </c>
      <c r="DC6" s="675">
        <v>0</v>
      </c>
      <c r="DD6" s="675">
        <v>0</v>
      </c>
      <c r="DE6" s="675">
        <v>2390377</v>
      </c>
      <c r="DF6" s="675">
        <v>2495454</v>
      </c>
      <c r="DG6" s="675">
        <v>388.05</v>
      </c>
      <c r="DH6" s="675">
        <v>0</v>
      </c>
      <c r="DI6" s="675">
        <v>105077</v>
      </c>
      <c r="DJ6" s="675">
        <v>0</v>
      </c>
      <c r="DK6" s="675">
        <v>1239</v>
      </c>
      <c r="DL6" s="675">
        <v>0</v>
      </c>
      <c r="DM6" s="675">
        <v>1432497</v>
      </c>
      <c r="DN6" s="675">
        <v>4578</v>
      </c>
      <c r="DO6" s="675">
        <v>0</v>
      </c>
      <c r="DP6" s="675">
        <v>0</v>
      </c>
      <c r="DQ6" s="675">
        <v>0</v>
      </c>
      <c r="DR6" s="675">
        <v>0</v>
      </c>
      <c r="DS6" s="675">
        <v>0</v>
      </c>
      <c r="DT6" s="675">
        <v>0</v>
      </c>
      <c r="DU6" s="675">
        <v>0</v>
      </c>
      <c r="DV6" s="675">
        <v>0</v>
      </c>
      <c r="DW6" s="675">
        <v>0</v>
      </c>
      <c r="DX6" s="675">
        <v>0</v>
      </c>
      <c r="DY6" s="675">
        <v>0</v>
      </c>
      <c r="DZ6" s="675">
        <v>0</v>
      </c>
      <c r="EA6" s="675">
        <v>3.2000000000000001E-2</v>
      </c>
      <c r="EB6" s="675">
        <v>0</v>
      </c>
      <c r="EC6" s="675">
        <v>136.05799999999999</v>
      </c>
      <c r="ED6" s="675">
        <v>963830</v>
      </c>
      <c r="EE6" s="675">
        <v>0</v>
      </c>
      <c r="EF6" s="675">
        <v>0</v>
      </c>
      <c r="EG6" s="675">
        <v>0</v>
      </c>
      <c r="EH6" s="675">
        <v>257715</v>
      </c>
      <c r="EI6" s="675">
        <v>0</v>
      </c>
      <c r="EJ6" s="675">
        <v>0</v>
      </c>
      <c r="EK6" s="675">
        <v>13.569000000000001</v>
      </c>
      <c r="EL6" s="675">
        <v>0</v>
      </c>
      <c r="EM6" s="675">
        <v>0</v>
      </c>
      <c r="EN6" s="675">
        <v>0.19400000000000001</v>
      </c>
      <c r="EO6" s="675">
        <v>0</v>
      </c>
      <c r="EP6" s="675">
        <v>0</v>
      </c>
      <c r="EQ6" s="675">
        <v>13.795</v>
      </c>
      <c r="ER6" s="675">
        <v>0</v>
      </c>
      <c r="ES6" s="675">
        <v>41.837000000000003</v>
      </c>
      <c r="ET6" s="675">
        <v>0</v>
      </c>
      <c r="EU6" s="675">
        <v>0</v>
      </c>
      <c r="EV6" s="675">
        <v>0</v>
      </c>
      <c r="EW6" s="675">
        <v>0</v>
      </c>
      <c r="EX6" s="675">
        <v>0</v>
      </c>
      <c r="EY6" s="675">
        <v>0</v>
      </c>
      <c r="EZ6" s="675">
        <v>13056104</v>
      </c>
      <c r="FA6" s="675">
        <v>0</v>
      </c>
      <c r="FB6" s="675">
        <v>13652869</v>
      </c>
      <c r="FC6" s="675">
        <v>0</v>
      </c>
      <c r="FD6" s="675">
        <v>0</v>
      </c>
      <c r="FE6" s="675">
        <v>1352705</v>
      </c>
      <c r="FF6" s="675">
        <v>279775</v>
      </c>
      <c r="FG6" s="675">
        <v>6.3574999999999993E-2</v>
      </c>
      <c r="FH6" s="675">
        <v>2.6297999999999998E-2</v>
      </c>
      <c r="FI6" s="675">
        <v>0</v>
      </c>
      <c r="FJ6" s="675">
        <v>0</v>
      </c>
      <c r="FK6" s="675">
        <v>2158.8180000000002</v>
      </c>
      <c r="FL6" s="675">
        <v>15509725</v>
      </c>
      <c r="FM6" s="675">
        <v>0</v>
      </c>
      <c r="FN6" s="675">
        <v>0</v>
      </c>
      <c r="FO6" s="675">
        <v>0</v>
      </c>
      <c r="FP6" s="675">
        <v>0</v>
      </c>
      <c r="FQ6" s="675">
        <v>0</v>
      </c>
      <c r="FR6" s="675">
        <v>0</v>
      </c>
      <c r="FS6" s="675">
        <v>0</v>
      </c>
      <c r="FT6" s="675">
        <v>0</v>
      </c>
      <c r="FU6" s="675">
        <v>0</v>
      </c>
      <c r="FV6" s="675">
        <v>0</v>
      </c>
      <c r="FW6" s="675">
        <v>0</v>
      </c>
      <c r="FX6" s="675">
        <v>0</v>
      </c>
      <c r="FY6" s="675">
        <v>0</v>
      </c>
      <c r="FZ6" s="675">
        <v>0</v>
      </c>
      <c r="GA6" s="675">
        <v>0</v>
      </c>
      <c r="GB6" s="675">
        <v>1506369</v>
      </c>
      <c r="GC6" s="675">
        <v>1506369</v>
      </c>
      <c r="GD6" s="675">
        <v>160</v>
      </c>
      <c r="GE6" s="675">
        <v>0</v>
      </c>
      <c r="GF6" s="675">
        <v>0</v>
      </c>
      <c r="GG6" s="675">
        <v>0</v>
      </c>
      <c r="GH6" s="675">
        <v>0</v>
      </c>
      <c r="GI6" s="675">
        <v>0</v>
      </c>
      <c r="GJ6" s="675">
        <v>0</v>
      </c>
      <c r="GK6" s="675">
        <v>0</v>
      </c>
      <c r="GL6" s="675">
        <v>0</v>
      </c>
      <c r="GM6" s="675">
        <v>0</v>
      </c>
      <c r="GN6" s="675">
        <v>0</v>
      </c>
      <c r="GO6" s="675">
        <v>0</v>
      </c>
      <c r="GP6" s="675">
        <v>0</v>
      </c>
      <c r="GQ6" s="675">
        <v>0</v>
      </c>
      <c r="GR6" s="675">
        <v>0</v>
      </c>
      <c r="GS6" s="675">
        <v>0</v>
      </c>
      <c r="GT6" s="675">
        <v>0</v>
      </c>
      <c r="GU6" s="675">
        <v>0</v>
      </c>
      <c r="GV6" s="675">
        <v>0</v>
      </c>
      <c r="GW6" s="675">
        <v>0</v>
      </c>
      <c r="GX6" s="675">
        <v>0</v>
      </c>
      <c r="GY6" s="675">
        <v>0</v>
      </c>
      <c r="GZ6" s="675">
        <v>0</v>
      </c>
      <c r="HA6" s="675">
        <v>0</v>
      </c>
      <c r="HB6" s="675">
        <v>308877260</v>
      </c>
      <c r="HC6" s="675">
        <v>4.4138999999999998E-2</v>
      </c>
      <c r="HD6" s="675">
        <v>224376</v>
      </c>
      <c r="HE6" s="675">
        <v>0</v>
      </c>
      <c r="HF6" s="675">
        <v>1210055</v>
      </c>
      <c r="HG6" s="675">
        <v>38192</v>
      </c>
      <c r="HH6" s="675">
        <v>0</v>
      </c>
      <c r="HI6" s="675">
        <v>0</v>
      </c>
      <c r="HJ6" s="675">
        <v>12353</v>
      </c>
      <c r="HK6" s="675">
        <v>24624</v>
      </c>
      <c r="HL6" s="675">
        <v>2450</v>
      </c>
      <c r="HM6" s="675">
        <v>0</v>
      </c>
      <c r="HN6" s="675">
        <v>0</v>
      </c>
      <c r="HO6" s="675">
        <v>0</v>
      </c>
      <c r="HP6" s="675">
        <v>332118</v>
      </c>
      <c r="HQ6" s="675">
        <v>0</v>
      </c>
      <c r="HR6" s="675">
        <v>0</v>
      </c>
      <c r="HS6" s="675">
        <v>13051526</v>
      </c>
      <c r="HT6" s="675">
        <v>279775</v>
      </c>
      <c r="HU6" s="675">
        <v>0</v>
      </c>
      <c r="HV6" s="675">
        <v>0</v>
      </c>
      <c r="HW6" s="675">
        <v>0</v>
      </c>
      <c r="HX6" s="675">
        <v>250</v>
      </c>
      <c r="HY6" s="675">
        <v>305</v>
      </c>
      <c r="HZ6" s="675">
        <v>334</v>
      </c>
      <c r="IA6" s="675">
        <v>319</v>
      </c>
      <c r="IB6" s="675">
        <v>335</v>
      </c>
      <c r="IC6" s="675">
        <v>1543</v>
      </c>
      <c r="ID6" s="675">
        <v>0</v>
      </c>
      <c r="IE6" s="675">
        <v>0</v>
      </c>
      <c r="IF6" s="675">
        <v>0</v>
      </c>
      <c r="IG6" s="675">
        <v>62</v>
      </c>
      <c r="IH6" s="675">
        <v>0</v>
      </c>
      <c r="II6" s="675">
        <v>1207.7</v>
      </c>
      <c r="IJ6" s="675">
        <v>91.625</v>
      </c>
      <c r="IK6" s="675">
        <v>0</v>
      </c>
      <c r="IL6" s="675">
        <v>0</v>
      </c>
      <c r="IM6" s="675">
        <v>0</v>
      </c>
      <c r="IN6" s="675">
        <v>0</v>
      </c>
      <c r="IO6" s="675">
        <v>0</v>
      </c>
      <c r="IP6" s="675">
        <v>1207.7</v>
      </c>
      <c r="IQ6" s="675">
        <v>91.625</v>
      </c>
      <c r="IR6" s="675">
        <v>56441</v>
      </c>
      <c r="IS6" s="675">
        <v>0</v>
      </c>
      <c r="IT6" s="675">
        <v>0</v>
      </c>
      <c r="IU6" s="675">
        <v>0</v>
      </c>
      <c r="IV6" s="675">
        <v>0</v>
      </c>
      <c r="IW6" s="675">
        <v>6160</v>
      </c>
      <c r="IX6" s="675">
        <v>0</v>
      </c>
      <c r="IY6" s="675">
        <v>0</v>
      </c>
      <c r="IZ6" s="675">
        <v>332118</v>
      </c>
      <c r="JA6" s="675">
        <v>0</v>
      </c>
      <c r="JB6" s="675">
        <v>0</v>
      </c>
      <c r="JC6" s="675">
        <v>0</v>
      </c>
      <c r="JD6" s="675">
        <v>0</v>
      </c>
      <c r="JE6" s="675">
        <v>0</v>
      </c>
      <c r="JF6" s="675">
        <v>0</v>
      </c>
      <c r="JG6" s="675">
        <v>0</v>
      </c>
      <c r="JH6" s="675">
        <v>0</v>
      </c>
      <c r="JI6" s="675">
        <v>0</v>
      </c>
      <c r="JJ6" s="675">
        <v>0</v>
      </c>
      <c r="JK6" s="675">
        <v>0</v>
      </c>
      <c r="JL6" s="675">
        <v>0</v>
      </c>
      <c r="JM6" s="675">
        <v>0</v>
      </c>
      <c r="JN6" s="675">
        <v>32469</v>
      </c>
      <c r="JO6" s="675">
        <v>2.8330000000000002</v>
      </c>
      <c r="JP6" s="675">
        <v>140.78300000000002</v>
      </c>
      <c r="JQ6" s="675">
        <v>16.384</v>
      </c>
      <c r="JR6" s="675">
        <v>22634</v>
      </c>
      <c r="JS6" s="675">
        <v>1308809</v>
      </c>
      <c r="JT6" s="675">
        <v>174926</v>
      </c>
      <c r="JU6" s="675">
        <v>0</v>
      </c>
      <c r="JV6" s="675">
        <v>0</v>
      </c>
      <c r="JW6" s="675">
        <v>0</v>
      </c>
      <c r="JX6" s="675">
        <v>0</v>
      </c>
      <c r="JY6" s="675">
        <v>0</v>
      </c>
      <c r="JZ6" s="675">
        <v>0</v>
      </c>
      <c r="KA6" s="675">
        <v>0</v>
      </c>
      <c r="KB6" s="675">
        <v>0</v>
      </c>
      <c r="KC6" s="675">
        <v>0</v>
      </c>
      <c r="KD6" s="675">
        <v>0</v>
      </c>
      <c r="KE6" s="675">
        <v>7263</v>
      </c>
      <c r="KF6" s="675">
        <v>0</v>
      </c>
      <c r="KG6" s="675">
        <v>0</v>
      </c>
      <c r="KH6" s="675">
        <v>0</v>
      </c>
      <c r="KI6" s="675">
        <v>0</v>
      </c>
    </row>
    <row r="7" spans="1:295" ht="12.5" x14ac:dyDescent="0.25">
      <c r="A7" s="675">
        <v>35795</v>
      </c>
      <c r="B7" s="675">
        <v>15801</v>
      </c>
      <c r="C7" s="675">
        <v>7</v>
      </c>
      <c r="D7" s="675">
        <v>2022</v>
      </c>
      <c r="E7" s="675">
        <v>6160</v>
      </c>
      <c r="F7" s="675">
        <v>0</v>
      </c>
      <c r="G7" s="675">
        <v>98.734999999999999</v>
      </c>
      <c r="H7" s="675">
        <v>38.734999999999999</v>
      </c>
      <c r="I7" s="675">
        <v>38.734999999999999</v>
      </c>
      <c r="J7" s="675">
        <v>98.734999999999999</v>
      </c>
      <c r="K7" s="675">
        <v>0</v>
      </c>
      <c r="L7" s="675">
        <v>6160</v>
      </c>
      <c r="M7" s="675">
        <v>0</v>
      </c>
      <c r="N7" s="675">
        <v>0</v>
      </c>
      <c r="O7" s="675">
        <v>0</v>
      </c>
      <c r="P7" s="675">
        <v>109.084</v>
      </c>
      <c r="Q7" s="675">
        <v>0</v>
      </c>
      <c r="R7" s="675">
        <v>43898</v>
      </c>
      <c r="S7" s="675">
        <v>402.428</v>
      </c>
      <c r="T7" s="675">
        <v>0</v>
      </c>
      <c r="U7" s="675">
        <v>23344</v>
      </c>
      <c r="V7" s="675">
        <v>0</v>
      </c>
      <c r="W7" s="675">
        <v>0</v>
      </c>
      <c r="X7" s="675">
        <v>0</v>
      </c>
      <c r="Y7" s="675">
        <v>0</v>
      </c>
      <c r="Z7" s="675">
        <v>0</v>
      </c>
      <c r="AA7" s="675">
        <v>0</v>
      </c>
      <c r="AB7" s="675">
        <v>0</v>
      </c>
      <c r="AC7" s="675">
        <v>0</v>
      </c>
      <c r="AD7" s="675" t="s">
        <v>316</v>
      </c>
      <c r="AE7" s="675">
        <v>0</v>
      </c>
      <c r="AF7" s="675">
        <v>0</v>
      </c>
      <c r="AG7" s="675">
        <v>0</v>
      </c>
      <c r="AH7" s="675">
        <v>0</v>
      </c>
      <c r="AI7" s="675">
        <v>0</v>
      </c>
      <c r="AJ7" s="675">
        <v>6160</v>
      </c>
      <c r="AK7" s="675" t="s">
        <v>671</v>
      </c>
      <c r="AL7" s="675" t="s">
        <v>37</v>
      </c>
      <c r="AM7" s="675">
        <v>0</v>
      </c>
      <c r="AN7" s="675">
        <v>0</v>
      </c>
      <c r="AO7" s="675">
        <v>0</v>
      </c>
      <c r="AP7" s="675">
        <v>0</v>
      </c>
      <c r="AQ7" s="675">
        <v>0</v>
      </c>
      <c r="AR7" s="675">
        <v>0</v>
      </c>
      <c r="AS7" s="675">
        <v>0</v>
      </c>
      <c r="AT7" s="675">
        <v>0</v>
      </c>
      <c r="AU7" s="675">
        <v>0</v>
      </c>
      <c r="AV7" s="675">
        <v>-3000</v>
      </c>
      <c r="AW7" s="675">
        <v>1241936</v>
      </c>
      <c r="AX7" s="675">
        <v>1224652</v>
      </c>
      <c r="AY7" s="675">
        <v>912123</v>
      </c>
      <c r="AZ7" s="675">
        <v>43898</v>
      </c>
      <c r="BA7" s="675">
        <v>0</v>
      </c>
      <c r="BB7" s="675">
        <v>0</v>
      </c>
      <c r="BC7" s="675">
        <v>0</v>
      </c>
      <c r="BD7" s="675">
        <v>0</v>
      </c>
      <c r="BE7" s="675">
        <v>0</v>
      </c>
      <c r="BF7" s="675">
        <v>1086900</v>
      </c>
      <c r="BG7" s="675">
        <v>0</v>
      </c>
      <c r="BH7" s="675">
        <v>0</v>
      </c>
      <c r="BI7" s="675">
        <v>0</v>
      </c>
      <c r="BJ7" s="675">
        <v>12</v>
      </c>
      <c r="BK7" s="675">
        <v>0</v>
      </c>
      <c r="BL7" s="675">
        <v>0</v>
      </c>
      <c r="BM7" s="675">
        <v>0</v>
      </c>
      <c r="BN7" s="675">
        <v>0</v>
      </c>
      <c r="BO7" s="675">
        <v>0</v>
      </c>
      <c r="BP7" s="675">
        <v>0</v>
      </c>
      <c r="BQ7" s="675">
        <v>764</v>
      </c>
      <c r="BR7" s="675">
        <v>0</v>
      </c>
      <c r="BS7" s="675">
        <v>0</v>
      </c>
      <c r="BT7" s="675">
        <v>0</v>
      </c>
      <c r="BU7" s="675">
        <v>0</v>
      </c>
      <c r="BV7" s="675">
        <v>0</v>
      </c>
      <c r="BW7" s="675">
        <v>0</v>
      </c>
      <c r="BX7" s="675">
        <v>0</v>
      </c>
      <c r="BY7" s="675">
        <v>0</v>
      </c>
      <c r="BZ7" s="675">
        <v>0</v>
      </c>
      <c r="CA7" s="675">
        <v>0</v>
      </c>
      <c r="CB7" s="675">
        <v>0</v>
      </c>
      <c r="CC7" s="675">
        <v>0</v>
      </c>
      <c r="CD7" s="675">
        <v>0</v>
      </c>
      <c r="CE7" s="675">
        <v>0</v>
      </c>
      <c r="CF7" s="675">
        <v>0</v>
      </c>
      <c r="CG7" s="675">
        <v>0</v>
      </c>
      <c r="CH7" s="675">
        <v>17432</v>
      </c>
      <c r="CI7" s="675">
        <v>0</v>
      </c>
      <c r="CJ7" s="675">
        <v>4</v>
      </c>
      <c r="CK7" s="675">
        <v>0</v>
      </c>
      <c r="CL7" s="675">
        <v>0</v>
      </c>
      <c r="CM7" s="675">
        <v>0</v>
      </c>
      <c r="CN7" s="675">
        <v>0</v>
      </c>
      <c r="CO7" s="675">
        <v>1</v>
      </c>
      <c r="CP7" s="675">
        <v>0.45500000000000002</v>
      </c>
      <c r="CQ7" s="675">
        <v>0</v>
      </c>
      <c r="CR7" s="675">
        <v>126.90700000000001</v>
      </c>
      <c r="CS7" s="675">
        <v>0</v>
      </c>
      <c r="CT7" s="675">
        <v>0</v>
      </c>
      <c r="CU7" s="675">
        <v>0</v>
      </c>
      <c r="CV7" s="675">
        <v>0</v>
      </c>
      <c r="CW7" s="675">
        <v>0</v>
      </c>
      <c r="CX7" s="675">
        <v>0</v>
      </c>
      <c r="CY7" s="675">
        <v>0</v>
      </c>
      <c r="CZ7" s="675">
        <v>0</v>
      </c>
      <c r="DA7" s="675">
        <v>0</v>
      </c>
      <c r="DB7" s="675">
        <v>140009</v>
      </c>
      <c r="DC7" s="675">
        <v>0</v>
      </c>
      <c r="DD7" s="675">
        <v>0</v>
      </c>
      <c r="DE7" s="675">
        <v>180641</v>
      </c>
      <c r="DF7" s="675">
        <v>187396</v>
      </c>
      <c r="DG7" s="675">
        <v>29.325000000000003</v>
      </c>
      <c r="DH7" s="675">
        <v>0</v>
      </c>
      <c r="DI7" s="675">
        <v>6755</v>
      </c>
      <c r="DJ7" s="675">
        <v>0</v>
      </c>
      <c r="DK7" s="675">
        <v>3847</v>
      </c>
      <c r="DL7" s="675">
        <v>0</v>
      </c>
      <c r="DM7" s="675">
        <v>137871</v>
      </c>
      <c r="DN7" s="675">
        <v>148</v>
      </c>
      <c r="DO7" s="675">
        <v>0</v>
      </c>
      <c r="DP7" s="675">
        <v>0</v>
      </c>
      <c r="DQ7" s="675">
        <v>0</v>
      </c>
      <c r="DR7" s="675">
        <v>0</v>
      </c>
      <c r="DS7" s="675">
        <v>0</v>
      </c>
      <c r="DT7" s="675">
        <v>0</v>
      </c>
      <c r="DU7" s="675">
        <v>0</v>
      </c>
      <c r="DV7" s="675">
        <v>0</v>
      </c>
      <c r="DW7" s="675">
        <v>0</v>
      </c>
      <c r="DX7" s="675">
        <v>0</v>
      </c>
      <c r="DY7" s="675">
        <v>0</v>
      </c>
      <c r="DZ7" s="675">
        <v>0</v>
      </c>
      <c r="EA7" s="675">
        <v>0</v>
      </c>
      <c r="EB7" s="675">
        <v>0</v>
      </c>
      <c r="EC7" s="675">
        <v>5.5650000000000004</v>
      </c>
      <c r="ED7" s="675">
        <v>39422</v>
      </c>
      <c r="EE7" s="675">
        <v>0</v>
      </c>
      <c r="EF7" s="675">
        <v>0</v>
      </c>
      <c r="EG7" s="675">
        <v>0</v>
      </c>
      <c r="EH7" s="675">
        <v>0</v>
      </c>
      <c r="EI7" s="675">
        <v>0</v>
      </c>
      <c r="EJ7" s="675">
        <v>0</v>
      </c>
      <c r="EK7" s="675">
        <v>0</v>
      </c>
      <c r="EL7" s="675">
        <v>0</v>
      </c>
      <c r="EM7" s="675">
        <v>0</v>
      </c>
      <c r="EN7" s="675">
        <v>0</v>
      </c>
      <c r="EO7" s="675">
        <v>0</v>
      </c>
      <c r="EP7" s="675">
        <v>0</v>
      </c>
      <c r="EQ7" s="675">
        <v>0</v>
      </c>
      <c r="ER7" s="675">
        <v>0</v>
      </c>
      <c r="ES7" s="675">
        <v>0</v>
      </c>
      <c r="ET7" s="675">
        <v>0</v>
      </c>
      <c r="EU7" s="675">
        <v>0</v>
      </c>
      <c r="EV7" s="675">
        <v>0</v>
      </c>
      <c r="EW7" s="675">
        <v>0</v>
      </c>
      <c r="EX7" s="675">
        <v>0</v>
      </c>
      <c r="EY7" s="675">
        <v>0</v>
      </c>
      <c r="EZ7" s="675">
        <v>1091225</v>
      </c>
      <c r="FA7" s="675">
        <v>0</v>
      </c>
      <c r="FB7" s="675">
        <v>1134975</v>
      </c>
      <c r="FC7" s="675">
        <v>0</v>
      </c>
      <c r="FD7" s="675">
        <v>0</v>
      </c>
      <c r="FE7" s="675">
        <v>110560</v>
      </c>
      <c r="FF7" s="675">
        <v>22867</v>
      </c>
      <c r="FG7" s="675">
        <v>6.3574999999999993E-2</v>
      </c>
      <c r="FH7" s="675">
        <v>2.6297999999999998E-2</v>
      </c>
      <c r="FI7" s="675">
        <v>0</v>
      </c>
      <c r="FJ7" s="675">
        <v>0</v>
      </c>
      <c r="FK7" s="675">
        <v>176.446</v>
      </c>
      <c r="FL7" s="675">
        <v>1285834</v>
      </c>
      <c r="FM7" s="675">
        <v>0</v>
      </c>
      <c r="FN7" s="675">
        <v>0</v>
      </c>
      <c r="FO7" s="675">
        <v>0</v>
      </c>
      <c r="FP7" s="675">
        <v>0</v>
      </c>
      <c r="FQ7" s="675">
        <v>0</v>
      </c>
      <c r="FR7" s="675">
        <v>0</v>
      </c>
      <c r="FS7" s="675">
        <v>0</v>
      </c>
      <c r="FT7" s="675">
        <v>0</v>
      </c>
      <c r="FU7" s="675">
        <v>0</v>
      </c>
      <c r="FV7" s="675">
        <v>0</v>
      </c>
      <c r="FW7" s="675">
        <v>0</v>
      </c>
      <c r="FX7" s="675">
        <v>0</v>
      </c>
      <c r="FY7" s="675">
        <v>0</v>
      </c>
      <c r="FZ7" s="675">
        <v>0</v>
      </c>
      <c r="GA7" s="675">
        <v>0</v>
      </c>
      <c r="GB7" s="675">
        <v>577791</v>
      </c>
      <c r="GC7" s="675">
        <v>577791</v>
      </c>
      <c r="GD7" s="675">
        <v>60</v>
      </c>
      <c r="GE7" s="675">
        <v>0</v>
      </c>
      <c r="GF7" s="675">
        <v>0</v>
      </c>
      <c r="GG7" s="675">
        <v>0</v>
      </c>
      <c r="GH7" s="675">
        <v>0</v>
      </c>
      <c r="GI7" s="675">
        <v>0</v>
      </c>
      <c r="GJ7" s="675">
        <v>0</v>
      </c>
      <c r="GK7" s="675">
        <v>0</v>
      </c>
      <c r="GL7" s="675">
        <v>0</v>
      </c>
      <c r="GM7" s="675">
        <v>0</v>
      </c>
      <c r="GN7" s="675">
        <v>0</v>
      </c>
      <c r="GO7" s="675">
        <v>0</v>
      </c>
      <c r="GP7" s="675">
        <v>0</v>
      </c>
      <c r="GQ7" s="675">
        <v>0</v>
      </c>
      <c r="GR7" s="675">
        <v>0</v>
      </c>
      <c r="GS7" s="675">
        <v>0</v>
      </c>
      <c r="GT7" s="675">
        <v>0</v>
      </c>
      <c r="GU7" s="675">
        <v>0</v>
      </c>
      <c r="GV7" s="675">
        <v>0</v>
      </c>
      <c r="GW7" s="675">
        <v>0</v>
      </c>
      <c r="GX7" s="675">
        <v>0</v>
      </c>
      <c r="GY7" s="675">
        <v>0</v>
      </c>
      <c r="GZ7" s="675">
        <v>0</v>
      </c>
      <c r="HA7" s="675">
        <v>0</v>
      </c>
      <c r="HB7" s="675">
        <v>308877260</v>
      </c>
      <c r="HC7" s="675">
        <v>4.4138999999999998E-2</v>
      </c>
      <c r="HD7" s="675">
        <v>17432</v>
      </c>
      <c r="HE7" s="675">
        <v>0</v>
      </c>
      <c r="HF7" s="675">
        <v>42725</v>
      </c>
      <c r="HG7" s="675">
        <v>0</v>
      </c>
      <c r="HH7" s="675">
        <v>0</v>
      </c>
      <c r="HI7" s="675">
        <v>0</v>
      </c>
      <c r="HJ7" s="675">
        <v>960</v>
      </c>
      <c r="HK7" s="675">
        <v>1476</v>
      </c>
      <c r="HL7" s="675">
        <v>1648</v>
      </c>
      <c r="HM7" s="675">
        <v>0</v>
      </c>
      <c r="HN7" s="675">
        <v>0</v>
      </c>
      <c r="HO7" s="675">
        <v>0</v>
      </c>
      <c r="HP7" s="675">
        <v>45099</v>
      </c>
      <c r="HQ7" s="675">
        <v>0</v>
      </c>
      <c r="HR7" s="675">
        <v>0</v>
      </c>
      <c r="HS7" s="675">
        <v>1091077</v>
      </c>
      <c r="HT7" s="675">
        <v>22867</v>
      </c>
      <c r="HU7" s="675">
        <v>0</v>
      </c>
      <c r="HV7" s="675">
        <v>0</v>
      </c>
      <c r="HW7" s="675">
        <v>0</v>
      </c>
      <c r="HX7" s="675">
        <v>17</v>
      </c>
      <c r="HY7" s="675">
        <v>12</v>
      </c>
      <c r="HZ7" s="675">
        <v>19</v>
      </c>
      <c r="IA7" s="675">
        <v>20</v>
      </c>
      <c r="IB7" s="675">
        <v>46</v>
      </c>
      <c r="IC7" s="675">
        <v>114</v>
      </c>
      <c r="ID7" s="675">
        <v>0</v>
      </c>
      <c r="IE7" s="675">
        <v>0</v>
      </c>
      <c r="IF7" s="675">
        <v>0</v>
      </c>
      <c r="IG7" s="675">
        <v>0</v>
      </c>
      <c r="IH7" s="675">
        <v>0</v>
      </c>
      <c r="II7" s="675">
        <v>163.995</v>
      </c>
      <c r="IJ7" s="675">
        <v>0</v>
      </c>
      <c r="IK7" s="675">
        <v>0</v>
      </c>
      <c r="IL7" s="675">
        <v>0</v>
      </c>
      <c r="IM7" s="675">
        <v>0</v>
      </c>
      <c r="IN7" s="675">
        <v>0</v>
      </c>
      <c r="IO7" s="675">
        <v>0</v>
      </c>
      <c r="IP7" s="675">
        <v>163.995</v>
      </c>
      <c r="IQ7" s="675">
        <v>0</v>
      </c>
      <c r="IR7" s="675">
        <v>0</v>
      </c>
      <c r="IS7" s="675">
        <v>0</v>
      </c>
      <c r="IT7" s="675">
        <v>0</v>
      </c>
      <c r="IU7" s="675">
        <v>0</v>
      </c>
      <c r="IV7" s="675">
        <v>0</v>
      </c>
      <c r="IW7" s="675">
        <v>6160</v>
      </c>
      <c r="IX7" s="675">
        <v>0</v>
      </c>
      <c r="IY7" s="675">
        <v>0</v>
      </c>
      <c r="IZ7" s="675">
        <v>45099</v>
      </c>
      <c r="JA7" s="675">
        <v>0</v>
      </c>
      <c r="JB7" s="675">
        <v>0</v>
      </c>
      <c r="JC7" s="675">
        <v>0</v>
      </c>
      <c r="JD7" s="675">
        <v>0</v>
      </c>
      <c r="JE7" s="675">
        <v>0</v>
      </c>
      <c r="JF7" s="675">
        <v>0</v>
      </c>
      <c r="JG7" s="675">
        <v>0</v>
      </c>
      <c r="JH7" s="675">
        <v>0</v>
      </c>
      <c r="JI7" s="675">
        <v>0</v>
      </c>
      <c r="JJ7" s="675">
        <v>0</v>
      </c>
      <c r="JK7" s="675">
        <v>0</v>
      </c>
      <c r="JL7" s="675">
        <v>0</v>
      </c>
      <c r="JM7" s="675">
        <v>0</v>
      </c>
      <c r="JN7" s="675">
        <v>32469</v>
      </c>
      <c r="JO7" s="675">
        <v>10.113000000000001</v>
      </c>
      <c r="JP7" s="675">
        <v>25.819000000000003</v>
      </c>
      <c r="JQ7" s="675">
        <v>24.068000000000001</v>
      </c>
      <c r="JR7" s="675">
        <v>80796</v>
      </c>
      <c r="JS7" s="675">
        <v>240030</v>
      </c>
      <c r="JT7" s="675">
        <v>256965</v>
      </c>
      <c r="JU7" s="675">
        <v>0</v>
      </c>
      <c r="JV7" s="675">
        <v>0</v>
      </c>
      <c r="JW7" s="675">
        <v>0</v>
      </c>
      <c r="JX7" s="675">
        <v>0</v>
      </c>
      <c r="JY7" s="675">
        <v>0</v>
      </c>
      <c r="JZ7" s="675">
        <v>0</v>
      </c>
      <c r="KA7" s="675">
        <v>0</v>
      </c>
      <c r="KB7" s="675">
        <v>0</v>
      </c>
      <c r="KC7" s="675">
        <v>0</v>
      </c>
      <c r="KD7" s="675">
        <v>0</v>
      </c>
      <c r="KE7" s="675">
        <v>7263</v>
      </c>
      <c r="KF7" s="675">
        <v>0</v>
      </c>
      <c r="KG7" s="675">
        <v>0</v>
      </c>
      <c r="KH7" s="675">
        <v>0</v>
      </c>
      <c r="KI7" s="675">
        <v>0</v>
      </c>
    </row>
    <row r="8" spans="1:295" ht="12.5" x14ac:dyDescent="0.25">
      <c r="A8" s="675">
        <v>35795</v>
      </c>
      <c r="B8" s="675">
        <v>43801</v>
      </c>
      <c r="C8" s="675">
        <v>7</v>
      </c>
      <c r="D8" s="675">
        <v>2022</v>
      </c>
      <c r="E8" s="675">
        <v>6160</v>
      </c>
      <c r="F8" s="675">
        <v>0</v>
      </c>
      <c r="G8" s="675">
        <v>1330.55</v>
      </c>
      <c r="H8" s="675">
        <v>1319.6790000000001</v>
      </c>
      <c r="I8" s="675">
        <v>1319.6790000000001</v>
      </c>
      <c r="J8" s="675">
        <v>1330.55</v>
      </c>
      <c r="K8" s="675">
        <v>0</v>
      </c>
      <c r="L8" s="675">
        <v>6160</v>
      </c>
      <c r="M8" s="675">
        <v>0</v>
      </c>
      <c r="N8" s="675">
        <v>0</v>
      </c>
      <c r="O8" s="675">
        <v>0</v>
      </c>
      <c r="P8" s="675">
        <v>1384.9950000000001</v>
      </c>
      <c r="Q8" s="675">
        <v>0</v>
      </c>
      <c r="R8" s="675">
        <v>557361</v>
      </c>
      <c r="S8" s="675">
        <v>402.428</v>
      </c>
      <c r="T8" s="675">
        <v>0</v>
      </c>
      <c r="U8" s="675">
        <v>296390</v>
      </c>
      <c r="V8" s="675">
        <v>132.83799999999999</v>
      </c>
      <c r="W8" s="675">
        <v>81828</v>
      </c>
      <c r="X8" s="675">
        <v>81828</v>
      </c>
      <c r="Y8" s="675">
        <v>0</v>
      </c>
      <c r="Z8" s="675">
        <v>0</v>
      </c>
      <c r="AA8" s="675">
        <v>0</v>
      </c>
      <c r="AB8" s="675">
        <v>0</v>
      </c>
      <c r="AC8" s="675">
        <v>0</v>
      </c>
      <c r="AD8" s="675" t="s">
        <v>316</v>
      </c>
      <c r="AE8" s="675">
        <v>0</v>
      </c>
      <c r="AF8" s="675">
        <v>0</v>
      </c>
      <c r="AG8" s="675">
        <v>0</v>
      </c>
      <c r="AH8" s="675">
        <v>0</v>
      </c>
      <c r="AI8" s="675">
        <v>0</v>
      </c>
      <c r="AJ8" s="675">
        <v>6160</v>
      </c>
      <c r="AK8" s="675" t="s">
        <v>671</v>
      </c>
      <c r="AL8" s="675" t="s">
        <v>323</v>
      </c>
      <c r="AM8" s="675">
        <v>0</v>
      </c>
      <c r="AN8" s="675">
        <v>0</v>
      </c>
      <c r="AO8" s="675">
        <v>0</v>
      </c>
      <c r="AP8" s="675">
        <v>0</v>
      </c>
      <c r="AQ8" s="675">
        <v>0</v>
      </c>
      <c r="AR8" s="675">
        <v>0</v>
      </c>
      <c r="AS8" s="675">
        <v>0</v>
      </c>
      <c r="AT8" s="675">
        <v>0</v>
      </c>
      <c r="AU8" s="675">
        <v>0</v>
      </c>
      <c r="AV8" s="675">
        <v>0</v>
      </c>
      <c r="AW8" s="675">
        <v>11300939</v>
      </c>
      <c r="AX8" s="675">
        <v>11067513</v>
      </c>
      <c r="AY8" s="675">
        <v>7514737</v>
      </c>
      <c r="AZ8" s="675">
        <v>557361</v>
      </c>
      <c r="BA8" s="675">
        <v>0</v>
      </c>
      <c r="BB8" s="675">
        <v>0</v>
      </c>
      <c r="BC8" s="675">
        <v>0</v>
      </c>
      <c r="BD8" s="675">
        <v>0</v>
      </c>
      <c r="BE8" s="675">
        <v>0</v>
      </c>
      <c r="BF8" s="675">
        <v>10351009</v>
      </c>
      <c r="BG8" s="675">
        <v>0</v>
      </c>
      <c r="BH8" s="675">
        <v>0</v>
      </c>
      <c r="BI8" s="675">
        <v>0</v>
      </c>
      <c r="BJ8" s="675">
        <v>12</v>
      </c>
      <c r="BK8" s="675">
        <v>0</v>
      </c>
      <c r="BL8" s="675">
        <v>0</v>
      </c>
      <c r="BM8" s="675">
        <v>0</v>
      </c>
      <c r="BN8" s="675">
        <v>0</v>
      </c>
      <c r="BO8" s="675">
        <v>0</v>
      </c>
      <c r="BP8" s="675">
        <v>0</v>
      </c>
      <c r="BQ8" s="675">
        <v>567</v>
      </c>
      <c r="BR8" s="675">
        <v>0</v>
      </c>
      <c r="BS8" s="675">
        <v>0</v>
      </c>
      <c r="BT8" s="675">
        <v>0</v>
      </c>
      <c r="BU8" s="675">
        <v>0</v>
      </c>
      <c r="BV8" s="675">
        <v>0</v>
      </c>
      <c r="BW8" s="675">
        <v>0</v>
      </c>
      <c r="BX8" s="675">
        <v>0</v>
      </c>
      <c r="BY8" s="675">
        <v>0</v>
      </c>
      <c r="BZ8" s="675">
        <v>0</v>
      </c>
      <c r="CA8" s="675">
        <v>0</v>
      </c>
      <c r="CB8" s="675">
        <v>0</v>
      </c>
      <c r="CC8" s="675">
        <v>0</v>
      </c>
      <c r="CD8" s="675">
        <v>0</v>
      </c>
      <c r="CE8" s="675">
        <v>0</v>
      </c>
      <c r="CF8" s="675">
        <v>0</v>
      </c>
      <c r="CG8" s="675">
        <v>0</v>
      </c>
      <c r="CH8" s="675">
        <v>234916</v>
      </c>
      <c r="CI8" s="675">
        <v>0</v>
      </c>
      <c r="CJ8" s="675">
        <v>4</v>
      </c>
      <c r="CK8" s="675">
        <v>0</v>
      </c>
      <c r="CL8" s="675">
        <v>0</v>
      </c>
      <c r="CM8" s="675">
        <v>0</v>
      </c>
      <c r="CN8" s="675">
        <v>0</v>
      </c>
      <c r="CO8" s="675">
        <v>1</v>
      </c>
      <c r="CP8" s="675">
        <v>0</v>
      </c>
      <c r="CQ8" s="675">
        <v>0</v>
      </c>
      <c r="CR8" s="675">
        <v>1387.7910000000002</v>
      </c>
      <c r="CS8" s="675">
        <v>0</v>
      </c>
      <c r="CT8" s="675">
        <v>0</v>
      </c>
      <c r="CU8" s="675">
        <v>0</v>
      </c>
      <c r="CV8" s="675">
        <v>0</v>
      </c>
      <c r="CW8" s="675">
        <v>0</v>
      </c>
      <c r="CX8" s="675">
        <v>0</v>
      </c>
      <c r="CY8" s="675">
        <v>0</v>
      </c>
      <c r="CZ8" s="675">
        <v>0</v>
      </c>
      <c r="DA8" s="675">
        <v>0</v>
      </c>
      <c r="DB8" s="675">
        <v>8120308</v>
      </c>
      <c r="DC8" s="675">
        <v>0</v>
      </c>
      <c r="DD8" s="675">
        <v>0</v>
      </c>
      <c r="DE8" s="675">
        <v>177407</v>
      </c>
      <c r="DF8" s="675">
        <v>177407</v>
      </c>
      <c r="DG8" s="675">
        <v>28.8</v>
      </c>
      <c r="DH8" s="675">
        <v>0</v>
      </c>
      <c r="DI8" s="675">
        <v>0</v>
      </c>
      <c r="DJ8" s="675">
        <v>0</v>
      </c>
      <c r="DK8" s="675">
        <v>691</v>
      </c>
      <c r="DL8" s="675">
        <v>0</v>
      </c>
      <c r="DM8" s="675">
        <v>405042</v>
      </c>
      <c r="DN8" s="675">
        <v>1490</v>
      </c>
      <c r="DO8" s="675">
        <v>0</v>
      </c>
      <c r="DP8" s="675">
        <v>0</v>
      </c>
      <c r="DQ8" s="675">
        <v>0</v>
      </c>
      <c r="DR8" s="675">
        <v>0</v>
      </c>
      <c r="DS8" s="675">
        <v>0</v>
      </c>
      <c r="DT8" s="675">
        <v>0</v>
      </c>
      <c r="DU8" s="675">
        <v>0</v>
      </c>
      <c r="DV8" s="675">
        <v>0</v>
      </c>
      <c r="DW8" s="675">
        <v>0</v>
      </c>
      <c r="DX8" s="675">
        <v>0</v>
      </c>
      <c r="DY8" s="675">
        <v>0</v>
      </c>
      <c r="DZ8" s="675">
        <v>0</v>
      </c>
      <c r="EA8" s="675">
        <v>0</v>
      </c>
      <c r="EB8" s="675">
        <v>0</v>
      </c>
      <c r="EC8" s="675">
        <v>25.132000000000001</v>
      </c>
      <c r="ED8" s="675">
        <v>178034</v>
      </c>
      <c r="EE8" s="675">
        <v>0</v>
      </c>
      <c r="EF8" s="675">
        <v>0</v>
      </c>
      <c r="EG8" s="675">
        <v>0</v>
      </c>
      <c r="EH8" s="675">
        <v>219621</v>
      </c>
      <c r="EI8" s="675">
        <v>0</v>
      </c>
      <c r="EJ8" s="675">
        <v>0</v>
      </c>
      <c r="EK8" s="675">
        <v>9.2530000000000001</v>
      </c>
      <c r="EL8" s="675">
        <v>0</v>
      </c>
      <c r="EM8" s="675">
        <v>9.8000000000000004E-2</v>
      </c>
      <c r="EN8" s="675">
        <v>1.52</v>
      </c>
      <c r="EO8" s="675">
        <v>0</v>
      </c>
      <c r="EP8" s="675">
        <v>0</v>
      </c>
      <c r="EQ8" s="675">
        <v>10.871</v>
      </c>
      <c r="ER8" s="675">
        <v>0</v>
      </c>
      <c r="ES8" s="675">
        <v>35.652999999999999</v>
      </c>
      <c r="ET8" s="675">
        <v>0</v>
      </c>
      <c r="EU8" s="675">
        <v>0</v>
      </c>
      <c r="EV8" s="675">
        <v>0</v>
      </c>
      <c r="EW8" s="675">
        <v>0</v>
      </c>
      <c r="EX8" s="675">
        <v>0</v>
      </c>
      <c r="EY8" s="675">
        <v>0</v>
      </c>
      <c r="EZ8" s="675">
        <v>9796834</v>
      </c>
      <c r="FA8" s="675">
        <v>0</v>
      </c>
      <c r="FB8" s="675">
        <v>10352705</v>
      </c>
      <c r="FC8" s="675">
        <v>0</v>
      </c>
      <c r="FD8" s="675">
        <v>0</v>
      </c>
      <c r="FE8" s="675">
        <v>1052909</v>
      </c>
      <c r="FF8" s="675">
        <v>217770</v>
      </c>
      <c r="FG8" s="675">
        <v>6.3574999999999993E-2</v>
      </c>
      <c r="FH8" s="675">
        <v>2.6297999999999998E-2</v>
      </c>
      <c r="FI8" s="675">
        <v>0</v>
      </c>
      <c r="FJ8" s="675">
        <v>0</v>
      </c>
      <c r="FK8" s="675">
        <v>1680.366</v>
      </c>
      <c r="FL8" s="675">
        <v>11858300</v>
      </c>
      <c r="FM8" s="675">
        <v>0</v>
      </c>
      <c r="FN8" s="675">
        <v>0</v>
      </c>
      <c r="FO8" s="675">
        <v>0</v>
      </c>
      <c r="FP8" s="675">
        <v>0</v>
      </c>
      <c r="FQ8" s="675">
        <v>0</v>
      </c>
      <c r="FR8" s="675">
        <v>0</v>
      </c>
      <c r="FS8" s="675">
        <v>0</v>
      </c>
      <c r="FT8" s="675">
        <v>0</v>
      </c>
      <c r="FU8" s="675">
        <v>0</v>
      </c>
      <c r="FV8" s="675">
        <v>0</v>
      </c>
      <c r="FW8" s="675">
        <v>0</v>
      </c>
      <c r="FX8" s="675">
        <v>0</v>
      </c>
      <c r="FY8" s="675">
        <v>0</v>
      </c>
      <c r="FZ8" s="675">
        <v>0</v>
      </c>
      <c r="GA8" s="675">
        <v>0</v>
      </c>
      <c r="GB8" s="675">
        <v>0</v>
      </c>
      <c r="GC8" s="675">
        <v>0</v>
      </c>
      <c r="GD8" s="675">
        <v>0</v>
      </c>
      <c r="GE8" s="675">
        <v>0</v>
      </c>
      <c r="GF8" s="675">
        <v>0</v>
      </c>
      <c r="GG8" s="675">
        <v>0</v>
      </c>
      <c r="GH8" s="675">
        <v>0</v>
      </c>
      <c r="GI8" s="675">
        <v>0</v>
      </c>
      <c r="GJ8" s="675">
        <v>0</v>
      </c>
      <c r="GK8" s="675">
        <v>0</v>
      </c>
      <c r="GL8" s="675">
        <v>0</v>
      </c>
      <c r="GM8" s="675">
        <v>0</v>
      </c>
      <c r="GN8" s="675">
        <v>0</v>
      </c>
      <c r="GO8" s="675">
        <v>0</v>
      </c>
      <c r="GP8" s="675">
        <v>0</v>
      </c>
      <c r="GQ8" s="675">
        <v>0</v>
      </c>
      <c r="GR8" s="675">
        <v>0</v>
      </c>
      <c r="GS8" s="675">
        <v>0</v>
      </c>
      <c r="GT8" s="675">
        <v>0</v>
      </c>
      <c r="GU8" s="675">
        <v>0</v>
      </c>
      <c r="GV8" s="675">
        <v>0</v>
      </c>
      <c r="GW8" s="675">
        <v>0</v>
      </c>
      <c r="GX8" s="675">
        <v>0</v>
      </c>
      <c r="GY8" s="675">
        <v>0</v>
      </c>
      <c r="GZ8" s="675">
        <v>0</v>
      </c>
      <c r="HA8" s="675">
        <v>0</v>
      </c>
      <c r="HB8" s="675">
        <v>308877260</v>
      </c>
      <c r="HC8" s="675">
        <v>4.4138999999999998E-2</v>
      </c>
      <c r="HD8" s="675">
        <v>234916</v>
      </c>
      <c r="HE8" s="675">
        <v>0</v>
      </c>
      <c r="HF8" s="675">
        <v>1455606</v>
      </c>
      <c r="HG8" s="675">
        <v>17324</v>
      </c>
      <c r="HH8" s="675">
        <v>23071</v>
      </c>
      <c r="HI8" s="675">
        <v>0</v>
      </c>
      <c r="HJ8" s="675">
        <v>12933</v>
      </c>
      <c r="HK8" s="675">
        <v>3186</v>
      </c>
      <c r="HL8" s="675">
        <v>0</v>
      </c>
      <c r="HM8" s="675">
        <v>56000</v>
      </c>
      <c r="HN8" s="675">
        <v>0</v>
      </c>
      <c r="HO8" s="675">
        <v>0</v>
      </c>
      <c r="HP8" s="675">
        <v>0</v>
      </c>
      <c r="HQ8" s="675">
        <v>0</v>
      </c>
      <c r="HR8" s="675">
        <v>0</v>
      </c>
      <c r="HS8" s="675">
        <v>9795344</v>
      </c>
      <c r="HT8" s="675">
        <v>217770</v>
      </c>
      <c r="HU8" s="675">
        <v>0</v>
      </c>
      <c r="HV8" s="675">
        <v>0</v>
      </c>
      <c r="HW8" s="675">
        <v>0</v>
      </c>
      <c r="HX8" s="675">
        <v>86</v>
      </c>
      <c r="HY8" s="675">
        <v>31</v>
      </c>
      <c r="HZ8" s="675">
        <v>4</v>
      </c>
      <c r="IA8" s="675">
        <v>1</v>
      </c>
      <c r="IB8" s="675">
        <v>3</v>
      </c>
      <c r="IC8" s="675">
        <v>125</v>
      </c>
      <c r="ID8" s="675">
        <v>0</v>
      </c>
      <c r="IE8" s="675">
        <v>0</v>
      </c>
      <c r="IF8" s="675">
        <v>0</v>
      </c>
      <c r="IG8" s="675">
        <v>28.123000000000001</v>
      </c>
      <c r="IH8" s="675">
        <v>37.453000000000003</v>
      </c>
      <c r="II8" s="675">
        <v>0</v>
      </c>
      <c r="IJ8" s="675">
        <v>132.83799999999999</v>
      </c>
      <c r="IK8" s="675">
        <v>0</v>
      </c>
      <c r="IL8" s="675">
        <v>1</v>
      </c>
      <c r="IM8" s="675">
        <v>17</v>
      </c>
      <c r="IN8" s="675">
        <v>0</v>
      </c>
      <c r="IO8" s="675">
        <v>18</v>
      </c>
      <c r="IP8" s="675">
        <v>0</v>
      </c>
      <c r="IQ8" s="675">
        <v>132.83799999999999</v>
      </c>
      <c r="IR8" s="675">
        <v>81828</v>
      </c>
      <c r="IS8" s="675">
        <v>0</v>
      </c>
      <c r="IT8" s="675">
        <v>5000</v>
      </c>
      <c r="IU8" s="675">
        <v>51000</v>
      </c>
      <c r="IV8" s="675">
        <v>0</v>
      </c>
      <c r="IW8" s="675">
        <v>6160</v>
      </c>
      <c r="IX8" s="675">
        <v>0</v>
      </c>
      <c r="IY8" s="675">
        <v>0</v>
      </c>
      <c r="IZ8" s="675">
        <v>0</v>
      </c>
      <c r="JA8" s="675">
        <v>0</v>
      </c>
      <c r="JB8" s="675">
        <v>0</v>
      </c>
      <c r="JC8" s="675">
        <v>0</v>
      </c>
      <c r="JD8" s="675">
        <v>0</v>
      </c>
      <c r="JE8" s="675">
        <v>0</v>
      </c>
      <c r="JF8" s="675">
        <v>0</v>
      </c>
      <c r="JG8" s="675">
        <v>0</v>
      </c>
      <c r="JH8" s="675">
        <v>0</v>
      </c>
      <c r="JI8" s="675">
        <v>0</v>
      </c>
      <c r="JJ8" s="675">
        <v>0</v>
      </c>
      <c r="JK8" s="675">
        <v>0</v>
      </c>
      <c r="JL8" s="675">
        <v>0</v>
      </c>
      <c r="JM8" s="675">
        <v>0</v>
      </c>
      <c r="JN8" s="675">
        <v>32469</v>
      </c>
      <c r="JO8" s="675">
        <v>0</v>
      </c>
      <c r="JP8" s="675">
        <v>0</v>
      </c>
      <c r="JQ8" s="675">
        <v>0</v>
      </c>
      <c r="JR8" s="675">
        <v>0</v>
      </c>
      <c r="JS8" s="675">
        <v>0</v>
      </c>
      <c r="JT8" s="675">
        <v>0</v>
      </c>
      <c r="JU8" s="675">
        <v>0</v>
      </c>
      <c r="JV8" s="675">
        <v>0</v>
      </c>
      <c r="JW8" s="675">
        <v>0</v>
      </c>
      <c r="JX8" s="675">
        <v>0</v>
      </c>
      <c r="JY8" s="675">
        <v>0</v>
      </c>
      <c r="JZ8" s="675">
        <v>0</v>
      </c>
      <c r="KA8" s="675">
        <v>0</v>
      </c>
      <c r="KB8" s="675">
        <v>0</v>
      </c>
      <c r="KC8" s="675">
        <v>0</v>
      </c>
      <c r="KD8" s="675">
        <v>0</v>
      </c>
      <c r="KE8" s="675">
        <v>7263</v>
      </c>
      <c r="KF8" s="675">
        <v>0</v>
      </c>
      <c r="KG8" s="675">
        <v>0</v>
      </c>
      <c r="KH8" s="675">
        <v>0</v>
      </c>
      <c r="KI8" s="675">
        <v>0</v>
      </c>
    </row>
    <row r="9" spans="1:295" ht="12.5" x14ac:dyDescent="0.25">
      <c r="A9" s="675">
        <v>35795</v>
      </c>
      <c r="B9" s="675">
        <v>70801</v>
      </c>
      <c r="C9" s="675">
        <v>7</v>
      </c>
      <c r="D9" s="675">
        <v>2022</v>
      </c>
      <c r="E9" s="675">
        <v>6160</v>
      </c>
      <c r="F9" s="675">
        <v>0</v>
      </c>
      <c r="G9" s="675">
        <v>2287.7980000000002</v>
      </c>
      <c r="H9" s="675">
        <v>2141.7460000000001</v>
      </c>
      <c r="I9" s="675">
        <v>2141.7460000000001</v>
      </c>
      <c r="J9" s="675">
        <v>2287.7980000000002</v>
      </c>
      <c r="K9" s="675">
        <v>0</v>
      </c>
      <c r="L9" s="675">
        <v>6160</v>
      </c>
      <c r="M9" s="675">
        <v>0</v>
      </c>
      <c r="N9" s="675">
        <v>0</v>
      </c>
      <c r="O9" s="675">
        <v>0</v>
      </c>
      <c r="P9" s="675">
        <v>2389.4</v>
      </c>
      <c r="Q9" s="675">
        <v>0</v>
      </c>
      <c r="R9" s="675">
        <v>961561</v>
      </c>
      <c r="S9" s="675">
        <v>402.428</v>
      </c>
      <c r="T9" s="675">
        <v>0</v>
      </c>
      <c r="U9" s="675">
        <v>511333</v>
      </c>
      <c r="V9" s="675">
        <v>786.923</v>
      </c>
      <c r="W9" s="675">
        <v>947523</v>
      </c>
      <c r="X9" s="675">
        <v>947523</v>
      </c>
      <c r="Y9" s="675">
        <v>0</v>
      </c>
      <c r="Z9" s="675">
        <v>0</v>
      </c>
      <c r="AA9" s="675">
        <v>0</v>
      </c>
      <c r="AB9" s="675">
        <v>0</v>
      </c>
      <c r="AC9" s="675">
        <v>0</v>
      </c>
      <c r="AD9" s="675" t="s">
        <v>316</v>
      </c>
      <c r="AE9" s="675">
        <v>0</v>
      </c>
      <c r="AF9" s="675">
        <v>0</v>
      </c>
      <c r="AG9" s="675">
        <v>0</v>
      </c>
      <c r="AH9" s="675">
        <v>0</v>
      </c>
      <c r="AI9" s="675">
        <v>0</v>
      </c>
      <c r="AJ9" s="675">
        <v>6160</v>
      </c>
      <c r="AK9" s="675" t="s">
        <v>671</v>
      </c>
      <c r="AL9" s="675" t="s">
        <v>50</v>
      </c>
      <c r="AM9" s="675">
        <v>0</v>
      </c>
      <c r="AN9" s="675">
        <v>0</v>
      </c>
      <c r="AO9" s="675">
        <v>0</v>
      </c>
      <c r="AP9" s="675">
        <v>0</v>
      </c>
      <c r="AQ9" s="675">
        <v>0</v>
      </c>
      <c r="AR9" s="675">
        <v>0</v>
      </c>
      <c r="AS9" s="675">
        <v>0</v>
      </c>
      <c r="AT9" s="675">
        <v>0</v>
      </c>
      <c r="AU9" s="675">
        <v>0</v>
      </c>
      <c r="AV9" s="675">
        <v>-35018</v>
      </c>
      <c r="AW9" s="675">
        <v>26030158</v>
      </c>
      <c r="AX9" s="675">
        <v>25632737</v>
      </c>
      <c r="AY9" s="675">
        <v>17889212</v>
      </c>
      <c r="AZ9" s="675">
        <v>961561</v>
      </c>
      <c r="BA9" s="675">
        <v>0</v>
      </c>
      <c r="BB9" s="675">
        <v>31046</v>
      </c>
      <c r="BC9" s="675">
        <v>30845</v>
      </c>
      <c r="BD9" s="675">
        <v>72</v>
      </c>
      <c r="BE9" s="675">
        <v>201</v>
      </c>
      <c r="BF9" s="675">
        <v>23679157</v>
      </c>
      <c r="BG9" s="675">
        <v>0</v>
      </c>
      <c r="BH9" s="675">
        <v>0</v>
      </c>
      <c r="BI9" s="675">
        <v>0</v>
      </c>
      <c r="BJ9" s="675">
        <v>12</v>
      </c>
      <c r="BK9" s="675">
        <v>0</v>
      </c>
      <c r="BL9" s="675">
        <v>0</v>
      </c>
      <c r="BM9" s="675">
        <v>0</v>
      </c>
      <c r="BN9" s="675">
        <v>0</v>
      </c>
      <c r="BO9" s="675">
        <v>0</v>
      </c>
      <c r="BP9" s="675">
        <v>0</v>
      </c>
      <c r="BQ9" s="675">
        <v>440</v>
      </c>
      <c r="BR9" s="675">
        <v>0</v>
      </c>
      <c r="BS9" s="675">
        <v>0</v>
      </c>
      <c r="BT9" s="675">
        <v>0</v>
      </c>
      <c r="BU9" s="675">
        <v>0</v>
      </c>
      <c r="BV9" s="675">
        <v>0</v>
      </c>
      <c r="BW9" s="675">
        <v>0</v>
      </c>
      <c r="BX9" s="675">
        <v>0</v>
      </c>
      <c r="BY9" s="675">
        <v>0</v>
      </c>
      <c r="BZ9" s="675">
        <v>0</v>
      </c>
      <c r="CA9" s="675">
        <v>0</v>
      </c>
      <c r="CB9" s="675">
        <v>0</v>
      </c>
      <c r="CC9" s="675">
        <v>0</v>
      </c>
      <c r="CD9" s="675">
        <v>0</v>
      </c>
      <c r="CE9" s="675">
        <v>0</v>
      </c>
      <c r="CF9" s="675">
        <v>0</v>
      </c>
      <c r="CG9" s="675">
        <v>0</v>
      </c>
      <c r="CH9" s="675">
        <v>403923</v>
      </c>
      <c r="CI9" s="675">
        <v>0</v>
      </c>
      <c r="CJ9" s="675">
        <v>4</v>
      </c>
      <c r="CK9" s="675">
        <v>0</v>
      </c>
      <c r="CL9" s="675">
        <v>0</v>
      </c>
      <c r="CM9" s="675">
        <v>0</v>
      </c>
      <c r="CN9" s="675">
        <v>0</v>
      </c>
      <c r="CO9" s="675">
        <v>1</v>
      </c>
      <c r="CP9" s="675">
        <v>0</v>
      </c>
      <c r="CQ9" s="675">
        <v>0</v>
      </c>
      <c r="CR9" s="675">
        <v>2460.123</v>
      </c>
      <c r="CS9" s="675">
        <v>0</v>
      </c>
      <c r="CT9" s="675">
        <v>0</v>
      </c>
      <c r="CU9" s="675">
        <v>0</v>
      </c>
      <c r="CV9" s="675">
        <v>0</v>
      </c>
      <c r="CW9" s="675">
        <v>0</v>
      </c>
      <c r="CX9" s="675">
        <v>0</v>
      </c>
      <c r="CY9" s="675">
        <v>0</v>
      </c>
      <c r="CZ9" s="675">
        <v>0</v>
      </c>
      <c r="DA9" s="675">
        <v>0</v>
      </c>
      <c r="DB9" s="675">
        <v>13193094</v>
      </c>
      <c r="DC9" s="675">
        <v>0</v>
      </c>
      <c r="DD9" s="675">
        <v>0</v>
      </c>
      <c r="DE9" s="675">
        <v>4112551</v>
      </c>
      <c r="DF9" s="675">
        <v>4112551</v>
      </c>
      <c r="DG9" s="675">
        <v>667.625</v>
      </c>
      <c r="DH9" s="675">
        <v>0</v>
      </c>
      <c r="DI9" s="675">
        <v>0</v>
      </c>
      <c r="DJ9" s="675">
        <v>0</v>
      </c>
      <c r="DK9" s="675">
        <v>0</v>
      </c>
      <c r="DL9" s="675">
        <v>0</v>
      </c>
      <c r="DM9" s="675">
        <v>1674991</v>
      </c>
      <c r="DN9" s="675">
        <v>6301</v>
      </c>
      <c r="DO9" s="675">
        <v>0</v>
      </c>
      <c r="DP9" s="675">
        <v>0</v>
      </c>
      <c r="DQ9" s="675">
        <v>0</v>
      </c>
      <c r="DR9" s="675">
        <v>0</v>
      </c>
      <c r="DS9" s="675">
        <v>0</v>
      </c>
      <c r="DT9" s="675">
        <v>0</v>
      </c>
      <c r="DU9" s="675">
        <v>0</v>
      </c>
      <c r="DV9" s="675">
        <v>0</v>
      </c>
      <c r="DW9" s="675">
        <v>0</v>
      </c>
      <c r="DX9" s="675">
        <v>0</v>
      </c>
      <c r="DY9" s="675">
        <v>0</v>
      </c>
      <c r="DZ9" s="675">
        <v>0</v>
      </c>
      <c r="EA9" s="675">
        <v>0</v>
      </c>
      <c r="EB9" s="675">
        <v>0</v>
      </c>
      <c r="EC9" s="675">
        <v>41.975000000000001</v>
      </c>
      <c r="ED9" s="675">
        <v>297350</v>
      </c>
      <c r="EE9" s="675">
        <v>0</v>
      </c>
      <c r="EF9" s="675">
        <v>0</v>
      </c>
      <c r="EG9" s="675">
        <v>0</v>
      </c>
      <c r="EH9" s="675">
        <v>1383942</v>
      </c>
      <c r="EI9" s="675">
        <v>0</v>
      </c>
      <c r="EJ9" s="675">
        <v>0</v>
      </c>
      <c r="EK9" s="675">
        <v>67.850999999999999</v>
      </c>
      <c r="EL9" s="675">
        <v>0</v>
      </c>
      <c r="EM9" s="675">
        <v>1.1930000000000001</v>
      </c>
      <c r="EN9" s="675">
        <v>3.5070000000000001</v>
      </c>
      <c r="EO9" s="675">
        <v>0</v>
      </c>
      <c r="EP9" s="675">
        <v>0</v>
      </c>
      <c r="EQ9" s="675">
        <v>72.551000000000002</v>
      </c>
      <c r="ER9" s="675">
        <v>0</v>
      </c>
      <c r="ES9" s="675">
        <v>224.667</v>
      </c>
      <c r="ET9" s="675">
        <v>0</v>
      </c>
      <c r="EU9" s="675">
        <v>0</v>
      </c>
      <c r="EV9" s="675">
        <v>0</v>
      </c>
      <c r="EW9" s="675">
        <v>0</v>
      </c>
      <c r="EX9" s="675">
        <v>0</v>
      </c>
      <c r="EY9" s="675">
        <v>0</v>
      </c>
      <c r="EZ9" s="675">
        <v>22725908</v>
      </c>
      <c r="FA9" s="675">
        <v>0</v>
      </c>
      <c r="FB9" s="675">
        <v>23680967</v>
      </c>
      <c r="FC9" s="675">
        <v>0</v>
      </c>
      <c r="FD9" s="675">
        <v>0</v>
      </c>
      <c r="FE9" s="675">
        <v>2408655</v>
      </c>
      <c r="FF9" s="675">
        <v>498174</v>
      </c>
      <c r="FG9" s="675">
        <v>6.3574999999999993E-2</v>
      </c>
      <c r="FH9" s="675">
        <v>2.6297999999999998E-2</v>
      </c>
      <c r="FI9" s="675">
        <v>0</v>
      </c>
      <c r="FJ9" s="675">
        <v>0</v>
      </c>
      <c r="FK9" s="675">
        <v>3844.0370000000003</v>
      </c>
      <c r="FL9" s="675">
        <v>26991719</v>
      </c>
      <c r="FM9" s="675">
        <v>0</v>
      </c>
      <c r="FN9" s="675">
        <v>0</v>
      </c>
      <c r="FO9" s="675">
        <v>0</v>
      </c>
      <c r="FP9" s="675">
        <v>0</v>
      </c>
      <c r="FQ9" s="675">
        <v>0</v>
      </c>
      <c r="FR9" s="675">
        <v>0</v>
      </c>
      <c r="FS9" s="675">
        <v>0</v>
      </c>
      <c r="FT9" s="675">
        <v>0</v>
      </c>
      <c r="FU9" s="675">
        <v>0</v>
      </c>
      <c r="FV9" s="675">
        <v>0</v>
      </c>
      <c r="FW9" s="675">
        <v>0</v>
      </c>
      <c r="FX9" s="675">
        <v>0</v>
      </c>
      <c r="FY9" s="675">
        <v>0</v>
      </c>
      <c r="FZ9" s="675">
        <v>0</v>
      </c>
      <c r="GA9" s="675">
        <v>0</v>
      </c>
      <c r="GB9" s="675">
        <v>715882</v>
      </c>
      <c r="GC9" s="675">
        <v>715882</v>
      </c>
      <c r="GD9" s="675">
        <v>73.501000000000005</v>
      </c>
      <c r="GE9" s="675">
        <v>0</v>
      </c>
      <c r="GF9" s="675">
        <v>0</v>
      </c>
      <c r="GG9" s="675">
        <v>0</v>
      </c>
      <c r="GH9" s="675">
        <v>0</v>
      </c>
      <c r="GI9" s="675">
        <v>0</v>
      </c>
      <c r="GJ9" s="675">
        <v>0</v>
      </c>
      <c r="GK9" s="675">
        <v>0</v>
      </c>
      <c r="GL9" s="675">
        <v>0</v>
      </c>
      <c r="GM9" s="675">
        <v>0</v>
      </c>
      <c r="GN9" s="675">
        <v>0</v>
      </c>
      <c r="GO9" s="675">
        <v>0</v>
      </c>
      <c r="GP9" s="675">
        <v>0</v>
      </c>
      <c r="GQ9" s="675">
        <v>0</v>
      </c>
      <c r="GR9" s="675">
        <v>0</v>
      </c>
      <c r="GS9" s="675">
        <v>0</v>
      </c>
      <c r="GT9" s="675">
        <v>0</v>
      </c>
      <c r="GU9" s="675">
        <v>0</v>
      </c>
      <c r="GV9" s="675">
        <v>0</v>
      </c>
      <c r="GW9" s="675">
        <v>0</v>
      </c>
      <c r="GX9" s="675">
        <v>0</v>
      </c>
      <c r="GY9" s="675">
        <v>0</v>
      </c>
      <c r="GZ9" s="675">
        <v>0</v>
      </c>
      <c r="HA9" s="675">
        <v>0</v>
      </c>
      <c r="HB9" s="675">
        <v>308877260</v>
      </c>
      <c r="HC9" s="675">
        <v>4.4138999999999998E-2</v>
      </c>
      <c r="HD9" s="675">
        <v>403923</v>
      </c>
      <c r="HE9" s="675">
        <v>0</v>
      </c>
      <c r="HF9" s="675">
        <v>2362346</v>
      </c>
      <c r="HG9" s="675">
        <v>15400</v>
      </c>
      <c r="HH9" s="675">
        <v>589786</v>
      </c>
      <c r="HI9" s="675">
        <v>0</v>
      </c>
      <c r="HJ9" s="675">
        <v>22237</v>
      </c>
      <c r="HK9" s="675">
        <v>7488</v>
      </c>
      <c r="HL9" s="675">
        <v>824</v>
      </c>
      <c r="HM9" s="675">
        <v>8000</v>
      </c>
      <c r="HN9" s="675">
        <v>0</v>
      </c>
      <c r="HO9" s="675">
        <v>0</v>
      </c>
      <c r="HP9" s="675">
        <v>0</v>
      </c>
      <c r="HQ9" s="675">
        <v>0</v>
      </c>
      <c r="HR9" s="675">
        <v>0</v>
      </c>
      <c r="HS9" s="675">
        <v>22719406</v>
      </c>
      <c r="HT9" s="675">
        <v>498174</v>
      </c>
      <c r="HU9" s="675">
        <v>0</v>
      </c>
      <c r="HV9" s="675">
        <v>0</v>
      </c>
      <c r="HW9" s="675">
        <v>0</v>
      </c>
      <c r="HX9" s="675">
        <v>254</v>
      </c>
      <c r="HY9" s="675">
        <v>214</v>
      </c>
      <c r="HZ9" s="675">
        <v>277</v>
      </c>
      <c r="IA9" s="675">
        <v>544</v>
      </c>
      <c r="IB9" s="675">
        <v>1264</v>
      </c>
      <c r="IC9" s="675">
        <v>2553</v>
      </c>
      <c r="ID9" s="675">
        <v>0</v>
      </c>
      <c r="IE9" s="675">
        <v>489.54</v>
      </c>
      <c r="IF9" s="675">
        <v>33.920999999999999</v>
      </c>
      <c r="IG9" s="675">
        <v>25</v>
      </c>
      <c r="IH9" s="675">
        <v>957.45</v>
      </c>
      <c r="II9" s="675">
        <v>0</v>
      </c>
      <c r="IJ9" s="675">
        <v>1310.384</v>
      </c>
      <c r="IK9" s="675">
        <v>0</v>
      </c>
      <c r="IL9" s="675">
        <v>1</v>
      </c>
      <c r="IM9" s="675">
        <v>1</v>
      </c>
      <c r="IN9" s="675">
        <v>0</v>
      </c>
      <c r="IO9" s="675">
        <v>2</v>
      </c>
      <c r="IP9" s="675">
        <v>0</v>
      </c>
      <c r="IQ9" s="675">
        <v>786.923</v>
      </c>
      <c r="IR9" s="675">
        <v>484742</v>
      </c>
      <c r="IS9" s="675">
        <v>0</v>
      </c>
      <c r="IT9" s="675">
        <v>5000</v>
      </c>
      <c r="IU9" s="675">
        <v>3000</v>
      </c>
      <c r="IV9" s="675">
        <v>0</v>
      </c>
      <c r="IW9" s="675">
        <v>6160</v>
      </c>
      <c r="IX9" s="675">
        <v>452333</v>
      </c>
      <c r="IY9" s="675">
        <v>10448</v>
      </c>
      <c r="IZ9" s="675">
        <v>0</v>
      </c>
      <c r="JA9" s="675">
        <v>0</v>
      </c>
      <c r="JB9" s="675">
        <v>0</v>
      </c>
      <c r="JC9" s="675">
        <v>0</v>
      </c>
      <c r="JD9" s="675">
        <v>0</v>
      </c>
      <c r="JE9" s="675">
        <v>0</v>
      </c>
      <c r="JF9" s="675">
        <v>0</v>
      </c>
      <c r="JG9" s="675">
        <v>0</v>
      </c>
      <c r="JH9" s="675">
        <v>0</v>
      </c>
      <c r="JI9" s="675">
        <v>0</v>
      </c>
      <c r="JJ9" s="675">
        <v>0</v>
      </c>
      <c r="JK9" s="675">
        <v>0</v>
      </c>
      <c r="JL9" s="675">
        <v>0</v>
      </c>
      <c r="JM9" s="675">
        <v>0</v>
      </c>
      <c r="JN9" s="675">
        <v>32469</v>
      </c>
      <c r="JO9" s="675">
        <v>1.69</v>
      </c>
      <c r="JP9" s="675">
        <v>46.6</v>
      </c>
      <c r="JQ9" s="675">
        <v>25.21</v>
      </c>
      <c r="JR9" s="675">
        <v>13502</v>
      </c>
      <c r="JS9" s="675">
        <v>433223</v>
      </c>
      <c r="JT9" s="675">
        <v>269157</v>
      </c>
      <c r="JU9" s="675">
        <v>31046</v>
      </c>
      <c r="JV9" s="675">
        <v>0</v>
      </c>
      <c r="JW9" s="675">
        <v>0</v>
      </c>
      <c r="JX9" s="675">
        <v>0</v>
      </c>
      <c r="JY9" s="675">
        <v>0</v>
      </c>
      <c r="JZ9" s="675">
        <v>0</v>
      </c>
      <c r="KA9" s="675">
        <v>0</v>
      </c>
      <c r="KB9" s="675">
        <v>0</v>
      </c>
      <c r="KC9" s="675">
        <v>0</v>
      </c>
      <c r="KD9" s="675">
        <v>31046</v>
      </c>
      <c r="KE9" s="675">
        <v>7263</v>
      </c>
      <c r="KF9" s="675">
        <v>0</v>
      </c>
      <c r="KG9" s="675">
        <v>0</v>
      </c>
      <c r="KH9" s="675">
        <v>0</v>
      </c>
      <c r="KI9" s="675">
        <v>0</v>
      </c>
    </row>
    <row r="10" spans="1:295" ht="12.5" x14ac:dyDescent="0.25">
      <c r="A10" s="675">
        <v>35795</v>
      </c>
      <c r="B10" s="675">
        <v>71801</v>
      </c>
      <c r="C10" s="675">
        <v>7</v>
      </c>
      <c r="D10" s="675">
        <v>2022</v>
      </c>
      <c r="E10" s="675">
        <v>6160</v>
      </c>
      <c r="F10" s="675">
        <v>0</v>
      </c>
      <c r="G10" s="675">
        <v>1253.1010000000001</v>
      </c>
      <c r="H10" s="675">
        <v>1182.5730000000001</v>
      </c>
      <c r="I10" s="675">
        <v>1182.5730000000001</v>
      </c>
      <c r="J10" s="675">
        <v>1253.1010000000001</v>
      </c>
      <c r="K10" s="675">
        <v>0</v>
      </c>
      <c r="L10" s="675">
        <v>6160</v>
      </c>
      <c r="M10" s="675">
        <v>0</v>
      </c>
      <c r="N10" s="675">
        <v>0</v>
      </c>
      <c r="O10" s="675">
        <v>0</v>
      </c>
      <c r="P10" s="675">
        <v>1149.5050000000001</v>
      </c>
      <c r="Q10" s="675">
        <v>0</v>
      </c>
      <c r="R10" s="675">
        <v>462593</v>
      </c>
      <c r="S10" s="675">
        <v>402.428</v>
      </c>
      <c r="T10" s="675">
        <v>0</v>
      </c>
      <c r="U10" s="675">
        <v>245995</v>
      </c>
      <c r="V10" s="675">
        <v>390.20800000000003</v>
      </c>
      <c r="W10" s="675">
        <v>366732</v>
      </c>
      <c r="X10" s="675">
        <v>366732</v>
      </c>
      <c r="Y10" s="675">
        <v>0</v>
      </c>
      <c r="Z10" s="675">
        <v>0</v>
      </c>
      <c r="AA10" s="675">
        <v>0</v>
      </c>
      <c r="AB10" s="675">
        <v>0</v>
      </c>
      <c r="AC10" s="675">
        <v>0</v>
      </c>
      <c r="AD10" s="675" t="s">
        <v>316</v>
      </c>
      <c r="AE10" s="675">
        <v>0</v>
      </c>
      <c r="AF10" s="675">
        <v>0</v>
      </c>
      <c r="AG10" s="675">
        <v>0</v>
      </c>
      <c r="AH10" s="675">
        <v>0</v>
      </c>
      <c r="AI10" s="675">
        <v>0</v>
      </c>
      <c r="AJ10" s="675">
        <v>6160</v>
      </c>
      <c r="AK10" s="675" t="s">
        <v>671</v>
      </c>
      <c r="AL10" s="675" t="s">
        <v>85</v>
      </c>
      <c r="AM10" s="675">
        <v>0</v>
      </c>
      <c r="AN10" s="675">
        <v>0</v>
      </c>
      <c r="AO10" s="675">
        <v>0</v>
      </c>
      <c r="AP10" s="675">
        <v>0</v>
      </c>
      <c r="AQ10" s="675">
        <v>0</v>
      </c>
      <c r="AR10" s="675">
        <v>0</v>
      </c>
      <c r="AS10" s="675">
        <v>0</v>
      </c>
      <c r="AT10" s="675">
        <v>0</v>
      </c>
      <c r="AU10" s="675">
        <v>0</v>
      </c>
      <c r="AV10" s="675">
        <v>-8115</v>
      </c>
      <c r="AW10" s="675">
        <v>12238886</v>
      </c>
      <c r="AX10" s="675">
        <v>12018485</v>
      </c>
      <c r="AY10" s="675">
        <v>7664599</v>
      </c>
      <c r="AZ10" s="675">
        <v>462593</v>
      </c>
      <c r="BA10" s="675">
        <v>0</v>
      </c>
      <c r="BB10" s="675">
        <v>0</v>
      </c>
      <c r="BC10" s="675">
        <v>0</v>
      </c>
      <c r="BD10" s="675">
        <v>0</v>
      </c>
      <c r="BE10" s="675">
        <v>0</v>
      </c>
      <c r="BF10" s="675">
        <v>11112568</v>
      </c>
      <c r="BG10" s="675">
        <v>0</v>
      </c>
      <c r="BH10" s="675">
        <v>0</v>
      </c>
      <c r="BI10" s="675">
        <v>0</v>
      </c>
      <c r="BJ10" s="675">
        <v>12</v>
      </c>
      <c r="BK10" s="675">
        <v>0</v>
      </c>
      <c r="BL10" s="675">
        <v>0</v>
      </c>
      <c r="BM10" s="675">
        <v>0</v>
      </c>
      <c r="BN10" s="675">
        <v>0</v>
      </c>
      <c r="BO10" s="675">
        <v>0</v>
      </c>
      <c r="BP10" s="675">
        <v>0</v>
      </c>
      <c r="BQ10" s="675">
        <v>588</v>
      </c>
      <c r="BR10" s="675">
        <v>0</v>
      </c>
      <c r="BS10" s="675">
        <v>0</v>
      </c>
      <c r="BT10" s="675">
        <v>0</v>
      </c>
      <c r="BU10" s="675">
        <v>0</v>
      </c>
      <c r="BV10" s="675">
        <v>0</v>
      </c>
      <c r="BW10" s="675">
        <v>0</v>
      </c>
      <c r="BX10" s="675">
        <v>0</v>
      </c>
      <c r="BY10" s="675">
        <v>0</v>
      </c>
      <c r="BZ10" s="675">
        <v>0</v>
      </c>
      <c r="CA10" s="675">
        <v>0</v>
      </c>
      <c r="CB10" s="675">
        <v>0</v>
      </c>
      <c r="CC10" s="675">
        <v>0</v>
      </c>
      <c r="CD10" s="675">
        <v>0</v>
      </c>
      <c r="CE10" s="675">
        <v>0</v>
      </c>
      <c r="CF10" s="675">
        <v>0</v>
      </c>
      <c r="CG10" s="675">
        <v>0</v>
      </c>
      <c r="CH10" s="675">
        <v>221242</v>
      </c>
      <c r="CI10" s="675">
        <v>0</v>
      </c>
      <c r="CJ10" s="675">
        <v>4</v>
      </c>
      <c r="CK10" s="675">
        <v>0</v>
      </c>
      <c r="CL10" s="675">
        <v>0</v>
      </c>
      <c r="CM10" s="675">
        <v>0</v>
      </c>
      <c r="CN10" s="675">
        <v>0</v>
      </c>
      <c r="CO10" s="675">
        <v>1</v>
      </c>
      <c r="CP10" s="675">
        <v>0</v>
      </c>
      <c r="CQ10" s="675">
        <v>0</v>
      </c>
      <c r="CR10" s="675">
        <v>1131.7160000000001</v>
      </c>
      <c r="CS10" s="675">
        <v>0</v>
      </c>
      <c r="CT10" s="675">
        <v>0</v>
      </c>
      <c r="CU10" s="675">
        <v>0</v>
      </c>
      <c r="CV10" s="675">
        <v>0</v>
      </c>
      <c r="CW10" s="675">
        <v>0</v>
      </c>
      <c r="CX10" s="675">
        <v>0</v>
      </c>
      <c r="CY10" s="675">
        <v>0</v>
      </c>
      <c r="CZ10" s="675">
        <v>0</v>
      </c>
      <c r="DA10" s="675">
        <v>0</v>
      </c>
      <c r="DB10" s="675">
        <v>7176824</v>
      </c>
      <c r="DC10" s="675">
        <v>0</v>
      </c>
      <c r="DD10" s="675">
        <v>0</v>
      </c>
      <c r="DE10" s="675">
        <v>1004922</v>
      </c>
      <c r="DF10" s="675">
        <v>1004922</v>
      </c>
      <c r="DG10" s="675">
        <v>163.13800000000001</v>
      </c>
      <c r="DH10" s="675">
        <v>0</v>
      </c>
      <c r="DI10" s="675">
        <v>0</v>
      </c>
      <c r="DJ10" s="675">
        <v>0</v>
      </c>
      <c r="DK10" s="675">
        <v>1029</v>
      </c>
      <c r="DL10" s="675">
        <v>0</v>
      </c>
      <c r="DM10" s="675">
        <v>331373</v>
      </c>
      <c r="DN10" s="675">
        <v>841</v>
      </c>
      <c r="DO10" s="675">
        <v>0</v>
      </c>
      <c r="DP10" s="675">
        <v>0</v>
      </c>
      <c r="DQ10" s="675">
        <v>0</v>
      </c>
      <c r="DR10" s="675">
        <v>0</v>
      </c>
      <c r="DS10" s="675">
        <v>0</v>
      </c>
      <c r="DT10" s="675">
        <v>0</v>
      </c>
      <c r="DU10" s="675">
        <v>0</v>
      </c>
      <c r="DV10" s="675">
        <v>0</v>
      </c>
      <c r="DW10" s="675">
        <v>0</v>
      </c>
      <c r="DX10" s="675">
        <v>0</v>
      </c>
      <c r="DY10" s="675">
        <v>0</v>
      </c>
      <c r="DZ10" s="675">
        <v>0</v>
      </c>
      <c r="EA10" s="675">
        <v>0</v>
      </c>
      <c r="EB10" s="675">
        <v>0</v>
      </c>
      <c r="EC10" s="675">
        <v>25.009</v>
      </c>
      <c r="ED10" s="675">
        <v>177163</v>
      </c>
      <c r="EE10" s="675">
        <v>0</v>
      </c>
      <c r="EF10" s="675">
        <v>0</v>
      </c>
      <c r="EG10" s="675">
        <v>0</v>
      </c>
      <c r="EH10" s="675">
        <v>47259</v>
      </c>
      <c r="EI10" s="675">
        <v>0</v>
      </c>
      <c r="EJ10" s="675">
        <v>0</v>
      </c>
      <c r="EK10" s="675">
        <v>1.514</v>
      </c>
      <c r="EL10" s="675">
        <v>0</v>
      </c>
      <c r="EM10" s="675">
        <v>0</v>
      </c>
      <c r="EN10" s="675">
        <v>0.626</v>
      </c>
      <c r="EO10" s="675">
        <v>0</v>
      </c>
      <c r="EP10" s="675">
        <v>0</v>
      </c>
      <c r="EQ10" s="675">
        <v>2.14</v>
      </c>
      <c r="ER10" s="675">
        <v>0</v>
      </c>
      <c r="ES10" s="675">
        <v>7.6720000000000006</v>
      </c>
      <c r="ET10" s="675">
        <v>0</v>
      </c>
      <c r="EU10" s="675">
        <v>0</v>
      </c>
      <c r="EV10" s="675">
        <v>0</v>
      </c>
      <c r="EW10" s="675">
        <v>0</v>
      </c>
      <c r="EX10" s="675">
        <v>0</v>
      </c>
      <c r="EY10" s="675">
        <v>0</v>
      </c>
      <c r="EZ10" s="675">
        <v>10654317</v>
      </c>
      <c r="FA10" s="675">
        <v>0</v>
      </c>
      <c r="FB10" s="675">
        <v>11116069</v>
      </c>
      <c r="FC10" s="675">
        <v>0</v>
      </c>
      <c r="FD10" s="675">
        <v>0</v>
      </c>
      <c r="FE10" s="675">
        <v>1130376</v>
      </c>
      <c r="FF10" s="675">
        <v>233792</v>
      </c>
      <c r="FG10" s="675">
        <v>6.3574999999999993E-2</v>
      </c>
      <c r="FH10" s="675">
        <v>2.6297999999999998E-2</v>
      </c>
      <c r="FI10" s="675">
        <v>0</v>
      </c>
      <c r="FJ10" s="675">
        <v>0</v>
      </c>
      <c r="FK10" s="675">
        <v>1803.9970000000001</v>
      </c>
      <c r="FL10" s="675">
        <v>12701479</v>
      </c>
      <c r="FM10" s="675">
        <v>0</v>
      </c>
      <c r="FN10" s="675">
        <v>0</v>
      </c>
      <c r="FO10" s="675">
        <v>0</v>
      </c>
      <c r="FP10" s="675">
        <v>0</v>
      </c>
      <c r="FQ10" s="675">
        <v>0</v>
      </c>
      <c r="FR10" s="675">
        <v>0</v>
      </c>
      <c r="FS10" s="675">
        <v>0</v>
      </c>
      <c r="FT10" s="675">
        <v>0</v>
      </c>
      <c r="FU10" s="675">
        <v>0</v>
      </c>
      <c r="FV10" s="675">
        <v>0</v>
      </c>
      <c r="FW10" s="675">
        <v>0</v>
      </c>
      <c r="FX10" s="675">
        <v>0</v>
      </c>
      <c r="FY10" s="675">
        <v>0</v>
      </c>
      <c r="FZ10" s="675">
        <v>0</v>
      </c>
      <c r="GA10" s="675">
        <v>0</v>
      </c>
      <c r="GB10" s="675">
        <v>671524</v>
      </c>
      <c r="GC10" s="675">
        <v>671524</v>
      </c>
      <c r="GD10" s="675">
        <v>68.388000000000005</v>
      </c>
      <c r="GE10" s="675">
        <v>0</v>
      </c>
      <c r="GF10" s="675">
        <v>0</v>
      </c>
      <c r="GG10" s="675">
        <v>0</v>
      </c>
      <c r="GH10" s="675">
        <v>0</v>
      </c>
      <c r="GI10" s="675">
        <v>0</v>
      </c>
      <c r="GJ10" s="675">
        <v>0</v>
      </c>
      <c r="GK10" s="675">
        <v>0</v>
      </c>
      <c r="GL10" s="675">
        <v>0</v>
      </c>
      <c r="GM10" s="675">
        <v>0</v>
      </c>
      <c r="GN10" s="675">
        <v>0</v>
      </c>
      <c r="GO10" s="675">
        <v>0</v>
      </c>
      <c r="GP10" s="675">
        <v>0</v>
      </c>
      <c r="GQ10" s="675">
        <v>0</v>
      </c>
      <c r="GR10" s="675">
        <v>0</v>
      </c>
      <c r="GS10" s="675">
        <v>0</v>
      </c>
      <c r="GT10" s="675">
        <v>0</v>
      </c>
      <c r="GU10" s="675">
        <v>0</v>
      </c>
      <c r="GV10" s="675">
        <v>0</v>
      </c>
      <c r="GW10" s="675">
        <v>0</v>
      </c>
      <c r="GX10" s="675">
        <v>0</v>
      </c>
      <c r="GY10" s="675">
        <v>0</v>
      </c>
      <c r="GZ10" s="675">
        <v>0</v>
      </c>
      <c r="HA10" s="675">
        <v>0</v>
      </c>
      <c r="HB10" s="675">
        <v>308877260</v>
      </c>
      <c r="HC10" s="675">
        <v>4.4138999999999998E-2</v>
      </c>
      <c r="HD10" s="675">
        <v>221242</v>
      </c>
      <c r="HE10" s="675">
        <v>0</v>
      </c>
      <c r="HF10" s="675">
        <v>1304378</v>
      </c>
      <c r="HG10" s="675">
        <v>14168</v>
      </c>
      <c r="HH10" s="675">
        <v>149626</v>
      </c>
      <c r="HI10" s="675">
        <v>0</v>
      </c>
      <c r="HJ10" s="675">
        <v>12180</v>
      </c>
      <c r="HK10" s="675">
        <v>2448</v>
      </c>
      <c r="HL10" s="675">
        <v>1894</v>
      </c>
      <c r="HM10" s="675">
        <v>26000</v>
      </c>
      <c r="HN10" s="675">
        <v>0</v>
      </c>
      <c r="HO10" s="675">
        <v>54000</v>
      </c>
      <c r="HP10" s="675">
        <v>0</v>
      </c>
      <c r="HQ10" s="675">
        <v>0</v>
      </c>
      <c r="HR10" s="675">
        <v>0</v>
      </c>
      <c r="HS10" s="675">
        <v>10653476</v>
      </c>
      <c r="HT10" s="675">
        <v>233792</v>
      </c>
      <c r="HU10" s="675">
        <v>0</v>
      </c>
      <c r="HV10" s="675">
        <v>0</v>
      </c>
      <c r="HW10" s="675">
        <v>0</v>
      </c>
      <c r="HX10" s="675">
        <v>199</v>
      </c>
      <c r="HY10" s="675">
        <v>160</v>
      </c>
      <c r="HZ10" s="675">
        <v>142</v>
      </c>
      <c r="IA10" s="675">
        <v>85</v>
      </c>
      <c r="IB10" s="675">
        <v>82</v>
      </c>
      <c r="IC10" s="675">
        <v>668</v>
      </c>
      <c r="ID10" s="675">
        <v>0</v>
      </c>
      <c r="IE10" s="675">
        <v>97.37</v>
      </c>
      <c r="IF10" s="675">
        <v>118.17100000000001</v>
      </c>
      <c r="IG10" s="675">
        <v>23</v>
      </c>
      <c r="IH10" s="675">
        <v>242.9</v>
      </c>
      <c r="II10" s="675">
        <v>0</v>
      </c>
      <c r="IJ10" s="675">
        <v>605.74900000000002</v>
      </c>
      <c r="IK10" s="675">
        <v>0</v>
      </c>
      <c r="IL10" s="675">
        <v>4</v>
      </c>
      <c r="IM10" s="675">
        <v>2</v>
      </c>
      <c r="IN10" s="675">
        <v>0</v>
      </c>
      <c r="IO10" s="675">
        <v>6</v>
      </c>
      <c r="IP10" s="675">
        <v>0</v>
      </c>
      <c r="IQ10" s="675">
        <v>390.20800000000003</v>
      </c>
      <c r="IR10" s="675">
        <v>240367</v>
      </c>
      <c r="IS10" s="675">
        <v>0</v>
      </c>
      <c r="IT10" s="675">
        <v>20000</v>
      </c>
      <c r="IU10" s="675">
        <v>6000</v>
      </c>
      <c r="IV10" s="675">
        <v>0</v>
      </c>
      <c r="IW10" s="675">
        <v>6160</v>
      </c>
      <c r="IX10" s="675">
        <v>89969</v>
      </c>
      <c r="IY10" s="675">
        <v>36396</v>
      </c>
      <c r="IZ10" s="675">
        <v>0</v>
      </c>
      <c r="JA10" s="675">
        <v>0</v>
      </c>
      <c r="JB10" s="675">
        <v>0</v>
      </c>
      <c r="JC10" s="675">
        <v>0</v>
      </c>
      <c r="JD10" s="675">
        <v>0</v>
      </c>
      <c r="JE10" s="675">
        <v>0</v>
      </c>
      <c r="JF10" s="675">
        <v>0</v>
      </c>
      <c r="JG10" s="675">
        <v>0</v>
      </c>
      <c r="JH10" s="675">
        <v>0</v>
      </c>
      <c r="JI10" s="675">
        <v>0</v>
      </c>
      <c r="JJ10" s="675">
        <v>0</v>
      </c>
      <c r="JK10" s="675">
        <v>0</v>
      </c>
      <c r="JL10" s="675">
        <v>0</v>
      </c>
      <c r="JM10" s="675">
        <v>0</v>
      </c>
      <c r="JN10" s="675">
        <v>32469</v>
      </c>
      <c r="JO10" s="675">
        <v>0</v>
      </c>
      <c r="JP10" s="675">
        <v>42.484999999999999</v>
      </c>
      <c r="JQ10" s="675">
        <v>25.903000000000002</v>
      </c>
      <c r="JR10" s="675">
        <v>0</v>
      </c>
      <c r="JS10" s="675">
        <v>394968</v>
      </c>
      <c r="JT10" s="675">
        <v>276556</v>
      </c>
      <c r="JU10" s="675">
        <v>0</v>
      </c>
      <c r="JV10" s="675">
        <v>0</v>
      </c>
      <c r="JW10" s="675">
        <v>0</v>
      </c>
      <c r="JX10" s="675">
        <v>0</v>
      </c>
      <c r="JY10" s="675">
        <v>0</v>
      </c>
      <c r="JZ10" s="675">
        <v>0</v>
      </c>
      <c r="KA10" s="675">
        <v>0</v>
      </c>
      <c r="KB10" s="675">
        <v>0</v>
      </c>
      <c r="KC10" s="675">
        <v>0</v>
      </c>
      <c r="KD10" s="675">
        <v>0</v>
      </c>
      <c r="KE10" s="675">
        <v>7263</v>
      </c>
      <c r="KF10" s="675">
        <v>0</v>
      </c>
      <c r="KG10" s="675">
        <v>0</v>
      </c>
      <c r="KH10" s="675">
        <v>0</v>
      </c>
      <c r="KI10" s="675">
        <v>0</v>
      </c>
    </row>
    <row r="11" spans="1:295" ht="12.5" x14ac:dyDescent="0.25">
      <c r="A11" s="675">
        <v>35795</v>
      </c>
      <c r="B11" s="675">
        <v>72801</v>
      </c>
      <c r="C11" s="675">
        <v>7</v>
      </c>
      <c r="D11" s="675">
        <v>2022</v>
      </c>
      <c r="E11" s="675">
        <v>6160</v>
      </c>
      <c r="F11" s="675">
        <v>0</v>
      </c>
      <c r="G11" s="675">
        <v>5964.5610000000006</v>
      </c>
      <c r="H11" s="675">
        <v>5467.91</v>
      </c>
      <c r="I11" s="675">
        <v>5467.91</v>
      </c>
      <c r="J11" s="675">
        <v>5964.5610000000006</v>
      </c>
      <c r="K11" s="675">
        <v>0</v>
      </c>
      <c r="L11" s="675">
        <v>6160</v>
      </c>
      <c r="M11" s="675">
        <v>0</v>
      </c>
      <c r="N11" s="675">
        <v>0</v>
      </c>
      <c r="O11" s="675">
        <v>0</v>
      </c>
      <c r="P11" s="675">
        <v>5570.098</v>
      </c>
      <c r="Q11" s="675">
        <v>0</v>
      </c>
      <c r="R11" s="675">
        <v>2241563</v>
      </c>
      <c r="S11" s="675">
        <v>402.428</v>
      </c>
      <c r="T11" s="675">
        <v>0</v>
      </c>
      <c r="U11" s="675">
        <v>1192007</v>
      </c>
      <c r="V11" s="675">
        <v>447.38300000000004</v>
      </c>
      <c r="W11" s="675">
        <v>275587</v>
      </c>
      <c r="X11" s="675">
        <v>275587</v>
      </c>
      <c r="Y11" s="675">
        <v>0</v>
      </c>
      <c r="Z11" s="675">
        <v>0</v>
      </c>
      <c r="AA11" s="675">
        <v>0</v>
      </c>
      <c r="AB11" s="675">
        <v>0</v>
      </c>
      <c r="AC11" s="675">
        <v>0</v>
      </c>
      <c r="AD11" s="675" t="s">
        <v>316</v>
      </c>
      <c r="AE11" s="675">
        <v>0</v>
      </c>
      <c r="AF11" s="675">
        <v>0</v>
      </c>
      <c r="AG11" s="675">
        <v>0</v>
      </c>
      <c r="AH11" s="675">
        <v>0</v>
      </c>
      <c r="AI11" s="675">
        <v>0</v>
      </c>
      <c r="AJ11" s="675">
        <v>6160</v>
      </c>
      <c r="AK11" s="675" t="s">
        <v>671</v>
      </c>
      <c r="AL11" s="675" t="s">
        <v>98</v>
      </c>
      <c r="AM11" s="675">
        <v>0</v>
      </c>
      <c r="AN11" s="675">
        <v>0</v>
      </c>
      <c r="AO11" s="675">
        <v>0</v>
      </c>
      <c r="AP11" s="675">
        <v>0</v>
      </c>
      <c r="AQ11" s="675">
        <v>0</v>
      </c>
      <c r="AR11" s="675">
        <v>0</v>
      </c>
      <c r="AS11" s="675">
        <v>0</v>
      </c>
      <c r="AT11" s="675">
        <v>0</v>
      </c>
      <c r="AU11" s="675">
        <v>0</v>
      </c>
      <c r="AV11" s="675">
        <v>-5132419</v>
      </c>
      <c r="AW11" s="675">
        <v>63167596</v>
      </c>
      <c r="AX11" s="675">
        <v>62139093</v>
      </c>
      <c r="AY11" s="675">
        <v>34181304</v>
      </c>
      <c r="AZ11" s="675">
        <v>2241563</v>
      </c>
      <c r="BA11" s="675">
        <v>0</v>
      </c>
      <c r="BB11" s="675">
        <v>0</v>
      </c>
      <c r="BC11" s="675">
        <v>0</v>
      </c>
      <c r="BD11" s="675">
        <v>0</v>
      </c>
      <c r="BE11" s="675">
        <v>0</v>
      </c>
      <c r="BF11" s="675">
        <v>56069815</v>
      </c>
      <c r="BG11" s="675">
        <v>0</v>
      </c>
      <c r="BH11" s="675">
        <v>0</v>
      </c>
      <c r="BI11" s="675">
        <v>0</v>
      </c>
      <c r="BJ11" s="675">
        <v>12</v>
      </c>
      <c r="BK11" s="675">
        <v>0</v>
      </c>
      <c r="BL11" s="675">
        <v>0</v>
      </c>
      <c r="BM11" s="675">
        <v>0</v>
      </c>
      <c r="BN11" s="675">
        <v>0</v>
      </c>
      <c r="BO11" s="675">
        <v>0</v>
      </c>
      <c r="BP11" s="675">
        <v>0</v>
      </c>
      <c r="BQ11" s="675">
        <v>0</v>
      </c>
      <c r="BR11" s="675">
        <v>0</v>
      </c>
      <c r="BS11" s="675">
        <v>0</v>
      </c>
      <c r="BT11" s="675">
        <v>0</v>
      </c>
      <c r="BU11" s="675">
        <v>0</v>
      </c>
      <c r="BV11" s="675">
        <v>0</v>
      </c>
      <c r="BW11" s="675">
        <v>0</v>
      </c>
      <c r="BX11" s="675">
        <v>0</v>
      </c>
      <c r="BY11" s="675">
        <v>0</v>
      </c>
      <c r="BZ11" s="675">
        <v>0</v>
      </c>
      <c r="CA11" s="675">
        <v>161.55100000000002</v>
      </c>
      <c r="CB11" s="675">
        <v>137766</v>
      </c>
      <c r="CC11" s="675">
        <v>0</v>
      </c>
      <c r="CD11" s="675">
        <v>0</v>
      </c>
      <c r="CE11" s="675">
        <v>0</v>
      </c>
      <c r="CF11" s="675">
        <v>0</v>
      </c>
      <c r="CG11" s="675">
        <v>0</v>
      </c>
      <c r="CH11" s="675">
        <v>1053076</v>
      </c>
      <c r="CI11" s="675">
        <v>0</v>
      </c>
      <c r="CJ11" s="675">
        <v>4</v>
      </c>
      <c r="CK11" s="675">
        <v>0</v>
      </c>
      <c r="CL11" s="675">
        <v>0</v>
      </c>
      <c r="CM11" s="675">
        <v>0</v>
      </c>
      <c r="CN11" s="675">
        <v>0</v>
      </c>
      <c r="CO11" s="675">
        <v>1</v>
      </c>
      <c r="CP11" s="675">
        <v>0</v>
      </c>
      <c r="CQ11" s="675">
        <v>0</v>
      </c>
      <c r="CR11" s="675">
        <v>4958.6540000000005</v>
      </c>
      <c r="CS11" s="675">
        <v>0</v>
      </c>
      <c r="CT11" s="675">
        <v>0</v>
      </c>
      <c r="CU11" s="675">
        <v>0</v>
      </c>
      <c r="CV11" s="675">
        <v>0</v>
      </c>
      <c r="CW11" s="675">
        <v>0</v>
      </c>
      <c r="CX11" s="675">
        <v>0</v>
      </c>
      <c r="CY11" s="675">
        <v>0</v>
      </c>
      <c r="CZ11" s="675">
        <v>0</v>
      </c>
      <c r="DA11" s="675">
        <v>0</v>
      </c>
      <c r="DB11" s="675">
        <v>33682169</v>
      </c>
      <c r="DC11" s="675">
        <v>0</v>
      </c>
      <c r="DD11" s="675">
        <v>0</v>
      </c>
      <c r="DE11" s="675">
        <v>6308581</v>
      </c>
      <c r="DF11" s="675">
        <v>6308581</v>
      </c>
      <c r="DG11" s="675">
        <v>1024.125</v>
      </c>
      <c r="DH11" s="675">
        <v>0</v>
      </c>
      <c r="DI11" s="675">
        <v>0</v>
      </c>
      <c r="DJ11" s="675">
        <v>0</v>
      </c>
      <c r="DK11" s="675">
        <v>0</v>
      </c>
      <c r="DL11" s="675">
        <v>0</v>
      </c>
      <c r="DM11" s="675">
        <v>6532194</v>
      </c>
      <c r="DN11" s="675">
        <v>24573</v>
      </c>
      <c r="DO11" s="675">
        <v>0</v>
      </c>
      <c r="DP11" s="675">
        <v>0</v>
      </c>
      <c r="DQ11" s="675">
        <v>0</v>
      </c>
      <c r="DR11" s="675">
        <v>0</v>
      </c>
      <c r="DS11" s="675">
        <v>0</v>
      </c>
      <c r="DT11" s="675">
        <v>0</v>
      </c>
      <c r="DU11" s="675">
        <v>0</v>
      </c>
      <c r="DV11" s="675">
        <v>0</v>
      </c>
      <c r="DW11" s="675">
        <v>0</v>
      </c>
      <c r="DX11" s="675">
        <v>0</v>
      </c>
      <c r="DY11" s="675">
        <v>0</v>
      </c>
      <c r="DZ11" s="675">
        <v>0</v>
      </c>
      <c r="EA11" s="675">
        <v>0</v>
      </c>
      <c r="EB11" s="675">
        <v>3.274</v>
      </c>
      <c r="EC11" s="675">
        <v>437.52700000000004</v>
      </c>
      <c r="ED11" s="675">
        <v>3099427</v>
      </c>
      <c r="EE11" s="675">
        <v>0</v>
      </c>
      <c r="EF11" s="675">
        <v>0</v>
      </c>
      <c r="EG11" s="675">
        <v>0</v>
      </c>
      <c r="EH11" s="675">
        <v>3423583</v>
      </c>
      <c r="EI11" s="675">
        <v>33757</v>
      </c>
      <c r="EJ11" s="675">
        <v>1.37</v>
      </c>
      <c r="EK11" s="675">
        <v>153.506</v>
      </c>
      <c r="EL11" s="675">
        <v>10.341000000000001</v>
      </c>
      <c r="EM11" s="675">
        <v>28.293000000000003</v>
      </c>
      <c r="EN11" s="675">
        <v>0.112</v>
      </c>
      <c r="EO11" s="675">
        <v>0</v>
      </c>
      <c r="EP11" s="675">
        <v>0</v>
      </c>
      <c r="EQ11" s="675">
        <v>186.55500000000001</v>
      </c>
      <c r="ER11" s="675">
        <v>0</v>
      </c>
      <c r="ES11" s="675">
        <v>555.779</v>
      </c>
      <c r="ET11" s="675">
        <v>0</v>
      </c>
      <c r="EU11" s="675">
        <v>0</v>
      </c>
      <c r="EV11" s="675">
        <v>0</v>
      </c>
      <c r="EW11" s="675">
        <v>0</v>
      </c>
      <c r="EX11" s="675">
        <v>0</v>
      </c>
      <c r="EY11" s="675">
        <v>0</v>
      </c>
      <c r="EZ11" s="675">
        <v>55256020</v>
      </c>
      <c r="FA11" s="675">
        <v>0</v>
      </c>
      <c r="FB11" s="675">
        <v>57473010</v>
      </c>
      <c r="FC11" s="675">
        <v>0</v>
      </c>
      <c r="FD11" s="675">
        <v>0</v>
      </c>
      <c r="FE11" s="675">
        <v>5703448</v>
      </c>
      <c r="FF11" s="675">
        <v>1179625</v>
      </c>
      <c r="FG11" s="675">
        <v>6.3574999999999993E-2</v>
      </c>
      <c r="FH11" s="675">
        <v>2.6297999999999998E-2</v>
      </c>
      <c r="FI11" s="675">
        <v>0</v>
      </c>
      <c r="FJ11" s="675">
        <v>0</v>
      </c>
      <c r="FK11" s="675">
        <v>9102.2849999999999</v>
      </c>
      <c r="FL11" s="675">
        <v>65409159</v>
      </c>
      <c r="FM11" s="675">
        <v>0</v>
      </c>
      <c r="FN11" s="675">
        <v>0</v>
      </c>
      <c r="FO11" s="675">
        <v>44196</v>
      </c>
      <c r="FP11" s="675">
        <v>0</v>
      </c>
      <c r="FQ11" s="675">
        <v>44196</v>
      </c>
      <c r="FR11" s="675">
        <v>44196</v>
      </c>
      <c r="FS11" s="675">
        <v>0</v>
      </c>
      <c r="FT11" s="675">
        <v>0</v>
      </c>
      <c r="FU11" s="675">
        <v>0</v>
      </c>
      <c r="FV11" s="675">
        <v>0</v>
      </c>
      <c r="FW11" s="675">
        <v>0</v>
      </c>
      <c r="FX11" s="675">
        <v>0</v>
      </c>
      <c r="FY11" s="675">
        <v>0</v>
      </c>
      <c r="FZ11" s="675">
        <v>0</v>
      </c>
      <c r="GA11" s="675">
        <v>0</v>
      </c>
      <c r="GB11" s="675">
        <v>2989602</v>
      </c>
      <c r="GC11" s="675">
        <v>2989602</v>
      </c>
      <c r="GD11" s="675">
        <v>310.096</v>
      </c>
      <c r="GE11" s="675">
        <v>0</v>
      </c>
      <c r="GF11" s="675">
        <v>0</v>
      </c>
      <c r="GG11" s="675">
        <v>0</v>
      </c>
      <c r="GH11" s="675">
        <v>0</v>
      </c>
      <c r="GI11" s="675">
        <v>0</v>
      </c>
      <c r="GJ11" s="675">
        <v>0</v>
      </c>
      <c r="GK11" s="675">
        <v>0</v>
      </c>
      <c r="GL11" s="675">
        <v>0</v>
      </c>
      <c r="GM11" s="675">
        <v>0</v>
      </c>
      <c r="GN11" s="675">
        <v>0</v>
      </c>
      <c r="GO11" s="675">
        <v>0</v>
      </c>
      <c r="GP11" s="675">
        <v>0</v>
      </c>
      <c r="GQ11" s="675">
        <v>0</v>
      </c>
      <c r="GR11" s="675">
        <v>0</v>
      </c>
      <c r="GS11" s="675">
        <v>0</v>
      </c>
      <c r="GT11" s="675">
        <v>0</v>
      </c>
      <c r="GU11" s="675">
        <v>0</v>
      </c>
      <c r="GV11" s="675">
        <v>0</v>
      </c>
      <c r="GW11" s="675">
        <v>0</v>
      </c>
      <c r="GX11" s="675">
        <v>0</v>
      </c>
      <c r="GY11" s="675">
        <v>0</v>
      </c>
      <c r="GZ11" s="675">
        <v>0</v>
      </c>
      <c r="HA11" s="675">
        <v>0</v>
      </c>
      <c r="HB11" s="675">
        <v>308877260</v>
      </c>
      <c r="HC11" s="675">
        <v>4.4138999999999998E-2</v>
      </c>
      <c r="HD11" s="675">
        <v>1053076</v>
      </c>
      <c r="HE11" s="675">
        <v>0</v>
      </c>
      <c r="HF11" s="675">
        <v>6031105</v>
      </c>
      <c r="HG11" s="675">
        <v>158311</v>
      </c>
      <c r="HH11" s="675">
        <v>5717</v>
      </c>
      <c r="HI11" s="675">
        <v>0</v>
      </c>
      <c r="HJ11" s="675">
        <v>57976</v>
      </c>
      <c r="HK11" s="675">
        <v>73521</v>
      </c>
      <c r="HL11" s="675">
        <v>1231</v>
      </c>
      <c r="HM11" s="675">
        <v>4000</v>
      </c>
      <c r="HN11" s="675">
        <v>0</v>
      </c>
      <c r="HO11" s="675">
        <v>0</v>
      </c>
      <c r="HP11" s="675">
        <v>1169175</v>
      </c>
      <c r="HQ11" s="675">
        <v>0</v>
      </c>
      <c r="HR11" s="675">
        <v>0</v>
      </c>
      <c r="HS11" s="675">
        <v>55231447</v>
      </c>
      <c r="HT11" s="675">
        <v>1179625</v>
      </c>
      <c r="HU11" s="675">
        <v>0</v>
      </c>
      <c r="HV11" s="675">
        <v>0</v>
      </c>
      <c r="HW11" s="675">
        <v>0</v>
      </c>
      <c r="HX11" s="675">
        <v>771</v>
      </c>
      <c r="HY11" s="675">
        <v>777</v>
      </c>
      <c r="HZ11" s="675">
        <v>927</v>
      </c>
      <c r="IA11" s="675">
        <v>847</v>
      </c>
      <c r="IB11" s="675">
        <v>771</v>
      </c>
      <c r="IC11" s="675">
        <v>4093</v>
      </c>
      <c r="ID11" s="675">
        <v>0</v>
      </c>
      <c r="IE11" s="675">
        <v>0</v>
      </c>
      <c r="IF11" s="675">
        <v>0</v>
      </c>
      <c r="IG11" s="675">
        <v>257</v>
      </c>
      <c r="IH11" s="675">
        <v>9.2810000000000006</v>
      </c>
      <c r="II11" s="675">
        <v>4251.5439999999999</v>
      </c>
      <c r="IJ11" s="675">
        <v>447.38300000000004</v>
      </c>
      <c r="IK11" s="675">
        <v>6.8330000000000002</v>
      </c>
      <c r="IL11" s="675">
        <v>0</v>
      </c>
      <c r="IM11" s="675">
        <v>0</v>
      </c>
      <c r="IN11" s="675">
        <v>2</v>
      </c>
      <c r="IO11" s="675">
        <v>2</v>
      </c>
      <c r="IP11" s="675">
        <v>4258.3770000000004</v>
      </c>
      <c r="IQ11" s="675">
        <v>447.38300000000004</v>
      </c>
      <c r="IR11" s="675">
        <v>275587</v>
      </c>
      <c r="IS11" s="675">
        <v>1879</v>
      </c>
      <c r="IT11" s="675">
        <v>0</v>
      </c>
      <c r="IU11" s="675">
        <v>0</v>
      </c>
      <c r="IV11" s="675">
        <v>4000</v>
      </c>
      <c r="IW11" s="675">
        <v>6160</v>
      </c>
      <c r="IX11" s="675">
        <v>0</v>
      </c>
      <c r="IY11" s="675">
        <v>0</v>
      </c>
      <c r="IZ11" s="675">
        <v>1171054</v>
      </c>
      <c r="JA11" s="675">
        <v>0</v>
      </c>
      <c r="JB11" s="675">
        <v>0</v>
      </c>
      <c r="JC11" s="675">
        <v>0</v>
      </c>
      <c r="JD11" s="675">
        <v>0</v>
      </c>
      <c r="JE11" s="675">
        <v>0</v>
      </c>
      <c r="JF11" s="675">
        <v>0</v>
      </c>
      <c r="JG11" s="675">
        <v>0</v>
      </c>
      <c r="JH11" s="675">
        <v>0</v>
      </c>
      <c r="JI11" s="675">
        <v>0</v>
      </c>
      <c r="JJ11" s="675">
        <v>0</v>
      </c>
      <c r="JK11" s="675">
        <v>0</v>
      </c>
      <c r="JL11" s="675">
        <v>0</v>
      </c>
      <c r="JM11" s="675">
        <v>0</v>
      </c>
      <c r="JN11" s="675">
        <v>32469</v>
      </c>
      <c r="JO11" s="675">
        <v>3.8760000000000003</v>
      </c>
      <c r="JP11" s="675">
        <v>225.191</v>
      </c>
      <c r="JQ11" s="675">
        <v>81.029000000000011</v>
      </c>
      <c r="JR11" s="675">
        <v>30967</v>
      </c>
      <c r="JS11" s="675">
        <v>2093520</v>
      </c>
      <c r="JT11" s="675">
        <v>865115</v>
      </c>
      <c r="JU11" s="675">
        <v>0</v>
      </c>
      <c r="JV11" s="675">
        <v>0</v>
      </c>
      <c r="JW11" s="675">
        <v>0</v>
      </c>
      <c r="JX11" s="675">
        <v>0</v>
      </c>
      <c r="JY11" s="675">
        <v>0</v>
      </c>
      <c r="JZ11" s="675">
        <v>0</v>
      </c>
      <c r="KA11" s="675">
        <v>0</v>
      </c>
      <c r="KB11" s="675">
        <v>0</v>
      </c>
      <c r="KC11" s="675">
        <v>0</v>
      </c>
      <c r="KD11" s="675">
        <v>0</v>
      </c>
      <c r="KE11" s="675">
        <v>7263</v>
      </c>
      <c r="KF11" s="675">
        <v>0</v>
      </c>
      <c r="KG11" s="675">
        <v>0</v>
      </c>
      <c r="KH11" s="675">
        <v>0</v>
      </c>
      <c r="KI11" s="675">
        <v>0</v>
      </c>
    </row>
    <row r="12" spans="1:295" ht="12.5" x14ac:dyDescent="0.25">
      <c r="A12" s="675">
        <v>35795</v>
      </c>
      <c r="B12" s="675">
        <v>92801</v>
      </c>
      <c r="C12" s="675">
        <v>7</v>
      </c>
      <c r="D12" s="675">
        <v>2022</v>
      </c>
      <c r="E12" s="675">
        <v>6160</v>
      </c>
      <c r="F12" s="675">
        <v>0</v>
      </c>
      <c r="G12" s="675">
        <v>126.96900000000001</v>
      </c>
      <c r="H12" s="675">
        <v>88.969000000000008</v>
      </c>
      <c r="I12" s="675">
        <v>88.969000000000008</v>
      </c>
      <c r="J12" s="675">
        <v>126.96900000000001</v>
      </c>
      <c r="K12" s="675">
        <v>0</v>
      </c>
      <c r="L12" s="675">
        <v>6160</v>
      </c>
      <c r="M12" s="675">
        <v>0</v>
      </c>
      <c r="N12" s="675">
        <v>0</v>
      </c>
      <c r="O12" s="675">
        <v>0</v>
      </c>
      <c r="P12" s="675">
        <v>125.072</v>
      </c>
      <c r="Q12" s="675">
        <v>0</v>
      </c>
      <c r="R12" s="675">
        <v>50332</v>
      </c>
      <c r="S12" s="675">
        <v>402.428</v>
      </c>
      <c r="T12" s="675">
        <v>0</v>
      </c>
      <c r="U12" s="675">
        <v>26766</v>
      </c>
      <c r="V12" s="675">
        <v>0</v>
      </c>
      <c r="W12" s="675">
        <v>0</v>
      </c>
      <c r="X12" s="675">
        <v>0</v>
      </c>
      <c r="Y12" s="675">
        <v>0</v>
      </c>
      <c r="Z12" s="675">
        <v>0</v>
      </c>
      <c r="AA12" s="675">
        <v>0</v>
      </c>
      <c r="AB12" s="675">
        <v>0</v>
      </c>
      <c r="AC12" s="675">
        <v>0</v>
      </c>
      <c r="AD12" s="675" t="s">
        <v>316</v>
      </c>
      <c r="AE12" s="675">
        <v>0</v>
      </c>
      <c r="AF12" s="675">
        <v>0</v>
      </c>
      <c r="AG12" s="675">
        <v>0</v>
      </c>
      <c r="AH12" s="675">
        <v>0</v>
      </c>
      <c r="AI12" s="675">
        <v>0</v>
      </c>
      <c r="AJ12" s="675">
        <v>6160</v>
      </c>
      <c r="AK12" s="675" t="s">
        <v>671</v>
      </c>
      <c r="AL12" s="675" t="s">
        <v>28</v>
      </c>
      <c r="AM12" s="675">
        <v>0</v>
      </c>
      <c r="AN12" s="675">
        <v>0</v>
      </c>
      <c r="AO12" s="675">
        <v>0</v>
      </c>
      <c r="AP12" s="675">
        <v>0</v>
      </c>
      <c r="AQ12" s="675">
        <v>0</v>
      </c>
      <c r="AR12" s="675">
        <v>0</v>
      </c>
      <c r="AS12" s="675">
        <v>0</v>
      </c>
      <c r="AT12" s="675">
        <v>0</v>
      </c>
      <c r="AU12" s="675">
        <v>0</v>
      </c>
      <c r="AV12" s="675">
        <v>0</v>
      </c>
      <c r="AW12" s="675">
        <v>1286505</v>
      </c>
      <c r="AX12" s="675">
        <v>1253107</v>
      </c>
      <c r="AY12" s="675">
        <v>906293</v>
      </c>
      <c r="AZ12" s="675">
        <v>50332</v>
      </c>
      <c r="BA12" s="675">
        <v>0</v>
      </c>
      <c r="BB12" s="675">
        <v>0</v>
      </c>
      <c r="BC12" s="675">
        <v>0</v>
      </c>
      <c r="BD12" s="675">
        <v>0</v>
      </c>
      <c r="BE12" s="675">
        <v>0</v>
      </c>
      <c r="BF12" s="675">
        <v>1159290</v>
      </c>
      <c r="BG12" s="675">
        <v>0</v>
      </c>
      <c r="BH12" s="675">
        <v>0</v>
      </c>
      <c r="BI12" s="675">
        <v>0</v>
      </c>
      <c r="BJ12" s="675">
        <v>12</v>
      </c>
      <c r="BK12" s="675">
        <v>0</v>
      </c>
      <c r="BL12" s="675">
        <v>0</v>
      </c>
      <c r="BM12" s="675">
        <v>0</v>
      </c>
      <c r="BN12" s="675">
        <v>0</v>
      </c>
      <c r="BO12" s="675">
        <v>0</v>
      </c>
      <c r="BP12" s="675">
        <v>0</v>
      </c>
      <c r="BQ12" s="675">
        <v>756</v>
      </c>
      <c r="BR12" s="675">
        <v>0</v>
      </c>
      <c r="BS12" s="675">
        <v>0</v>
      </c>
      <c r="BT12" s="675">
        <v>0</v>
      </c>
      <c r="BU12" s="675">
        <v>0</v>
      </c>
      <c r="BV12" s="675">
        <v>0</v>
      </c>
      <c r="BW12" s="675">
        <v>0</v>
      </c>
      <c r="BX12" s="675">
        <v>0</v>
      </c>
      <c r="BY12" s="675">
        <v>0</v>
      </c>
      <c r="BZ12" s="675">
        <v>0</v>
      </c>
      <c r="CA12" s="675">
        <v>0</v>
      </c>
      <c r="CB12" s="675">
        <v>0</v>
      </c>
      <c r="CC12" s="675">
        <v>0</v>
      </c>
      <c r="CD12" s="675">
        <v>0</v>
      </c>
      <c r="CE12" s="675">
        <v>0</v>
      </c>
      <c r="CF12" s="675">
        <v>0</v>
      </c>
      <c r="CG12" s="675">
        <v>0</v>
      </c>
      <c r="CH12" s="675">
        <v>33682</v>
      </c>
      <c r="CI12" s="675">
        <v>0</v>
      </c>
      <c r="CJ12" s="675">
        <v>4</v>
      </c>
      <c r="CK12" s="675">
        <v>0</v>
      </c>
      <c r="CL12" s="675">
        <v>0</v>
      </c>
      <c r="CM12" s="675">
        <v>0</v>
      </c>
      <c r="CN12" s="675">
        <v>0</v>
      </c>
      <c r="CO12" s="675">
        <v>1</v>
      </c>
      <c r="CP12" s="675">
        <v>0</v>
      </c>
      <c r="CQ12" s="675">
        <v>0</v>
      </c>
      <c r="CR12" s="675">
        <v>131.12900000000002</v>
      </c>
      <c r="CS12" s="675">
        <v>0</v>
      </c>
      <c r="CT12" s="675">
        <v>0</v>
      </c>
      <c r="CU12" s="675">
        <v>0</v>
      </c>
      <c r="CV12" s="675">
        <v>0</v>
      </c>
      <c r="CW12" s="675">
        <v>0</v>
      </c>
      <c r="CX12" s="675">
        <v>0</v>
      </c>
      <c r="CY12" s="675">
        <v>0</v>
      </c>
      <c r="CZ12" s="675">
        <v>0</v>
      </c>
      <c r="DA12" s="675">
        <v>0</v>
      </c>
      <c r="DB12" s="675">
        <v>545193</v>
      </c>
      <c r="DC12" s="675">
        <v>0</v>
      </c>
      <c r="DD12" s="675">
        <v>0</v>
      </c>
      <c r="DE12" s="675">
        <v>58366</v>
      </c>
      <c r="DF12" s="675">
        <v>58366</v>
      </c>
      <c r="DG12" s="675">
        <v>9.4749999999999996</v>
      </c>
      <c r="DH12" s="675">
        <v>0</v>
      </c>
      <c r="DI12" s="675">
        <v>0</v>
      </c>
      <c r="DJ12" s="675">
        <v>0</v>
      </c>
      <c r="DK12" s="675">
        <v>3723</v>
      </c>
      <c r="DL12" s="675">
        <v>0</v>
      </c>
      <c r="DM12" s="675">
        <v>78247</v>
      </c>
      <c r="DN12" s="675">
        <v>284</v>
      </c>
      <c r="DO12" s="675">
        <v>0</v>
      </c>
      <c r="DP12" s="675">
        <v>0</v>
      </c>
      <c r="DQ12" s="675">
        <v>0</v>
      </c>
      <c r="DR12" s="675">
        <v>0</v>
      </c>
      <c r="DS12" s="675">
        <v>0</v>
      </c>
      <c r="DT12" s="675">
        <v>0</v>
      </c>
      <c r="DU12" s="675">
        <v>0</v>
      </c>
      <c r="DV12" s="675">
        <v>0</v>
      </c>
      <c r="DW12" s="675">
        <v>0</v>
      </c>
      <c r="DX12" s="675">
        <v>0</v>
      </c>
      <c r="DY12" s="675">
        <v>0</v>
      </c>
      <c r="DZ12" s="675">
        <v>0</v>
      </c>
      <c r="EA12" s="675">
        <v>0</v>
      </c>
      <c r="EB12" s="675">
        <v>0</v>
      </c>
      <c r="EC12" s="675">
        <v>10.683</v>
      </c>
      <c r="ED12" s="675">
        <v>75678</v>
      </c>
      <c r="EE12" s="675">
        <v>0</v>
      </c>
      <c r="EF12" s="675">
        <v>0</v>
      </c>
      <c r="EG12" s="675">
        <v>0</v>
      </c>
      <c r="EH12" s="675">
        <v>0</v>
      </c>
      <c r="EI12" s="675">
        <v>0</v>
      </c>
      <c r="EJ12" s="675">
        <v>0</v>
      </c>
      <c r="EK12" s="675">
        <v>0</v>
      </c>
      <c r="EL12" s="675">
        <v>0</v>
      </c>
      <c r="EM12" s="675">
        <v>0</v>
      </c>
      <c r="EN12" s="675">
        <v>0</v>
      </c>
      <c r="EO12" s="675">
        <v>0</v>
      </c>
      <c r="EP12" s="675">
        <v>0</v>
      </c>
      <c r="EQ12" s="675">
        <v>0</v>
      </c>
      <c r="ER12" s="675">
        <v>0</v>
      </c>
      <c r="ES12" s="675">
        <v>0</v>
      </c>
      <c r="ET12" s="675">
        <v>0</v>
      </c>
      <c r="EU12" s="675">
        <v>0</v>
      </c>
      <c r="EV12" s="675">
        <v>0</v>
      </c>
      <c r="EW12" s="675">
        <v>0</v>
      </c>
      <c r="EX12" s="675">
        <v>0</v>
      </c>
      <c r="EY12" s="675">
        <v>0</v>
      </c>
      <c r="EZ12" s="675">
        <v>1110794</v>
      </c>
      <c r="FA12" s="675">
        <v>0</v>
      </c>
      <c r="FB12" s="675">
        <v>1160842</v>
      </c>
      <c r="FC12" s="675">
        <v>0</v>
      </c>
      <c r="FD12" s="675">
        <v>0</v>
      </c>
      <c r="FE12" s="675">
        <v>117923</v>
      </c>
      <c r="FF12" s="675">
        <v>24390</v>
      </c>
      <c r="FG12" s="675">
        <v>6.3574999999999993E-2</v>
      </c>
      <c r="FH12" s="675">
        <v>2.6297999999999998E-2</v>
      </c>
      <c r="FI12" s="675">
        <v>0</v>
      </c>
      <c r="FJ12" s="675">
        <v>0</v>
      </c>
      <c r="FK12" s="675">
        <v>188.197</v>
      </c>
      <c r="FL12" s="675">
        <v>1336837</v>
      </c>
      <c r="FM12" s="675">
        <v>0</v>
      </c>
      <c r="FN12" s="675">
        <v>0</v>
      </c>
      <c r="FO12" s="675">
        <v>0</v>
      </c>
      <c r="FP12" s="675">
        <v>0</v>
      </c>
      <c r="FQ12" s="675">
        <v>0</v>
      </c>
      <c r="FR12" s="675">
        <v>0</v>
      </c>
      <c r="FS12" s="675">
        <v>0</v>
      </c>
      <c r="FT12" s="675">
        <v>0</v>
      </c>
      <c r="FU12" s="675">
        <v>0</v>
      </c>
      <c r="FV12" s="675">
        <v>0</v>
      </c>
      <c r="FW12" s="675">
        <v>0</v>
      </c>
      <c r="FX12" s="675">
        <v>0</v>
      </c>
      <c r="FY12" s="675">
        <v>0</v>
      </c>
      <c r="FZ12" s="675">
        <v>0</v>
      </c>
      <c r="GA12" s="675">
        <v>0</v>
      </c>
      <c r="GB12" s="675">
        <v>370134</v>
      </c>
      <c r="GC12" s="675">
        <v>370134</v>
      </c>
      <c r="GD12" s="675">
        <v>38</v>
      </c>
      <c r="GE12" s="675">
        <v>0</v>
      </c>
      <c r="GF12" s="675">
        <v>0</v>
      </c>
      <c r="GG12" s="675">
        <v>0</v>
      </c>
      <c r="GH12" s="675">
        <v>0</v>
      </c>
      <c r="GI12" s="675">
        <v>0</v>
      </c>
      <c r="GJ12" s="675">
        <v>0</v>
      </c>
      <c r="GK12" s="675">
        <v>0</v>
      </c>
      <c r="GL12" s="675">
        <v>0</v>
      </c>
      <c r="GM12" s="675">
        <v>0</v>
      </c>
      <c r="GN12" s="675">
        <v>0</v>
      </c>
      <c r="GO12" s="675">
        <v>0</v>
      </c>
      <c r="GP12" s="675">
        <v>0</v>
      </c>
      <c r="GQ12" s="675">
        <v>0</v>
      </c>
      <c r="GR12" s="675">
        <v>0</v>
      </c>
      <c r="GS12" s="675">
        <v>0</v>
      </c>
      <c r="GT12" s="675">
        <v>0</v>
      </c>
      <c r="GU12" s="675">
        <v>0</v>
      </c>
      <c r="GV12" s="675">
        <v>0</v>
      </c>
      <c r="GW12" s="675">
        <v>0</v>
      </c>
      <c r="GX12" s="675">
        <v>0</v>
      </c>
      <c r="GY12" s="675">
        <v>0</v>
      </c>
      <c r="GZ12" s="675">
        <v>0</v>
      </c>
      <c r="HA12" s="675">
        <v>0</v>
      </c>
      <c r="HB12" s="675">
        <v>308877260</v>
      </c>
      <c r="HC12" s="675">
        <v>4.4138999999999998E-2</v>
      </c>
      <c r="HD12" s="675">
        <v>22417</v>
      </c>
      <c r="HE12" s="675">
        <v>0</v>
      </c>
      <c r="HF12" s="675">
        <v>98133</v>
      </c>
      <c r="HG12" s="675">
        <v>7699</v>
      </c>
      <c r="HH12" s="675">
        <v>0</v>
      </c>
      <c r="HI12" s="675">
        <v>0</v>
      </c>
      <c r="HJ12" s="675">
        <v>1234</v>
      </c>
      <c r="HK12" s="675">
        <v>1836</v>
      </c>
      <c r="HL12" s="675">
        <v>0</v>
      </c>
      <c r="HM12" s="675">
        <v>0</v>
      </c>
      <c r="HN12" s="675">
        <v>0</v>
      </c>
      <c r="HO12" s="675">
        <v>0</v>
      </c>
      <c r="HP12" s="675">
        <v>0</v>
      </c>
      <c r="HQ12" s="675">
        <v>0</v>
      </c>
      <c r="HR12" s="675">
        <v>0</v>
      </c>
      <c r="HS12" s="675">
        <v>1110510</v>
      </c>
      <c r="HT12" s="675">
        <v>24390</v>
      </c>
      <c r="HU12" s="675">
        <v>11265</v>
      </c>
      <c r="HV12" s="675">
        <v>0</v>
      </c>
      <c r="HW12" s="675">
        <v>0</v>
      </c>
      <c r="HX12" s="675">
        <v>7</v>
      </c>
      <c r="HY12" s="675">
        <v>11</v>
      </c>
      <c r="HZ12" s="675">
        <v>6</v>
      </c>
      <c r="IA12" s="675">
        <v>5</v>
      </c>
      <c r="IB12" s="675">
        <v>9</v>
      </c>
      <c r="IC12" s="675">
        <v>38</v>
      </c>
      <c r="ID12" s="675">
        <v>0</v>
      </c>
      <c r="IE12" s="675">
        <v>0</v>
      </c>
      <c r="IF12" s="675">
        <v>0</v>
      </c>
      <c r="IG12" s="675">
        <v>12.499000000000001</v>
      </c>
      <c r="IH12" s="675">
        <v>0</v>
      </c>
      <c r="II12" s="675">
        <v>0</v>
      </c>
      <c r="IJ12" s="675">
        <v>0</v>
      </c>
      <c r="IK12" s="675">
        <v>0</v>
      </c>
      <c r="IL12" s="675">
        <v>0</v>
      </c>
      <c r="IM12" s="675">
        <v>0</v>
      </c>
      <c r="IN12" s="675">
        <v>0</v>
      </c>
      <c r="IO12" s="675">
        <v>0</v>
      </c>
      <c r="IP12" s="675">
        <v>0</v>
      </c>
      <c r="IQ12" s="675">
        <v>0</v>
      </c>
      <c r="IR12" s="675">
        <v>0</v>
      </c>
      <c r="IS12" s="675">
        <v>0</v>
      </c>
      <c r="IT12" s="675">
        <v>0</v>
      </c>
      <c r="IU12" s="675">
        <v>0</v>
      </c>
      <c r="IV12" s="675">
        <v>0</v>
      </c>
      <c r="IW12" s="675">
        <v>6160</v>
      </c>
      <c r="IX12" s="675">
        <v>0</v>
      </c>
      <c r="IY12" s="675">
        <v>0</v>
      </c>
      <c r="IZ12" s="675">
        <v>0</v>
      </c>
      <c r="JA12" s="675">
        <v>0</v>
      </c>
      <c r="JB12" s="675">
        <v>0</v>
      </c>
      <c r="JC12" s="675">
        <v>0</v>
      </c>
      <c r="JD12" s="675">
        <v>0</v>
      </c>
      <c r="JE12" s="675">
        <v>0</v>
      </c>
      <c r="JF12" s="675">
        <v>0</v>
      </c>
      <c r="JG12" s="675">
        <v>0</v>
      </c>
      <c r="JH12" s="675">
        <v>0</v>
      </c>
      <c r="JI12" s="675">
        <v>0</v>
      </c>
      <c r="JJ12" s="675">
        <v>0</v>
      </c>
      <c r="JK12" s="675">
        <v>0</v>
      </c>
      <c r="JL12" s="675">
        <v>0</v>
      </c>
      <c r="JM12" s="675">
        <v>0</v>
      </c>
      <c r="JN12" s="675">
        <v>32469</v>
      </c>
      <c r="JO12" s="675">
        <v>4.6420000000000003</v>
      </c>
      <c r="JP12" s="675">
        <v>16.741</v>
      </c>
      <c r="JQ12" s="675">
        <v>16.617000000000001</v>
      </c>
      <c r="JR12" s="675">
        <v>37086</v>
      </c>
      <c r="JS12" s="675">
        <v>155635</v>
      </c>
      <c r="JT12" s="675">
        <v>177413</v>
      </c>
      <c r="JU12" s="675">
        <v>0</v>
      </c>
      <c r="JV12" s="675">
        <v>11265</v>
      </c>
      <c r="JW12" s="675">
        <v>0</v>
      </c>
      <c r="JX12" s="675">
        <v>0</v>
      </c>
      <c r="JY12" s="675">
        <v>0</v>
      </c>
      <c r="JZ12" s="675">
        <v>0</v>
      </c>
      <c r="KA12" s="675">
        <v>0</v>
      </c>
      <c r="KB12" s="675">
        <v>0</v>
      </c>
      <c r="KC12" s="675">
        <v>0</v>
      </c>
      <c r="KD12" s="675">
        <v>0</v>
      </c>
      <c r="KE12" s="675">
        <v>7263</v>
      </c>
      <c r="KF12" s="675">
        <v>0</v>
      </c>
      <c r="KG12" s="675">
        <v>0</v>
      </c>
      <c r="KH12" s="675">
        <v>0</v>
      </c>
      <c r="KI12" s="675">
        <v>0</v>
      </c>
    </row>
    <row r="13" spans="1:295" ht="12.5" x14ac:dyDescent="0.25">
      <c r="A13" s="675">
        <v>35795</v>
      </c>
      <c r="B13" s="675">
        <v>105801</v>
      </c>
      <c r="C13" s="675">
        <v>7</v>
      </c>
      <c r="D13" s="675">
        <v>2022</v>
      </c>
      <c r="E13" s="675">
        <v>6160</v>
      </c>
      <c r="F13" s="675">
        <v>0</v>
      </c>
      <c r="G13" s="675">
        <v>67.016000000000005</v>
      </c>
      <c r="H13" s="675">
        <v>54.097000000000001</v>
      </c>
      <c r="I13" s="675">
        <v>54.097000000000001</v>
      </c>
      <c r="J13" s="675">
        <v>67.016000000000005</v>
      </c>
      <c r="K13" s="675">
        <v>0</v>
      </c>
      <c r="L13" s="675">
        <v>6160</v>
      </c>
      <c r="M13" s="675">
        <v>0</v>
      </c>
      <c r="N13" s="675">
        <v>0</v>
      </c>
      <c r="O13" s="675">
        <v>0</v>
      </c>
      <c r="P13" s="675">
        <v>92.057000000000002</v>
      </c>
      <c r="Q13" s="675">
        <v>0</v>
      </c>
      <c r="R13" s="675">
        <v>37046</v>
      </c>
      <c r="S13" s="675">
        <v>402.428</v>
      </c>
      <c r="T13" s="675">
        <v>0</v>
      </c>
      <c r="U13" s="675">
        <v>19698</v>
      </c>
      <c r="V13" s="675">
        <v>0</v>
      </c>
      <c r="W13" s="675">
        <v>0</v>
      </c>
      <c r="X13" s="675">
        <v>0</v>
      </c>
      <c r="Y13" s="675">
        <v>0</v>
      </c>
      <c r="Z13" s="675">
        <v>0</v>
      </c>
      <c r="AA13" s="675">
        <v>0</v>
      </c>
      <c r="AB13" s="675">
        <v>0</v>
      </c>
      <c r="AC13" s="675">
        <v>0</v>
      </c>
      <c r="AD13" s="675" t="s">
        <v>316</v>
      </c>
      <c r="AE13" s="675">
        <v>0</v>
      </c>
      <c r="AF13" s="675">
        <v>0</v>
      </c>
      <c r="AG13" s="675">
        <v>0</v>
      </c>
      <c r="AH13" s="675">
        <v>0</v>
      </c>
      <c r="AI13" s="675">
        <v>0</v>
      </c>
      <c r="AJ13" s="675">
        <v>6160</v>
      </c>
      <c r="AK13" s="675" t="s">
        <v>671</v>
      </c>
      <c r="AL13" s="675" t="s">
        <v>34</v>
      </c>
      <c r="AM13" s="675">
        <v>0</v>
      </c>
      <c r="AN13" s="675">
        <v>0</v>
      </c>
      <c r="AO13" s="675">
        <v>0</v>
      </c>
      <c r="AP13" s="675">
        <v>0</v>
      </c>
      <c r="AQ13" s="675">
        <v>0</v>
      </c>
      <c r="AR13" s="675">
        <v>0</v>
      </c>
      <c r="AS13" s="675">
        <v>0</v>
      </c>
      <c r="AT13" s="675">
        <v>0</v>
      </c>
      <c r="AU13" s="675">
        <v>0</v>
      </c>
      <c r="AV13" s="675">
        <v>0</v>
      </c>
      <c r="AW13" s="675">
        <v>726120</v>
      </c>
      <c r="AX13" s="675">
        <v>632318</v>
      </c>
      <c r="AY13" s="675">
        <v>504180</v>
      </c>
      <c r="AZ13" s="675">
        <v>37046</v>
      </c>
      <c r="BA13" s="675">
        <v>0</v>
      </c>
      <c r="BB13" s="675">
        <v>431</v>
      </c>
      <c r="BC13" s="675">
        <v>428</v>
      </c>
      <c r="BD13" s="675">
        <v>1</v>
      </c>
      <c r="BE13" s="675">
        <v>3</v>
      </c>
      <c r="BF13" s="675">
        <v>595091</v>
      </c>
      <c r="BG13" s="675">
        <v>0</v>
      </c>
      <c r="BH13" s="675">
        <v>0</v>
      </c>
      <c r="BI13" s="675">
        <v>0</v>
      </c>
      <c r="BJ13" s="675">
        <v>12</v>
      </c>
      <c r="BK13" s="675">
        <v>0</v>
      </c>
      <c r="BL13" s="675">
        <v>0</v>
      </c>
      <c r="BM13" s="675">
        <v>0</v>
      </c>
      <c r="BN13" s="675">
        <v>0</v>
      </c>
      <c r="BO13" s="675">
        <v>0</v>
      </c>
      <c r="BP13" s="675">
        <v>0</v>
      </c>
      <c r="BQ13" s="675">
        <v>762</v>
      </c>
      <c r="BR13" s="675">
        <v>0</v>
      </c>
      <c r="BS13" s="675">
        <v>0</v>
      </c>
      <c r="BT13" s="675">
        <v>0</v>
      </c>
      <c r="BU13" s="675">
        <v>0</v>
      </c>
      <c r="BV13" s="675">
        <v>0</v>
      </c>
      <c r="BW13" s="675">
        <v>0</v>
      </c>
      <c r="BX13" s="675">
        <v>0</v>
      </c>
      <c r="BY13" s="675">
        <v>0</v>
      </c>
      <c r="BZ13" s="675">
        <v>0</v>
      </c>
      <c r="CA13" s="675">
        <v>0</v>
      </c>
      <c r="CB13" s="675">
        <v>0</v>
      </c>
      <c r="CC13" s="675">
        <v>0</v>
      </c>
      <c r="CD13" s="675">
        <v>0</v>
      </c>
      <c r="CE13" s="675">
        <v>0</v>
      </c>
      <c r="CF13" s="675">
        <v>0</v>
      </c>
      <c r="CG13" s="675">
        <v>0</v>
      </c>
      <c r="CH13" s="675">
        <v>94050</v>
      </c>
      <c r="CI13" s="675">
        <v>0</v>
      </c>
      <c r="CJ13" s="675">
        <v>4</v>
      </c>
      <c r="CK13" s="675">
        <v>0</v>
      </c>
      <c r="CL13" s="675">
        <v>0</v>
      </c>
      <c r="CM13" s="675">
        <v>0</v>
      </c>
      <c r="CN13" s="675">
        <v>0</v>
      </c>
      <c r="CO13" s="675">
        <v>1</v>
      </c>
      <c r="CP13" s="675">
        <v>0</v>
      </c>
      <c r="CQ13" s="675">
        <v>0</v>
      </c>
      <c r="CR13" s="675">
        <v>124.021</v>
      </c>
      <c r="CS13" s="675">
        <v>0</v>
      </c>
      <c r="CT13" s="675">
        <v>0</v>
      </c>
      <c r="CU13" s="675">
        <v>0</v>
      </c>
      <c r="CV13" s="675">
        <v>0</v>
      </c>
      <c r="CW13" s="675">
        <v>0</v>
      </c>
      <c r="CX13" s="675">
        <v>0</v>
      </c>
      <c r="CY13" s="675">
        <v>0</v>
      </c>
      <c r="CZ13" s="675">
        <v>0</v>
      </c>
      <c r="DA13" s="675">
        <v>0</v>
      </c>
      <c r="DB13" s="675">
        <v>257975</v>
      </c>
      <c r="DC13" s="675">
        <v>0</v>
      </c>
      <c r="DD13" s="675">
        <v>0</v>
      </c>
      <c r="DE13" s="675">
        <v>4158</v>
      </c>
      <c r="DF13" s="675">
        <v>4158</v>
      </c>
      <c r="DG13" s="675">
        <v>0.67500000000000004</v>
      </c>
      <c r="DH13" s="675">
        <v>0</v>
      </c>
      <c r="DI13" s="675">
        <v>0</v>
      </c>
      <c r="DJ13" s="675">
        <v>0</v>
      </c>
      <c r="DK13" s="675">
        <v>3809</v>
      </c>
      <c r="DL13" s="675">
        <v>0</v>
      </c>
      <c r="DM13" s="675">
        <v>140359</v>
      </c>
      <c r="DN13" s="675">
        <v>245</v>
      </c>
      <c r="DO13" s="675">
        <v>0</v>
      </c>
      <c r="DP13" s="675">
        <v>0</v>
      </c>
      <c r="DQ13" s="675">
        <v>0</v>
      </c>
      <c r="DR13" s="675">
        <v>0</v>
      </c>
      <c r="DS13" s="675">
        <v>0</v>
      </c>
      <c r="DT13" s="675">
        <v>0</v>
      </c>
      <c r="DU13" s="675">
        <v>0</v>
      </c>
      <c r="DV13" s="675">
        <v>0</v>
      </c>
      <c r="DW13" s="675">
        <v>0</v>
      </c>
      <c r="DX13" s="675">
        <v>0</v>
      </c>
      <c r="DY13" s="675">
        <v>0</v>
      </c>
      <c r="DZ13" s="675">
        <v>0</v>
      </c>
      <c r="EA13" s="675">
        <v>0</v>
      </c>
      <c r="EB13" s="675">
        <v>0</v>
      </c>
      <c r="EC13" s="675">
        <v>9.2240000000000002</v>
      </c>
      <c r="ED13" s="675">
        <v>65343</v>
      </c>
      <c r="EE13" s="675">
        <v>0</v>
      </c>
      <c r="EF13" s="675">
        <v>0</v>
      </c>
      <c r="EG13" s="675">
        <v>0</v>
      </c>
      <c r="EH13" s="675">
        <v>0</v>
      </c>
      <c r="EI13" s="675">
        <v>0</v>
      </c>
      <c r="EJ13" s="675">
        <v>0</v>
      </c>
      <c r="EK13" s="675">
        <v>0</v>
      </c>
      <c r="EL13" s="675">
        <v>0</v>
      </c>
      <c r="EM13" s="675">
        <v>0</v>
      </c>
      <c r="EN13" s="675">
        <v>0</v>
      </c>
      <c r="EO13" s="675">
        <v>0</v>
      </c>
      <c r="EP13" s="675">
        <v>0</v>
      </c>
      <c r="EQ13" s="675">
        <v>0</v>
      </c>
      <c r="ER13" s="675">
        <v>0</v>
      </c>
      <c r="ES13" s="675">
        <v>0</v>
      </c>
      <c r="ET13" s="675">
        <v>0</v>
      </c>
      <c r="EU13" s="675">
        <v>0</v>
      </c>
      <c r="EV13" s="675">
        <v>0</v>
      </c>
      <c r="EW13" s="675">
        <v>0</v>
      </c>
      <c r="EX13" s="675">
        <v>0</v>
      </c>
      <c r="EY13" s="675">
        <v>0</v>
      </c>
      <c r="EZ13" s="675">
        <v>559265</v>
      </c>
      <c r="FA13" s="675">
        <v>0</v>
      </c>
      <c r="FB13" s="675">
        <v>596063</v>
      </c>
      <c r="FC13" s="675">
        <v>0</v>
      </c>
      <c r="FD13" s="675">
        <v>0</v>
      </c>
      <c r="FE13" s="675">
        <v>60533</v>
      </c>
      <c r="FF13" s="675">
        <v>12520</v>
      </c>
      <c r="FG13" s="675">
        <v>6.3574999999999993E-2</v>
      </c>
      <c r="FH13" s="675">
        <v>2.6297999999999998E-2</v>
      </c>
      <c r="FI13" s="675">
        <v>0</v>
      </c>
      <c r="FJ13" s="675">
        <v>0</v>
      </c>
      <c r="FK13" s="675">
        <v>96.606000000000009</v>
      </c>
      <c r="FL13" s="675">
        <v>763166</v>
      </c>
      <c r="FM13" s="675">
        <v>0</v>
      </c>
      <c r="FN13" s="675">
        <v>0</v>
      </c>
      <c r="FO13" s="675">
        <v>0</v>
      </c>
      <c r="FP13" s="675">
        <v>0</v>
      </c>
      <c r="FQ13" s="675">
        <v>0</v>
      </c>
      <c r="FR13" s="675">
        <v>0</v>
      </c>
      <c r="FS13" s="675">
        <v>0</v>
      </c>
      <c r="FT13" s="675">
        <v>0</v>
      </c>
      <c r="FU13" s="675">
        <v>0</v>
      </c>
      <c r="FV13" s="675">
        <v>0</v>
      </c>
      <c r="FW13" s="675">
        <v>0</v>
      </c>
      <c r="FX13" s="675">
        <v>0</v>
      </c>
      <c r="FY13" s="675">
        <v>0</v>
      </c>
      <c r="FZ13" s="675">
        <v>0</v>
      </c>
      <c r="GA13" s="675">
        <v>0</v>
      </c>
      <c r="GB13" s="675">
        <v>118755</v>
      </c>
      <c r="GC13" s="675">
        <v>118755</v>
      </c>
      <c r="GD13" s="675">
        <v>12.919</v>
      </c>
      <c r="GE13" s="675">
        <v>0</v>
      </c>
      <c r="GF13" s="675">
        <v>0</v>
      </c>
      <c r="GG13" s="675">
        <v>0</v>
      </c>
      <c r="GH13" s="675">
        <v>0</v>
      </c>
      <c r="GI13" s="675">
        <v>0</v>
      </c>
      <c r="GJ13" s="675">
        <v>0</v>
      </c>
      <c r="GK13" s="675">
        <v>0</v>
      </c>
      <c r="GL13" s="675">
        <v>0</v>
      </c>
      <c r="GM13" s="675">
        <v>0</v>
      </c>
      <c r="GN13" s="675">
        <v>0</v>
      </c>
      <c r="GO13" s="675">
        <v>0</v>
      </c>
      <c r="GP13" s="675">
        <v>0</v>
      </c>
      <c r="GQ13" s="675">
        <v>0</v>
      </c>
      <c r="GR13" s="675">
        <v>0</v>
      </c>
      <c r="GS13" s="675">
        <v>0</v>
      </c>
      <c r="GT13" s="675">
        <v>0</v>
      </c>
      <c r="GU13" s="675">
        <v>0</v>
      </c>
      <c r="GV13" s="675">
        <v>0</v>
      </c>
      <c r="GW13" s="675">
        <v>0</v>
      </c>
      <c r="GX13" s="675">
        <v>0</v>
      </c>
      <c r="GY13" s="675">
        <v>0</v>
      </c>
      <c r="GZ13" s="675">
        <v>0</v>
      </c>
      <c r="HA13" s="675">
        <v>0</v>
      </c>
      <c r="HB13" s="675">
        <v>308877260</v>
      </c>
      <c r="HC13" s="675">
        <v>4.4138999999999998E-2</v>
      </c>
      <c r="HD13" s="675">
        <v>11832</v>
      </c>
      <c r="HE13" s="675">
        <v>0</v>
      </c>
      <c r="HF13" s="675">
        <v>59669</v>
      </c>
      <c r="HG13" s="675">
        <v>1848</v>
      </c>
      <c r="HH13" s="675">
        <v>0</v>
      </c>
      <c r="HI13" s="675">
        <v>0</v>
      </c>
      <c r="HJ13" s="675">
        <v>651</v>
      </c>
      <c r="HK13" s="675">
        <v>1017</v>
      </c>
      <c r="HL13" s="675">
        <v>203</v>
      </c>
      <c r="HM13" s="675">
        <v>11000</v>
      </c>
      <c r="HN13" s="675">
        <v>0</v>
      </c>
      <c r="HO13" s="675">
        <v>0</v>
      </c>
      <c r="HP13" s="675">
        <v>0</v>
      </c>
      <c r="HQ13" s="675">
        <v>0</v>
      </c>
      <c r="HR13" s="675">
        <v>0</v>
      </c>
      <c r="HS13" s="675">
        <v>559017</v>
      </c>
      <c r="HT13" s="675">
        <v>12520</v>
      </c>
      <c r="HU13" s="675">
        <v>82218</v>
      </c>
      <c r="HV13" s="675">
        <v>0</v>
      </c>
      <c r="HW13" s="675">
        <v>0</v>
      </c>
      <c r="HX13" s="675">
        <v>3</v>
      </c>
      <c r="HY13" s="675">
        <v>0</v>
      </c>
      <c r="HZ13" s="675">
        <v>0</v>
      </c>
      <c r="IA13" s="675">
        <v>0</v>
      </c>
      <c r="IB13" s="675">
        <v>0</v>
      </c>
      <c r="IC13" s="675">
        <v>3</v>
      </c>
      <c r="ID13" s="675">
        <v>0</v>
      </c>
      <c r="IE13" s="675">
        <v>0</v>
      </c>
      <c r="IF13" s="675">
        <v>0</v>
      </c>
      <c r="IG13" s="675">
        <v>3</v>
      </c>
      <c r="IH13" s="675">
        <v>0</v>
      </c>
      <c r="II13" s="675">
        <v>0</v>
      </c>
      <c r="IJ13" s="675">
        <v>0</v>
      </c>
      <c r="IK13" s="675">
        <v>0</v>
      </c>
      <c r="IL13" s="675">
        <v>1</v>
      </c>
      <c r="IM13" s="675">
        <v>2</v>
      </c>
      <c r="IN13" s="675">
        <v>0</v>
      </c>
      <c r="IO13" s="675">
        <v>3</v>
      </c>
      <c r="IP13" s="675">
        <v>0</v>
      </c>
      <c r="IQ13" s="675">
        <v>0</v>
      </c>
      <c r="IR13" s="675">
        <v>0</v>
      </c>
      <c r="IS13" s="675">
        <v>0</v>
      </c>
      <c r="IT13" s="675">
        <v>5000</v>
      </c>
      <c r="IU13" s="675">
        <v>6000</v>
      </c>
      <c r="IV13" s="675">
        <v>0</v>
      </c>
      <c r="IW13" s="675">
        <v>6160</v>
      </c>
      <c r="IX13" s="675">
        <v>0</v>
      </c>
      <c r="IY13" s="675">
        <v>0</v>
      </c>
      <c r="IZ13" s="675">
        <v>0</v>
      </c>
      <c r="JA13" s="675">
        <v>0</v>
      </c>
      <c r="JB13" s="675">
        <v>0</v>
      </c>
      <c r="JC13" s="675">
        <v>0</v>
      </c>
      <c r="JD13" s="675">
        <v>0</v>
      </c>
      <c r="JE13" s="675">
        <v>0</v>
      </c>
      <c r="JF13" s="675">
        <v>0</v>
      </c>
      <c r="JG13" s="675">
        <v>0</v>
      </c>
      <c r="JH13" s="675">
        <v>0</v>
      </c>
      <c r="JI13" s="675">
        <v>0</v>
      </c>
      <c r="JJ13" s="675">
        <v>0</v>
      </c>
      <c r="JK13" s="675">
        <v>0</v>
      </c>
      <c r="JL13" s="675">
        <v>0</v>
      </c>
      <c r="JM13" s="675">
        <v>0</v>
      </c>
      <c r="JN13" s="675">
        <v>32469</v>
      </c>
      <c r="JO13" s="675">
        <v>3.774</v>
      </c>
      <c r="JP13" s="675">
        <v>6.5470000000000006</v>
      </c>
      <c r="JQ13" s="675">
        <v>2.5980000000000003</v>
      </c>
      <c r="JR13" s="675">
        <v>30152</v>
      </c>
      <c r="JS13" s="675">
        <v>60865</v>
      </c>
      <c r="JT13" s="675">
        <v>27738</v>
      </c>
      <c r="JU13" s="675">
        <v>431</v>
      </c>
      <c r="JV13" s="675">
        <v>82218</v>
      </c>
      <c r="JW13" s="675">
        <v>0</v>
      </c>
      <c r="JX13" s="675">
        <v>0</v>
      </c>
      <c r="JY13" s="675">
        <v>0</v>
      </c>
      <c r="JZ13" s="675">
        <v>0</v>
      </c>
      <c r="KA13" s="675">
        <v>0</v>
      </c>
      <c r="KB13" s="675">
        <v>0</v>
      </c>
      <c r="KC13" s="675">
        <v>0</v>
      </c>
      <c r="KD13" s="675">
        <v>431</v>
      </c>
      <c r="KE13" s="675">
        <v>7263</v>
      </c>
      <c r="KF13" s="675">
        <v>0</v>
      </c>
      <c r="KG13" s="675">
        <v>0</v>
      </c>
      <c r="KH13" s="675">
        <v>0</v>
      </c>
      <c r="KI13" s="675">
        <v>0</v>
      </c>
    </row>
    <row r="14" spans="1:295" ht="12.5" x14ac:dyDescent="0.25">
      <c r="A14" s="675">
        <v>35795</v>
      </c>
      <c r="B14" s="675">
        <v>111801</v>
      </c>
      <c r="C14" s="675">
        <v>7</v>
      </c>
      <c r="D14" s="675">
        <v>2022</v>
      </c>
      <c r="E14" s="675">
        <v>6160</v>
      </c>
      <c r="F14" s="675">
        <v>0</v>
      </c>
      <c r="G14" s="675">
        <v>47.238</v>
      </c>
      <c r="H14" s="675">
        <v>39.898000000000003</v>
      </c>
      <c r="I14" s="675">
        <v>39.898000000000003</v>
      </c>
      <c r="J14" s="675">
        <v>47.238</v>
      </c>
      <c r="K14" s="675">
        <v>0</v>
      </c>
      <c r="L14" s="675">
        <v>6160</v>
      </c>
      <c r="M14" s="675">
        <v>0</v>
      </c>
      <c r="N14" s="675">
        <v>0</v>
      </c>
      <c r="O14" s="675">
        <v>0</v>
      </c>
      <c r="P14" s="675">
        <v>66.177000000000007</v>
      </c>
      <c r="Q14" s="675">
        <v>0</v>
      </c>
      <c r="R14" s="675">
        <v>26631</v>
      </c>
      <c r="S14" s="675">
        <v>402.428</v>
      </c>
      <c r="T14" s="675">
        <v>0</v>
      </c>
      <c r="U14" s="675">
        <v>14162</v>
      </c>
      <c r="V14" s="675">
        <v>2.8220000000000001</v>
      </c>
      <c r="W14" s="675">
        <v>1738</v>
      </c>
      <c r="X14" s="675">
        <v>1738</v>
      </c>
      <c r="Y14" s="675">
        <v>0</v>
      </c>
      <c r="Z14" s="675">
        <v>0</v>
      </c>
      <c r="AA14" s="675">
        <v>0</v>
      </c>
      <c r="AB14" s="675">
        <v>0</v>
      </c>
      <c r="AC14" s="675">
        <v>0</v>
      </c>
      <c r="AD14" s="675" t="s">
        <v>316</v>
      </c>
      <c r="AE14" s="675">
        <v>0</v>
      </c>
      <c r="AF14" s="675">
        <v>0</v>
      </c>
      <c r="AG14" s="675">
        <v>0</v>
      </c>
      <c r="AH14" s="675">
        <v>0</v>
      </c>
      <c r="AI14" s="675">
        <v>0</v>
      </c>
      <c r="AJ14" s="675">
        <v>6160</v>
      </c>
      <c r="AK14" s="675" t="s">
        <v>671</v>
      </c>
      <c r="AL14" s="675" t="s">
        <v>468</v>
      </c>
      <c r="AM14" s="675">
        <v>0</v>
      </c>
      <c r="AN14" s="675">
        <v>0</v>
      </c>
      <c r="AO14" s="675">
        <v>0</v>
      </c>
      <c r="AP14" s="675">
        <v>0</v>
      </c>
      <c r="AQ14" s="675">
        <v>0</v>
      </c>
      <c r="AR14" s="675">
        <v>0</v>
      </c>
      <c r="AS14" s="675">
        <v>0</v>
      </c>
      <c r="AT14" s="675">
        <v>0</v>
      </c>
      <c r="AU14" s="675">
        <v>0</v>
      </c>
      <c r="AV14" s="675">
        <v>-23679</v>
      </c>
      <c r="AW14" s="675">
        <v>564728</v>
      </c>
      <c r="AX14" s="675">
        <v>556823</v>
      </c>
      <c r="AY14" s="675">
        <v>426699</v>
      </c>
      <c r="AZ14" s="675">
        <v>26631</v>
      </c>
      <c r="BA14" s="675">
        <v>0</v>
      </c>
      <c r="BB14" s="675">
        <v>0</v>
      </c>
      <c r="BC14" s="675">
        <v>0</v>
      </c>
      <c r="BD14" s="675">
        <v>0</v>
      </c>
      <c r="BE14" s="675">
        <v>0</v>
      </c>
      <c r="BF14" s="675">
        <v>507857</v>
      </c>
      <c r="BG14" s="675">
        <v>0</v>
      </c>
      <c r="BH14" s="675">
        <v>0</v>
      </c>
      <c r="BI14" s="675">
        <v>0</v>
      </c>
      <c r="BJ14" s="675">
        <v>12</v>
      </c>
      <c r="BK14" s="675">
        <v>0</v>
      </c>
      <c r="BL14" s="675">
        <v>0</v>
      </c>
      <c r="BM14" s="675">
        <v>0</v>
      </c>
      <c r="BN14" s="675">
        <v>0</v>
      </c>
      <c r="BO14" s="675">
        <v>0</v>
      </c>
      <c r="BP14" s="675">
        <v>0</v>
      </c>
      <c r="BQ14" s="675">
        <v>764</v>
      </c>
      <c r="BR14" s="675">
        <v>0</v>
      </c>
      <c r="BS14" s="675">
        <v>0</v>
      </c>
      <c r="BT14" s="675">
        <v>0</v>
      </c>
      <c r="BU14" s="675">
        <v>0</v>
      </c>
      <c r="BV14" s="675">
        <v>0</v>
      </c>
      <c r="BW14" s="675">
        <v>0</v>
      </c>
      <c r="BX14" s="675">
        <v>0</v>
      </c>
      <c r="BY14" s="675">
        <v>0</v>
      </c>
      <c r="BZ14" s="675">
        <v>0</v>
      </c>
      <c r="CA14" s="675">
        <v>0</v>
      </c>
      <c r="CB14" s="675">
        <v>0</v>
      </c>
      <c r="CC14" s="675">
        <v>0</v>
      </c>
      <c r="CD14" s="675">
        <v>0</v>
      </c>
      <c r="CE14" s="675">
        <v>0</v>
      </c>
      <c r="CF14" s="675">
        <v>0</v>
      </c>
      <c r="CG14" s="675">
        <v>0</v>
      </c>
      <c r="CH14" s="675">
        <v>8340</v>
      </c>
      <c r="CI14" s="675">
        <v>0</v>
      </c>
      <c r="CJ14" s="675">
        <v>4</v>
      </c>
      <c r="CK14" s="675">
        <v>0</v>
      </c>
      <c r="CL14" s="675">
        <v>0</v>
      </c>
      <c r="CM14" s="675">
        <v>0</v>
      </c>
      <c r="CN14" s="675">
        <v>0</v>
      </c>
      <c r="CO14" s="675">
        <v>1</v>
      </c>
      <c r="CP14" s="675">
        <v>0</v>
      </c>
      <c r="CQ14" s="675">
        <v>0</v>
      </c>
      <c r="CR14" s="675">
        <v>64.802999999999997</v>
      </c>
      <c r="CS14" s="675">
        <v>0</v>
      </c>
      <c r="CT14" s="675">
        <v>0</v>
      </c>
      <c r="CU14" s="675">
        <v>0</v>
      </c>
      <c r="CV14" s="675">
        <v>0</v>
      </c>
      <c r="CW14" s="675">
        <v>0</v>
      </c>
      <c r="CX14" s="675">
        <v>0</v>
      </c>
      <c r="CY14" s="675">
        <v>0</v>
      </c>
      <c r="CZ14" s="675">
        <v>0</v>
      </c>
      <c r="DA14" s="675">
        <v>0</v>
      </c>
      <c r="DB14" s="675">
        <v>77857</v>
      </c>
      <c r="DC14" s="675">
        <v>0</v>
      </c>
      <c r="DD14" s="675">
        <v>0</v>
      </c>
      <c r="DE14" s="675">
        <v>77539</v>
      </c>
      <c r="DF14" s="675">
        <v>77539</v>
      </c>
      <c r="DG14" s="675">
        <v>12.588000000000001</v>
      </c>
      <c r="DH14" s="675">
        <v>0</v>
      </c>
      <c r="DI14" s="675">
        <v>0</v>
      </c>
      <c r="DJ14" s="675">
        <v>0</v>
      </c>
      <c r="DK14" s="675">
        <v>3844</v>
      </c>
      <c r="DL14" s="675">
        <v>0</v>
      </c>
      <c r="DM14" s="675">
        <v>283484</v>
      </c>
      <c r="DN14" s="675">
        <v>435</v>
      </c>
      <c r="DO14" s="675">
        <v>0</v>
      </c>
      <c r="DP14" s="675">
        <v>0</v>
      </c>
      <c r="DQ14" s="675">
        <v>0</v>
      </c>
      <c r="DR14" s="675">
        <v>0</v>
      </c>
      <c r="DS14" s="675">
        <v>0</v>
      </c>
      <c r="DT14" s="675">
        <v>0</v>
      </c>
      <c r="DU14" s="675">
        <v>0</v>
      </c>
      <c r="DV14" s="675">
        <v>0</v>
      </c>
      <c r="DW14" s="675">
        <v>0</v>
      </c>
      <c r="DX14" s="675">
        <v>0</v>
      </c>
      <c r="DY14" s="675">
        <v>0</v>
      </c>
      <c r="DZ14" s="675">
        <v>0</v>
      </c>
      <c r="EA14" s="675">
        <v>0</v>
      </c>
      <c r="EB14" s="675">
        <v>0</v>
      </c>
      <c r="EC14" s="675">
        <v>0</v>
      </c>
      <c r="ED14" s="675">
        <v>0</v>
      </c>
      <c r="EE14" s="675">
        <v>0</v>
      </c>
      <c r="EF14" s="675">
        <v>0</v>
      </c>
      <c r="EG14" s="675">
        <v>0</v>
      </c>
      <c r="EH14" s="675">
        <v>0</v>
      </c>
      <c r="EI14" s="675">
        <v>116005</v>
      </c>
      <c r="EJ14" s="675">
        <v>4.7080000000000002</v>
      </c>
      <c r="EK14" s="675">
        <v>0</v>
      </c>
      <c r="EL14" s="675">
        <v>0</v>
      </c>
      <c r="EM14" s="675">
        <v>0</v>
      </c>
      <c r="EN14" s="675">
        <v>0</v>
      </c>
      <c r="EO14" s="675">
        <v>0</v>
      </c>
      <c r="EP14" s="675">
        <v>0</v>
      </c>
      <c r="EQ14" s="675">
        <v>4.7080000000000002</v>
      </c>
      <c r="ER14" s="675">
        <v>0</v>
      </c>
      <c r="ES14" s="675">
        <v>0</v>
      </c>
      <c r="ET14" s="675">
        <v>0</v>
      </c>
      <c r="EU14" s="675">
        <v>0</v>
      </c>
      <c r="EV14" s="675">
        <v>0</v>
      </c>
      <c r="EW14" s="675">
        <v>0</v>
      </c>
      <c r="EX14" s="675">
        <v>0</v>
      </c>
      <c r="EY14" s="675">
        <v>0</v>
      </c>
      <c r="EZ14" s="675">
        <v>494478</v>
      </c>
      <c r="FA14" s="675">
        <v>0</v>
      </c>
      <c r="FB14" s="675">
        <v>520674</v>
      </c>
      <c r="FC14" s="675">
        <v>0</v>
      </c>
      <c r="FD14" s="675">
        <v>0</v>
      </c>
      <c r="FE14" s="675">
        <v>51660</v>
      </c>
      <c r="FF14" s="675">
        <v>10685</v>
      </c>
      <c r="FG14" s="675">
        <v>6.3574999999999993E-2</v>
      </c>
      <c r="FH14" s="675">
        <v>2.6297999999999998E-2</v>
      </c>
      <c r="FI14" s="675">
        <v>0</v>
      </c>
      <c r="FJ14" s="675">
        <v>0</v>
      </c>
      <c r="FK14" s="675">
        <v>82.445000000000007</v>
      </c>
      <c r="FL14" s="675">
        <v>591359</v>
      </c>
      <c r="FM14" s="675">
        <v>0</v>
      </c>
      <c r="FN14" s="675">
        <v>0</v>
      </c>
      <c r="FO14" s="675">
        <v>0</v>
      </c>
      <c r="FP14" s="675">
        <v>0</v>
      </c>
      <c r="FQ14" s="675">
        <v>0</v>
      </c>
      <c r="FR14" s="675">
        <v>0</v>
      </c>
      <c r="FS14" s="675">
        <v>0</v>
      </c>
      <c r="FT14" s="675">
        <v>0</v>
      </c>
      <c r="FU14" s="675">
        <v>0</v>
      </c>
      <c r="FV14" s="675">
        <v>0</v>
      </c>
      <c r="FW14" s="675">
        <v>0</v>
      </c>
      <c r="FX14" s="675">
        <v>0</v>
      </c>
      <c r="FY14" s="675">
        <v>0</v>
      </c>
      <c r="FZ14" s="675">
        <v>0</v>
      </c>
      <c r="GA14" s="675">
        <v>0</v>
      </c>
      <c r="GB14" s="675">
        <v>22338</v>
      </c>
      <c r="GC14" s="675">
        <v>22338</v>
      </c>
      <c r="GD14" s="675">
        <v>2.6320000000000001</v>
      </c>
      <c r="GE14" s="675">
        <v>0</v>
      </c>
      <c r="GF14" s="675">
        <v>0</v>
      </c>
      <c r="GG14" s="675">
        <v>0</v>
      </c>
      <c r="GH14" s="675">
        <v>0</v>
      </c>
      <c r="GI14" s="675">
        <v>0</v>
      </c>
      <c r="GJ14" s="675">
        <v>0</v>
      </c>
      <c r="GK14" s="675">
        <v>0</v>
      </c>
      <c r="GL14" s="675">
        <v>0</v>
      </c>
      <c r="GM14" s="675">
        <v>0</v>
      </c>
      <c r="GN14" s="675">
        <v>0</v>
      </c>
      <c r="GO14" s="675">
        <v>0</v>
      </c>
      <c r="GP14" s="675">
        <v>0</v>
      </c>
      <c r="GQ14" s="675">
        <v>0</v>
      </c>
      <c r="GR14" s="675">
        <v>0</v>
      </c>
      <c r="GS14" s="675">
        <v>0</v>
      </c>
      <c r="GT14" s="675">
        <v>0</v>
      </c>
      <c r="GU14" s="675">
        <v>0</v>
      </c>
      <c r="GV14" s="675">
        <v>0</v>
      </c>
      <c r="GW14" s="675">
        <v>0</v>
      </c>
      <c r="GX14" s="675">
        <v>0</v>
      </c>
      <c r="GY14" s="675">
        <v>0</v>
      </c>
      <c r="GZ14" s="675">
        <v>0</v>
      </c>
      <c r="HA14" s="675">
        <v>0</v>
      </c>
      <c r="HB14" s="675">
        <v>308877260</v>
      </c>
      <c r="HC14" s="675">
        <v>4.4138999999999998E-2</v>
      </c>
      <c r="HD14" s="675">
        <v>8340</v>
      </c>
      <c r="HE14" s="675">
        <v>0</v>
      </c>
      <c r="HF14" s="675">
        <v>44007</v>
      </c>
      <c r="HG14" s="675">
        <v>0</v>
      </c>
      <c r="HH14" s="675">
        <v>0</v>
      </c>
      <c r="HI14" s="675">
        <v>0</v>
      </c>
      <c r="HJ14" s="675">
        <v>459</v>
      </c>
      <c r="HK14" s="675">
        <v>810</v>
      </c>
      <c r="HL14" s="675">
        <v>0</v>
      </c>
      <c r="HM14" s="675">
        <v>0</v>
      </c>
      <c r="HN14" s="675">
        <v>0</v>
      </c>
      <c r="HO14" s="675">
        <v>0</v>
      </c>
      <c r="HP14" s="675">
        <v>0</v>
      </c>
      <c r="HQ14" s="675">
        <v>0</v>
      </c>
      <c r="HR14" s="675">
        <v>0</v>
      </c>
      <c r="HS14" s="675">
        <v>494043</v>
      </c>
      <c r="HT14" s="675">
        <v>10685</v>
      </c>
      <c r="HU14" s="675">
        <v>0</v>
      </c>
      <c r="HV14" s="675">
        <v>0</v>
      </c>
      <c r="HW14" s="675">
        <v>0</v>
      </c>
      <c r="HX14" s="675">
        <v>12</v>
      </c>
      <c r="HY14" s="675">
        <v>13</v>
      </c>
      <c r="HZ14" s="675">
        <v>9</v>
      </c>
      <c r="IA14" s="675">
        <v>10</v>
      </c>
      <c r="IB14" s="675">
        <v>7</v>
      </c>
      <c r="IC14" s="675">
        <v>51</v>
      </c>
      <c r="ID14" s="675">
        <v>0</v>
      </c>
      <c r="IE14" s="675">
        <v>0</v>
      </c>
      <c r="IF14" s="675">
        <v>0</v>
      </c>
      <c r="IG14" s="675">
        <v>0</v>
      </c>
      <c r="IH14" s="675">
        <v>0</v>
      </c>
      <c r="II14" s="675">
        <v>0</v>
      </c>
      <c r="IJ14" s="675">
        <v>2.8220000000000001</v>
      </c>
      <c r="IK14" s="675">
        <v>45.243000000000002</v>
      </c>
      <c r="IL14" s="675">
        <v>0</v>
      </c>
      <c r="IM14" s="675">
        <v>0</v>
      </c>
      <c r="IN14" s="675">
        <v>0</v>
      </c>
      <c r="IO14" s="675">
        <v>0</v>
      </c>
      <c r="IP14" s="675">
        <v>45.243000000000002</v>
      </c>
      <c r="IQ14" s="675">
        <v>2.8220000000000001</v>
      </c>
      <c r="IR14" s="675">
        <v>1738</v>
      </c>
      <c r="IS14" s="675">
        <v>12442</v>
      </c>
      <c r="IT14" s="675">
        <v>0</v>
      </c>
      <c r="IU14" s="675">
        <v>0</v>
      </c>
      <c r="IV14" s="675">
        <v>0</v>
      </c>
      <c r="IW14" s="675">
        <v>6160</v>
      </c>
      <c r="IX14" s="675">
        <v>0</v>
      </c>
      <c r="IY14" s="675">
        <v>0</v>
      </c>
      <c r="IZ14" s="675">
        <v>12442</v>
      </c>
      <c r="JA14" s="675">
        <v>0</v>
      </c>
      <c r="JB14" s="675">
        <v>0</v>
      </c>
      <c r="JC14" s="675">
        <v>0</v>
      </c>
      <c r="JD14" s="675">
        <v>0</v>
      </c>
      <c r="JE14" s="675">
        <v>0</v>
      </c>
      <c r="JF14" s="675">
        <v>0</v>
      </c>
      <c r="JG14" s="675">
        <v>0</v>
      </c>
      <c r="JH14" s="675">
        <v>0</v>
      </c>
      <c r="JI14" s="675">
        <v>0</v>
      </c>
      <c r="JJ14" s="675">
        <v>0</v>
      </c>
      <c r="JK14" s="675">
        <v>0</v>
      </c>
      <c r="JL14" s="675">
        <v>0</v>
      </c>
      <c r="JM14" s="675">
        <v>0</v>
      </c>
      <c r="JN14" s="675">
        <v>32469</v>
      </c>
      <c r="JO14" s="675">
        <v>1.724</v>
      </c>
      <c r="JP14" s="675">
        <v>0.81900000000000006</v>
      </c>
      <c r="JQ14" s="675">
        <v>8.900000000000001E-2</v>
      </c>
      <c r="JR14" s="675">
        <v>13774</v>
      </c>
      <c r="JS14" s="675">
        <v>7614</v>
      </c>
      <c r="JT14" s="675">
        <v>950</v>
      </c>
      <c r="JU14" s="675">
        <v>0</v>
      </c>
      <c r="JV14" s="675">
        <v>0</v>
      </c>
      <c r="JW14" s="675">
        <v>0</v>
      </c>
      <c r="JX14" s="675">
        <v>0</v>
      </c>
      <c r="JY14" s="675">
        <v>0</v>
      </c>
      <c r="JZ14" s="675">
        <v>0</v>
      </c>
      <c r="KA14" s="675">
        <v>0</v>
      </c>
      <c r="KB14" s="675">
        <v>0</v>
      </c>
      <c r="KC14" s="675">
        <v>0</v>
      </c>
      <c r="KD14" s="675">
        <v>0</v>
      </c>
      <c r="KE14" s="675">
        <v>7263</v>
      </c>
      <c r="KF14" s="675">
        <v>0</v>
      </c>
      <c r="KG14" s="675">
        <v>0</v>
      </c>
      <c r="KH14" s="675">
        <v>0</v>
      </c>
      <c r="KI14" s="675">
        <v>0</v>
      </c>
    </row>
    <row r="15" spans="1:295" ht="12.5" x14ac:dyDescent="0.25">
      <c r="A15" s="675">
        <v>35795</v>
      </c>
      <c r="B15" s="675">
        <v>130801</v>
      </c>
      <c r="C15" s="675">
        <v>7</v>
      </c>
      <c r="D15" s="675">
        <v>2022</v>
      </c>
      <c r="E15" s="675">
        <v>6160</v>
      </c>
      <c r="F15" s="675">
        <v>0</v>
      </c>
      <c r="G15" s="675">
        <v>75.269000000000005</v>
      </c>
      <c r="H15" s="675">
        <v>46.823</v>
      </c>
      <c r="I15" s="675">
        <v>46.823</v>
      </c>
      <c r="J15" s="675">
        <v>75.269000000000005</v>
      </c>
      <c r="K15" s="675">
        <v>0</v>
      </c>
      <c r="L15" s="675">
        <v>6160</v>
      </c>
      <c r="M15" s="675">
        <v>0</v>
      </c>
      <c r="N15" s="675">
        <v>0</v>
      </c>
      <c r="O15" s="675">
        <v>0</v>
      </c>
      <c r="P15" s="675">
        <v>78.606000000000009</v>
      </c>
      <c r="Q15" s="675">
        <v>0</v>
      </c>
      <c r="R15" s="675">
        <v>31633</v>
      </c>
      <c r="S15" s="675">
        <v>402.428</v>
      </c>
      <c r="T15" s="675">
        <v>0</v>
      </c>
      <c r="U15" s="675">
        <v>16821</v>
      </c>
      <c r="V15" s="675">
        <v>0.877</v>
      </c>
      <c r="W15" s="675">
        <v>540</v>
      </c>
      <c r="X15" s="675">
        <v>540</v>
      </c>
      <c r="Y15" s="675">
        <v>0</v>
      </c>
      <c r="Z15" s="675">
        <v>0</v>
      </c>
      <c r="AA15" s="675">
        <v>0</v>
      </c>
      <c r="AB15" s="675">
        <v>0</v>
      </c>
      <c r="AC15" s="675">
        <v>0</v>
      </c>
      <c r="AD15" s="675" t="s">
        <v>316</v>
      </c>
      <c r="AE15" s="675">
        <v>0</v>
      </c>
      <c r="AF15" s="675">
        <v>0</v>
      </c>
      <c r="AG15" s="675">
        <v>0</v>
      </c>
      <c r="AH15" s="675">
        <v>0</v>
      </c>
      <c r="AI15" s="675">
        <v>0</v>
      </c>
      <c r="AJ15" s="675">
        <v>6160</v>
      </c>
      <c r="AK15" s="675" t="s">
        <v>671</v>
      </c>
      <c r="AL15" s="675" t="s">
        <v>447</v>
      </c>
      <c r="AM15" s="675">
        <v>0</v>
      </c>
      <c r="AN15" s="675">
        <v>0</v>
      </c>
      <c r="AO15" s="675">
        <v>0</v>
      </c>
      <c r="AP15" s="675">
        <v>0</v>
      </c>
      <c r="AQ15" s="675">
        <v>0</v>
      </c>
      <c r="AR15" s="675">
        <v>0</v>
      </c>
      <c r="AS15" s="675">
        <v>0</v>
      </c>
      <c r="AT15" s="675">
        <v>0</v>
      </c>
      <c r="AU15" s="675">
        <v>0</v>
      </c>
      <c r="AV15" s="675">
        <v>-244</v>
      </c>
      <c r="AW15" s="675">
        <v>1301426</v>
      </c>
      <c r="AX15" s="675">
        <v>1290747</v>
      </c>
      <c r="AY15" s="675">
        <v>838489</v>
      </c>
      <c r="AZ15" s="675">
        <v>31633</v>
      </c>
      <c r="BA15" s="675">
        <v>0</v>
      </c>
      <c r="BB15" s="675">
        <v>431</v>
      </c>
      <c r="BC15" s="675">
        <v>428</v>
      </c>
      <c r="BD15" s="675">
        <v>1</v>
      </c>
      <c r="BE15" s="675">
        <v>3</v>
      </c>
      <c r="BF15" s="675">
        <v>1169462</v>
      </c>
      <c r="BG15" s="675">
        <v>0</v>
      </c>
      <c r="BH15" s="675">
        <v>0</v>
      </c>
      <c r="BI15" s="675">
        <v>0</v>
      </c>
      <c r="BJ15" s="675">
        <v>12</v>
      </c>
      <c r="BK15" s="675">
        <v>0</v>
      </c>
      <c r="BL15" s="675">
        <v>0</v>
      </c>
      <c r="BM15" s="675">
        <v>0</v>
      </c>
      <c r="BN15" s="675">
        <v>0</v>
      </c>
      <c r="BO15" s="675">
        <v>0</v>
      </c>
      <c r="BP15" s="675">
        <v>0</v>
      </c>
      <c r="BQ15" s="675">
        <v>763</v>
      </c>
      <c r="BR15" s="675">
        <v>0</v>
      </c>
      <c r="BS15" s="675">
        <v>0</v>
      </c>
      <c r="BT15" s="675">
        <v>0</v>
      </c>
      <c r="BU15" s="675">
        <v>0</v>
      </c>
      <c r="BV15" s="675">
        <v>0</v>
      </c>
      <c r="BW15" s="675">
        <v>0</v>
      </c>
      <c r="BX15" s="675">
        <v>0</v>
      </c>
      <c r="BY15" s="675">
        <v>0</v>
      </c>
      <c r="BZ15" s="675">
        <v>0</v>
      </c>
      <c r="CA15" s="675">
        <v>0</v>
      </c>
      <c r="CB15" s="675">
        <v>0</v>
      </c>
      <c r="CC15" s="675">
        <v>0</v>
      </c>
      <c r="CD15" s="675">
        <v>0</v>
      </c>
      <c r="CE15" s="675">
        <v>0</v>
      </c>
      <c r="CF15" s="675">
        <v>0</v>
      </c>
      <c r="CG15" s="675">
        <v>0</v>
      </c>
      <c r="CH15" s="675">
        <v>13289</v>
      </c>
      <c r="CI15" s="675">
        <v>0</v>
      </c>
      <c r="CJ15" s="675">
        <v>4</v>
      </c>
      <c r="CK15" s="675">
        <v>0</v>
      </c>
      <c r="CL15" s="675">
        <v>0</v>
      </c>
      <c r="CM15" s="675">
        <v>0</v>
      </c>
      <c r="CN15" s="675">
        <v>0</v>
      </c>
      <c r="CO15" s="675">
        <v>1</v>
      </c>
      <c r="CP15" s="675">
        <v>0</v>
      </c>
      <c r="CQ15" s="675">
        <v>0</v>
      </c>
      <c r="CR15" s="675">
        <v>77.87700000000001</v>
      </c>
      <c r="CS15" s="675">
        <v>0</v>
      </c>
      <c r="CT15" s="675">
        <v>0</v>
      </c>
      <c r="CU15" s="675">
        <v>0</v>
      </c>
      <c r="CV15" s="675">
        <v>0</v>
      </c>
      <c r="CW15" s="675">
        <v>0</v>
      </c>
      <c r="CX15" s="675">
        <v>0</v>
      </c>
      <c r="CY15" s="675">
        <v>0</v>
      </c>
      <c r="CZ15" s="675">
        <v>0</v>
      </c>
      <c r="DA15" s="675">
        <v>0</v>
      </c>
      <c r="DB15" s="675">
        <v>235773</v>
      </c>
      <c r="DC15" s="675">
        <v>0</v>
      </c>
      <c r="DD15" s="675">
        <v>0</v>
      </c>
      <c r="DE15" s="675">
        <v>116192</v>
      </c>
      <c r="DF15" s="675">
        <v>117424</v>
      </c>
      <c r="DG15" s="675">
        <v>18.863</v>
      </c>
      <c r="DH15" s="675">
        <v>0</v>
      </c>
      <c r="DI15" s="675">
        <v>0</v>
      </c>
      <c r="DJ15" s="675">
        <v>0</v>
      </c>
      <c r="DK15" s="675">
        <v>3827</v>
      </c>
      <c r="DL15" s="675">
        <v>0</v>
      </c>
      <c r="DM15" s="675">
        <v>745835</v>
      </c>
      <c r="DN15" s="675">
        <v>2608</v>
      </c>
      <c r="DO15" s="675">
        <v>0</v>
      </c>
      <c r="DP15" s="675">
        <v>0</v>
      </c>
      <c r="DQ15" s="675">
        <v>0</v>
      </c>
      <c r="DR15" s="675">
        <v>0</v>
      </c>
      <c r="DS15" s="675">
        <v>0</v>
      </c>
      <c r="DT15" s="675">
        <v>0</v>
      </c>
      <c r="DU15" s="675">
        <v>0</v>
      </c>
      <c r="DV15" s="675">
        <v>0</v>
      </c>
      <c r="DW15" s="675">
        <v>0</v>
      </c>
      <c r="DX15" s="675">
        <v>0</v>
      </c>
      <c r="DY15" s="675">
        <v>0</v>
      </c>
      <c r="DZ15" s="675">
        <v>0</v>
      </c>
      <c r="EA15" s="675">
        <v>0</v>
      </c>
      <c r="EB15" s="675">
        <v>0</v>
      </c>
      <c r="EC15" s="675">
        <v>2.2610000000000001</v>
      </c>
      <c r="ED15" s="675">
        <v>16017</v>
      </c>
      <c r="EE15" s="675">
        <v>0</v>
      </c>
      <c r="EF15" s="675">
        <v>0</v>
      </c>
      <c r="EG15" s="675">
        <v>0</v>
      </c>
      <c r="EH15" s="675">
        <v>4712</v>
      </c>
      <c r="EI15" s="675">
        <v>675059</v>
      </c>
      <c r="EJ15" s="675">
        <v>27.397000000000002</v>
      </c>
      <c r="EK15" s="675">
        <v>8.2000000000000003E-2</v>
      </c>
      <c r="EL15" s="675">
        <v>0</v>
      </c>
      <c r="EM15" s="675">
        <v>0.108</v>
      </c>
      <c r="EN15" s="675">
        <v>3.9E-2</v>
      </c>
      <c r="EO15" s="675">
        <v>0</v>
      </c>
      <c r="EP15" s="675">
        <v>0</v>
      </c>
      <c r="EQ15" s="675">
        <v>27.626000000000001</v>
      </c>
      <c r="ER15" s="675">
        <v>0</v>
      </c>
      <c r="ES15" s="675">
        <v>0.76500000000000001</v>
      </c>
      <c r="ET15" s="675">
        <v>0</v>
      </c>
      <c r="EU15" s="675">
        <v>0</v>
      </c>
      <c r="EV15" s="675">
        <v>0</v>
      </c>
      <c r="EW15" s="675">
        <v>0</v>
      </c>
      <c r="EX15" s="675">
        <v>0</v>
      </c>
      <c r="EY15" s="675">
        <v>0</v>
      </c>
      <c r="EZ15" s="675">
        <v>1147185</v>
      </c>
      <c r="FA15" s="675">
        <v>0</v>
      </c>
      <c r="FB15" s="675">
        <v>1176208</v>
      </c>
      <c r="FC15" s="675">
        <v>0</v>
      </c>
      <c r="FD15" s="675">
        <v>0</v>
      </c>
      <c r="FE15" s="675">
        <v>118958</v>
      </c>
      <c r="FF15" s="675">
        <v>24604</v>
      </c>
      <c r="FG15" s="675">
        <v>6.3574999999999993E-2</v>
      </c>
      <c r="FH15" s="675">
        <v>2.6297999999999998E-2</v>
      </c>
      <c r="FI15" s="675">
        <v>0</v>
      </c>
      <c r="FJ15" s="675">
        <v>0</v>
      </c>
      <c r="FK15" s="675">
        <v>189.84900000000002</v>
      </c>
      <c r="FL15" s="675">
        <v>1333059</v>
      </c>
      <c r="FM15" s="675">
        <v>0</v>
      </c>
      <c r="FN15" s="675">
        <v>0</v>
      </c>
      <c r="FO15" s="675">
        <v>0</v>
      </c>
      <c r="FP15" s="675">
        <v>0</v>
      </c>
      <c r="FQ15" s="675">
        <v>0</v>
      </c>
      <c r="FR15" s="675">
        <v>0</v>
      </c>
      <c r="FS15" s="675">
        <v>0</v>
      </c>
      <c r="FT15" s="675">
        <v>0</v>
      </c>
      <c r="FU15" s="675">
        <v>0</v>
      </c>
      <c r="FV15" s="675">
        <v>0</v>
      </c>
      <c r="FW15" s="675">
        <v>0</v>
      </c>
      <c r="FX15" s="675">
        <v>0</v>
      </c>
      <c r="FY15" s="675">
        <v>0</v>
      </c>
      <c r="FZ15" s="675">
        <v>0</v>
      </c>
      <c r="GA15" s="675">
        <v>0</v>
      </c>
      <c r="GB15" s="675">
        <v>6551</v>
      </c>
      <c r="GC15" s="675">
        <v>6551</v>
      </c>
      <c r="GD15" s="675">
        <v>0.82000000000000006</v>
      </c>
      <c r="GE15" s="675">
        <v>0</v>
      </c>
      <c r="GF15" s="675">
        <v>0</v>
      </c>
      <c r="GG15" s="675">
        <v>0</v>
      </c>
      <c r="GH15" s="675">
        <v>0</v>
      </c>
      <c r="GI15" s="675">
        <v>0</v>
      </c>
      <c r="GJ15" s="675">
        <v>0</v>
      </c>
      <c r="GK15" s="675">
        <v>0</v>
      </c>
      <c r="GL15" s="675">
        <v>0</v>
      </c>
      <c r="GM15" s="675">
        <v>0</v>
      </c>
      <c r="GN15" s="675">
        <v>0</v>
      </c>
      <c r="GO15" s="675">
        <v>0</v>
      </c>
      <c r="GP15" s="675">
        <v>0</v>
      </c>
      <c r="GQ15" s="675">
        <v>0</v>
      </c>
      <c r="GR15" s="675">
        <v>0</v>
      </c>
      <c r="GS15" s="675">
        <v>0</v>
      </c>
      <c r="GT15" s="675">
        <v>0</v>
      </c>
      <c r="GU15" s="675">
        <v>0</v>
      </c>
      <c r="GV15" s="675">
        <v>0</v>
      </c>
      <c r="GW15" s="675">
        <v>0</v>
      </c>
      <c r="GX15" s="675">
        <v>0</v>
      </c>
      <c r="GY15" s="675">
        <v>0</v>
      </c>
      <c r="GZ15" s="675">
        <v>0</v>
      </c>
      <c r="HA15" s="675">
        <v>0</v>
      </c>
      <c r="HB15" s="675">
        <v>308877260</v>
      </c>
      <c r="HC15" s="675">
        <v>4.4138999999999998E-2</v>
      </c>
      <c r="HD15" s="675">
        <v>13289</v>
      </c>
      <c r="HE15" s="675">
        <v>0</v>
      </c>
      <c r="HF15" s="675">
        <v>51646</v>
      </c>
      <c r="HG15" s="675">
        <v>0</v>
      </c>
      <c r="HH15" s="675">
        <v>4922</v>
      </c>
      <c r="HI15" s="675">
        <v>0</v>
      </c>
      <c r="HJ15" s="675">
        <v>732</v>
      </c>
      <c r="HK15" s="675">
        <v>522</v>
      </c>
      <c r="HL15" s="675">
        <v>0</v>
      </c>
      <c r="HM15" s="675">
        <v>3000</v>
      </c>
      <c r="HN15" s="675">
        <v>0</v>
      </c>
      <c r="HO15" s="675">
        <v>0</v>
      </c>
      <c r="HP15" s="675">
        <v>0</v>
      </c>
      <c r="HQ15" s="675">
        <v>0</v>
      </c>
      <c r="HR15" s="675">
        <v>0</v>
      </c>
      <c r="HS15" s="675">
        <v>1144575</v>
      </c>
      <c r="HT15" s="675">
        <v>24604</v>
      </c>
      <c r="HU15" s="675">
        <v>0</v>
      </c>
      <c r="HV15" s="675">
        <v>0</v>
      </c>
      <c r="HW15" s="675">
        <v>0</v>
      </c>
      <c r="HX15" s="675">
        <v>1</v>
      </c>
      <c r="HY15" s="675">
        <v>1</v>
      </c>
      <c r="HZ15" s="675">
        <v>1</v>
      </c>
      <c r="IA15" s="675">
        <v>0</v>
      </c>
      <c r="IB15" s="675">
        <v>66</v>
      </c>
      <c r="IC15" s="675">
        <v>69</v>
      </c>
      <c r="ID15" s="675">
        <v>1</v>
      </c>
      <c r="IE15" s="675">
        <v>0</v>
      </c>
      <c r="IF15" s="675">
        <v>0</v>
      </c>
      <c r="IG15" s="675">
        <v>0</v>
      </c>
      <c r="IH15" s="675">
        <v>7.99</v>
      </c>
      <c r="II15" s="675">
        <v>0</v>
      </c>
      <c r="IJ15" s="675">
        <v>0.877</v>
      </c>
      <c r="IK15" s="675">
        <v>32.125</v>
      </c>
      <c r="IL15" s="675">
        <v>0</v>
      </c>
      <c r="IM15" s="675">
        <v>1</v>
      </c>
      <c r="IN15" s="675">
        <v>0</v>
      </c>
      <c r="IO15" s="675">
        <v>1</v>
      </c>
      <c r="IP15" s="675">
        <v>32.125</v>
      </c>
      <c r="IQ15" s="675">
        <v>0.877</v>
      </c>
      <c r="IR15" s="675">
        <v>540</v>
      </c>
      <c r="IS15" s="675">
        <v>8834</v>
      </c>
      <c r="IT15" s="675">
        <v>0</v>
      </c>
      <c r="IU15" s="675">
        <v>3000</v>
      </c>
      <c r="IV15" s="675">
        <v>0</v>
      </c>
      <c r="IW15" s="675">
        <v>6160</v>
      </c>
      <c r="IX15" s="675">
        <v>0</v>
      </c>
      <c r="IY15" s="675">
        <v>0</v>
      </c>
      <c r="IZ15" s="675">
        <v>8834</v>
      </c>
      <c r="JA15" s="675">
        <v>1232</v>
      </c>
      <c r="JB15" s="675">
        <v>0</v>
      </c>
      <c r="JC15" s="675">
        <v>0</v>
      </c>
      <c r="JD15" s="675">
        <v>0</v>
      </c>
      <c r="JE15" s="675">
        <v>0</v>
      </c>
      <c r="JF15" s="675">
        <v>0</v>
      </c>
      <c r="JG15" s="675">
        <v>0</v>
      </c>
      <c r="JH15" s="675">
        <v>0</v>
      </c>
      <c r="JI15" s="675">
        <v>0</v>
      </c>
      <c r="JJ15" s="675">
        <v>0</v>
      </c>
      <c r="JK15" s="675">
        <v>0</v>
      </c>
      <c r="JL15" s="675">
        <v>0</v>
      </c>
      <c r="JM15" s="675">
        <v>0</v>
      </c>
      <c r="JN15" s="675">
        <v>32469</v>
      </c>
      <c r="JO15" s="675">
        <v>0.82000000000000006</v>
      </c>
      <c r="JP15" s="675">
        <v>0</v>
      </c>
      <c r="JQ15" s="675">
        <v>0</v>
      </c>
      <c r="JR15" s="675">
        <v>6551</v>
      </c>
      <c r="JS15" s="675">
        <v>0</v>
      </c>
      <c r="JT15" s="675">
        <v>0</v>
      </c>
      <c r="JU15" s="675">
        <v>431</v>
      </c>
      <c r="JV15" s="675">
        <v>0</v>
      </c>
      <c r="JW15" s="675">
        <v>0</v>
      </c>
      <c r="JX15" s="675">
        <v>0</v>
      </c>
      <c r="JY15" s="675">
        <v>0</v>
      </c>
      <c r="JZ15" s="675">
        <v>0</v>
      </c>
      <c r="KA15" s="675">
        <v>0</v>
      </c>
      <c r="KB15" s="675">
        <v>0</v>
      </c>
      <c r="KC15" s="675">
        <v>0</v>
      </c>
      <c r="KD15" s="675">
        <v>431</v>
      </c>
      <c r="KE15" s="675">
        <v>7263</v>
      </c>
      <c r="KF15" s="675">
        <v>0</v>
      </c>
      <c r="KG15" s="675">
        <v>0</v>
      </c>
      <c r="KH15" s="675">
        <v>0</v>
      </c>
      <c r="KI15" s="675">
        <v>0</v>
      </c>
    </row>
    <row r="16" spans="1:295" ht="12.5" x14ac:dyDescent="0.25">
      <c r="A16" s="675">
        <v>35795</v>
      </c>
      <c r="B16" s="675">
        <v>161801</v>
      </c>
      <c r="C16" s="675">
        <v>7</v>
      </c>
      <c r="D16" s="675">
        <v>2022</v>
      </c>
      <c r="E16" s="675">
        <v>6160</v>
      </c>
      <c r="F16" s="675">
        <v>0</v>
      </c>
      <c r="G16" s="675">
        <v>165.90600000000001</v>
      </c>
      <c r="H16" s="675">
        <v>146.34</v>
      </c>
      <c r="I16" s="675">
        <v>146.34</v>
      </c>
      <c r="J16" s="675">
        <v>165.90600000000001</v>
      </c>
      <c r="K16" s="675">
        <v>0</v>
      </c>
      <c r="L16" s="675">
        <v>6160</v>
      </c>
      <c r="M16" s="675">
        <v>0</v>
      </c>
      <c r="N16" s="675">
        <v>0</v>
      </c>
      <c r="O16" s="675">
        <v>0</v>
      </c>
      <c r="P16" s="675">
        <v>192.99600000000001</v>
      </c>
      <c r="Q16" s="675">
        <v>0</v>
      </c>
      <c r="R16" s="675">
        <v>77667</v>
      </c>
      <c r="S16" s="675">
        <v>402.428</v>
      </c>
      <c r="T16" s="675">
        <v>0</v>
      </c>
      <c r="U16" s="675">
        <v>41300</v>
      </c>
      <c r="V16" s="675">
        <v>51.157000000000004</v>
      </c>
      <c r="W16" s="675">
        <v>31513</v>
      </c>
      <c r="X16" s="675">
        <v>31513</v>
      </c>
      <c r="Y16" s="675">
        <v>0</v>
      </c>
      <c r="Z16" s="675">
        <v>0</v>
      </c>
      <c r="AA16" s="675">
        <v>0</v>
      </c>
      <c r="AB16" s="675">
        <v>0</v>
      </c>
      <c r="AC16" s="675">
        <v>0</v>
      </c>
      <c r="AD16" s="675" t="s">
        <v>316</v>
      </c>
      <c r="AE16" s="675">
        <v>0</v>
      </c>
      <c r="AF16" s="675">
        <v>0</v>
      </c>
      <c r="AG16" s="675">
        <v>0</v>
      </c>
      <c r="AH16" s="675">
        <v>0</v>
      </c>
      <c r="AI16" s="675">
        <v>0</v>
      </c>
      <c r="AJ16" s="675">
        <v>6160</v>
      </c>
      <c r="AK16" s="675" t="s">
        <v>671</v>
      </c>
      <c r="AL16" s="675" t="s">
        <v>5</v>
      </c>
      <c r="AM16" s="675">
        <v>0</v>
      </c>
      <c r="AN16" s="675">
        <v>0</v>
      </c>
      <c r="AO16" s="675">
        <v>0</v>
      </c>
      <c r="AP16" s="675">
        <v>0</v>
      </c>
      <c r="AQ16" s="675">
        <v>0</v>
      </c>
      <c r="AR16" s="675">
        <v>0</v>
      </c>
      <c r="AS16" s="675">
        <v>0</v>
      </c>
      <c r="AT16" s="675">
        <v>0</v>
      </c>
      <c r="AU16" s="675">
        <v>0</v>
      </c>
      <c r="AV16" s="675">
        <v>0</v>
      </c>
      <c r="AW16" s="675">
        <v>2016292</v>
      </c>
      <c r="AX16" s="675">
        <v>1988431</v>
      </c>
      <c r="AY16" s="675">
        <v>1386921</v>
      </c>
      <c r="AZ16" s="675">
        <v>77667</v>
      </c>
      <c r="BA16" s="675">
        <v>0</v>
      </c>
      <c r="BB16" s="675">
        <v>2587</v>
      </c>
      <c r="BC16" s="675">
        <v>2570</v>
      </c>
      <c r="BD16" s="675">
        <v>6</v>
      </c>
      <c r="BE16" s="675">
        <v>17</v>
      </c>
      <c r="BF16" s="675">
        <v>1840197</v>
      </c>
      <c r="BG16" s="675">
        <v>0</v>
      </c>
      <c r="BH16" s="675">
        <v>0</v>
      </c>
      <c r="BI16" s="675">
        <v>0</v>
      </c>
      <c r="BJ16" s="675">
        <v>12</v>
      </c>
      <c r="BK16" s="675">
        <v>0</v>
      </c>
      <c r="BL16" s="675">
        <v>0</v>
      </c>
      <c r="BM16" s="675">
        <v>0</v>
      </c>
      <c r="BN16" s="675">
        <v>0</v>
      </c>
      <c r="BO16" s="675">
        <v>0</v>
      </c>
      <c r="BP16" s="675">
        <v>0</v>
      </c>
      <c r="BQ16" s="675">
        <v>747</v>
      </c>
      <c r="BR16" s="675">
        <v>0</v>
      </c>
      <c r="BS16" s="675">
        <v>0</v>
      </c>
      <c r="BT16" s="675">
        <v>0</v>
      </c>
      <c r="BU16" s="675">
        <v>0</v>
      </c>
      <c r="BV16" s="675">
        <v>0</v>
      </c>
      <c r="BW16" s="675">
        <v>0</v>
      </c>
      <c r="BX16" s="675">
        <v>0</v>
      </c>
      <c r="BY16" s="675">
        <v>0</v>
      </c>
      <c r="BZ16" s="675">
        <v>0</v>
      </c>
      <c r="CA16" s="675">
        <v>0</v>
      </c>
      <c r="CB16" s="675">
        <v>0</v>
      </c>
      <c r="CC16" s="675">
        <v>0</v>
      </c>
      <c r="CD16" s="675">
        <v>0</v>
      </c>
      <c r="CE16" s="675">
        <v>0</v>
      </c>
      <c r="CF16" s="675">
        <v>0</v>
      </c>
      <c r="CG16" s="675">
        <v>0</v>
      </c>
      <c r="CH16" s="675">
        <v>29292</v>
      </c>
      <c r="CI16" s="675">
        <v>0</v>
      </c>
      <c r="CJ16" s="675">
        <v>4</v>
      </c>
      <c r="CK16" s="675">
        <v>0</v>
      </c>
      <c r="CL16" s="675">
        <v>0</v>
      </c>
      <c r="CM16" s="675">
        <v>0</v>
      </c>
      <c r="CN16" s="675">
        <v>0</v>
      </c>
      <c r="CO16" s="675">
        <v>1</v>
      </c>
      <c r="CP16" s="675">
        <v>0</v>
      </c>
      <c r="CQ16" s="675">
        <v>0</v>
      </c>
      <c r="CR16" s="675">
        <v>196.101</v>
      </c>
      <c r="CS16" s="675">
        <v>0</v>
      </c>
      <c r="CT16" s="675">
        <v>0</v>
      </c>
      <c r="CU16" s="675">
        <v>0</v>
      </c>
      <c r="CV16" s="675">
        <v>0</v>
      </c>
      <c r="CW16" s="675">
        <v>0</v>
      </c>
      <c r="CX16" s="675">
        <v>0</v>
      </c>
      <c r="CY16" s="675">
        <v>0</v>
      </c>
      <c r="CZ16" s="675">
        <v>0</v>
      </c>
      <c r="DA16" s="675">
        <v>0</v>
      </c>
      <c r="DB16" s="675">
        <v>901450</v>
      </c>
      <c r="DC16" s="675">
        <v>0</v>
      </c>
      <c r="DD16" s="675">
        <v>0</v>
      </c>
      <c r="DE16" s="675">
        <v>274119</v>
      </c>
      <c r="DF16" s="675">
        <v>274119</v>
      </c>
      <c r="DG16" s="675">
        <v>44.5</v>
      </c>
      <c r="DH16" s="675">
        <v>0</v>
      </c>
      <c r="DI16" s="675">
        <v>0</v>
      </c>
      <c r="DJ16" s="675">
        <v>0</v>
      </c>
      <c r="DK16" s="675">
        <v>3582</v>
      </c>
      <c r="DL16" s="675">
        <v>0</v>
      </c>
      <c r="DM16" s="675">
        <v>376042</v>
      </c>
      <c r="DN16" s="675">
        <v>1415</v>
      </c>
      <c r="DO16" s="675">
        <v>0</v>
      </c>
      <c r="DP16" s="675">
        <v>0</v>
      </c>
      <c r="DQ16" s="675">
        <v>0</v>
      </c>
      <c r="DR16" s="675">
        <v>0</v>
      </c>
      <c r="DS16" s="675">
        <v>0</v>
      </c>
      <c r="DT16" s="675">
        <v>0</v>
      </c>
      <c r="DU16" s="675">
        <v>0</v>
      </c>
      <c r="DV16" s="675">
        <v>0</v>
      </c>
      <c r="DW16" s="675">
        <v>0</v>
      </c>
      <c r="DX16" s="675">
        <v>0</v>
      </c>
      <c r="DY16" s="675">
        <v>0</v>
      </c>
      <c r="DZ16" s="675">
        <v>0</v>
      </c>
      <c r="EA16" s="675">
        <v>0</v>
      </c>
      <c r="EB16" s="675">
        <v>0</v>
      </c>
      <c r="EC16" s="675">
        <v>0.72500000000000009</v>
      </c>
      <c r="ED16" s="675">
        <v>5136</v>
      </c>
      <c r="EE16" s="675">
        <v>0</v>
      </c>
      <c r="EF16" s="675">
        <v>0</v>
      </c>
      <c r="EG16" s="675">
        <v>0</v>
      </c>
      <c r="EH16" s="675">
        <v>372321</v>
      </c>
      <c r="EI16" s="675">
        <v>0</v>
      </c>
      <c r="EJ16" s="675">
        <v>0</v>
      </c>
      <c r="EK16" s="675">
        <v>18.694000000000003</v>
      </c>
      <c r="EL16" s="675">
        <v>0</v>
      </c>
      <c r="EM16" s="675">
        <v>0</v>
      </c>
      <c r="EN16" s="675">
        <v>0.872</v>
      </c>
      <c r="EO16" s="675">
        <v>0</v>
      </c>
      <c r="EP16" s="675">
        <v>0</v>
      </c>
      <c r="EQ16" s="675">
        <v>19.566000000000003</v>
      </c>
      <c r="ER16" s="675">
        <v>0</v>
      </c>
      <c r="ES16" s="675">
        <v>60.442</v>
      </c>
      <c r="ET16" s="675">
        <v>0</v>
      </c>
      <c r="EU16" s="675">
        <v>0</v>
      </c>
      <c r="EV16" s="675">
        <v>0</v>
      </c>
      <c r="EW16" s="675">
        <v>0</v>
      </c>
      <c r="EX16" s="675">
        <v>0</v>
      </c>
      <c r="EY16" s="675">
        <v>0</v>
      </c>
      <c r="EZ16" s="675">
        <v>1762530</v>
      </c>
      <c r="FA16" s="675">
        <v>0</v>
      </c>
      <c r="FB16" s="675">
        <v>1838766</v>
      </c>
      <c r="FC16" s="675">
        <v>0</v>
      </c>
      <c r="FD16" s="675">
        <v>0</v>
      </c>
      <c r="FE16" s="675">
        <v>187186</v>
      </c>
      <c r="FF16" s="675">
        <v>38715</v>
      </c>
      <c r="FG16" s="675">
        <v>6.3574999999999993E-2</v>
      </c>
      <c r="FH16" s="675">
        <v>2.6297999999999998E-2</v>
      </c>
      <c r="FI16" s="675">
        <v>0</v>
      </c>
      <c r="FJ16" s="675">
        <v>0</v>
      </c>
      <c r="FK16" s="675">
        <v>298.73500000000001</v>
      </c>
      <c r="FL16" s="675">
        <v>2093959</v>
      </c>
      <c r="FM16" s="675">
        <v>0</v>
      </c>
      <c r="FN16" s="675">
        <v>0</v>
      </c>
      <c r="FO16" s="675">
        <v>0</v>
      </c>
      <c r="FP16" s="675">
        <v>0</v>
      </c>
      <c r="FQ16" s="675">
        <v>0</v>
      </c>
      <c r="FR16" s="675">
        <v>0</v>
      </c>
      <c r="FS16" s="675">
        <v>0</v>
      </c>
      <c r="FT16" s="675">
        <v>0</v>
      </c>
      <c r="FU16" s="675">
        <v>0</v>
      </c>
      <c r="FV16" s="675">
        <v>0</v>
      </c>
      <c r="FW16" s="675">
        <v>0</v>
      </c>
      <c r="FX16" s="675">
        <v>0</v>
      </c>
      <c r="FY16" s="675">
        <v>0</v>
      </c>
      <c r="FZ16" s="675">
        <v>0</v>
      </c>
      <c r="GA16" s="675">
        <v>0</v>
      </c>
      <c r="GB16" s="675">
        <v>0</v>
      </c>
      <c r="GC16" s="675">
        <v>0</v>
      </c>
      <c r="GD16" s="675">
        <v>0</v>
      </c>
      <c r="GE16" s="675">
        <v>0</v>
      </c>
      <c r="GF16" s="675">
        <v>0</v>
      </c>
      <c r="GG16" s="675">
        <v>0</v>
      </c>
      <c r="GH16" s="675">
        <v>0</v>
      </c>
      <c r="GI16" s="675">
        <v>0</v>
      </c>
      <c r="GJ16" s="675">
        <v>0</v>
      </c>
      <c r="GK16" s="675">
        <v>0</v>
      </c>
      <c r="GL16" s="675">
        <v>0</v>
      </c>
      <c r="GM16" s="675">
        <v>0</v>
      </c>
      <c r="GN16" s="675">
        <v>0</v>
      </c>
      <c r="GO16" s="675">
        <v>0</v>
      </c>
      <c r="GP16" s="675">
        <v>0</v>
      </c>
      <c r="GQ16" s="675">
        <v>0</v>
      </c>
      <c r="GR16" s="675">
        <v>0</v>
      </c>
      <c r="GS16" s="675">
        <v>0</v>
      </c>
      <c r="GT16" s="675">
        <v>0</v>
      </c>
      <c r="GU16" s="675">
        <v>0</v>
      </c>
      <c r="GV16" s="675">
        <v>0</v>
      </c>
      <c r="GW16" s="675">
        <v>0</v>
      </c>
      <c r="GX16" s="675">
        <v>0</v>
      </c>
      <c r="GY16" s="675">
        <v>0</v>
      </c>
      <c r="GZ16" s="675">
        <v>0</v>
      </c>
      <c r="HA16" s="675">
        <v>0</v>
      </c>
      <c r="HB16" s="675">
        <v>308877260</v>
      </c>
      <c r="HC16" s="675">
        <v>4.4138999999999998E-2</v>
      </c>
      <c r="HD16" s="675">
        <v>29292</v>
      </c>
      <c r="HE16" s="675">
        <v>0</v>
      </c>
      <c r="HF16" s="675">
        <v>161413</v>
      </c>
      <c r="HG16" s="675">
        <v>1925</v>
      </c>
      <c r="HH16" s="675">
        <v>88120</v>
      </c>
      <c r="HI16" s="675">
        <v>0</v>
      </c>
      <c r="HJ16" s="675">
        <v>1613</v>
      </c>
      <c r="HK16" s="675">
        <v>0</v>
      </c>
      <c r="HL16" s="675">
        <v>0</v>
      </c>
      <c r="HM16" s="675">
        <v>0</v>
      </c>
      <c r="HN16" s="675">
        <v>0</v>
      </c>
      <c r="HO16" s="675">
        <v>0</v>
      </c>
      <c r="HP16" s="675">
        <v>0</v>
      </c>
      <c r="HQ16" s="675">
        <v>0</v>
      </c>
      <c r="HR16" s="675">
        <v>0</v>
      </c>
      <c r="HS16" s="675">
        <v>1761099</v>
      </c>
      <c r="HT16" s="675">
        <v>38715</v>
      </c>
      <c r="HU16" s="675">
        <v>0</v>
      </c>
      <c r="HV16" s="675">
        <v>0</v>
      </c>
      <c r="HW16" s="675">
        <v>0</v>
      </c>
      <c r="HX16" s="675">
        <v>3</v>
      </c>
      <c r="HY16" s="675">
        <v>5</v>
      </c>
      <c r="HZ16" s="675">
        <v>5</v>
      </c>
      <c r="IA16" s="675">
        <v>77</v>
      </c>
      <c r="IB16" s="675">
        <v>77</v>
      </c>
      <c r="IC16" s="675">
        <v>167</v>
      </c>
      <c r="ID16" s="675">
        <v>0</v>
      </c>
      <c r="IE16" s="675">
        <v>0</v>
      </c>
      <c r="IF16" s="675">
        <v>0</v>
      </c>
      <c r="IG16" s="675">
        <v>3.125</v>
      </c>
      <c r="IH16" s="675">
        <v>143.05200000000002</v>
      </c>
      <c r="II16" s="675">
        <v>0</v>
      </c>
      <c r="IJ16" s="675">
        <v>51.157000000000004</v>
      </c>
      <c r="IK16" s="675">
        <v>0</v>
      </c>
      <c r="IL16" s="675">
        <v>0</v>
      </c>
      <c r="IM16" s="675">
        <v>0</v>
      </c>
      <c r="IN16" s="675">
        <v>0</v>
      </c>
      <c r="IO16" s="675">
        <v>0</v>
      </c>
      <c r="IP16" s="675">
        <v>0</v>
      </c>
      <c r="IQ16" s="675">
        <v>51.157000000000004</v>
      </c>
      <c r="IR16" s="675">
        <v>31513</v>
      </c>
      <c r="IS16" s="675">
        <v>0</v>
      </c>
      <c r="IT16" s="675">
        <v>0</v>
      </c>
      <c r="IU16" s="675">
        <v>0</v>
      </c>
      <c r="IV16" s="675">
        <v>0</v>
      </c>
      <c r="IW16" s="675">
        <v>6160</v>
      </c>
      <c r="IX16" s="675">
        <v>0</v>
      </c>
      <c r="IY16" s="675">
        <v>0</v>
      </c>
      <c r="IZ16" s="675">
        <v>0</v>
      </c>
      <c r="JA16" s="675">
        <v>0</v>
      </c>
      <c r="JB16" s="675">
        <v>0</v>
      </c>
      <c r="JC16" s="675">
        <v>0</v>
      </c>
      <c r="JD16" s="675">
        <v>0</v>
      </c>
      <c r="JE16" s="675">
        <v>0</v>
      </c>
      <c r="JF16" s="675">
        <v>0</v>
      </c>
      <c r="JG16" s="675">
        <v>0</v>
      </c>
      <c r="JH16" s="675">
        <v>0</v>
      </c>
      <c r="JI16" s="675">
        <v>0</v>
      </c>
      <c r="JJ16" s="675">
        <v>0</v>
      </c>
      <c r="JK16" s="675">
        <v>0</v>
      </c>
      <c r="JL16" s="675">
        <v>0</v>
      </c>
      <c r="JM16" s="675">
        <v>0</v>
      </c>
      <c r="JN16" s="675">
        <v>32469</v>
      </c>
      <c r="JO16" s="675">
        <v>0</v>
      </c>
      <c r="JP16" s="675">
        <v>0</v>
      </c>
      <c r="JQ16" s="675">
        <v>0</v>
      </c>
      <c r="JR16" s="675">
        <v>0</v>
      </c>
      <c r="JS16" s="675">
        <v>0</v>
      </c>
      <c r="JT16" s="675">
        <v>0</v>
      </c>
      <c r="JU16" s="675">
        <v>2587</v>
      </c>
      <c r="JV16" s="675">
        <v>0</v>
      </c>
      <c r="JW16" s="675">
        <v>0</v>
      </c>
      <c r="JX16" s="675">
        <v>0</v>
      </c>
      <c r="JY16" s="675">
        <v>0</v>
      </c>
      <c r="JZ16" s="675">
        <v>0</v>
      </c>
      <c r="KA16" s="675">
        <v>0</v>
      </c>
      <c r="KB16" s="675">
        <v>0</v>
      </c>
      <c r="KC16" s="675">
        <v>0</v>
      </c>
      <c r="KD16" s="675">
        <v>2587</v>
      </c>
      <c r="KE16" s="675">
        <v>7263</v>
      </c>
      <c r="KF16" s="675">
        <v>0</v>
      </c>
      <c r="KG16" s="675">
        <v>0</v>
      </c>
      <c r="KH16" s="675">
        <v>0</v>
      </c>
      <c r="KI16" s="675">
        <v>0</v>
      </c>
    </row>
    <row r="17" spans="1:295" ht="12.5" x14ac:dyDescent="0.25">
      <c r="A17" s="675">
        <v>35795</v>
      </c>
      <c r="B17" s="675">
        <v>170801</v>
      </c>
      <c r="C17" s="675">
        <v>7</v>
      </c>
      <c r="D17" s="675">
        <v>2022</v>
      </c>
      <c r="E17" s="675">
        <v>6160</v>
      </c>
      <c r="F17" s="675">
        <v>0</v>
      </c>
      <c r="G17" s="675">
        <v>307.84000000000003</v>
      </c>
      <c r="H17" s="675">
        <v>302.20100000000002</v>
      </c>
      <c r="I17" s="675">
        <v>302.20100000000002</v>
      </c>
      <c r="J17" s="675">
        <v>307.84000000000003</v>
      </c>
      <c r="K17" s="675">
        <v>0</v>
      </c>
      <c r="L17" s="675">
        <v>6160</v>
      </c>
      <c r="M17" s="675">
        <v>0</v>
      </c>
      <c r="N17" s="675">
        <v>0</v>
      </c>
      <c r="O17" s="675">
        <v>0</v>
      </c>
      <c r="P17" s="675">
        <v>379.791</v>
      </c>
      <c r="Q17" s="675">
        <v>0</v>
      </c>
      <c r="R17" s="675">
        <v>152839</v>
      </c>
      <c r="S17" s="675">
        <v>402.428</v>
      </c>
      <c r="T17" s="675">
        <v>0</v>
      </c>
      <c r="U17" s="675">
        <v>81276</v>
      </c>
      <c r="V17" s="675">
        <v>76.058000000000007</v>
      </c>
      <c r="W17" s="675">
        <v>52727</v>
      </c>
      <c r="X17" s="675">
        <v>52727</v>
      </c>
      <c r="Y17" s="675">
        <v>0</v>
      </c>
      <c r="Z17" s="675">
        <v>0</v>
      </c>
      <c r="AA17" s="675">
        <v>0</v>
      </c>
      <c r="AB17" s="675">
        <v>0</v>
      </c>
      <c r="AC17" s="675">
        <v>0</v>
      </c>
      <c r="AD17" s="675" t="s">
        <v>316</v>
      </c>
      <c r="AE17" s="675">
        <v>0</v>
      </c>
      <c r="AF17" s="675">
        <v>0</v>
      </c>
      <c r="AG17" s="675">
        <v>0</v>
      </c>
      <c r="AH17" s="675">
        <v>0</v>
      </c>
      <c r="AI17" s="675">
        <v>0</v>
      </c>
      <c r="AJ17" s="675">
        <v>6160</v>
      </c>
      <c r="AK17" s="675" t="s">
        <v>671</v>
      </c>
      <c r="AL17" s="675" t="s">
        <v>71</v>
      </c>
      <c r="AM17" s="675">
        <v>0</v>
      </c>
      <c r="AN17" s="675">
        <v>0</v>
      </c>
      <c r="AO17" s="675">
        <v>0</v>
      </c>
      <c r="AP17" s="675">
        <v>0</v>
      </c>
      <c r="AQ17" s="675">
        <v>0</v>
      </c>
      <c r="AR17" s="675">
        <v>0</v>
      </c>
      <c r="AS17" s="675">
        <v>0</v>
      </c>
      <c r="AT17" s="675">
        <v>0</v>
      </c>
      <c r="AU17" s="675">
        <v>0</v>
      </c>
      <c r="AV17" s="675">
        <v>-606354</v>
      </c>
      <c r="AW17" s="675">
        <v>3420471</v>
      </c>
      <c r="AX17" s="675">
        <v>3302519</v>
      </c>
      <c r="AY17" s="675">
        <v>1968220</v>
      </c>
      <c r="AZ17" s="675">
        <v>152839</v>
      </c>
      <c r="BA17" s="675">
        <v>0</v>
      </c>
      <c r="BB17" s="675">
        <v>0</v>
      </c>
      <c r="BC17" s="675">
        <v>0</v>
      </c>
      <c r="BD17" s="675">
        <v>0</v>
      </c>
      <c r="BE17" s="675">
        <v>0</v>
      </c>
      <c r="BF17" s="675">
        <v>2967848</v>
      </c>
      <c r="BG17" s="675">
        <v>0</v>
      </c>
      <c r="BH17" s="675">
        <v>0</v>
      </c>
      <c r="BI17" s="675">
        <v>0</v>
      </c>
      <c r="BJ17" s="675">
        <v>12</v>
      </c>
      <c r="BK17" s="675">
        <v>0</v>
      </c>
      <c r="BL17" s="675">
        <v>0</v>
      </c>
      <c r="BM17" s="675">
        <v>0</v>
      </c>
      <c r="BN17" s="675">
        <v>0</v>
      </c>
      <c r="BO17" s="675">
        <v>0</v>
      </c>
      <c r="BP17" s="675">
        <v>0</v>
      </c>
      <c r="BQ17" s="675">
        <v>723</v>
      </c>
      <c r="BR17" s="675">
        <v>0</v>
      </c>
      <c r="BS17" s="675">
        <v>0</v>
      </c>
      <c r="BT17" s="675">
        <v>0</v>
      </c>
      <c r="BU17" s="675">
        <v>0</v>
      </c>
      <c r="BV17" s="675">
        <v>0</v>
      </c>
      <c r="BW17" s="675">
        <v>0</v>
      </c>
      <c r="BX17" s="675">
        <v>0</v>
      </c>
      <c r="BY17" s="675">
        <v>0</v>
      </c>
      <c r="BZ17" s="675">
        <v>0</v>
      </c>
      <c r="CA17" s="675">
        <v>0</v>
      </c>
      <c r="CB17" s="675">
        <v>0</v>
      </c>
      <c r="CC17" s="675">
        <v>0</v>
      </c>
      <c r="CD17" s="675">
        <v>0</v>
      </c>
      <c r="CE17" s="675">
        <v>0</v>
      </c>
      <c r="CF17" s="675">
        <v>0</v>
      </c>
      <c r="CG17" s="675">
        <v>0</v>
      </c>
      <c r="CH17" s="675">
        <v>118710</v>
      </c>
      <c r="CI17" s="675">
        <v>0</v>
      </c>
      <c r="CJ17" s="675">
        <v>4</v>
      </c>
      <c r="CK17" s="675">
        <v>0</v>
      </c>
      <c r="CL17" s="675">
        <v>0</v>
      </c>
      <c r="CM17" s="675">
        <v>0</v>
      </c>
      <c r="CN17" s="675">
        <v>0</v>
      </c>
      <c r="CO17" s="675">
        <v>1</v>
      </c>
      <c r="CP17" s="675">
        <v>0</v>
      </c>
      <c r="CQ17" s="675">
        <v>0</v>
      </c>
      <c r="CR17" s="675">
        <v>382.19400000000002</v>
      </c>
      <c r="CS17" s="675">
        <v>0</v>
      </c>
      <c r="CT17" s="675">
        <v>0</v>
      </c>
      <c r="CU17" s="675">
        <v>0</v>
      </c>
      <c r="CV17" s="675">
        <v>0</v>
      </c>
      <c r="CW17" s="675">
        <v>0</v>
      </c>
      <c r="CX17" s="675">
        <v>0</v>
      </c>
      <c r="CY17" s="675">
        <v>0</v>
      </c>
      <c r="CZ17" s="675">
        <v>0</v>
      </c>
      <c r="DA17" s="675">
        <v>0</v>
      </c>
      <c r="DB17" s="675">
        <v>1778056</v>
      </c>
      <c r="DC17" s="675">
        <v>0</v>
      </c>
      <c r="DD17" s="675">
        <v>0</v>
      </c>
      <c r="DE17" s="675">
        <v>439052</v>
      </c>
      <c r="DF17" s="675">
        <v>439052</v>
      </c>
      <c r="DG17" s="675">
        <v>71.275000000000006</v>
      </c>
      <c r="DH17" s="675">
        <v>0</v>
      </c>
      <c r="DI17" s="675">
        <v>0</v>
      </c>
      <c r="DJ17" s="675">
        <v>0</v>
      </c>
      <c r="DK17" s="675">
        <v>3198</v>
      </c>
      <c r="DL17" s="675">
        <v>0</v>
      </c>
      <c r="DM17" s="675">
        <v>284982</v>
      </c>
      <c r="DN17" s="675">
        <v>758</v>
      </c>
      <c r="DO17" s="675">
        <v>0</v>
      </c>
      <c r="DP17" s="675">
        <v>0</v>
      </c>
      <c r="DQ17" s="675">
        <v>0</v>
      </c>
      <c r="DR17" s="675">
        <v>0</v>
      </c>
      <c r="DS17" s="675">
        <v>0</v>
      </c>
      <c r="DT17" s="675">
        <v>0</v>
      </c>
      <c r="DU17" s="675">
        <v>0</v>
      </c>
      <c r="DV17" s="675">
        <v>0</v>
      </c>
      <c r="DW17" s="675">
        <v>0</v>
      </c>
      <c r="DX17" s="675">
        <v>0</v>
      </c>
      <c r="DY17" s="675">
        <v>0</v>
      </c>
      <c r="DZ17" s="675">
        <v>0</v>
      </c>
      <c r="EA17" s="675">
        <v>0</v>
      </c>
      <c r="EB17" s="675">
        <v>0</v>
      </c>
      <c r="EC17" s="675">
        <v>13.342000000000001</v>
      </c>
      <c r="ED17" s="675">
        <v>94514</v>
      </c>
      <c r="EE17" s="675">
        <v>0</v>
      </c>
      <c r="EF17" s="675">
        <v>0</v>
      </c>
      <c r="EG17" s="675">
        <v>0</v>
      </c>
      <c r="EH17" s="675">
        <v>107732</v>
      </c>
      <c r="EI17" s="675">
        <v>0</v>
      </c>
      <c r="EJ17" s="675">
        <v>0</v>
      </c>
      <c r="EK17" s="675">
        <v>5.3530000000000006</v>
      </c>
      <c r="EL17" s="675">
        <v>0</v>
      </c>
      <c r="EM17" s="675">
        <v>0</v>
      </c>
      <c r="EN17" s="675">
        <v>0.28600000000000003</v>
      </c>
      <c r="EO17" s="675">
        <v>0</v>
      </c>
      <c r="EP17" s="675">
        <v>0</v>
      </c>
      <c r="EQ17" s="675">
        <v>5.6390000000000002</v>
      </c>
      <c r="ER17" s="675">
        <v>0</v>
      </c>
      <c r="ES17" s="675">
        <v>17.489000000000001</v>
      </c>
      <c r="ET17" s="675">
        <v>0</v>
      </c>
      <c r="EU17" s="675">
        <v>0</v>
      </c>
      <c r="EV17" s="675">
        <v>0</v>
      </c>
      <c r="EW17" s="675">
        <v>0</v>
      </c>
      <c r="EX17" s="675">
        <v>0</v>
      </c>
      <c r="EY17" s="675">
        <v>0</v>
      </c>
      <c r="EZ17" s="675">
        <v>2938189</v>
      </c>
      <c r="FA17" s="675">
        <v>0</v>
      </c>
      <c r="FB17" s="675">
        <v>3090270</v>
      </c>
      <c r="FC17" s="675">
        <v>0</v>
      </c>
      <c r="FD17" s="675">
        <v>0</v>
      </c>
      <c r="FE17" s="675">
        <v>301891</v>
      </c>
      <c r="FF17" s="675">
        <v>62439</v>
      </c>
      <c r="FG17" s="675">
        <v>6.3574999999999993E-2</v>
      </c>
      <c r="FH17" s="675">
        <v>2.6297999999999998E-2</v>
      </c>
      <c r="FI17" s="675">
        <v>0</v>
      </c>
      <c r="FJ17" s="675">
        <v>0</v>
      </c>
      <c r="FK17" s="675">
        <v>481.79600000000005</v>
      </c>
      <c r="FL17" s="675">
        <v>3573310</v>
      </c>
      <c r="FM17" s="675">
        <v>0</v>
      </c>
      <c r="FN17" s="675">
        <v>0</v>
      </c>
      <c r="FO17" s="675">
        <v>123180</v>
      </c>
      <c r="FP17" s="675">
        <v>0</v>
      </c>
      <c r="FQ17" s="675">
        <v>123180</v>
      </c>
      <c r="FR17" s="675">
        <v>123180</v>
      </c>
      <c r="FS17" s="675">
        <v>0</v>
      </c>
      <c r="FT17" s="675">
        <v>0</v>
      </c>
      <c r="FU17" s="675">
        <v>0</v>
      </c>
      <c r="FV17" s="675">
        <v>0</v>
      </c>
      <c r="FW17" s="675">
        <v>0</v>
      </c>
      <c r="FX17" s="675">
        <v>0</v>
      </c>
      <c r="FY17" s="675">
        <v>0</v>
      </c>
      <c r="FZ17" s="675">
        <v>0</v>
      </c>
      <c r="GA17" s="675">
        <v>0</v>
      </c>
      <c r="GB17" s="675">
        <v>0</v>
      </c>
      <c r="GC17" s="675">
        <v>0</v>
      </c>
      <c r="GD17" s="675">
        <v>0</v>
      </c>
      <c r="GE17" s="675">
        <v>0</v>
      </c>
      <c r="GF17" s="675">
        <v>0</v>
      </c>
      <c r="GG17" s="675">
        <v>0</v>
      </c>
      <c r="GH17" s="675">
        <v>0</v>
      </c>
      <c r="GI17" s="675">
        <v>0</v>
      </c>
      <c r="GJ17" s="675">
        <v>0</v>
      </c>
      <c r="GK17" s="675">
        <v>0</v>
      </c>
      <c r="GL17" s="675">
        <v>0</v>
      </c>
      <c r="GM17" s="675">
        <v>0</v>
      </c>
      <c r="GN17" s="675">
        <v>0</v>
      </c>
      <c r="GO17" s="675">
        <v>0</v>
      </c>
      <c r="GP17" s="675">
        <v>0</v>
      </c>
      <c r="GQ17" s="675">
        <v>0</v>
      </c>
      <c r="GR17" s="675">
        <v>0</v>
      </c>
      <c r="GS17" s="675">
        <v>0</v>
      </c>
      <c r="GT17" s="675">
        <v>0</v>
      </c>
      <c r="GU17" s="675">
        <v>0</v>
      </c>
      <c r="GV17" s="675">
        <v>0</v>
      </c>
      <c r="GW17" s="675">
        <v>0</v>
      </c>
      <c r="GX17" s="675">
        <v>0</v>
      </c>
      <c r="GY17" s="675">
        <v>0</v>
      </c>
      <c r="GZ17" s="675">
        <v>0</v>
      </c>
      <c r="HA17" s="675">
        <v>0</v>
      </c>
      <c r="HB17" s="675">
        <v>308877260</v>
      </c>
      <c r="HC17" s="675">
        <v>4.4138999999999998E-2</v>
      </c>
      <c r="HD17" s="675">
        <v>54351</v>
      </c>
      <c r="HE17" s="675">
        <v>0</v>
      </c>
      <c r="HF17" s="675">
        <v>333328</v>
      </c>
      <c r="HG17" s="675">
        <v>5133</v>
      </c>
      <c r="HH17" s="675">
        <v>70820</v>
      </c>
      <c r="HI17" s="675">
        <v>0</v>
      </c>
      <c r="HJ17" s="675">
        <v>2992</v>
      </c>
      <c r="HK17" s="675">
        <v>0</v>
      </c>
      <c r="HL17" s="675">
        <v>0</v>
      </c>
      <c r="HM17" s="675">
        <v>0</v>
      </c>
      <c r="HN17" s="675">
        <v>0</v>
      </c>
      <c r="HO17" s="675">
        <v>0</v>
      </c>
      <c r="HP17" s="675">
        <v>0</v>
      </c>
      <c r="HQ17" s="675">
        <v>0</v>
      </c>
      <c r="HR17" s="675">
        <v>0</v>
      </c>
      <c r="HS17" s="675">
        <v>2937431</v>
      </c>
      <c r="HT17" s="675">
        <v>62439</v>
      </c>
      <c r="HU17" s="675">
        <v>0</v>
      </c>
      <c r="HV17" s="675">
        <v>0</v>
      </c>
      <c r="HW17" s="675">
        <v>0</v>
      </c>
      <c r="HX17" s="675">
        <v>15</v>
      </c>
      <c r="HY17" s="675">
        <v>15</v>
      </c>
      <c r="HZ17" s="675">
        <v>35</v>
      </c>
      <c r="IA17" s="675">
        <v>63</v>
      </c>
      <c r="IB17" s="675">
        <v>142</v>
      </c>
      <c r="IC17" s="675">
        <v>270</v>
      </c>
      <c r="ID17" s="675">
        <v>0</v>
      </c>
      <c r="IE17" s="675">
        <v>5.8540000000000001</v>
      </c>
      <c r="IF17" s="675">
        <v>1.5130000000000001</v>
      </c>
      <c r="IG17" s="675">
        <v>8.3330000000000002</v>
      </c>
      <c r="IH17" s="675">
        <v>114.968</v>
      </c>
      <c r="II17" s="675">
        <v>0</v>
      </c>
      <c r="IJ17" s="675">
        <v>83.424999999999997</v>
      </c>
      <c r="IK17" s="675">
        <v>0</v>
      </c>
      <c r="IL17" s="675">
        <v>0</v>
      </c>
      <c r="IM17" s="675">
        <v>0</v>
      </c>
      <c r="IN17" s="675">
        <v>0</v>
      </c>
      <c r="IO17" s="675">
        <v>0</v>
      </c>
      <c r="IP17" s="675">
        <v>0</v>
      </c>
      <c r="IQ17" s="675">
        <v>76.058000000000007</v>
      </c>
      <c r="IR17" s="675">
        <v>46852</v>
      </c>
      <c r="IS17" s="675">
        <v>0</v>
      </c>
      <c r="IT17" s="675">
        <v>0</v>
      </c>
      <c r="IU17" s="675">
        <v>0</v>
      </c>
      <c r="IV17" s="675">
        <v>0</v>
      </c>
      <c r="IW17" s="675">
        <v>6160</v>
      </c>
      <c r="IX17" s="675">
        <v>5409</v>
      </c>
      <c r="IY17" s="675">
        <v>466</v>
      </c>
      <c r="IZ17" s="675">
        <v>0</v>
      </c>
      <c r="JA17" s="675">
        <v>0</v>
      </c>
      <c r="JB17" s="675">
        <v>0</v>
      </c>
      <c r="JC17" s="675">
        <v>0</v>
      </c>
      <c r="JD17" s="675">
        <v>0</v>
      </c>
      <c r="JE17" s="675">
        <v>0</v>
      </c>
      <c r="JF17" s="675">
        <v>0</v>
      </c>
      <c r="JG17" s="675">
        <v>0</v>
      </c>
      <c r="JH17" s="675">
        <v>0</v>
      </c>
      <c r="JI17" s="675">
        <v>0</v>
      </c>
      <c r="JJ17" s="675">
        <v>0</v>
      </c>
      <c r="JK17" s="675">
        <v>0</v>
      </c>
      <c r="JL17" s="675">
        <v>0</v>
      </c>
      <c r="JM17" s="675">
        <v>0</v>
      </c>
      <c r="JN17" s="675">
        <v>32469</v>
      </c>
      <c r="JO17" s="675">
        <v>0</v>
      </c>
      <c r="JP17" s="675">
        <v>0</v>
      </c>
      <c r="JQ17" s="675">
        <v>0</v>
      </c>
      <c r="JR17" s="675">
        <v>0</v>
      </c>
      <c r="JS17" s="675">
        <v>0</v>
      </c>
      <c r="JT17" s="675">
        <v>0</v>
      </c>
      <c r="JU17" s="675">
        <v>0</v>
      </c>
      <c r="JV17" s="675">
        <v>0</v>
      </c>
      <c r="JW17" s="675">
        <v>0</v>
      </c>
      <c r="JX17" s="675">
        <v>0</v>
      </c>
      <c r="JY17" s="675">
        <v>0</v>
      </c>
      <c r="JZ17" s="675">
        <v>0</v>
      </c>
      <c r="KA17" s="675">
        <v>0</v>
      </c>
      <c r="KB17" s="675">
        <v>0</v>
      </c>
      <c r="KC17" s="675">
        <v>0</v>
      </c>
      <c r="KD17" s="675">
        <v>0</v>
      </c>
      <c r="KE17" s="675">
        <v>7263</v>
      </c>
      <c r="KF17" s="675">
        <v>64359</v>
      </c>
      <c r="KG17" s="675">
        <v>0</v>
      </c>
      <c r="KH17" s="675">
        <v>0</v>
      </c>
      <c r="KI17" s="675">
        <v>0</v>
      </c>
    </row>
    <row r="18" spans="1:295" ht="12.5" x14ac:dyDescent="0.25">
      <c r="A18" s="675">
        <v>35795</v>
      </c>
      <c r="B18" s="675">
        <v>174801</v>
      </c>
      <c r="C18" s="675">
        <v>7</v>
      </c>
      <c r="D18" s="675">
        <v>2022</v>
      </c>
      <c r="E18" s="675">
        <v>6160</v>
      </c>
      <c r="F18" s="675">
        <v>0</v>
      </c>
      <c r="G18" s="675">
        <v>249.048</v>
      </c>
      <c r="H18" s="675">
        <v>245.458</v>
      </c>
      <c r="I18" s="675">
        <v>245.458</v>
      </c>
      <c r="J18" s="675">
        <v>249.048</v>
      </c>
      <c r="K18" s="675">
        <v>0</v>
      </c>
      <c r="L18" s="675">
        <v>6160</v>
      </c>
      <c r="M18" s="675">
        <v>0</v>
      </c>
      <c r="N18" s="675">
        <v>0</v>
      </c>
      <c r="O18" s="675">
        <v>0</v>
      </c>
      <c r="P18" s="675">
        <v>249.56300000000002</v>
      </c>
      <c r="Q18" s="675">
        <v>0</v>
      </c>
      <c r="R18" s="675">
        <v>100431</v>
      </c>
      <c r="S18" s="675">
        <v>402.428</v>
      </c>
      <c r="T18" s="675">
        <v>0</v>
      </c>
      <c r="U18" s="675">
        <v>53407</v>
      </c>
      <c r="V18" s="675">
        <v>5.8620000000000001</v>
      </c>
      <c r="W18" s="675">
        <v>3611</v>
      </c>
      <c r="X18" s="675">
        <v>3611</v>
      </c>
      <c r="Y18" s="675">
        <v>0</v>
      </c>
      <c r="Z18" s="675">
        <v>0</v>
      </c>
      <c r="AA18" s="675">
        <v>0</v>
      </c>
      <c r="AB18" s="675">
        <v>0</v>
      </c>
      <c r="AC18" s="675">
        <v>0</v>
      </c>
      <c r="AD18" s="675" t="s">
        <v>316</v>
      </c>
      <c r="AE18" s="675">
        <v>0</v>
      </c>
      <c r="AF18" s="675">
        <v>0</v>
      </c>
      <c r="AG18" s="675">
        <v>0</v>
      </c>
      <c r="AH18" s="675">
        <v>0</v>
      </c>
      <c r="AI18" s="675">
        <v>0</v>
      </c>
      <c r="AJ18" s="675">
        <v>6160</v>
      </c>
      <c r="AK18" s="675" t="s">
        <v>671</v>
      </c>
      <c r="AL18" s="675" t="s">
        <v>361</v>
      </c>
      <c r="AM18" s="675">
        <v>0</v>
      </c>
      <c r="AN18" s="675">
        <v>0</v>
      </c>
      <c r="AO18" s="675">
        <v>0</v>
      </c>
      <c r="AP18" s="675">
        <v>0</v>
      </c>
      <c r="AQ18" s="675">
        <v>0</v>
      </c>
      <c r="AR18" s="675">
        <v>0</v>
      </c>
      <c r="AS18" s="675">
        <v>0</v>
      </c>
      <c r="AT18" s="675">
        <v>0</v>
      </c>
      <c r="AU18" s="675">
        <v>0</v>
      </c>
      <c r="AV18" s="675">
        <v>0</v>
      </c>
      <c r="AW18" s="675">
        <v>2122971</v>
      </c>
      <c r="AX18" s="675">
        <v>2079376</v>
      </c>
      <c r="AY18" s="675">
        <v>1409018</v>
      </c>
      <c r="AZ18" s="675">
        <v>100431</v>
      </c>
      <c r="BA18" s="675">
        <v>0</v>
      </c>
      <c r="BB18" s="675">
        <v>0</v>
      </c>
      <c r="BC18" s="675">
        <v>0</v>
      </c>
      <c r="BD18" s="675">
        <v>0</v>
      </c>
      <c r="BE18" s="675">
        <v>0</v>
      </c>
      <c r="BF18" s="675">
        <v>1941473</v>
      </c>
      <c r="BG18" s="675">
        <v>0</v>
      </c>
      <c r="BH18" s="675">
        <v>0</v>
      </c>
      <c r="BI18" s="675">
        <v>0</v>
      </c>
      <c r="BJ18" s="675">
        <v>12</v>
      </c>
      <c r="BK18" s="675">
        <v>0</v>
      </c>
      <c r="BL18" s="675">
        <v>0</v>
      </c>
      <c r="BM18" s="675">
        <v>0</v>
      </c>
      <c r="BN18" s="675">
        <v>0</v>
      </c>
      <c r="BO18" s="675">
        <v>0</v>
      </c>
      <c r="BP18" s="675">
        <v>0</v>
      </c>
      <c r="BQ18" s="675">
        <v>732</v>
      </c>
      <c r="BR18" s="675">
        <v>0</v>
      </c>
      <c r="BS18" s="675">
        <v>0</v>
      </c>
      <c r="BT18" s="675">
        <v>0</v>
      </c>
      <c r="BU18" s="675">
        <v>0</v>
      </c>
      <c r="BV18" s="675">
        <v>0</v>
      </c>
      <c r="BW18" s="675">
        <v>0</v>
      </c>
      <c r="BX18" s="675">
        <v>0</v>
      </c>
      <c r="BY18" s="675">
        <v>0</v>
      </c>
      <c r="BZ18" s="675">
        <v>0</v>
      </c>
      <c r="CA18" s="675">
        <v>0</v>
      </c>
      <c r="CB18" s="675">
        <v>0</v>
      </c>
      <c r="CC18" s="675">
        <v>0</v>
      </c>
      <c r="CD18" s="675">
        <v>0</v>
      </c>
      <c r="CE18" s="675">
        <v>0</v>
      </c>
      <c r="CF18" s="675">
        <v>0</v>
      </c>
      <c r="CG18" s="675">
        <v>0</v>
      </c>
      <c r="CH18" s="675">
        <v>43971</v>
      </c>
      <c r="CI18" s="675">
        <v>0</v>
      </c>
      <c r="CJ18" s="675">
        <v>4</v>
      </c>
      <c r="CK18" s="675">
        <v>0</v>
      </c>
      <c r="CL18" s="675">
        <v>0</v>
      </c>
      <c r="CM18" s="675">
        <v>0</v>
      </c>
      <c r="CN18" s="675">
        <v>0</v>
      </c>
      <c r="CO18" s="675">
        <v>1</v>
      </c>
      <c r="CP18" s="675">
        <v>0</v>
      </c>
      <c r="CQ18" s="675">
        <v>0</v>
      </c>
      <c r="CR18" s="675">
        <v>250.74200000000002</v>
      </c>
      <c r="CS18" s="675">
        <v>0</v>
      </c>
      <c r="CT18" s="675">
        <v>0</v>
      </c>
      <c r="CU18" s="675">
        <v>0</v>
      </c>
      <c r="CV18" s="675">
        <v>0</v>
      </c>
      <c r="CW18" s="675">
        <v>0</v>
      </c>
      <c r="CX18" s="675">
        <v>0</v>
      </c>
      <c r="CY18" s="675">
        <v>0</v>
      </c>
      <c r="CZ18" s="675">
        <v>0</v>
      </c>
      <c r="DA18" s="675">
        <v>0</v>
      </c>
      <c r="DB18" s="675">
        <v>1512014</v>
      </c>
      <c r="DC18" s="675">
        <v>0</v>
      </c>
      <c r="DD18" s="675">
        <v>0</v>
      </c>
      <c r="DE18" s="675">
        <v>36960</v>
      </c>
      <c r="DF18" s="675">
        <v>36960</v>
      </c>
      <c r="DG18" s="675">
        <v>6</v>
      </c>
      <c r="DH18" s="675">
        <v>0</v>
      </c>
      <c r="DI18" s="675">
        <v>0</v>
      </c>
      <c r="DJ18" s="675">
        <v>0</v>
      </c>
      <c r="DK18" s="675">
        <v>3338</v>
      </c>
      <c r="DL18" s="675">
        <v>0</v>
      </c>
      <c r="DM18" s="675">
        <v>99938</v>
      </c>
      <c r="DN18" s="675">
        <v>376</v>
      </c>
      <c r="DO18" s="675">
        <v>0</v>
      </c>
      <c r="DP18" s="675">
        <v>0</v>
      </c>
      <c r="DQ18" s="675">
        <v>0</v>
      </c>
      <c r="DR18" s="675">
        <v>0</v>
      </c>
      <c r="DS18" s="675">
        <v>0</v>
      </c>
      <c r="DT18" s="675">
        <v>0</v>
      </c>
      <c r="DU18" s="675">
        <v>0</v>
      </c>
      <c r="DV18" s="675">
        <v>0</v>
      </c>
      <c r="DW18" s="675">
        <v>0</v>
      </c>
      <c r="DX18" s="675">
        <v>0</v>
      </c>
      <c r="DY18" s="675">
        <v>0</v>
      </c>
      <c r="DZ18" s="675">
        <v>0</v>
      </c>
      <c r="EA18" s="675">
        <v>0</v>
      </c>
      <c r="EB18" s="675">
        <v>0</v>
      </c>
      <c r="EC18" s="675">
        <v>3.9380000000000002</v>
      </c>
      <c r="ED18" s="675">
        <v>27897</v>
      </c>
      <c r="EE18" s="675">
        <v>0</v>
      </c>
      <c r="EF18" s="675">
        <v>0</v>
      </c>
      <c r="EG18" s="675">
        <v>0</v>
      </c>
      <c r="EH18" s="675">
        <v>72417</v>
      </c>
      <c r="EI18" s="675">
        <v>0</v>
      </c>
      <c r="EJ18" s="675">
        <v>0</v>
      </c>
      <c r="EK18" s="675">
        <v>3.097</v>
      </c>
      <c r="EL18" s="675">
        <v>0</v>
      </c>
      <c r="EM18" s="675">
        <v>0</v>
      </c>
      <c r="EN18" s="675">
        <v>0.49300000000000005</v>
      </c>
      <c r="EO18" s="675">
        <v>0</v>
      </c>
      <c r="EP18" s="675">
        <v>0</v>
      </c>
      <c r="EQ18" s="675">
        <v>3.59</v>
      </c>
      <c r="ER18" s="675">
        <v>0</v>
      </c>
      <c r="ES18" s="675">
        <v>11.756</v>
      </c>
      <c r="ET18" s="675">
        <v>0</v>
      </c>
      <c r="EU18" s="675">
        <v>0</v>
      </c>
      <c r="EV18" s="675">
        <v>0</v>
      </c>
      <c r="EW18" s="675">
        <v>0</v>
      </c>
      <c r="EX18" s="675">
        <v>0</v>
      </c>
      <c r="EY18" s="675">
        <v>0</v>
      </c>
      <c r="EZ18" s="675">
        <v>1841042</v>
      </c>
      <c r="FA18" s="675">
        <v>0</v>
      </c>
      <c r="FB18" s="675">
        <v>1941097</v>
      </c>
      <c r="FC18" s="675">
        <v>0</v>
      </c>
      <c r="FD18" s="675">
        <v>0</v>
      </c>
      <c r="FE18" s="675">
        <v>197488</v>
      </c>
      <c r="FF18" s="675">
        <v>40846</v>
      </c>
      <c r="FG18" s="675">
        <v>6.3574999999999993E-2</v>
      </c>
      <c r="FH18" s="675">
        <v>2.6297999999999998E-2</v>
      </c>
      <c r="FI18" s="675">
        <v>0</v>
      </c>
      <c r="FJ18" s="675">
        <v>0</v>
      </c>
      <c r="FK18" s="675">
        <v>315.17599999999999</v>
      </c>
      <c r="FL18" s="675">
        <v>2223402</v>
      </c>
      <c r="FM18" s="675">
        <v>0</v>
      </c>
      <c r="FN18" s="675">
        <v>0</v>
      </c>
      <c r="FO18" s="675">
        <v>0</v>
      </c>
      <c r="FP18" s="675">
        <v>0</v>
      </c>
      <c r="FQ18" s="675">
        <v>0</v>
      </c>
      <c r="FR18" s="675">
        <v>0</v>
      </c>
      <c r="FS18" s="675">
        <v>0</v>
      </c>
      <c r="FT18" s="675">
        <v>0</v>
      </c>
      <c r="FU18" s="675">
        <v>0</v>
      </c>
      <c r="FV18" s="675">
        <v>0</v>
      </c>
      <c r="FW18" s="675">
        <v>0</v>
      </c>
      <c r="FX18" s="675">
        <v>0</v>
      </c>
      <c r="FY18" s="675">
        <v>0</v>
      </c>
      <c r="FZ18" s="675">
        <v>0</v>
      </c>
      <c r="GA18" s="675">
        <v>0</v>
      </c>
      <c r="GB18" s="675">
        <v>0</v>
      </c>
      <c r="GC18" s="675">
        <v>0</v>
      </c>
      <c r="GD18" s="675">
        <v>0</v>
      </c>
      <c r="GE18" s="675">
        <v>0</v>
      </c>
      <c r="GF18" s="675">
        <v>0</v>
      </c>
      <c r="GG18" s="675">
        <v>0</v>
      </c>
      <c r="GH18" s="675">
        <v>0</v>
      </c>
      <c r="GI18" s="675">
        <v>0</v>
      </c>
      <c r="GJ18" s="675">
        <v>0</v>
      </c>
      <c r="GK18" s="675">
        <v>0</v>
      </c>
      <c r="GL18" s="675">
        <v>0</v>
      </c>
      <c r="GM18" s="675">
        <v>0</v>
      </c>
      <c r="GN18" s="675">
        <v>0</v>
      </c>
      <c r="GO18" s="675">
        <v>0</v>
      </c>
      <c r="GP18" s="675">
        <v>0</v>
      </c>
      <c r="GQ18" s="675">
        <v>0</v>
      </c>
      <c r="GR18" s="675">
        <v>0</v>
      </c>
      <c r="GS18" s="675">
        <v>0</v>
      </c>
      <c r="GT18" s="675">
        <v>0</v>
      </c>
      <c r="GU18" s="675">
        <v>0</v>
      </c>
      <c r="GV18" s="675">
        <v>0</v>
      </c>
      <c r="GW18" s="675">
        <v>0</v>
      </c>
      <c r="GX18" s="675">
        <v>0</v>
      </c>
      <c r="GY18" s="675">
        <v>0</v>
      </c>
      <c r="GZ18" s="675">
        <v>0</v>
      </c>
      <c r="HA18" s="675">
        <v>0</v>
      </c>
      <c r="HB18" s="675">
        <v>308877260</v>
      </c>
      <c r="HC18" s="675">
        <v>4.4138999999999998E-2</v>
      </c>
      <c r="HD18" s="675">
        <v>43971</v>
      </c>
      <c r="HE18" s="675">
        <v>0</v>
      </c>
      <c r="HF18" s="675">
        <v>270740</v>
      </c>
      <c r="HG18" s="675">
        <v>3850</v>
      </c>
      <c r="HH18" s="675">
        <v>11563</v>
      </c>
      <c r="HI18" s="675">
        <v>0</v>
      </c>
      <c r="HJ18" s="675">
        <v>2421</v>
      </c>
      <c r="HK18" s="675">
        <v>0</v>
      </c>
      <c r="HL18" s="675">
        <v>0</v>
      </c>
      <c r="HM18" s="675">
        <v>0</v>
      </c>
      <c r="HN18" s="675">
        <v>0</v>
      </c>
      <c r="HO18" s="675">
        <v>0</v>
      </c>
      <c r="HP18" s="675">
        <v>0</v>
      </c>
      <c r="HQ18" s="675">
        <v>0</v>
      </c>
      <c r="HR18" s="675">
        <v>0</v>
      </c>
      <c r="HS18" s="675">
        <v>1840666</v>
      </c>
      <c r="HT18" s="675">
        <v>40846</v>
      </c>
      <c r="HU18" s="675">
        <v>0</v>
      </c>
      <c r="HV18" s="675">
        <v>0</v>
      </c>
      <c r="HW18" s="675">
        <v>0</v>
      </c>
      <c r="HX18" s="675">
        <v>3</v>
      </c>
      <c r="HY18" s="675">
        <v>6</v>
      </c>
      <c r="HZ18" s="675">
        <v>7</v>
      </c>
      <c r="IA18" s="675">
        <v>4</v>
      </c>
      <c r="IB18" s="675">
        <v>4</v>
      </c>
      <c r="IC18" s="675">
        <v>24</v>
      </c>
      <c r="ID18" s="675">
        <v>0</v>
      </c>
      <c r="IE18" s="675">
        <v>0</v>
      </c>
      <c r="IF18" s="675">
        <v>0</v>
      </c>
      <c r="IG18" s="675">
        <v>6.25</v>
      </c>
      <c r="IH18" s="675">
        <v>18.771000000000001</v>
      </c>
      <c r="II18" s="675">
        <v>0</v>
      </c>
      <c r="IJ18" s="675">
        <v>5.8620000000000001</v>
      </c>
      <c r="IK18" s="675">
        <v>0</v>
      </c>
      <c r="IL18" s="675">
        <v>0</v>
      </c>
      <c r="IM18" s="675">
        <v>0</v>
      </c>
      <c r="IN18" s="675">
        <v>0</v>
      </c>
      <c r="IO18" s="675">
        <v>0</v>
      </c>
      <c r="IP18" s="675">
        <v>0</v>
      </c>
      <c r="IQ18" s="675">
        <v>5.8620000000000001</v>
      </c>
      <c r="IR18" s="675">
        <v>3611</v>
      </c>
      <c r="IS18" s="675">
        <v>0</v>
      </c>
      <c r="IT18" s="675">
        <v>0</v>
      </c>
      <c r="IU18" s="675">
        <v>0</v>
      </c>
      <c r="IV18" s="675">
        <v>0</v>
      </c>
      <c r="IW18" s="675">
        <v>6160</v>
      </c>
      <c r="IX18" s="675">
        <v>0</v>
      </c>
      <c r="IY18" s="675">
        <v>0</v>
      </c>
      <c r="IZ18" s="675">
        <v>0</v>
      </c>
      <c r="JA18" s="675">
        <v>0</v>
      </c>
      <c r="JB18" s="675">
        <v>0</v>
      </c>
      <c r="JC18" s="675">
        <v>0</v>
      </c>
      <c r="JD18" s="675">
        <v>0</v>
      </c>
      <c r="JE18" s="675">
        <v>0</v>
      </c>
      <c r="JF18" s="675">
        <v>0</v>
      </c>
      <c r="JG18" s="675">
        <v>0</v>
      </c>
      <c r="JH18" s="675">
        <v>0</v>
      </c>
      <c r="JI18" s="675">
        <v>0</v>
      </c>
      <c r="JJ18" s="675">
        <v>0</v>
      </c>
      <c r="JK18" s="675">
        <v>0</v>
      </c>
      <c r="JL18" s="675">
        <v>0</v>
      </c>
      <c r="JM18" s="675">
        <v>0</v>
      </c>
      <c r="JN18" s="675">
        <v>32469</v>
      </c>
      <c r="JO18" s="675">
        <v>0</v>
      </c>
      <c r="JP18" s="675">
        <v>0</v>
      </c>
      <c r="JQ18" s="675">
        <v>0</v>
      </c>
      <c r="JR18" s="675">
        <v>0</v>
      </c>
      <c r="JS18" s="675">
        <v>0</v>
      </c>
      <c r="JT18" s="675">
        <v>0</v>
      </c>
      <c r="JU18" s="675">
        <v>0</v>
      </c>
      <c r="JV18" s="675">
        <v>0</v>
      </c>
      <c r="JW18" s="675">
        <v>0</v>
      </c>
      <c r="JX18" s="675">
        <v>0</v>
      </c>
      <c r="JY18" s="675">
        <v>0</v>
      </c>
      <c r="JZ18" s="675">
        <v>0</v>
      </c>
      <c r="KA18" s="675">
        <v>0</v>
      </c>
      <c r="KB18" s="675">
        <v>0</v>
      </c>
      <c r="KC18" s="675">
        <v>0</v>
      </c>
      <c r="KD18" s="675">
        <v>0</v>
      </c>
      <c r="KE18" s="675">
        <v>7263</v>
      </c>
      <c r="KF18" s="675">
        <v>0</v>
      </c>
      <c r="KG18" s="675">
        <v>0</v>
      </c>
      <c r="KH18" s="675">
        <v>0</v>
      </c>
      <c r="KI18" s="675">
        <v>0</v>
      </c>
    </row>
    <row r="19" spans="1:295" ht="12.5" x14ac:dyDescent="0.25">
      <c r="A19" s="675">
        <v>35795</v>
      </c>
      <c r="B19" s="675">
        <v>178801</v>
      </c>
      <c r="C19" s="675">
        <v>7</v>
      </c>
      <c r="D19" s="675">
        <v>2022</v>
      </c>
      <c r="E19" s="675">
        <v>6160</v>
      </c>
      <c r="F19" s="675">
        <v>0</v>
      </c>
      <c r="G19" s="675">
        <v>144.852</v>
      </c>
      <c r="H19" s="675">
        <v>144.56900000000002</v>
      </c>
      <c r="I19" s="675">
        <v>144.56900000000002</v>
      </c>
      <c r="J19" s="675">
        <v>144.852</v>
      </c>
      <c r="K19" s="675">
        <v>0</v>
      </c>
      <c r="L19" s="675">
        <v>6160</v>
      </c>
      <c r="M19" s="675">
        <v>0</v>
      </c>
      <c r="N19" s="675">
        <v>0</v>
      </c>
      <c r="O19" s="675">
        <v>0</v>
      </c>
      <c r="P19" s="675">
        <v>194.13400000000001</v>
      </c>
      <c r="Q19" s="675">
        <v>0</v>
      </c>
      <c r="R19" s="675">
        <v>78125</v>
      </c>
      <c r="S19" s="675">
        <v>402.428</v>
      </c>
      <c r="T19" s="675">
        <v>0</v>
      </c>
      <c r="U19" s="675">
        <v>41545</v>
      </c>
      <c r="V19" s="675">
        <v>23.272000000000002</v>
      </c>
      <c r="W19" s="675">
        <v>14335</v>
      </c>
      <c r="X19" s="675">
        <v>14335</v>
      </c>
      <c r="Y19" s="675">
        <v>0</v>
      </c>
      <c r="Z19" s="675">
        <v>0</v>
      </c>
      <c r="AA19" s="675">
        <v>0</v>
      </c>
      <c r="AB19" s="675">
        <v>0</v>
      </c>
      <c r="AC19" s="675">
        <v>0</v>
      </c>
      <c r="AD19" s="675" t="s">
        <v>316</v>
      </c>
      <c r="AE19" s="675">
        <v>0</v>
      </c>
      <c r="AF19" s="675">
        <v>0</v>
      </c>
      <c r="AG19" s="675">
        <v>0</v>
      </c>
      <c r="AH19" s="675">
        <v>0</v>
      </c>
      <c r="AI19" s="675">
        <v>0</v>
      </c>
      <c r="AJ19" s="675">
        <v>6160</v>
      </c>
      <c r="AK19" s="675" t="s">
        <v>671</v>
      </c>
      <c r="AL19" s="675" t="s">
        <v>94</v>
      </c>
      <c r="AM19" s="675">
        <v>0</v>
      </c>
      <c r="AN19" s="675">
        <v>0</v>
      </c>
      <c r="AO19" s="675">
        <v>0</v>
      </c>
      <c r="AP19" s="675">
        <v>0</v>
      </c>
      <c r="AQ19" s="675">
        <v>0</v>
      </c>
      <c r="AR19" s="675">
        <v>0</v>
      </c>
      <c r="AS19" s="675">
        <v>0</v>
      </c>
      <c r="AT19" s="675">
        <v>0</v>
      </c>
      <c r="AU19" s="675">
        <v>0</v>
      </c>
      <c r="AV19" s="675">
        <v>0</v>
      </c>
      <c r="AW19" s="675">
        <v>1567712</v>
      </c>
      <c r="AX19" s="675">
        <v>1542396</v>
      </c>
      <c r="AY19" s="675">
        <v>1146157</v>
      </c>
      <c r="AZ19" s="675">
        <v>78125</v>
      </c>
      <c r="BA19" s="675">
        <v>0</v>
      </c>
      <c r="BB19" s="675">
        <v>0</v>
      </c>
      <c r="BC19" s="675">
        <v>0</v>
      </c>
      <c r="BD19" s="675">
        <v>0</v>
      </c>
      <c r="BE19" s="675">
        <v>0</v>
      </c>
      <c r="BF19" s="675">
        <v>1443338</v>
      </c>
      <c r="BG19" s="675">
        <v>0</v>
      </c>
      <c r="BH19" s="675">
        <v>0</v>
      </c>
      <c r="BI19" s="675">
        <v>0</v>
      </c>
      <c r="BJ19" s="675">
        <v>12</v>
      </c>
      <c r="BK19" s="675">
        <v>0</v>
      </c>
      <c r="BL19" s="675">
        <v>0</v>
      </c>
      <c r="BM19" s="675">
        <v>0</v>
      </c>
      <c r="BN19" s="675">
        <v>0</v>
      </c>
      <c r="BO19" s="675">
        <v>0</v>
      </c>
      <c r="BP19" s="675">
        <v>0</v>
      </c>
      <c r="BQ19" s="675">
        <v>748</v>
      </c>
      <c r="BR19" s="675">
        <v>0</v>
      </c>
      <c r="BS19" s="675">
        <v>0</v>
      </c>
      <c r="BT19" s="675">
        <v>0</v>
      </c>
      <c r="BU19" s="675">
        <v>0</v>
      </c>
      <c r="BV19" s="675">
        <v>0</v>
      </c>
      <c r="BW19" s="675">
        <v>0</v>
      </c>
      <c r="BX19" s="675">
        <v>0</v>
      </c>
      <c r="BY19" s="675">
        <v>0</v>
      </c>
      <c r="BZ19" s="675">
        <v>0</v>
      </c>
      <c r="CA19" s="675">
        <v>0</v>
      </c>
      <c r="CB19" s="675">
        <v>0</v>
      </c>
      <c r="CC19" s="675">
        <v>0</v>
      </c>
      <c r="CD19" s="675">
        <v>0</v>
      </c>
      <c r="CE19" s="675">
        <v>0</v>
      </c>
      <c r="CF19" s="675">
        <v>0</v>
      </c>
      <c r="CG19" s="675">
        <v>0</v>
      </c>
      <c r="CH19" s="675">
        <v>25574</v>
      </c>
      <c r="CI19" s="675">
        <v>0</v>
      </c>
      <c r="CJ19" s="675">
        <v>4</v>
      </c>
      <c r="CK19" s="675">
        <v>0</v>
      </c>
      <c r="CL19" s="675">
        <v>0</v>
      </c>
      <c r="CM19" s="675">
        <v>0</v>
      </c>
      <c r="CN19" s="675">
        <v>0</v>
      </c>
      <c r="CO19" s="675">
        <v>1</v>
      </c>
      <c r="CP19" s="675">
        <v>0</v>
      </c>
      <c r="CQ19" s="675">
        <v>0</v>
      </c>
      <c r="CR19" s="675">
        <v>198.52800000000002</v>
      </c>
      <c r="CS19" s="675">
        <v>0</v>
      </c>
      <c r="CT19" s="675">
        <v>0</v>
      </c>
      <c r="CU19" s="675">
        <v>0</v>
      </c>
      <c r="CV19" s="675">
        <v>0</v>
      </c>
      <c r="CW19" s="675">
        <v>0</v>
      </c>
      <c r="CX19" s="675">
        <v>0</v>
      </c>
      <c r="CY19" s="675">
        <v>0</v>
      </c>
      <c r="CZ19" s="675">
        <v>0</v>
      </c>
      <c r="DA19" s="675">
        <v>0</v>
      </c>
      <c r="DB19" s="675">
        <v>882269</v>
      </c>
      <c r="DC19" s="675">
        <v>0</v>
      </c>
      <c r="DD19" s="675">
        <v>0</v>
      </c>
      <c r="DE19" s="675">
        <v>253945</v>
      </c>
      <c r="DF19" s="675">
        <v>253945</v>
      </c>
      <c r="DG19" s="675">
        <v>41.225000000000001</v>
      </c>
      <c r="DH19" s="675">
        <v>0</v>
      </c>
      <c r="DI19" s="675">
        <v>0</v>
      </c>
      <c r="DJ19" s="675">
        <v>0</v>
      </c>
      <c r="DK19" s="675">
        <v>3586</v>
      </c>
      <c r="DL19" s="675">
        <v>0</v>
      </c>
      <c r="DM19" s="675">
        <v>76986</v>
      </c>
      <c r="DN19" s="675">
        <v>258</v>
      </c>
      <c r="DO19" s="675">
        <v>0</v>
      </c>
      <c r="DP19" s="675">
        <v>0</v>
      </c>
      <c r="DQ19" s="675">
        <v>0</v>
      </c>
      <c r="DR19" s="675">
        <v>0</v>
      </c>
      <c r="DS19" s="675">
        <v>0</v>
      </c>
      <c r="DT19" s="675">
        <v>0</v>
      </c>
      <c r="DU19" s="675">
        <v>0</v>
      </c>
      <c r="DV19" s="675">
        <v>0</v>
      </c>
      <c r="DW19" s="675">
        <v>0</v>
      </c>
      <c r="DX19" s="675">
        <v>0</v>
      </c>
      <c r="DY19" s="675">
        <v>0</v>
      </c>
      <c r="DZ19" s="675">
        <v>0</v>
      </c>
      <c r="EA19" s="675">
        <v>0</v>
      </c>
      <c r="EB19" s="675">
        <v>0</v>
      </c>
      <c r="EC19" s="675">
        <v>8.5060000000000002</v>
      </c>
      <c r="ED19" s="675">
        <v>60256</v>
      </c>
      <c r="EE19" s="675">
        <v>0</v>
      </c>
      <c r="EF19" s="675">
        <v>0</v>
      </c>
      <c r="EG19" s="675">
        <v>0</v>
      </c>
      <c r="EH19" s="675">
        <v>8716</v>
      </c>
      <c r="EI19" s="675">
        <v>0</v>
      </c>
      <c r="EJ19" s="675">
        <v>0</v>
      </c>
      <c r="EK19" s="675">
        <v>0</v>
      </c>
      <c r="EL19" s="675">
        <v>0</v>
      </c>
      <c r="EM19" s="675">
        <v>0</v>
      </c>
      <c r="EN19" s="675">
        <v>0.28300000000000003</v>
      </c>
      <c r="EO19" s="675">
        <v>0</v>
      </c>
      <c r="EP19" s="675">
        <v>0</v>
      </c>
      <c r="EQ19" s="675">
        <v>0.28300000000000003</v>
      </c>
      <c r="ER19" s="675">
        <v>0</v>
      </c>
      <c r="ES19" s="675">
        <v>1.415</v>
      </c>
      <c r="ET19" s="675">
        <v>0</v>
      </c>
      <c r="EU19" s="675">
        <v>0</v>
      </c>
      <c r="EV19" s="675">
        <v>0</v>
      </c>
      <c r="EW19" s="675">
        <v>0</v>
      </c>
      <c r="EX19" s="675">
        <v>0</v>
      </c>
      <c r="EY19" s="675">
        <v>0</v>
      </c>
      <c r="EZ19" s="675">
        <v>1365213</v>
      </c>
      <c r="FA19" s="675">
        <v>0</v>
      </c>
      <c r="FB19" s="675">
        <v>1443080</v>
      </c>
      <c r="FC19" s="675">
        <v>0</v>
      </c>
      <c r="FD19" s="675">
        <v>0</v>
      </c>
      <c r="FE19" s="675">
        <v>146817</v>
      </c>
      <c r="FF19" s="675">
        <v>30366</v>
      </c>
      <c r="FG19" s="675">
        <v>6.3574999999999993E-2</v>
      </c>
      <c r="FH19" s="675">
        <v>2.6297999999999998E-2</v>
      </c>
      <c r="FI19" s="675">
        <v>0</v>
      </c>
      <c r="FJ19" s="675">
        <v>0</v>
      </c>
      <c r="FK19" s="675">
        <v>234.309</v>
      </c>
      <c r="FL19" s="675">
        <v>1645837</v>
      </c>
      <c r="FM19" s="675">
        <v>0</v>
      </c>
      <c r="FN19" s="675">
        <v>0</v>
      </c>
      <c r="FO19" s="675">
        <v>0</v>
      </c>
      <c r="FP19" s="675">
        <v>0</v>
      </c>
      <c r="FQ19" s="675">
        <v>0</v>
      </c>
      <c r="FR19" s="675">
        <v>0</v>
      </c>
      <c r="FS19" s="675">
        <v>0</v>
      </c>
      <c r="FT19" s="675">
        <v>0</v>
      </c>
      <c r="FU19" s="675">
        <v>0</v>
      </c>
      <c r="FV19" s="675">
        <v>0</v>
      </c>
      <c r="FW19" s="675">
        <v>0</v>
      </c>
      <c r="FX19" s="675">
        <v>0</v>
      </c>
      <c r="FY19" s="675">
        <v>0</v>
      </c>
      <c r="FZ19" s="675">
        <v>0</v>
      </c>
      <c r="GA19" s="675">
        <v>0</v>
      </c>
      <c r="GB19" s="675">
        <v>0</v>
      </c>
      <c r="GC19" s="675">
        <v>0</v>
      </c>
      <c r="GD19" s="675">
        <v>0</v>
      </c>
      <c r="GE19" s="675">
        <v>0</v>
      </c>
      <c r="GF19" s="675">
        <v>0</v>
      </c>
      <c r="GG19" s="675">
        <v>0</v>
      </c>
      <c r="GH19" s="675">
        <v>0</v>
      </c>
      <c r="GI19" s="675">
        <v>0</v>
      </c>
      <c r="GJ19" s="675">
        <v>0</v>
      </c>
      <c r="GK19" s="675">
        <v>0</v>
      </c>
      <c r="GL19" s="675">
        <v>0</v>
      </c>
      <c r="GM19" s="675">
        <v>0</v>
      </c>
      <c r="GN19" s="675">
        <v>0</v>
      </c>
      <c r="GO19" s="675">
        <v>0</v>
      </c>
      <c r="GP19" s="675">
        <v>0</v>
      </c>
      <c r="GQ19" s="675">
        <v>0</v>
      </c>
      <c r="GR19" s="675">
        <v>0</v>
      </c>
      <c r="GS19" s="675">
        <v>0</v>
      </c>
      <c r="GT19" s="675">
        <v>0</v>
      </c>
      <c r="GU19" s="675">
        <v>0</v>
      </c>
      <c r="GV19" s="675">
        <v>0</v>
      </c>
      <c r="GW19" s="675">
        <v>0</v>
      </c>
      <c r="GX19" s="675">
        <v>0</v>
      </c>
      <c r="GY19" s="675">
        <v>0</v>
      </c>
      <c r="GZ19" s="675">
        <v>0</v>
      </c>
      <c r="HA19" s="675">
        <v>0</v>
      </c>
      <c r="HB19" s="675">
        <v>308877260</v>
      </c>
      <c r="HC19" s="675">
        <v>4.4138999999999998E-2</v>
      </c>
      <c r="HD19" s="675">
        <v>25574</v>
      </c>
      <c r="HE19" s="675">
        <v>0</v>
      </c>
      <c r="HF19" s="675">
        <v>159460</v>
      </c>
      <c r="HG19" s="675">
        <v>3080</v>
      </c>
      <c r="HH19" s="675">
        <v>51597</v>
      </c>
      <c r="HI19" s="675">
        <v>0</v>
      </c>
      <c r="HJ19" s="675">
        <v>1408</v>
      </c>
      <c r="HK19" s="675">
        <v>0</v>
      </c>
      <c r="HL19" s="675">
        <v>0</v>
      </c>
      <c r="HM19" s="675">
        <v>0</v>
      </c>
      <c r="HN19" s="675">
        <v>0</v>
      </c>
      <c r="HO19" s="675">
        <v>0</v>
      </c>
      <c r="HP19" s="675">
        <v>0</v>
      </c>
      <c r="HQ19" s="675">
        <v>0</v>
      </c>
      <c r="HR19" s="675">
        <v>0</v>
      </c>
      <c r="HS19" s="675">
        <v>1364955</v>
      </c>
      <c r="HT19" s="675">
        <v>30366</v>
      </c>
      <c r="HU19" s="675">
        <v>0</v>
      </c>
      <c r="HV19" s="675">
        <v>0</v>
      </c>
      <c r="HW19" s="675">
        <v>0</v>
      </c>
      <c r="HX19" s="675">
        <v>15</v>
      </c>
      <c r="HY19" s="675">
        <v>13</v>
      </c>
      <c r="HZ19" s="675">
        <v>17</v>
      </c>
      <c r="IA19" s="675">
        <v>45</v>
      </c>
      <c r="IB19" s="675">
        <v>68</v>
      </c>
      <c r="IC19" s="675">
        <v>158</v>
      </c>
      <c r="ID19" s="675">
        <v>0</v>
      </c>
      <c r="IE19" s="675">
        <v>0</v>
      </c>
      <c r="IF19" s="675">
        <v>0</v>
      </c>
      <c r="IG19" s="675">
        <v>5</v>
      </c>
      <c r="IH19" s="675">
        <v>83.76100000000001</v>
      </c>
      <c r="II19" s="675">
        <v>0</v>
      </c>
      <c r="IJ19" s="675">
        <v>23.272000000000002</v>
      </c>
      <c r="IK19" s="675">
        <v>0</v>
      </c>
      <c r="IL19" s="675">
        <v>0</v>
      </c>
      <c r="IM19" s="675">
        <v>0</v>
      </c>
      <c r="IN19" s="675">
        <v>0</v>
      </c>
      <c r="IO19" s="675">
        <v>0</v>
      </c>
      <c r="IP19" s="675">
        <v>0</v>
      </c>
      <c r="IQ19" s="675">
        <v>23.272000000000002</v>
      </c>
      <c r="IR19" s="675">
        <v>14335</v>
      </c>
      <c r="IS19" s="675">
        <v>0</v>
      </c>
      <c r="IT19" s="675">
        <v>0</v>
      </c>
      <c r="IU19" s="675">
        <v>0</v>
      </c>
      <c r="IV19" s="675">
        <v>0</v>
      </c>
      <c r="IW19" s="675">
        <v>6160</v>
      </c>
      <c r="IX19" s="675">
        <v>0</v>
      </c>
      <c r="IY19" s="675">
        <v>0</v>
      </c>
      <c r="IZ19" s="675">
        <v>0</v>
      </c>
      <c r="JA19" s="675">
        <v>0</v>
      </c>
      <c r="JB19" s="675">
        <v>0</v>
      </c>
      <c r="JC19" s="675">
        <v>0</v>
      </c>
      <c r="JD19" s="675">
        <v>0</v>
      </c>
      <c r="JE19" s="675">
        <v>0</v>
      </c>
      <c r="JF19" s="675">
        <v>0</v>
      </c>
      <c r="JG19" s="675">
        <v>0</v>
      </c>
      <c r="JH19" s="675">
        <v>0</v>
      </c>
      <c r="JI19" s="675">
        <v>0</v>
      </c>
      <c r="JJ19" s="675">
        <v>0</v>
      </c>
      <c r="JK19" s="675">
        <v>0</v>
      </c>
      <c r="JL19" s="675">
        <v>0</v>
      </c>
      <c r="JM19" s="675">
        <v>0</v>
      </c>
      <c r="JN19" s="675">
        <v>32469</v>
      </c>
      <c r="JO19" s="675">
        <v>0</v>
      </c>
      <c r="JP19" s="675">
        <v>0</v>
      </c>
      <c r="JQ19" s="675">
        <v>0</v>
      </c>
      <c r="JR19" s="675">
        <v>0</v>
      </c>
      <c r="JS19" s="675">
        <v>0</v>
      </c>
      <c r="JT19" s="675">
        <v>0</v>
      </c>
      <c r="JU19" s="675">
        <v>0</v>
      </c>
      <c r="JV19" s="675">
        <v>0</v>
      </c>
      <c r="JW19" s="675">
        <v>0</v>
      </c>
      <c r="JX19" s="675">
        <v>0</v>
      </c>
      <c r="JY19" s="675">
        <v>0</v>
      </c>
      <c r="JZ19" s="675">
        <v>0</v>
      </c>
      <c r="KA19" s="675">
        <v>0</v>
      </c>
      <c r="KB19" s="675">
        <v>0</v>
      </c>
      <c r="KC19" s="675">
        <v>0</v>
      </c>
      <c r="KD19" s="675">
        <v>0</v>
      </c>
      <c r="KE19" s="675">
        <v>7263</v>
      </c>
      <c r="KF19" s="675">
        <v>0</v>
      </c>
      <c r="KG19" s="675">
        <v>0</v>
      </c>
      <c r="KH19" s="675">
        <v>0</v>
      </c>
      <c r="KI19" s="675">
        <v>0</v>
      </c>
    </row>
    <row r="20" spans="1:295" ht="12.5" x14ac:dyDescent="0.25">
      <c r="A20" s="675">
        <v>35795</v>
      </c>
      <c r="B20" s="675">
        <v>183801</v>
      </c>
      <c r="C20" s="675">
        <v>7</v>
      </c>
      <c r="D20" s="675">
        <v>2022</v>
      </c>
      <c r="E20" s="675">
        <v>6160</v>
      </c>
      <c r="F20" s="675">
        <v>0</v>
      </c>
      <c r="G20" s="675">
        <v>200.958</v>
      </c>
      <c r="H20" s="675">
        <v>172.19900000000001</v>
      </c>
      <c r="I20" s="675">
        <v>172.19900000000001</v>
      </c>
      <c r="J20" s="675">
        <v>200.958</v>
      </c>
      <c r="K20" s="675">
        <v>0</v>
      </c>
      <c r="L20" s="675">
        <v>6160</v>
      </c>
      <c r="M20" s="675">
        <v>0</v>
      </c>
      <c r="N20" s="675">
        <v>0</v>
      </c>
      <c r="O20" s="675">
        <v>0</v>
      </c>
      <c r="P20" s="675">
        <v>184.76500000000001</v>
      </c>
      <c r="Q20" s="675">
        <v>0</v>
      </c>
      <c r="R20" s="675">
        <v>74355</v>
      </c>
      <c r="S20" s="675">
        <v>402.428</v>
      </c>
      <c r="T20" s="675">
        <v>0</v>
      </c>
      <c r="U20" s="675">
        <v>39541</v>
      </c>
      <c r="V20" s="675">
        <v>0.39200000000000002</v>
      </c>
      <c r="W20" s="675">
        <v>1159</v>
      </c>
      <c r="X20" s="675">
        <v>1159</v>
      </c>
      <c r="Y20" s="675">
        <v>0</v>
      </c>
      <c r="Z20" s="675">
        <v>0</v>
      </c>
      <c r="AA20" s="675">
        <v>0</v>
      </c>
      <c r="AB20" s="675">
        <v>0</v>
      </c>
      <c r="AC20" s="675">
        <v>0</v>
      </c>
      <c r="AD20" s="675" t="s">
        <v>316</v>
      </c>
      <c r="AE20" s="675">
        <v>0</v>
      </c>
      <c r="AF20" s="675">
        <v>0</v>
      </c>
      <c r="AG20" s="675">
        <v>0</v>
      </c>
      <c r="AH20" s="675">
        <v>0</v>
      </c>
      <c r="AI20" s="675">
        <v>0</v>
      </c>
      <c r="AJ20" s="675">
        <v>6160</v>
      </c>
      <c r="AK20" s="675" t="s">
        <v>671</v>
      </c>
      <c r="AL20" s="675" t="s">
        <v>72</v>
      </c>
      <c r="AM20" s="675">
        <v>0</v>
      </c>
      <c r="AN20" s="675">
        <v>0</v>
      </c>
      <c r="AO20" s="675">
        <v>0</v>
      </c>
      <c r="AP20" s="675">
        <v>0</v>
      </c>
      <c r="AQ20" s="675">
        <v>0</v>
      </c>
      <c r="AR20" s="675">
        <v>0</v>
      </c>
      <c r="AS20" s="675">
        <v>0</v>
      </c>
      <c r="AT20" s="675">
        <v>0</v>
      </c>
      <c r="AU20" s="675">
        <v>0</v>
      </c>
      <c r="AV20" s="675">
        <v>-35836</v>
      </c>
      <c r="AW20" s="675">
        <v>2026506</v>
      </c>
      <c r="AX20" s="675">
        <v>1862671</v>
      </c>
      <c r="AY20" s="675">
        <v>1245762</v>
      </c>
      <c r="AZ20" s="675">
        <v>74355</v>
      </c>
      <c r="BA20" s="675">
        <v>0</v>
      </c>
      <c r="BB20" s="675">
        <v>3881</v>
      </c>
      <c r="BC20" s="675">
        <v>3856</v>
      </c>
      <c r="BD20" s="675">
        <v>9</v>
      </c>
      <c r="BE20" s="675">
        <v>25</v>
      </c>
      <c r="BF20" s="675">
        <v>1722394</v>
      </c>
      <c r="BG20" s="675">
        <v>0</v>
      </c>
      <c r="BH20" s="675">
        <v>0</v>
      </c>
      <c r="BI20" s="675">
        <v>0</v>
      </c>
      <c r="BJ20" s="675">
        <v>12</v>
      </c>
      <c r="BK20" s="675">
        <v>0</v>
      </c>
      <c r="BL20" s="675">
        <v>0</v>
      </c>
      <c r="BM20" s="675">
        <v>0</v>
      </c>
      <c r="BN20" s="675">
        <v>0</v>
      </c>
      <c r="BO20" s="675">
        <v>0</v>
      </c>
      <c r="BP20" s="675">
        <v>0</v>
      </c>
      <c r="BQ20" s="675">
        <v>743</v>
      </c>
      <c r="BR20" s="675">
        <v>0</v>
      </c>
      <c r="BS20" s="675">
        <v>0</v>
      </c>
      <c r="BT20" s="675">
        <v>0</v>
      </c>
      <c r="BU20" s="675">
        <v>0</v>
      </c>
      <c r="BV20" s="675">
        <v>0</v>
      </c>
      <c r="BW20" s="675">
        <v>0</v>
      </c>
      <c r="BX20" s="675">
        <v>0</v>
      </c>
      <c r="BY20" s="675">
        <v>0</v>
      </c>
      <c r="BZ20" s="675">
        <v>0</v>
      </c>
      <c r="CA20" s="675">
        <v>0</v>
      </c>
      <c r="CB20" s="675">
        <v>0</v>
      </c>
      <c r="CC20" s="675">
        <v>0</v>
      </c>
      <c r="CD20" s="675">
        <v>0</v>
      </c>
      <c r="CE20" s="675">
        <v>0</v>
      </c>
      <c r="CF20" s="675">
        <v>0</v>
      </c>
      <c r="CG20" s="675">
        <v>0</v>
      </c>
      <c r="CH20" s="675">
        <v>164129</v>
      </c>
      <c r="CI20" s="675">
        <v>0</v>
      </c>
      <c r="CJ20" s="675">
        <v>4</v>
      </c>
      <c r="CK20" s="675">
        <v>0</v>
      </c>
      <c r="CL20" s="675">
        <v>0</v>
      </c>
      <c r="CM20" s="675">
        <v>0</v>
      </c>
      <c r="CN20" s="675">
        <v>0</v>
      </c>
      <c r="CO20" s="675">
        <v>1</v>
      </c>
      <c r="CP20" s="675">
        <v>0.125</v>
      </c>
      <c r="CQ20" s="675">
        <v>0</v>
      </c>
      <c r="CR20" s="675">
        <v>182.94500000000002</v>
      </c>
      <c r="CS20" s="675">
        <v>0</v>
      </c>
      <c r="CT20" s="675">
        <v>0</v>
      </c>
      <c r="CU20" s="675">
        <v>0</v>
      </c>
      <c r="CV20" s="675">
        <v>0</v>
      </c>
      <c r="CW20" s="675">
        <v>0</v>
      </c>
      <c r="CX20" s="675">
        <v>0</v>
      </c>
      <c r="CY20" s="675">
        <v>0</v>
      </c>
      <c r="CZ20" s="675">
        <v>0</v>
      </c>
      <c r="DA20" s="675">
        <v>0</v>
      </c>
      <c r="DB20" s="675">
        <v>1035264</v>
      </c>
      <c r="DC20" s="675">
        <v>0</v>
      </c>
      <c r="DD20" s="675">
        <v>0</v>
      </c>
      <c r="DE20" s="675">
        <v>94402</v>
      </c>
      <c r="DF20" s="675">
        <v>96258</v>
      </c>
      <c r="DG20" s="675">
        <v>15.325000000000001</v>
      </c>
      <c r="DH20" s="675">
        <v>0</v>
      </c>
      <c r="DI20" s="675">
        <v>1856</v>
      </c>
      <c r="DJ20" s="675">
        <v>0</v>
      </c>
      <c r="DK20" s="675">
        <v>3518</v>
      </c>
      <c r="DL20" s="675">
        <v>0</v>
      </c>
      <c r="DM20" s="675">
        <v>97010</v>
      </c>
      <c r="DN20" s="675">
        <v>269</v>
      </c>
      <c r="DO20" s="675">
        <v>0</v>
      </c>
      <c r="DP20" s="675">
        <v>0</v>
      </c>
      <c r="DQ20" s="675">
        <v>0</v>
      </c>
      <c r="DR20" s="675">
        <v>0</v>
      </c>
      <c r="DS20" s="675">
        <v>0</v>
      </c>
      <c r="DT20" s="675">
        <v>0</v>
      </c>
      <c r="DU20" s="675">
        <v>0</v>
      </c>
      <c r="DV20" s="675">
        <v>0</v>
      </c>
      <c r="DW20" s="675">
        <v>0</v>
      </c>
      <c r="DX20" s="675">
        <v>0</v>
      </c>
      <c r="DY20" s="675">
        <v>0</v>
      </c>
      <c r="DZ20" s="675">
        <v>0</v>
      </c>
      <c r="EA20" s="675">
        <v>0</v>
      </c>
      <c r="EB20" s="675">
        <v>0</v>
      </c>
      <c r="EC20" s="675">
        <v>9.4880000000000013</v>
      </c>
      <c r="ED20" s="675">
        <v>67213</v>
      </c>
      <c r="EE20" s="675">
        <v>0</v>
      </c>
      <c r="EF20" s="675">
        <v>0</v>
      </c>
      <c r="EG20" s="675">
        <v>0</v>
      </c>
      <c r="EH20" s="675">
        <v>4589</v>
      </c>
      <c r="EI20" s="675">
        <v>0</v>
      </c>
      <c r="EJ20" s="675">
        <v>0</v>
      </c>
      <c r="EK20" s="675">
        <v>0.185</v>
      </c>
      <c r="EL20" s="675">
        <v>0</v>
      </c>
      <c r="EM20" s="675">
        <v>0</v>
      </c>
      <c r="EN20" s="675">
        <v>3.7999999999999999E-2</v>
      </c>
      <c r="EO20" s="675">
        <v>0</v>
      </c>
      <c r="EP20" s="675">
        <v>0</v>
      </c>
      <c r="EQ20" s="675">
        <v>0.223</v>
      </c>
      <c r="ER20" s="675">
        <v>0</v>
      </c>
      <c r="ES20" s="675">
        <v>0.745</v>
      </c>
      <c r="ET20" s="675">
        <v>0</v>
      </c>
      <c r="EU20" s="675">
        <v>0</v>
      </c>
      <c r="EV20" s="675">
        <v>0</v>
      </c>
      <c r="EW20" s="675">
        <v>0</v>
      </c>
      <c r="EX20" s="675">
        <v>0</v>
      </c>
      <c r="EY20" s="675">
        <v>0</v>
      </c>
      <c r="EZ20" s="675">
        <v>1651231</v>
      </c>
      <c r="FA20" s="675">
        <v>0</v>
      </c>
      <c r="FB20" s="675">
        <v>1725292</v>
      </c>
      <c r="FC20" s="675">
        <v>0</v>
      </c>
      <c r="FD20" s="675">
        <v>0</v>
      </c>
      <c r="FE20" s="675">
        <v>175203</v>
      </c>
      <c r="FF20" s="675">
        <v>36237</v>
      </c>
      <c r="FG20" s="675">
        <v>6.3574999999999993E-2</v>
      </c>
      <c r="FH20" s="675">
        <v>2.6297999999999998E-2</v>
      </c>
      <c r="FI20" s="675">
        <v>0</v>
      </c>
      <c r="FJ20" s="675">
        <v>0</v>
      </c>
      <c r="FK20" s="675">
        <v>279.61099999999999</v>
      </c>
      <c r="FL20" s="675">
        <v>2100861</v>
      </c>
      <c r="FM20" s="675">
        <v>0</v>
      </c>
      <c r="FN20" s="675">
        <v>0</v>
      </c>
      <c r="FO20" s="675">
        <v>0</v>
      </c>
      <c r="FP20" s="675">
        <v>0</v>
      </c>
      <c r="FQ20" s="675">
        <v>0</v>
      </c>
      <c r="FR20" s="675">
        <v>0</v>
      </c>
      <c r="FS20" s="675">
        <v>0</v>
      </c>
      <c r="FT20" s="675">
        <v>0</v>
      </c>
      <c r="FU20" s="675">
        <v>0</v>
      </c>
      <c r="FV20" s="675">
        <v>0</v>
      </c>
      <c r="FW20" s="675">
        <v>0</v>
      </c>
      <c r="FX20" s="675">
        <v>0</v>
      </c>
      <c r="FY20" s="675">
        <v>0</v>
      </c>
      <c r="FZ20" s="675">
        <v>0</v>
      </c>
      <c r="GA20" s="675">
        <v>0</v>
      </c>
      <c r="GB20" s="675">
        <v>263585</v>
      </c>
      <c r="GC20" s="675">
        <v>263585</v>
      </c>
      <c r="GD20" s="675">
        <v>28.536000000000001</v>
      </c>
      <c r="GE20" s="675">
        <v>0</v>
      </c>
      <c r="GF20" s="675">
        <v>0</v>
      </c>
      <c r="GG20" s="675">
        <v>0</v>
      </c>
      <c r="GH20" s="675">
        <v>0</v>
      </c>
      <c r="GI20" s="675">
        <v>0</v>
      </c>
      <c r="GJ20" s="675">
        <v>0</v>
      </c>
      <c r="GK20" s="675">
        <v>0</v>
      </c>
      <c r="GL20" s="675">
        <v>0</v>
      </c>
      <c r="GM20" s="675">
        <v>0</v>
      </c>
      <c r="GN20" s="675">
        <v>0</v>
      </c>
      <c r="GO20" s="675">
        <v>0</v>
      </c>
      <c r="GP20" s="675">
        <v>0</v>
      </c>
      <c r="GQ20" s="675">
        <v>0</v>
      </c>
      <c r="GR20" s="675">
        <v>0</v>
      </c>
      <c r="GS20" s="675">
        <v>0</v>
      </c>
      <c r="GT20" s="675">
        <v>0</v>
      </c>
      <c r="GU20" s="675">
        <v>0</v>
      </c>
      <c r="GV20" s="675">
        <v>0</v>
      </c>
      <c r="GW20" s="675">
        <v>0</v>
      </c>
      <c r="GX20" s="675">
        <v>0</v>
      </c>
      <c r="GY20" s="675">
        <v>0</v>
      </c>
      <c r="GZ20" s="675">
        <v>0</v>
      </c>
      <c r="HA20" s="675">
        <v>0</v>
      </c>
      <c r="HB20" s="675">
        <v>308877260</v>
      </c>
      <c r="HC20" s="675">
        <v>4.4138999999999998E-2</v>
      </c>
      <c r="HD20" s="675">
        <v>35480</v>
      </c>
      <c r="HE20" s="675">
        <v>0</v>
      </c>
      <c r="HF20" s="675">
        <v>189935</v>
      </c>
      <c r="HG20" s="675">
        <v>3080</v>
      </c>
      <c r="HH20" s="675">
        <v>0</v>
      </c>
      <c r="HI20" s="675">
        <v>0</v>
      </c>
      <c r="HJ20" s="675">
        <v>1953</v>
      </c>
      <c r="HK20" s="675">
        <v>1737</v>
      </c>
      <c r="HL20" s="675">
        <v>1455</v>
      </c>
      <c r="HM20" s="675">
        <v>30000</v>
      </c>
      <c r="HN20" s="675">
        <v>0</v>
      </c>
      <c r="HO20" s="675">
        <v>0</v>
      </c>
      <c r="HP20" s="675">
        <v>0</v>
      </c>
      <c r="HQ20" s="675">
        <v>0</v>
      </c>
      <c r="HR20" s="675">
        <v>0</v>
      </c>
      <c r="HS20" s="675">
        <v>1650937</v>
      </c>
      <c r="HT20" s="675">
        <v>36237</v>
      </c>
      <c r="HU20" s="675">
        <v>128649</v>
      </c>
      <c r="HV20" s="675">
        <v>0</v>
      </c>
      <c r="HW20" s="675">
        <v>0</v>
      </c>
      <c r="HX20" s="675">
        <v>11</v>
      </c>
      <c r="HY20" s="675">
        <v>25</v>
      </c>
      <c r="HZ20" s="675">
        <v>4</v>
      </c>
      <c r="IA20" s="675">
        <v>11</v>
      </c>
      <c r="IB20" s="675">
        <v>11</v>
      </c>
      <c r="IC20" s="675">
        <v>62</v>
      </c>
      <c r="ID20" s="675">
        <v>0</v>
      </c>
      <c r="IE20" s="675">
        <v>0.99399999999999999</v>
      </c>
      <c r="IF20" s="675">
        <v>0</v>
      </c>
      <c r="IG20" s="675">
        <v>5</v>
      </c>
      <c r="IH20" s="675">
        <v>0</v>
      </c>
      <c r="II20" s="675">
        <v>0</v>
      </c>
      <c r="IJ20" s="675">
        <v>1.3860000000000001</v>
      </c>
      <c r="IK20" s="675">
        <v>0</v>
      </c>
      <c r="IL20" s="675">
        <v>3</v>
      </c>
      <c r="IM20" s="675">
        <v>5</v>
      </c>
      <c r="IN20" s="675">
        <v>0</v>
      </c>
      <c r="IO20" s="675">
        <v>8</v>
      </c>
      <c r="IP20" s="675">
        <v>0</v>
      </c>
      <c r="IQ20" s="675">
        <v>0.39200000000000002</v>
      </c>
      <c r="IR20" s="675">
        <v>241</v>
      </c>
      <c r="IS20" s="675">
        <v>0</v>
      </c>
      <c r="IT20" s="675">
        <v>15000</v>
      </c>
      <c r="IU20" s="675">
        <v>15000</v>
      </c>
      <c r="IV20" s="675">
        <v>0</v>
      </c>
      <c r="IW20" s="675">
        <v>6160</v>
      </c>
      <c r="IX20" s="675">
        <v>918</v>
      </c>
      <c r="IY20" s="675">
        <v>0</v>
      </c>
      <c r="IZ20" s="675">
        <v>0</v>
      </c>
      <c r="JA20" s="675">
        <v>0</v>
      </c>
      <c r="JB20" s="675">
        <v>0</v>
      </c>
      <c r="JC20" s="675">
        <v>0</v>
      </c>
      <c r="JD20" s="675">
        <v>0</v>
      </c>
      <c r="JE20" s="675">
        <v>0</v>
      </c>
      <c r="JF20" s="675">
        <v>0</v>
      </c>
      <c r="JG20" s="675">
        <v>0</v>
      </c>
      <c r="JH20" s="675">
        <v>0</v>
      </c>
      <c r="JI20" s="675">
        <v>0</v>
      </c>
      <c r="JJ20" s="675">
        <v>0</v>
      </c>
      <c r="JK20" s="675">
        <v>0</v>
      </c>
      <c r="JL20" s="675">
        <v>0</v>
      </c>
      <c r="JM20" s="675">
        <v>0</v>
      </c>
      <c r="JN20" s="675">
        <v>32469</v>
      </c>
      <c r="JO20" s="675">
        <v>3.7470000000000003</v>
      </c>
      <c r="JP20" s="675">
        <v>22.474</v>
      </c>
      <c r="JQ20" s="675">
        <v>2.3149999999999999</v>
      </c>
      <c r="JR20" s="675">
        <v>29936</v>
      </c>
      <c r="JS20" s="675">
        <v>208933</v>
      </c>
      <c r="JT20" s="675">
        <v>24716</v>
      </c>
      <c r="JU20" s="675">
        <v>3881</v>
      </c>
      <c r="JV20" s="675">
        <v>128649</v>
      </c>
      <c r="JW20" s="675">
        <v>0</v>
      </c>
      <c r="JX20" s="675">
        <v>0</v>
      </c>
      <c r="JY20" s="675">
        <v>0</v>
      </c>
      <c r="JZ20" s="675">
        <v>0</v>
      </c>
      <c r="KA20" s="675">
        <v>0</v>
      </c>
      <c r="KB20" s="675">
        <v>0</v>
      </c>
      <c r="KC20" s="675">
        <v>0</v>
      </c>
      <c r="KD20" s="675">
        <v>3881</v>
      </c>
      <c r="KE20" s="675">
        <v>7263</v>
      </c>
      <c r="KF20" s="675">
        <v>0</v>
      </c>
      <c r="KG20" s="675">
        <v>0</v>
      </c>
      <c r="KH20" s="675">
        <v>0</v>
      </c>
      <c r="KI20" s="675">
        <v>0</v>
      </c>
    </row>
    <row r="21" spans="1:295" ht="12.5" x14ac:dyDescent="0.25">
      <c r="A21" s="675">
        <v>35795</v>
      </c>
      <c r="B21" s="675">
        <v>184801</v>
      </c>
      <c r="C21" s="675">
        <v>7</v>
      </c>
      <c r="D21" s="675">
        <v>2022</v>
      </c>
      <c r="E21" s="675">
        <v>6160</v>
      </c>
      <c r="F21" s="675">
        <v>0</v>
      </c>
      <c r="G21" s="675">
        <v>134.185</v>
      </c>
      <c r="H21" s="675">
        <v>82.850999999999999</v>
      </c>
      <c r="I21" s="675">
        <v>82.850999999999999</v>
      </c>
      <c r="J21" s="675">
        <v>134.185</v>
      </c>
      <c r="K21" s="675">
        <v>0</v>
      </c>
      <c r="L21" s="675">
        <v>6160</v>
      </c>
      <c r="M21" s="675">
        <v>0</v>
      </c>
      <c r="N21" s="675">
        <v>0</v>
      </c>
      <c r="O21" s="675">
        <v>0</v>
      </c>
      <c r="P21" s="675">
        <v>108.76900000000001</v>
      </c>
      <c r="Q21" s="675">
        <v>0</v>
      </c>
      <c r="R21" s="675">
        <v>43772</v>
      </c>
      <c r="S21" s="675">
        <v>402.428</v>
      </c>
      <c r="T21" s="675">
        <v>0</v>
      </c>
      <c r="U21" s="675">
        <v>23276</v>
      </c>
      <c r="V21" s="675">
        <v>0</v>
      </c>
      <c r="W21" s="675">
        <v>0</v>
      </c>
      <c r="X21" s="675">
        <v>0</v>
      </c>
      <c r="Y21" s="675">
        <v>0</v>
      </c>
      <c r="Z21" s="675">
        <v>0</v>
      </c>
      <c r="AA21" s="675">
        <v>0</v>
      </c>
      <c r="AB21" s="675">
        <v>0</v>
      </c>
      <c r="AC21" s="675">
        <v>0</v>
      </c>
      <c r="AD21" s="675" t="s">
        <v>316</v>
      </c>
      <c r="AE21" s="675">
        <v>0</v>
      </c>
      <c r="AF21" s="675">
        <v>0</v>
      </c>
      <c r="AG21" s="675">
        <v>0</v>
      </c>
      <c r="AH21" s="675">
        <v>0</v>
      </c>
      <c r="AI21" s="675">
        <v>0</v>
      </c>
      <c r="AJ21" s="675">
        <v>6160</v>
      </c>
      <c r="AK21" s="675" t="s">
        <v>671</v>
      </c>
      <c r="AL21" s="675" t="s">
        <v>6</v>
      </c>
      <c r="AM21" s="675">
        <v>0</v>
      </c>
      <c r="AN21" s="675">
        <v>0</v>
      </c>
      <c r="AO21" s="675">
        <v>0</v>
      </c>
      <c r="AP21" s="675">
        <v>0</v>
      </c>
      <c r="AQ21" s="675">
        <v>0</v>
      </c>
      <c r="AR21" s="675">
        <v>0</v>
      </c>
      <c r="AS21" s="675">
        <v>0</v>
      </c>
      <c r="AT21" s="675">
        <v>0</v>
      </c>
      <c r="AU21" s="675">
        <v>0</v>
      </c>
      <c r="AV21" s="675">
        <v>0</v>
      </c>
      <c r="AW21" s="675">
        <v>1464770</v>
      </c>
      <c r="AX21" s="675">
        <v>1441498</v>
      </c>
      <c r="AY21" s="675">
        <v>929852</v>
      </c>
      <c r="AZ21" s="675">
        <v>43772</v>
      </c>
      <c r="BA21" s="675">
        <v>0</v>
      </c>
      <c r="BB21" s="675">
        <v>0</v>
      </c>
      <c r="BC21" s="675">
        <v>0</v>
      </c>
      <c r="BD21" s="675">
        <v>0</v>
      </c>
      <c r="BE21" s="675">
        <v>0</v>
      </c>
      <c r="BF21" s="675">
        <v>1321681</v>
      </c>
      <c r="BG21" s="675">
        <v>0</v>
      </c>
      <c r="BH21" s="675">
        <v>0</v>
      </c>
      <c r="BI21" s="675">
        <v>0</v>
      </c>
      <c r="BJ21" s="675">
        <v>12</v>
      </c>
      <c r="BK21" s="675">
        <v>0</v>
      </c>
      <c r="BL21" s="675">
        <v>0</v>
      </c>
      <c r="BM21" s="675">
        <v>0</v>
      </c>
      <c r="BN21" s="675">
        <v>0</v>
      </c>
      <c r="BO21" s="675">
        <v>0</v>
      </c>
      <c r="BP21" s="675">
        <v>0</v>
      </c>
      <c r="BQ21" s="675">
        <v>757</v>
      </c>
      <c r="BR21" s="675">
        <v>0</v>
      </c>
      <c r="BS21" s="675">
        <v>0</v>
      </c>
      <c r="BT21" s="675">
        <v>0</v>
      </c>
      <c r="BU21" s="675">
        <v>0</v>
      </c>
      <c r="BV21" s="675">
        <v>0</v>
      </c>
      <c r="BW21" s="675">
        <v>0</v>
      </c>
      <c r="BX21" s="675">
        <v>0</v>
      </c>
      <c r="BY21" s="675">
        <v>0</v>
      </c>
      <c r="BZ21" s="675">
        <v>0</v>
      </c>
      <c r="CA21" s="675">
        <v>0</v>
      </c>
      <c r="CB21" s="675">
        <v>0</v>
      </c>
      <c r="CC21" s="675">
        <v>0</v>
      </c>
      <c r="CD21" s="675">
        <v>0</v>
      </c>
      <c r="CE21" s="675">
        <v>0</v>
      </c>
      <c r="CF21" s="675">
        <v>0</v>
      </c>
      <c r="CG21" s="675">
        <v>0</v>
      </c>
      <c r="CH21" s="675">
        <v>23691</v>
      </c>
      <c r="CI21" s="675">
        <v>0</v>
      </c>
      <c r="CJ21" s="675">
        <v>4</v>
      </c>
      <c r="CK21" s="675">
        <v>0</v>
      </c>
      <c r="CL21" s="675">
        <v>0</v>
      </c>
      <c r="CM21" s="675">
        <v>0</v>
      </c>
      <c r="CN21" s="675">
        <v>0</v>
      </c>
      <c r="CO21" s="675">
        <v>1</v>
      </c>
      <c r="CP21" s="675">
        <v>0.17200000000000001</v>
      </c>
      <c r="CQ21" s="675">
        <v>0</v>
      </c>
      <c r="CR21" s="675">
        <v>133.685</v>
      </c>
      <c r="CS21" s="675">
        <v>0</v>
      </c>
      <c r="CT21" s="675">
        <v>0</v>
      </c>
      <c r="CU21" s="675">
        <v>0</v>
      </c>
      <c r="CV21" s="675">
        <v>0</v>
      </c>
      <c r="CW21" s="675">
        <v>0</v>
      </c>
      <c r="CX21" s="675">
        <v>0</v>
      </c>
      <c r="CY21" s="675">
        <v>0</v>
      </c>
      <c r="CZ21" s="675">
        <v>0</v>
      </c>
      <c r="DA21" s="675">
        <v>0</v>
      </c>
      <c r="DB21" s="675">
        <v>510360</v>
      </c>
      <c r="DC21" s="675">
        <v>0</v>
      </c>
      <c r="DD21" s="675">
        <v>0</v>
      </c>
      <c r="DE21" s="675">
        <v>104566</v>
      </c>
      <c r="DF21" s="675">
        <v>107119</v>
      </c>
      <c r="DG21" s="675">
        <v>16.975000000000001</v>
      </c>
      <c r="DH21" s="675">
        <v>0</v>
      </c>
      <c r="DI21" s="675">
        <v>2553</v>
      </c>
      <c r="DJ21" s="675">
        <v>0</v>
      </c>
      <c r="DK21" s="675">
        <v>3738</v>
      </c>
      <c r="DL21" s="675">
        <v>0</v>
      </c>
      <c r="DM21" s="675">
        <v>111414</v>
      </c>
      <c r="DN21" s="675">
        <v>419</v>
      </c>
      <c r="DO21" s="675">
        <v>0</v>
      </c>
      <c r="DP21" s="675">
        <v>0</v>
      </c>
      <c r="DQ21" s="675">
        <v>0</v>
      </c>
      <c r="DR21" s="675">
        <v>0</v>
      </c>
      <c r="DS21" s="675">
        <v>0</v>
      </c>
      <c r="DT21" s="675">
        <v>0</v>
      </c>
      <c r="DU21" s="675">
        <v>0</v>
      </c>
      <c r="DV21" s="675">
        <v>0</v>
      </c>
      <c r="DW21" s="675">
        <v>0</v>
      </c>
      <c r="DX21" s="675">
        <v>0</v>
      </c>
      <c r="DY21" s="675">
        <v>0</v>
      </c>
      <c r="DZ21" s="675">
        <v>0</v>
      </c>
      <c r="EA21" s="675">
        <v>0</v>
      </c>
      <c r="EB21" s="675">
        <v>0</v>
      </c>
      <c r="EC21" s="675">
        <v>15.639000000000001</v>
      </c>
      <c r="ED21" s="675">
        <v>110786</v>
      </c>
      <c r="EE21" s="675">
        <v>0</v>
      </c>
      <c r="EF21" s="675">
        <v>0</v>
      </c>
      <c r="EG21" s="675">
        <v>0</v>
      </c>
      <c r="EH21" s="675">
        <v>1047</v>
      </c>
      <c r="EI21" s="675">
        <v>0</v>
      </c>
      <c r="EJ21" s="675">
        <v>0</v>
      </c>
      <c r="EK21" s="675">
        <v>0</v>
      </c>
      <c r="EL21" s="675">
        <v>0</v>
      </c>
      <c r="EM21" s="675">
        <v>0</v>
      </c>
      <c r="EN21" s="675">
        <v>3.4000000000000002E-2</v>
      </c>
      <c r="EO21" s="675">
        <v>0</v>
      </c>
      <c r="EP21" s="675">
        <v>0</v>
      </c>
      <c r="EQ21" s="675">
        <v>3.4000000000000002E-2</v>
      </c>
      <c r="ER21" s="675">
        <v>0</v>
      </c>
      <c r="ES21" s="675">
        <v>0.17</v>
      </c>
      <c r="ET21" s="675">
        <v>0</v>
      </c>
      <c r="EU21" s="675">
        <v>0</v>
      </c>
      <c r="EV21" s="675">
        <v>0</v>
      </c>
      <c r="EW21" s="675">
        <v>0</v>
      </c>
      <c r="EX21" s="675">
        <v>0</v>
      </c>
      <c r="EY21" s="675">
        <v>0</v>
      </c>
      <c r="EZ21" s="675">
        <v>1279250</v>
      </c>
      <c r="FA21" s="675">
        <v>0</v>
      </c>
      <c r="FB21" s="675">
        <v>1322603</v>
      </c>
      <c r="FC21" s="675">
        <v>0</v>
      </c>
      <c r="FD21" s="675">
        <v>0</v>
      </c>
      <c r="FE21" s="675">
        <v>134442</v>
      </c>
      <c r="FF21" s="675">
        <v>27806</v>
      </c>
      <c r="FG21" s="675">
        <v>6.3574999999999993E-2</v>
      </c>
      <c r="FH21" s="675">
        <v>2.6297999999999998E-2</v>
      </c>
      <c r="FI21" s="675">
        <v>0</v>
      </c>
      <c r="FJ21" s="675">
        <v>0</v>
      </c>
      <c r="FK21" s="675">
        <v>214.56</v>
      </c>
      <c r="FL21" s="675">
        <v>1508542</v>
      </c>
      <c r="FM21" s="675">
        <v>0</v>
      </c>
      <c r="FN21" s="675">
        <v>0</v>
      </c>
      <c r="FO21" s="675">
        <v>0</v>
      </c>
      <c r="FP21" s="675">
        <v>0</v>
      </c>
      <c r="FQ21" s="675">
        <v>0</v>
      </c>
      <c r="FR21" s="675">
        <v>0</v>
      </c>
      <c r="FS21" s="675">
        <v>0</v>
      </c>
      <c r="FT21" s="675">
        <v>0</v>
      </c>
      <c r="FU21" s="675">
        <v>0</v>
      </c>
      <c r="FV21" s="675">
        <v>0</v>
      </c>
      <c r="FW21" s="675">
        <v>0</v>
      </c>
      <c r="FX21" s="675">
        <v>0</v>
      </c>
      <c r="FY21" s="675">
        <v>0</v>
      </c>
      <c r="FZ21" s="675">
        <v>0</v>
      </c>
      <c r="GA21" s="675">
        <v>0</v>
      </c>
      <c r="GB21" s="675">
        <v>490698</v>
      </c>
      <c r="GC21" s="675">
        <v>490698</v>
      </c>
      <c r="GD21" s="675">
        <v>51.300000000000004</v>
      </c>
      <c r="GE21" s="675">
        <v>0</v>
      </c>
      <c r="GF21" s="675">
        <v>0</v>
      </c>
      <c r="GG21" s="675">
        <v>0</v>
      </c>
      <c r="GH21" s="675">
        <v>0</v>
      </c>
      <c r="GI21" s="675">
        <v>0</v>
      </c>
      <c r="GJ21" s="675">
        <v>0</v>
      </c>
      <c r="GK21" s="675">
        <v>0</v>
      </c>
      <c r="GL21" s="675">
        <v>0</v>
      </c>
      <c r="GM21" s="675">
        <v>0</v>
      </c>
      <c r="GN21" s="675">
        <v>0</v>
      </c>
      <c r="GO21" s="675">
        <v>0</v>
      </c>
      <c r="GP21" s="675">
        <v>0</v>
      </c>
      <c r="GQ21" s="675">
        <v>0</v>
      </c>
      <c r="GR21" s="675">
        <v>0</v>
      </c>
      <c r="GS21" s="675">
        <v>0</v>
      </c>
      <c r="GT21" s="675">
        <v>0</v>
      </c>
      <c r="GU21" s="675">
        <v>0</v>
      </c>
      <c r="GV21" s="675">
        <v>0</v>
      </c>
      <c r="GW21" s="675">
        <v>0</v>
      </c>
      <c r="GX21" s="675">
        <v>0</v>
      </c>
      <c r="GY21" s="675">
        <v>0</v>
      </c>
      <c r="GZ21" s="675">
        <v>0</v>
      </c>
      <c r="HA21" s="675">
        <v>0</v>
      </c>
      <c r="HB21" s="675">
        <v>308877260</v>
      </c>
      <c r="HC21" s="675">
        <v>4.4138999999999998E-2</v>
      </c>
      <c r="HD21" s="675">
        <v>23691</v>
      </c>
      <c r="HE21" s="675">
        <v>0</v>
      </c>
      <c r="HF21" s="675">
        <v>91385</v>
      </c>
      <c r="HG21" s="675">
        <v>8982</v>
      </c>
      <c r="HH21" s="675">
        <v>0</v>
      </c>
      <c r="HI21" s="675">
        <v>0</v>
      </c>
      <c r="HJ21" s="675">
        <v>1304</v>
      </c>
      <c r="HK21" s="675">
        <v>1341</v>
      </c>
      <c r="HL21" s="675">
        <v>0</v>
      </c>
      <c r="HM21" s="675">
        <v>0</v>
      </c>
      <c r="HN21" s="675">
        <v>0</v>
      </c>
      <c r="HO21" s="675">
        <v>0</v>
      </c>
      <c r="HP21" s="675">
        <v>0</v>
      </c>
      <c r="HQ21" s="675">
        <v>0</v>
      </c>
      <c r="HR21" s="675">
        <v>0</v>
      </c>
      <c r="HS21" s="675">
        <v>1278831</v>
      </c>
      <c r="HT21" s="675">
        <v>27806</v>
      </c>
      <c r="HU21" s="675">
        <v>0</v>
      </c>
      <c r="HV21" s="675">
        <v>0</v>
      </c>
      <c r="HW21" s="675">
        <v>0</v>
      </c>
      <c r="HX21" s="675">
        <v>26</v>
      </c>
      <c r="HY21" s="675">
        <v>20</v>
      </c>
      <c r="HZ21" s="675">
        <v>19</v>
      </c>
      <c r="IA21" s="675">
        <v>2</v>
      </c>
      <c r="IB21" s="675">
        <v>4</v>
      </c>
      <c r="IC21" s="675">
        <v>71</v>
      </c>
      <c r="ID21" s="675">
        <v>0</v>
      </c>
      <c r="IE21" s="675">
        <v>0</v>
      </c>
      <c r="IF21" s="675">
        <v>0</v>
      </c>
      <c r="IG21" s="675">
        <v>14.582000000000001</v>
      </c>
      <c r="IH21" s="675">
        <v>0</v>
      </c>
      <c r="II21" s="675">
        <v>0</v>
      </c>
      <c r="IJ21" s="675">
        <v>0</v>
      </c>
      <c r="IK21" s="675">
        <v>0</v>
      </c>
      <c r="IL21" s="675">
        <v>0</v>
      </c>
      <c r="IM21" s="675">
        <v>0</v>
      </c>
      <c r="IN21" s="675">
        <v>0</v>
      </c>
      <c r="IO21" s="675">
        <v>0</v>
      </c>
      <c r="IP21" s="675">
        <v>0</v>
      </c>
      <c r="IQ21" s="675">
        <v>0</v>
      </c>
      <c r="IR21" s="675">
        <v>0</v>
      </c>
      <c r="IS21" s="675">
        <v>0</v>
      </c>
      <c r="IT21" s="675">
        <v>0</v>
      </c>
      <c r="IU21" s="675">
        <v>0</v>
      </c>
      <c r="IV21" s="675">
        <v>0</v>
      </c>
      <c r="IW21" s="675">
        <v>6160</v>
      </c>
      <c r="IX21" s="675">
        <v>0</v>
      </c>
      <c r="IY21" s="675">
        <v>0</v>
      </c>
      <c r="IZ21" s="675">
        <v>0</v>
      </c>
      <c r="JA21" s="675">
        <v>0</v>
      </c>
      <c r="JB21" s="675">
        <v>0</v>
      </c>
      <c r="JC21" s="675">
        <v>0</v>
      </c>
      <c r="JD21" s="675">
        <v>0</v>
      </c>
      <c r="JE21" s="675">
        <v>0</v>
      </c>
      <c r="JF21" s="675">
        <v>0</v>
      </c>
      <c r="JG21" s="675">
        <v>0</v>
      </c>
      <c r="JH21" s="675">
        <v>0</v>
      </c>
      <c r="JI21" s="675">
        <v>0</v>
      </c>
      <c r="JJ21" s="675">
        <v>0</v>
      </c>
      <c r="JK21" s="675">
        <v>0</v>
      </c>
      <c r="JL21" s="675">
        <v>0</v>
      </c>
      <c r="JM21" s="675">
        <v>0</v>
      </c>
      <c r="JN21" s="675">
        <v>32469</v>
      </c>
      <c r="JO21" s="675">
        <v>6.6020000000000003</v>
      </c>
      <c r="JP21" s="675">
        <v>28.457000000000001</v>
      </c>
      <c r="JQ21" s="675">
        <v>16.241</v>
      </c>
      <c r="JR21" s="675">
        <v>52745</v>
      </c>
      <c r="JS21" s="675">
        <v>264554</v>
      </c>
      <c r="JT21" s="675">
        <v>173399</v>
      </c>
      <c r="JU21" s="675">
        <v>0</v>
      </c>
      <c r="JV21" s="675">
        <v>0</v>
      </c>
      <c r="JW21" s="675">
        <v>0</v>
      </c>
      <c r="JX21" s="675">
        <v>0</v>
      </c>
      <c r="JY21" s="675">
        <v>0</v>
      </c>
      <c r="JZ21" s="675">
        <v>0</v>
      </c>
      <c r="KA21" s="675">
        <v>0</v>
      </c>
      <c r="KB21" s="675">
        <v>0</v>
      </c>
      <c r="KC21" s="675">
        <v>0</v>
      </c>
      <c r="KD21" s="675">
        <v>0</v>
      </c>
      <c r="KE21" s="675">
        <v>7263</v>
      </c>
      <c r="KF21" s="675">
        <v>0</v>
      </c>
      <c r="KG21" s="675">
        <v>0</v>
      </c>
      <c r="KH21" s="675">
        <v>0</v>
      </c>
      <c r="KI21" s="675">
        <v>0</v>
      </c>
    </row>
    <row r="22" spans="1:295" ht="12.5" x14ac:dyDescent="0.25">
      <c r="A22" s="675">
        <v>35795</v>
      </c>
      <c r="B22" s="675">
        <v>193801</v>
      </c>
      <c r="C22" s="675">
        <v>7</v>
      </c>
      <c r="D22" s="675">
        <v>2022</v>
      </c>
      <c r="E22" s="675">
        <v>6160</v>
      </c>
      <c r="F22" s="675">
        <v>0</v>
      </c>
      <c r="G22" s="675">
        <v>178.148</v>
      </c>
      <c r="H22" s="675">
        <v>120.161</v>
      </c>
      <c r="I22" s="675">
        <v>120.161</v>
      </c>
      <c r="J22" s="675">
        <v>178.148</v>
      </c>
      <c r="K22" s="675">
        <v>0</v>
      </c>
      <c r="L22" s="675">
        <v>6160</v>
      </c>
      <c r="M22" s="675">
        <v>0</v>
      </c>
      <c r="N22" s="675">
        <v>0</v>
      </c>
      <c r="O22" s="675">
        <v>0</v>
      </c>
      <c r="P22" s="675">
        <v>206.84700000000001</v>
      </c>
      <c r="Q22" s="675">
        <v>0</v>
      </c>
      <c r="R22" s="675">
        <v>83241</v>
      </c>
      <c r="S22" s="675">
        <v>402.428</v>
      </c>
      <c r="T22" s="675">
        <v>0</v>
      </c>
      <c r="U22" s="675">
        <v>44265</v>
      </c>
      <c r="V22" s="675">
        <v>1.8250000000000002</v>
      </c>
      <c r="W22" s="675">
        <v>1124</v>
      </c>
      <c r="X22" s="675">
        <v>1124</v>
      </c>
      <c r="Y22" s="675">
        <v>0</v>
      </c>
      <c r="Z22" s="675">
        <v>0</v>
      </c>
      <c r="AA22" s="675">
        <v>0</v>
      </c>
      <c r="AB22" s="675">
        <v>0</v>
      </c>
      <c r="AC22" s="675">
        <v>0</v>
      </c>
      <c r="AD22" s="675" t="s">
        <v>316</v>
      </c>
      <c r="AE22" s="675">
        <v>0</v>
      </c>
      <c r="AF22" s="675">
        <v>0</v>
      </c>
      <c r="AG22" s="675">
        <v>0</v>
      </c>
      <c r="AH22" s="675">
        <v>0</v>
      </c>
      <c r="AI22" s="675">
        <v>0</v>
      </c>
      <c r="AJ22" s="675">
        <v>6160</v>
      </c>
      <c r="AK22" s="675" t="s">
        <v>671</v>
      </c>
      <c r="AL22" s="675" t="s">
        <v>73</v>
      </c>
      <c r="AM22" s="675">
        <v>0</v>
      </c>
      <c r="AN22" s="675">
        <v>0</v>
      </c>
      <c r="AO22" s="675">
        <v>0</v>
      </c>
      <c r="AP22" s="675">
        <v>0</v>
      </c>
      <c r="AQ22" s="675">
        <v>0</v>
      </c>
      <c r="AR22" s="675">
        <v>0</v>
      </c>
      <c r="AS22" s="675">
        <v>0</v>
      </c>
      <c r="AT22" s="675">
        <v>0</v>
      </c>
      <c r="AU22" s="675">
        <v>0</v>
      </c>
      <c r="AV22" s="675">
        <v>-16154</v>
      </c>
      <c r="AW22" s="675">
        <v>3069072</v>
      </c>
      <c r="AX22" s="675">
        <v>2939717</v>
      </c>
      <c r="AY22" s="675">
        <v>1978757</v>
      </c>
      <c r="AZ22" s="675">
        <v>83241</v>
      </c>
      <c r="BA22" s="675">
        <v>0</v>
      </c>
      <c r="BB22" s="675">
        <v>0</v>
      </c>
      <c r="BC22" s="675">
        <v>0</v>
      </c>
      <c r="BD22" s="675">
        <v>0</v>
      </c>
      <c r="BE22" s="675">
        <v>0</v>
      </c>
      <c r="BF22" s="675">
        <v>2597752</v>
      </c>
      <c r="BG22" s="675">
        <v>0</v>
      </c>
      <c r="BH22" s="675">
        <v>0</v>
      </c>
      <c r="BI22" s="675">
        <v>0</v>
      </c>
      <c r="BJ22" s="675">
        <v>12</v>
      </c>
      <c r="BK22" s="675">
        <v>0</v>
      </c>
      <c r="BL22" s="675">
        <v>0</v>
      </c>
      <c r="BM22" s="675">
        <v>0</v>
      </c>
      <c r="BN22" s="675">
        <v>0</v>
      </c>
      <c r="BO22" s="675">
        <v>0</v>
      </c>
      <c r="BP22" s="675">
        <v>0</v>
      </c>
      <c r="BQ22" s="675">
        <v>751</v>
      </c>
      <c r="BR22" s="675">
        <v>0</v>
      </c>
      <c r="BS22" s="675">
        <v>0</v>
      </c>
      <c r="BT22" s="675">
        <v>0</v>
      </c>
      <c r="BU22" s="675">
        <v>0</v>
      </c>
      <c r="BV22" s="675">
        <v>0</v>
      </c>
      <c r="BW22" s="675">
        <v>0</v>
      </c>
      <c r="BX22" s="675">
        <v>0</v>
      </c>
      <c r="BY22" s="675">
        <v>0</v>
      </c>
      <c r="BZ22" s="675">
        <v>0</v>
      </c>
      <c r="CA22" s="675">
        <v>0</v>
      </c>
      <c r="CB22" s="675">
        <v>0</v>
      </c>
      <c r="CC22" s="675">
        <v>0</v>
      </c>
      <c r="CD22" s="675">
        <v>0</v>
      </c>
      <c r="CE22" s="675">
        <v>0</v>
      </c>
      <c r="CF22" s="675">
        <v>0</v>
      </c>
      <c r="CG22" s="675">
        <v>0</v>
      </c>
      <c r="CH22" s="675">
        <v>134591</v>
      </c>
      <c r="CI22" s="675">
        <v>0</v>
      </c>
      <c r="CJ22" s="675">
        <v>4</v>
      </c>
      <c r="CK22" s="675">
        <v>0</v>
      </c>
      <c r="CL22" s="675">
        <v>0</v>
      </c>
      <c r="CM22" s="675">
        <v>0</v>
      </c>
      <c r="CN22" s="675">
        <v>0</v>
      </c>
      <c r="CO22" s="675">
        <v>1</v>
      </c>
      <c r="CP22" s="675">
        <v>0</v>
      </c>
      <c r="CQ22" s="675">
        <v>0</v>
      </c>
      <c r="CR22" s="675">
        <v>199.06200000000001</v>
      </c>
      <c r="CS22" s="675">
        <v>0</v>
      </c>
      <c r="CT22" s="675">
        <v>0</v>
      </c>
      <c r="CU22" s="675">
        <v>0</v>
      </c>
      <c r="CV22" s="675">
        <v>0</v>
      </c>
      <c r="CW22" s="675">
        <v>0</v>
      </c>
      <c r="CX22" s="675">
        <v>0</v>
      </c>
      <c r="CY22" s="675">
        <v>0</v>
      </c>
      <c r="CZ22" s="675">
        <v>0</v>
      </c>
      <c r="DA22" s="675">
        <v>0</v>
      </c>
      <c r="DB22" s="675">
        <v>428219</v>
      </c>
      <c r="DC22" s="675">
        <v>0</v>
      </c>
      <c r="DD22" s="675">
        <v>0</v>
      </c>
      <c r="DE22" s="675">
        <v>304226</v>
      </c>
      <c r="DF22" s="675">
        <v>305458</v>
      </c>
      <c r="DG22" s="675">
        <v>49.388000000000005</v>
      </c>
      <c r="DH22" s="675">
        <v>0</v>
      </c>
      <c r="DI22" s="675">
        <v>0</v>
      </c>
      <c r="DJ22" s="675">
        <v>0</v>
      </c>
      <c r="DK22" s="675">
        <v>3646</v>
      </c>
      <c r="DL22" s="675">
        <v>0</v>
      </c>
      <c r="DM22" s="675">
        <v>1703824</v>
      </c>
      <c r="DN22" s="675">
        <v>5236</v>
      </c>
      <c r="DO22" s="675">
        <v>0</v>
      </c>
      <c r="DP22" s="675">
        <v>0</v>
      </c>
      <c r="DQ22" s="675">
        <v>0</v>
      </c>
      <c r="DR22" s="675">
        <v>0</v>
      </c>
      <c r="DS22" s="675">
        <v>0</v>
      </c>
      <c r="DT22" s="675">
        <v>0</v>
      </c>
      <c r="DU22" s="675">
        <v>0</v>
      </c>
      <c r="DV22" s="675">
        <v>0</v>
      </c>
      <c r="DW22" s="675">
        <v>0</v>
      </c>
      <c r="DX22" s="675">
        <v>0</v>
      </c>
      <c r="DY22" s="675">
        <v>0</v>
      </c>
      <c r="DZ22" s="675">
        <v>0</v>
      </c>
      <c r="EA22" s="675">
        <v>0</v>
      </c>
      <c r="EB22" s="675">
        <v>0</v>
      </c>
      <c r="EC22" s="675">
        <v>6.7960000000000003</v>
      </c>
      <c r="ED22" s="675">
        <v>48143</v>
      </c>
      <c r="EE22" s="675">
        <v>0</v>
      </c>
      <c r="EF22" s="675">
        <v>0</v>
      </c>
      <c r="EG22" s="675">
        <v>0</v>
      </c>
      <c r="EH22" s="675">
        <v>266542</v>
      </c>
      <c r="EI22" s="675">
        <v>1082406</v>
      </c>
      <c r="EJ22" s="675">
        <v>43.929000000000002</v>
      </c>
      <c r="EK22" s="675">
        <v>13.105</v>
      </c>
      <c r="EL22" s="675">
        <v>0</v>
      </c>
      <c r="EM22" s="675">
        <v>0.40500000000000003</v>
      </c>
      <c r="EN22" s="675">
        <v>0.54800000000000004</v>
      </c>
      <c r="EO22" s="675">
        <v>0</v>
      </c>
      <c r="EP22" s="675">
        <v>0</v>
      </c>
      <c r="EQ22" s="675">
        <v>57.987000000000002</v>
      </c>
      <c r="ER22" s="675">
        <v>0</v>
      </c>
      <c r="ES22" s="675">
        <v>43.27</v>
      </c>
      <c r="ET22" s="675">
        <v>0</v>
      </c>
      <c r="EU22" s="675">
        <v>0</v>
      </c>
      <c r="EV22" s="675">
        <v>0</v>
      </c>
      <c r="EW22" s="675">
        <v>0</v>
      </c>
      <c r="EX22" s="675">
        <v>0</v>
      </c>
      <c r="EY22" s="675">
        <v>0</v>
      </c>
      <c r="EZ22" s="675">
        <v>2620819</v>
      </c>
      <c r="FA22" s="675">
        <v>0</v>
      </c>
      <c r="FB22" s="675">
        <v>2698824</v>
      </c>
      <c r="FC22" s="675">
        <v>0</v>
      </c>
      <c r="FD22" s="675">
        <v>0</v>
      </c>
      <c r="FE22" s="675">
        <v>264245</v>
      </c>
      <c r="FF22" s="675">
        <v>54653</v>
      </c>
      <c r="FG22" s="675">
        <v>6.3574999999999993E-2</v>
      </c>
      <c r="FH22" s="675">
        <v>2.6297999999999998E-2</v>
      </c>
      <c r="FI22" s="675">
        <v>0</v>
      </c>
      <c r="FJ22" s="675">
        <v>0</v>
      </c>
      <c r="FK22" s="675">
        <v>421.71500000000003</v>
      </c>
      <c r="FL22" s="675">
        <v>3152313</v>
      </c>
      <c r="FM22" s="675">
        <v>0</v>
      </c>
      <c r="FN22" s="675">
        <v>0</v>
      </c>
      <c r="FO22" s="675">
        <v>92812</v>
      </c>
      <c r="FP22" s="675">
        <v>0</v>
      </c>
      <c r="FQ22" s="675">
        <v>92812</v>
      </c>
      <c r="FR22" s="675">
        <v>92812</v>
      </c>
      <c r="FS22" s="675">
        <v>0</v>
      </c>
      <c r="FT22" s="675">
        <v>0</v>
      </c>
      <c r="FU22" s="675">
        <v>0</v>
      </c>
      <c r="FV22" s="675">
        <v>0</v>
      </c>
      <c r="FW22" s="675">
        <v>0</v>
      </c>
      <c r="FX22" s="675">
        <v>0</v>
      </c>
      <c r="FY22" s="675">
        <v>0</v>
      </c>
      <c r="FZ22" s="675">
        <v>0</v>
      </c>
      <c r="GA22" s="675">
        <v>0</v>
      </c>
      <c r="GB22" s="675">
        <v>0</v>
      </c>
      <c r="GC22" s="675">
        <v>0</v>
      </c>
      <c r="GD22" s="675">
        <v>0</v>
      </c>
      <c r="GE22" s="675">
        <v>0</v>
      </c>
      <c r="GF22" s="675">
        <v>0</v>
      </c>
      <c r="GG22" s="675">
        <v>0</v>
      </c>
      <c r="GH22" s="675">
        <v>0</v>
      </c>
      <c r="GI22" s="675">
        <v>0</v>
      </c>
      <c r="GJ22" s="675">
        <v>0</v>
      </c>
      <c r="GK22" s="675">
        <v>0</v>
      </c>
      <c r="GL22" s="675">
        <v>0</v>
      </c>
      <c r="GM22" s="675">
        <v>0</v>
      </c>
      <c r="GN22" s="675">
        <v>0</v>
      </c>
      <c r="GO22" s="675">
        <v>0</v>
      </c>
      <c r="GP22" s="675">
        <v>0</v>
      </c>
      <c r="GQ22" s="675">
        <v>0</v>
      </c>
      <c r="GR22" s="675">
        <v>0</v>
      </c>
      <c r="GS22" s="675">
        <v>0</v>
      </c>
      <c r="GT22" s="675">
        <v>0</v>
      </c>
      <c r="GU22" s="675">
        <v>0</v>
      </c>
      <c r="GV22" s="675">
        <v>0</v>
      </c>
      <c r="GW22" s="675">
        <v>0</v>
      </c>
      <c r="GX22" s="675">
        <v>0</v>
      </c>
      <c r="GY22" s="675">
        <v>0</v>
      </c>
      <c r="GZ22" s="675">
        <v>0</v>
      </c>
      <c r="HA22" s="675">
        <v>0</v>
      </c>
      <c r="HB22" s="675">
        <v>308877260</v>
      </c>
      <c r="HC22" s="675">
        <v>4.4138999999999998E-2</v>
      </c>
      <c r="HD22" s="675">
        <v>31453</v>
      </c>
      <c r="HE22" s="675">
        <v>0</v>
      </c>
      <c r="HF22" s="675">
        <v>132538</v>
      </c>
      <c r="HG22" s="675">
        <v>2464</v>
      </c>
      <c r="HH22" s="675">
        <v>17157</v>
      </c>
      <c r="HI22" s="675">
        <v>0</v>
      </c>
      <c r="HJ22" s="675">
        <v>1732</v>
      </c>
      <c r="HK22" s="675">
        <v>900</v>
      </c>
      <c r="HL22" s="675">
        <v>0</v>
      </c>
      <c r="HM22" s="675">
        <v>0</v>
      </c>
      <c r="HN22" s="675">
        <v>0</v>
      </c>
      <c r="HO22" s="675">
        <v>0</v>
      </c>
      <c r="HP22" s="675">
        <v>2475</v>
      </c>
      <c r="HQ22" s="675">
        <v>0</v>
      </c>
      <c r="HR22" s="675">
        <v>0</v>
      </c>
      <c r="HS22" s="675">
        <v>2615583</v>
      </c>
      <c r="HT22" s="675">
        <v>54653</v>
      </c>
      <c r="HU22" s="675">
        <v>0</v>
      </c>
      <c r="HV22" s="675">
        <v>0</v>
      </c>
      <c r="HW22" s="675">
        <v>0</v>
      </c>
      <c r="HX22" s="675">
        <v>3</v>
      </c>
      <c r="HY22" s="675">
        <v>39</v>
      </c>
      <c r="HZ22" s="675">
        <v>16</v>
      </c>
      <c r="IA22" s="675">
        <v>24</v>
      </c>
      <c r="IB22" s="675">
        <v>106</v>
      </c>
      <c r="IC22" s="675">
        <v>188</v>
      </c>
      <c r="ID22" s="675">
        <v>1</v>
      </c>
      <c r="IE22" s="675">
        <v>0</v>
      </c>
      <c r="IF22" s="675">
        <v>0</v>
      </c>
      <c r="IG22" s="675">
        <v>4</v>
      </c>
      <c r="IH22" s="675">
        <v>27.852</v>
      </c>
      <c r="II22" s="675">
        <v>9</v>
      </c>
      <c r="IJ22" s="675">
        <v>1.8250000000000002</v>
      </c>
      <c r="IK22" s="675">
        <v>36.803000000000004</v>
      </c>
      <c r="IL22" s="675">
        <v>0</v>
      </c>
      <c r="IM22" s="675">
        <v>0</v>
      </c>
      <c r="IN22" s="675">
        <v>0</v>
      </c>
      <c r="IO22" s="675">
        <v>0</v>
      </c>
      <c r="IP22" s="675">
        <v>45.803000000000004</v>
      </c>
      <c r="IQ22" s="675">
        <v>1.8250000000000002</v>
      </c>
      <c r="IR22" s="675">
        <v>1124</v>
      </c>
      <c r="IS22" s="675">
        <v>10121</v>
      </c>
      <c r="IT22" s="675">
        <v>0</v>
      </c>
      <c r="IU22" s="675">
        <v>0</v>
      </c>
      <c r="IV22" s="675">
        <v>0</v>
      </c>
      <c r="IW22" s="675">
        <v>6160</v>
      </c>
      <c r="IX22" s="675">
        <v>0</v>
      </c>
      <c r="IY22" s="675">
        <v>0</v>
      </c>
      <c r="IZ22" s="675">
        <v>12596</v>
      </c>
      <c r="JA22" s="675">
        <v>1232</v>
      </c>
      <c r="JB22" s="675">
        <v>0</v>
      </c>
      <c r="JC22" s="675">
        <v>0</v>
      </c>
      <c r="JD22" s="675">
        <v>0</v>
      </c>
      <c r="JE22" s="675">
        <v>0</v>
      </c>
      <c r="JF22" s="675">
        <v>0</v>
      </c>
      <c r="JG22" s="675">
        <v>0</v>
      </c>
      <c r="JH22" s="675">
        <v>0</v>
      </c>
      <c r="JI22" s="675">
        <v>0</v>
      </c>
      <c r="JJ22" s="675">
        <v>0</v>
      </c>
      <c r="JK22" s="675">
        <v>0</v>
      </c>
      <c r="JL22" s="675">
        <v>0</v>
      </c>
      <c r="JM22" s="675">
        <v>0</v>
      </c>
      <c r="JN22" s="675">
        <v>32469</v>
      </c>
      <c r="JO22" s="675">
        <v>0</v>
      </c>
      <c r="JP22" s="675">
        <v>0</v>
      </c>
      <c r="JQ22" s="675">
        <v>0</v>
      </c>
      <c r="JR22" s="675">
        <v>0</v>
      </c>
      <c r="JS22" s="675">
        <v>0</v>
      </c>
      <c r="JT22" s="675">
        <v>0</v>
      </c>
      <c r="JU22" s="675">
        <v>0</v>
      </c>
      <c r="JV22" s="675">
        <v>0</v>
      </c>
      <c r="JW22" s="675">
        <v>0</v>
      </c>
      <c r="JX22" s="675">
        <v>0</v>
      </c>
      <c r="JY22" s="675">
        <v>0</v>
      </c>
      <c r="JZ22" s="675">
        <v>0</v>
      </c>
      <c r="KA22" s="675">
        <v>0</v>
      </c>
      <c r="KB22" s="675">
        <v>0</v>
      </c>
      <c r="KC22" s="675">
        <v>0</v>
      </c>
      <c r="KD22" s="675">
        <v>0</v>
      </c>
      <c r="KE22" s="675">
        <v>7263</v>
      </c>
      <c r="KF22" s="675">
        <v>103138</v>
      </c>
      <c r="KG22" s="675">
        <v>0</v>
      </c>
      <c r="KH22" s="675">
        <v>0</v>
      </c>
      <c r="KI22" s="675">
        <v>0</v>
      </c>
    </row>
    <row r="23" spans="1:295" ht="12.5" x14ac:dyDescent="0.25">
      <c r="A23" s="675">
        <v>35795</v>
      </c>
      <c r="B23" s="675">
        <v>212801</v>
      </c>
      <c r="C23" s="675">
        <v>7</v>
      </c>
      <c r="D23" s="675">
        <v>2022</v>
      </c>
      <c r="E23" s="675">
        <v>6160</v>
      </c>
      <c r="F23" s="675">
        <v>0</v>
      </c>
      <c r="G23" s="675">
        <v>1806.3390000000002</v>
      </c>
      <c r="H23" s="675">
        <v>1538</v>
      </c>
      <c r="I23" s="675">
        <v>1538</v>
      </c>
      <c r="J23" s="675">
        <v>1806.3390000000002</v>
      </c>
      <c r="K23" s="675">
        <v>0</v>
      </c>
      <c r="L23" s="675">
        <v>6160</v>
      </c>
      <c r="M23" s="675">
        <v>0</v>
      </c>
      <c r="N23" s="675">
        <v>0</v>
      </c>
      <c r="O23" s="675">
        <v>0</v>
      </c>
      <c r="P23" s="675">
        <v>1850.6370000000002</v>
      </c>
      <c r="Q23" s="675">
        <v>0</v>
      </c>
      <c r="R23" s="675">
        <v>744748</v>
      </c>
      <c r="S23" s="675">
        <v>402.428</v>
      </c>
      <c r="T23" s="675">
        <v>0</v>
      </c>
      <c r="U23" s="675">
        <v>396039</v>
      </c>
      <c r="V23" s="675">
        <v>108.55</v>
      </c>
      <c r="W23" s="675">
        <v>66866</v>
      </c>
      <c r="X23" s="675">
        <v>66866</v>
      </c>
      <c r="Y23" s="675">
        <v>0</v>
      </c>
      <c r="Z23" s="675">
        <v>0</v>
      </c>
      <c r="AA23" s="675">
        <v>0</v>
      </c>
      <c r="AB23" s="675">
        <v>0</v>
      </c>
      <c r="AC23" s="675">
        <v>0</v>
      </c>
      <c r="AD23" s="675" t="s">
        <v>316</v>
      </c>
      <c r="AE23" s="675">
        <v>0</v>
      </c>
      <c r="AF23" s="675">
        <v>0</v>
      </c>
      <c r="AG23" s="675">
        <v>0</v>
      </c>
      <c r="AH23" s="675">
        <v>0</v>
      </c>
      <c r="AI23" s="675">
        <v>0</v>
      </c>
      <c r="AJ23" s="675">
        <v>6160</v>
      </c>
      <c r="AK23" s="675" t="s">
        <v>671</v>
      </c>
      <c r="AL23" s="675" t="s">
        <v>74</v>
      </c>
      <c r="AM23" s="675">
        <v>0</v>
      </c>
      <c r="AN23" s="675">
        <v>0</v>
      </c>
      <c r="AO23" s="675">
        <v>0</v>
      </c>
      <c r="AP23" s="675">
        <v>0</v>
      </c>
      <c r="AQ23" s="675">
        <v>0</v>
      </c>
      <c r="AR23" s="675">
        <v>0</v>
      </c>
      <c r="AS23" s="675">
        <v>0</v>
      </c>
      <c r="AT23" s="675">
        <v>0</v>
      </c>
      <c r="AU23" s="675">
        <v>0</v>
      </c>
      <c r="AV23" s="675">
        <v>0</v>
      </c>
      <c r="AW23" s="675">
        <v>17964327</v>
      </c>
      <c r="AX23" s="675">
        <v>17651484</v>
      </c>
      <c r="AY23" s="675">
        <v>11793433</v>
      </c>
      <c r="AZ23" s="675">
        <v>744748</v>
      </c>
      <c r="BA23" s="675">
        <v>0</v>
      </c>
      <c r="BB23" s="675">
        <v>0</v>
      </c>
      <c r="BC23" s="675">
        <v>0</v>
      </c>
      <c r="BD23" s="675">
        <v>0</v>
      </c>
      <c r="BE23" s="675">
        <v>0</v>
      </c>
      <c r="BF23" s="675">
        <v>16375540</v>
      </c>
      <c r="BG23" s="675">
        <v>0</v>
      </c>
      <c r="BH23" s="675">
        <v>0</v>
      </c>
      <c r="BI23" s="675">
        <v>0</v>
      </c>
      <c r="BJ23" s="675">
        <v>12</v>
      </c>
      <c r="BK23" s="675">
        <v>0</v>
      </c>
      <c r="BL23" s="675">
        <v>0</v>
      </c>
      <c r="BM23" s="675">
        <v>0</v>
      </c>
      <c r="BN23" s="675">
        <v>0</v>
      </c>
      <c r="BO23" s="675">
        <v>0</v>
      </c>
      <c r="BP23" s="675">
        <v>0</v>
      </c>
      <c r="BQ23" s="675">
        <v>533</v>
      </c>
      <c r="BR23" s="675">
        <v>0</v>
      </c>
      <c r="BS23" s="675">
        <v>0</v>
      </c>
      <c r="BT23" s="675">
        <v>0</v>
      </c>
      <c r="BU23" s="675">
        <v>0</v>
      </c>
      <c r="BV23" s="675">
        <v>0</v>
      </c>
      <c r="BW23" s="675">
        <v>0</v>
      </c>
      <c r="BX23" s="675">
        <v>0</v>
      </c>
      <c r="BY23" s="675">
        <v>0</v>
      </c>
      <c r="BZ23" s="675">
        <v>0</v>
      </c>
      <c r="CA23" s="675">
        <v>0</v>
      </c>
      <c r="CB23" s="675">
        <v>0</v>
      </c>
      <c r="CC23" s="675">
        <v>0</v>
      </c>
      <c r="CD23" s="675">
        <v>0</v>
      </c>
      <c r="CE23" s="675">
        <v>0</v>
      </c>
      <c r="CF23" s="675">
        <v>0</v>
      </c>
      <c r="CG23" s="675">
        <v>0</v>
      </c>
      <c r="CH23" s="675">
        <v>318919</v>
      </c>
      <c r="CI23" s="675">
        <v>0</v>
      </c>
      <c r="CJ23" s="675">
        <v>4</v>
      </c>
      <c r="CK23" s="675">
        <v>0</v>
      </c>
      <c r="CL23" s="675">
        <v>0</v>
      </c>
      <c r="CM23" s="675">
        <v>0</v>
      </c>
      <c r="CN23" s="675">
        <v>0</v>
      </c>
      <c r="CO23" s="675">
        <v>1</v>
      </c>
      <c r="CP23" s="675">
        <v>0</v>
      </c>
      <c r="CQ23" s="675">
        <v>0</v>
      </c>
      <c r="CR23" s="675">
        <v>1883.413</v>
      </c>
      <c r="CS23" s="675">
        <v>0</v>
      </c>
      <c r="CT23" s="675">
        <v>0</v>
      </c>
      <c r="CU23" s="675">
        <v>0</v>
      </c>
      <c r="CV23" s="675">
        <v>0</v>
      </c>
      <c r="CW23" s="675">
        <v>0</v>
      </c>
      <c r="CX23" s="675">
        <v>0</v>
      </c>
      <c r="CY23" s="675">
        <v>0</v>
      </c>
      <c r="CZ23" s="675">
        <v>0</v>
      </c>
      <c r="DA23" s="675">
        <v>0</v>
      </c>
      <c r="DB23" s="675">
        <v>9474036</v>
      </c>
      <c r="DC23" s="675">
        <v>0</v>
      </c>
      <c r="DD23" s="675">
        <v>0</v>
      </c>
      <c r="DE23" s="675">
        <v>1337176</v>
      </c>
      <c r="DF23" s="675">
        <v>1337176</v>
      </c>
      <c r="DG23" s="675">
        <v>217.07500000000002</v>
      </c>
      <c r="DH23" s="675">
        <v>0</v>
      </c>
      <c r="DI23" s="675">
        <v>0</v>
      </c>
      <c r="DJ23" s="675">
        <v>0</v>
      </c>
      <c r="DK23" s="675">
        <v>153</v>
      </c>
      <c r="DL23" s="675">
        <v>0</v>
      </c>
      <c r="DM23" s="675">
        <v>1615212</v>
      </c>
      <c r="DN23" s="675">
        <v>6076</v>
      </c>
      <c r="DO23" s="675">
        <v>0</v>
      </c>
      <c r="DP23" s="675">
        <v>0</v>
      </c>
      <c r="DQ23" s="675">
        <v>0</v>
      </c>
      <c r="DR23" s="675">
        <v>0</v>
      </c>
      <c r="DS23" s="675">
        <v>0</v>
      </c>
      <c r="DT23" s="675">
        <v>0</v>
      </c>
      <c r="DU23" s="675">
        <v>0</v>
      </c>
      <c r="DV23" s="675">
        <v>0</v>
      </c>
      <c r="DW23" s="675">
        <v>0</v>
      </c>
      <c r="DX23" s="675">
        <v>0</v>
      </c>
      <c r="DY23" s="675">
        <v>0</v>
      </c>
      <c r="DZ23" s="675">
        <v>0</v>
      </c>
      <c r="EA23" s="675">
        <v>0</v>
      </c>
      <c r="EB23" s="675">
        <v>0</v>
      </c>
      <c r="EC23" s="675">
        <v>44.295999999999999</v>
      </c>
      <c r="ED23" s="675">
        <v>313791</v>
      </c>
      <c r="EE23" s="675">
        <v>0</v>
      </c>
      <c r="EF23" s="675">
        <v>0</v>
      </c>
      <c r="EG23" s="675">
        <v>0</v>
      </c>
      <c r="EH23" s="675">
        <v>1307497</v>
      </c>
      <c r="EI23" s="675">
        <v>0</v>
      </c>
      <c r="EJ23" s="675">
        <v>0</v>
      </c>
      <c r="EK23" s="675">
        <v>54.231999999999999</v>
      </c>
      <c r="EL23" s="675">
        <v>0</v>
      </c>
      <c r="EM23" s="675">
        <v>10.487</v>
      </c>
      <c r="EN23" s="675">
        <v>3.62</v>
      </c>
      <c r="EO23" s="675">
        <v>0</v>
      </c>
      <c r="EP23" s="675">
        <v>0</v>
      </c>
      <c r="EQ23" s="675">
        <v>68.338999999999999</v>
      </c>
      <c r="ER23" s="675">
        <v>0</v>
      </c>
      <c r="ES23" s="675">
        <v>212.25700000000001</v>
      </c>
      <c r="ET23" s="675">
        <v>0</v>
      </c>
      <c r="EU23" s="675">
        <v>0</v>
      </c>
      <c r="EV23" s="675">
        <v>0</v>
      </c>
      <c r="EW23" s="675">
        <v>0</v>
      </c>
      <c r="EX23" s="675">
        <v>0</v>
      </c>
      <c r="EY23" s="675">
        <v>0</v>
      </c>
      <c r="EZ23" s="675">
        <v>15641239</v>
      </c>
      <c r="FA23" s="675">
        <v>0</v>
      </c>
      <c r="FB23" s="675">
        <v>16379911</v>
      </c>
      <c r="FC23" s="675">
        <v>0</v>
      </c>
      <c r="FD23" s="675">
        <v>0</v>
      </c>
      <c r="FE23" s="675">
        <v>1665728</v>
      </c>
      <c r="FF23" s="675">
        <v>344517</v>
      </c>
      <c r="FG23" s="675">
        <v>6.3574999999999993E-2</v>
      </c>
      <c r="FH23" s="675">
        <v>2.6297999999999998E-2</v>
      </c>
      <c r="FI23" s="675">
        <v>0</v>
      </c>
      <c r="FJ23" s="675">
        <v>0</v>
      </c>
      <c r="FK23" s="675">
        <v>2658.3789999999999</v>
      </c>
      <c r="FL23" s="675">
        <v>18709075</v>
      </c>
      <c r="FM23" s="675">
        <v>0</v>
      </c>
      <c r="FN23" s="675">
        <v>0</v>
      </c>
      <c r="FO23" s="675">
        <v>0</v>
      </c>
      <c r="FP23" s="675">
        <v>0</v>
      </c>
      <c r="FQ23" s="675">
        <v>0</v>
      </c>
      <c r="FR23" s="675">
        <v>0</v>
      </c>
      <c r="FS23" s="675">
        <v>0</v>
      </c>
      <c r="FT23" s="675">
        <v>0</v>
      </c>
      <c r="FU23" s="675">
        <v>0</v>
      </c>
      <c r="FV23" s="675">
        <v>0</v>
      </c>
      <c r="FW23" s="675">
        <v>0</v>
      </c>
      <c r="FX23" s="675">
        <v>0</v>
      </c>
      <c r="FY23" s="675">
        <v>0</v>
      </c>
      <c r="FZ23" s="675">
        <v>0</v>
      </c>
      <c r="GA23" s="675">
        <v>0</v>
      </c>
      <c r="GB23" s="675">
        <v>1902843</v>
      </c>
      <c r="GC23" s="675">
        <v>1902843</v>
      </c>
      <c r="GD23" s="675">
        <v>200</v>
      </c>
      <c r="GE23" s="675">
        <v>0</v>
      </c>
      <c r="GF23" s="675">
        <v>0</v>
      </c>
      <c r="GG23" s="675">
        <v>0</v>
      </c>
      <c r="GH23" s="675">
        <v>0</v>
      </c>
      <c r="GI23" s="675">
        <v>0</v>
      </c>
      <c r="GJ23" s="675">
        <v>0</v>
      </c>
      <c r="GK23" s="675">
        <v>0</v>
      </c>
      <c r="GL23" s="675">
        <v>0</v>
      </c>
      <c r="GM23" s="675">
        <v>0</v>
      </c>
      <c r="GN23" s="675">
        <v>0</v>
      </c>
      <c r="GO23" s="675">
        <v>0</v>
      </c>
      <c r="GP23" s="675">
        <v>0</v>
      </c>
      <c r="GQ23" s="675">
        <v>0</v>
      </c>
      <c r="GR23" s="675">
        <v>0</v>
      </c>
      <c r="GS23" s="675">
        <v>0</v>
      </c>
      <c r="GT23" s="675">
        <v>0</v>
      </c>
      <c r="GU23" s="675">
        <v>0</v>
      </c>
      <c r="GV23" s="675">
        <v>0</v>
      </c>
      <c r="GW23" s="675">
        <v>0</v>
      </c>
      <c r="GX23" s="675">
        <v>0</v>
      </c>
      <c r="GY23" s="675">
        <v>0</v>
      </c>
      <c r="GZ23" s="675">
        <v>0</v>
      </c>
      <c r="HA23" s="675">
        <v>0</v>
      </c>
      <c r="HB23" s="675">
        <v>308877260</v>
      </c>
      <c r="HC23" s="675">
        <v>4.4138999999999998E-2</v>
      </c>
      <c r="HD23" s="675">
        <v>318919</v>
      </c>
      <c r="HE23" s="675">
        <v>0</v>
      </c>
      <c r="HF23" s="675">
        <v>1696414</v>
      </c>
      <c r="HG23" s="675">
        <v>107800</v>
      </c>
      <c r="HH23" s="675">
        <v>143559</v>
      </c>
      <c r="HI23" s="675">
        <v>0</v>
      </c>
      <c r="HJ23" s="675">
        <v>17558</v>
      </c>
      <c r="HK23" s="675">
        <v>8082</v>
      </c>
      <c r="HL23" s="675">
        <v>2365</v>
      </c>
      <c r="HM23" s="675">
        <v>8000</v>
      </c>
      <c r="HN23" s="675">
        <v>0</v>
      </c>
      <c r="HO23" s="675">
        <v>0</v>
      </c>
      <c r="HP23" s="675">
        <v>0</v>
      </c>
      <c r="HQ23" s="675">
        <v>0</v>
      </c>
      <c r="HR23" s="675">
        <v>0</v>
      </c>
      <c r="HS23" s="675">
        <v>15635163</v>
      </c>
      <c r="HT23" s="675">
        <v>344517</v>
      </c>
      <c r="HU23" s="675">
        <v>0</v>
      </c>
      <c r="HV23" s="675">
        <v>0</v>
      </c>
      <c r="HW23" s="675">
        <v>0</v>
      </c>
      <c r="HX23" s="675">
        <v>291</v>
      </c>
      <c r="HY23" s="675">
        <v>202</v>
      </c>
      <c r="HZ23" s="675">
        <v>175</v>
      </c>
      <c r="IA23" s="675">
        <v>138</v>
      </c>
      <c r="IB23" s="675">
        <v>86</v>
      </c>
      <c r="IC23" s="675">
        <v>892</v>
      </c>
      <c r="ID23" s="675">
        <v>0</v>
      </c>
      <c r="IE23" s="675">
        <v>0</v>
      </c>
      <c r="IF23" s="675">
        <v>0</v>
      </c>
      <c r="IG23" s="675">
        <v>175</v>
      </c>
      <c r="IH23" s="675">
        <v>233.05200000000002</v>
      </c>
      <c r="II23" s="675">
        <v>0</v>
      </c>
      <c r="IJ23" s="675">
        <v>108.55</v>
      </c>
      <c r="IK23" s="675">
        <v>0</v>
      </c>
      <c r="IL23" s="675">
        <v>0</v>
      </c>
      <c r="IM23" s="675">
        <v>2</v>
      </c>
      <c r="IN23" s="675">
        <v>1</v>
      </c>
      <c r="IO23" s="675">
        <v>3</v>
      </c>
      <c r="IP23" s="675">
        <v>0</v>
      </c>
      <c r="IQ23" s="675">
        <v>108.55</v>
      </c>
      <c r="IR23" s="675">
        <v>66866</v>
      </c>
      <c r="IS23" s="675">
        <v>0</v>
      </c>
      <c r="IT23" s="675">
        <v>0</v>
      </c>
      <c r="IU23" s="675">
        <v>6000</v>
      </c>
      <c r="IV23" s="675">
        <v>2000</v>
      </c>
      <c r="IW23" s="675">
        <v>6160</v>
      </c>
      <c r="IX23" s="675">
        <v>0</v>
      </c>
      <c r="IY23" s="675">
        <v>0</v>
      </c>
      <c r="IZ23" s="675">
        <v>0</v>
      </c>
      <c r="JA23" s="675">
        <v>0</v>
      </c>
      <c r="JB23" s="675">
        <v>0</v>
      </c>
      <c r="JC23" s="675">
        <v>0</v>
      </c>
      <c r="JD23" s="675">
        <v>0</v>
      </c>
      <c r="JE23" s="675">
        <v>0</v>
      </c>
      <c r="JF23" s="675">
        <v>0</v>
      </c>
      <c r="JG23" s="675">
        <v>0</v>
      </c>
      <c r="JH23" s="675">
        <v>0</v>
      </c>
      <c r="JI23" s="675">
        <v>0</v>
      </c>
      <c r="JJ23" s="675">
        <v>0</v>
      </c>
      <c r="JK23" s="675">
        <v>0</v>
      </c>
      <c r="JL23" s="675">
        <v>0</v>
      </c>
      <c r="JM23" s="675">
        <v>0</v>
      </c>
      <c r="JN23" s="675">
        <v>32469</v>
      </c>
      <c r="JO23" s="675">
        <v>19.345000000000002</v>
      </c>
      <c r="JP23" s="675">
        <v>130.79500000000002</v>
      </c>
      <c r="JQ23" s="675">
        <v>49.86</v>
      </c>
      <c r="JR23" s="675">
        <v>154553</v>
      </c>
      <c r="JS23" s="675">
        <v>1215954</v>
      </c>
      <c r="JT23" s="675">
        <v>532336</v>
      </c>
      <c r="JU23" s="675">
        <v>0</v>
      </c>
      <c r="JV23" s="675">
        <v>0</v>
      </c>
      <c r="JW23" s="675">
        <v>0</v>
      </c>
      <c r="JX23" s="675">
        <v>0</v>
      </c>
      <c r="JY23" s="675">
        <v>0</v>
      </c>
      <c r="JZ23" s="675">
        <v>0</v>
      </c>
      <c r="KA23" s="675">
        <v>0</v>
      </c>
      <c r="KB23" s="675">
        <v>0</v>
      </c>
      <c r="KC23" s="675">
        <v>0</v>
      </c>
      <c r="KD23" s="675">
        <v>0</v>
      </c>
      <c r="KE23" s="675">
        <v>7263</v>
      </c>
      <c r="KF23" s="675">
        <v>0</v>
      </c>
      <c r="KG23" s="675">
        <v>0</v>
      </c>
      <c r="KH23" s="675">
        <v>0</v>
      </c>
      <c r="KI23" s="675">
        <v>0</v>
      </c>
    </row>
    <row r="24" spans="1:295" ht="12.5" x14ac:dyDescent="0.25">
      <c r="A24" s="675">
        <v>35795</v>
      </c>
      <c r="B24" s="675">
        <v>213801</v>
      </c>
      <c r="C24" s="675">
        <v>7</v>
      </c>
      <c r="D24" s="675">
        <v>2022</v>
      </c>
      <c r="E24" s="675">
        <v>6160</v>
      </c>
      <c r="F24" s="675">
        <v>0</v>
      </c>
      <c r="G24" s="675">
        <v>155.965</v>
      </c>
      <c r="H24" s="675">
        <v>123.49900000000001</v>
      </c>
      <c r="I24" s="675">
        <v>123.49900000000001</v>
      </c>
      <c r="J24" s="675">
        <v>155.965</v>
      </c>
      <c r="K24" s="675">
        <v>0</v>
      </c>
      <c r="L24" s="675">
        <v>6160</v>
      </c>
      <c r="M24" s="675">
        <v>0</v>
      </c>
      <c r="N24" s="675">
        <v>0</v>
      </c>
      <c r="O24" s="675">
        <v>0</v>
      </c>
      <c r="P24" s="675">
        <v>178.59700000000001</v>
      </c>
      <c r="Q24" s="675">
        <v>0</v>
      </c>
      <c r="R24" s="675">
        <v>71872</v>
      </c>
      <c r="S24" s="675">
        <v>402.428</v>
      </c>
      <c r="T24" s="675">
        <v>0</v>
      </c>
      <c r="U24" s="675">
        <v>38221</v>
      </c>
      <c r="V24" s="675">
        <v>6.5000000000000002E-2</v>
      </c>
      <c r="W24" s="675">
        <v>40</v>
      </c>
      <c r="X24" s="675">
        <v>40</v>
      </c>
      <c r="Y24" s="675">
        <v>0</v>
      </c>
      <c r="Z24" s="675">
        <v>0</v>
      </c>
      <c r="AA24" s="675">
        <v>0</v>
      </c>
      <c r="AB24" s="675">
        <v>0</v>
      </c>
      <c r="AC24" s="675">
        <v>0</v>
      </c>
      <c r="AD24" s="675" t="s">
        <v>316</v>
      </c>
      <c r="AE24" s="675">
        <v>0</v>
      </c>
      <c r="AF24" s="675">
        <v>0</v>
      </c>
      <c r="AG24" s="675">
        <v>0</v>
      </c>
      <c r="AH24" s="675">
        <v>0</v>
      </c>
      <c r="AI24" s="675">
        <v>0</v>
      </c>
      <c r="AJ24" s="675">
        <v>6160</v>
      </c>
      <c r="AK24" s="675" t="s">
        <v>671</v>
      </c>
      <c r="AL24" s="675" t="s">
        <v>75</v>
      </c>
      <c r="AM24" s="675">
        <v>0</v>
      </c>
      <c r="AN24" s="675">
        <v>0</v>
      </c>
      <c r="AO24" s="675">
        <v>0</v>
      </c>
      <c r="AP24" s="675">
        <v>0</v>
      </c>
      <c r="AQ24" s="675">
        <v>0</v>
      </c>
      <c r="AR24" s="675">
        <v>0</v>
      </c>
      <c r="AS24" s="675">
        <v>0</v>
      </c>
      <c r="AT24" s="675">
        <v>0</v>
      </c>
      <c r="AU24" s="675">
        <v>0</v>
      </c>
      <c r="AV24" s="675">
        <v>-1002</v>
      </c>
      <c r="AW24" s="675">
        <v>1833668</v>
      </c>
      <c r="AX24" s="675">
        <v>1807552</v>
      </c>
      <c r="AY24" s="675">
        <v>1362056</v>
      </c>
      <c r="AZ24" s="675">
        <v>71872</v>
      </c>
      <c r="BA24" s="675">
        <v>0</v>
      </c>
      <c r="BB24" s="675">
        <v>0</v>
      </c>
      <c r="BC24" s="675">
        <v>0</v>
      </c>
      <c r="BD24" s="675">
        <v>0</v>
      </c>
      <c r="BE24" s="675">
        <v>0</v>
      </c>
      <c r="BF24" s="675">
        <v>1672427</v>
      </c>
      <c r="BG24" s="675">
        <v>0</v>
      </c>
      <c r="BH24" s="675">
        <v>0</v>
      </c>
      <c r="BI24" s="675">
        <v>0</v>
      </c>
      <c r="BJ24" s="675">
        <v>12</v>
      </c>
      <c r="BK24" s="675">
        <v>0</v>
      </c>
      <c r="BL24" s="675">
        <v>0</v>
      </c>
      <c r="BM24" s="675">
        <v>0</v>
      </c>
      <c r="BN24" s="675">
        <v>0</v>
      </c>
      <c r="BO24" s="675">
        <v>0</v>
      </c>
      <c r="BP24" s="675">
        <v>0</v>
      </c>
      <c r="BQ24" s="675">
        <v>751</v>
      </c>
      <c r="BR24" s="675">
        <v>0</v>
      </c>
      <c r="BS24" s="675">
        <v>0</v>
      </c>
      <c r="BT24" s="675">
        <v>0</v>
      </c>
      <c r="BU24" s="675">
        <v>0</v>
      </c>
      <c r="BV24" s="675">
        <v>0</v>
      </c>
      <c r="BW24" s="675">
        <v>0</v>
      </c>
      <c r="BX24" s="675">
        <v>0</v>
      </c>
      <c r="BY24" s="675">
        <v>0</v>
      </c>
      <c r="BZ24" s="675">
        <v>0</v>
      </c>
      <c r="CA24" s="675">
        <v>0</v>
      </c>
      <c r="CB24" s="675">
        <v>0</v>
      </c>
      <c r="CC24" s="675">
        <v>0</v>
      </c>
      <c r="CD24" s="675">
        <v>0</v>
      </c>
      <c r="CE24" s="675">
        <v>0</v>
      </c>
      <c r="CF24" s="675">
        <v>0</v>
      </c>
      <c r="CG24" s="675">
        <v>0</v>
      </c>
      <c r="CH24" s="675">
        <v>27536</v>
      </c>
      <c r="CI24" s="675">
        <v>0</v>
      </c>
      <c r="CJ24" s="675">
        <v>4</v>
      </c>
      <c r="CK24" s="675">
        <v>0</v>
      </c>
      <c r="CL24" s="675">
        <v>0</v>
      </c>
      <c r="CM24" s="675">
        <v>0</v>
      </c>
      <c r="CN24" s="675">
        <v>0</v>
      </c>
      <c r="CO24" s="675">
        <v>1</v>
      </c>
      <c r="CP24" s="675">
        <v>0</v>
      </c>
      <c r="CQ24" s="675">
        <v>0</v>
      </c>
      <c r="CR24" s="675">
        <v>199.32</v>
      </c>
      <c r="CS24" s="675">
        <v>0</v>
      </c>
      <c r="CT24" s="675">
        <v>0</v>
      </c>
      <c r="CU24" s="675">
        <v>0</v>
      </c>
      <c r="CV24" s="675">
        <v>0</v>
      </c>
      <c r="CW24" s="675">
        <v>0</v>
      </c>
      <c r="CX24" s="675">
        <v>0</v>
      </c>
      <c r="CY24" s="675">
        <v>0</v>
      </c>
      <c r="CZ24" s="675">
        <v>0</v>
      </c>
      <c r="DA24" s="675">
        <v>0</v>
      </c>
      <c r="DB24" s="675">
        <v>694247</v>
      </c>
      <c r="DC24" s="675">
        <v>0</v>
      </c>
      <c r="DD24" s="675">
        <v>0</v>
      </c>
      <c r="DE24" s="675">
        <v>151920</v>
      </c>
      <c r="DF24" s="675">
        <v>167936</v>
      </c>
      <c r="DG24" s="675">
        <v>24.663</v>
      </c>
      <c r="DH24" s="675">
        <v>0</v>
      </c>
      <c r="DI24" s="675">
        <v>0</v>
      </c>
      <c r="DJ24" s="675">
        <v>0</v>
      </c>
      <c r="DK24" s="675">
        <v>3638</v>
      </c>
      <c r="DL24" s="675">
        <v>0</v>
      </c>
      <c r="DM24" s="675">
        <v>444025</v>
      </c>
      <c r="DN24" s="675">
        <v>1420</v>
      </c>
      <c r="DO24" s="675">
        <v>0</v>
      </c>
      <c r="DP24" s="675">
        <v>0</v>
      </c>
      <c r="DQ24" s="675">
        <v>0</v>
      </c>
      <c r="DR24" s="675">
        <v>0</v>
      </c>
      <c r="DS24" s="675">
        <v>0</v>
      </c>
      <c r="DT24" s="675">
        <v>0</v>
      </c>
      <c r="DU24" s="675">
        <v>0</v>
      </c>
      <c r="DV24" s="675">
        <v>0</v>
      </c>
      <c r="DW24" s="675">
        <v>0</v>
      </c>
      <c r="DX24" s="675">
        <v>0</v>
      </c>
      <c r="DY24" s="675">
        <v>0</v>
      </c>
      <c r="DZ24" s="675">
        <v>0</v>
      </c>
      <c r="EA24" s="675">
        <v>0</v>
      </c>
      <c r="EB24" s="675">
        <v>9.3369999999999997</v>
      </c>
      <c r="EC24" s="675">
        <v>27.985000000000003</v>
      </c>
      <c r="ED24" s="675">
        <v>198245</v>
      </c>
      <c r="EE24" s="675">
        <v>0</v>
      </c>
      <c r="EF24" s="675">
        <v>0</v>
      </c>
      <c r="EG24" s="675">
        <v>0</v>
      </c>
      <c r="EH24" s="675">
        <v>180697</v>
      </c>
      <c r="EI24" s="675">
        <v>0</v>
      </c>
      <c r="EJ24" s="675">
        <v>0</v>
      </c>
      <c r="EK24" s="675">
        <v>0.441</v>
      </c>
      <c r="EL24" s="675">
        <v>0</v>
      </c>
      <c r="EM24" s="675">
        <v>0</v>
      </c>
      <c r="EN24" s="675">
        <v>0</v>
      </c>
      <c r="EO24" s="675">
        <v>0</v>
      </c>
      <c r="EP24" s="675">
        <v>0</v>
      </c>
      <c r="EQ24" s="675">
        <v>9.7780000000000005</v>
      </c>
      <c r="ER24" s="675">
        <v>0</v>
      </c>
      <c r="ES24" s="675">
        <v>29.334</v>
      </c>
      <c r="ET24" s="675">
        <v>0</v>
      </c>
      <c r="EU24" s="675">
        <v>0</v>
      </c>
      <c r="EV24" s="675">
        <v>0</v>
      </c>
      <c r="EW24" s="675">
        <v>0</v>
      </c>
      <c r="EX24" s="675">
        <v>0</v>
      </c>
      <c r="EY24" s="675">
        <v>0</v>
      </c>
      <c r="EZ24" s="675">
        <v>1602247</v>
      </c>
      <c r="FA24" s="675">
        <v>0</v>
      </c>
      <c r="FB24" s="675">
        <v>1672699</v>
      </c>
      <c r="FC24" s="675">
        <v>0</v>
      </c>
      <c r="FD24" s="675">
        <v>0</v>
      </c>
      <c r="FE24" s="675">
        <v>170120</v>
      </c>
      <c r="FF24" s="675">
        <v>35185</v>
      </c>
      <c r="FG24" s="675">
        <v>6.3574999999999993E-2</v>
      </c>
      <c r="FH24" s="675">
        <v>2.6297999999999998E-2</v>
      </c>
      <c r="FI24" s="675">
        <v>0</v>
      </c>
      <c r="FJ24" s="675">
        <v>0</v>
      </c>
      <c r="FK24" s="675">
        <v>271.49900000000002</v>
      </c>
      <c r="FL24" s="675">
        <v>1905540</v>
      </c>
      <c r="FM24" s="675">
        <v>0</v>
      </c>
      <c r="FN24" s="675">
        <v>0</v>
      </c>
      <c r="FO24" s="675">
        <v>0</v>
      </c>
      <c r="FP24" s="675">
        <v>0</v>
      </c>
      <c r="FQ24" s="675">
        <v>0</v>
      </c>
      <c r="FR24" s="675">
        <v>0</v>
      </c>
      <c r="FS24" s="675">
        <v>0</v>
      </c>
      <c r="FT24" s="675">
        <v>0</v>
      </c>
      <c r="FU24" s="675">
        <v>0</v>
      </c>
      <c r="FV24" s="675">
        <v>0</v>
      </c>
      <c r="FW24" s="675">
        <v>0</v>
      </c>
      <c r="FX24" s="675">
        <v>0</v>
      </c>
      <c r="FY24" s="675">
        <v>0</v>
      </c>
      <c r="FZ24" s="675">
        <v>0</v>
      </c>
      <c r="GA24" s="675">
        <v>0</v>
      </c>
      <c r="GB24" s="675">
        <v>211807</v>
      </c>
      <c r="GC24" s="675">
        <v>211807</v>
      </c>
      <c r="GD24" s="675">
        <v>22.688000000000002</v>
      </c>
      <c r="GE24" s="675">
        <v>0</v>
      </c>
      <c r="GF24" s="675">
        <v>0</v>
      </c>
      <c r="GG24" s="675">
        <v>0</v>
      </c>
      <c r="GH24" s="675">
        <v>0</v>
      </c>
      <c r="GI24" s="675">
        <v>0</v>
      </c>
      <c r="GJ24" s="675">
        <v>0</v>
      </c>
      <c r="GK24" s="675">
        <v>0</v>
      </c>
      <c r="GL24" s="675">
        <v>0</v>
      </c>
      <c r="GM24" s="675">
        <v>0</v>
      </c>
      <c r="GN24" s="675">
        <v>0</v>
      </c>
      <c r="GO24" s="675">
        <v>0</v>
      </c>
      <c r="GP24" s="675">
        <v>0</v>
      </c>
      <c r="GQ24" s="675">
        <v>0</v>
      </c>
      <c r="GR24" s="675">
        <v>0</v>
      </c>
      <c r="GS24" s="675">
        <v>0</v>
      </c>
      <c r="GT24" s="675">
        <v>0</v>
      </c>
      <c r="GU24" s="675">
        <v>0</v>
      </c>
      <c r="GV24" s="675">
        <v>0</v>
      </c>
      <c r="GW24" s="675">
        <v>0</v>
      </c>
      <c r="GX24" s="675">
        <v>0</v>
      </c>
      <c r="GY24" s="675">
        <v>0</v>
      </c>
      <c r="GZ24" s="675">
        <v>0</v>
      </c>
      <c r="HA24" s="675">
        <v>0</v>
      </c>
      <c r="HB24" s="675">
        <v>308877260</v>
      </c>
      <c r="HC24" s="675">
        <v>4.4138999999999998E-2</v>
      </c>
      <c r="HD24" s="675">
        <v>27536</v>
      </c>
      <c r="HE24" s="675">
        <v>0</v>
      </c>
      <c r="HF24" s="675">
        <v>136219</v>
      </c>
      <c r="HG24" s="675">
        <v>9624</v>
      </c>
      <c r="HH24" s="675">
        <v>5593</v>
      </c>
      <c r="HI24" s="675">
        <v>0</v>
      </c>
      <c r="HJ24" s="675">
        <v>1516</v>
      </c>
      <c r="HK24" s="675">
        <v>1692</v>
      </c>
      <c r="HL24" s="675">
        <v>0</v>
      </c>
      <c r="HM24" s="675">
        <v>0</v>
      </c>
      <c r="HN24" s="675">
        <v>0</v>
      </c>
      <c r="HO24" s="675">
        <v>0</v>
      </c>
      <c r="HP24" s="675">
        <v>0</v>
      </c>
      <c r="HQ24" s="675">
        <v>0</v>
      </c>
      <c r="HR24" s="675">
        <v>0</v>
      </c>
      <c r="HS24" s="675">
        <v>1600827</v>
      </c>
      <c r="HT24" s="675">
        <v>35185</v>
      </c>
      <c r="HU24" s="675">
        <v>0</v>
      </c>
      <c r="HV24" s="675">
        <v>0</v>
      </c>
      <c r="HW24" s="675">
        <v>0</v>
      </c>
      <c r="HX24" s="675">
        <v>25</v>
      </c>
      <c r="HY24" s="675">
        <v>21</v>
      </c>
      <c r="HZ24" s="675">
        <v>15</v>
      </c>
      <c r="IA24" s="675">
        <v>12</v>
      </c>
      <c r="IB24" s="675">
        <v>26</v>
      </c>
      <c r="IC24" s="675">
        <v>99</v>
      </c>
      <c r="ID24" s="675">
        <v>13</v>
      </c>
      <c r="IE24" s="675">
        <v>0</v>
      </c>
      <c r="IF24" s="675">
        <v>0</v>
      </c>
      <c r="IG24" s="675">
        <v>15.624000000000001</v>
      </c>
      <c r="IH24" s="675">
        <v>9.0790000000000006</v>
      </c>
      <c r="II24" s="675">
        <v>0</v>
      </c>
      <c r="IJ24" s="675">
        <v>6.5000000000000002E-2</v>
      </c>
      <c r="IK24" s="675">
        <v>0</v>
      </c>
      <c r="IL24" s="675">
        <v>0</v>
      </c>
      <c r="IM24" s="675">
        <v>0</v>
      </c>
      <c r="IN24" s="675">
        <v>0</v>
      </c>
      <c r="IO24" s="675">
        <v>0</v>
      </c>
      <c r="IP24" s="675">
        <v>0</v>
      </c>
      <c r="IQ24" s="675">
        <v>6.5000000000000002E-2</v>
      </c>
      <c r="IR24" s="675">
        <v>40</v>
      </c>
      <c r="IS24" s="675">
        <v>0</v>
      </c>
      <c r="IT24" s="675">
        <v>0</v>
      </c>
      <c r="IU24" s="675">
        <v>0</v>
      </c>
      <c r="IV24" s="675">
        <v>0</v>
      </c>
      <c r="IW24" s="675">
        <v>6160</v>
      </c>
      <c r="IX24" s="675">
        <v>0</v>
      </c>
      <c r="IY24" s="675">
        <v>0</v>
      </c>
      <c r="IZ24" s="675">
        <v>0</v>
      </c>
      <c r="JA24" s="675">
        <v>16016</v>
      </c>
      <c r="JB24" s="675">
        <v>0</v>
      </c>
      <c r="JC24" s="675">
        <v>0</v>
      </c>
      <c r="JD24" s="675">
        <v>0</v>
      </c>
      <c r="JE24" s="675">
        <v>0</v>
      </c>
      <c r="JF24" s="675">
        <v>0</v>
      </c>
      <c r="JG24" s="675">
        <v>0</v>
      </c>
      <c r="JH24" s="675">
        <v>0</v>
      </c>
      <c r="JI24" s="675">
        <v>0</v>
      </c>
      <c r="JJ24" s="675">
        <v>0</v>
      </c>
      <c r="JK24" s="675">
        <v>0</v>
      </c>
      <c r="JL24" s="675">
        <v>0</v>
      </c>
      <c r="JM24" s="675">
        <v>0</v>
      </c>
      <c r="JN24" s="675">
        <v>32469</v>
      </c>
      <c r="JO24" s="675">
        <v>3.7800000000000002</v>
      </c>
      <c r="JP24" s="675">
        <v>14.686</v>
      </c>
      <c r="JQ24" s="675">
        <v>4.2220000000000004</v>
      </c>
      <c r="JR24" s="675">
        <v>30200</v>
      </c>
      <c r="JS24" s="675">
        <v>136530</v>
      </c>
      <c r="JT24" s="675">
        <v>45077</v>
      </c>
      <c r="JU24" s="675">
        <v>0</v>
      </c>
      <c r="JV24" s="675">
        <v>0</v>
      </c>
      <c r="JW24" s="675">
        <v>0</v>
      </c>
      <c r="JX24" s="675">
        <v>0</v>
      </c>
      <c r="JY24" s="675">
        <v>0</v>
      </c>
      <c r="JZ24" s="675">
        <v>0</v>
      </c>
      <c r="KA24" s="675">
        <v>0</v>
      </c>
      <c r="KB24" s="675">
        <v>0</v>
      </c>
      <c r="KC24" s="675">
        <v>0</v>
      </c>
      <c r="KD24" s="675">
        <v>0</v>
      </c>
      <c r="KE24" s="675">
        <v>7263</v>
      </c>
      <c r="KF24" s="675">
        <v>0</v>
      </c>
      <c r="KG24" s="675">
        <v>0</v>
      </c>
      <c r="KH24" s="675">
        <v>0</v>
      </c>
      <c r="KI24" s="675">
        <v>0</v>
      </c>
    </row>
    <row r="25" spans="1:295" ht="12.5" x14ac:dyDescent="0.25">
      <c r="A25" s="675">
        <v>35795</v>
      </c>
      <c r="B25" s="675">
        <v>220801</v>
      </c>
      <c r="C25" s="675">
        <v>7</v>
      </c>
      <c r="D25" s="675">
        <v>2022</v>
      </c>
      <c r="E25" s="675">
        <v>6160</v>
      </c>
      <c r="F25" s="675">
        <v>0</v>
      </c>
      <c r="G25" s="675">
        <v>306.51400000000001</v>
      </c>
      <c r="H25" s="675">
        <v>292.61400000000003</v>
      </c>
      <c r="I25" s="675">
        <v>292.61400000000003</v>
      </c>
      <c r="J25" s="675">
        <v>306.51400000000001</v>
      </c>
      <c r="K25" s="675">
        <v>0</v>
      </c>
      <c r="L25" s="675">
        <v>6160</v>
      </c>
      <c r="M25" s="675">
        <v>0</v>
      </c>
      <c r="N25" s="675">
        <v>0</v>
      </c>
      <c r="O25" s="675">
        <v>0</v>
      </c>
      <c r="P25" s="675">
        <v>373.32400000000001</v>
      </c>
      <c r="Q25" s="675">
        <v>0</v>
      </c>
      <c r="R25" s="675">
        <v>150236</v>
      </c>
      <c r="S25" s="675">
        <v>402.428</v>
      </c>
      <c r="T25" s="675">
        <v>0</v>
      </c>
      <c r="U25" s="675">
        <v>79891</v>
      </c>
      <c r="V25" s="675">
        <v>2.8880000000000003</v>
      </c>
      <c r="W25" s="675">
        <v>1779</v>
      </c>
      <c r="X25" s="675">
        <v>1779</v>
      </c>
      <c r="Y25" s="675">
        <v>0</v>
      </c>
      <c r="Z25" s="675">
        <v>0</v>
      </c>
      <c r="AA25" s="675">
        <v>0</v>
      </c>
      <c r="AB25" s="675">
        <v>0</v>
      </c>
      <c r="AC25" s="675">
        <v>0</v>
      </c>
      <c r="AD25" s="675" t="s">
        <v>316</v>
      </c>
      <c r="AE25" s="675">
        <v>0</v>
      </c>
      <c r="AF25" s="675">
        <v>0</v>
      </c>
      <c r="AG25" s="675">
        <v>0</v>
      </c>
      <c r="AH25" s="675">
        <v>0</v>
      </c>
      <c r="AI25" s="675">
        <v>0</v>
      </c>
      <c r="AJ25" s="675">
        <v>6160</v>
      </c>
      <c r="AK25" s="675" t="s">
        <v>671</v>
      </c>
      <c r="AL25" s="675" t="s">
        <v>76</v>
      </c>
      <c r="AM25" s="675">
        <v>0</v>
      </c>
      <c r="AN25" s="675">
        <v>0</v>
      </c>
      <c r="AO25" s="675">
        <v>0</v>
      </c>
      <c r="AP25" s="675">
        <v>0</v>
      </c>
      <c r="AQ25" s="675">
        <v>0</v>
      </c>
      <c r="AR25" s="675">
        <v>0</v>
      </c>
      <c r="AS25" s="675">
        <v>0</v>
      </c>
      <c r="AT25" s="675">
        <v>0</v>
      </c>
      <c r="AU25" s="675">
        <v>0</v>
      </c>
      <c r="AV25" s="675">
        <v>-50971</v>
      </c>
      <c r="AW25" s="675">
        <v>2681436</v>
      </c>
      <c r="AX25" s="675">
        <v>2627738</v>
      </c>
      <c r="AY25" s="675">
        <v>1835750</v>
      </c>
      <c r="AZ25" s="675">
        <v>150236</v>
      </c>
      <c r="BA25" s="675">
        <v>0</v>
      </c>
      <c r="BB25" s="675">
        <v>0</v>
      </c>
      <c r="BC25" s="675">
        <v>0</v>
      </c>
      <c r="BD25" s="675">
        <v>0</v>
      </c>
      <c r="BE25" s="675">
        <v>0</v>
      </c>
      <c r="BF25" s="675">
        <v>2473790</v>
      </c>
      <c r="BG25" s="675">
        <v>0</v>
      </c>
      <c r="BH25" s="675">
        <v>0</v>
      </c>
      <c r="BI25" s="675">
        <v>0</v>
      </c>
      <c r="BJ25" s="675">
        <v>12</v>
      </c>
      <c r="BK25" s="675">
        <v>0</v>
      </c>
      <c r="BL25" s="675">
        <v>0</v>
      </c>
      <c r="BM25" s="675">
        <v>0</v>
      </c>
      <c r="BN25" s="675">
        <v>0</v>
      </c>
      <c r="BO25" s="675">
        <v>0</v>
      </c>
      <c r="BP25" s="675">
        <v>0</v>
      </c>
      <c r="BQ25" s="675">
        <v>725</v>
      </c>
      <c r="BR25" s="675">
        <v>0</v>
      </c>
      <c r="BS25" s="675">
        <v>0</v>
      </c>
      <c r="BT25" s="675">
        <v>0</v>
      </c>
      <c r="BU25" s="675">
        <v>0</v>
      </c>
      <c r="BV25" s="675">
        <v>0</v>
      </c>
      <c r="BW25" s="675">
        <v>0</v>
      </c>
      <c r="BX25" s="675">
        <v>0</v>
      </c>
      <c r="BY25" s="675">
        <v>0</v>
      </c>
      <c r="BZ25" s="675">
        <v>0</v>
      </c>
      <c r="CA25" s="675">
        <v>0</v>
      </c>
      <c r="CB25" s="675">
        <v>0</v>
      </c>
      <c r="CC25" s="675">
        <v>0</v>
      </c>
      <c r="CD25" s="675">
        <v>0</v>
      </c>
      <c r="CE25" s="675">
        <v>0</v>
      </c>
      <c r="CF25" s="675">
        <v>0</v>
      </c>
      <c r="CG25" s="675">
        <v>0</v>
      </c>
      <c r="CH25" s="675">
        <v>54117</v>
      </c>
      <c r="CI25" s="675">
        <v>0</v>
      </c>
      <c r="CJ25" s="675">
        <v>4</v>
      </c>
      <c r="CK25" s="675">
        <v>0</v>
      </c>
      <c r="CL25" s="675">
        <v>0</v>
      </c>
      <c r="CM25" s="675">
        <v>0</v>
      </c>
      <c r="CN25" s="675">
        <v>0</v>
      </c>
      <c r="CO25" s="675">
        <v>1</v>
      </c>
      <c r="CP25" s="675">
        <v>0</v>
      </c>
      <c r="CQ25" s="675">
        <v>0</v>
      </c>
      <c r="CR25" s="675">
        <v>378.73099999999999</v>
      </c>
      <c r="CS25" s="675">
        <v>0</v>
      </c>
      <c r="CT25" s="675">
        <v>0</v>
      </c>
      <c r="CU25" s="675">
        <v>0</v>
      </c>
      <c r="CV25" s="675">
        <v>0</v>
      </c>
      <c r="CW25" s="675">
        <v>0</v>
      </c>
      <c r="CX25" s="675">
        <v>0</v>
      </c>
      <c r="CY25" s="675">
        <v>0</v>
      </c>
      <c r="CZ25" s="675">
        <v>0</v>
      </c>
      <c r="DA25" s="675">
        <v>0</v>
      </c>
      <c r="DB25" s="675">
        <v>1802494</v>
      </c>
      <c r="DC25" s="675">
        <v>0</v>
      </c>
      <c r="DD25" s="675">
        <v>0</v>
      </c>
      <c r="DE25" s="675">
        <v>99330</v>
      </c>
      <c r="DF25" s="675">
        <v>99330</v>
      </c>
      <c r="DG25" s="675">
        <v>16.125</v>
      </c>
      <c r="DH25" s="675">
        <v>0</v>
      </c>
      <c r="DI25" s="675">
        <v>0</v>
      </c>
      <c r="DJ25" s="675">
        <v>0</v>
      </c>
      <c r="DK25" s="675">
        <v>3221</v>
      </c>
      <c r="DL25" s="675">
        <v>0</v>
      </c>
      <c r="DM25" s="675">
        <v>111290</v>
      </c>
      <c r="DN25" s="675">
        <v>419</v>
      </c>
      <c r="DO25" s="675">
        <v>0</v>
      </c>
      <c r="DP25" s="675">
        <v>0</v>
      </c>
      <c r="DQ25" s="675">
        <v>0</v>
      </c>
      <c r="DR25" s="675">
        <v>0</v>
      </c>
      <c r="DS25" s="675">
        <v>0</v>
      </c>
      <c r="DT25" s="675">
        <v>0</v>
      </c>
      <c r="DU25" s="675">
        <v>0</v>
      </c>
      <c r="DV25" s="675">
        <v>0</v>
      </c>
      <c r="DW25" s="675">
        <v>0</v>
      </c>
      <c r="DX25" s="675">
        <v>0</v>
      </c>
      <c r="DY25" s="675">
        <v>0</v>
      </c>
      <c r="DZ25" s="675">
        <v>0</v>
      </c>
      <c r="EA25" s="675">
        <v>0</v>
      </c>
      <c r="EB25" s="675">
        <v>0</v>
      </c>
      <c r="EC25" s="675">
        <v>10.598000000000001</v>
      </c>
      <c r="ED25" s="675">
        <v>75076</v>
      </c>
      <c r="EE25" s="675">
        <v>0</v>
      </c>
      <c r="EF25" s="675">
        <v>0</v>
      </c>
      <c r="EG25" s="675">
        <v>0</v>
      </c>
      <c r="EH25" s="675">
        <v>36633</v>
      </c>
      <c r="EI25" s="675">
        <v>0</v>
      </c>
      <c r="EJ25" s="675">
        <v>0</v>
      </c>
      <c r="EK25" s="675">
        <v>0.84900000000000009</v>
      </c>
      <c r="EL25" s="675">
        <v>0</v>
      </c>
      <c r="EM25" s="675">
        <v>0</v>
      </c>
      <c r="EN25" s="675">
        <v>0.68</v>
      </c>
      <c r="EO25" s="675">
        <v>0</v>
      </c>
      <c r="EP25" s="675">
        <v>0</v>
      </c>
      <c r="EQ25" s="675">
        <v>1.5290000000000001</v>
      </c>
      <c r="ER25" s="675">
        <v>0</v>
      </c>
      <c r="ES25" s="675">
        <v>5.9470000000000001</v>
      </c>
      <c r="ET25" s="675">
        <v>0</v>
      </c>
      <c r="EU25" s="675">
        <v>0</v>
      </c>
      <c r="EV25" s="675">
        <v>0</v>
      </c>
      <c r="EW25" s="675">
        <v>0</v>
      </c>
      <c r="EX25" s="675">
        <v>0</v>
      </c>
      <c r="EY25" s="675">
        <v>0</v>
      </c>
      <c r="EZ25" s="675">
        <v>2324058</v>
      </c>
      <c r="FA25" s="675">
        <v>0</v>
      </c>
      <c r="FB25" s="675">
        <v>2473875</v>
      </c>
      <c r="FC25" s="675">
        <v>0</v>
      </c>
      <c r="FD25" s="675">
        <v>0</v>
      </c>
      <c r="FE25" s="675">
        <v>251635</v>
      </c>
      <c r="FF25" s="675">
        <v>52045</v>
      </c>
      <c r="FG25" s="675">
        <v>6.3574999999999993E-2</v>
      </c>
      <c r="FH25" s="675">
        <v>2.6297999999999998E-2</v>
      </c>
      <c r="FI25" s="675">
        <v>0</v>
      </c>
      <c r="FJ25" s="675">
        <v>0</v>
      </c>
      <c r="FK25" s="675">
        <v>401.59100000000001</v>
      </c>
      <c r="FL25" s="675">
        <v>2831672</v>
      </c>
      <c r="FM25" s="675">
        <v>0</v>
      </c>
      <c r="FN25" s="675">
        <v>0</v>
      </c>
      <c r="FO25" s="675">
        <v>0</v>
      </c>
      <c r="FP25" s="675">
        <v>0</v>
      </c>
      <c r="FQ25" s="675">
        <v>0</v>
      </c>
      <c r="FR25" s="675">
        <v>0</v>
      </c>
      <c r="FS25" s="675">
        <v>0</v>
      </c>
      <c r="FT25" s="675">
        <v>0</v>
      </c>
      <c r="FU25" s="675">
        <v>0</v>
      </c>
      <c r="FV25" s="675">
        <v>0</v>
      </c>
      <c r="FW25" s="675">
        <v>0</v>
      </c>
      <c r="FX25" s="675">
        <v>0</v>
      </c>
      <c r="FY25" s="675">
        <v>0</v>
      </c>
      <c r="FZ25" s="675">
        <v>0</v>
      </c>
      <c r="GA25" s="675">
        <v>0</v>
      </c>
      <c r="GB25" s="675">
        <v>107707</v>
      </c>
      <c r="GC25" s="675">
        <v>107707</v>
      </c>
      <c r="GD25" s="675">
        <v>12.371</v>
      </c>
      <c r="GE25" s="675">
        <v>0</v>
      </c>
      <c r="GF25" s="675">
        <v>0</v>
      </c>
      <c r="GG25" s="675">
        <v>0</v>
      </c>
      <c r="GH25" s="675">
        <v>0</v>
      </c>
      <c r="GI25" s="675">
        <v>0</v>
      </c>
      <c r="GJ25" s="675">
        <v>0</v>
      </c>
      <c r="GK25" s="675">
        <v>0</v>
      </c>
      <c r="GL25" s="675">
        <v>0</v>
      </c>
      <c r="GM25" s="675">
        <v>0</v>
      </c>
      <c r="GN25" s="675">
        <v>0</v>
      </c>
      <c r="GO25" s="675">
        <v>0</v>
      </c>
      <c r="GP25" s="675">
        <v>0</v>
      </c>
      <c r="GQ25" s="675">
        <v>0</v>
      </c>
      <c r="GR25" s="675">
        <v>0</v>
      </c>
      <c r="GS25" s="675">
        <v>0</v>
      </c>
      <c r="GT25" s="675">
        <v>0</v>
      </c>
      <c r="GU25" s="675">
        <v>0</v>
      </c>
      <c r="GV25" s="675">
        <v>0</v>
      </c>
      <c r="GW25" s="675">
        <v>0</v>
      </c>
      <c r="GX25" s="675">
        <v>0</v>
      </c>
      <c r="GY25" s="675">
        <v>0</v>
      </c>
      <c r="GZ25" s="675">
        <v>0</v>
      </c>
      <c r="HA25" s="675">
        <v>0</v>
      </c>
      <c r="HB25" s="675">
        <v>308877260</v>
      </c>
      <c r="HC25" s="675">
        <v>4.4138999999999998E-2</v>
      </c>
      <c r="HD25" s="675">
        <v>54117</v>
      </c>
      <c r="HE25" s="675">
        <v>0</v>
      </c>
      <c r="HF25" s="675">
        <v>322753</v>
      </c>
      <c r="HG25" s="675">
        <v>0</v>
      </c>
      <c r="HH25" s="675">
        <v>22039</v>
      </c>
      <c r="HI25" s="675">
        <v>0</v>
      </c>
      <c r="HJ25" s="675">
        <v>2979</v>
      </c>
      <c r="HK25" s="675">
        <v>504</v>
      </c>
      <c r="HL25" s="675">
        <v>0</v>
      </c>
      <c r="HM25" s="675">
        <v>3000</v>
      </c>
      <c r="HN25" s="675">
        <v>0</v>
      </c>
      <c r="HO25" s="675">
        <v>0</v>
      </c>
      <c r="HP25" s="675">
        <v>0</v>
      </c>
      <c r="HQ25" s="675">
        <v>0</v>
      </c>
      <c r="HR25" s="675">
        <v>0</v>
      </c>
      <c r="HS25" s="675">
        <v>2323639</v>
      </c>
      <c r="HT25" s="675">
        <v>52045</v>
      </c>
      <c r="HU25" s="675">
        <v>0</v>
      </c>
      <c r="HV25" s="675">
        <v>0</v>
      </c>
      <c r="HW25" s="675">
        <v>0</v>
      </c>
      <c r="HX25" s="675">
        <v>24</v>
      </c>
      <c r="HY25" s="675">
        <v>11</v>
      </c>
      <c r="HZ25" s="675">
        <v>10</v>
      </c>
      <c r="IA25" s="675">
        <v>13</v>
      </c>
      <c r="IB25" s="675">
        <v>8</v>
      </c>
      <c r="IC25" s="675">
        <v>66</v>
      </c>
      <c r="ID25" s="675">
        <v>0</v>
      </c>
      <c r="IE25" s="675">
        <v>0</v>
      </c>
      <c r="IF25" s="675">
        <v>0</v>
      </c>
      <c r="IG25" s="675">
        <v>0</v>
      </c>
      <c r="IH25" s="675">
        <v>35.777000000000001</v>
      </c>
      <c r="II25" s="675">
        <v>0</v>
      </c>
      <c r="IJ25" s="675">
        <v>2.8880000000000003</v>
      </c>
      <c r="IK25" s="675">
        <v>0</v>
      </c>
      <c r="IL25" s="675">
        <v>0</v>
      </c>
      <c r="IM25" s="675">
        <v>1</v>
      </c>
      <c r="IN25" s="675">
        <v>0</v>
      </c>
      <c r="IO25" s="675">
        <v>1</v>
      </c>
      <c r="IP25" s="675">
        <v>0</v>
      </c>
      <c r="IQ25" s="675">
        <v>2.8880000000000003</v>
      </c>
      <c r="IR25" s="675">
        <v>1779</v>
      </c>
      <c r="IS25" s="675">
        <v>0</v>
      </c>
      <c r="IT25" s="675">
        <v>0</v>
      </c>
      <c r="IU25" s="675">
        <v>3000</v>
      </c>
      <c r="IV25" s="675">
        <v>0</v>
      </c>
      <c r="IW25" s="675">
        <v>6160</v>
      </c>
      <c r="IX25" s="675">
        <v>0</v>
      </c>
      <c r="IY25" s="675">
        <v>0</v>
      </c>
      <c r="IZ25" s="675">
        <v>0</v>
      </c>
      <c r="JA25" s="675">
        <v>0</v>
      </c>
      <c r="JB25" s="675">
        <v>0</v>
      </c>
      <c r="JC25" s="675">
        <v>0</v>
      </c>
      <c r="JD25" s="675">
        <v>0</v>
      </c>
      <c r="JE25" s="675">
        <v>0</v>
      </c>
      <c r="JF25" s="675">
        <v>0</v>
      </c>
      <c r="JG25" s="675">
        <v>0</v>
      </c>
      <c r="JH25" s="675">
        <v>0</v>
      </c>
      <c r="JI25" s="675">
        <v>0</v>
      </c>
      <c r="JJ25" s="675">
        <v>0</v>
      </c>
      <c r="JK25" s="675">
        <v>0</v>
      </c>
      <c r="JL25" s="675">
        <v>0</v>
      </c>
      <c r="JM25" s="675">
        <v>0</v>
      </c>
      <c r="JN25" s="675">
        <v>32469</v>
      </c>
      <c r="JO25" s="675">
        <v>6.5760000000000005</v>
      </c>
      <c r="JP25" s="675">
        <v>4.8559999999999999</v>
      </c>
      <c r="JQ25" s="675">
        <v>0.93900000000000006</v>
      </c>
      <c r="JR25" s="675">
        <v>52538</v>
      </c>
      <c r="JS25" s="675">
        <v>45144</v>
      </c>
      <c r="JT25" s="675">
        <v>10025</v>
      </c>
      <c r="JU25" s="675">
        <v>0</v>
      </c>
      <c r="JV25" s="675">
        <v>0</v>
      </c>
      <c r="JW25" s="675">
        <v>0</v>
      </c>
      <c r="JX25" s="675">
        <v>0</v>
      </c>
      <c r="JY25" s="675">
        <v>0</v>
      </c>
      <c r="JZ25" s="675">
        <v>0</v>
      </c>
      <c r="KA25" s="675">
        <v>0</v>
      </c>
      <c r="KB25" s="675">
        <v>0</v>
      </c>
      <c r="KC25" s="675">
        <v>0</v>
      </c>
      <c r="KD25" s="675">
        <v>0</v>
      </c>
      <c r="KE25" s="675">
        <v>7263</v>
      </c>
      <c r="KF25" s="675">
        <v>0</v>
      </c>
      <c r="KG25" s="675">
        <v>0</v>
      </c>
      <c r="KH25" s="675">
        <v>0</v>
      </c>
      <c r="KI25" s="675">
        <v>0</v>
      </c>
    </row>
    <row r="26" spans="1:295" ht="12.5" x14ac:dyDescent="0.25">
      <c r="A26" s="675">
        <v>35795</v>
      </c>
      <c r="B26" s="675">
        <v>221801</v>
      </c>
      <c r="C26" s="675">
        <v>7</v>
      </c>
      <c r="D26" s="675">
        <v>2022</v>
      </c>
      <c r="E26" s="675">
        <v>6160</v>
      </c>
      <c r="F26" s="675">
        <v>0</v>
      </c>
      <c r="G26" s="675">
        <v>14459.066999999999</v>
      </c>
      <c r="H26" s="675">
        <v>14140.243</v>
      </c>
      <c r="I26" s="675">
        <v>14140.243</v>
      </c>
      <c r="J26" s="675">
        <v>14459.066999999999</v>
      </c>
      <c r="K26" s="675">
        <v>0</v>
      </c>
      <c r="L26" s="675">
        <v>6160</v>
      </c>
      <c r="M26" s="675">
        <v>0</v>
      </c>
      <c r="N26" s="675">
        <v>0</v>
      </c>
      <c r="O26" s="675">
        <v>0</v>
      </c>
      <c r="P26" s="675">
        <v>14961.727999999999</v>
      </c>
      <c r="Q26" s="675">
        <v>0</v>
      </c>
      <c r="R26" s="675">
        <v>6021018</v>
      </c>
      <c r="S26" s="675">
        <v>402.428</v>
      </c>
      <c r="T26" s="675">
        <v>0</v>
      </c>
      <c r="U26" s="675">
        <v>3201831</v>
      </c>
      <c r="V26" s="675">
        <v>1454.9680000000001</v>
      </c>
      <c r="W26" s="675">
        <v>896256</v>
      </c>
      <c r="X26" s="675">
        <v>896256</v>
      </c>
      <c r="Y26" s="675">
        <v>0</v>
      </c>
      <c r="Z26" s="675">
        <v>0</v>
      </c>
      <c r="AA26" s="675">
        <v>0</v>
      </c>
      <c r="AB26" s="675">
        <v>0</v>
      </c>
      <c r="AC26" s="675">
        <v>0</v>
      </c>
      <c r="AD26" s="675" t="s">
        <v>316</v>
      </c>
      <c r="AE26" s="675">
        <v>0</v>
      </c>
      <c r="AF26" s="675">
        <v>0</v>
      </c>
      <c r="AG26" s="675">
        <v>0</v>
      </c>
      <c r="AH26" s="675">
        <v>0</v>
      </c>
      <c r="AI26" s="675">
        <v>0</v>
      </c>
      <c r="AJ26" s="675">
        <v>6160</v>
      </c>
      <c r="AK26" s="675" t="s">
        <v>671</v>
      </c>
      <c r="AL26" s="675" t="s">
        <v>365</v>
      </c>
      <c r="AM26" s="675">
        <v>0</v>
      </c>
      <c r="AN26" s="675">
        <v>0</v>
      </c>
      <c r="AO26" s="675">
        <v>0</v>
      </c>
      <c r="AP26" s="675">
        <v>0</v>
      </c>
      <c r="AQ26" s="675">
        <v>0</v>
      </c>
      <c r="AR26" s="675">
        <v>0</v>
      </c>
      <c r="AS26" s="675">
        <v>0</v>
      </c>
      <c r="AT26" s="675">
        <v>0</v>
      </c>
      <c r="AU26" s="675">
        <v>0</v>
      </c>
      <c r="AV26" s="675">
        <v>-1304078</v>
      </c>
      <c r="AW26" s="675">
        <v>135391859</v>
      </c>
      <c r="AX26" s="675">
        <v>132863236</v>
      </c>
      <c r="AY26" s="675">
        <v>88957121</v>
      </c>
      <c r="AZ26" s="675">
        <v>6021018</v>
      </c>
      <c r="BA26" s="675">
        <v>0</v>
      </c>
      <c r="BB26" s="675">
        <v>0</v>
      </c>
      <c r="BC26" s="675">
        <v>0</v>
      </c>
      <c r="BD26" s="675">
        <v>0</v>
      </c>
      <c r="BE26" s="675">
        <v>0</v>
      </c>
      <c r="BF26" s="675">
        <v>122811629</v>
      </c>
      <c r="BG26" s="675">
        <v>0</v>
      </c>
      <c r="BH26" s="675">
        <v>0</v>
      </c>
      <c r="BI26" s="675">
        <v>0</v>
      </c>
      <c r="BJ26" s="675">
        <v>12</v>
      </c>
      <c r="BK26" s="675">
        <v>0</v>
      </c>
      <c r="BL26" s="675">
        <v>0</v>
      </c>
      <c r="BM26" s="675">
        <v>0</v>
      </c>
      <c r="BN26" s="675">
        <v>0</v>
      </c>
      <c r="BO26" s="675">
        <v>0</v>
      </c>
      <c r="BP26" s="675">
        <v>0</v>
      </c>
      <c r="BQ26" s="675">
        <v>0</v>
      </c>
      <c r="BR26" s="675">
        <v>0</v>
      </c>
      <c r="BS26" s="675">
        <v>0</v>
      </c>
      <c r="BT26" s="675">
        <v>0</v>
      </c>
      <c r="BU26" s="675">
        <v>0</v>
      </c>
      <c r="BV26" s="675">
        <v>0</v>
      </c>
      <c r="BW26" s="675">
        <v>0</v>
      </c>
      <c r="BX26" s="675">
        <v>0</v>
      </c>
      <c r="BY26" s="675">
        <v>0</v>
      </c>
      <c r="BZ26" s="675">
        <v>0</v>
      </c>
      <c r="CA26" s="675">
        <v>1128.366</v>
      </c>
      <c r="CB26" s="675">
        <v>962241</v>
      </c>
      <c r="CC26" s="675">
        <v>0</v>
      </c>
      <c r="CD26" s="675">
        <v>0</v>
      </c>
      <c r="CE26" s="675">
        <v>0</v>
      </c>
      <c r="CF26" s="675">
        <v>0</v>
      </c>
      <c r="CG26" s="675">
        <v>0</v>
      </c>
      <c r="CH26" s="675">
        <v>2552828</v>
      </c>
      <c r="CI26" s="675">
        <v>0</v>
      </c>
      <c r="CJ26" s="675">
        <v>4</v>
      </c>
      <c r="CK26" s="675">
        <v>0</v>
      </c>
      <c r="CL26" s="675">
        <v>0</v>
      </c>
      <c r="CM26" s="675">
        <v>0</v>
      </c>
      <c r="CN26" s="675">
        <v>0</v>
      </c>
      <c r="CO26" s="675">
        <v>1</v>
      </c>
      <c r="CP26" s="675">
        <v>0</v>
      </c>
      <c r="CQ26" s="675">
        <v>0</v>
      </c>
      <c r="CR26" s="675">
        <v>14966.678</v>
      </c>
      <c r="CS26" s="675">
        <v>0</v>
      </c>
      <c r="CT26" s="675">
        <v>0</v>
      </c>
      <c r="CU26" s="675">
        <v>0</v>
      </c>
      <c r="CV26" s="675">
        <v>0</v>
      </c>
      <c r="CW26" s="675">
        <v>0</v>
      </c>
      <c r="CX26" s="675">
        <v>0</v>
      </c>
      <c r="CY26" s="675">
        <v>0</v>
      </c>
      <c r="CZ26" s="675">
        <v>0</v>
      </c>
      <c r="DA26" s="675">
        <v>0</v>
      </c>
      <c r="DB26" s="675">
        <v>87103493</v>
      </c>
      <c r="DC26" s="675">
        <v>0</v>
      </c>
      <c r="DD26" s="675">
        <v>0</v>
      </c>
      <c r="DE26" s="675">
        <v>9156413</v>
      </c>
      <c r="DF26" s="675">
        <v>9156413</v>
      </c>
      <c r="DG26" s="675">
        <v>1486.4380000000001</v>
      </c>
      <c r="DH26" s="675">
        <v>0</v>
      </c>
      <c r="DI26" s="675">
        <v>0</v>
      </c>
      <c r="DJ26" s="675">
        <v>0</v>
      </c>
      <c r="DK26" s="675">
        <v>0</v>
      </c>
      <c r="DL26" s="675">
        <v>0</v>
      </c>
      <c r="DM26" s="675">
        <v>6434301</v>
      </c>
      <c r="DN26" s="675">
        <v>24205</v>
      </c>
      <c r="DO26" s="675">
        <v>0</v>
      </c>
      <c r="DP26" s="675">
        <v>0</v>
      </c>
      <c r="DQ26" s="675">
        <v>0</v>
      </c>
      <c r="DR26" s="675">
        <v>0</v>
      </c>
      <c r="DS26" s="675">
        <v>0</v>
      </c>
      <c r="DT26" s="675">
        <v>0</v>
      </c>
      <c r="DU26" s="675">
        <v>0</v>
      </c>
      <c r="DV26" s="675">
        <v>0</v>
      </c>
      <c r="DW26" s="675">
        <v>0</v>
      </c>
      <c r="DX26" s="675">
        <v>0</v>
      </c>
      <c r="DY26" s="675">
        <v>0</v>
      </c>
      <c r="DZ26" s="675">
        <v>0</v>
      </c>
      <c r="EA26" s="675">
        <v>0</v>
      </c>
      <c r="EB26" s="675">
        <v>0</v>
      </c>
      <c r="EC26" s="675">
        <v>300.99100000000004</v>
      </c>
      <c r="ED26" s="675">
        <v>2132210</v>
      </c>
      <c r="EE26" s="675">
        <v>0</v>
      </c>
      <c r="EF26" s="675">
        <v>0</v>
      </c>
      <c r="EG26" s="675">
        <v>0</v>
      </c>
      <c r="EH26" s="675">
        <v>4326296</v>
      </c>
      <c r="EI26" s="675">
        <v>0</v>
      </c>
      <c r="EJ26" s="675">
        <v>0</v>
      </c>
      <c r="EK26" s="675">
        <v>198.83600000000001</v>
      </c>
      <c r="EL26" s="675">
        <v>0</v>
      </c>
      <c r="EM26" s="675">
        <v>18.852</v>
      </c>
      <c r="EN26" s="675">
        <v>9.8520000000000003</v>
      </c>
      <c r="EO26" s="675">
        <v>0</v>
      </c>
      <c r="EP26" s="675">
        <v>0</v>
      </c>
      <c r="EQ26" s="675">
        <v>227.54</v>
      </c>
      <c r="ER26" s="675">
        <v>0</v>
      </c>
      <c r="ES26" s="675">
        <v>702.32400000000007</v>
      </c>
      <c r="ET26" s="675">
        <v>0</v>
      </c>
      <c r="EU26" s="675">
        <v>0</v>
      </c>
      <c r="EV26" s="675">
        <v>0</v>
      </c>
      <c r="EW26" s="675">
        <v>0</v>
      </c>
      <c r="EX26" s="675">
        <v>0</v>
      </c>
      <c r="EY26" s="675">
        <v>0</v>
      </c>
      <c r="EZ26" s="675">
        <v>117787007</v>
      </c>
      <c r="FA26" s="675">
        <v>0</v>
      </c>
      <c r="FB26" s="675">
        <v>123783820</v>
      </c>
      <c r="FC26" s="675">
        <v>0</v>
      </c>
      <c r="FD26" s="675">
        <v>0</v>
      </c>
      <c r="FE26" s="675">
        <v>12492457</v>
      </c>
      <c r="FF26" s="675">
        <v>2583772</v>
      </c>
      <c r="FG26" s="675">
        <v>6.3574999999999993E-2</v>
      </c>
      <c r="FH26" s="675">
        <v>2.6297999999999998E-2</v>
      </c>
      <c r="FI26" s="675">
        <v>0</v>
      </c>
      <c r="FJ26" s="675">
        <v>0</v>
      </c>
      <c r="FK26" s="675">
        <v>19937.044999999998</v>
      </c>
      <c r="FL26" s="675">
        <v>141412877</v>
      </c>
      <c r="FM26" s="675">
        <v>0</v>
      </c>
      <c r="FN26" s="675">
        <v>0</v>
      </c>
      <c r="FO26" s="675">
        <v>79</v>
      </c>
      <c r="FP26" s="675">
        <v>0</v>
      </c>
      <c r="FQ26" s="675">
        <v>79</v>
      </c>
      <c r="FR26" s="675">
        <v>79</v>
      </c>
      <c r="FS26" s="675">
        <v>0</v>
      </c>
      <c r="FT26" s="675">
        <v>0</v>
      </c>
      <c r="FU26" s="675">
        <v>0</v>
      </c>
      <c r="FV26" s="675">
        <v>0</v>
      </c>
      <c r="FW26" s="675">
        <v>0</v>
      </c>
      <c r="FX26" s="675">
        <v>0</v>
      </c>
      <c r="FY26" s="675">
        <v>0</v>
      </c>
      <c r="FZ26" s="675">
        <v>0</v>
      </c>
      <c r="GA26" s="675">
        <v>0</v>
      </c>
      <c r="GB26" s="675">
        <v>873818</v>
      </c>
      <c r="GC26" s="675">
        <v>873818</v>
      </c>
      <c r="GD26" s="675">
        <v>91.284000000000006</v>
      </c>
      <c r="GE26" s="675">
        <v>0</v>
      </c>
      <c r="GF26" s="675">
        <v>0</v>
      </c>
      <c r="GG26" s="675">
        <v>0</v>
      </c>
      <c r="GH26" s="675">
        <v>0</v>
      </c>
      <c r="GI26" s="675">
        <v>0</v>
      </c>
      <c r="GJ26" s="675">
        <v>0</v>
      </c>
      <c r="GK26" s="675">
        <v>0</v>
      </c>
      <c r="GL26" s="675">
        <v>0</v>
      </c>
      <c r="GM26" s="675">
        <v>0</v>
      </c>
      <c r="GN26" s="675">
        <v>0</v>
      </c>
      <c r="GO26" s="675">
        <v>0</v>
      </c>
      <c r="GP26" s="675">
        <v>0</v>
      </c>
      <c r="GQ26" s="675">
        <v>0</v>
      </c>
      <c r="GR26" s="675">
        <v>0</v>
      </c>
      <c r="GS26" s="675">
        <v>0</v>
      </c>
      <c r="GT26" s="675">
        <v>0</v>
      </c>
      <c r="GU26" s="675">
        <v>0</v>
      </c>
      <c r="GV26" s="675">
        <v>0</v>
      </c>
      <c r="GW26" s="675">
        <v>0</v>
      </c>
      <c r="GX26" s="675">
        <v>0</v>
      </c>
      <c r="GY26" s="675">
        <v>0</v>
      </c>
      <c r="GZ26" s="675">
        <v>0</v>
      </c>
      <c r="HA26" s="675">
        <v>0</v>
      </c>
      <c r="HB26" s="675">
        <v>308877260</v>
      </c>
      <c r="HC26" s="675">
        <v>4.4138999999999998E-2</v>
      </c>
      <c r="HD26" s="675">
        <v>2552828</v>
      </c>
      <c r="HE26" s="675">
        <v>0</v>
      </c>
      <c r="HF26" s="675">
        <v>15596688</v>
      </c>
      <c r="HG26" s="675">
        <v>530990</v>
      </c>
      <c r="HH26" s="675">
        <v>1649923</v>
      </c>
      <c r="HI26" s="675">
        <v>0</v>
      </c>
      <c r="HJ26" s="675">
        <v>140542</v>
      </c>
      <c r="HK26" s="675">
        <v>33669</v>
      </c>
      <c r="HL26" s="675">
        <v>407</v>
      </c>
      <c r="HM26" s="675">
        <v>369000</v>
      </c>
      <c r="HN26" s="675">
        <v>0</v>
      </c>
      <c r="HO26" s="675">
        <v>36000</v>
      </c>
      <c r="HP26" s="675">
        <v>0</v>
      </c>
      <c r="HQ26" s="675">
        <v>0</v>
      </c>
      <c r="HR26" s="675">
        <v>0</v>
      </c>
      <c r="HS26" s="675">
        <v>117762802</v>
      </c>
      <c r="HT26" s="675">
        <v>2583772</v>
      </c>
      <c r="HU26" s="675">
        <v>0</v>
      </c>
      <c r="HV26" s="675">
        <v>0</v>
      </c>
      <c r="HW26" s="675">
        <v>0</v>
      </c>
      <c r="HX26" s="675">
        <v>1573</v>
      </c>
      <c r="HY26" s="675">
        <v>1222</v>
      </c>
      <c r="HZ26" s="675">
        <v>1079</v>
      </c>
      <c r="IA26" s="675">
        <v>1255</v>
      </c>
      <c r="IB26" s="675">
        <v>884</v>
      </c>
      <c r="IC26" s="675">
        <v>6013</v>
      </c>
      <c r="ID26" s="675">
        <v>0</v>
      </c>
      <c r="IE26" s="675">
        <v>0</v>
      </c>
      <c r="IF26" s="675">
        <v>0</v>
      </c>
      <c r="IG26" s="675">
        <v>862</v>
      </c>
      <c r="IH26" s="675">
        <v>2678.4590000000003</v>
      </c>
      <c r="II26" s="675">
        <v>0</v>
      </c>
      <c r="IJ26" s="675">
        <v>1454.9680000000001</v>
      </c>
      <c r="IK26" s="675">
        <v>0</v>
      </c>
      <c r="IL26" s="675">
        <v>21</v>
      </c>
      <c r="IM26" s="675">
        <v>86</v>
      </c>
      <c r="IN26" s="675">
        <v>3</v>
      </c>
      <c r="IO26" s="675">
        <v>110</v>
      </c>
      <c r="IP26" s="675">
        <v>0</v>
      </c>
      <c r="IQ26" s="675">
        <v>1454.9680000000001</v>
      </c>
      <c r="IR26" s="675">
        <v>896256</v>
      </c>
      <c r="IS26" s="675">
        <v>0</v>
      </c>
      <c r="IT26" s="675">
        <v>105000</v>
      </c>
      <c r="IU26" s="675">
        <v>258000</v>
      </c>
      <c r="IV26" s="675">
        <v>6000</v>
      </c>
      <c r="IW26" s="675">
        <v>6160</v>
      </c>
      <c r="IX26" s="675">
        <v>0</v>
      </c>
      <c r="IY26" s="675">
        <v>0</v>
      </c>
      <c r="IZ26" s="675">
        <v>0</v>
      </c>
      <c r="JA26" s="675">
        <v>0</v>
      </c>
      <c r="JB26" s="675">
        <v>0</v>
      </c>
      <c r="JC26" s="675">
        <v>0</v>
      </c>
      <c r="JD26" s="675">
        <v>0</v>
      </c>
      <c r="JE26" s="675">
        <v>0</v>
      </c>
      <c r="JF26" s="675">
        <v>0</v>
      </c>
      <c r="JG26" s="675">
        <v>0</v>
      </c>
      <c r="JH26" s="675">
        <v>0</v>
      </c>
      <c r="JI26" s="675">
        <v>0</v>
      </c>
      <c r="JJ26" s="675">
        <v>0</v>
      </c>
      <c r="JK26" s="675">
        <v>0</v>
      </c>
      <c r="JL26" s="675">
        <v>0</v>
      </c>
      <c r="JM26" s="675">
        <v>0</v>
      </c>
      <c r="JN26" s="675">
        <v>32469</v>
      </c>
      <c r="JO26" s="675">
        <v>2.6110000000000002</v>
      </c>
      <c r="JP26" s="675">
        <v>67.95</v>
      </c>
      <c r="JQ26" s="675">
        <v>20.723000000000003</v>
      </c>
      <c r="JR26" s="675">
        <v>20860</v>
      </c>
      <c r="JS26" s="675">
        <v>631707</v>
      </c>
      <c r="JT26" s="675">
        <v>221251</v>
      </c>
      <c r="JU26" s="675">
        <v>0</v>
      </c>
      <c r="JV26" s="675">
        <v>0</v>
      </c>
      <c r="JW26" s="675">
        <v>0</v>
      </c>
      <c r="JX26" s="675">
        <v>0</v>
      </c>
      <c r="JY26" s="675">
        <v>0</v>
      </c>
      <c r="JZ26" s="675">
        <v>0</v>
      </c>
      <c r="KA26" s="675">
        <v>0</v>
      </c>
      <c r="KB26" s="675">
        <v>0</v>
      </c>
      <c r="KC26" s="675">
        <v>0</v>
      </c>
      <c r="KD26" s="675">
        <v>0</v>
      </c>
      <c r="KE26" s="675">
        <v>7263</v>
      </c>
      <c r="KF26" s="675">
        <v>0</v>
      </c>
      <c r="KG26" s="675">
        <v>0</v>
      </c>
      <c r="KH26" s="675">
        <v>0</v>
      </c>
      <c r="KI26" s="675">
        <v>0</v>
      </c>
    </row>
    <row r="27" spans="1:295" ht="12.5" x14ac:dyDescent="0.25">
      <c r="A27" s="675">
        <v>35795</v>
      </c>
      <c r="B27" s="675">
        <v>226801</v>
      </c>
      <c r="C27" s="675">
        <v>7</v>
      </c>
      <c r="D27" s="675">
        <v>2022</v>
      </c>
      <c r="E27" s="675">
        <v>6160</v>
      </c>
      <c r="F27" s="675">
        <v>0</v>
      </c>
      <c r="G27" s="675">
        <v>3295.808</v>
      </c>
      <c r="H27" s="675">
        <v>3135.076</v>
      </c>
      <c r="I27" s="675">
        <v>3135.076</v>
      </c>
      <c r="J27" s="675">
        <v>3295.808</v>
      </c>
      <c r="K27" s="675">
        <v>0</v>
      </c>
      <c r="L27" s="675">
        <v>6160</v>
      </c>
      <c r="M27" s="675">
        <v>0</v>
      </c>
      <c r="N27" s="675">
        <v>0</v>
      </c>
      <c r="O27" s="675">
        <v>0</v>
      </c>
      <c r="P27" s="675">
        <v>2703.2809999999999</v>
      </c>
      <c r="Q27" s="675">
        <v>0</v>
      </c>
      <c r="R27" s="675">
        <v>1087876</v>
      </c>
      <c r="S27" s="675">
        <v>402.428</v>
      </c>
      <c r="T27" s="675">
        <v>0</v>
      </c>
      <c r="U27" s="675">
        <v>578506</v>
      </c>
      <c r="V27" s="675">
        <v>87.503</v>
      </c>
      <c r="W27" s="675">
        <v>53902</v>
      </c>
      <c r="X27" s="675">
        <v>53902</v>
      </c>
      <c r="Y27" s="675">
        <v>0</v>
      </c>
      <c r="Z27" s="675">
        <v>0</v>
      </c>
      <c r="AA27" s="675">
        <v>0</v>
      </c>
      <c r="AB27" s="675">
        <v>0</v>
      </c>
      <c r="AC27" s="675">
        <v>0</v>
      </c>
      <c r="AD27" s="675" t="s">
        <v>316</v>
      </c>
      <c r="AE27" s="675">
        <v>0</v>
      </c>
      <c r="AF27" s="675">
        <v>0</v>
      </c>
      <c r="AG27" s="675">
        <v>0</v>
      </c>
      <c r="AH27" s="675">
        <v>0</v>
      </c>
      <c r="AI27" s="675">
        <v>0</v>
      </c>
      <c r="AJ27" s="675">
        <v>6160</v>
      </c>
      <c r="AK27" s="675" t="s">
        <v>671</v>
      </c>
      <c r="AL27" s="675" t="s">
        <v>659</v>
      </c>
      <c r="AM27" s="675">
        <v>0</v>
      </c>
      <c r="AN27" s="675">
        <v>0</v>
      </c>
      <c r="AO27" s="675">
        <v>0</v>
      </c>
      <c r="AP27" s="675">
        <v>0</v>
      </c>
      <c r="AQ27" s="675">
        <v>0</v>
      </c>
      <c r="AR27" s="675">
        <v>0</v>
      </c>
      <c r="AS27" s="675">
        <v>0</v>
      </c>
      <c r="AT27" s="675">
        <v>0</v>
      </c>
      <c r="AU27" s="675">
        <v>0</v>
      </c>
      <c r="AV27" s="675">
        <v>0</v>
      </c>
      <c r="AW27" s="675">
        <v>32086263</v>
      </c>
      <c r="AX27" s="675">
        <v>31511486</v>
      </c>
      <c r="AY27" s="675">
        <v>20888241</v>
      </c>
      <c r="AZ27" s="675">
        <v>1087876</v>
      </c>
      <c r="BA27" s="675">
        <v>0</v>
      </c>
      <c r="BB27" s="675">
        <v>0</v>
      </c>
      <c r="BC27" s="675">
        <v>0</v>
      </c>
      <c r="BD27" s="675">
        <v>0</v>
      </c>
      <c r="BE27" s="675">
        <v>0</v>
      </c>
      <c r="BF27" s="675">
        <v>28974110</v>
      </c>
      <c r="BG27" s="675">
        <v>0</v>
      </c>
      <c r="BH27" s="675">
        <v>0</v>
      </c>
      <c r="BI27" s="675">
        <v>0</v>
      </c>
      <c r="BJ27" s="675">
        <v>12</v>
      </c>
      <c r="BK27" s="675">
        <v>0</v>
      </c>
      <c r="BL27" s="675">
        <v>0</v>
      </c>
      <c r="BM27" s="675">
        <v>0</v>
      </c>
      <c r="BN27" s="675">
        <v>0</v>
      </c>
      <c r="BO27" s="675">
        <v>0</v>
      </c>
      <c r="BP27" s="675">
        <v>0</v>
      </c>
      <c r="BQ27" s="675">
        <v>287</v>
      </c>
      <c r="BR27" s="675">
        <v>0</v>
      </c>
      <c r="BS27" s="675">
        <v>0</v>
      </c>
      <c r="BT27" s="675">
        <v>0</v>
      </c>
      <c r="BU27" s="675">
        <v>0</v>
      </c>
      <c r="BV27" s="675">
        <v>0</v>
      </c>
      <c r="BW27" s="675">
        <v>0</v>
      </c>
      <c r="BX27" s="675">
        <v>0</v>
      </c>
      <c r="BY27" s="675">
        <v>0</v>
      </c>
      <c r="BZ27" s="675">
        <v>0</v>
      </c>
      <c r="CA27" s="675">
        <v>0</v>
      </c>
      <c r="CB27" s="675">
        <v>0</v>
      </c>
      <c r="CC27" s="675">
        <v>0</v>
      </c>
      <c r="CD27" s="675">
        <v>0</v>
      </c>
      <c r="CE27" s="675">
        <v>0</v>
      </c>
      <c r="CF27" s="675">
        <v>0</v>
      </c>
      <c r="CG27" s="675">
        <v>0</v>
      </c>
      <c r="CH27" s="675">
        <v>581893</v>
      </c>
      <c r="CI27" s="675">
        <v>0</v>
      </c>
      <c r="CJ27" s="675">
        <v>4</v>
      </c>
      <c r="CK27" s="675">
        <v>0</v>
      </c>
      <c r="CL27" s="675">
        <v>0</v>
      </c>
      <c r="CM27" s="675">
        <v>0</v>
      </c>
      <c r="CN27" s="675">
        <v>0</v>
      </c>
      <c r="CO27" s="675">
        <v>1</v>
      </c>
      <c r="CP27" s="675">
        <v>0</v>
      </c>
      <c r="CQ27" s="675">
        <v>0</v>
      </c>
      <c r="CR27" s="675">
        <v>2680.866</v>
      </c>
      <c r="CS27" s="675">
        <v>0</v>
      </c>
      <c r="CT27" s="675">
        <v>0</v>
      </c>
      <c r="CU27" s="675">
        <v>0</v>
      </c>
      <c r="CV27" s="675">
        <v>0</v>
      </c>
      <c r="CW27" s="675">
        <v>0</v>
      </c>
      <c r="CX27" s="675">
        <v>0</v>
      </c>
      <c r="CY27" s="675">
        <v>0</v>
      </c>
      <c r="CZ27" s="675">
        <v>0</v>
      </c>
      <c r="DA27" s="675">
        <v>0</v>
      </c>
      <c r="DB27" s="675">
        <v>19311979</v>
      </c>
      <c r="DC27" s="675">
        <v>0</v>
      </c>
      <c r="DD27" s="675">
        <v>0</v>
      </c>
      <c r="DE27" s="675">
        <v>2840979</v>
      </c>
      <c r="DF27" s="675">
        <v>2840979</v>
      </c>
      <c r="DG27" s="675">
        <v>461.2</v>
      </c>
      <c r="DH27" s="675">
        <v>0</v>
      </c>
      <c r="DI27" s="675">
        <v>0</v>
      </c>
      <c r="DJ27" s="675">
        <v>0</v>
      </c>
      <c r="DK27" s="675">
        <v>0</v>
      </c>
      <c r="DL27" s="675">
        <v>0</v>
      </c>
      <c r="DM27" s="675">
        <v>1891521</v>
      </c>
      <c r="DN27" s="675">
        <v>7116</v>
      </c>
      <c r="DO27" s="675">
        <v>0</v>
      </c>
      <c r="DP27" s="675">
        <v>0</v>
      </c>
      <c r="DQ27" s="675">
        <v>0</v>
      </c>
      <c r="DR27" s="675">
        <v>0</v>
      </c>
      <c r="DS27" s="675">
        <v>0</v>
      </c>
      <c r="DT27" s="675">
        <v>0</v>
      </c>
      <c r="DU27" s="675">
        <v>0</v>
      </c>
      <c r="DV27" s="675">
        <v>0</v>
      </c>
      <c r="DW27" s="675">
        <v>0</v>
      </c>
      <c r="DX27" s="675">
        <v>0</v>
      </c>
      <c r="DY27" s="675">
        <v>0</v>
      </c>
      <c r="DZ27" s="675">
        <v>0</v>
      </c>
      <c r="EA27" s="675">
        <v>0</v>
      </c>
      <c r="EB27" s="675">
        <v>0</v>
      </c>
      <c r="EC27" s="675">
        <v>85.372</v>
      </c>
      <c r="ED27" s="675">
        <v>604772</v>
      </c>
      <c r="EE27" s="675">
        <v>0</v>
      </c>
      <c r="EF27" s="675">
        <v>0</v>
      </c>
      <c r="EG27" s="675">
        <v>0</v>
      </c>
      <c r="EH27" s="675">
        <v>1196685</v>
      </c>
      <c r="EI27" s="675">
        <v>97180</v>
      </c>
      <c r="EJ27" s="675">
        <v>3.9440000000000004</v>
      </c>
      <c r="EK27" s="675">
        <v>48.782000000000004</v>
      </c>
      <c r="EL27" s="675">
        <v>0</v>
      </c>
      <c r="EM27" s="675">
        <v>8.5540000000000003</v>
      </c>
      <c r="EN27" s="675">
        <v>4.452</v>
      </c>
      <c r="EO27" s="675">
        <v>0</v>
      </c>
      <c r="EP27" s="675">
        <v>0</v>
      </c>
      <c r="EQ27" s="675">
        <v>65.731999999999999</v>
      </c>
      <c r="ER27" s="675">
        <v>0</v>
      </c>
      <c r="ES27" s="675">
        <v>194.268</v>
      </c>
      <c r="ET27" s="675">
        <v>0</v>
      </c>
      <c r="EU27" s="675">
        <v>0</v>
      </c>
      <c r="EV27" s="675">
        <v>0</v>
      </c>
      <c r="EW27" s="675">
        <v>0</v>
      </c>
      <c r="EX27" s="675">
        <v>0</v>
      </c>
      <c r="EY27" s="675">
        <v>0</v>
      </c>
      <c r="EZ27" s="675">
        <v>27954654</v>
      </c>
      <c r="FA27" s="675">
        <v>0</v>
      </c>
      <c r="FB27" s="675">
        <v>29035414</v>
      </c>
      <c r="FC27" s="675">
        <v>0</v>
      </c>
      <c r="FD27" s="675">
        <v>0</v>
      </c>
      <c r="FE27" s="675">
        <v>2947260</v>
      </c>
      <c r="FF27" s="675">
        <v>609572</v>
      </c>
      <c r="FG27" s="675">
        <v>6.3574999999999993E-2</v>
      </c>
      <c r="FH27" s="675">
        <v>2.6297999999999998E-2</v>
      </c>
      <c r="FI27" s="675">
        <v>0</v>
      </c>
      <c r="FJ27" s="675">
        <v>0</v>
      </c>
      <c r="FK27" s="675">
        <v>4703.6109999999999</v>
      </c>
      <c r="FL27" s="675">
        <v>33174139</v>
      </c>
      <c r="FM27" s="675">
        <v>0</v>
      </c>
      <c r="FN27" s="675">
        <v>0</v>
      </c>
      <c r="FO27" s="675">
        <v>58275</v>
      </c>
      <c r="FP27" s="675">
        <v>0</v>
      </c>
      <c r="FQ27" s="675">
        <v>58275</v>
      </c>
      <c r="FR27" s="675">
        <v>58275</v>
      </c>
      <c r="FS27" s="675">
        <v>0</v>
      </c>
      <c r="FT27" s="675">
        <v>0</v>
      </c>
      <c r="FU27" s="675">
        <v>0</v>
      </c>
      <c r="FV27" s="675">
        <v>0</v>
      </c>
      <c r="FW27" s="675">
        <v>0</v>
      </c>
      <c r="FX27" s="675">
        <v>0</v>
      </c>
      <c r="FY27" s="675">
        <v>0</v>
      </c>
      <c r="FZ27" s="675">
        <v>0</v>
      </c>
      <c r="GA27" s="675">
        <v>0</v>
      </c>
      <c r="GB27" s="675">
        <v>890571</v>
      </c>
      <c r="GC27" s="675">
        <v>890571</v>
      </c>
      <c r="GD27" s="675">
        <v>95</v>
      </c>
      <c r="GE27" s="675">
        <v>0</v>
      </c>
      <c r="GF27" s="675">
        <v>0</v>
      </c>
      <c r="GG27" s="675">
        <v>0</v>
      </c>
      <c r="GH27" s="675">
        <v>0</v>
      </c>
      <c r="GI27" s="675">
        <v>0</v>
      </c>
      <c r="GJ27" s="675">
        <v>0</v>
      </c>
      <c r="GK27" s="675">
        <v>0</v>
      </c>
      <c r="GL27" s="675">
        <v>0</v>
      </c>
      <c r="GM27" s="675">
        <v>0</v>
      </c>
      <c r="GN27" s="675">
        <v>0</v>
      </c>
      <c r="GO27" s="675">
        <v>0</v>
      </c>
      <c r="GP27" s="675">
        <v>0</v>
      </c>
      <c r="GQ27" s="675">
        <v>0</v>
      </c>
      <c r="GR27" s="675">
        <v>0</v>
      </c>
      <c r="GS27" s="675">
        <v>0</v>
      </c>
      <c r="GT27" s="675">
        <v>0</v>
      </c>
      <c r="GU27" s="675">
        <v>0</v>
      </c>
      <c r="GV27" s="675">
        <v>0</v>
      </c>
      <c r="GW27" s="675">
        <v>0</v>
      </c>
      <c r="GX27" s="675">
        <v>0</v>
      </c>
      <c r="GY27" s="675">
        <v>0</v>
      </c>
      <c r="GZ27" s="675">
        <v>0</v>
      </c>
      <c r="HA27" s="675">
        <v>0</v>
      </c>
      <c r="HB27" s="675">
        <v>308877260</v>
      </c>
      <c r="HC27" s="675">
        <v>4.4138999999999998E-2</v>
      </c>
      <c r="HD27" s="675">
        <v>581893</v>
      </c>
      <c r="HE27" s="675">
        <v>0</v>
      </c>
      <c r="HF27" s="675">
        <v>3457989</v>
      </c>
      <c r="HG27" s="675">
        <v>89320</v>
      </c>
      <c r="HH27" s="675">
        <v>395698</v>
      </c>
      <c r="HI27" s="675">
        <v>0</v>
      </c>
      <c r="HJ27" s="675">
        <v>32035</v>
      </c>
      <c r="HK27" s="675">
        <v>6822</v>
      </c>
      <c r="HL27" s="675">
        <v>824</v>
      </c>
      <c r="HM27" s="675">
        <v>3000</v>
      </c>
      <c r="HN27" s="675">
        <v>0</v>
      </c>
      <c r="HO27" s="675">
        <v>0</v>
      </c>
      <c r="HP27" s="675">
        <v>0</v>
      </c>
      <c r="HQ27" s="675">
        <v>0</v>
      </c>
      <c r="HR27" s="675">
        <v>0</v>
      </c>
      <c r="HS27" s="675">
        <v>27947538</v>
      </c>
      <c r="HT27" s="675">
        <v>609572</v>
      </c>
      <c r="HU27" s="675">
        <v>0</v>
      </c>
      <c r="HV27" s="675">
        <v>0</v>
      </c>
      <c r="HW27" s="675">
        <v>0</v>
      </c>
      <c r="HX27" s="675">
        <v>416</v>
      </c>
      <c r="HY27" s="675">
        <v>392</v>
      </c>
      <c r="HZ27" s="675">
        <v>370</v>
      </c>
      <c r="IA27" s="675">
        <v>422</v>
      </c>
      <c r="IB27" s="675">
        <v>259</v>
      </c>
      <c r="IC27" s="675">
        <v>1859</v>
      </c>
      <c r="ID27" s="675">
        <v>0</v>
      </c>
      <c r="IE27" s="675">
        <v>0</v>
      </c>
      <c r="IF27" s="675">
        <v>0</v>
      </c>
      <c r="IG27" s="675">
        <v>145</v>
      </c>
      <c r="IH27" s="675">
        <v>642.37</v>
      </c>
      <c r="II27" s="675">
        <v>0</v>
      </c>
      <c r="IJ27" s="675">
        <v>87.503</v>
      </c>
      <c r="IK27" s="675">
        <v>9.0860000000000003</v>
      </c>
      <c r="IL27" s="675">
        <v>0</v>
      </c>
      <c r="IM27" s="675">
        <v>1</v>
      </c>
      <c r="IN27" s="675">
        <v>0</v>
      </c>
      <c r="IO27" s="675">
        <v>1</v>
      </c>
      <c r="IP27" s="675">
        <v>9.0860000000000003</v>
      </c>
      <c r="IQ27" s="675">
        <v>87.503</v>
      </c>
      <c r="IR27" s="675">
        <v>53902</v>
      </c>
      <c r="IS27" s="675">
        <v>2499</v>
      </c>
      <c r="IT27" s="675">
        <v>0</v>
      </c>
      <c r="IU27" s="675">
        <v>3000</v>
      </c>
      <c r="IV27" s="675">
        <v>0</v>
      </c>
      <c r="IW27" s="675">
        <v>6160</v>
      </c>
      <c r="IX27" s="675">
        <v>0</v>
      </c>
      <c r="IY27" s="675">
        <v>0</v>
      </c>
      <c r="IZ27" s="675">
        <v>2499</v>
      </c>
      <c r="JA27" s="675">
        <v>0</v>
      </c>
      <c r="JB27" s="675">
        <v>0</v>
      </c>
      <c r="JC27" s="675">
        <v>0</v>
      </c>
      <c r="JD27" s="675">
        <v>0</v>
      </c>
      <c r="JE27" s="675">
        <v>0</v>
      </c>
      <c r="JF27" s="675">
        <v>0</v>
      </c>
      <c r="JG27" s="675">
        <v>0</v>
      </c>
      <c r="JH27" s="675">
        <v>0</v>
      </c>
      <c r="JI27" s="675">
        <v>0</v>
      </c>
      <c r="JJ27" s="675">
        <v>0</v>
      </c>
      <c r="JK27" s="675">
        <v>0</v>
      </c>
      <c r="JL27" s="675">
        <v>0</v>
      </c>
      <c r="JM27" s="675">
        <v>0</v>
      </c>
      <c r="JN27" s="675">
        <v>32469</v>
      </c>
      <c r="JO27" s="675">
        <v>15.917000000000002</v>
      </c>
      <c r="JP27" s="675">
        <v>58.649000000000001</v>
      </c>
      <c r="JQ27" s="675">
        <v>20.434000000000001</v>
      </c>
      <c r="JR27" s="675">
        <v>127166</v>
      </c>
      <c r="JS27" s="675">
        <v>545239</v>
      </c>
      <c r="JT27" s="675">
        <v>218166</v>
      </c>
      <c r="JU27" s="675">
        <v>0</v>
      </c>
      <c r="JV27" s="675">
        <v>0</v>
      </c>
      <c r="JW27" s="675">
        <v>0</v>
      </c>
      <c r="JX27" s="675">
        <v>0</v>
      </c>
      <c r="JY27" s="675">
        <v>0</v>
      </c>
      <c r="JZ27" s="675">
        <v>0</v>
      </c>
      <c r="KA27" s="675">
        <v>0</v>
      </c>
      <c r="KB27" s="675">
        <v>0</v>
      </c>
      <c r="KC27" s="675">
        <v>0</v>
      </c>
      <c r="KD27" s="675">
        <v>0</v>
      </c>
      <c r="KE27" s="675">
        <v>7263</v>
      </c>
      <c r="KF27" s="675">
        <v>0</v>
      </c>
      <c r="KG27" s="675">
        <v>0</v>
      </c>
      <c r="KH27" s="675">
        <v>0</v>
      </c>
      <c r="KI27" s="675">
        <v>0</v>
      </c>
    </row>
    <row r="28" spans="1:295" ht="12.5" x14ac:dyDescent="0.25">
      <c r="A28" s="675">
        <v>35795</v>
      </c>
      <c r="B28" s="675">
        <v>234801</v>
      </c>
      <c r="C28" s="675">
        <v>7</v>
      </c>
      <c r="D28" s="675">
        <v>2022</v>
      </c>
      <c r="E28" s="675">
        <v>6160</v>
      </c>
      <c r="F28" s="675">
        <v>0</v>
      </c>
      <c r="G28" s="675">
        <v>62.971000000000004</v>
      </c>
      <c r="H28" s="675">
        <v>45.95</v>
      </c>
      <c r="I28" s="675">
        <v>45.95</v>
      </c>
      <c r="J28" s="675">
        <v>62.971000000000004</v>
      </c>
      <c r="K28" s="675">
        <v>0</v>
      </c>
      <c r="L28" s="675">
        <v>6160</v>
      </c>
      <c r="M28" s="675">
        <v>0</v>
      </c>
      <c r="N28" s="675">
        <v>0</v>
      </c>
      <c r="O28" s="675">
        <v>0</v>
      </c>
      <c r="P28" s="675">
        <v>51.572000000000003</v>
      </c>
      <c r="Q28" s="675">
        <v>0</v>
      </c>
      <c r="R28" s="675">
        <v>20754</v>
      </c>
      <c r="S28" s="675">
        <v>402.428</v>
      </c>
      <c r="T28" s="675">
        <v>0</v>
      </c>
      <c r="U28" s="675">
        <v>11037</v>
      </c>
      <c r="V28" s="675">
        <v>0</v>
      </c>
      <c r="W28" s="675">
        <v>0</v>
      </c>
      <c r="X28" s="675">
        <v>0</v>
      </c>
      <c r="Y28" s="675">
        <v>0</v>
      </c>
      <c r="Z28" s="675">
        <v>0</v>
      </c>
      <c r="AA28" s="675">
        <v>0</v>
      </c>
      <c r="AB28" s="675">
        <v>0</v>
      </c>
      <c r="AC28" s="675">
        <v>0</v>
      </c>
      <c r="AD28" s="675" t="s">
        <v>316</v>
      </c>
      <c r="AE28" s="675">
        <v>0</v>
      </c>
      <c r="AF28" s="675">
        <v>0</v>
      </c>
      <c r="AG28" s="675">
        <v>0</v>
      </c>
      <c r="AH28" s="675">
        <v>0</v>
      </c>
      <c r="AI28" s="675">
        <v>0</v>
      </c>
      <c r="AJ28" s="675">
        <v>6160</v>
      </c>
      <c r="AK28" s="675" t="s">
        <v>671</v>
      </c>
      <c r="AL28" s="675" t="s">
        <v>82</v>
      </c>
      <c r="AM28" s="675">
        <v>0</v>
      </c>
      <c r="AN28" s="675">
        <v>0</v>
      </c>
      <c r="AO28" s="675">
        <v>0</v>
      </c>
      <c r="AP28" s="675">
        <v>0</v>
      </c>
      <c r="AQ28" s="675">
        <v>0</v>
      </c>
      <c r="AR28" s="675">
        <v>0</v>
      </c>
      <c r="AS28" s="675">
        <v>0</v>
      </c>
      <c r="AT28" s="675">
        <v>0</v>
      </c>
      <c r="AU28" s="675">
        <v>0</v>
      </c>
      <c r="AV28" s="675">
        <v>-92396</v>
      </c>
      <c r="AW28" s="675">
        <v>1006379</v>
      </c>
      <c r="AX28" s="675">
        <v>996904</v>
      </c>
      <c r="AY28" s="675">
        <v>521176</v>
      </c>
      <c r="AZ28" s="675">
        <v>20754</v>
      </c>
      <c r="BA28" s="675">
        <v>0</v>
      </c>
      <c r="BB28" s="675">
        <v>0</v>
      </c>
      <c r="BC28" s="675">
        <v>0</v>
      </c>
      <c r="BD28" s="675">
        <v>0</v>
      </c>
      <c r="BE28" s="675">
        <v>0</v>
      </c>
      <c r="BF28" s="675">
        <v>886003</v>
      </c>
      <c r="BG28" s="675">
        <v>0</v>
      </c>
      <c r="BH28" s="675">
        <v>0</v>
      </c>
      <c r="BI28" s="675">
        <v>0</v>
      </c>
      <c r="BJ28" s="675">
        <v>12</v>
      </c>
      <c r="BK28" s="675">
        <v>0</v>
      </c>
      <c r="BL28" s="675">
        <v>0</v>
      </c>
      <c r="BM28" s="675">
        <v>0</v>
      </c>
      <c r="BN28" s="675">
        <v>0</v>
      </c>
      <c r="BO28" s="675">
        <v>0</v>
      </c>
      <c r="BP28" s="675">
        <v>0</v>
      </c>
      <c r="BQ28" s="675">
        <v>763</v>
      </c>
      <c r="BR28" s="675">
        <v>0</v>
      </c>
      <c r="BS28" s="675">
        <v>0</v>
      </c>
      <c r="BT28" s="675">
        <v>0</v>
      </c>
      <c r="BU28" s="675">
        <v>0</v>
      </c>
      <c r="BV28" s="675">
        <v>0</v>
      </c>
      <c r="BW28" s="675">
        <v>0</v>
      </c>
      <c r="BX28" s="675">
        <v>0</v>
      </c>
      <c r="BY28" s="675">
        <v>0</v>
      </c>
      <c r="BZ28" s="675">
        <v>0</v>
      </c>
      <c r="CA28" s="675">
        <v>0</v>
      </c>
      <c r="CB28" s="675">
        <v>0</v>
      </c>
      <c r="CC28" s="675">
        <v>0</v>
      </c>
      <c r="CD28" s="675">
        <v>0</v>
      </c>
      <c r="CE28" s="675">
        <v>0</v>
      </c>
      <c r="CF28" s="675">
        <v>0</v>
      </c>
      <c r="CG28" s="675">
        <v>0</v>
      </c>
      <c r="CH28" s="675">
        <v>11118</v>
      </c>
      <c r="CI28" s="675">
        <v>0</v>
      </c>
      <c r="CJ28" s="675">
        <v>5</v>
      </c>
      <c r="CK28" s="675">
        <v>0</v>
      </c>
      <c r="CL28" s="675">
        <v>0</v>
      </c>
      <c r="CM28" s="675">
        <v>0</v>
      </c>
      <c r="CN28" s="675">
        <v>0</v>
      </c>
      <c r="CO28" s="675">
        <v>1</v>
      </c>
      <c r="CP28" s="675">
        <v>6.6000000000000003E-2</v>
      </c>
      <c r="CQ28" s="675">
        <v>0</v>
      </c>
      <c r="CR28" s="675">
        <v>57.28</v>
      </c>
      <c r="CS28" s="675">
        <v>0</v>
      </c>
      <c r="CT28" s="675">
        <v>0</v>
      </c>
      <c r="CU28" s="675">
        <v>0</v>
      </c>
      <c r="CV28" s="675">
        <v>0</v>
      </c>
      <c r="CW28" s="675">
        <v>0</v>
      </c>
      <c r="CX28" s="675">
        <v>0</v>
      </c>
      <c r="CY28" s="675">
        <v>0</v>
      </c>
      <c r="CZ28" s="675">
        <v>0</v>
      </c>
      <c r="DA28" s="675">
        <v>0</v>
      </c>
      <c r="DB28" s="675">
        <v>283051</v>
      </c>
      <c r="DC28" s="675">
        <v>0</v>
      </c>
      <c r="DD28" s="675">
        <v>0</v>
      </c>
      <c r="DE28" s="675">
        <v>100177</v>
      </c>
      <c r="DF28" s="675">
        <v>104853</v>
      </c>
      <c r="DG28" s="675">
        <v>16.263000000000002</v>
      </c>
      <c r="DH28" s="675">
        <v>0</v>
      </c>
      <c r="DI28" s="675">
        <v>980</v>
      </c>
      <c r="DJ28" s="675">
        <v>0</v>
      </c>
      <c r="DK28" s="675">
        <v>3829</v>
      </c>
      <c r="DL28" s="675">
        <v>0</v>
      </c>
      <c r="DM28" s="675">
        <v>436618</v>
      </c>
      <c r="DN28" s="675">
        <v>1642</v>
      </c>
      <c r="DO28" s="675">
        <v>0</v>
      </c>
      <c r="DP28" s="675">
        <v>0</v>
      </c>
      <c r="DQ28" s="675">
        <v>0</v>
      </c>
      <c r="DR28" s="675">
        <v>0</v>
      </c>
      <c r="DS28" s="675">
        <v>0</v>
      </c>
      <c r="DT28" s="675">
        <v>0</v>
      </c>
      <c r="DU28" s="675">
        <v>0</v>
      </c>
      <c r="DV28" s="675">
        <v>0</v>
      </c>
      <c r="DW28" s="675">
        <v>0</v>
      </c>
      <c r="DX28" s="675">
        <v>0</v>
      </c>
      <c r="DY28" s="675">
        <v>0</v>
      </c>
      <c r="DZ28" s="675">
        <v>0</v>
      </c>
      <c r="EA28" s="675">
        <v>0</v>
      </c>
      <c r="EB28" s="675">
        <v>0</v>
      </c>
      <c r="EC28" s="675">
        <v>5.4690000000000003</v>
      </c>
      <c r="ED28" s="675">
        <v>38742</v>
      </c>
      <c r="EE28" s="675">
        <v>0</v>
      </c>
      <c r="EF28" s="675">
        <v>0</v>
      </c>
      <c r="EG28" s="675">
        <v>0</v>
      </c>
      <c r="EH28" s="675">
        <v>59635</v>
      </c>
      <c r="EI28" s="675">
        <v>339883</v>
      </c>
      <c r="EJ28" s="675">
        <v>13.794</v>
      </c>
      <c r="EK28" s="675">
        <v>3.2270000000000003</v>
      </c>
      <c r="EL28" s="675">
        <v>0</v>
      </c>
      <c r="EM28" s="675">
        <v>0</v>
      </c>
      <c r="EN28" s="675">
        <v>0</v>
      </c>
      <c r="EO28" s="675">
        <v>0</v>
      </c>
      <c r="EP28" s="675">
        <v>0</v>
      </c>
      <c r="EQ28" s="675">
        <v>17.021000000000001</v>
      </c>
      <c r="ER28" s="675">
        <v>0</v>
      </c>
      <c r="ES28" s="675">
        <v>9.6810000000000009</v>
      </c>
      <c r="ET28" s="675">
        <v>0</v>
      </c>
      <c r="EU28" s="675">
        <v>0</v>
      </c>
      <c r="EV28" s="675">
        <v>0</v>
      </c>
      <c r="EW28" s="675">
        <v>0</v>
      </c>
      <c r="EX28" s="675">
        <v>0</v>
      </c>
      <c r="EY28" s="675">
        <v>0</v>
      </c>
      <c r="EZ28" s="675">
        <v>888140</v>
      </c>
      <c r="FA28" s="675">
        <v>0</v>
      </c>
      <c r="FB28" s="675">
        <v>907251</v>
      </c>
      <c r="FC28" s="675">
        <v>0</v>
      </c>
      <c r="FD28" s="675">
        <v>0</v>
      </c>
      <c r="FE28" s="675">
        <v>90124</v>
      </c>
      <c r="FF28" s="675">
        <v>18640</v>
      </c>
      <c r="FG28" s="675">
        <v>6.3574999999999993E-2</v>
      </c>
      <c r="FH28" s="675">
        <v>2.6297999999999998E-2</v>
      </c>
      <c r="FI28" s="675">
        <v>0</v>
      </c>
      <c r="FJ28" s="675">
        <v>0</v>
      </c>
      <c r="FK28" s="675">
        <v>143.83199999999999</v>
      </c>
      <c r="FL28" s="675">
        <v>1027133</v>
      </c>
      <c r="FM28" s="675">
        <v>0</v>
      </c>
      <c r="FN28" s="675">
        <v>0</v>
      </c>
      <c r="FO28" s="675">
        <v>0</v>
      </c>
      <c r="FP28" s="675">
        <v>0</v>
      </c>
      <c r="FQ28" s="675">
        <v>0</v>
      </c>
      <c r="FR28" s="675">
        <v>0</v>
      </c>
      <c r="FS28" s="675">
        <v>0</v>
      </c>
      <c r="FT28" s="675">
        <v>0</v>
      </c>
      <c r="FU28" s="675">
        <v>0</v>
      </c>
      <c r="FV28" s="675">
        <v>0</v>
      </c>
      <c r="FW28" s="675">
        <v>0</v>
      </c>
      <c r="FX28" s="675">
        <v>0</v>
      </c>
      <c r="FY28" s="675">
        <v>0</v>
      </c>
      <c r="FZ28" s="675">
        <v>0</v>
      </c>
      <c r="GA28" s="675">
        <v>0</v>
      </c>
      <c r="GB28" s="675">
        <v>0</v>
      </c>
      <c r="GC28" s="675">
        <v>0</v>
      </c>
      <c r="GD28" s="675">
        <v>0</v>
      </c>
      <c r="GE28" s="675">
        <v>0</v>
      </c>
      <c r="GF28" s="675">
        <v>0</v>
      </c>
      <c r="GG28" s="675">
        <v>0</v>
      </c>
      <c r="GH28" s="675">
        <v>0</v>
      </c>
      <c r="GI28" s="675">
        <v>0</v>
      </c>
      <c r="GJ28" s="675">
        <v>0</v>
      </c>
      <c r="GK28" s="675">
        <v>0</v>
      </c>
      <c r="GL28" s="675">
        <v>0</v>
      </c>
      <c r="GM28" s="675">
        <v>0</v>
      </c>
      <c r="GN28" s="675">
        <v>0</v>
      </c>
      <c r="GO28" s="675">
        <v>0</v>
      </c>
      <c r="GP28" s="675">
        <v>0</v>
      </c>
      <c r="GQ28" s="675">
        <v>0</v>
      </c>
      <c r="GR28" s="675">
        <v>0</v>
      </c>
      <c r="GS28" s="675">
        <v>0</v>
      </c>
      <c r="GT28" s="675">
        <v>0</v>
      </c>
      <c r="GU28" s="675">
        <v>0</v>
      </c>
      <c r="GV28" s="675">
        <v>0</v>
      </c>
      <c r="GW28" s="675">
        <v>0</v>
      </c>
      <c r="GX28" s="675">
        <v>0</v>
      </c>
      <c r="GY28" s="675">
        <v>0</v>
      </c>
      <c r="GZ28" s="675">
        <v>0</v>
      </c>
      <c r="HA28" s="675">
        <v>0</v>
      </c>
      <c r="HB28" s="675">
        <v>308877260</v>
      </c>
      <c r="HC28" s="675">
        <v>4.4138999999999998E-2</v>
      </c>
      <c r="HD28" s="675">
        <v>11118</v>
      </c>
      <c r="HE28" s="675">
        <v>0</v>
      </c>
      <c r="HF28" s="675">
        <v>50683</v>
      </c>
      <c r="HG28" s="675">
        <v>5544</v>
      </c>
      <c r="HH28" s="675">
        <v>0</v>
      </c>
      <c r="HI28" s="675">
        <v>0</v>
      </c>
      <c r="HJ28" s="675">
        <v>612</v>
      </c>
      <c r="HK28" s="675">
        <v>549</v>
      </c>
      <c r="HL28" s="675">
        <v>0</v>
      </c>
      <c r="HM28" s="675">
        <v>3000</v>
      </c>
      <c r="HN28" s="675">
        <v>0</v>
      </c>
      <c r="HO28" s="675">
        <v>0</v>
      </c>
      <c r="HP28" s="675">
        <v>16548</v>
      </c>
      <c r="HQ28" s="675">
        <v>0</v>
      </c>
      <c r="HR28" s="675">
        <v>0</v>
      </c>
      <c r="HS28" s="675">
        <v>886497</v>
      </c>
      <c r="HT28" s="675">
        <v>18640</v>
      </c>
      <c r="HU28" s="675">
        <v>0</v>
      </c>
      <c r="HV28" s="675">
        <v>0</v>
      </c>
      <c r="HW28" s="675">
        <v>0</v>
      </c>
      <c r="HX28" s="675">
        <v>10</v>
      </c>
      <c r="HY28" s="675">
        <v>17</v>
      </c>
      <c r="HZ28" s="675">
        <v>7</v>
      </c>
      <c r="IA28" s="675">
        <v>2</v>
      </c>
      <c r="IB28" s="675">
        <v>28</v>
      </c>
      <c r="IC28" s="675">
        <v>64</v>
      </c>
      <c r="ID28" s="675">
        <v>3</v>
      </c>
      <c r="IE28" s="675">
        <v>0</v>
      </c>
      <c r="IF28" s="675">
        <v>0</v>
      </c>
      <c r="IG28" s="675">
        <v>9</v>
      </c>
      <c r="IH28" s="675">
        <v>0</v>
      </c>
      <c r="II28" s="675">
        <v>60.175000000000004</v>
      </c>
      <c r="IJ28" s="675">
        <v>0</v>
      </c>
      <c r="IK28" s="675">
        <v>21.067</v>
      </c>
      <c r="IL28" s="675">
        <v>0</v>
      </c>
      <c r="IM28" s="675">
        <v>1</v>
      </c>
      <c r="IN28" s="675">
        <v>0</v>
      </c>
      <c r="IO28" s="675">
        <v>1</v>
      </c>
      <c r="IP28" s="675">
        <v>81.242000000000004</v>
      </c>
      <c r="IQ28" s="675">
        <v>0</v>
      </c>
      <c r="IR28" s="675">
        <v>0</v>
      </c>
      <c r="IS28" s="675">
        <v>5793</v>
      </c>
      <c r="IT28" s="675">
        <v>0</v>
      </c>
      <c r="IU28" s="675">
        <v>3000</v>
      </c>
      <c r="IV28" s="675">
        <v>0</v>
      </c>
      <c r="IW28" s="675">
        <v>6160</v>
      </c>
      <c r="IX28" s="675">
        <v>0</v>
      </c>
      <c r="IY28" s="675">
        <v>0</v>
      </c>
      <c r="IZ28" s="675">
        <v>22342</v>
      </c>
      <c r="JA28" s="675">
        <v>3696</v>
      </c>
      <c r="JB28" s="675">
        <v>0</v>
      </c>
      <c r="JC28" s="675">
        <v>0</v>
      </c>
      <c r="JD28" s="675">
        <v>0</v>
      </c>
      <c r="JE28" s="675">
        <v>0</v>
      </c>
      <c r="JF28" s="675">
        <v>0</v>
      </c>
      <c r="JG28" s="675">
        <v>0</v>
      </c>
      <c r="JH28" s="675">
        <v>0</v>
      </c>
      <c r="JI28" s="675">
        <v>0</v>
      </c>
      <c r="JJ28" s="675">
        <v>0</v>
      </c>
      <c r="JK28" s="675">
        <v>0</v>
      </c>
      <c r="JL28" s="675">
        <v>0</v>
      </c>
      <c r="JM28" s="675">
        <v>0</v>
      </c>
      <c r="JN28" s="675">
        <v>32469</v>
      </c>
      <c r="JO28" s="675">
        <v>0</v>
      </c>
      <c r="JP28" s="675">
        <v>0</v>
      </c>
      <c r="JQ28" s="675">
        <v>0</v>
      </c>
      <c r="JR28" s="675">
        <v>0</v>
      </c>
      <c r="JS28" s="675">
        <v>0</v>
      </c>
      <c r="JT28" s="675">
        <v>0</v>
      </c>
      <c r="JU28" s="675">
        <v>0</v>
      </c>
      <c r="JV28" s="675">
        <v>0</v>
      </c>
      <c r="JW28" s="675">
        <v>0</v>
      </c>
      <c r="JX28" s="675">
        <v>0</v>
      </c>
      <c r="JY28" s="675">
        <v>0</v>
      </c>
      <c r="JZ28" s="675">
        <v>0</v>
      </c>
      <c r="KA28" s="675">
        <v>0</v>
      </c>
      <c r="KB28" s="675">
        <v>0</v>
      </c>
      <c r="KC28" s="675">
        <v>0</v>
      </c>
      <c r="KD28" s="675">
        <v>0</v>
      </c>
      <c r="KE28" s="675">
        <v>7263</v>
      </c>
      <c r="KF28" s="675">
        <v>0</v>
      </c>
      <c r="KG28" s="675">
        <v>0</v>
      </c>
      <c r="KH28" s="675">
        <v>0</v>
      </c>
      <c r="KI28" s="675">
        <v>0</v>
      </c>
    </row>
    <row r="29" spans="1:295" ht="12.5" x14ac:dyDescent="0.25">
      <c r="A29" s="675">
        <v>35795</v>
      </c>
      <c r="B29" s="675">
        <v>236801</v>
      </c>
      <c r="C29" s="675">
        <v>7</v>
      </c>
      <c r="D29" s="675">
        <v>2022</v>
      </c>
      <c r="E29" s="675">
        <v>6160</v>
      </c>
      <c r="F29" s="675">
        <v>0</v>
      </c>
      <c r="G29" s="675">
        <v>28.831000000000003</v>
      </c>
      <c r="H29" s="675">
        <v>0.09</v>
      </c>
      <c r="I29" s="675">
        <v>0.09</v>
      </c>
      <c r="J29" s="675">
        <v>28.831000000000003</v>
      </c>
      <c r="K29" s="675">
        <v>0</v>
      </c>
      <c r="L29" s="675">
        <v>6160</v>
      </c>
      <c r="M29" s="675">
        <v>0</v>
      </c>
      <c r="N29" s="675">
        <v>0</v>
      </c>
      <c r="O29" s="675">
        <v>0</v>
      </c>
      <c r="P29" s="675">
        <v>50.160000000000004</v>
      </c>
      <c r="Q29" s="675">
        <v>0</v>
      </c>
      <c r="R29" s="675">
        <v>20186</v>
      </c>
      <c r="S29" s="675">
        <v>402.428</v>
      </c>
      <c r="T29" s="675">
        <v>0</v>
      </c>
      <c r="U29" s="675">
        <v>10736</v>
      </c>
      <c r="V29" s="675">
        <v>3.69</v>
      </c>
      <c r="W29" s="675">
        <v>2273</v>
      </c>
      <c r="X29" s="675">
        <v>2273</v>
      </c>
      <c r="Y29" s="675">
        <v>0</v>
      </c>
      <c r="Z29" s="675">
        <v>0</v>
      </c>
      <c r="AA29" s="675">
        <v>0</v>
      </c>
      <c r="AB29" s="675">
        <v>0</v>
      </c>
      <c r="AC29" s="675">
        <v>0</v>
      </c>
      <c r="AD29" s="675" t="s">
        <v>316</v>
      </c>
      <c r="AE29" s="675">
        <v>0</v>
      </c>
      <c r="AF29" s="675">
        <v>0</v>
      </c>
      <c r="AG29" s="675">
        <v>0</v>
      </c>
      <c r="AH29" s="675">
        <v>0</v>
      </c>
      <c r="AI29" s="675">
        <v>0</v>
      </c>
      <c r="AJ29" s="675">
        <v>6160</v>
      </c>
      <c r="AK29" s="675" t="s">
        <v>671</v>
      </c>
      <c r="AL29" s="675" t="s">
        <v>83</v>
      </c>
      <c r="AM29" s="675">
        <v>0</v>
      </c>
      <c r="AN29" s="675">
        <v>0</v>
      </c>
      <c r="AO29" s="675">
        <v>0</v>
      </c>
      <c r="AP29" s="675">
        <v>0</v>
      </c>
      <c r="AQ29" s="675">
        <v>0</v>
      </c>
      <c r="AR29" s="675">
        <v>0</v>
      </c>
      <c r="AS29" s="675">
        <v>0</v>
      </c>
      <c r="AT29" s="675">
        <v>0</v>
      </c>
      <c r="AU29" s="675">
        <v>0</v>
      </c>
      <c r="AV29" s="675">
        <v>-639561</v>
      </c>
      <c r="AW29" s="675">
        <v>763844</v>
      </c>
      <c r="AX29" s="675">
        <v>759854</v>
      </c>
      <c r="AY29" s="675">
        <v>136177</v>
      </c>
      <c r="AZ29" s="675">
        <v>20186</v>
      </c>
      <c r="BA29" s="675">
        <v>0</v>
      </c>
      <c r="BB29" s="675">
        <v>0</v>
      </c>
      <c r="BC29" s="675">
        <v>0</v>
      </c>
      <c r="BD29" s="675">
        <v>0</v>
      </c>
      <c r="BE29" s="675">
        <v>0</v>
      </c>
      <c r="BF29" s="675">
        <v>665424</v>
      </c>
      <c r="BG29" s="675">
        <v>0</v>
      </c>
      <c r="BH29" s="675">
        <v>0</v>
      </c>
      <c r="BI29" s="675">
        <v>0</v>
      </c>
      <c r="BJ29" s="675">
        <v>12</v>
      </c>
      <c r="BK29" s="675">
        <v>0</v>
      </c>
      <c r="BL29" s="675">
        <v>0</v>
      </c>
      <c r="BM29" s="675">
        <v>0</v>
      </c>
      <c r="BN29" s="675">
        <v>0</v>
      </c>
      <c r="BO29" s="675">
        <v>0</v>
      </c>
      <c r="BP29" s="675">
        <v>0</v>
      </c>
      <c r="BQ29" s="675">
        <v>770</v>
      </c>
      <c r="BR29" s="675">
        <v>0</v>
      </c>
      <c r="BS29" s="675">
        <v>0</v>
      </c>
      <c r="BT29" s="675">
        <v>0</v>
      </c>
      <c r="BU29" s="675">
        <v>0</v>
      </c>
      <c r="BV29" s="675">
        <v>0</v>
      </c>
      <c r="BW29" s="675">
        <v>0</v>
      </c>
      <c r="BX29" s="675">
        <v>0</v>
      </c>
      <c r="BY29" s="675">
        <v>0</v>
      </c>
      <c r="BZ29" s="675">
        <v>0</v>
      </c>
      <c r="CA29" s="675">
        <v>0</v>
      </c>
      <c r="CB29" s="675">
        <v>0</v>
      </c>
      <c r="CC29" s="675">
        <v>0</v>
      </c>
      <c r="CD29" s="675">
        <v>0</v>
      </c>
      <c r="CE29" s="675">
        <v>0</v>
      </c>
      <c r="CF29" s="675">
        <v>0</v>
      </c>
      <c r="CG29" s="675">
        <v>0</v>
      </c>
      <c r="CH29" s="675">
        <v>5090</v>
      </c>
      <c r="CI29" s="675">
        <v>0</v>
      </c>
      <c r="CJ29" s="675">
        <v>4</v>
      </c>
      <c r="CK29" s="675">
        <v>0</v>
      </c>
      <c r="CL29" s="675">
        <v>0</v>
      </c>
      <c r="CM29" s="675">
        <v>0</v>
      </c>
      <c r="CN29" s="675">
        <v>0</v>
      </c>
      <c r="CO29" s="675">
        <v>1</v>
      </c>
      <c r="CP29" s="675">
        <v>0</v>
      </c>
      <c r="CQ29" s="675">
        <v>0</v>
      </c>
      <c r="CR29" s="675">
        <v>1</v>
      </c>
      <c r="CS29" s="675">
        <v>0</v>
      </c>
      <c r="CT29" s="675">
        <v>0</v>
      </c>
      <c r="CU29" s="675">
        <v>0</v>
      </c>
      <c r="CV29" s="675">
        <v>0</v>
      </c>
      <c r="CW29" s="675">
        <v>0</v>
      </c>
      <c r="CX29" s="675">
        <v>0</v>
      </c>
      <c r="CY29" s="675">
        <v>0</v>
      </c>
      <c r="CZ29" s="675">
        <v>0</v>
      </c>
      <c r="DA29" s="675">
        <v>0</v>
      </c>
      <c r="DB29" s="675">
        <v>0</v>
      </c>
      <c r="DC29" s="675">
        <v>0</v>
      </c>
      <c r="DD29" s="675">
        <v>0</v>
      </c>
      <c r="DE29" s="675">
        <v>45199</v>
      </c>
      <c r="DF29" s="675">
        <v>45199</v>
      </c>
      <c r="DG29" s="675">
        <v>7.3380000000000001</v>
      </c>
      <c r="DH29" s="675">
        <v>0</v>
      </c>
      <c r="DI29" s="675">
        <v>0</v>
      </c>
      <c r="DJ29" s="675">
        <v>0</v>
      </c>
      <c r="DK29" s="675">
        <v>3942</v>
      </c>
      <c r="DL29" s="675">
        <v>0</v>
      </c>
      <c r="DM29" s="675">
        <v>429786</v>
      </c>
      <c r="DN29" s="675">
        <v>1100</v>
      </c>
      <c r="DO29" s="675">
        <v>0</v>
      </c>
      <c r="DP29" s="675">
        <v>0</v>
      </c>
      <c r="DQ29" s="675">
        <v>0</v>
      </c>
      <c r="DR29" s="675">
        <v>0</v>
      </c>
      <c r="DS29" s="675">
        <v>0</v>
      </c>
      <c r="DT29" s="675">
        <v>0</v>
      </c>
      <c r="DU29" s="675">
        <v>0</v>
      </c>
      <c r="DV29" s="675">
        <v>0</v>
      </c>
      <c r="DW29" s="675">
        <v>0</v>
      </c>
      <c r="DX29" s="675">
        <v>0</v>
      </c>
      <c r="DY29" s="675">
        <v>0</v>
      </c>
      <c r="DZ29" s="675">
        <v>0</v>
      </c>
      <c r="EA29" s="675">
        <v>0</v>
      </c>
      <c r="EB29" s="675">
        <v>0</v>
      </c>
      <c r="EC29" s="675">
        <v>0</v>
      </c>
      <c r="ED29" s="675">
        <v>0</v>
      </c>
      <c r="EE29" s="675">
        <v>0</v>
      </c>
      <c r="EF29" s="675">
        <v>0</v>
      </c>
      <c r="EG29" s="675">
        <v>0</v>
      </c>
      <c r="EH29" s="675">
        <v>0</v>
      </c>
      <c r="EI29" s="675">
        <v>293486</v>
      </c>
      <c r="EJ29" s="675">
        <v>11.911000000000001</v>
      </c>
      <c r="EK29" s="675">
        <v>0</v>
      </c>
      <c r="EL29" s="675">
        <v>0</v>
      </c>
      <c r="EM29" s="675">
        <v>0</v>
      </c>
      <c r="EN29" s="675">
        <v>0</v>
      </c>
      <c r="EO29" s="675">
        <v>0</v>
      </c>
      <c r="EP29" s="675">
        <v>0</v>
      </c>
      <c r="EQ29" s="675">
        <v>11.911000000000001</v>
      </c>
      <c r="ER29" s="675">
        <v>0</v>
      </c>
      <c r="ES29" s="675">
        <v>0</v>
      </c>
      <c r="ET29" s="675">
        <v>0</v>
      </c>
      <c r="EU29" s="675">
        <v>0</v>
      </c>
      <c r="EV29" s="675">
        <v>0</v>
      </c>
      <c r="EW29" s="675">
        <v>0</v>
      </c>
      <c r="EX29" s="675">
        <v>0</v>
      </c>
      <c r="EY29" s="675">
        <v>0</v>
      </c>
      <c r="EZ29" s="675">
        <v>678167</v>
      </c>
      <c r="FA29" s="675">
        <v>0</v>
      </c>
      <c r="FB29" s="675">
        <v>697253</v>
      </c>
      <c r="FC29" s="675">
        <v>0</v>
      </c>
      <c r="FD29" s="675">
        <v>0</v>
      </c>
      <c r="FE29" s="675">
        <v>67687</v>
      </c>
      <c r="FF29" s="675">
        <v>14000</v>
      </c>
      <c r="FG29" s="675">
        <v>6.3574999999999993E-2</v>
      </c>
      <c r="FH29" s="675">
        <v>2.6297999999999998E-2</v>
      </c>
      <c r="FI29" s="675">
        <v>0</v>
      </c>
      <c r="FJ29" s="675">
        <v>0</v>
      </c>
      <c r="FK29" s="675">
        <v>108.024</v>
      </c>
      <c r="FL29" s="675">
        <v>784030</v>
      </c>
      <c r="FM29" s="675">
        <v>0</v>
      </c>
      <c r="FN29" s="675">
        <v>0</v>
      </c>
      <c r="FO29" s="675">
        <v>0</v>
      </c>
      <c r="FP29" s="675">
        <v>0</v>
      </c>
      <c r="FQ29" s="675">
        <v>0</v>
      </c>
      <c r="FR29" s="675">
        <v>0</v>
      </c>
      <c r="FS29" s="675">
        <v>0</v>
      </c>
      <c r="FT29" s="675">
        <v>0</v>
      </c>
      <c r="FU29" s="675">
        <v>0</v>
      </c>
      <c r="FV29" s="675">
        <v>0</v>
      </c>
      <c r="FW29" s="675">
        <v>0</v>
      </c>
      <c r="FX29" s="675">
        <v>0</v>
      </c>
      <c r="FY29" s="675">
        <v>0</v>
      </c>
      <c r="FZ29" s="675">
        <v>0</v>
      </c>
      <c r="GA29" s="675">
        <v>0</v>
      </c>
      <c r="GB29" s="675">
        <v>179687</v>
      </c>
      <c r="GC29" s="675">
        <v>179687</v>
      </c>
      <c r="GD29" s="675">
        <v>16.830000000000002</v>
      </c>
      <c r="GE29" s="675">
        <v>0</v>
      </c>
      <c r="GF29" s="675">
        <v>0</v>
      </c>
      <c r="GG29" s="675">
        <v>0</v>
      </c>
      <c r="GH29" s="675">
        <v>0</v>
      </c>
      <c r="GI29" s="675">
        <v>0</v>
      </c>
      <c r="GJ29" s="675">
        <v>0</v>
      </c>
      <c r="GK29" s="675">
        <v>0</v>
      </c>
      <c r="GL29" s="675">
        <v>0</v>
      </c>
      <c r="GM29" s="675">
        <v>0</v>
      </c>
      <c r="GN29" s="675">
        <v>0</v>
      </c>
      <c r="GO29" s="675">
        <v>0</v>
      </c>
      <c r="GP29" s="675">
        <v>0</v>
      </c>
      <c r="GQ29" s="675">
        <v>0</v>
      </c>
      <c r="GR29" s="675">
        <v>0</v>
      </c>
      <c r="GS29" s="675">
        <v>0</v>
      </c>
      <c r="GT29" s="675">
        <v>0</v>
      </c>
      <c r="GU29" s="675">
        <v>0</v>
      </c>
      <c r="GV29" s="675">
        <v>0</v>
      </c>
      <c r="GW29" s="675">
        <v>0</v>
      </c>
      <c r="GX29" s="675">
        <v>0</v>
      </c>
      <c r="GY29" s="675">
        <v>0</v>
      </c>
      <c r="GZ29" s="675">
        <v>0</v>
      </c>
      <c r="HA29" s="675">
        <v>0</v>
      </c>
      <c r="HB29" s="675">
        <v>308877260</v>
      </c>
      <c r="HC29" s="675">
        <v>4.4138999999999998E-2</v>
      </c>
      <c r="HD29" s="675">
        <v>5090</v>
      </c>
      <c r="HE29" s="675">
        <v>0</v>
      </c>
      <c r="HF29" s="675">
        <v>99</v>
      </c>
      <c r="HG29" s="675">
        <v>0</v>
      </c>
      <c r="HH29" s="675">
        <v>0</v>
      </c>
      <c r="HI29" s="675">
        <v>0</v>
      </c>
      <c r="HJ29" s="675">
        <v>280</v>
      </c>
      <c r="HK29" s="675">
        <v>486</v>
      </c>
      <c r="HL29" s="675">
        <v>460</v>
      </c>
      <c r="HM29" s="675">
        <v>7000</v>
      </c>
      <c r="HN29" s="675">
        <v>0</v>
      </c>
      <c r="HO29" s="675">
        <v>0</v>
      </c>
      <c r="HP29" s="675">
        <v>28560</v>
      </c>
      <c r="HQ29" s="675">
        <v>0</v>
      </c>
      <c r="HR29" s="675">
        <v>0</v>
      </c>
      <c r="HS29" s="675">
        <v>677067</v>
      </c>
      <c r="HT29" s="675">
        <v>14000</v>
      </c>
      <c r="HU29" s="675">
        <v>0</v>
      </c>
      <c r="HV29" s="675">
        <v>0</v>
      </c>
      <c r="HW29" s="675">
        <v>0</v>
      </c>
      <c r="HX29" s="675">
        <v>4</v>
      </c>
      <c r="HY29" s="675">
        <v>3</v>
      </c>
      <c r="HZ29" s="675">
        <v>9</v>
      </c>
      <c r="IA29" s="675">
        <v>8</v>
      </c>
      <c r="IB29" s="675">
        <v>5</v>
      </c>
      <c r="IC29" s="675">
        <v>29</v>
      </c>
      <c r="ID29" s="675">
        <v>0</v>
      </c>
      <c r="IE29" s="675">
        <v>0</v>
      </c>
      <c r="IF29" s="675">
        <v>0</v>
      </c>
      <c r="IG29" s="675">
        <v>0</v>
      </c>
      <c r="IH29" s="675">
        <v>0</v>
      </c>
      <c r="II29" s="675">
        <v>103.85600000000001</v>
      </c>
      <c r="IJ29" s="675">
        <v>3.69</v>
      </c>
      <c r="IK29" s="675">
        <v>12.447000000000001</v>
      </c>
      <c r="IL29" s="675">
        <v>1</v>
      </c>
      <c r="IM29" s="675">
        <v>0</v>
      </c>
      <c r="IN29" s="675">
        <v>1</v>
      </c>
      <c r="IO29" s="675">
        <v>2</v>
      </c>
      <c r="IP29" s="675">
        <v>116.30300000000001</v>
      </c>
      <c r="IQ29" s="675">
        <v>3.69</v>
      </c>
      <c r="IR29" s="675">
        <v>2273</v>
      </c>
      <c r="IS29" s="675">
        <v>3423</v>
      </c>
      <c r="IT29" s="675">
        <v>5000</v>
      </c>
      <c r="IU29" s="675">
        <v>0</v>
      </c>
      <c r="IV29" s="675">
        <v>2000</v>
      </c>
      <c r="IW29" s="675">
        <v>6160</v>
      </c>
      <c r="IX29" s="675">
        <v>0</v>
      </c>
      <c r="IY29" s="675">
        <v>0</v>
      </c>
      <c r="IZ29" s="675">
        <v>31983</v>
      </c>
      <c r="JA29" s="675">
        <v>0</v>
      </c>
      <c r="JB29" s="675">
        <v>0</v>
      </c>
      <c r="JC29" s="675">
        <v>0</v>
      </c>
      <c r="JD29" s="675">
        <v>0</v>
      </c>
      <c r="JE29" s="675">
        <v>0</v>
      </c>
      <c r="JF29" s="675">
        <v>0</v>
      </c>
      <c r="JG29" s="675">
        <v>0</v>
      </c>
      <c r="JH29" s="675">
        <v>0</v>
      </c>
      <c r="JI29" s="675">
        <v>0</v>
      </c>
      <c r="JJ29" s="675">
        <v>0</v>
      </c>
      <c r="JK29" s="675">
        <v>0</v>
      </c>
      <c r="JL29" s="675">
        <v>0</v>
      </c>
      <c r="JM29" s="675">
        <v>0</v>
      </c>
      <c r="JN29" s="675">
        <v>32469</v>
      </c>
      <c r="JO29" s="675">
        <v>0</v>
      </c>
      <c r="JP29" s="675">
        <v>0</v>
      </c>
      <c r="JQ29" s="675">
        <v>16.830000000000002</v>
      </c>
      <c r="JR29" s="675">
        <v>0</v>
      </c>
      <c r="JS29" s="675">
        <v>0</v>
      </c>
      <c r="JT29" s="675">
        <v>179687</v>
      </c>
      <c r="JU29" s="675">
        <v>0</v>
      </c>
      <c r="JV29" s="675">
        <v>0</v>
      </c>
      <c r="JW29" s="675">
        <v>0</v>
      </c>
      <c r="JX29" s="675">
        <v>0</v>
      </c>
      <c r="JY29" s="675">
        <v>0</v>
      </c>
      <c r="JZ29" s="675">
        <v>0</v>
      </c>
      <c r="KA29" s="675">
        <v>0</v>
      </c>
      <c r="KB29" s="675">
        <v>0</v>
      </c>
      <c r="KC29" s="675">
        <v>0</v>
      </c>
      <c r="KD29" s="675">
        <v>0</v>
      </c>
      <c r="KE29" s="675">
        <v>7263</v>
      </c>
      <c r="KF29" s="675">
        <v>0</v>
      </c>
      <c r="KG29" s="675">
        <v>0</v>
      </c>
      <c r="KH29" s="675">
        <v>0</v>
      </c>
      <c r="KI29" s="675">
        <v>0</v>
      </c>
    </row>
    <row r="30" spans="1:295" ht="12.5" x14ac:dyDescent="0.25">
      <c r="A30" s="675">
        <v>35795</v>
      </c>
      <c r="B30" s="675">
        <v>240801</v>
      </c>
      <c r="C30" s="675">
        <v>7</v>
      </c>
      <c r="D30" s="675">
        <v>2022</v>
      </c>
      <c r="E30" s="675">
        <v>6160</v>
      </c>
      <c r="F30" s="675">
        <v>0</v>
      </c>
      <c r="G30" s="675">
        <v>138.58500000000001</v>
      </c>
      <c r="H30" s="675">
        <v>130.36799999999999</v>
      </c>
      <c r="I30" s="675">
        <v>130.36799999999999</v>
      </c>
      <c r="J30" s="675">
        <v>138.58500000000001</v>
      </c>
      <c r="K30" s="675">
        <v>0</v>
      </c>
      <c r="L30" s="675">
        <v>6160</v>
      </c>
      <c r="M30" s="675">
        <v>0</v>
      </c>
      <c r="N30" s="675">
        <v>0</v>
      </c>
      <c r="O30" s="675">
        <v>0</v>
      </c>
      <c r="P30" s="675">
        <v>185.684</v>
      </c>
      <c r="Q30" s="675">
        <v>0</v>
      </c>
      <c r="R30" s="675">
        <v>74724</v>
      </c>
      <c r="S30" s="675">
        <v>402.428</v>
      </c>
      <c r="T30" s="675">
        <v>0</v>
      </c>
      <c r="U30" s="675">
        <v>39737</v>
      </c>
      <c r="V30" s="675">
        <v>78.295000000000002</v>
      </c>
      <c r="W30" s="675">
        <v>48229</v>
      </c>
      <c r="X30" s="675">
        <v>48229</v>
      </c>
      <c r="Y30" s="675">
        <v>0</v>
      </c>
      <c r="Z30" s="675">
        <v>0</v>
      </c>
      <c r="AA30" s="675">
        <v>0</v>
      </c>
      <c r="AB30" s="675">
        <v>0</v>
      </c>
      <c r="AC30" s="675">
        <v>0</v>
      </c>
      <c r="AD30" s="675" t="s">
        <v>316</v>
      </c>
      <c r="AE30" s="675">
        <v>0</v>
      </c>
      <c r="AF30" s="675">
        <v>0</v>
      </c>
      <c r="AG30" s="675">
        <v>0</v>
      </c>
      <c r="AH30" s="675">
        <v>0</v>
      </c>
      <c r="AI30" s="675">
        <v>0</v>
      </c>
      <c r="AJ30" s="675">
        <v>6160</v>
      </c>
      <c r="AK30" s="675" t="s">
        <v>671</v>
      </c>
      <c r="AL30" s="675" t="s">
        <v>471</v>
      </c>
      <c r="AM30" s="675">
        <v>0</v>
      </c>
      <c r="AN30" s="675">
        <v>0</v>
      </c>
      <c r="AO30" s="675">
        <v>0</v>
      </c>
      <c r="AP30" s="675">
        <v>0</v>
      </c>
      <c r="AQ30" s="675">
        <v>0</v>
      </c>
      <c r="AR30" s="675">
        <v>0</v>
      </c>
      <c r="AS30" s="675">
        <v>0</v>
      </c>
      <c r="AT30" s="675">
        <v>0</v>
      </c>
      <c r="AU30" s="675">
        <v>0</v>
      </c>
      <c r="AV30" s="675">
        <v>-233656</v>
      </c>
      <c r="AW30" s="675">
        <v>1691767</v>
      </c>
      <c r="AX30" s="675">
        <v>1667757</v>
      </c>
      <c r="AY30" s="675">
        <v>1083100</v>
      </c>
      <c r="AZ30" s="675">
        <v>74724</v>
      </c>
      <c r="BA30" s="675">
        <v>0</v>
      </c>
      <c r="BB30" s="675">
        <v>0</v>
      </c>
      <c r="BC30" s="675">
        <v>0</v>
      </c>
      <c r="BD30" s="675">
        <v>0</v>
      </c>
      <c r="BE30" s="675">
        <v>0</v>
      </c>
      <c r="BF30" s="675">
        <v>1489148</v>
      </c>
      <c r="BG30" s="675">
        <v>0</v>
      </c>
      <c r="BH30" s="675">
        <v>0</v>
      </c>
      <c r="BI30" s="675">
        <v>0</v>
      </c>
      <c r="BJ30" s="675">
        <v>12</v>
      </c>
      <c r="BK30" s="675">
        <v>0</v>
      </c>
      <c r="BL30" s="675">
        <v>0</v>
      </c>
      <c r="BM30" s="675">
        <v>0</v>
      </c>
      <c r="BN30" s="675">
        <v>0</v>
      </c>
      <c r="BO30" s="675">
        <v>0</v>
      </c>
      <c r="BP30" s="675">
        <v>0</v>
      </c>
      <c r="BQ30" s="675">
        <v>750</v>
      </c>
      <c r="BR30" s="675">
        <v>0</v>
      </c>
      <c r="BS30" s="675">
        <v>0</v>
      </c>
      <c r="BT30" s="675">
        <v>0</v>
      </c>
      <c r="BU30" s="675">
        <v>0</v>
      </c>
      <c r="BV30" s="675">
        <v>0</v>
      </c>
      <c r="BW30" s="675">
        <v>0</v>
      </c>
      <c r="BX30" s="675">
        <v>0</v>
      </c>
      <c r="BY30" s="675">
        <v>0</v>
      </c>
      <c r="BZ30" s="675">
        <v>0</v>
      </c>
      <c r="CA30" s="675">
        <v>0</v>
      </c>
      <c r="CB30" s="675">
        <v>0</v>
      </c>
      <c r="CC30" s="675">
        <v>0</v>
      </c>
      <c r="CD30" s="675">
        <v>0</v>
      </c>
      <c r="CE30" s="675">
        <v>0</v>
      </c>
      <c r="CF30" s="675">
        <v>0</v>
      </c>
      <c r="CG30" s="675">
        <v>0</v>
      </c>
      <c r="CH30" s="675">
        <v>24468</v>
      </c>
      <c r="CI30" s="675">
        <v>0</v>
      </c>
      <c r="CJ30" s="675">
        <v>4</v>
      </c>
      <c r="CK30" s="675">
        <v>0</v>
      </c>
      <c r="CL30" s="675">
        <v>0</v>
      </c>
      <c r="CM30" s="675">
        <v>0</v>
      </c>
      <c r="CN30" s="675">
        <v>0</v>
      </c>
      <c r="CO30" s="675">
        <v>1</v>
      </c>
      <c r="CP30" s="675">
        <v>1.2330000000000001</v>
      </c>
      <c r="CQ30" s="675">
        <v>0</v>
      </c>
      <c r="CR30" s="675">
        <v>197.61600000000001</v>
      </c>
      <c r="CS30" s="675">
        <v>0</v>
      </c>
      <c r="CT30" s="675">
        <v>0</v>
      </c>
      <c r="CU30" s="675">
        <v>0</v>
      </c>
      <c r="CV30" s="675">
        <v>0</v>
      </c>
      <c r="CW30" s="675">
        <v>0</v>
      </c>
      <c r="CX30" s="675">
        <v>0</v>
      </c>
      <c r="CY30" s="675">
        <v>0</v>
      </c>
      <c r="CZ30" s="675">
        <v>0</v>
      </c>
      <c r="DA30" s="675">
        <v>0</v>
      </c>
      <c r="DB30" s="675">
        <v>775020</v>
      </c>
      <c r="DC30" s="675">
        <v>0</v>
      </c>
      <c r="DD30" s="675">
        <v>0</v>
      </c>
      <c r="DE30" s="675">
        <v>284976</v>
      </c>
      <c r="DF30" s="675">
        <v>303281</v>
      </c>
      <c r="DG30" s="675">
        <v>46.263000000000005</v>
      </c>
      <c r="DH30" s="675">
        <v>0</v>
      </c>
      <c r="DI30" s="675">
        <v>18305</v>
      </c>
      <c r="DJ30" s="675">
        <v>0</v>
      </c>
      <c r="DK30" s="675">
        <v>3621</v>
      </c>
      <c r="DL30" s="675">
        <v>0</v>
      </c>
      <c r="DM30" s="675">
        <v>149833</v>
      </c>
      <c r="DN30" s="675">
        <v>458</v>
      </c>
      <c r="DO30" s="675">
        <v>0</v>
      </c>
      <c r="DP30" s="675">
        <v>0</v>
      </c>
      <c r="DQ30" s="675">
        <v>0</v>
      </c>
      <c r="DR30" s="675">
        <v>0</v>
      </c>
      <c r="DS30" s="675">
        <v>0</v>
      </c>
      <c r="DT30" s="675">
        <v>0</v>
      </c>
      <c r="DU30" s="675">
        <v>0</v>
      </c>
      <c r="DV30" s="675">
        <v>0</v>
      </c>
      <c r="DW30" s="675">
        <v>0</v>
      </c>
      <c r="DX30" s="675">
        <v>0</v>
      </c>
      <c r="DY30" s="675">
        <v>0</v>
      </c>
      <c r="DZ30" s="675">
        <v>0</v>
      </c>
      <c r="EA30" s="675">
        <v>0</v>
      </c>
      <c r="EB30" s="675">
        <v>0</v>
      </c>
      <c r="EC30" s="675">
        <v>17.257000000000001</v>
      </c>
      <c r="ED30" s="675">
        <v>122248</v>
      </c>
      <c r="EE30" s="675">
        <v>0</v>
      </c>
      <c r="EF30" s="675">
        <v>0</v>
      </c>
      <c r="EG30" s="675">
        <v>0</v>
      </c>
      <c r="EH30" s="675">
        <v>0</v>
      </c>
      <c r="EI30" s="675">
        <v>0</v>
      </c>
      <c r="EJ30" s="675">
        <v>0</v>
      </c>
      <c r="EK30" s="675">
        <v>0</v>
      </c>
      <c r="EL30" s="675">
        <v>0</v>
      </c>
      <c r="EM30" s="675">
        <v>0</v>
      </c>
      <c r="EN30" s="675">
        <v>0</v>
      </c>
      <c r="EO30" s="675">
        <v>0</v>
      </c>
      <c r="EP30" s="675">
        <v>0</v>
      </c>
      <c r="EQ30" s="675">
        <v>0</v>
      </c>
      <c r="ER30" s="675">
        <v>0</v>
      </c>
      <c r="ES30" s="675">
        <v>0</v>
      </c>
      <c r="ET30" s="675">
        <v>0</v>
      </c>
      <c r="EU30" s="675">
        <v>0</v>
      </c>
      <c r="EV30" s="675">
        <v>0</v>
      </c>
      <c r="EW30" s="675">
        <v>0</v>
      </c>
      <c r="EX30" s="675">
        <v>0</v>
      </c>
      <c r="EY30" s="675">
        <v>0</v>
      </c>
      <c r="EZ30" s="675">
        <v>1484951</v>
      </c>
      <c r="FA30" s="675">
        <v>0</v>
      </c>
      <c r="FB30" s="675">
        <v>1559217</v>
      </c>
      <c r="FC30" s="675">
        <v>0</v>
      </c>
      <c r="FD30" s="675">
        <v>0</v>
      </c>
      <c r="FE30" s="675">
        <v>151477</v>
      </c>
      <c r="FF30" s="675">
        <v>31329</v>
      </c>
      <c r="FG30" s="675">
        <v>6.3574999999999993E-2</v>
      </c>
      <c r="FH30" s="675">
        <v>2.6297999999999998E-2</v>
      </c>
      <c r="FI30" s="675">
        <v>0</v>
      </c>
      <c r="FJ30" s="675">
        <v>0</v>
      </c>
      <c r="FK30" s="675">
        <v>241.74600000000001</v>
      </c>
      <c r="FL30" s="675">
        <v>1766491</v>
      </c>
      <c r="FM30" s="675">
        <v>0</v>
      </c>
      <c r="FN30" s="675">
        <v>0</v>
      </c>
      <c r="FO30" s="675">
        <v>0</v>
      </c>
      <c r="FP30" s="675">
        <v>0</v>
      </c>
      <c r="FQ30" s="675">
        <v>0</v>
      </c>
      <c r="FR30" s="675">
        <v>0</v>
      </c>
      <c r="FS30" s="675">
        <v>0</v>
      </c>
      <c r="FT30" s="675">
        <v>0</v>
      </c>
      <c r="FU30" s="675">
        <v>0</v>
      </c>
      <c r="FV30" s="675">
        <v>0</v>
      </c>
      <c r="FW30" s="675">
        <v>0</v>
      </c>
      <c r="FX30" s="675">
        <v>0</v>
      </c>
      <c r="FY30" s="675">
        <v>0</v>
      </c>
      <c r="FZ30" s="675">
        <v>0</v>
      </c>
      <c r="GA30" s="675">
        <v>0</v>
      </c>
      <c r="GB30" s="675">
        <v>67184</v>
      </c>
      <c r="GC30" s="675">
        <v>67184</v>
      </c>
      <c r="GD30" s="675">
        <v>8.2170000000000005</v>
      </c>
      <c r="GE30" s="675">
        <v>0</v>
      </c>
      <c r="GF30" s="675">
        <v>0</v>
      </c>
      <c r="GG30" s="675">
        <v>0</v>
      </c>
      <c r="GH30" s="675">
        <v>0</v>
      </c>
      <c r="GI30" s="675">
        <v>0</v>
      </c>
      <c r="GJ30" s="675">
        <v>0</v>
      </c>
      <c r="GK30" s="675">
        <v>0</v>
      </c>
      <c r="GL30" s="675">
        <v>0</v>
      </c>
      <c r="GM30" s="675">
        <v>0</v>
      </c>
      <c r="GN30" s="675">
        <v>0</v>
      </c>
      <c r="GO30" s="675">
        <v>0</v>
      </c>
      <c r="GP30" s="675">
        <v>0</v>
      </c>
      <c r="GQ30" s="675">
        <v>0</v>
      </c>
      <c r="GR30" s="675">
        <v>0</v>
      </c>
      <c r="GS30" s="675">
        <v>0</v>
      </c>
      <c r="GT30" s="675">
        <v>0</v>
      </c>
      <c r="GU30" s="675">
        <v>0</v>
      </c>
      <c r="GV30" s="675">
        <v>0</v>
      </c>
      <c r="GW30" s="675">
        <v>0</v>
      </c>
      <c r="GX30" s="675">
        <v>0</v>
      </c>
      <c r="GY30" s="675">
        <v>0</v>
      </c>
      <c r="GZ30" s="675">
        <v>0</v>
      </c>
      <c r="HA30" s="675">
        <v>0</v>
      </c>
      <c r="HB30" s="675">
        <v>308877260</v>
      </c>
      <c r="HC30" s="675">
        <v>4.4138999999999998E-2</v>
      </c>
      <c r="HD30" s="675">
        <v>24468</v>
      </c>
      <c r="HE30" s="675">
        <v>0</v>
      </c>
      <c r="HF30" s="675">
        <v>143796</v>
      </c>
      <c r="HG30" s="675">
        <v>0</v>
      </c>
      <c r="HH30" s="675">
        <v>0</v>
      </c>
      <c r="HI30" s="675">
        <v>0</v>
      </c>
      <c r="HJ30" s="675">
        <v>1347</v>
      </c>
      <c r="HK30" s="675">
        <v>1665</v>
      </c>
      <c r="HL30" s="675">
        <v>161</v>
      </c>
      <c r="HM30" s="675">
        <v>0</v>
      </c>
      <c r="HN30" s="675">
        <v>0</v>
      </c>
      <c r="HO30" s="675">
        <v>0</v>
      </c>
      <c r="HP30" s="675">
        <v>68701</v>
      </c>
      <c r="HQ30" s="675">
        <v>0</v>
      </c>
      <c r="HR30" s="675">
        <v>0</v>
      </c>
      <c r="HS30" s="675">
        <v>1484493</v>
      </c>
      <c r="HT30" s="675">
        <v>31329</v>
      </c>
      <c r="HU30" s="675">
        <v>0</v>
      </c>
      <c r="HV30" s="675">
        <v>0</v>
      </c>
      <c r="HW30" s="675">
        <v>0</v>
      </c>
      <c r="HX30" s="675">
        <v>10</v>
      </c>
      <c r="HY30" s="675">
        <v>17</v>
      </c>
      <c r="HZ30" s="675">
        <v>27</v>
      </c>
      <c r="IA30" s="675">
        <v>48</v>
      </c>
      <c r="IB30" s="675">
        <v>75</v>
      </c>
      <c r="IC30" s="675">
        <v>177</v>
      </c>
      <c r="ID30" s="675">
        <v>0</v>
      </c>
      <c r="IE30" s="675">
        <v>0</v>
      </c>
      <c r="IF30" s="675">
        <v>0</v>
      </c>
      <c r="IG30" s="675">
        <v>0</v>
      </c>
      <c r="IH30" s="675">
        <v>0</v>
      </c>
      <c r="II30" s="675">
        <v>249.82300000000001</v>
      </c>
      <c r="IJ30" s="675">
        <v>78.295000000000002</v>
      </c>
      <c r="IK30" s="675">
        <v>0</v>
      </c>
      <c r="IL30" s="675">
        <v>0</v>
      </c>
      <c r="IM30" s="675">
        <v>0</v>
      </c>
      <c r="IN30" s="675">
        <v>0</v>
      </c>
      <c r="IO30" s="675">
        <v>0</v>
      </c>
      <c r="IP30" s="675">
        <v>249.82300000000001</v>
      </c>
      <c r="IQ30" s="675">
        <v>78.295000000000002</v>
      </c>
      <c r="IR30" s="675">
        <v>48229</v>
      </c>
      <c r="IS30" s="675">
        <v>0</v>
      </c>
      <c r="IT30" s="675">
        <v>0</v>
      </c>
      <c r="IU30" s="675">
        <v>0</v>
      </c>
      <c r="IV30" s="675">
        <v>0</v>
      </c>
      <c r="IW30" s="675">
        <v>6160</v>
      </c>
      <c r="IX30" s="675">
        <v>0</v>
      </c>
      <c r="IY30" s="675">
        <v>0</v>
      </c>
      <c r="IZ30" s="675">
        <v>68701</v>
      </c>
      <c r="JA30" s="675">
        <v>0</v>
      </c>
      <c r="JB30" s="675">
        <v>0</v>
      </c>
      <c r="JC30" s="675">
        <v>0</v>
      </c>
      <c r="JD30" s="675">
        <v>0</v>
      </c>
      <c r="JE30" s="675">
        <v>0</v>
      </c>
      <c r="JF30" s="675">
        <v>0</v>
      </c>
      <c r="JG30" s="675">
        <v>0</v>
      </c>
      <c r="JH30" s="675">
        <v>0</v>
      </c>
      <c r="JI30" s="675">
        <v>0</v>
      </c>
      <c r="JJ30" s="675">
        <v>0</v>
      </c>
      <c r="JK30" s="675">
        <v>0</v>
      </c>
      <c r="JL30" s="675">
        <v>0</v>
      </c>
      <c r="JM30" s="675">
        <v>0</v>
      </c>
      <c r="JN30" s="675">
        <v>32469</v>
      </c>
      <c r="JO30" s="675">
        <v>7.41</v>
      </c>
      <c r="JP30" s="675">
        <v>0.46700000000000003</v>
      </c>
      <c r="JQ30" s="675">
        <v>0.34100000000000003</v>
      </c>
      <c r="JR30" s="675">
        <v>59201</v>
      </c>
      <c r="JS30" s="675">
        <v>4342</v>
      </c>
      <c r="JT30" s="675">
        <v>3641</v>
      </c>
      <c r="JU30" s="675">
        <v>0</v>
      </c>
      <c r="JV30" s="675">
        <v>0</v>
      </c>
      <c r="JW30" s="675">
        <v>0</v>
      </c>
      <c r="JX30" s="675">
        <v>0</v>
      </c>
      <c r="JY30" s="675">
        <v>0</v>
      </c>
      <c r="JZ30" s="675">
        <v>0</v>
      </c>
      <c r="KA30" s="675">
        <v>0</v>
      </c>
      <c r="KB30" s="675">
        <v>0</v>
      </c>
      <c r="KC30" s="675">
        <v>0</v>
      </c>
      <c r="KD30" s="675">
        <v>0</v>
      </c>
      <c r="KE30" s="675">
        <v>7263</v>
      </c>
      <c r="KF30" s="675">
        <v>0</v>
      </c>
      <c r="KG30" s="675">
        <v>0</v>
      </c>
      <c r="KH30" s="675">
        <v>0</v>
      </c>
      <c r="KI30" s="675">
        <v>0</v>
      </c>
    </row>
    <row r="31" spans="1:295" ht="12.5" x14ac:dyDescent="0.25">
      <c r="A31" s="675">
        <v>35795</v>
      </c>
      <c r="B31" s="675">
        <v>246801</v>
      </c>
      <c r="C31" s="675">
        <v>7</v>
      </c>
      <c r="D31" s="675">
        <v>2022</v>
      </c>
      <c r="E31" s="675">
        <v>6160</v>
      </c>
      <c r="F31" s="675">
        <v>0</v>
      </c>
      <c r="G31" s="675">
        <v>1617.9860000000001</v>
      </c>
      <c r="H31" s="675">
        <v>1567.7070000000001</v>
      </c>
      <c r="I31" s="675">
        <v>1567.7070000000001</v>
      </c>
      <c r="J31" s="675">
        <v>1617.9860000000001</v>
      </c>
      <c r="K31" s="675">
        <v>0</v>
      </c>
      <c r="L31" s="675">
        <v>6160</v>
      </c>
      <c r="M31" s="675">
        <v>0</v>
      </c>
      <c r="N31" s="675">
        <v>0</v>
      </c>
      <c r="O31" s="675">
        <v>0</v>
      </c>
      <c r="P31" s="675">
        <v>1623.934</v>
      </c>
      <c r="Q31" s="675">
        <v>0</v>
      </c>
      <c r="R31" s="675">
        <v>653517</v>
      </c>
      <c r="S31" s="675">
        <v>402.428</v>
      </c>
      <c r="T31" s="675">
        <v>0</v>
      </c>
      <c r="U31" s="675">
        <v>347524</v>
      </c>
      <c r="V31" s="675">
        <v>136.94499999999999</v>
      </c>
      <c r="W31" s="675">
        <v>84358</v>
      </c>
      <c r="X31" s="675">
        <v>84358</v>
      </c>
      <c r="Y31" s="675">
        <v>0</v>
      </c>
      <c r="Z31" s="675">
        <v>0</v>
      </c>
      <c r="AA31" s="675">
        <v>0</v>
      </c>
      <c r="AB31" s="675">
        <v>0</v>
      </c>
      <c r="AC31" s="675">
        <v>0</v>
      </c>
      <c r="AD31" s="675" t="s">
        <v>316</v>
      </c>
      <c r="AE31" s="675">
        <v>0</v>
      </c>
      <c r="AF31" s="675">
        <v>0</v>
      </c>
      <c r="AG31" s="675">
        <v>0</v>
      </c>
      <c r="AH31" s="675">
        <v>0</v>
      </c>
      <c r="AI31" s="675">
        <v>0</v>
      </c>
      <c r="AJ31" s="675">
        <v>6160</v>
      </c>
      <c r="AK31" s="675" t="s">
        <v>671</v>
      </c>
      <c r="AL31" s="675" t="s">
        <v>97</v>
      </c>
      <c r="AM31" s="675">
        <v>0</v>
      </c>
      <c r="AN31" s="675">
        <v>0</v>
      </c>
      <c r="AO31" s="675">
        <v>0</v>
      </c>
      <c r="AP31" s="675">
        <v>0</v>
      </c>
      <c r="AQ31" s="675">
        <v>0</v>
      </c>
      <c r="AR31" s="675">
        <v>0</v>
      </c>
      <c r="AS31" s="675">
        <v>0</v>
      </c>
      <c r="AT31" s="675">
        <v>0</v>
      </c>
      <c r="AU31" s="675">
        <v>0</v>
      </c>
      <c r="AV31" s="675">
        <v>-6936</v>
      </c>
      <c r="AW31" s="675">
        <v>14181550</v>
      </c>
      <c r="AX31" s="675">
        <v>13869405</v>
      </c>
      <c r="AY31" s="675">
        <v>9500406</v>
      </c>
      <c r="AZ31" s="675">
        <v>653517</v>
      </c>
      <c r="BA31" s="675">
        <v>0</v>
      </c>
      <c r="BB31" s="675">
        <v>0</v>
      </c>
      <c r="BC31" s="675">
        <v>0</v>
      </c>
      <c r="BD31" s="675">
        <v>0</v>
      </c>
      <c r="BE31" s="675">
        <v>0</v>
      </c>
      <c r="BF31" s="675">
        <v>12930967</v>
      </c>
      <c r="BG31" s="675">
        <v>0</v>
      </c>
      <c r="BH31" s="675">
        <v>0</v>
      </c>
      <c r="BI31" s="675">
        <v>0</v>
      </c>
      <c r="BJ31" s="675">
        <v>12</v>
      </c>
      <c r="BK31" s="675">
        <v>0</v>
      </c>
      <c r="BL31" s="675">
        <v>0</v>
      </c>
      <c r="BM31" s="675">
        <v>0</v>
      </c>
      <c r="BN31" s="675">
        <v>0</v>
      </c>
      <c r="BO31" s="675">
        <v>0</v>
      </c>
      <c r="BP31" s="675">
        <v>0</v>
      </c>
      <c r="BQ31" s="675">
        <v>529</v>
      </c>
      <c r="BR31" s="675">
        <v>0</v>
      </c>
      <c r="BS31" s="675">
        <v>0</v>
      </c>
      <c r="BT31" s="675">
        <v>0</v>
      </c>
      <c r="BU31" s="675">
        <v>0</v>
      </c>
      <c r="BV31" s="675">
        <v>0</v>
      </c>
      <c r="BW31" s="675">
        <v>0</v>
      </c>
      <c r="BX31" s="675">
        <v>0</v>
      </c>
      <c r="BY31" s="675">
        <v>0</v>
      </c>
      <c r="BZ31" s="675">
        <v>0</v>
      </c>
      <c r="CA31" s="675">
        <v>0</v>
      </c>
      <c r="CB31" s="675">
        <v>0</v>
      </c>
      <c r="CC31" s="675">
        <v>0</v>
      </c>
      <c r="CD31" s="675">
        <v>0</v>
      </c>
      <c r="CE31" s="675">
        <v>0</v>
      </c>
      <c r="CF31" s="675">
        <v>0</v>
      </c>
      <c r="CG31" s="675">
        <v>0</v>
      </c>
      <c r="CH31" s="675">
        <v>316245</v>
      </c>
      <c r="CI31" s="675">
        <v>0</v>
      </c>
      <c r="CJ31" s="675">
        <v>4</v>
      </c>
      <c r="CK31" s="675">
        <v>0</v>
      </c>
      <c r="CL31" s="675">
        <v>0</v>
      </c>
      <c r="CM31" s="675">
        <v>0</v>
      </c>
      <c r="CN31" s="675">
        <v>0</v>
      </c>
      <c r="CO31" s="675">
        <v>1</v>
      </c>
      <c r="CP31" s="675">
        <v>0</v>
      </c>
      <c r="CQ31" s="675">
        <v>0</v>
      </c>
      <c r="CR31" s="675">
        <v>1641.4870000000001</v>
      </c>
      <c r="CS31" s="675">
        <v>0</v>
      </c>
      <c r="CT31" s="675">
        <v>0</v>
      </c>
      <c r="CU31" s="675">
        <v>0</v>
      </c>
      <c r="CV31" s="675">
        <v>0</v>
      </c>
      <c r="CW31" s="675">
        <v>0</v>
      </c>
      <c r="CX31" s="675">
        <v>0</v>
      </c>
      <c r="CY31" s="675">
        <v>0</v>
      </c>
      <c r="CZ31" s="675">
        <v>0</v>
      </c>
      <c r="DA31" s="675">
        <v>0</v>
      </c>
      <c r="DB31" s="675">
        <v>9485756</v>
      </c>
      <c r="DC31" s="675">
        <v>0</v>
      </c>
      <c r="DD31" s="675">
        <v>0</v>
      </c>
      <c r="DE31" s="675">
        <v>137521</v>
      </c>
      <c r="DF31" s="675">
        <v>137521</v>
      </c>
      <c r="DG31" s="675">
        <v>22.325000000000003</v>
      </c>
      <c r="DH31" s="675">
        <v>0</v>
      </c>
      <c r="DI31" s="675">
        <v>0</v>
      </c>
      <c r="DJ31" s="675">
        <v>0</v>
      </c>
      <c r="DK31" s="675">
        <v>80</v>
      </c>
      <c r="DL31" s="675">
        <v>0</v>
      </c>
      <c r="DM31" s="675">
        <v>1261225</v>
      </c>
      <c r="DN31" s="675">
        <v>4100</v>
      </c>
      <c r="DO31" s="675">
        <v>0</v>
      </c>
      <c r="DP31" s="675">
        <v>0</v>
      </c>
      <c r="DQ31" s="675">
        <v>0</v>
      </c>
      <c r="DR31" s="675">
        <v>0</v>
      </c>
      <c r="DS31" s="675">
        <v>0</v>
      </c>
      <c r="DT31" s="675">
        <v>0</v>
      </c>
      <c r="DU31" s="675">
        <v>0</v>
      </c>
      <c r="DV31" s="675">
        <v>0</v>
      </c>
      <c r="DW31" s="675">
        <v>0</v>
      </c>
      <c r="DX31" s="675">
        <v>0</v>
      </c>
      <c r="DY31" s="675">
        <v>0</v>
      </c>
      <c r="DZ31" s="675">
        <v>0</v>
      </c>
      <c r="EA31" s="675">
        <v>0</v>
      </c>
      <c r="EB31" s="675">
        <v>0</v>
      </c>
      <c r="EC31" s="675">
        <v>17.464000000000002</v>
      </c>
      <c r="ED31" s="675">
        <v>123714</v>
      </c>
      <c r="EE31" s="675">
        <v>0</v>
      </c>
      <c r="EF31" s="675">
        <v>0</v>
      </c>
      <c r="EG31" s="675">
        <v>0</v>
      </c>
      <c r="EH31" s="675">
        <v>970337</v>
      </c>
      <c r="EI31" s="675">
        <v>0</v>
      </c>
      <c r="EJ31" s="675">
        <v>0</v>
      </c>
      <c r="EK31" s="675">
        <v>43.393000000000001</v>
      </c>
      <c r="EL31" s="675">
        <v>0</v>
      </c>
      <c r="EM31" s="675">
        <v>3.5430000000000001</v>
      </c>
      <c r="EN31" s="675">
        <v>3.343</v>
      </c>
      <c r="EO31" s="675">
        <v>0</v>
      </c>
      <c r="EP31" s="675">
        <v>0</v>
      </c>
      <c r="EQ31" s="675">
        <v>50.279000000000003</v>
      </c>
      <c r="ER31" s="675">
        <v>0</v>
      </c>
      <c r="ES31" s="675">
        <v>157.523</v>
      </c>
      <c r="ET31" s="675">
        <v>0</v>
      </c>
      <c r="EU31" s="675">
        <v>0</v>
      </c>
      <c r="EV31" s="675">
        <v>0</v>
      </c>
      <c r="EW31" s="675">
        <v>0</v>
      </c>
      <c r="EX31" s="675">
        <v>0</v>
      </c>
      <c r="EY31" s="675">
        <v>0</v>
      </c>
      <c r="EZ31" s="675">
        <v>12282013</v>
      </c>
      <c r="FA31" s="675">
        <v>0</v>
      </c>
      <c r="FB31" s="675">
        <v>12931430</v>
      </c>
      <c r="FC31" s="675">
        <v>0</v>
      </c>
      <c r="FD31" s="675">
        <v>0</v>
      </c>
      <c r="FE31" s="675">
        <v>1315344</v>
      </c>
      <c r="FF31" s="675">
        <v>272048</v>
      </c>
      <c r="FG31" s="675">
        <v>6.3574999999999993E-2</v>
      </c>
      <c r="FH31" s="675">
        <v>2.6297999999999998E-2</v>
      </c>
      <c r="FI31" s="675">
        <v>0</v>
      </c>
      <c r="FJ31" s="675">
        <v>0</v>
      </c>
      <c r="FK31" s="675">
        <v>2099.1930000000002</v>
      </c>
      <c r="FL31" s="675">
        <v>14835067</v>
      </c>
      <c r="FM31" s="675">
        <v>0</v>
      </c>
      <c r="FN31" s="675">
        <v>0</v>
      </c>
      <c r="FO31" s="675">
        <v>0</v>
      </c>
      <c r="FP31" s="675">
        <v>0</v>
      </c>
      <c r="FQ31" s="675">
        <v>0</v>
      </c>
      <c r="FR31" s="675">
        <v>0</v>
      </c>
      <c r="FS31" s="675">
        <v>0</v>
      </c>
      <c r="FT31" s="675">
        <v>0</v>
      </c>
      <c r="FU31" s="675">
        <v>1</v>
      </c>
      <c r="FV31" s="675">
        <v>0</v>
      </c>
      <c r="FW31" s="675">
        <v>0</v>
      </c>
      <c r="FX31" s="675">
        <v>0</v>
      </c>
      <c r="FY31" s="675">
        <v>0</v>
      </c>
      <c r="FZ31" s="675">
        <v>0</v>
      </c>
      <c r="GA31" s="675">
        <v>0</v>
      </c>
      <c r="GB31" s="675">
        <v>0</v>
      </c>
      <c r="GC31" s="675">
        <v>0</v>
      </c>
      <c r="GD31" s="675">
        <v>0</v>
      </c>
      <c r="GE31" s="675">
        <v>0</v>
      </c>
      <c r="GF31" s="675">
        <v>0</v>
      </c>
      <c r="GG31" s="675">
        <v>0</v>
      </c>
      <c r="GH31" s="675">
        <v>0</v>
      </c>
      <c r="GI31" s="675">
        <v>0</v>
      </c>
      <c r="GJ31" s="675">
        <v>0</v>
      </c>
      <c r="GK31" s="675">
        <v>0</v>
      </c>
      <c r="GL31" s="675">
        <v>0</v>
      </c>
      <c r="GM31" s="675">
        <v>0</v>
      </c>
      <c r="GN31" s="675">
        <v>0</v>
      </c>
      <c r="GO31" s="675">
        <v>0</v>
      </c>
      <c r="GP31" s="675">
        <v>0</v>
      </c>
      <c r="GQ31" s="675">
        <v>0</v>
      </c>
      <c r="GR31" s="675">
        <v>0</v>
      </c>
      <c r="GS31" s="675">
        <v>0</v>
      </c>
      <c r="GT31" s="675">
        <v>0</v>
      </c>
      <c r="GU31" s="675">
        <v>0</v>
      </c>
      <c r="GV31" s="675">
        <v>0</v>
      </c>
      <c r="GW31" s="675">
        <v>0</v>
      </c>
      <c r="GX31" s="675">
        <v>0</v>
      </c>
      <c r="GY31" s="675">
        <v>0</v>
      </c>
      <c r="GZ31" s="675">
        <v>0</v>
      </c>
      <c r="HA31" s="675">
        <v>0</v>
      </c>
      <c r="HB31" s="675">
        <v>308877260</v>
      </c>
      <c r="HC31" s="675">
        <v>4.4138999999999998E-2</v>
      </c>
      <c r="HD31" s="675">
        <v>285664</v>
      </c>
      <c r="HE31" s="675">
        <v>0</v>
      </c>
      <c r="HF31" s="675">
        <v>1729181</v>
      </c>
      <c r="HG31" s="675">
        <v>55440</v>
      </c>
      <c r="HH31" s="675">
        <v>69659</v>
      </c>
      <c r="HI31" s="675">
        <v>0</v>
      </c>
      <c r="HJ31" s="675">
        <v>15727</v>
      </c>
      <c r="HK31" s="675">
        <v>4563</v>
      </c>
      <c r="HL31" s="675">
        <v>0</v>
      </c>
      <c r="HM31" s="675">
        <v>88000</v>
      </c>
      <c r="HN31" s="675">
        <v>0</v>
      </c>
      <c r="HO31" s="675">
        <v>0</v>
      </c>
      <c r="HP31" s="675">
        <v>0</v>
      </c>
      <c r="HQ31" s="675">
        <v>0</v>
      </c>
      <c r="HR31" s="675">
        <v>0</v>
      </c>
      <c r="HS31" s="675">
        <v>12277913</v>
      </c>
      <c r="HT31" s="675">
        <v>272048</v>
      </c>
      <c r="HU31" s="675">
        <v>30581</v>
      </c>
      <c r="HV31" s="675">
        <v>0</v>
      </c>
      <c r="HW31" s="675">
        <v>0</v>
      </c>
      <c r="HX31" s="675">
        <v>65</v>
      </c>
      <c r="HY31" s="675">
        <v>15</v>
      </c>
      <c r="HZ31" s="675">
        <v>8</v>
      </c>
      <c r="IA31" s="675">
        <v>5</v>
      </c>
      <c r="IB31" s="675">
        <v>3</v>
      </c>
      <c r="IC31" s="675">
        <v>96</v>
      </c>
      <c r="ID31" s="675">
        <v>0</v>
      </c>
      <c r="IE31" s="675">
        <v>0</v>
      </c>
      <c r="IF31" s="675">
        <v>0</v>
      </c>
      <c r="IG31" s="675">
        <v>90</v>
      </c>
      <c r="IH31" s="675">
        <v>113.084</v>
      </c>
      <c r="II31" s="675">
        <v>0</v>
      </c>
      <c r="IJ31" s="675">
        <v>136.94499999999999</v>
      </c>
      <c r="IK31" s="675">
        <v>0</v>
      </c>
      <c r="IL31" s="675">
        <v>2</v>
      </c>
      <c r="IM31" s="675">
        <v>26</v>
      </c>
      <c r="IN31" s="675">
        <v>0</v>
      </c>
      <c r="IO31" s="675">
        <v>28</v>
      </c>
      <c r="IP31" s="675">
        <v>0</v>
      </c>
      <c r="IQ31" s="675">
        <v>136.94499999999999</v>
      </c>
      <c r="IR31" s="675">
        <v>84358</v>
      </c>
      <c r="IS31" s="675">
        <v>0</v>
      </c>
      <c r="IT31" s="675">
        <v>10000</v>
      </c>
      <c r="IU31" s="675">
        <v>78000</v>
      </c>
      <c r="IV31" s="675">
        <v>0</v>
      </c>
      <c r="IW31" s="675">
        <v>6160</v>
      </c>
      <c r="IX31" s="675">
        <v>0</v>
      </c>
      <c r="IY31" s="675">
        <v>0</v>
      </c>
      <c r="IZ31" s="675">
        <v>0</v>
      </c>
      <c r="JA31" s="675">
        <v>0</v>
      </c>
      <c r="JB31" s="675">
        <v>0</v>
      </c>
      <c r="JC31" s="675">
        <v>0</v>
      </c>
      <c r="JD31" s="675">
        <v>0</v>
      </c>
      <c r="JE31" s="675">
        <v>0</v>
      </c>
      <c r="JF31" s="675">
        <v>0</v>
      </c>
      <c r="JG31" s="675">
        <v>0</v>
      </c>
      <c r="JH31" s="675">
        <v>0</v>
      </c>
      <c r="JI31" s="675">
        <v>0</v>
      </c>
      <c r="JJ31" s="675">
        <v>0</v>
      </c>
      <c r="JK31" s="675">
        <v>0</v>
      </c>
      <c r="JL31" s="675">
        <v>0</v>
      </c>
      <c r="JM31" s="675">
        <v>0</v>
      </c>
      <c r="JN31" s="675">
        <v>32469</v>
      </c>
      <c r="JO31" s="675">
        <v>0</v>
      </c>
      <c r="JP31" s="675">
        <v>0</v>
      </c>
      <c r="JQ31" s="675">
        <v>0</v>
      </c>
      <c r="JR31" s="675">
        <v>0</v>
      </c>
      <c r="JS31" s="675">
        <v>0</v>
      </c>
      <c r="JT31" s="675">
        <v>0</v>
      </c>
      <c r="JU31" s="675">
        <v>0</v>
      </c>
      <c r="JV31" s="675">
        <v>30581</v>
      </c>
      <c r="JW31" s="675">
        <v>0</v>
      </c>
      <c r="JX31" s="675">
        <v>0</v>
      </c>
      <c r="JY31" s="675">
        <v>0</v>
      </c>
      <c r="JZ31" s="675">
        <v>0</v>
      </c>
      <c r="KA31" s="675">
        <v>0</v>
      </c>
      <c r="KB31" s="675">
        <v>0</v>
      </c>
      <c r="KC31" s="675">
        <v>0</v>
      </c>
      <c r="KD31" s="675">
        <v>0</v>
      </c>
      <c r="KE31" s="675">
        <v>7263</v>
      </c>
      <c r="KF31" s="675">
        <v>0</v>
      </c>
      <c r="KG31" s="675">
        <v>0</v>
      </c>
      <c r="KH31" s="675">
        <v>0</v>
      </c>
      <c r="KI31" s="675">
        <v>0</v>
      </c>
    </row>
    <row r="32" spans="1:295" ht="12.5" x14ac:dyDescent="0.25">
      <c r="A32" s="675">
        <v>35795</v>
      </c>
      <c r="B32" s="675">
        <v>15802</v>
      </c>
      <c r="C32" s="675">
        <v>7</v>
      </c>
      <c r="D32" s="675">
        <v>2022</v>
      </c>
      <c r="E32" s="675">
        <v>6160</v>
      </c>
      <c r="F32" s="675">
        <v>0</v>
      </c>
      <c r="G32" s="675">
        <v>595.50700000000006</v>
      </c>
      <c r="H32" s="675">
        <v>556.18600000000004</v>
      </c>
      <c r="I32" s="675">
        <v>556.18600000000004</v>
      </c>
      <c r="J32" s="675">
        <v>595.50700000000006</v>
      </c>
      <c r="K32" s="675">
        <v>0</v>
      </c>
      <c r="L32" s="675">
        <v>6160</v>
      </c>
      <c r="M32" s="675">
        <v>0</v>
      </c>
      <c r="N32" s="675">
        <v>0</v>
      </c>
      <c r="O32" s="675">
        <v>0</v>
      </c>
      <c r="P32" s="675">
        <v>672.71800000000007</v>
      </c>
      <c r="Q32" s="675">
        <v>0</v>
      </c>
      <c r="R32" s="675">
        <v>270721</v>
      </c>
      <c r="S32" s="675">
        <v>402.428</v>
      </c>
      <c r="T32" s="675">
        <v>0</v>
      </c>
      <c r="U32" s="675">
        <v>143961</v>
      </c>
      <c r="V32" s="675">
        <v>74.498000000000005</v>
      </c>
      <c r="W32" s="675">
        <v>59894</v>
      </c>
      <c r="X32" s="675">
        <v>59894</v>
      </c>
      <c r="Y32" s="675">
        <v>0</v>
      </c>
      <c r="Z32" s="675">
        <v>0</v>
      </c>
      <c r="AA32" s="675">
        <v>0</v>
      </c>
      <c r="AB32" s="675">
        <v>0</v>
      </c>
      <c r="AC32" s="675">
        <v>0</v>
      </c>
      <c r="AD32" s="675" t="s">
        <v>316</v>
      </c>
      <c r="AE32" s="675">
        <v>0</v>
      </c>
      <c r="AF32" s="675">
        <v>0</v>
      </c>
      <c r="AG32" s="675">
        <v>0</v>
      </c>
      <c r="AH32" s="675">
        <v>0</v>
      </c>
      <c r="AI32" s="675">
        <v>0</v>
      </c>
      <c r="AJ32" s="675">
        <v>6160</v>
      </c>
      <c r="AK32" s="675" t="s">
        <v>671</v>
      </c>
      <c r="AL32" s="675" t="s">
        <v>56</v>
      </c>
      <c r="AM32" s="675">
        <v>0</v>
      </c>
      <c r="AN32" s="675">
        <v>0</v>
      </c>
      <c r="AO32" s="675">
        <v>0</v>
      </c>
      <c r="AP32" s="675">
        <v>0</v>
      </c>
      <c r="AQ32" s="675">
        <v>0</v>
      </c>
      <c r="AR32" s="675">
        <v>0</v>
      </c>
      <c r="AS32" s="675">
        <v>0</v>
      </c>
      <c r="AT32" s="675">
        <v>0</v>
      </c>
      <c r="AU32" s="675">
        <v>0</v>
      </c>
      <c r="AV32" s="675">
        <v>-47744</v>
      </c>
      <c r="AW32" s="675">
        <v>7003801</v>
      </c>
      <c r="AX32" s="675">
        <v>6882209</v>
      </c>
      <c r="AY32" s="675">
        <v>4887994</v>
      </c>
      <c r="AZ32" s="675">
        <v>270721</v>
      </c>
      <c r="BA32" s="675">
        <v>0</v>
      </c>
      <c r="BB32" s="675">
        <v>6037</v>
      </c>
      <c r="BC32" s="675">
        <v>5998</v>
      </c>
      <c r="BD32" s="675">
        <v>14</v>
      </c>
      <c r="BE32" s="675">
        <v>39</v>
      </c>
      <c r="BF32" s="675">
        <v>6324392</v>
      </c>
      <c r="BG32" s="675">
        <v>0</v>
      </c>
      <c r="BH32" s="675">
        <v>0</v>
      </c>
      <c r="BI32" s="675">
        <v>0</v>
      </c>
      <c r="BJ32" s="675">
        <v>12</v>
      </c>
      <c r="BK32" s="675">
        <v>0</v>
      </c>
      <c r="BL32" s="675">
        <v>0</v>
      </c>
      <c r="BM32" s="675">
        <v>0</v>
      </c>
      <c r="BN32" s="675">
        <v>0</v>
      </c>
      <c r="BO32" s="675">
        <v>0</v>
      </c>
      <c r="BP32" s="675">
        <v>0</v>
      </c>
      <c r="BQ32" s="675">
        <v>684</v>
      </c>
      <c r="BR32" s="675">
        <v>0</v>
      </c>
      <c r="BS32" s="675">
        <v>0</v>
      </c>
      <c r="BT32" s="675">
        <v>0</v>
      </c>
      <c r="BU32" s="675">
        <v>0</v>
      </c>
      <c r="BV32" s="675">
        <v>0</v>
      </c>
      <c r="BW32" s="675">
        <v>0</v>
      </c>
      <c r="BX32" s="675">
        <v>0</v>
      </c>
      <c r="BY32" s="675">
        <v>0</v>
      </c>
      <c r="BZ32" s="675">
        <v>0</v>
      </c>
      <c r="CA32" s="675">
        <v>0</v>
      </c>
      <c r="CB32" s="675">
        <v>0</v>
      </c>
      <c r="CC32" s="675">
        <v>0</v>
      </c>
      <c r="CD32" s="675">
        <v>0</v>
      </c>
      <c r="CE32" s="675">
        <v>0</v>
      </c>
      <c r="CF32" s="675">
        <v>0</v>
      </c>
      <c r="CG32" s="675">
        <v>0</v>
      </c>
      <c r="CH32" s="675">
        <v>124256</v>
      </c>
      <c r="CI32" s="675">
        <v>0</v>
      </c>
      <c r="CJ32" s="675">
        <v>4</v>
      </c>
      <c r="CK32" s="675">
        <v>0</v>
      </c>
      <c r="CL32" s="675">
        <v>0</v>
      </c>
      <c r="CM32" s="675">
        <v>0</v>
      </c>
      <c r="CN32" s="675">
        <v>0</v>
      </c>
      <c r="CO32" s="675">
        <v>1</v>
      </c>
      <c r="CP32" s="675">
        <v>0</v>
      </c>
      <c r="CQ32" s="675">
        <v>0</v>
      </c>
      <c r="CR32" s="675">
        <v>708.346</v>
      </c>
      <c r="CS32" s="675">
        <v>0</v>
      </c>
      <c r="CT32" s="675">
        <v>0</v>
      </c>
      <c r="CU32" s="675">
        <v>0</v>
      </c>
      <c r="CV32" s="675">
        <v>0</v>
      </c>
      <c r="CW32" s="675">
        <v>0</v>
      </c>
      <c r="CX32" s="675">
        <v>0</v>
      </c>
      <c r="CY32" s="675">
        <v>0</v>
      </c>
      <c r="CZ32" s="675">
        <v>0</v>
      </c>
      <c r="DA32" s="675">
        <v>0</v>
      </c>
      <c r="DB32" s="675">
        <v>3426090</v>
      </c>
      <c r="DC32" s="675">
        <v>0</v>
      </c>
      <c r="DD32" s="675">
        <v>0</v>
      </c>
      <c r="DE32" s="675">
        <v>1076609</v>
      </c>
      <c r="DF32" s="675">
        <v>1076609</v>
      </c>
      <c r="DG32" s="675">
        <v>174.77500000000001</v>
      </c>
      <c r="DH32" s="675">
        <v>0</v>
      </c>
      <c r="DI32" s="675">
        <v>0</v>
      </c>
      <c r="DJ32" s="675">
        <v>0</v>
      </c>
      <c r="DK32" s="675">
        <v>2572</v>
      </c>
      <c r="DL32" s="675">
        <v>0</v>
      </c>
      <c r="DM32" s="675">
        <v>697659</v>
      </c>
      <c r="DN32" s="675">
        <v>2624</v>
      </c>
      <c r="DO32" s="675">
        <v>0</v>
      </c>
      <c r="DP32" s="675">
        <v>0</v>
      </c>
      <c r="DQ32" s="675">
        <v>0</v>
      </c>
      <c r="DR32" s="675">
        <v>0</v>
      </c>
      <c r="DS32" s="675">
        <v>0</v>
      </c>
      <c r="DT32" s="675">
        <v>0</v>
      </c>
      <c r="DU32" s="675">
        <v>0</v>
      </c>
      <c r="DV32" s="675">
        <v>0</v>
      </c>
      <c r="DW32" s="675">
        <v>0</v>
      </c>
      <c r="DX32" s="675">
        <v>0</v>
      </c>
      <c r="DY32" s="675">
        <v>0</v>
      </c>
      <c r="DZ32" s="675">
        <v>0</v>
      </c>
      <c r="EA32" s="675">
        <v>0</v>
      </c>
      <c r="EB32" s="675">
        <v>0</v>
      </c>
      <c r="EC32" s="675">
        <v>39.759</v>
      </c>
      <c r="ED32" s="675">
        <v>281651</v>
      </c>
      <c r="EE32" s="675">
        <v>0</v>
      </c>
      <c r="EF32" s="675">
        <v>0</v>
      </c>
      <c r="EG32" s="675">
        <v>0</v>
      </c>
      <c r="EH32" s="675">
        <v>418632</v>
      </c>
      <c r="EI32" s="675">
        <v>0</v>
      </c>
      <c r="EJ32" s="675">
        <v>0</v>
      </c>
      <c r="EK32" s="675">
        <v>19.900000000000002</v>
      </c>
      <c r="EL32" s="675">
        <v>0</v>
      </c>
      <c r="EM32" s="675">
        <v>0</v>
      </c>
      <c r="EN32" s="675">
        <v>1.6520000000000001</v>
      </c>
      <c r="EO32" s="675">
        <v>0</v>
      </c>
      <c r="EP32" s="675">
        <v>0</v>
      </c>
      <c r="EQ32" s="675">
        <v>21.552</v>
      </c>
      <c r="ER32" s="675">
        <v>0</v>
      </c>
      <c r="ES32" s="675">
        <v>67.960000000000008</v>
      </c>
      <c r="ET32" s="675">
        <v>0</v>
      </c>
      <c r="EU32" s="675">
        <v>0</v>
      </c>
      <c r="EV32" s="675">
        <v>0</v>
      </c>
      <c r="EW32" s="675">
        <v>0</v>
      </c>
      <c r="EX32" s="675">
        <v>0</v>
      </c>
      <c r="EY32" s="675">
        <v>0</v>
      </c>
      <c r="EZ32" s="675">
        <v>6105833</v>
      </c>
      <c r="FA32" s="675">
        <v>0</v>
      </c>
      <c r="FB32" s="675">
        <v>6373890</v>
      </c>
      <c r="FC32" s="675">
        <v>0</v>
      </c>
      <c r="FD32" s="675">
        <v>0</v>
      </c>
      <c r="FE32" s="675">
        <v>643320</v>
      </c>
      <c r="FF32" s="675">
        <v>133056</v>
      </c>
      <c r="FG32" s="675">
        <v>6.3574999999999993E-2</v>
      </c>
      <c r="FH32" s="675">
        <v>2.6297999999999998E-2</v>
      </c>
      <c r="FI32" s="675">
        <v>0</v>
      </c>
      <c r="FJ32" s="675">
        <v>0</v>
      </c>
      <c r="FK32" s="675">
        <v>1026.692</v>
      </c>
      <c r="FL32" s="675">
        <v>7274522</v>
      </c>
      <c r="FM32" s="675">
        <v>0</v>
      </c>
      <c r="FN32" s="675">
        <v>0</v>
      </c>
      <c r="FO32" s="675">
        <v>49685</v>
      </c>
      <c r="FP32" s="675">
        <v>0</v>
      </c>
      <c r="FQ32" s="675">
        <v>49685</v>
      </c>
      <c r="FR32" s="675">
        <v>49685</v>
      </c>
      <c r="FS32" s="675">
        <v>0</v>
      </c>
      <c r="FT32" s="675">
        <v>0</v>
      </c>
      <c r="FU32" s="675">
        <v>0</v>
      </c>
      <c r="FV32" s="675">
        <v>0</v>
      </c>
      <c r="FW32" s="675">
        <v>0</v>
      </c>
      <c r="FX32" s="675">
        <v>0</v>
      </c>
      <c r="FY32" s="675">
        <v>0</v>
      </c>
      <c r="FZ32" s="675">
        <v>0</v>
      </c>
      <c r="GA32" s="675">
        <v>0</v>
      </c>
      <c r="GB32" s="675">
        <v>165629</v>
      </c>
      <c r="GC32" s="675">
        <v>165629</v>
      </c>
      <c r="GD32" s="675">
        <v>17.769000000000002</v>
      </c>
      <c r="GE32" s="675">
        <v>0</v>
      </c>
      <c r="GF32" s="675">
        <v>0</v>
      </c>
      <c r="GG32" s="675">
        <v>0</v>
      </c>
      <c r="GH32" s="675">
        <v>0</v>
      </c>
      <c r="GI32" s="675">
        <v>0</v>
      </c>
      <c r="GJ32" s="675">
        <v>0</v>
      </c>
      <c r="GK32" s="675">
        <v>0</v>
      </c>
      <c r="GL32" s="675">
        <v>0</v>
      </c>
      <c r="GM32" s="675">
        <v>0</v>
      </c>
      <c r="GN32" s="675">
        <v>0</v>
      </c>
      <c r="GO32" s="675">
        <v>0</v>
      </c>
      <c r="GP32" s="675">
        <v>0</v>
      </c>
      <c r="GQ32" s="675">
        <v>0</v>
      </c>
      <c r="GR32" s="675">
        <v>0</v>
      </c>
      <c r="GS32" s="675">
        <v>0</v>
      </c>
      <c r="GT32" s="675">
        <v>0</v>
      </c>
      <c r="GU32" s="675">
        <v>0</v>
      </c>
      <c r="GV32" s="675">
        <v>0</v>
      </c>
      <c r="GW32" s="675">
        <v>0</v>
      </c>
      <c r="GX32" s="675">
        <v>0</v>
      </c>
      <c r="GY32" s="675">
        <v>0</v>
      </c>
      <c r="GZ32" s="675">
        <v>0</v>
      </c>
      <c r="HA32" s="675">
        <v>0</v>
      </c>
      <c r="HB32" s="675">
        <v>0</v>
      </c>
      <c r="HC32" s="675">
        <v>4.4138999999999998E-2</v>
      </c>
      <c r="HD32" s="675">
        <v>0</v>
      </c>
      <c r="HE32" s="675">
        <v>0</v>
      </c>
      <c r="HF32" s="675">
        <v>613473</v>
      </c>
      <c r="HG32" s="675">
        <v>9240</v>
      </c>
      <c r="HH32" s="675">
        <v>186149</v>
      </c>
      <c r="HI32" s="675">
        <v>0</v>
      </c>
      <c r="HJ32" s="675">
        <v>5788</v>
      </c>
      <c r="HK32" s="675">
        <v>1386</v>
      </c>
      <c r="HL32" s="675">
        <v>1091</v>
      </c>
      <c r="HM32" s="675">
        <v>5000</v>
      </c>
      <c r="HN32" s="675">
        <v>0</v>
      </c>
      <c r="HO32" s="675">
        <v>70200</v>
      </c>
      <c r="HP32" s="675">
        <v>0</v>
      </c>
      <c r="HQ32" s="675">
        <v>0</v>
      </c>
      <c r="HR32" s="675">
        <v>0</v>
      </c>
      <c r="HS32" s="675">
        <v>6103169</v>
      </c>
      <c r="HT32" s="675">
        <v>133056</v>
      </c>
      <c r="HU32" s="675">
        <v>0</v>
      </c>
      <c r="HV32" s="675">
        <v>0</v>
      </c>
      <c r="HW32" s="675">
        <v>0</v>
      </c>
      <c r="HX32" s="675">
        <v>25</v>
      </c>
      <c r="HY32" s="675">
        <v>108</v>
      </c>
      <c r="HZ32" s="675">
        <v>147</v>
      </c>
      <c r="IA32" s="675">
        <v>106</v>
      </c>
      <c r="IB32" s="675">
        <v>287</v>
      </c>
      <c r="IC32" s="675">
        <v>673</v>
      </c>
      <c r="ID32" s="675">
        <v>0</v>
      </c>
      <c r="IE32" s="675">
        <v>12.744</v>
      </c>
      <c r="IF32" s="675">
        <v>7.2330000000000005</v>
      </c>
      <c r="IG32" s="675">
        <v>15</v>
      </c>
      <c r="IH32" s="675">
        <v>302.19100000000003</v>
      </c>
      <c r="II32" s="675">
        <v>0</v>
      </c>
      <c r="IJ32" s="675">
        <v>94.475000000000009</v>
      </c>
      <c r="IK32" s="675">
        <v>0</v>
      </c>
      <c r="IL32" s="675">
        <v>1</v>
      </c>
      <c r="IM32" s="675">
        <v>0</v>
      </c>
      <c r="IN32" s="675">
        <v>0</v>
      </c>
      <c r="IO32" s="675">
        <v>1</v>
      </c>
      <c r="IP32" s="675">
        <v>0</v>
      </c>
      <c r="IQ32" s="675">
        <v>74.498000000000005</v>
      </c>
      <c r="IR32" s="675">
        <v>45891</v>
      </c>
      <c r="IS32" s="675">
        <v>0</v>
      </c>
      <c r="IT32" s="675">
        <v>5000</v>
      </c>
      <c r="IU32" s="675">
        <v>0</v>
      </c>
      <c r="IV32" s="675">
        <v>0</v>
      </c>
      <c r="IW32" s="675">
        <v>6160</v>
      </c>
      <c r="IX32" s="675">
        <v>11775</v>
      </c>
      <c r="IY32" s="675">
        <v>2228</v>
      </c>
      <c r="IZ32" s="675">
        <v>0</v>
      </c>
      <c r="JA32" s="675">
        <v>0</v>
      </c>
      <c r="JB32" s="675">
        <v>0</v>
      </c>
      <c r="JC32" s="675">
        <v>0</v>
      </c>
      <c r="JD32" s="675">
        <v>0</v>
      </c>
      <c r="JE32" s="675">
        <v>0</v>
      </c>
      <c r="JF32" s="675">
        <v>0</v>
      </c>
      <c r="JG32" s="675">
        <v>0</v>
      </c>
      <c r="JH32" s="675">
        <v>0</v>
      </c>
      <c r="JI32" s="675">
        <v>0</v>
      </c>
      <c r="JJ32" s="675">
        <v>0</v>
      </c>
      <c r="JK32" s="675">
        <v>0</v>
      </c>
      <c r="JL32" s="675">
        <v>0</v>
      </c>
      <c r="JM32" s="675">
        <v>0</v>
      </c>
      <c r="JN32" s="675">
        <v>32469</v>
      </c>
      <c r="JO32" s="675">
        <v>0</v>
      </c>
      <c r="JP32" s="675">
        <v>17.452000000000002</v>
      </c>
      <c r="JQ32" s="675">
        <v>0.317</v>
      </c>
      <c r="JR32" s="675">
        <v>0</v>
      </c>
      <c r="JS32" s="675">
        <v>162245</v>
      </c>
      <c r="JT32" s="675">
        <v>3384</v>
      </c>
      <c r="JU32" s="675">
        <v>6037</v>
      </c>
      <c r="JV32" s="675">
        <v>0</v>
      </c>
      <c r="JW32" s="675">
        <v>0</v>
      </c>
      <c r="JX32" s="675">
        <v>0</v>
      </c>
      <c r="JY32" s="675">
        <v>0</v>
      </c>
      <c r="JZ32" s="675">
        <v>0</v>
      </c>
      <c r="KA32" s="675">
        <v>0</v>
      </c>
      <c r="KB32" s="675">
        <v>0</v>
      </c>
      <c r="KC32" s="675">
        <v>0</v>
      </c>
      <c r="KD32" s="675">
        <v>6037</v>
      </c>
      <c r="KE32" s="675">
        <v>7263</v>
      </c>
      <c r="KF32" s="675">
        <v>124256</v>
      </c>
      <c r="KG32" s="675">
        <v>0</v>
      </c>
      <c r="KH32" s="675">
        <v>0</v>
      </c>
      <c r="KI32" s="675">
        <v>0</v>
      </c>
    </row>
    <row r="33" spans="1:295" ht="12.5" x14ac:dyDescent="0.25">
      <c r="A33" s="675">
        <v>35795</v>
      </c>
      <c r="B33" s="675">
        <v>43802</v>
      </c>
      <c r="C33" s="675">
        <v>7</v>
      </c>
      <c r="D33" s="675">
        <v>2022</v>
      </c>
      <c r="E33" s="675">
        <v>6160</v>
      </c>
      <c r="F33" s="675">
        <v>0</v>
      </c>
      <c r="G33" s="675">
        <v>136.27000000000001</v>
      </c>
      <c r="H33" s="675">
        <v>135.40600000000001</v>
      </c>
      <c r="I33" s="675">
        <v>135.40600000000001</v>
      </c>
      <c r="J33" s="675">
        <v>136.27000000000001</v>
      </c>
      <c r="K33" s="675">
        <v>0</v>
      </c>
      <c r="L33" s="675">
        <v>6160</v>
      </c>
      <c r="M33" s="675">
        <v>0</v>
      </c>
      <c r="N33" s="675">
        <v>0</v>
      </c>
      <c r="O33" s="675">
        <v>0</v>
      </c>
      <c r="P33" s="675">
        <v>193.47300000000001</v>
      </c>
      <c r="Q33" s="675">
        <v>0</v>
      </c>
      <c r="R33" s="675">
        <v>77859</v>
      </c>
      <c r="S33" s="675">
        <v>402.428</v>
      </c>
      <c r="T33" s="675">
        <v>0</v>
      </c>
      <c r="U33" s="675">
        <v>41404</v>
      </c>
      <c r="V33" s="675">
        <v>19.64</v>
      </c>
      <c r="W33" s="675">
        <v>12098</v>
      </c>
      <c r="X33" s="675">
        <v>12098</v>
      </c>
      <c r="Y33" s="675">
        <v>0</v>
      </c>
      <c r="Z33" s="675">
        <v>0</v>
      </c>
      <c r="AA33" s="675">
        <v>0</v>
      </c>
      <c r="AB33" s="675">
        <v>0</v>
      </c>
      <c r="AC33" s="675">
        <v>0</v>
      </c>
      <c r="AD33" s="675" t="s">
        <v>316</v>
      </c>
      <c r="AE33" s="675">
        <v>0</v>
      </c>
      <c r="AF33" s="675">
        <v>0</v>
      </c>
      <c r="AG33" s="675">
        <v>0</v>
      </c>
      <c r="AH33" s="675">
        <v>0</v>
      </c>
      <c r="AI33" s="675">
        <v>0</v>
      </c>
      <c r="AJ33" s="675">
        <v>6160</v>
      </c>
      <c r="AK33" s="675" t="s">
        <v>671</v>
      </c>
      <c r="AL33" s="675" t="s">
        <v>446</v>
      </c>
      <c r="AM33" s="675">
        <v>0</v>
      </c>
      <c r="AN33" s="675">
        <v>0</v>
      </c>
      <c r="AO33" s="675">
        <v>0</v>
      </c>
      <c r="AP33" s="675">
        <v>0</v>
      </c>
      <c r="AQ33" s="675">
        <v>0</v>
      </c>
      <c r="AR33" s="675">
        <v>0</v>
      </c>
      <c r="AS33" s="675">
        <v>0</v>
      </c>
      <c r="AT33" s="675">
        <v>0</v>
      </c>
      <c r="AU33" s="675">
        <v>0</v>
      </c>
      <c r="AV33" s="675">
        <v>0</v>
      </c>
      <c r="AW33" s="675">
        <v>1106139</v>
      </c>
      <c r="AX33" s="675">
        <v>1078917</v>
      </c>
      <c r="AY33" s="675">
        <v>998944</v>
      </c>
      <c r="AZ33" s="675">
        <v>77859</v>
      </c>
      <c r="BA33" s="675">
        <v>0</v>
      </c>
      <c r="BB33" s="675">
        <v>0</v>
      </c>
      <c r="BC33" s="675">
        <v>0</v>
      </c>
      <c r="BD33" s="675">
        <v>0</v>
      </c>
      <c r="BE33" s="675">
        <v>0</v>
      </c>
      <c r="BF33" s="675">
        <v>1030298</v>
      </c>
      <c r="BG33" s="675">
        <v>0</v>
      </c>
      <c r="BH33" s="675">
        <v>0</v>
      </c>
      <c r="BI33" s="675">
        <v>0</v>
      </c>
      <c r="BJ33" s="675">
        <v>12</v>
      </c>
      <c r="BK33" s="675">
        <v>0</v>
      </c>
      <c r="BL33" s="675">
        <v>0</v>
      </c>
      <c r="BM33" s="675">
        <v>0</v>
      </c>
      <c r="BN33" s="675">
        <v>0</v>
      </c>
      <c r="BO33" s="675">
        <v>0</v>
      </c>
      <c r="BP33" s="675">
        <v>0</v>
      </c>
      <c r="BQ33" s="675">
        <v>749</v>
      </c>
      <c r="BR33" s="675">
        <v>0</v>
      </c>
      <c r="BS33" s="675">
        <v>0</v>
      </c>
      <c r="BT33" s="675">
        <v>0</v>
      </c>
      <c r="BU33" s="675">
        <v>0</v>
      </c>
      <c r="BV33" s="675">
        <v>0</v>
      </c>
      <c r="BW33" s="675">
        <v>0</v>
      </c>
      <c r="BX33" s="675">
        <v>0</v>
      </c>
      <c r="BY33" s="675">
        <v>0</v>
      </c>
      <c r="BZ33" s="675">
        <v>0</v>
      </c>
      <c r="CA33" s="675">
        <v>0</v>
      </c>
      <c r="CB33" s="675">
        <v>0</v>
      </c>
      <c r="CC33" s="675">
        <v>0</v>
      </c>
      <c r="CD33" s="675">
        <v>0</v>
      </c>
      <c r="CE33" s="675">
        <v>0</v>
      </c>
      <c r="CF33" s="675">
        <v>0</v>
      </c>
      <c r="CG33" s="675">
        <v>0</v>
      </c>
      <c r="CH33" s="675">
        <v>27294</v>
      </c>
      <c r="CI33" s="675">
        <v>0</v>
      </c>
      <c r="CJ33" s="675">
        <v>5</v>
      </c>
      <c r="CK33" s="675">
        <v>0</v>
      </c>
      <c r="CL33" s="675">
        <v>0</v>
      </c>
      <c r="CM33" s="675">
        <v>0</v>
      </c>
      <c r="CN33" s="675">
        <v>0</v>
      </c>
      <c r="CO33" s="675">
        <v>1</v>
      </c>
      <c r="CP33" s="675">
        <v>0</v>
      </c>
      <c r="CQ33" s="675">
        <v>0</v>
      </c>
      <c r="CR33" s="675">
        <v>258.72899999999998</v>
      </c>
      <c r="CS33" s="675">
        <v>0</v>
      </c>
      <c r="CT33" s="675">
        <v>0</v>
      </c>
      <c r="CU33" s="675">
        <v>0</v>
      </c>
      <c r="CV33" s="675">
        <v>0</v>
      </c>
      <c r="CW33" s="675">
        <v>0</v>
      </c>
      <c r="CX33" s="675">
        <v>0</v>
      </c>
      <c r="CY33" s="675">
        <v>0</v>
      </c>
      <c r="CZ33" s="675">
        <v>0</v>
      </c>
      <c r="DA33" s="675">
        <v>0</v>
      </c>
      <c r="DB33" s="675">
        <v>773056</v>
      </c>
      <c r="DC33" s="675">
        <v>0</v>
      </c>
      <c r="DD33" s="675">
        <v>0</v>
      </c>
      <c r="DE33" s="675">
        <v>4158</v>
      </c>
      <c r="DF33" s="675">
        <v>4158</v>
      </c>
      <c r="DG33" s="675">
        <v>0.67500000000000004</v>
      </c>
      <c r="DH33" s="675">
        <v>0</v>
      </c>
      <c r="DI33" s="675">
        <v>0</v>
      </c>
      <c r="DJ33" s="675">
        <v>0</v>
      </c>
      <c r="DK33" s="675">
        <v>3609</v>
      </c>
      <c r="DL33" s="675">
        <v>0</v>
      </c>
      <c r="DM33" s="675">
        <v>80140</v>
      </c>
      <c r="DN33" s="675">
        <v>72</v>
      </c>
      <c r="DO33" s="675">
        <v>0</v>
      </c>
      <c r="DP33" s="675">
        <v>0</v>
      </c>
      <c r="DQ33" s="675">
        <v>0</v>
      </c>
      <c r="DR33" s="675">
        <v>0</v>
      </c>
      <c r="DS33" s="675">
        <v>0</v>
      </c>
      <c r="DT33" s="675">
        <v>0</v>
      </c>
      <c r="DU33" s="675">
        <v>0</v>
      </c>
      <c r="DV33" s="675">
        <v>0</v>
      </c>
      <c r="DW33" s="675">
        <v>0</v>
      </c>
      <c r="DX33" s="675">
        <v>0</v>
      </c>
      <c r="DY33" s="675">
        <v>0</v>
      </c>
      <c r="DZ33" s="675">
        <v>0</v>
      </c>
      <c r="EA33" s="675">
        <v>0</v>
      </c>
      <c r="EB33" s="675">
        <v>0</v>
      </c>
      <c r="EC33" s="675">
        <v>3.5000000000000003E-2</v>
      </c>
      <c r="ED33" s="675">
        <v>248</v>
      </c>
      <c r="EE33" s="675">
        <v>0</v>
      </c>
      <c r="EF33" s="675">
        <v>0</v>
      </c>
      <c r="EG33" s="675">
        <v>0</v>
      </c>
      <c r="EH33" s="675">
        <v>18923</v>
      </c>
      <c r="EI33" s="675">
        <v>0</v>
      </c>
      <c r="EJ33" s="675">
        <v>0</v>
      </c>
      <c r="EK33" s="675">
        <v>0.624</v>
      </c>
      <c r="EL33" s="675">
        <v>0</v>
      </c>
      <c r="EM33" s="675">
        <v>0</v>
      </c>
      <c r="EN33" s="675">
        <v>0.24</v>
      </c>
      <c r="EO33" s="675">
        <v>0</v>
      </c>
      <c r="EP33" s="675">
        <v>0</v>
      </c>
      <c r="EQ33" s="675">
        <v>0.86399999999999999</v>
      </c>
      <c r="ER33" s="675">
        <v>0</v>
      </c>
      <c r="ES33" s="675">
        <v>3.0720000000000001</v>
      </c>
      <c r="ET33" s="675">
        <v>0</v>
      </c>
      <c r="EU33" s="675">
        <v>0</v>
      </c>
      <c r="EV33" s="675">
        <v>0</v>
      </c>
      <c r="EW33" s="675">
        <v>0</v>
      </c>
      <c r="EX33" s="675">
        <v>0</v>
      </c>
      <c r="EY33" s="675">
        <v>0</v>
      </c>
      <c r="EZ33" s="675">
        <v>952439</v>
      </c>
      <c r="FA33" s="675">
        <v>0</v>
      </c>
      <c r="FB33" s="675">
        <v>1030226</v>
      </c>
      <c r="FC33" s="675">
        <v>0</v>
      </c>
      <c r="FD33" s="675">
        <v>0</v>
      </c>
      <c r="FE33" s="675">
        <v>104802</v>
      </c>
      <c r="FF33" s="675">
        <v>21676</v>
      </c>
      <c r="FG33" s="675">
        <v>6.3574999999999993E-2</v>
      </c>
      <c r="FH33" s="675">
        <v>2.6297999999999998E-2</v>
      </c>
      <c r="FI33" s="675">
        <v>0</v>
      </c>
      <c r="FJ33" s="675">
        <v>0</v>
      </c>
      <c r="FK33" s="675">
        <v>167.25700000000001</v>
      </c>
      <c r="FL33" s="675">
        <v>1183998</v>
      </c>
      <c r="FM33" s="675">
        <v>0</v>
      </c>
      <c r="FN33" s="675">
        <v>0</v>
      </c>
      <c r="FO33" s="675">
        <v>0</v>
      </c>
      <c r="FP33" s="675">
        <v>0</v>
      </c>
      <c r="FQ33" s="675">
        <v>0</v>
      </c>
      <c r="FR33" s="675">
        <v>0</v>
      </c>
      <c r="FS33" s="675">
        <v>0</v>
      </c>
      <c r="FT33" s="675">
        <v>0</v>
      </c>
      <c r="FU33" s="675">
        <v>0</v>
      </c>
      <c r="FV33" s="675">
        <v>0</v>
      </c>
      <c r="FW33" s="675">
        <v>0</v>
      </c>
      <c r="FX33" s="675">
        <v>0</v>
      </c>
      <c r="FY33" s="675">
        <v>0</v>
      </c>
      <c r="FZ33" s="675">
        <v>0</v>
      </c>
      <c r="GA33" s="675">
        <v>0</v>
      </c>
      <c r="GB33" s="675">
        <v>0</v>
      </c>
      <c r="GC33" s="675">
        <v>0</v>
      </c>
      <c r="GD33" s="675">
        <v>0</v>
      </c>
      <c r="GE33" s="675">
        <v>0</v>
      </c>
      <c r="GF33" s="675">
        <v>0</v>
      </c>
      <c r="GG33" s="675">
        <v>0</v>
      </c>
      <c r="GH33" s="675">
        <v>0</v>
      </c>
      <c r="GI33" s="675">
        <v>0</v>
      </c>
      <c r="GJ33" s="675">
        <v>0</v>
      </c>
      <c r="GK33" s="675">
        <v>0</v>
      </c>
      <c r="GL33" s="675">
        <v>0</v>
      </c>
      <c r="GM33" s="675">
        <v>0</v>
      </c>
      <c r="GN33" s="675">
        <v>0</v>
      </c>
      <c r="GO33" s="675">
        <v>0</v>
      </c>
      <c r="GP33" s="675">
        <v>0</v>
      </c>
      <c r="GQ33" s="675">
        <v>0</v>
      </c>
      <c r="GR33" s="675">
        <v>0</v>
      </c>
      <c r="GS33" s="675">
        <v>0</v>
      </c>
      <c r="GT33" s="675">
        <v>0</v>
      </c>
      <c r="GU33" s="675">
        <v>0</v>
      </c>
      <c r="GV33" s="675">
        <v>0</v>
      </c>
      <c r="GW33" s="675">
        <v>0</v>
      </c>
      <c r="GX33" s="675">
        <v>0</v>
      </c>
      <c r="GY33" s="675">
        <v>0</v>
      </c>
      <c r="GZ33" s="675">
        <v>0</v>
      </c>
      <c r="HA33" s="675">
        <v>0</v>
      </c>
      <c r="HB33" s="675">
        <v>308877260</v>
      </c>
      <c r="HC33" s="675">
        <v>4.4138999999999998E-2</v>
      </c>
      <c r="HD33" s="675">
        <v>24059</v>
      </c>
      <c r="HE33" s="675">
        <v>0</v>
      </c>
      <c r="HF33" s="675">
        <v>149353</v>
      </c>
      <c r="HG33" s="675">
        <v>924</v>
      </c>
      <c r="HH33" s="675">
        <v>9172</v>
      </c>
      <c r="HI33" s="675">
        <v>0</v>
      </c>
      <c r="HJ33" s="675">
        <v>1325</v>
      </c>
      <c r="HK33" s="675">
        <v>0</v>
      </c>
      <c r="HL33" s="675">
        <v>0</v>
      </c>
      <c r="HM33" s="675">
        <v>0</v>
      </c>
      <c r="HN33" s="675">
        <v>0</v>
      </c>
      <c r="HO33" s="675">
        <v>0</v>
      </c>
      <c r="HP33" s="675">
        <v>0</v>
      </c>
      <c r="HQ33" s="675">
        <v>0</v>
      </c>
      <c r="HR33" s="675">
        <v>0</v>
      </c>
      <c r="HS33" s="675">
        <v>952367</v>
      </c>
      <c r="HT33" s="675">
        <v>21676</v>
      </c>
      <c r="HU33" s="675">
        <v>3235</v>
      </c>
      <c r="HV33" s="675">
        <v>0</v>
      </c>
      <c r="HW33" s="675">
        <v>0</v>
      </c>
      <c r="HX33" s="675">
        <v>3</v>
      </c>
      <c r="HY33" s="675">
        <v>0</v>
      </c>
      <c r="HZ33" s="675">
        <v>0</v>
      </c>
      <c r="IA33" s="675">
        <v>0</v>
      </c>
      <c r="IB33" s="675">
        <v>0</v>
      </c>
      <c r="IC33" s="675">
        <v>3</v>
      </c>
      <c r="ID33" s="675">
        <v>0</v>
      </c>
      <c r="IE33" s="675">
        <v>0</v>
      </c>
      <c r="IF33" s="675">
        <v>0</v>
      </c>
      <c r="IG33" s="675">
        <v>1.5</v>
      </c>
      <c r="IH33" s="675">
        <v>14.89</v>
      </c>
      <c r="II33" s="675">
        <v>0</v>
      </c>
      <c r="IJ33" s="675">
        <v>19.64</v>
      </c>
      <c r="IK33" s="675">
        <v>0</v>
      </c>
      <c r="IL33" s="675">
        <v>0</v>
      </c>
      <c r="IM33" s="675">
        <v>0</v>
      </c>
      <c r="IN33" s="675">
        <v>0</v>
      </c>
      <c r="IO33" s="675">
        <v>0</v>
      </c>
      <c r="IP33" s="675">
        <v>0</v>
      </c>
      <c r="IQ33" s="675">
        <v>19.64</v>
      </c>
      <c r="IR33" s="675">
        <v>12098</v>
      </c>
      <c r="IS33" s="675">
        <v>0</v>
      </c>
      <c r="IT33" s="675">
        <v>0</v>
      </c>
      <c r="IU33" s="675">
        <v>0</v>
      </c>
      <c r="IV33" s="675">
        <v>0</v>
      </c>
      <c r="IW33" s="675">
        <v>6160</v>
      </c>
      <c r="IX33" s="675">
        <v>0</v>
      </c>
      <c r="IY33" s="675">
        <v>0</v>
      </c>
      <c r="IZ33" s="675">
        <v>0</v>
      </c>
      <c r="JA33" s="675">
        <v>0</v>
      </c>
      <c r="JB33" s="675">
        <v>0</v>
      </c>
      <c r="JC33" s="675">
        <v>0</v>
      </c>
      <c r="JD33" s="675">
        <v>0</v>
      </c>
      <c r="JE33" s="675">
        <v>0</v>
      </c>
      <c r="JF33" s="675">
        <v>0</v>
      </c>
      <c r="JG33" s="675">
        <v>0</v>
      </c>
      <c r="JH33" s="675">
        <v>0</v>
      </c>
      <c r="JI33" s="675">
        <v>0</v>
      </c>
      <c r="JJ33" s="675">
        <v>0</v>
      </c>
      <c r="JK33" s="675">
        <v>0</v>
      </c>
      <c r="JL33" s="675">
        <v>0</v>
      </c>
      <c r="JM33" s="675">
        <v>0</v>
      </c>
      <c r="JN33" s="675">
        <v>32469</v>
      </c>
      <c r="JO33" s="675">
        <v>0</v>
      </c>
      <c r="JP33" s="675">
        <v>0</v>
      </c>
      <c r="JQ33" s="675">
        <v>0</v>
      </c>
      <c r="JR33" s="675">
        <v>0</v>
      </c>
      <c r="JS33" s="675">
        <v>0</v>
      </c>
      <c r="JT33" s="675">
        <v>0</v>
      </c>
      <c r="JU33" s="675">
        <v>0</v>
      </c>
      <c r="JV33" s="675">
        <v>3235</v>
      </c>
      <c r="JW33" s="675">
        <v>0</v>
      </c>
      <c r="JX33" s="675">
        <v>0</v>
      </c>
      <c r="JY33" s="675">
        <v>0</v>
      </c>
      <c r="JZ33" s="675">
        <v>0</v>
      </c>
      <c r="KA33" s="675">
        <v>0</v>
      </c>
      <c r="KB33" s="675">
        <v>0</v>
      </c>
      <c r="KC33" s="675">
        <v>0</v>
      </c>
      <c r="KD33" s="675">
        <v>0</v>
      </c>
      <c r="KE33" s="675">
        <v>7263</v>
      </c>
      <c r="KF33" s="675">
        <v>0</v>
      </c>
      <c r="KG33" s="675">
        <v>0</v>
      </c>
      <c r="KH33" s="675">
        <v>0</v>
      </c>
      <c r="KI33" s="675">
        <v>0</v>
      </c>
    </row>
    <row r="34" spans="1:295" ht="12.5" x14ac:dyDescent="0.25">
      <c r="A34" s="675">
        <v>35795</v>
      </c>
      <c r="B34" s="675">
        <v>46802</v>
      </c>
      <c r="C34" s="675">
        <v>7</v>
      </c>
      <c r="D34" s="675">
        <v>2022</v>
      </c>
      <c r="E34" s="675">
        <v>6160</v>
      </c>
      <c r="F34" s="675">
        <v>0</v>
      </c>
      <c r="G34" s="675">
        <v>341.24600000000004</v>
      </c>
      <c r="H34" s="675">
        <v>216.61500000000001</v>
      </c>
      <c r="I34" s="675">
        <v>216.61500000000001</v>
      </c>
      <c r="J34" s="675">
        <v>341.24600000000004</v>
      </c>
      <c r="K34" s="675">
        <v>0</v>
      </c>
      <c r="L34" s="675">
        <v>6160</v>
      </c>
      <c r="M34" s="675">
        <v>0</v>
      </c>
      <c r="N34" s="675">
        <v>0</v>
      </c>
      <c r="O34" s="675">
        <v>0</v>
      </c>
      <c r="P34" s="675">
        <v>395.7</v>
      </c>
      <c r="Q34" s="675">
        <v>0</v>
      </c>
      <c r="R34" s="675">
        <v>159241</v>
      </c>
      <c r="S34" s="675">
        <v>402.428</v>
      </c>
      <c r="T34" s="675">
        <v>0</v>
      </c>
      <c r="U34" s="675">
        <v>84679</v>
      </c>
      <c r="V34" s="675">
        <v>15.033000000000001</v>
      </c>
      <c r="W34" s="675">
        <v>9260</v>
      </c>
      <c r="X34" s="675">
        <v>9260</v>
      </c>
      <c r="Y34" s="675">
        <v>0</v>
      </c>
      <c r="Z34" s="675">
        <v>0</v>
      </c>
      <c r="AA34" s="675">
        <v>0</v>
      </c>
      <c r="AB34" s="675">
        <v>0</v>
      </c>
      <c r="AC34" s="675">
        <v>0</v>
      </c>
      <c r="AD34" s="675" t="s">
        <v>316</v>
      </c>
      <c r="AE34" s="675">
        <v>0</v>
      </c>
      <c r="AF34" s="675">
        <v>0</v>
      </c>
      <c r="AG34" s="675">
        <v>0</v>
      </c>
      <c r="AH34" s="675">
        <v>0</v>
      </c>
      <c r="AI34" s="675">
        <v>0</v>
      </c>
      <c r="AJ34" s="675">
        <v>6160</v>
      </c>
      <c r="AK34" s="675" t="s">
        <v>671</v>
      </c>
      <c r="AL34" s="675" t="s">
        <v>42</v>
      </c>
      <c r="AM34" s="675">
        <v>0</v>
      </c>
      <c r="AN34" s="675">
        <v>0</v>
      </c>
      <c r="AO34" s="675">
        <v>0</v>
      </c>
      <c r="AP34" s="675">
        <v>0</v>
      </c>
      <c r="AQ34" s="675">
        <v>0</v>
      </c>
      <c r="AR34" s="675">
        <v>0</v>
      </c>
      <c r="AS34" s="675">
        <v>0</v>
      </c>
      <c r="AT34" s="675">
        <v>0</v>
      </c>
      <c r="AU34" s="675">
        <v>0</v>
      </c>
      <c r="AV34" s="675">
        <v>-1241</v>
      </c>
      <c r="AW34" s="675">
        <v>5928254</v>
      </c>
      <c r="AX34" s="675">
        <v>5719690</v>
      </c>
      <c r="AY34" s="675">
        <v>3876568</v>
      </c>
      <c r="AZ34" s="675">
        <v>159241</v>
      </c>
      <c r="BA34" s="675">
        <v>0</v>
      </c>
      <c r="BB34" s="675">
        <v>0</v>
      </c>
      <c r="BC34" s="675">
        <v>0</v>
      </c>
      <c r="BD34" s="675">
        <v>0</v>
      </c>
      <c r="BE34" s="675">
        <v>0</v>
      </c>
      <c r="BF34" s="675">
        <v>5054641</v>
      </c>
      <c r="BG34" s="675">
        <v>0</v>
      </c>
      <c r="BH34" s="675">
        <v>0</v>
      </c>
      <c r="BI34" s="675">
        <v>0</v>
      </c>
      <c r="BJ34" s="675">
        <v>12</v>
      </c>
      <c r="BK34" s="675">
        <v>0</v>
      </c>
      <c r="BL34" s="675">
        <v>0</v>
      </c>
      <c r="BM34" s="675">
        <v>0</v>
      </c>
      <c r="BN34" s="675">
        <v>0</v>
      </c>
      <c r="BO34" s="675">
        <v>0</v>
      </c>
      <c r="BP34" s="675">
        <v>0</v>
      </c>
      <c r="BQ34" s="675">
        <v>737</v>
      </c>
      <c r="BR34" s="675">
        <v>0</v>
      </c>
      <c r="BS34" s="675">
        <v>0</v>
      </c>
      <c r="BT34" s="675">
        <v>0</v>
      </c>
      <c r="BU34" s="675">
        <v>0</v>
      </c>
      <c r="BV34" s="675">
        <v>0</v>
      </c>
      <c r="BW34" s="675">
        <v>0</v>
      </c>
      <c r="BX34" s="675">
        <v>0</v>
      </c>
      <c r="BY34" s="675">
        <v>0</v>
      </c>
      <c r="BZ34" s="675">
        <v>0</v>
      </c>
      <c r="CA34" s="675">
        <v>0</v>
      </c>
      <c r="CB34" s="675">
        <v>0</v>
      </c>
      <c r="CC34" s="675">
        <v>0</v>
      </c>
      <c r="CD34" s="675">
        <v>0</v>
      </c>
      <c r="CE34" s="675">
        <v>0</v>
      </c>
      <c r="CF34" s="675">
        <v>0</v>
      </c>
      <c r="CG34" s="675">
        <v>0</v>
      </c>
      <c r="CH34" s="675">
        <v>218970</v>
      </c>
      <c r="CI34" s="675">
        <v>0</v>
      </c>
      <c r="CJ34" s="675">
        <v>4</v>
      </c>
      <c r="CK34" s="675">
        <v>0</v>
      </c>
      <c r="CL34" s="675">
        <v>0</v>
      </c>
      <c r="CM34" s="675">
        <v>0</v>
      </c>
      <c r="CN34" s="675">
        <v>0</v>
      </c>
      <c r="CO34" s="675">
        <v>1</v>
      </c>
      <c r="CP34" s="675">
        <v>0</v>
      </c>
      <c r="CQ34" s="675">
        <v>0</v>
      </c>
      <c r="CR34" s="675">
        <v>396.68299999999999</v>
      </c>
      <c r="CS34" s="675">
        <v>0</v>
      </c>
      <c r="CT34" s="675">
        <v>0</v>
      </c>
      <c r="CU34" s="675">
        <v>0</v>
      </c>
      <c r="CV34" s="675">
        <v>0</v>
      </c>
      <c r="CW34" s="675">
        <v>0</v>
      </c>
      <c r="CX34" s="675">
        <v>0</v>
      </c>
      <c r="CY34" s="675">
        <v>0</v>
      </c>
      <c r="CZ34" s="675">
        <v>0</v>
      </c>
      <c r="DA34" s="675">
        <v>0</v>
      </c>
      <c r="DB34" s="675">
        <v>293355</v>
      </c>
      <c r="DC34" s="675">
        <v>0</v>
      </c>
      <c r="DD34" s="675">
        <v>0</v>
      </c>
      <c r="DE34" s="675">
        <v>587815</v>
      </c>
      <c r="DF34" s="675">
        <v>587815</v>
      </c>
      <c r="DG34" s="675">
        <v>95.425000000000011</v>
      </c>
      <c r="DH34" s="675">
        <v>0</v>
      </c>
      <c r="DI34" s="675">
        <v>0</v>
      </c>
      <c r="DJ34" s="675">
        <v>0</v>
      </c>
      <c r="DK34" s="675">
        <v>3409</v>
      </c>
      <c r="DL34" s="675">
        <v>0</v>
      </c>
      <c r="DM34" s="675">
        <v>3807102</v>
      </c>
      <c r="DN34" s="675">
        <v>10406</v>
      </c>
      <c r="DO34" s="675">
        <v>0</v>
      </c>
      <c r="DP34" s="675">
        <v>0</v>
      </c>
      <c r="DQ34" s="675">
        <v>0</v>
      </c>
      <c r="DR34" s="675">
        <v>0</v>
      </c>
      <c r="DS34" s="675">
        <v>0</v>
      </c>
      <c r="DT34" s="675">
        <v>0</v>
      </c>
      <c r="DU34" s="675">
        <v>0</v>
      </c>
      <c r="DV34" s="675">
        <v>0</v>
      </c>
      <c r="DW34" s="675">
        <v>0</v>
      </c>
      <c r="DX34" s="675">
        <v>0</v>
      </c>
      <c r="DY34" s="675">
        <v>0</v>
      </c>
      <c r="DZ34" s="675">
        <v>0</v>
      </c>
      <c r="EA34" s="675">
        <v>0</v>
      </c>
      <c r="EB34" s="675">
        <v>0</v>
      </c>
      <c r="EC34" s="675">
        <v>0</v>
      </c>
      <c r="ED34" s="675">
        <v>0</v>
      </c>
      <c r="EE34" s="675">
        <v>0</v>
      </c>
      <c r="EF34" s="675">
        <v>0</v>
      </c>
      <c r="EG34" s="675">
        <v>0</v>
      </c>
      <c r="EH34" s="675">
        <v>10349</v>
      </c>
      <c r="EI34" s="675">
        <v>2766172</v>
      </c>
      <c r="EJ34" s="675">
        <v>112.26400000000001</v>
      </c>
      <c r="EK34" s="675">
        <v>0</v>
      </c>
      <c r="EL34" s="675">
        <v>0</v>
      </c>
      <c r="EM34" s="675">
        <v>0</v>
      </c>
      <c r="EN34" s="675">
        <v>0.33600000000000002</v>
      </c>
      <c r="EO34" s="675">
        <v>0</v>
      </c>
      <c r="EP34" s="675">
        <v>0</v>
      </c>
      <c r="EQ34" s="675">
        <v>112.60000000000001</v>
      </c>
      <c r="ER34" s="675">
        <v>0</v>
      </c>
      <c r="ES34" s="675">
        <v>1.68</v>
      </c>
      <c r="ET34" s="675">
        <v>0</v>
      </c>
      <c r="EU34" s="675">
        <v>0</v>
      </c>
      <c r="EV34" s="675">
        <v>0</v>
      </c>
      <c r="EW34" s="675">
        <v>0</v>
      </c>
      <c r="EX34" s="675">
        <v>0</v>
      </c>
      <c r="EY34" s="675">
        <v>0</v>
      </c>
      <c r="EZ34" s="675">
        <v>5099188</v>
      </c>
      <c r="FA34" s="675">
        <v>0</v>
      </c>
      <c r="FB34" s="675">
        <v>5248023</v>
      </c>
      <c r="FC34" s="675">
        <v>0</v>
      </c>
      <c r="FD34" s="675">
        <v>0</v>
      </c>
      <c r="FE34" s="675">
        <v>514160</v>
      </c>
      <c r="FF34" s="675">
        <v>106342</v>
      </c>
      <c r="FG34" s="675">
        <v>6.3574999999999993E-2</v>
      </c>
      <c r="FH34" s="675">
        <v>2.6297999999999998E-2</v>
      </c>
      <c r="FI34" s="675">
        <v>0</v>
      </c>
      <c r="FJ34" s="675">
        <v>0</v>
      </c>
      <c r="FK34" s="675">
        <v>820.56200000000001</v>
      </c>
      <c r="FL34" s="675">
        <v>6087495</v>
      </c>
      <c r="FM34" s="675">
        <v>0</v>
      </c>
      <c r="FN34" s="675">
        <v>0</v>
      </c>
      <c r="FO34" s="675">
        <v>0</v>
      </c>
      <c r="FP34" s="675">
        <v>0</v>
      </c>
      <c r="FQ34" s="675">
        <v>0</v>
      </c>
      <c r="FR34" s="675">
        <v>0</v>
      </c>
      <c r="FS34" s="675">
        <v>0</v>
      </c>
      <c r="FT34" s="675">
        <v>0</v>
      </c>
      <c r="FU34" s="675">
        <v>0</v>
      </c>
      <c r="FV34" s="675">
        <v>0</v>
      </c>
      <c r="FW34" s="675">
        <v>0</v>
      </c>
      <c r="FX34" s="675">
        <v>0</v>
      </c>
      <c r="FY34" s="675">
        <v>0</v>
      </c>
      <c r="FZ34" s="675">
        <v>0</v>
      </c>
      <c r="GA34" s="675">
        <v>0</v>
      </c>
      <c r="GB34" s="675">
        <v>96119</v>
      </c>
      <c r="GC34" s="675">
        <v>96119</v>
      </c>
      <c r="GD34" s="675">
        <v>12.031000000000001</v>
      </c>
      <c r="GE34" s="675">
        <v>0</v>
      </c>
      <c r="GF34" s="675">
        <v>0</v>
      </c>
      <c r="GG34" s="675">
        <v>0</v>
      </c>
      <c r="GH34" s="675">
        <v>0</v>
      </c>
      <c r="GI34" s="675">
        <v>0</v>
      </c>
      <c r="GJ34" s="675">
        <v>0</v>
      </c>
      <c r="GK34" s="675">
        <v>0</v>
      </c>
      <c r="GL34" s="675">
        <v>0</v>
      </c>
      <c r="GM34" s="675">
        <v>0</v>
      </c>
      <c r="GN34" s="675">
        <v>0</v>
      </c>
      <c r="GO34" s="675">
        <v>0</v>
      </c>
      <c r="GP34" s="675">
        <v>0</v>
      </c>
      <c r="GQ34" s="675">
        <v>0</v>
      </c>
      <c r="GR34" s="675">
        <v>0</v>
      </c>
      <c r="GS34" s="675">
        <v>0</v>
      </c>
      <c r="GT34" s="675">
        <v>0</v>
      </c>
      <c r="GU34" s="675">
        <v>0</v>
      </c>
      <c r="GV34" s="675">
        <v>0</v>
      </c>
      <c r="GW34" s="675">
        <v>0</v>
      </c>
      <c r="GX34" s="675">
        <v>0</v>
      </c>
      <c r="GY34" s="675">
        <v>0</v>
      </c>
      <c r="GZ34" s="675">
        <v>0</v>
      </c>
      <c r="HA34" s="675">
        <v>0</v>
      </c>
      <c r="HB34" s="675">
        <v>308877260</v>
      </c>
      <c r="HC34" s="675">
        <v>4.4138999999999998E-2</v>
      </c>
      <c r="HD34" s="675">
        <v>60249</v>
      </c>
      <c r="HE34" s="675">
        <v>0</v>
      </c>
      <c r="HF34" s="675">
        <v>238926</v>
      </c>
      <c r="HG34" s="675">
        <v>8341</v>
      </c>
      <c r="HH34" s="675">
        <v>0</v>
      </c>
      <c r="HI34" s="675">
        <v>0</v>
      </c>
      <c r="HJ34" s="675">
        <v>3317</v>
      </c>
      <c r="HK34" s="675">
        <v>3816</v>
      </c>
      <c r="HL34" s="675">
        <v>171</v>
      </c>
      <c r="HM34" s="675">
        <v>0</v>
      </c>
      <c r="HN34" s="675">
        <v>0</v>
      </c>
      <c r="HO34" s="675">
        <v>0</v>
      </c>
      <c r="HP34" s="675">
        <v>113337</v>
      </c>
      <c r="HQ34" s="675">
        <v>0</v>
      </c>
      <c r="HR34" s="675">
        <v>0</v>
      </c>
      <c r="HS34" s="675">
        <v>5088782</v>
      </c>
      <c r="HT34" s="675">
        <v>106342</v>
      </c>
      <c r="HU34" s="675">
        <v>0</v>
      </c>
      <c r="HV34" s="675">
        <v>0</v>
      </c>
      <c r="HW34" s="675">
        <v>0</v>
      </c>
      <c r="HX34" s="675">
        <v>0</v>
      </c>
      <c r="HY34" s="675">
        <v>0</v>
      </c>
      <c r="HZ34" s="675">
        <v>0</v>
      </c>
      <c r="IA34" s="675">
        <v>0</v>
      </c>
      <c r="IB34" s="675">
        <v>347</v>
      </c>
      <c r="IC34" s="675">
        <v>347</v>
      </c>
      <c r="ID34" s="675">
        <v>0</v>
      </c>
      <c r="IE34" s="675">
        <v>0</v>
      </c>
      <c r="IF34" s="675">
        <v>0</v>
      </c>
      <c r="IG34" s="675">
        <v>13.541</v>
      </c>
      <c r="IH34" s="675">
        <v>0</v>
      </c>
      <c r="II34" s="675">
        <v>412.13500000000005</v>
      </c>
      <c r="IJ34" s="675">
        <v>15.033000000000001</v>
      </c>
      <c r="IK34" s="675">
        <v>314.41300000000001</v>
      </c>
      <c r="IL34" s="675">
        <v>0</v>
      </c>
      <c r="IM34" s="675">
        <v>0</v>
      </c>
      <c r="IN34" s="675">
        <v>0</v>
      </c>
      <c r="IO34" s="675">
        <v>0</v>
      </c>
      <c r="IP34" s="675">
        <v>726.548</v>
      </c>
      <c r="IQ34" s="675">
        <v>15.033000000000001</v>
      </c>
      <c r="IR34" s="675">
        <v>9260</v>
      </c>
      <c r="IS34" s="675">
        <v>86464</v>
      </c>
      <c r="IT34" s="675">
        <v>0</v>
      </c>
      <c r="IU34" s="675">
        <v>0</v>
      </c>
      <c r="IV34" s="675">
        <v>0</v>
      </c>
      <c r="IW34" s="675">
        <v>6160</v>
      </c>
      <c r="IX34" s="675">
        <v>0</v>
      </c>
      <c r="IY34" s="675">
        <v>0</v>
      </c>
      <c r="IZ34" s="675">
        <v>199801</v>
      </c>
      <c r="JA34" s="675">
        <v>0</v>
      </c>
      <c r="JB34" s="675">
        <v>0</v>
      </c>
      <c r="JC34" s="675">
        <v>0</v>
      </c>
      <c r="JD34" s="675">
        <v>0</v>
      </c>
      <c r="JE34" s="675">
        <v>0</v>
      </c>
      <c r="JF34" s="675">
        <v>0</v>
      </c>
      <c r="JG34" s="675">
        <v>0</v>
      </c>
      <c r="JH34" s="675">
        <v>0</v>
      </c>
      <c r="JI34" s="675">
        <v>0</v>
      </c>
      <c r="JJ34" s="675">
        <v>0</v>
      </c>
      <c r="JK34" s="675">
        <v>0</v>
      </c>
      <c r="JL34" s="675">
        <v>0</v>
      </c>
      <c r="JM34" s="675">
        <v>0</v>
      </c>
      <c r="JN34" s="675">
        <v>32469</v>
      </c>
      <c r="JO34" s="675">
        <v>12.031000000000001</v>
      </c>
      <c r="JP34" s="675">
        <v>0</v>
      </c>
      <c r="JQ34" s="675">
        <v>0</v>
      </c>
      <c r="JR34" s="675">
        <v>96119</v>
      </c>
      <c r="JS34" s="675">
        <v>0</v>
      </c>
      <c r="JT34" s="675">
        <v>0</v>
      </c>
      <c r="JU34" s="675">
        <v>0</v>
      </c>
      <c r="JV34" s="675">
        <v>0</v>
      </c>
      <c r="JW34" s="675">
        <v>0</v>
      </c>
      <c r="JX34" s="675">
        <v>0</v>
      </c>
      <c r="JY34" s="675">
        <v>0</v>
      </c>
      <c r="JZ34" s="675">
        <v>0</v>
      </c>
      <c r="KA34" s="675">
        <v>0</v>
      </c>
      <c r="KB34" s="675">
        <v>0</v>
      </c>
      <c r="KC34" s="675">
        <v>0</v>
      </c>
      <c r="KD34" s="675">
        <v>0</v>
      </c>
      <c r="KE34" s="675">
        <v>7263</v>
      </c>
      <c r="KF34" s="675">
        <v>158721</v>
      </c>
      <c r="KG34" s="675">
        <v>0</v>
      </c>
      <c r="KH34" s="675">
        <v>0</v>
      </c>
      <c r="KI34" s="675">
        <v>0</v>
      </c>
    </row>
    <row r="35" spans="1:295" ht="12.5" x14ac:dyDescent="0.25">
      <c r="A35" s="675">
        <v>35795</v>
      </c>
      <c r="B35" s="675">
        <v>57802</v>
      </c>
      <c r="C35" s="675">
        <v>7</v>
      </c>
      <c r="D35" s="675">
        <v>2022</v>
      </c>
      <c r="E35" s="675">
        <v>6160</v>
      </c>
      <c r="F35" s="675">
        <v>0</v>
      </c>
      <c r="G35" s="675">
        <v>438.04900000000004</v>
      </c>
      <c r="H35" s="675">
        <v>419.59500000000003</v>
      </c>
      <c r="I35" s="675">
        <v>419.59500000000003</v>
      </c>
      <c r="J35" s="675">
        <v>438.04900000000004</v>
      </c>
      <c r="K35" s="675">
        <v>0</v>
      </c>
      <c r="L35" s="675">
        <v>6160</v>
      </c>
      <c r="M35" s="675">
        <v>0</v>
      </c>
      <c r="N35" s="675">
        <v>0</v>
      </c>
      <c r="O35" s="675">
        <v>0</v>
      </c>
      <c r="P35" s="675">
        <v>459.02700000000004</v>
      </c>
      <c r="Q35" s="675">
        <v>0</v>
      </c>
      <c r="R35" s="675">
        <v>184725</v>
      </c>
      <c r="S35" s="675">
        <v>402.428</v>
      </c>
      <c r="T35" s="675">
        <v>0</v>
      </c>
      <c r="U35" s="675">
        <v>98233</v>
      </c>
      <c r="V35" s="675">
        <v>110.04300000000001</v>
      </c>
      <c r="W35" s="675">
        <v>67786</v>
      </c>
      <c r="X35" s="675">
        <v>67786</v>
      </c>
      <c r="Y35" s="675">
        <v>0</v>
      </c>
      <c r="Z35" s="675">
        <v>0</v>
      </c>
      <c r="AA35" s="675">
        <v>0</v>
      </c>
      <c r="AB35" s="675">
        <v>0</v>
      </c>
      <c r="AC35" s="675">
        <v>0</v>
      </c>
      <c r="AD35" s="675" t="s">
        <v>316</v>
      </c>
      <c r="AE35" s="675">
        <v>0</v>
      </c>
      <c r="AF35" s="675">
        <v>0</v>
      </c>
      <c r="AG35" s="675">
        <v>0</v>
      </c>
      <c r="AH35" s="675">
        <v>0</v>
      </c>
      <c r="AI35" s="675">
        <v>0</v>
      </c>
      <c r="AJ35" s="675">
        <v>6160</v>
      </c>
      <c r="AK35" s="675" t="s">
        <v>671</v>
      </c>
      <c r="AL35" s="675" t="s">
        <v>17</v>
      </c>
      <c r="AM35" s="675">
        <v>0</v>
      </c>
      <c r="AN35" s="675">
        <v>0</v>
      </c>
      <c r="AO35" s="675">
        <v>0</v>
      </c>
      <c r="AP35" s="675">
        <v>0</v>
      </c>
      <c r="AQ35" s="675">
        <v>0</v>
      </c>
      <c r="AR35" s="675">
        <v>0</v>
      </c>
      <c r="AS35" s="675">
        <v>0</v>
      </c>
      <c r="AT35" s="675">
        <v>0</v>
      </c>
      <c r="AU35" s="675">
        <v>0</v>
      </c>
      <c r="AV35" s="675">
        <v>-86376</v>
      </c>
      <c r="AW35" s="675">
        <v>4918406</v>
      </c>
      <c r="AX35" s="675">
        <v>4842709</v>
      </c>
      <c r="AY35" s="675">
        <v>3311814</v>
      </c>
      <c r="AZ35" s="675">
        <v>184725</v>
      </c>
      <c r="BA35" s="675">
        <v>0</v>
      </c>
      <c r="BB35" s="675">
        <v>0</v>
      </c>
      <c r="BC35" s="675">
        <v>0</v>
      </c>
      <c r="BD35" s="675">
        <v>0</v>
      </c>
      <c r="BE35" s="675">
        <v>0</v>
      </c>
      <c r="BF35" s="675">
        <v>4316019</v>
      </c>
      <c r="BG35" s="675">
        <v>0</v>
      </c>
      <c r="BH35" s="675">
        <v>0</v>
      </c>
      <c r="BI35" s="675">
        <v>0</v>
      </c>
      <c r="BJ35" s="675">
        <v>12</v>
      </c>
      <c r="BK35" s="675">
        <v>0</v>
      </c>
      <c r="BL35" s="675">
        <v>0</v>
      </c>
      <c r="BM35" s="675">
        <v>0</v>
      </c>
      <c r="BN35" s="675">
        <v>0</v>
      </c>
      <c r="BO35" s="675">
        <v>0</v>
      </c>
      <c r="BP35" s="675">
        <v>0</v>
      </c>
      <c r="BQ35" s="675">
        <v>705</v>
      </c>
      <c r="BR35" s="675">
        <v>0</v>
      </c>
      <c r="BS35" s="675">
        <v>0</v>
      </c>
      <c r="BT35" s="675">
        <v>0</v>
      </c>
      <c r="BU35" s="675">
        <v>0</v>
      </c>
      <c r="BV35" s="675">
        <v>0</v>
      </c>
      <c r="BW35" s="675">
        <v>0</v>
      </c>
      <c r="BX35" s="675">
        <v>0</v>
      </c>
      <c r="BY35" s="675">
        <v>0</v>
      </c>
      <c r="BZ35" s="675">
        <v>0</v>
      </c>
      <c r="CA35" s="675">
        <v>0</v>
      </c>
      <c r="CB35" s="675">
        <v>0</v>
      </c>
      <c r="CC35" s="675">
        <v>0</v>
      </c>
      <c r="CD35" s="675">
        <v>0</v>
      </c>
      <c r="CE35" s="675">
        <v>0</v>
      </c>
      <c r="CF35" s="675">
        <v>0</v>
      </c>
      <c r="CG35" s="675">
        <v>0</v>
      </c>
      <c r="CH35" s="675">
        <v>77340</v>
      </c>
      <c r="CI35" s="675">
        <v>0</v>
      </c>
      <c r="CJ35" s="675">
        <v>4</v>
      </c>
      <c r="CK35" s="675">
        <v>0</v>
      </c>
      <c r="CL35" s="675">
        <v>0</v>
      </c>
      <c r="CM35" s="675">
        <v>0</v>
      </c>
      <c r="CN35" s="675">
        <v>0</v>
      </c>
      <c r="CO35" s="675">
        <v>1</v>
      </c>
      <c r="CP35" s="675">
        <v>0</v>
      </c>
      <c r="CQ35" s="675">
        <v>0</v>
      </c>
      <c r="CR35" s="675">
        <v>469.75700000000001</v>
      </c>
      <c r="CS35" s="675">
        <v>0</v>
      </c>
      <c r="CT35" s="675">
        <v>0</v>
      </c>
      <c r="CU35" s="675">
        <v>0</v>
      </c>
      <c r="CV35" s="675">
        <v>0</v>
      </c>
      <c r="CW35" s="675">
        <v>0</v>
      </c>
      <c r="CX35" s="675">
        <v>0</v>
      </c>
      <c r="CY35" s="675">
        <v>0</v>
      </c>
      <c r="CZ35" s="675">
        <v>0</v>
      </c>
      <c r="DA35" s="675">
        <v>0</v>
      </c>
      <c r="DB35" s="675">
        <v>2558609</v>
      </c>
      <c r="DC35" s="675">
        <v>0</v>
      </c>
      <c r="DD35" s="675">
        <v>0</v>
      </c>
      <c r="DE35" s="675">
        <v>687376</v>
      </c>
      <c r="DF35" s="675">
        <v>687376</v>
      </c>
      <c r="DG35" s="675">
        <v>111.58800000000001</v>
      </c>
      <c r="DH35" s="675">
        <v>0</v>
      </c>
      <c r="DI35" s="675">
        <v>0</v>
      </c>
      <c r="DJ35" s="675">
        <v>0</v>
      </c>
      <c r="DK35" s="675">
        <v>2909</v>
      </c>
      <c r="DL35" s="675">
        <v>0</v>
      </c>
      <c r="DM35" s="675">
        <v>462799</v>
      </c>
      <c r="DN35" s="675">
        <v>1643</v>
      </c>
      <c r="DO35" s="675">
        <v>0</v>
      </c>
      <c r="DP35" s="675">
        <v>0</v>
      </c>
      <c r="DQ35" s="675">
        <v>0</v>
      </c>
      <c r="DR35" s="675">
        <v>0</v>
      </c>
      <c r="DS35" s="675">
        <v>0</v>
      </c>
      <c r="DT35" s="675">
        <v>0</v>
      </c>
      <c r="DU35" s="675">
        <v>0</v>
      </c>
      <c r="DV35" s="675">
        <v>0</v>
      </c>
      <c r="DW35" s="675">
        <v>0</v>
      </c>
      <c r="DX35" s="675">
        <v>0</v>
      </c>
      <c r="DY35" s="675">
        <v>0</v>
      </c>
      <c r="DZ35" s="675">
        <v>0</v>
      </c>
      <c r="EA35" s="675">
        <v>0</v>
      </c>
      <c r="EB35" s="675">
        <v>0</v>
      </c>
      <c r="EC35" s="675">
        <v>12.329000000000001</v>
      </c>
      <c r="ED35" s="675">
        <v>87338</v>
      </c>
      <c r="EE35" s="675">
        <v>0</v>
      </c>
      <c r="EF35" s="675">
        <v>0</v>
      </c>
      <c r="EG35" s="675">
        <v>0</v>
      </c>
      <c r="EH35" s="675">
        <v>351020</v>
      </c>
      <c r="EI35" s="675">
        <v>0</v>
      </c>
      <c r="EJ35" s="675">
        <v>0</v>
      </c>
      <c r="EK35" s="675">
        <v>17.643000000000001</v>
      </c>
      <c r="EL35" s="675">
        <v>0</v>
      </c>
      <c r="EM35" s="675">
        <v>0</v>
      </c>
      <c r="EN35" s="675">
        <v>0.81100000000000005</v>
      </c>
      <c r="EO35" s="675">
        <v>0</v>
      </c>
      <c r="EP35" s="675">
        <v>0</v>
      </c>
      <c r="EQ35" s="675">
        <v>18.454000000000001</v>
      </c>
      <c r="ER35" s="675">
        <v>0</v>
      </c>
      <c r="ES35" s="675">
        <v>56.984000000000002</v>
      </c>
      <c r="ET35" s="675">
        <v>0</v>
      </c>
      <c r="EU35" s="675">
        <v>0</v>
      </c>
      <c r="EV35" s="675">
        <v>0</v>
      </c>
      <c r="EW35" s="675">
        <v>0</v>
      </c>
      <c r="EX35" s="675">
        <v>0</v>
      </c>
      <c r="EY35" s="675">
        <v>0</v>
      </c>
      <c r="EZ35" s="675">
        <v>4312878</v>
      </c>
      <c r="FA35" s="675">
        <v>0</v>
      </c>
      <c r="FB35" s="675">
        <v>4495960</v>
      </c>
      <c r="FC35" s="675">
        <v>0</v>
      </c>
      <c r="FD35" s="675">
        <v>0</v>
      </c>
      <c r="FE35" s="675">
        <v>439028</v>
      </c>
      <c r="FF35" s="675">
        <v>90803</v>
      </c>
      <c r="FG35" s="675">
        <v>6.3574999999999993E-2</v>
      </c>
      <c r="FH35" s="675">
        <v>2.6297999999999998E-2</v>
      </c>
      <c r="FI35" s="675">
        <v>0</v>
      </c>
      <c r="FJ35" s="675">
        <v>0</v>
      </c>
      <c r="FK35" s="675">
        <v>700.65600000000006</v>
      </c>
      <c r="FL35" s="675">
        <v>5103131</v>
      </c>
      <c r="FM35" s="675">
        <v>0</v>
      </c>
      <c r="FN35" s="675">
        <v>0</v>
      </c>
      <c r="FO35" s="675">
        <v>180000</v>
      </c>
      <c r="FP35" s="675">
        <v>0</v>
      </c>
      <c r="FQ35" s="675">
        <v>180000</v>
      </c>
      <c r="FR35" s="675">
        <v>180000</v>
      </c>
      <c r="FS35" s="675">
        <v>0</v>
      </c>
      <c r="FT35" s="675">
        <v>0</v>
      </c>
      <c r="FU35" s="675">
        <v>0</v>
      </c>
      <c r="FV35" s="675">
        <v>0</v>
      </c>
      <c r="FW35" s="675">
        <v>0</v>
      </c>
      <c r="FX35" s="675">
        <v>0</v>
      </c>
      <c r="FY35" s="675">
        <v>0</v>
      </c>
      <c r="FZ35" s="675">
        <v>0</v>
      </c>
      <c r="GA35" s="675">
        <v>0</v>
      </c>
      <c r="GB35" s="675">
        <v>0</v>
      </c>
      <c r="GC35" s="675">
        <v>0</v>
      </c>
      <c r="GD35" s="675">
        <v>0</v>
      </c>
      <c r="GE35" s="675">
        <v>0</v>
      </c>
      <c r="GF35" s="675">
        <v>0</v>
      </c>
      <c r="GG35" s="675">
        <v>0</v>
      </c>
      <c r="GH35" s="675">
        <v>0</v>
      </c>
      <c r="GI35" s="675">
        <v>0</v>
      </c>
      <c r="GJ35" s="675">
        <v>0</v>
      </c>
      <c r="GK35" s="675">
        <v>0</v>
      </c>
      <c r="GL35" s="675">
        <v>0</v>
      </c>
      <c r="GM35" s="675">
        <v>0</v>
      </c>
      <c r="GN35" s="675">
        <v>0</v>
      </c>
      <c r="GO35" s="675">
        <v>0</v>
      </c>
      <c r="GP35" s="675">
        <v>0</v>
      </c>
      <c r="GQ35" s="675">
        <v>0</v>
      </c>
      <c r="GR35" s="675">
        <v>0</v>
      </c>
      <c r="GS35" s="675">
        <v>0</v>
      </c>
      <c r="GT35" s="675">
        <v>0</v>
      </c>
      <c r="GU35" s="675">
        <v>0</v>
      </c>
      <c r="GV35" s="675">
        <v>0</v>
      </c>
      <c r="GW35" s="675">
        <v>0</v>
      </c>
      <c r="GX35" s="675">
        <v>0</v>
      </c>
      <c r="GY35" s="675">
        <v>0</v>
      </c>
      <c r="GZ35" s="675">
        <v>0</v>
      </c>
      <c r="HA35" s="675">
        <v>0</v>
      </c>
      <c r="HB35" s="675">
        <v>308877260</v>
      </c>
      <c r="HC35" s="675">
        <v>4.4138999999999998E-2</v>
      </c>
      <c r="HD35" s="675">
        <v>77340</v>
      </c>
      <c r="HE35" s="675">
        <v>0</v>
      </c>
      <c r="HF35" s="675">
        <v>462813</v>
      </c>
      <c r="HG35" s="675">
        <v>17324</v>
      </c>
      <c r="HH35" s="675">
        <v>45411</v>
      </c>
      <c r="HI35" s="675">
        <v>0</v>
      </c>
      <c r="HJ35" s="675">
        <v>4258</v>
      </c>
      <c r="HK35" s="675">
        <v>1584</v>
      </c>
      <c r="HL35" s="675">
        <v>0</v>
      </c>
      <c r="HM35" s="675">
        <v>8000</v>
      </c>
      <c r="HN35" s="675">
        <v>0</v>
      </c>
      <c r="HO35" s="675">
        <v>0</v>
      </c>
      <c r="HP35" s="675">
        <v>0</v>
      </c>
      <c r="HQ35" s="675">
        <v>0</v>
      </c>
      <c r="HR35" s="675">
        <v>0</v>
      </c>
      <c r="HS35" s="675">
        <v>4311235</v>
      </c>
      <c r="HT35" s="675">
        <v>90803</v>
      </c>
      <c r="HU35" s="675">
        <v>0</v>
      </c>
      <c r="HV35" s="675">
        <v>0</v>
      </c>
      <c r="HW35" s="675">
        <v>0</v>
      </c>
      <c r="HX35" s="675">
        <v>32</v>
      </c>
      <c r="HY35" s="675">
        <v>48</v>
      </c>
      <c r="HZ35" s="675">
        <v>69</v>
      </c>
      <c r="IA35" s="675">
        <v>57</v>
      </c>
      <c r="IB35" s="675">
        <v>221</v>
      </c>
      <c r="IC35" s="675">
        <v>427</v>
      </c>
      <c r="ID35" s="675">
        <v>0</v>
      </c>
      <c r="IE35" s="675">
        <v>0</v>
      </c>
      <c r="IF35" s="675">
        <v>0</v>
      </c>
      <c r="IG35" s="675">
        <v>28.123000000000001</v>
      </c>
      <c r="IH35" s="675">
        <v>73.72</v>
      </c>
      <c r="II35" s="675">
        <v>0</v>
      </c>
      <c r="IJ35" s="675">
        <v>110.04300000000001</v>
      </c>
      <c r="IK35" s="675">
        <v>0</v>
      </c>
      <c r="IL35" s="675">
        <v>1</v>
      </c>
      <c r="IM35" s="675">
        <v>1</v>
      </c>
      <c r="IN35" s="675">
        <v>0</v>
      </c>
      <c r="IO35" s="675">
        <v>2</v>
      </c>
      <c r="IP35" s="675">
        <v>0</v>
      </c>
      <c r="IQ35" s="675">
        <v>110.04300000000001</v>
      </c>
      <c r="IR35" s="675">
        <v>67786</v>
      </c>
      <c r="IS35" s="675">
        <v>0</v>
      </c>
      <c r="IT35" s="675">
        <v>5000</v>
      </c>
      <c r="IU35" s="675">
        <v>3000</v>
      </c>
      <c r="IV35" s="675">
        <v>0</v>
      </c>
      <c r="IW35" s="675">
        <v>6160</v>
      </c>
      <c r="IX35" s="675">
        <v>0</v>
      </c>
      <c r="IY35" s="675">
        <v>0</v>
      </c>
      <c r="IZ35" s="675">
        <v>0</v>
      </c>
      <c r="JA35" s="675">
        <v>0</v>
      </c>
      <c r="JB35" s="675">
        <v>0</v>
      </c>
      <c r="JC35" s="675">
        <v>0</v>
      </c>
      <c r="JD35" s="675">
        <v>0</v>
      </c>
      <c r="JE35" s="675">
        <v>0</v>
      </c>
      <c r="JF35" s="675">
        <v>0</v>
      </c>
      <c r="JG35" s="675">
        <v>0</v>
      </c>
      <c r="JH35" s="675">
        <v>0</v>
      </c>
      <c r="JI35" s="675">
        <v>0</v>
      </c>
      <c r="JJ35" s="675">
        <v>0</v>
      </c>
      <c r="JK35" s="675">
        <v>0</v>
      </c>
      <c r="JL35" s="675">
        <v>0</v>
      </c>
      <c r="JM35" s="675">
        <v>0</v>
      </c>
      <c r="JN35" s="675">
        <v>32469</v>
      </c>
      <c r="JO35" s="675">
        <v>0</v>
      </c>
      <c r="JP35" s="675">
        <v>0</v>
      </c>
      <c r="JQ35" s="675">
        <v>0</v>
      </c>
      <c r="JR35" s="675">
        <v>0</v>
      </c>
      <c r="JS35" s="675">
        <v>0</v>
      </c>
      <c r="JT35" s="675">
        <v>0</v>
      </c>
      <c r="JU35" s="675">
        <v>0</v>
      </c>
      <c r="JV35" s="675">
        <v>0</v>
      </c>
      <c r="JW35" s="675">
        <v>0</v>
      </c>
      <c r="JX35" s="675">
        <v>0</v>
      </c>
      <c r="JY35" s="675">
        <v>0</v>
      </c>
      <c r="JZ35" s="675">
        <v>0</v>
      </c>
      <c r="KA35" s="675">
        <v>0</v>
      </c>
      <c r="KB35" s="675">
        <v>0</v>
      </c>
      <c r="KC35" s="675">
        <v>0</v>
      </c>
      <c r="KD35" s="675">
        <v>0</v>
      </c>
      <c r="KE35" s="675">
        <v>7263</v>
      </c>
      <c r="KF35" s="675">
        <v>0</v>
      </c>
      <c r="KG35" s="675">
        <v>0</v>
      </c>
      <c r="KH35" s="675">
        <v>0</v>
      </c>
      <c r="KI35" s="675">
        <v>0</v>
      </c>
    </row>
    <row r="36" spans="1:295" ht="12.5" x14ac:dyDescent="0.25">
      <c r="A36" s="675">
        <v>35795</v>
      </c>
      <c r="B36" s="675">
        <v>61802</v>
      </c>
      <c r="C36" s="675">
        <v>7</v>
      </c>
      <c r="D36" s="675">
        <v>2022</v>
      </c>
      <c r="E36" s="675">
        <v>6160</v>
      </c>
      <c r="F36" s="675">
        <v>0</v>
      </c>
      <c r="G36" s="675">
        <v>580.46500000000003</v>
      </c>
      <c r="H36" s="675">
        <v>556.57100000000003</v>
      </c>
      <c r="I36" s="675">
        <v>556.57100000000003</v>
      </c>
      <c r="J36" s="675">
        <v>580.46500000000003</v>
      </c>
      <c r="K36" s="675">
        <v>0</v>
      </c>
      <c r="L36" s="675">
        <v>6160</v>
      </c>
      <c r="M36" s="675">
        <v>0</v>
      </c>
      <c r="N36" s="675">
        <v>0</v>
      </c>
      <c r="O36" s="675">
        <v>0</v>
      </c>
      <c r="P36" s="675">
        <v>532.375</v>
      </c>
      <c r="Q36" s="675">
        <v>0</v>
      </c>
      <c r="R36" s="675">
        <v>214243</v>
      </c>
      <c r="S36" s="675">
        <v>402.428</v>
      </c>
      <c r="T36" s="675">
        <v>0</v>
      </c>
      <c r="U36" s="675">
        <v>113929</v>
      </c>
      <c r="V36" s="675">
        <v>250.18200000000002</v>
      </c>
      <c r="W36" s="675">
        <v>154111</v>
      </c>
      <c r="X36" s="675">
        <v>154111</v>
      </c>
      <c r="Y36" s="675">
        <v>0</v>
      </c>
      <c r="Z36" s="675">
        <v>0</v>
      </c>
      <c r="AA36" s="675">
        <v>0</v>
      </c>
      <c r="AB36" s="675">
        <v>0</v>
      </c>
      <c r="AC36" s="675">
        <v>0</v>
      </c>
      <c r="AD36" s="675" t="s">
        <v>316</v>
      </c>
      <c r="AE36" s="675">
        <v>0</v>
      </c>
      <c r="AF36" s="675">
        <v>0</v>
      </c>
      <c r="AG36" s="675">
        <v>0</v>
      </c>
      <c r="AH36" s="675">
        <v>0</v>
      </c>
      <c r="AI36" s="675">
        <v>0</v>
      </c>
      <c r="AJ36" s="675">
        <v>6160</v>
      </c>
      <c r="AK36" s="675" t="s">
        <v>671</v>
      </c>
      <c r="AL36" s="675" t="s">
        <v>335</v>
      </c>
      <c r="AM36" s="675">
        <v>0</v>
      </c>
      <c r="AN36" s="675">
        <v>0</v>
      </c>
      <c r="AO36" s="675">
        <v>0</v>
      </c>
      <c r="AP36" s="675">
        <v>0</v>
      </c>
      <c r="AQ36" s="675">
        <v>0</v>
      </c>
      <c r="AR36" s="675">
        <v>0</v>
      </c>
      <c r="AS36" s="675">
        <v>0</v>
      </c>
      <c r="AT36" s="675">
        <v>0</v>
      </c>
      <c r="AU36" s="675">
        <v>0</v>
      </c>
      <c r="AV36" s="675">
        <v>0</v>
      </c>
      <c r="AW36" s="675">
        <v>6697503</v>
      </c>
      <c r="AX36" s="675">
        <v>6596867</v>
      </c>
      <c r="AY36" s="675">
        <v>4396316</v>
      </c>
      <c r="AZ36" s="675">
        <v>214243</v>
      </c>
      <c r="BA36" s="675">
        <v>0</v>
      </c>
      <c r="BB36" s="675">
        <v>0</v>
      </c>
      <c r="BC36" s="675">
        <v>0</v>
      </c>
      <c r="BD36" s="675">
        <v>0</v>
      </c>
      <c r="BE36" s="675">
        <v>0</v>
      </c>
      <c r="BF36" s="675">
        <v>5984823</v>
      </c>
      <c r="BG36" s="675">
        <v>0</v>
      </c>
      <c r="BH36" s="675">
        <v>0</v>
      </c>
      <c r="BI36" s="675">
        <v>0</v>
      </c>
      <c r="BJ36" s="675">
        <v>12</v>
      </c>
      <c r="BK36" s="675">
        <v>0</v>
      </c>
      <c r="BL36" s="675">
        <v>0</v>
      </c>
      <c r="BM36" s="675">
        <v>0</v>
      </c>
      <c r="BN36" s="675">
        <v>0</v>
      </c>
      <c r="BO36" s="675">
        <v>0</v>
      </c>
      <c r="BP36" s="675">
        <v>0</v>
      </c>
      <c r="BQ36" s="675">
        <v>684</v>
      </c>
      <c r="BR36" s="675">
        <v>0</v>
      </c>
      <c r="BS36" s="675">
        <v>0</v>
      </c>
      <c r="BT36" s="675">
        <v>0</v>
      </c>
      <c r="BU36" s="675">
        <v>0</v>
      </c>
      <c r="BV36" s="675">
        <v>0</v>
      </c>
      <c r="BW36" s="675">
        <v>0</v>
      </c>
      <c r="BX36" s="675">
        <v>0</v>
      </c>
      <c r="BY36" s="675">
        <v>0</v>
      </c>
      <c r="BZ36" s="675">
        <v>0</v>
      </c>
      <c r="CA36" s="675">
        <v>0</v>
      </c>
      <c r="CB36" s="675">
        <v>0</v>
      </c>
      <c r="CC36" s="675">
        <v>0</v>
      </c>
      <c r="CD36" s="675">
        <v>0</v>
      </c>
      <c r="CE36" s="675">
        <v>0</v>
      </c>
      <c r="CF36" s="675">
        <v>0</v>
      </c>
      <c r="CG36" s="675">
        <v>0</v>
      </c>
      <c r="CH36" s="675">
        <v>102484</v>
      </c>
      <c r="CI36" s="675">
        <v>0</v>
      </c>
      <c r="CJ36" s="675">
        <v>4</v>
      </c>
      <c r="CK36" s="675">
        <v>0</v>
      </c>
      <c r="CL36" s="675">
        <v>0</v>
      </c>
      <c r="CM36" s="675">
        <v>0</v>
      </c>
      <c r="CN36" s="675">
        <v>0</v>
      </c>
      <c r="CO36" s="675">
        <v>1</v>
      </c>
      <c r="CP36" s="675">
        <v>0</v>
      </c>
      <c r="CQ36" s="675">
        <v>0</v>
      </c>
      <c r="CR36" s="675">
        <v>547.85800000000006</v>
      </c>
      <c r="CS36" s="675">
        <v>0</v>
      </c>
      <c r="CT36" s="675">
        <v>0</v>
      </c>
      <c r="CU36" s="675">
        <v>0</v>
      </c>
      <c r="CV36" s="675">
        <v>0</v>
      </c>
      <c r="CW36" s="675">
        <v>0</v>
      </c>
      <c r="CX36" s="675">
        <v>0</v>
      </c>
      <c r="CY36" s="675">
        <v>0</v>
      </c>
      <c r="CZ36" s="675">
        <v>0</v>
      </c>
      <c r="DA36" s="675">
        <v>0</v>
      </c>
      <c r="DB36" s="675">
        <v>3428461</v>
      </c>
      <c r="DC36" s="675">
        <v>0</v>
      </c>
      <c r="DD36" s="675">
        <v>0</v>
      </c>
      <c r="DE36" s="675">
        <v>1031718</v>
      </c>
      <c r="DF36" s="675">
        <v>1031718</v>
      </c>
      <c r="DG36" s="675">
        <v>167.488</v>
      </c>
      <c r="DH36" s="675">
        <v>0</v>
      </c>
      <c r="DI36" s="675">
        <v>0</v>
      </c>
      <c r="DJ36" s="675">
        <v>0</v>
      </c>
      <c r="DK36" s="675">
        <v>2571</v>
      </c>
      <c r="DL36" s="675">
        <v>0</v>
      </c>
      <c r="DM36" s="675">
        <v>491202</v>
      </c>
      <c r="DN36" s="675">
        <v>1848</v>
      </c>
      <c r="DO36" s="675">
        <v>0</v>
      </c>
      <c r="DP36" s="675">
        <v>0</v>
      </c>
      <c r="DQ36" s="675">
        <v>0</v>
      </c>
      <c r="DR36" s="675">
        <v>0</v>
      </c>
      <c r="DS36" s="675">
        <v>0</v>
      </c>
      <c r="DT36" s="675">
        <v>0</v>
      </c>
      <c r="DU36" s="675">
        <v>0</v>
      </c>
      <c r="DV36" s="675">
        <v>0</v>
      </c>
      <c r="DW36" s="675">
        <v>0</v>
      </c>
      <c r="DX36" s="675">
        <v>0</v>
      </c>
      <c r="DY36" s="675">
        <v>0</v>
      </c>
      <c r="DZ36" s="675">
        <v>0</v>
      </c>
      <c r="EA36" s="675">
        <v>0</v>
      </c>
      <c r="EB36" s="675">
        <v>0</v>
      </c>
      <c r="EC36" s="675">
        <v>3.6860000000000004</v>
      </c>
      <c r="ED36" s="675">
        <v>26112</v>
      </c>
      <c r="EE36" s="675">
        <v>0</v>
      </c>
      <c r="EF36" s="675">
        <v>0</v>
      </c>
      <c r="EG36" s="675">
        <v>0</v>
      </c>
      <c r="EH36" s="675">
        <v>466938</v>
      </c>
      <c r="EI36" s="675">
        <v>0</v>
      </c>
      <c r="EJ36" s="675">
        <v>0</v>
      </c>
      <c r="EK36" s="675">
        <v>21.609000000000002</v>
      </c>
      <c r="EL36" s="675">
        <v>0</v>
      </c>
      <c r="EM36" s="675">
        <v>0.22500000000000001</v>
      </c>
      <c r="EN36" s="675">
        <v>2.06</v>
      </c>
      <c r="EO36" s="675">
        <v>0</v>
      </c>
      <c r="EP36" s="675">
        <v>0</v>
      </c>
      <c r="EQ36" s="675">
        <v>23.894000000000002</v>
      </c>
      <c r="ER36" s="675">
        <v>0</v>
      </c>
      <c r="ES36" s="675">
        <v>75.802000000000007</v>
      </c>
      <c r="ET36" s="675">
        <v>0</v>
      </c>
      <c r="EU36" s="675">
        <v>0</v>
      </c>
      <c r="EV36" s="675">
        <v>0</v>
      </c>
      <c r="EW36" s="675">
        <v>0</v>
      </c>
      <c r="EX36" s="675">
        <v>0</v>
      </c>
      <c r="EY36" s="675">
        <v>0</v>
      </c>
      <c r="EZ36" s="675">
        <v>5862176</v>
      </c>
      <c r="FA36" s="675">
        <v>0</v>
      </c>
      <c r="FB36" s="675">
        <v>6074571</v>
      </c>
      <c r="FC36" s="675">
        <v>0</v>
      </c>
      <c r="FD36" s="675">
        <v>0</v>
      </c>
      <c r="FE36" s="675">
        <v>608779</v>
      </c>
      <c r="FF36" s="675">
        <v>125912</v>
      </c>
      <c r="FG36" s="675">
        <v>6.3574999999999993E-2</v>
      </c>
      <c r="FH36" s="675">
        <v>2.6297999999999998E-2</v>
      </c>
      <c r="FI36" s="675">
        <v>0</v>
      </c>
      <c r="FJ36" s="675">
        <v>0</v>
      </c>
      <c r="FK36" s="675">
        <v>971.56700000000001</v>
      </c>
      <c r="FL36" s="675">
        <v>6911746</v>
      </c>
      <c r="FM36" s="675">
        <v>0</v>
      </c>
      <c r="FN36" s="675">
        <v>0</v>
      </c>
      <c r="FO36" s="675">
        <v>91596</v>
      </c>
      <c r="FP36" s="675">
        <v>0</v>
      </c>
      <c r="FQ36" s="675">
        <v>91596</v>
      </c>
      <c r="FR36" s="675">
        <v>91596</v>
      </c>
      <c r="FS36" s="675">
        <v>0</v>
      </c>
      <c r="FT36" s="675">
        <v>0</v>
      </c>
      <c r="FU36" s="675">
        <v>0</v>
      </c>
      <c r="FV36" s="675">
        <v>0</v>
      </c>
      <c r="FW36" s="675">
        <v>0</v>
      </c>
      <c r="FX36" s="675">
        <v>0</v>
      </c>
      <c r="FY36" s="675">
        <v>0</v>
      </c>
      <c r="FZ36" s="675">
        <v>0</v>
      </c>
      <c r="GA36" s="675">
        <v>0</v>
      </c>
      <c r="GB36" s="675">
        <v>0</v>
      </c>
      <c r="GC36" s="675">
        <v>0</v>
      </c>
      <c r="GD36" s="675">
        <v>0</v>
      </c>
      <c r="GE36" s="675">
        <v>0</v>
      </c>
      <c r="GF36" s="675">
        <v>0</v>
      </c>
      <c r="GG36" s="675">
        <v>0</v>
      </c>
      <c r="GH36" s="675">
        <v>0</v>
      </c>
      <c r="GI36" s="675">
        <v>0</v>
      </c>
      <c r="GJ36" s="675">
        <v>0</v>
      </c>
      <c r="GK36" s="675">
        <v>0</v>
      </c>
      <c r="GL36" s="675">
        <v>0</v>
      </c>
      <c r="GM36" s="675">
        <v>0</v>
      </c>
      <c r="GN36" s="675">
        <v>0</v>
      </c>
      <c r="GO36" s="675">
        <v>0</v>
      </c>
      <c r="GP36" s="675">
        <v>0</v>
      </c>
      <c r="GQ36" s="675">
        <v>0</v>
      </c>
      <c r="GR36" s="675">
        <v>0</v>
      </c>
      <c r="GS36" s="675">
        <v>0</v>
      </c>
      <c r="GT36" s="675">
        <v>0</v>
      </c>
      <c r="GU36" s="675">
        <v>0</v>
      </c>
      <c r="GV36" s="675">
        <v>0</v>
      </c>
      <c r="GW36" s="675">
        <v>0</v>
      </c>
      <c r="GX36" s="675">
        <v>0</v>
      </c>
      <c r="GY36" s="675">
        <v>0</v>
      </c>
      <c r="GZ36" s="675">
        <v>0</v>
      </c>
      <c r="HA36" s="675">
        <v>0</v>
      </c>
      <c r="HB36" s="675">
        <v>308877260</v>
      </c>
      <c r="HC36" s="675">
        <v>4.4138999999999998E-2</v>
      </c>
      <c r="HD36" s="675">
        <v>102484</v>
      </c>
      <c r="HE36" s="675">
        <v>0</v>
      </c>
      <c r="HF36" s="675">
        <v>613898</v>
      </c>
      <c r="HG36" s="675">
        <v>0</v>
      </c>
      <c r="HH36" s="675">
        <v>257943</v>
      </c>
      <c r="HI36" s="675">
        <v>0</v>
      </c>
      <c r="HJ36" s="675">
        <v>5642</v>
      </c>
      <c r="HK36" s="675">
        <v>0</v>
      </c>
      <c r="HL36" s="675">
        <v>0</v>
      </c>
      <c r="HM36" s="675">
        <v>0</v>
      </c>
      <c r="HN36" s="675">
        <v>0</v>
      </c>
      <c r="HO36" s="675">
        <v>0</v>
      </c>
      <c r="HP36" s="675">
        <v>0</v>
      </c>
      <c r="HQ36" s="675">
        <v>0</v>
      </c>
      <c r="HR36" s="675">
        <v>0</v>
      </c>
      <c r="HS36" s="675">
        <v>5860328</v>
      </c>
      <c r="HT36" s="675">
        <v>125912</v>
      </c>
      <c r="HU36" s="675">
        <v>0</v>
      </c>
      <c r="HV36" s="675">
        <v>0</v>
      </c>
      <c r="HW36" s="675">
        <v>0</v>
      </c>
      <c r="HX36" s="675">
        <v>196</v>
      </c>
      <c r="HY36" s="675">
        <v>105</v>
      </c>
      <c r="HZ36" s="675">
        <v>54</v>
      </c>
      <c r="IA36" s="675">
        <v>200</v>
      </c>
      <c r="IB36" s="675">
        <v>118</v>
      </c>
      <c r="IC36" s="675">
        <v>673</v>
      </c>
      <c r="ID36" s="675">
        <v>0</v>
      </c>
      <c r="IE36" s="675">
        <v>0</v>
      </c>
      <c r="IF36" s="675">
        <v>0</v>
      </c>
      <c r="IG36" s="675">
        <v>0</v>
      </c>
      <c r="IH36" s="675">
        <v>418.74</v>
      </c>
      <c r="II36" s="675">
        <v>0</v>
      </c>
      <c r="IJ36" s="675">
        <v>250.18200000000002</v>
      </c>
      <c r="IK36" s="675">
        <v>0</v>
      </c>
      <c r="IL36" s="675">
        <v>0</v>
      </c>
      <c r="IM36" s="675">
        <v>0</v>
      </c>
      <c r="IN36" s="675">
        <v>0</v>
      </c>
      <c r="IO36" s="675">
        <v>0</v>
      </c>
      <c r="IP36" s="675">
        <v>0</v>
      </c>
      <c r="IQ36" s="675">
        <v>250.18200000000002</v>
      </c>
      <c r="IR36" s="675">
        <v>154111</v>
      </c>
      <c r="IS36" s="675">
        <v>0</v>
      </c>
      <c r="IT36" s="675">
        <v>0</v>
      </c>
      <c r="IU36" s="675">
        <v>0</v>
      </c>
      <c r="IV36" s="675">
        <v>0</v>
      </c>
      <c r="IW36" s="675">
        <v>6160</v>
      </c>
      <c r="IX36" s="675">
        <v>0</v>
      </c>
      <c r="IY36" s="675">
        <v>0</v>
      </c>
      <c r="IZ36" s="675">
        <v>0</v>
      </c>
      <c r="JA36" s="675">
        <v>0</v>
      </c>
      <c r="JB36" s="675">
        <v>0</v>
      </c>
      <c r="JC36" s="675">
        <v>0</v>
      </c>
      <c r="JD36" s="675">
        <v>0</v>
      </c>
      <c r="JE36" s="675">
        <v>0</v>
      </c>
      <c r="JF36" s="675">
        <v>0</v>
      </c>
      <c r="JG36" s="675">
        <v>0</v>
      </c>
      <c r="JH36" s="675">
        <v>0</v>
      </c>
      <c r="JI36" s="675">
        <v>0</v>
      </c>
      <c r="JJ36" s="675">
        <v>0</v>
      </c>
      <c r="JK36" s="675">
        <v>0</v>
      </c>
      <c r="JL36" s="675">
        <v>0</v>
      </c>
      <c r="JM36" s="675">
        <v>0</v>
      </c>
      <c r="JN36" s="675">
        <v>32469</v>
      </c>
      <c r="JO36" s="675">
        <v>0</v>
      </c>
      <c r="JP36" s="675">
        <v>0</v>
      </c>
      <c r="JQ36" s="675">
        <v>0</v>
      </c>
      <c r="JR36" s="675">
        <v>0</v>
      </c>
      <c r="JS36" s="675">
        <v>0</v>
      </c>
      <c r="JT36" s="675">
        <v>0</v>
      </c>
      <c r="JU36" s="675">
        <v>0</v>
      </c>
      <c r="JV36" s="675">
        <v>0</v>
      </c>
      <c r="JW36" s="675">
        <v>0</v>
      </c>
      <c r="JX36" s="675">
        <v>0</v>
      </c>
      <c r="JY36" s="675">
        <v>0</v>
      </c>
      <c r="JZ36" s="675">
        <v>0</v>
      </c>
      <c r="KA36" s="675">
        <v>0</v>
      </c>
      <c r="KB36" s="675">
        <v>0</v>
      </c>
      <c r="KC36" s="675">
        <v>0</v>
      </c>
      <c r="KD36" s="675">
        <v>0</v>
      </c>
      <c r="KE36" s="675">
        <v>7263</v>
      </c>
      <c r="KF36" s="675">
        <v>0</v>
      </c>
      <c r="KG36" s="675">
        <v>0</v>
      </c>
      <c r="KH36" s="675">
        <v>0</v>
      </c>
      <c r="KI36" s="675">
        <v>0</v>
      </c>
    </row>
    <row r="37" spans="1:295" ht="12.5" x14ac:dyDescent="0.25">
      <c r="A37" s="675">
        <v>35795</v>
      </c>
      <c r="B37" s="675">
        <v>68802</v>
      </c>
      <c r="C37" s="675">
        <v>7</v>
      </c>
      <c r="D37" s="675">
        <v>2022</v>
      </c>
      <c r="E37" s="675">
        <v>6160</v>
      </c>
      <c r="F37" s="675">
        <v>0</v>
      </c>
      <c r="G37" s="675">
        <v>1305.627</v>
      </c>
      <c r="H37" s="675">
        <v>1279.68</v>
      </c>
      <c r="I37" s="675">
        <v>1279.68</v>
      </c>
      <c r="J37" s="675">
        <v>1305.627</v>
      </c>
      <c r="K37" s="675">
        <v>0</v>
      </c>
      <c r="L37" s="675">
        <v>6160</v>
      </c>
      <c r="M37" s="675">
        <v>0</v>
      </c>
      <c r="N37" s="675">
        <v>0</v>
      </c>
      <c r="O37" s="675">
        <v>0</v>
      </c>
      <c r="P37" s="675">
        <v>1266.675</v>
      </c>
      <c r="Q37" s="675">
        <v>0</v>
      </c>
      <c r="R37" s="675">
        <v>509745</v>
      </c>
      <c r="S37" s="675">
        <v>402.428</v>
      </c>
      <c r="T37" s="675">
        <v>0</v>
      </c>
      <c r="U37" s="675">
        <v>271071</v>
      </c>
      <c r="V37" s="675">
        <v>0</v>
      </c>
      <c r="W37" s="675">
        <v>0</v>
      </c>
      <c r="X37" s="675">
        <v>0</v>
      </c>
      <c r="Y37" s="675">
        <v>0</v>
      </c>
      <c r="Z37" s="675">
        <v>0</v>
      </c>
      <c r="AA37" s="675">
        <v>0</v>
      </c>
      <c r="AB37" s="675">
        <v>0</v>
      </c>
      <c r="AC37" s="675">
        <v>0</v>
      </c>
      <c r="AD37" s="675" t="s">
        <v>316</v>
      </c>
      <c r="AE37" s="675">
        <v>0</v>
      </c>
      <c r="AF37" s="675">
        <v>0</v>
      </c>
      <c r="AG37" s="675">
        <v>0</v>
      </c>
      <c r="AH37" s="675">
        <v>0</v>
      </c>
      <c r="AI37" s="675">
        <v>0</v>
      </c>
      <c r="AJ37" s="675">
        <v>6160</v>
      </c>
      <c r="AK37" s="675" t="s">
        <v>671</v>
      </c>
      <c r="AL37" s="675" t="s">
        <v>337</v>
      </c>
      <c r="AM37" s="675">
        <v>0</v>
      </c>
      <c r="AN37" s="675">
        <v>0</v>
      </c>
      <c r="AO37" s="675">
        <v>0</v>
      </c>
      <c r="AP37" s="675">
        <v>0</v>
      </c>
      <c r="AQ37" s="675">
        <v>0</v>
      </c>
      <c r="AR37" s="675">
        <v>0</v>
      </c>
      <c r="AS37" s="675">
        <v>0</v>
      </c>
      <c r="AT37" s="675">
        <v>0</v>
      </c>
      <c r="AU37" s="675">
        <v>0</v>
      </c>
      <c r="AV37" s="675">
        <v>0</v>
      </c>
      <c r="AW37" s="675">
        <v>11342887</v>
      </c>
      <c r="AX37" s="675">
        <v>11022914</v>
      </c>
      <c r="AY37" s="675">
        <v>8142125</v>
      </c>
      <c r="AZ37" s="675">
        <v>509745</v>
      </c>
      <c r="BA37" s="675">
        <v>0</v>
      </c>
      <c r="BB37" s="675">
        <v>3881</v>
      </c>
      <c r="BC37" s="675">
        <v>3856</v>
      </c>
      <c r="BD37" s="675">
        <v>9</v>
      </c>
      <c r="BE37" s="675">
        <v>25</v>
      </c>
      <c r="BF37" s="675">
        <v>10268491</v>
      </c>
      <c r="BG37" s="675">
        <v>0</v>
      </c>
      <c r="BH37" s="675">
        <v>0</v>
      </c>
      <c r="BI37" s="675">
        <v>0</v>
      </c>
      <c r="BJ37" s="675">
        <v>12</v>
      </c>
      <c r="BK37" s="675">
        <v>0</v>
      </c>
      <c r="BL37" s="675">
        <v>0</v>
      </c>
      <c r="BM37" s="675">
        <v>0</v>
      </c>
      <c r="BN37" s="675">
        <v>0</v>
      </c>
      <c r="BO37" s="675">
        <v>0</v>
      </c>
      <c r="BP37" s="675">
        <v>0</v>
      </c>
      <c r="BQ37" s="675">
        <v>573</v>
      </c>
      <c r="BR37" s="675">
        <v>0</v>
      </c>
      <c r="BS37" s="675">
        <v>0</v>
      </c>
      <c r="BT37" s="675">
        <v>0</v>
      </c>
      <c r="BU37" s="675">
        <v>0</v>
      </c>
      <c r="BV37" s="675">
        <v>0</v>
      </c>
      <c r="BW37" s="675">
        <v>0</v>
      </c>
      <c r="BX37" s="675">
        <v>0</v>
      </c>
      <c r="BY37" s="675">
        <v>0</v>
      </c>
      <c r="BZ37" s="675">
        <v>0</v>
      </c>
      <c r="CA37" s="675">
        <v>0</v>
      </c>
      <c r="CB37" s="675">
        <v>0</v>
      </c>
      <c r="CC37" s="675">
        <v>0</v>
      </c>
      <c r="CD37" s="675">
        <v>0</v>
      </c>
      <c r="CE37" s="675">
        <v>0</v>
      </c>
      <c r="CF37" s="675">
        <v>0</v>
      </c>
      <c r="CG37" s="675">
        <v>0</v>
      </c>
      <c r="CH37" s="675">
        <v>322846</v>
      </c>
      <c r="CI37" s="675">
        <v>0</v>
      </c>
      <c r="CJ37" s="675">
        <v>5</v>
      </c>
      <c r="CK37" s="675">
        <v>0</v>
      </c>
      <c r="CL37" s="675">
        <v>0</v>
      </c>
      <c r="CM37" s="675">
        <v>0</v>
      </c>
      <c r="CN37" s="675">
        <v>0</v>
      </c>
      <c r="CO37" s="675">
        <v>1</v>
      </c>
      <c r="CP37" s="675">
        <v>0</v>
      </c>
      <c r="CQ37" s="675">
        <v>0</v>
      </c>
      <c r="CR37" s="675">
        <v>1278.3980000000001</v>
      </c>
      <c r="CS37" s="675">
        <v>0</v>
      </c>
      <c r="CT37" s="675">
        <v>0</v>
      </c>
      <c r="CU37" s="675">
        <v>0</v>
      </c>
      <c r="CV37" s="675">
        <v>0</v>
      </c>
      <c r="CW37" s="675">
        <v>0</v>
      </c>
      <c r="CX37" s="675">
        <v>0</v>
      </c>
      <c r="CY37" s="675">
        <v>0</v>
      </c>
      <c r="CZ37" s="675">
        <v>0</v>
      </c>
      <c r="DA37" s="675">
        <v>0</v>
      </c>
      <c r="DB37" s="675">
        <v>7882792</v>
      </c>
      <c r="DC37" s="675">
        <v>0</v>
      </c>
      <c r="DD37" s="675">
        <v>0</v>
      </c>
      <c r="DE37" s="675">
        <v>172094</v>
      </c>
      <c r="DF37" s="675">
        <v>172094</v>
      </c>
      <c r="DG37" s="675">
        <v>27.938000000000002</v>
      </c>
      <c r="DH37" s="675">
        <v>0</v>
      </c>
      <c r="DI37" s="675">
        <v>0</v>
      </c>
      <c r="DJ37" s="675">
        <v>0</v>
      </c>
      <c r="DK37" s="675">
        <v>789</v>
      </c>
      <c r="DL37" s="675">
        <v>0</v>
      </c>
      <c r="DM37" s="675">
        <v>757004</v>
      </c>
      <c r="DN37" s="675">
        <v>2848</v>
      </c>
      <c r="DO37" s="675">
        <v>0</v>
      </c>
      <c r="DP37" s="675">
        <v>0</v>
      </c>
      <c r="DQ37" s="675">
        <v>0</v>
      </c>
      <c r="DR37" s="675">
        <v>0</v>
      </c>
      <c r="DS37" s="675">
        <v>0</v>
      </c>
      <c r="DT37" s="675">
        <v>0</v>
      </c>
      <c r="DU37" s="675">
        <v>0</v>
      </c>
      <c r="DV37" s="675">
        <v>0</v>
      </c>
      <c r="DW37" s="675">
        <v>0</v>
      </c>
      <c r="DX37" s="675">
        <v>0</v>
      </c>
      <c r="DY37" s="675">
        <v>0</v>
      </c>
      <c r="DZ37" s="675">
        <v>0</v>
      </c>
      <c r="EA37" s="675">
        <v>0</v>
      </c>
      <c r="EB37" s="675">
        <v>0</v>
      </c>
      <c r="EC37" s="675">
        <v>35.821000000000005</v>
      </c>
      <c r="ED37" s="675">
        <v>253755</v>
      </c>
      <c r="EE37" s="675">
        <v>0</v>
      </c>
      <c r="EF37" s="675">
        <v>0</v>
      </c>
      <c r="EG37" s="675">
        <v>0</v>
      </c>
      <c r="EH37" s="675">
        <v>506097</v>
      </c>
      <c r="EI37" s="675">
        <v>0</v>
      </c>
      <c r="EJ37" s="675">
        <v>0</v>
      </c>
      <c r="EK37" s="675">
        <v>23.788</v>
      </c>
      <c r="EL37" s="675">
        <v>0</v>
      </c>
      <c r="EM37" s="675">
        <v>0</v>
      </c>
      <c r="EN37" s="675">
        <v>2.1590000000000003</v>
      </c>
      <c r="EO37" s="675">
        <v>0</v>
      </c>
      <c r="EP37" s="675">
        <v>0</v>
      </c>
      <c r="EQ37" s="675">
        <v>25.947000000000003</v>
      </c>
      <c r="ER37" s="675">
        <v>0</v>
      </c>
      <c r="ES37" s="675">
        <v>82.159000000000006</v>
      </c>
      <c r="ET37" s="675">
        <v>0</v>
      </c>
      <c r="EU37" s="675">
        <v>0</v>
      </c>
      <c r="EV37" s="675">
        <v>0</v>
      </c>
      <c r="EW37" s="675">
        <v>0</v>
      </c>
      <c r="EX37" s="675">
        <v>0</v>
      </c>
      <c r="EY37" s="675">
        <v>0</v>
      </c>
      <c r="EZ37" s="675">
        <v>9762364</v>
      </c>
      <c r="FA37" s="675">
        <v>0</v>
      </c>
      <c r="FB37" s="675">
        <v>10269236</v>
      </c>
      <c r="FC37" s="675">
        <v>0</v>
      </c>
      <c r="FD37" s="675">
        <v>0</v>
      </c>
      <c r="FE37" s="675">
        <v>1044516</v>
      </c>
      <c r="FF37" s="675">
        <v>216034</v>
      </c>
      <c r="FG37" s="675">
        <v>6.3574999999999993E-2</v>
      </c>
      <c r="FH37" s="675">
        <v>2.6297999999999998E-2</v>
      </c>
      <c r="FI37" s="675">
        <v>0</v>
      </c>
      <c r="FJ37" s="675">
        <v>0</v>
      </c>
      <c r="FK37" s="675">
        <v>1666.971</v>
      </c>
      <c r="FL37" s="675">
        <v>11852632</v>
      </c>
      <c r="FM37" s="675">
        <v>0</v>
      </c>
      <c r="FN37" s="675">
        <v>0</v>
      </c>
      <c r="FO37" s="675">
        <v>0</v>
      </c>
      <c r="FP37" s="675">
        <v>0</v>
      </c>
      <c r="FQ37" s="675">
        <v>0</v>
      </c>
      <c r="FR37" s="675">
        <v>0</v>
      </c>
      <c r="FS37" s="675">
        <v>0</v>
      </c>
      <c r="FT37" s="675">
        <v>0</v>
      </c>
      <c r="FU37" s="675">
        <v>0</v>
      </c>
      <c r="FV37" s="675">
        <v>0</v>
      </c>
      <c r="FW37" s="675">
        <v>0</v>
      </c>
      <c r="FX37" s="675">
        <v>0</v>
      </c>
      <c r="FY37" s="675">
        <v>0</v>
      </c>
      <c r="FZ37" s="675">
        <v>0</v>
      </c>
      <c r="GA37" s="675">
        <v>0</v>
      </c>
      <c r="GB37" s="675">
        <v>0</v>
      </c>
      <c r="GC37" s="675">
        <v>0</v>
      </c>
      <c r="GD37" s="675">
        <v>0</v>
      </c>
      <c r="GE37" s="675">
        <v>0</v>
      </c>
      <c r="GF37" s="675">
        <v>0</v>
      </c>
      <c r="GG37" s="675">
        <v>0</v>
      </c>
      <c r="GH37" s="675">
        <v>0</v>
      </c>
      <c r="GI37" s="675">
        <v>0</v>
      </c>
      <c r="GJ37" s="675">
        <v>0</v>
      </c>
      <c r="GK37" s="675">
        <v>0</v>
      </c>
      <c r="GL37" s="675">
        <v>0</v>
      </c>
      <c r="GM37" s="675">
        <v>0</v>
      </c>
      <c r="GN37" s="675">
        <v>0</v>
      </c>
      <c r="GO37" s="675">
        <v>0</v>
      </c>
      <c r="GP37" s="675">
        <v>0</v>
      </c>
      <c r="GQ37" s="675">
        <v>0</v>
      </c>
      <c r="GR37" s="675">
        <v>0</v>
      </c>
      <c r="GS37" s="675">
        <v>0</v>
      </c>
      <c r="GT37" s="675">
        <v>0</v>
      </c>
      <c r="GU37" s="675">
        <v>0</v>
      </c>
      <c r="GV37" s="675">
        <v>0</v>
      </c>
      <c r="GW37" s="675">
        <v>0</v>
      </c>
      <c r="GX37" s="675">
        <v>0</v>
      </c>
      <c r="GY37" s="675">
        <v>0</v>
      </c>
      <c r="GZ37" s="675">
        <v>0</v>
      </c>
      <c r="HA37" s="675">
        <v>0</v>
      </c>
      <c r="HB37" s="675">
        <v>308877260</v>
      </c>
      <c r="HC37" s="675">
        <v>4.4138999999999998E-2</v>
      </c>
      <c r="HD37" s="675">
        <v>230516</v>
      </c>
      <c r="HE37" s="675">
        <v>0</v>
      </c>
      <c r="HF37" s="675">
        <v>1411487</v>
      </c>
      <c r="HG37" s="675">
        <v>15400</v>
      </c>
      <c r="HH37" s="675">
        <v>10294</v>
      </c>
      <c r="HI37" s="675">
        <v>0</v>
      </c>
      <c r="HJ37" s="675">
        <v>12691</v>
      </c>
      <c r="HK37" s="675">
        <v>3618</v>
      </c>
      <c r="HL37" s="675">
        <v>0</v>
      </c>
      <c r="HM37" s="675">
        <v>0</v>
      </c>
      <c r="HN37" s="675">
        <v>0</v>
      </c>
      <c r="HO37" s="675">
        <v>0</v>
      </c>
      <c r="HP37" s="675">
        <v>0</v>
      </c>
      <c r="HQ37" s="675">
        <v>0</v>
      </c>
      <c r="HR37" s="675">
        <v>0</v>
      </c>
      <c r="HS37" s="675">
        <v>9759491</v>
      </c>
      <c r="HT37" s="675">
        <v>216034</v>
      </c>
      <c r="HU37" s="675">
        <v>92330</v>
      </c>
      <c r="HV37" s="675">
        <v>0</v>
      </c>
      <c r="HW37" s="675">
        <v>0</v>
      </c>
      <c r="HX37" s="675">
        <v>32</v>
      </c>
      <c r="HY37" s="675">
        <v>45</v>
      </c>
      <c r="HZ37" s="675">
        <v>20</v>
      </c>
      <c r="IA37" s="675">
        <v>14</v>
      </c>
      <c r="IB37" s="675">
        <v>5</v>
      </c>
      <c r="IC37" s="675">
        <v>116</v>
      </c>
      <c r="ID37" s="675">
        <v>0</v>
      </c>
      <c r="IE37" s="675">
        <v>0</v>
      </c>
      <c r="IF37" s="675">
        <v>0</v>
      </c>
      <c r="IG37" s="675">
        <v>25</v>
      </c>
      <c r="IH37" s="675">
        <v>16.711000000000002</v>
      </c>
      <c r="II37" s="675">
        <v>0</v>
      </c>
      <c r="IJ37" s="675">
        <v>0</v>
      </c>
      <c r="IK37" s="675">
        <v>0</v>
      </c>
      <c r="IL37" s="675">
        <v>0</v>
      </c>
      <c r="IM37" s="675">
        <v>0</v>
      </c>
      <c r="IN37" s="675">
        <v>0</v>
      </c>
      <c r="IO37" s="675">
        <v>0</v>
      </c>
      <c r="IP37" s="675">
        <v>0</v>
      </c>
      <c r="IQ37" s="675">
        <v>0</v>
      </c>
      <c r="IR37" s="675">
        <v>0</v>
      </c>
      <c r="IS37" s="675">
        <v>0</v>
      </c>
      <c r="IT37" s="675">
        <v>0</v>
      </c>
      <c r="IU37" s="675">
        <v>0</v>
      </c>
      <c r="IV37" s="675">
        <v>0</v>
      </c>
      <c r="IW37" s="675">
        <v>6160</v>
      </c>
      <c r="IX37" s="675">
        <v>0</v>
      </c>
      <c r="IY37" s="675">
        <v>0</v>
      </c>
      <c r="IZ37" s="675">
        <v>0</v>
      </c>
      <c r="JA37" s="675">
        <v>0</v>
      </c>
      <c r="JB37" s="675">
        <v>0</v>
      </c>
      <c r="JC37" s="675">
        <v>0</v>
      </c>
      <c r="JD37" s="675">
        <v>0</v>
      </c>
      <c r="JE37" s="675">
        <v>0</v>
      </c>
      <c r="JF37" s="675">
        <v>0</v>
      </c>
      <c r="JG37" s="675">
        <v>0</v>
      </c>
      <c r="JH37" s="675">
        <v>0</v>
      </c>
      <c r="JI37" s="675">
        <v>0</v>
      </c>
      <c r="JJ37" s="675">
        <v>0</v>
      </c>
      <c r="JK37" s="675">
        <v>0</v>
      </c>
      <c r="JL37" s="675">
        <v>0</v>
      </c>
      <c r="JM37" s="675">
        <v>0</v>
      </c>
      <c r="JN37" s="675">
        <v>32469</v>
      </c>
      <c r="JO37" s="675">
        <v>0</v>
      </c>
      <c r="JP37" s="675">
        <v>0</v>
      </c>
      <c r="JQ37" s="675">
        <v>0</v>
      </c>
      <c r="JR37" s="675">
        <v>0</v>
      </c>
      <c r="JS37" s="675">
        <v>0</v>
      </c>
      <c r="JT37" s="675">
        <v>0</v>
      </c>
      <c r="JU37" s="675">
        <v>3881</v>
      </c>
      <c r="JV37" s="675">
        <v>92330</v>
      </c>
      <c r="JW37" s="675">
        <v>0</v>
      </c>
      <c r="JX37" s="675">
        <v>0</v>
      </c>
      <c r="JY37" s="675">
        <v>0</v>
      </c>
      <c r="JZ37" s="675">
        <v>0</v>
      </c>
      <c r="KA37" s="675">
        <v>0</v>
      </c>
      <c r="KB37" s="675">
        <v>0</v>
      </c>
      <c r="KC37" s="675">
        <v>0</v>
      </c>
      <c r="KD37" s="675">
        <v>3881</v>
      </c>
      <c r="KE37" s="675">
        <v>7263</v>
      </c>
      <c r="KF37" s="675">
        <v>0</v>
      </c>
      <c r="KG37" s="675">
        <v>0</v>
      </c>
      <c r="KH37" s="675">
        <v>0</v>
      </c>
      <c r="KI37" s="675">
        <v>0</v>
      </c>
    </row>
    <row r="38" spans="1:295" ht="12.5" x14ac:dyDescent="0.25">
      <c r="A38" s="675">
        <v>35795</v>
      </c>
      <c r="B38" s="675">
        <v>72802</v>
      </c>
      <c r="C38" s="675">
        <v>7</v>
      </c>
      <c r="D38" s="675">
        <v>2022</v>
      </c>
      <c r="E38" s="675">
        <v>6160</v>
      </c>
      <c r="F38" s="675">
        <v>0</v>
      </c>
      <c r="G38" s="675">
        <v>80.037000000000006</v>
      </c>
      <c r="H38" s="675">
        <v>67.00200000000001</v>
      </c>
      <c r="I38" s="675">
        <v>67.00200000000001</v>
      </c>
      <c r="J38" s="675">
        <v>80.037000000000006</v>
      </c>
      <c r="K38" s="675">
        <v>0</v>
      </c>
      <c r="L38" s="675">
        <v>6160</v>
      </c>
      <c r="M38" s="675">
        <v>0</v>
      </c>
      <c r="N38" s="675">
        <v>0</v>
      </c>
      <c r="O38" s="675">
        <v>0</v>
      </c>
      <c r="P38" s="675">
        <v>105.447</v>
      </c>
      <c r="Q38" s="675">
        <v>0</v>
      </c>
      <c r="R38" s="675">
        <v>42435</v>
      </c>
      <c r="S38" s="675">
        <v>402.428</v>
      </c>
      <c r="T38" s="675">
        <v>0</v>
      </c>
      <c r="U38" s="675">
        <v>22565</v>
      </c>
      <c r="V38" s="675">
        <v>2.8000000000000003</v>
      </c>
      <c r="W38" s="675">
        <v>1725</v>
      </c>
      <c r="X38" s="675">
        <v>1725</v>
      </c>
      <c r="Y38" s="675">
        <v>0</v>
      </c>
      <c r="Z38" s="675">
        <v>0</v>
      </c>
      <c r="AA38" s="675">
        <v>0</v>
      </c>
      <c r="AB38" s="675">
        <v>0</v>
      </c>
      <c r="AC38" s="675">
        <v>0</v>
      </c>
      <c r="AD38" s="675" t="s">
        <v>316</v>
      </c>
      <c r="AE38" s="675">
        <v>0</v>
      </c>
      <c r="AF38" s="675">
        <v>0</v>
      </c>
      <c r="AG38" s="675">
        <v>0</v>
      </c>
      <c r="AH38" s="675">
        <v>0</v>
      </c>
      <c r="AI38" s="675">
        <v>0</v>
      </c>
      <c r="AJ38" s="675">
        <v>6160</v>
      </c>
      <c r="AK38" s="675" t="s">
        <v>671</v>
      </c>
      <c r="AL38" s="675" t="s">
        <v>342</v>
      </c>
      <c r="AM38" s="675">
        <v>0</v>
      </c>
      <c r="AN38" s="675">
        <v>0</v>
      </c>
      <c r="AO38" s="675">
        <v>0</v>
      </c>
      <c r="AP38" s="675">
        <v>0</v>
      </c>
      <c r="AQ38" s="675">
        <v>0</v>
      </c>
      <c r="AR38" s="675">
        <v>0</v>
      </c>
      <c r="AS38" s="675">
        <v>0</v>
      </c>
      <c r="AT38" s="675">
        <v>0</v>
      </c>
      <c r="AU38" s="675">
        <v>0</v>
      </c>
      <c r="AV38" s="675">
        <v>-1209</v>
      </c>
      <c r="AW38" s="675">
        <v>907174</v>
      </c>
      <c r="AX38" s="675">
        <v>893426</v>
      </c>
      <c r="AY38" s="675">
        <v>669270</v>
      </c>
      <c r="AZ38" s="675">
        <v>42435</v>
      </c>
      <c r="BA38" s="675">
        <v>0</v>
      </c>
      <c r="BB38" s="675">
        <v>0</v>
      </c>
      <c r="BC38" s="675">
        <v>0</v>
      </c>
      <c r="BD38" s="675">
        <v>0</v>
      </c>
      <c r="BE38" s="675">
        <v>0</v>
      </c>
      <c r="BF38" s="675">
        <v>818926</v>
      </c>
      <c r="BG38" s="675">
        <v>0</v>
      </c>
      <c r="BH38" s="675">
        <v>0</v>
      </c>
      <c r="BI38" s="675">
        <v>0</v>
      </c>
      <c r="BJ38" s="675">
        <v>12</v>
      </c>
      <c r="BK38" s="675">
        <v>0</v>
      </c>
      <c r="BL38" s="675">
        <v>0</v>
      </c>
      <c r="BM38" s="675">
        <v>0</v>
      </c>
      <c r="BN38" s="675">
        <v>0</v>
      </c>
      <c r="BO38" s="675">
        <v>0</v>
      </c>
      <c r="BP38" s="675">
        <v>0</v>
      </c>
      <c r="BQ38" s="675">
        <v>760</v>
      </c>
      <c r="BR38" s="675">
        <v>0</v>
      </c>
      <c r="BS38" s="675">
        <v>0</v>
      </c>
      <c r="BT38" s="675">
        <v>0</v>
      </c>
      <c r="BU38" s="675">
        <v>0</v>
      </c>
      <c r="BV38" s="675">
        <v>0</v>
      </c>
      <c r="BW38" s="675">
        <v>0</v>
      </c>
      <c r="BX38" s="675">
        <v>0</v>
      </c>
      <c r="BY38" s="675">
        <v>0</v>
      </c>
      <c r="BZ38" s="675">
        <v>0</v>
      </c>
      <c r="CA38" s="675">
        <v>0</v>
      </c>
      <c r="CB38" s="675">
        <v>0</v>
      </c>
      <c r="CC38" s="675">
        <v>0</v>
      </c>
      <c r="CD38" s="675">
        <v>0</v>
      </c>
      <c r="CE38" s="675">
        <v>0</v>
      </c>
      <c r="CF38" s="675">
        <v>0</v>
      </c>
      <c r="CG38" s="675">
        <v>0</v>
      </c>
      <c r="CH38" s="675">
        <v>14131</v>
      </c>
      <c r="CI38" s="675">
        <v>0</v>
      </c>
      <c r="CJ38" s="675">
        <v>4</v>
      </c>
      <c r="CK38" s="675">
        <v>0</v>
      </c>
      <c r="CL38" s="675">
        <v>0</v>
      </c>
      <c r="CM38" s="675">
        <v>0</v>
      </c>
      <c r="CN38" s="675">
        <v>0</v>
      </c>
      <c r="CO38" s="675">
        <v>1</v>
      </c>
      <c r="CP38" s="675">
        <v>0.36899999999999999</v>
      </c>
      <c r="CQ38" s="675">
        <v>0</v>
      </c>
      <c r="CR38" s="675">
        <v>108.43</v>
      </c>
      <c r="CS38" s="675">
        <v>0</v>
      </c>
      <c r="CT38" s="675">
        <v>0</v>
      </c>
      <c r="CU38" s="675">
        <v>0</v>
      </c>
      <c r="CV38" s="675">
        <v>0</v>
      </c>
      <c r="CW38" s="675">
        <v>0</v>
      </c>
      <c r="CX38" s="675">
        <v>0</v>
      </c>
      <c r="CY38" s="675">
        <v>0</v>
      </c>
      <c r="CZ38" s="675">
        <v>0</v>
      </c>
      <c r="DA38" s="675">
        <v>0</v>
      </c>
      <c r="DB38" s="675">
        <v>412730</v>
      </c>
      <c r="DC38" s="675">
        <v>0</v>
      </c>
      <c r="DD38" s="675">
        <v>0</v>
      </c>
      <c r="DE38" s="675">
        <v>130283</v>
      </c>
      <c r="DF38" s="675">
        <v>135761</v>
      </c>
      <c r="DG38" s="675">
        <v>21.150000000000002</v>
      </c>
      <c r="DH38" s="675">
        <v>0</v>
      </c>
      <c r="DI38" s="675">
        <v>5478</v>
      </c>
      <c r="DJ38" s="675">
        <v>0</v>
      </c>
      <c r="DK38" s="675">
        <v>3777</v>
      </c>
      <c r="DL38" s="675">
        <v>0</v>
      </c>
      <c r="DM38" s="675">
        <v>101738</v>
      </c>
      <c r="DN38" s="675">
        <v>383</v>
      </c>
      <c r="DO38" s="675">
        <v>0</v>
      </c>
      <c r="DP38" s="675">
        <v>0</v>
      </c>
      <c r="DQ38" s="675">
        <v>0</v>
      </c>
      <c r="DR38" s="675">
        <v>0</v>
      </c>
      <c r="DS38" s="675">
        <v>0</v>
      </c>
      <c r="DT38" s="675">
        <v>0</v>
      </c>
      <c r="DU38" s="675">
        <v>0</v>
      </c>
      <c r="DV38" s="675">
        <v>0</v>
      </c>
      <c r="DW38" s="675">
        <v>0</v>
      </c>
      <c r="DX38" s="675">
        <v>0</v>
      </c>
      <c r="DY38" s="675">
        <v>0</v>
      </c>
      <c r="DZ38" s="675">
        <v>0</v>
      </c>
      <c r="EA38" s="675">
        <v>0</v>
      </c>
      <c r="EB38" s="675">
        <v>0</v>
      </c>
      <c r="EC38" s="675">
        <v>1.381</v>
      </c>
      <c r="ED38" s="675">
        <v>9783</v>
      </c>
      <c r="EE38" s="675">
        <v>0</v>
      </c>
      <c r="EF38" s="675">
        <v>0</v>
      </c>
      <c r="EG38" s="675">
        <v>0</v>
      </c>
      <c r="EH38" s="675">
        <v>13416</v>
      </c>
      <c r="EI38" s="675">
        <v>78922</v>
      </c>
      <c r="EJ38" s="675">
        <v>3.2030000000000003</v>
      </c>
      <c r="EK38" s="675">
        <v>0.72600000000000009</v>
      </c>
      <c r="EL38" s="675">
        <v>0</v>
      </c>
      <c r="EM38" s="675">
        <v>0</v>
      </c>
      <c r="EN38" s="675">
        <v>0</v>
      </c>
      <c r="EO38" s="675">
        <v>0</v>
      </c>
      <c r="EP38" s="675">
        <v>0</v>
      </c>
      <c r="EQ38" s="675">
        <v>3.9290000000000003</v>
      </c>
      <c r="ER38" s="675">
        <v>0</v>
      </c>
      <c r="ES38" s="675">
        <v>2.1779999999999999</v>
      </c>
      <c r="ET38" s="675">
        <v>0</v>
      </c>
      <c r="EU38" s="675">
        <v>0</v>
      </c>
      <c r="EV38" s="675">
        <v>0</v>
      </c>
      <c r="EW38" s="675">
        <v>0</v>
      </c>
      <c r="EX38" s="675">
        <v>0</v>
      </c>
      <c r="EY38" s="675">
        <v>0</v>
      </c>
      <c r="EZ38" s="675">
        <v>792896</v>
      </c>
      <c r="FA38" s="675">
        <v>0</v>
      </c>
      <c r="FB38" s="675">
        <v>834948</v>
      </c>
      <c r="FC38" s="675">
        <v>0</v>
      </c>
      <c r="FD38" s="675">
        <v>0</v>
      </c>
      <c r="FE38" s="675">
        <v>83301</v>
      </c>
      <c r="FF38" s="675">
        <v>17229</v>
      </c>
      <c r="FG38" s="675">
        <v>6.3574999999999993E-2</v>
      </c>
      <c r="FH38" s="675">
        <v>2.6297999999999998E-2</v>
      </c>
      <c r="FI38" s="675">
        <v>0</v>
      </c>
      <c r="FJ38" s="675">
        <v>0</v>
      </c>
      <c r="FK38" s="675">
        <v>132.94300000000001</v>
      </c>
      <c r="FL38" s="675">
        <v>949609</v>
      </c>
      <c r="FM38" s="675">
        <v>0</v>
      </c>
      <c r="FN38" s="675">
        <v>0</v>
      </c>
      <c r="FO38" s="675">
        <v>0</v>
      </c>
      <c r="FP38" s="675">
        <v>0</v>
      </c>
      <c r="FQ38" s="675">
        <v>0</v>
      </c>
      <c r="FR38" s="675">
        <v>0</v>
      </c>
      <c r="FS38" s="675">
        <v>0</v>
      </c>
      <c r="FT38" s="675">
        <v>0</v>
      </c>
      <c r="FU38" s="675">
        <v>0</v>
      </c>
      <c r="FV38" s="675">
        <v>0</v>
      </c>
      <c r="FW38" s="675">
        <v>0</v>
      </c>
      <c r="FX38" s="675">
        <v>0</v>
      </c>
      <c r="FY38" s="675">
        <v>0</v>
      </c>
      <c r="FZ38" s="675">
        <v>0</v>
      </c>
      <c r="GA38" s="675">
        <v>0</v>
      </c>
      <c r="GB38" s="675">
        <v>85520</v>
      </c>
      <c r="GC38" s="675">
        <v>85520</v>
      </c>
      <c r="GD38" s="675">
        <v>9.1059999999999999</v>
      </c>
      <c r="GE38" s="675">
        <v>0</v>
      </c>
      <c r="GF38" s="675">
        <v>0</v>
      </c>
      <c r="GG38" s="675">
        <v>0</v>
      </c>
      <c r="GH38" s="675">
        <v>0</v>
      </c>
      <c r="GI38" s="675">
        <v>0</v>
      </c>
      <c r="GJ38" s="675">
        <v>0</v>
      </c>
      <c r="GK38" s="675">
        <v>0</v>
      </c>
      <c r="GL38" s="675">
        <v>0</v>
      </c>
      <c r="GM38" s="675">
        <v>0</v>
      </c>
      <c r="GN38" s="675">
        <v>0</v>
      </c>
      <c r="GO38" s="675">
        <v>0</v>
      </c>
      <c r="GP38" s="675">
        <v>0</v>
      </c>
      <c r="GQ38" s="675">
        <v>0</v>
      </c>
      <c r="GR38" s="675">
        <v>0</v>
      </c>
      <c r="GS38" s="675">
        <v>0</v>
      </c>
      <c r="GT38" s="675">
        <v>0</v>
      </c>
      <c r="GU38" s="675">
        <v>0</v>
      </c>
      <c r="GV38" s="675">
        <v>0</v>
      </c>
      <c r="GW38" s="675">
        <v>0</v>
      </c>
      <c r="GX38" s="675">
        <v>0</v>
      </c>
      <c r="GY38" s="675">
        <v>0</v>
      </c>
      <c r="GZ38" s="675">
        <v>0</v>
      </c>
      <c r="HA38" s="675">
        <v>0</v>
      </c>
      <c r="HB38" s="675">
        <v>308877260</v>
      </c>
      <c r="HC38" s="675">
        <v>4.4138999999999998E-2</v>
      </c>
      <c r="HD38" s="675">
        <v>14131</v>
      </c>
      <c r="HE38" s="675">
        <v>0</v>
      </c>
      <c r="HF38" s="675">
        <v>73903</v>
      </c>
      <c r="HG38" s="675">
        <v>3388</v>
      </c>
      <c r="HH38" s="675">
        <v>0</v>
      </c>
      <c r="HI38" s="675">
        <v>0</v>
      </c>
      <c r="HJ38" s="675">
        <v>778</v>
      </c>
      <c r="HK38" s="675">
        <v>1188</v>
      </c>
      <c r="HL38" s="675">
        <v>417</v>
      </c>
      <c r="HM38" s="675">
        <v>3000</v>
      </c>
      <c r="HN38" s="675">
        <v>0</v>
      </c>
      <c r="HO38" s="675">
        <v>0</v>
      </c>
      <c r="HP38" s="675">
        <v>12756</v>
      </c>
      <c r="HQ38" s="675">
        <v>0</v>
      </c>
      <c r="HR38" s="675">
        <v>0</v>
      </c>
      <c r="HS38" s="675">
        <v>792513</v>
      </c>
      <c r="HT38" s="675">
        <v>17229</v>
      </c>
      <c r="HU38" s="675">
        <v>0</v>
      </c>
      <c r="HV38" s="675">
        <v>0</v>
      </c>
      <c r="HW38" s="675">
        <v>0</v>
      </c>
      <c r="HX38" s="675">
        <v>23</v>
      </c>
      <c r="HY38" s="675">
        <v>5</v>
      </c>
      <c r="HZ38" s="675">
        <v>12</v>
      </c>
      <c r="IA38" s="675">
        <v>3</v>
      </c>
      <c r="IB38" s="675">
        <v>40</v>
      </c>
      <c r="IC38" s="675">
        <v>83</v>
      </c>
      <c r="ID38" s="675">
        <v>0</v>
      </c>
      <c r="IE38" s="675">
        <v>0</v>
      </c>
      <c r="IF38" s="675">
        <v>0</v>
      </c>
      <c r="IG38" s="675">
        <v>5.5</v>
      </c>
      <c r="IH38" s="675">
        <v>0</v>
      </c>
      <c r="II38" s="675">
        <v>46.385000000000005</v>
      </c>
      <c r="IJ38" s="675">
        <v>2.8000000000000003</v>
      </c>
      <c r="IK38" s="675">
        <v>7.4330000000000007</v>
      </c>
      <c r="IL38" s="675">
        <v>0</v>
      </c>
      <c r="IM38" s="675">
        <v>1</v>
      </c>
      <c r="IN38" s="675">
        <v>0</v>
      </c>
      <c r="IO38" s="675">
        <v>1</v>
      </c>
      <c r="IP38" s="675">
        <v>53.818000000000005</v>
      </c>
      <c r="IQ38" s="675">
        <v>2.8000000000000003</v>
      </c>
      <c r="IR38" s="675">
        <v>1725</v>
      </c>
      <c r="IS38" s="675">
        <v>2044</v>
      </c>
      <c r="IT38" s="675">
        <v>0</v>
      </c>
      <c r="IU38" s="675">
        <v>3000</v>
      </c>
      <c r="IV38" s="675">
        <v>0</v>
      </c>
      <c r="IW38" s="675">
        <v>6160</v>
      </c>
      <c r="IX38" s="675">
        <v>0</v>
      </c>
      <c r="IY38" s="675">
        <v>0</v>
      </c>
      <c r="IZ38" s="675">
        <v>14800</v>
      </c>
      <c r="JA38" s="675">
        <v>0</v>
      </c>
      <c r="JB38" s="675">
        <v>0</v>
      </c>
      <c r="JC38" s="675">
        <v>0</v>
      </c>
      <c r="JD38" s="675">
        <v>0</v>
      </c>
      <c r="JE38" s="675">
        <v>0</v>
      </c>
      <c r="JF38" s="675">
        <v>0</v>
      </c>
      <c r="JG38" s="675">
        <v>0</v>
      </c>
      <c r="JH38" s="675">
        <v>0</v>
      </c>
      <c r="JI38" s="675">
        <v>0</v>
      </c>
      <c r="JJ38" s="675">
        <v>0</v>
      </c>
      <c r="JK38" s="675">
        <v>0</v>
      </c>
      <c r="JL38" s="675">
        <v>0</v>
      </c>
      <c r="JM38" s="675">
        <v>0</v>
      </c>
      <c r="JN38" s="675">
        <v>32469</v>
      </c>
      <c r="JO38" s="675">
        <v>0</v>
      </c>
      <c r="JP38" s="675">
        <v>8.479000000000001</v>
      </c>
      <c r="JQ38" s="675">
        <v>0.627</v>
      </c>
      <c r="JR38" s="675">
        <v>0</v>
      </c>
      <c r="JS38" s="675">
        <v>78826</v>
      </c>
      <c r="JT38" s="675">
        <v>6694</v>
      </c>
      <c r="JU38" s="675">
        <v>0</v>
      </c>
      <c r="JV38" s="675">
        <v>0</v>
      </c>
      <c r="JW38" s="675">
        <v>0</v>
      </c>
      <c r="JX38" s="675">
        <v>0</v>
      </c>
      <c r="JY38" s="675">
        <v>0</v>
      </c>
      <c r="JZ38" s="675">
        <v>0</v>
      </c>
      <c r="KA38" s="675">
        <v>0</v>
      </c>
      <c r="KB38" s="675">
        <v>0</v>
      </c>
      <c r="KC38" s="675">
        <v>0</v>
      </c>
      <c r="KD38" s="675">
        <v>0</v>
      </c>
      <c r="KE38" s="675">
        <v>7263</v>
      </c>
      <c r="KF38" s="675">
        <v>0</v>
      </c>
      <c r="KG38" s="675">
        <v>0</v>
      </c>
      <c r="KH38" s="675">
        <v>0</v>
      </c>
      <c r="KI38" s="675">
        <v>0</v>
      </c>
    </row>
    <row r="39" spans="1:295" ht="12.5" x14ac:dyDescent="0.25">
      <c r="A39" s="675">
        <v>35795</v>
      </c>
      <c r="B39" s="675">
        <v>84802</v>
      </c>
      <c r="C39" s="675">
        <v>7</v>
      </c>
      <c r="D39" s="675">
        <v>2022</v>
      </c>
      <c r="E39" s="675">
        <v>6160</v>
      </c>
      <c r="F39" s="675">
        <v>0</v>
      </c>
      <c r="G39" s="675">
        <v>1285.9110000000001</v>
      </c>
      <c r="H39" s="675">
        <v>1232.4170000000001</v>
      </c>
      <c r="I39" s="675">
        <v>1232.4170000000001</v>
      </c>
      <c r="J39" s="675">
        <v>1285.9110000000001</v>
      </c>
      <c r="K39" s="675">
        <v>0</v>
      </c>
      <c r="L39" s="675">
        <v>6160</v>
      </c>
      <c r="M39" s="675">
        <v>0</v>
      </c>
      <c r="N39" s="675">
        <v>0</v>
      </c>
      <c r="O39" s="675">
        <v>0</v>
      </c>
      <c r="P39" s="675">
        <v>1198.9580000000001</v>
      </c>
      <c r="Q39" s="675">
        <v>0</v>
      </c>
      <c r="R39" s="675">
        <v>482494</v>
      </c>
      <c r="S39" s="675">
        <v>402.428</v>
      </c>
      <c r="T39" s="675">
        <v>0</v>
      </c>
      <c r="U39" s="675">
        <v>256577</v>
      </c>
      <c r="V39" s="675">
        <v>224.39500000000001</v>
      </c>
      <c r="W39" s="675">
        <v>138227</v>
      </c>
      <c r="X39" s="675">
        <v>138227</v>
      </c>
      <c r="Y39" s="675">
        <v>0</v>
      </c>
      <c r="Z39" s="675">
        <v>0</v>
      </c>
      <c r="AA39" s="675">
        <v>0</v>
      </c>
      <c r="AB39" s="675">
        <v>0</v>
      </c>
      <c r="AC39" s="675">
        <v>0</v>
      </c>
      <c r="AD39" s="675" t="s">
        <v>316</v>
      </c>
      <c r="AE39" s="675">
        <v>0</v>
      </c>
      <c r="AF39" s="675">
        <v>0</v>
      </c>
      <c r="AG39" s="675">
        <v>0</v>
      </c>
      <c r="AH39" s="675">
        <v>0</v>
      </c>
      <c r="AI39" s="675">
        <v>0</v>
      </c>
      <c r="AJ39" s="675">
        <v>6160</v>
      </c>
      <c r="AK39" s="675" t="s">
        <v>671</v>
      </c>
      <c r="AL39" s="675" t="s">
        <v>343</v>
      </c>
      <c r="AM39" s="675">
        <v>0</v>
      </c>
      <c r="AN39" s="675">
        <v>0</v>
      </c>
      <c r="AO39" s="675">
        <v>0</v>
      </c>
      <c r="AP39" s="675">
        <v>0</v>
      </c>
      <c r="AQ39" s="675">
        <v>0</v>
      </c>
      <c r="AR39" s="675">
        <v>0</v>
      </c>
      <c r="AS39" s="675">
        <v>0</v>
      </c>
      <c r="AT39" s="675">
        <v>0</v>
      </c>
      <c r="AU39" s="675">
        <v>0</v>
      </c>
      <c r="AV39" s="675">
        <v>0</v>
      </c>
      <c r="AW39" s="675">
        <v>13762585</v>
      </c>
      <c r="AX39" s="675">
        <v>13539048</v>
      </c>
      <c r="AY39" s="675">
        <v>8943399</v>
      </c>
      <c r="AZ39" s="675">
        <v>482494</v>
      </c>
      <c r="BA39" s="675">
        <v>0</v>
      </c>
      <c r="BB39" s="675">
        <v>26303</v>
      </c>
      <c r="BC39" s="675">
        <v>26133</v>
      </c>
      <c r="BD39" s="675">
        <v>61</v>
      </c>
      <c r="BE39" s="675">
        <v>170</v>
      </c>
      <c r="BF39" s="675">
        <v>12486256</v>
      </c>
      <c r="BG39" s="675">
        <v>0</v>
      </c>
      <c r="BH39" s="675">
        <v>0</v>
      </c>
      <c r="BI39" s="675">
        <v>0</v>
      </c>
      <c r="BJ39" s="675">
        <v>12</v>
      </c>
      <c r="BK39" s="675">
        <v>0</v>
      </c>
      <c r="BL39" s="675">
        <v>0</v>
      </c>
      <c r="BM39" s="675">
        <v>0</v>
      </c>
      <c r="BN39" s="675">
        <v>0</v>
      </c>
      <c r="BO39" s="675">
        <v>0</v>
      </c>
      <c r="BP39" s="675">
        <v>0</v>
      </c>
      <c r="BQ39" s="675">
        <v>580</v>
      </c>
      <c r="BR39" s="675">
        <v>0</v>
      </c>
      <c r="BS39" s="675">
        <v>0</v>
      </c>
      <c r="BT39" s="675">
        <v>0</v>
      </c>
      <c r="BU39" s="675">
        <v>0</v>
      </c>
      <c r="BV39" s="675">
        <v>0</v>
      </c>
      <c r="BW39" s="675">
        <v>0</v>
      </c>
      <c r="BX39" s="675">
        <v>0</v>
      </c>
      <c r="BY39" s="675">
        <v>0</v>
      </c>
      <c r="BZ39" s="675">
        <v>0</v>
      </c>
      <c r="CA39" s="675">
        <v>0</v>
      </c>
      <c r="CB39" s="675">
        <v>0</v>
      </c>
      <c r="CC39" s="675">
        <v>0</v>
      </c>
      <c r="CD39" s="675">
        <v>0</v>
      </c>
      <c r="CE39" s="675">
        <v>0</v>
      </c>
      <c r="CF39" s="675">
        <v>0</v>
      </c>
      <c r="CG39" s="675">
        <v>0</v>
      </c>
      <c r="CH39" s="675">
        <v>227035</v>
      </c>
      <c r="CI39" s="675">
        <v>0</v>
      </c>
      <c r="CJ39" s="675">
        <v>4</v>
      </c>
      <c r="CK39" s="675">
        <v>0</v>
      </c>
      <c r="CL39" s="675">
        <v>0</v>
      </c>
      <c r="CM39" s="675">
        <v>0</v>
      </c>
      <c r="CN39" s="675">
        <v>0</v>
      </c>
      <c r="CO39" s="675">
        <v>1</v>
      </c>
      <c r="CP39" s="675">
        <v>0</v>
      </c>
      <c r="CQ39" s="675">
        <v>0</v>
      </c>
      <c r="CR39" s="675">
        <v>1217.2550000000001</v>
      </c>
      <c r="CS39" s="675">
        <v>0</v>
      </c>
      <c r="CT39" s="675">
        <v>0</v>
      </c>
      <c r="CU39" s="675">
        <v>0</v>
      </c>
      <c r="CV39" s="675">
        <v>0</v>
      </c>
      <c r="CW39" s="675">
        <v>0</v>
      </c>
      <c r="CX39" s="675">
        <v>0</v>
      </c>
      <c r="CY39" s="675">
        <v>0</v>
      </c>
      <c r="CZ39" s="675">
        <v>0</v>
      </c>
      <c r="DA39" s="675">
        <v>0</v>
      </c>
      <c r="DB39" s="675">
        <v>7591654</v>
      </c>
      <c r="DC39" s="675">
        <v>0</v>
      </c>
      <c r="DD39" s="675">
        <v>0</v>
      </c>
      <c r="DE39" s="675">
        <v>1826663</v>
      </c>
      <c r="DF39" s="675">
        <v>1826663</v>
      </c>
      <c r="DG39" s="675">
        <v>296.53800000000001</v>
      </c>
      <c r="DH39" s="675">
        <v>0</v>
      </c>
      <c r="DI39" s="675">
        <v>0</v>
      </c>
      <c r="DJ39" s="675">
        <v>0</v>
      </c>
      <c r="DK39" s="675">
        <v>906</v>
      </c>
      <c r="DL39" s="675">
        <v>0</v>
      </c>
      <c r="DM39" s="675">
        <v>884565</v>
      </c>
      <c r="DN39" s="675">
        <v>3328</v>
      </c>
      <c r="DO39" s="675">
        <v>0</v>
      </c>
      <c r="DP39" s="675">
        <v>0</v>
      </c>
      <c r="DQ39" s="675">
        <v>0</v>
      </c>
      <c r="DR39" s="675">
        <v>0</v>
      </c>
      <c r="DS39" s="675">
        <v>0</v>
      </c>
      <c r="DT39" s="675">
        <v>0</v>
      </c>
      <c r="DU39" s="675">
        <v>0</v>
      </c>
      <c r="DV39" s="675">
        <v>0</v>
      </c>
      <c r="DW39" s="675">
        <v>0</v>
      </c>
      <c r="DX39" s="675">
        <v>0</v>
      </c>
      <c r="DY39" s="675">
        <v>0</v>
      </c>
      <c r="DZ39" s="675">
        <v>0</v>
      </c>
      <c r="EA39" s="675">
        <v>0</v>
      </c>
      <c r="EB39" s="675">
        <v>0</v>
      </c>
      <c r="EC39" s="675">
        <v>63.334000000000003</v>
      </c>
      <c r="ED39" s="675">
        <v>448656</v>
      </c>
      <c r="EE39" s="675">
        <v>0</v>
      </c>
      <c r="EF39" s="675">
        <v>0</v>
      </c>
      <c r="EG39" s="675">
        <v>0</v>
      </c>
      <c r="EH39" s="675">
        <v>439237</v>
      </c>
      <c r="EI39" s="675">
        <v>0</v>
      </c>
      <c r="EJ39" s="675">
        <v>0</v>
      </c>
      <c r="EK39" s="675">
        <v>20.865000000000002</v>
      </c>
      <c r="EL39" s="675">
        <v>0</v>
      </c>
      <c r="EM39" s="675">
        <v>0</v>
      </c>
      <c r="EN39" s="675">
        <v>1.742</v>
      </c>
      <c r="EO39" s="675">
        <v>0</v>
      </c>
      <c r="EP39" s="675">
        <v>0</v>
      </c>
      <c r="EQ39" s="675">
        <v>22.606999999999999</v>
      </c>
      <c r="ER39" s="675">
        <v>0</v>
      </c>
      <c r="ES39" s="675">
        <v>71.305000000000007</v>
      </c>
      <c r="ET39" s="675">
        <v>0</v>
      </c>
      <c r="EU39" s="675">
        <v>0</v>
      </c>
      <c r="EV39" s="675">
        <v>0</v>
      </c>
      <c r="EW39" s="675">
        <v>0</v>
      </c>
      <c r="EX39" s="675">
        <v>0</v>
      </c>
      <c r="EY39" s="675">
        <v>0</v>
      </c>
      <c r="EZ39" s="675">
        <v>12006248</v>
      </c>
      <c r="FA39" s="675">
        <v>0</v>
      </c>
      <c r="FB39" s="675">
        <v>12485244</v>
      </c>
      <c r="FC39" s="675">
        <v>0</v>
      </c>
      <c r="FD39" s="675">
        <v>0</v>
      </c>
      <c r="FE39" s="675">
        <v>1270108</v>
      </c>
      <c r="FF39" s="675">
        <v>262692</v>
      </c>
      <c r="FG39" s="675">
        <v>6.3574999999999993E-2</v>
      </c>
      <c r="FH39" s="675">
        <v>2.6297999999999998E-2</v>
      </c>
      <c r="FI39" s="675">
        <v>0</v>
      </c>
      <c r="FJ39" s="675">
        <v>0</v>
      </c>
      <c r="FK39" s="675">
        <v>2026.999</v>
      </c>
      <c r="FL39" s="675">
        <v>14245079</v>
      </c>
      <c r="FM39" s="675">
        <v>0</v>
      </c>
      <c r="FN39" s="675">
        <v>0</v>
      </c>
      <c r="FO39" s="675">
        <v>0</v>
      </c>
      <c r="FP39" s="675">
        <v>0</v>
      </c>
      <c r="FQ39" s="675">
        <v>0</v>
      </c>
      <c r="FR39" s="675">
        <v>0</v>
      </c>
      <c r="FS39" s="675">
        <v>0</v>
      </c>
      <c r="FT39" s="675">
        <v>0</v>
      </c>
      <c r="FU39" s="675">
        <v>0</v>
      </c>
      <c r="FV39" s="675">
        <v>0</v>
      </c>
      <c r="FW39" s="675">
        <v>0</v>
      </c>
      <c r="FX39" s="675">
        <v>0</v>
      </c>
      <c r="FY39" s="675">
        <v>0</v>
      </c>
      <c r="FZ39" s="675">
        <v>0</v>
      </c>
      <c r="GA39" s="675">
        <v>0</v>
      </c>
      <c r="GB39" s="675">
        <v>270766</v>
      </c>
      <c r="GC39" s="675">
        <v>270766</v>
      </c>
      <c r="GD39" s="675">
        <v>30.887</v>
      </c>
      <c r="GE39" s="675">
        <v>0</v>
      </c>
      <c r="GF39" s="675">
        <v>0</v>
      </c>
      <c r="GG39" s="675">
        <v>0</v>
      </c>
      <c r="GH39" s="675">
        <v>0</v>
      </c>
      <c r="GI39" s="675">
        <v>0</v>
      </c>
      <c r="GJ39" s="675">
        <v>0</v>
      </c>
      <c r="GK39" s="675">
        <v>0</v>
      </c>
      <c r="GL39" s="675">
        <v>0</v>
      </c>
      <c r="GM39" s="675">
        <v>0</v>
      </c>
      <c r="GN39" s="675">
        <v>0</v>
      </c>
      <c r="GO39" s="675">
        <v>0</v>
      </c>
      <c r="GP39" s="675">
        <v>0</v>
      </c>
      <c r="GQ39" s="675">
        <v>0</v>
      </c>
      <c r="GR39" s="675">
        <v>0</v>
      </c>
      <c r="GS39" s="675">
        <v>0</v>
      </c>
      <c r="GT39" s="675">
        <v>0</v>
      </c>
      <c r="GU39" s="675">
        <v>0</v>
      </c>
      <c r="GV39" s="675">
        <v>0</v>
      </c>
      <c r="GW39" s="675">
        <v>0</v>
      </c>
      <c r="GX39" s="675">
        <v>0</v>
      </c>
      <c r="GY39" s="675">
        <v>0</v>
      </c>
      <c r="GZ39" s="675">
        <v>0</v>
      </c>
      <c r="HA39" s="675">
        <v>0</v>
      </c>
      <c r="HB39" s="675">
        <v>308877260</v>
      </c>
      <c r="HC39" s="675">
        <v>4.4138999999999998E-2</v>
      </c>
      <c r="HD39" s="675">
        <v>227035</v>
      </c>
      <c r="HE39" s="675">
        <v>0</v>
      </c>
      <c r="HF39" s="675">
        <v>1359356</v>
      </c>
      <c r="HG39" s="675">
        <v>24640</v>
      </c>
      <c r="HH39" s="675">
        <v>298255</v>
      </c>
      <c r="HI39" s="675">
        <v>0</v>
      </c>
      <c r="HJ39" s="675">
        <v>12499</v>
      </c>
      <c r="HK39" s="675">
        <v>1512</v>
      </c>
      <c r="HL39" s="675">
        <v>974</v>
      </c>
      <c r="HM39" s="675">
        <v>41000</v>
      </c>
      <c r="HN39" s="675">
        <v>0</v>
      </c>
      <c r="HO39" s="675">
        <v>9000</v>
      </c>
      <c r="HP39" s="675">
        <v>0</v>
      </c>
      <c r="HQ39" s="675">
        <v>0</v>
      </c>
      <c r="HR39" s="675">
        <v>0</v>
      </c>
      <c r="HS39" s="675">
        <v>12002750</v>
      </c>
      <c r="HT39" s="675">
        <v>262692</v>
      </c>
      <c r="HU39" s="675">
        <v>0</v>
      </c>
      <c r="HV39" s="675">
        <v>0</v>
      </c>
      <c r="HW39" s="675">
        <v>0</v>
      </c>
      <c r="HX39" s="675">
        <v>244</v>
      </c>
      <c r="HY39" s="675">
        <v>160</v>
      </c>
      <c r="HZ39" s="675">
        <v>368</v>
      </c>
      <c r="IA39" s="675">
        <v>221</v>
      </c>
      <c r="IB39" s="675">
        <v>195</v>
      </c>
      <c r="IC39" s="675">
        <v>1188</v>
      </c>
      <c r="ID39" s="675">
        <v>0</v>
      </c>
      <c r="IE39" s="675">
        <v>0</v>
      </c>
      <c r="IF39" s="675">
        <v>0</v>
      </c>
      <c r="IG39" s="675">
        <v>40</v>
      </c>
      <c r="IH39" s="675">
        <v>484.18200000000002</v>
      </c>
      <c r="II39" s="675">
        <v>0</v>
      </c>
      <c r="IJ39" s="675">
        <v>224.39500000000001</v>
      </c>
      <c r="IK39" s="675">
        <v>0</v>
      </c>
      <c r="IL39" s="675">
        <v>4</v>
      </c>
      <c r="IM39" s="675">
        <v>7</v>
      </c>
      <c r="IN39" s="675">
        <v>0</v>
      </c>
      <c r="IO39" s="675">
        <v>11</v>
      </c>
      <c r="IP39" s="675">
        <v>0</v>
      </c>
      <c r="IQ39" s="675">
        <v>224.39500000000001</v>
      </c>
      <c r="IR39" s="675">
        <v>138227</v>
      </c>
      <c r="IS39" s="675">
        <v>0</v>
      </c>
      <c r="IT39" s="675">
        <v>20000</v>
      </c>
      <c r="IU39" s="675">
        <v>21000</v>
      </c>
      <c r="IV39" s="675">
        <v>0</v>
      </c>
      <c r="IW39" s="675">
        <v>6160</v>
      </c>
      <c r="IX39" s="675">
        <v>0</v>
      </c>
      <c r="IY39" s="675">
        <v>0</v>
      </c>
      <c r="IZ39" s="675">
        <v>0</v>
      </c>
      <c r="JA39" s="675">
        <v>0</v>
      </c>
      <c r="JB39" s="675">
        <v>0</v>
      </c>
      <c r="JC39" s="675">
        <v>0</v>
      </c>
      <c r="JD39" s="675">
        <v>0</v>
      </c>
      <c r="JE39" s="675">
        <v>0</v>
      </c>
      <c r="JF39" s="675">
        <v>0</v>
      </c>
      <c r="JG39" s="675">
        <v>0</v>
      </c>
      <c r="JH39" s="675">
        <v>0</v>
      </c>
      <c r="JI39" s="675">
        <v>0</v>
      </c>
      <c r="JJ39" s="675">
        <v>0</v>
      </c>
      <c r="JK39" s="675">
        <v>0</v>
      </c>
      <c r="JL39" s="675">
        <v>0</v>
      </c>
      <c r="JM39" s="675">
        <v>0</v>
      </c>
      <c r="JN39" s="675">
        <v>32469</v>
      </c>
      <c r="JO39" s="675">
        <v>16.717000000000002</v>
      </c>
      <c r="JP39" s="675">
        <v>10.202</v>
      </c>
      <c r="JQ39" s="675">
        <v>3.968</v>
      </c>
      <c r="JR39" s="675">
        <v>133557</v>
      </c>
      <c r="JS39" s="675">
        <v>94844</v>
      </c>
      <c r="JT39" s="675">
        <v>42365</v>
      </c>
      <c r="JU39" s="675">
        <v>26303</v>
      </c>
      <c r="JV39" s="675">
        <v>0</v>
      </c>
      <c r="JW39" s="675">
        <v>0</v>
      </c>
      <c r="JX39" s="675">
        <v>0</v>
      </c>
      <c r="JY39" s="675">
        <v>0</v>
      </c>
      <c r="JZ39" s="675">
        <v>0</v>
      </c>
      <c r="KA39" s="675">
        <v>0</v>
      </c>
      <c r="KB39" s="675">
        <v>0</v>
      </c>
      <c r="KC39" s="675">
        <v>0</v>
      </c>
      <c r="KD39" s="675">
        <v>26303</v>
      </c>
      <c r="KE39" s="675">
        <v>7263</v>
      </c>
      <c r="KF39" s="675">
        <v>0</v>
      </c>
      <c r="KG39" s="675">
        <v>0</v>
      </c>
      <c r="KH39" s="675">
        <v>0</v>
      </c>
      <c r="KI39" s="675">
        <v>0</v>
      </c>
    </row>
    <row r="40" spans="1:295" ht="12.5" x14ac:dyDescent="0.25">
      <c r="A40" s="675">
        <v>35795</v>
      </c>
      <c r="B40" s="675">
        <v>101802</v>
      </c>
      <c r="C40" s="675">
        <v>7</v>
      </c>
      <c r="D40" s="675">
        <v>2022</v>
      </c>
      <c r="E40" s="675">
        <v>6160</v>
      </c>
      <c r="F40" s="675">
        <v>0</v>
      </c>
      <c r="G40" s="675">
        <v>882.98200000000008</v>
      </c>
      <c r="H40" s="675">
        <v>866.20300000000009</v>
      </c>
      <c r="I40" s="675">
        <v>866.20300000000009</v>
      </c>
      <c r="J40" s="675">
        <v>882.98200000000008</v>
      </c>
      <c r="K40" s="675">
        <v>0</v>
      </c>
      <c r="L40" s="675">
        <v>6160</v>
      </c>
      <c r="M40" s="675">
        <v>0</v>
      </c>
      <c r="N40" s="675">
        <v>0</v>
      </c>
      <c r="O40" s="675">
        <v>0</v>
      </c>
      <c r="P40" s="675">
        <v>964.62900000000002</v>
      </c>
      <c r="Q40" s="675">
        <v>0</v>
      </c>
      <c r="R40" s="675">
        <v>388194</v>
      </c>
      <c r="S40" s="675">
        <v>402.428</v>
      </c>
      <c r="T40" s="675">
        <v>0</v>
      </c>
      <c r="U40" s="675">
        <v>206430</v>
      </c>
      <c r="V40" s="675">
        <v>880.14300000000003</v>
      </c>
      <c r="W40" s="675">
        <v>1321415</v>
      </c>
      <c r="X40" s="675">
        <v>1321415</v>
      </c>
      <c r="Y40" s="675">
        <v>0</v>
      </c>
      <c r="Z40" s="675">
        <v>0</v>
      </c>
      <c r="AA40" s="675">
        <v>0</v>
      </c>
      <c r="AB40" s="675">
        <v>0</v>
      </c>
      <c r="AC40" s="675">
        <v>0</v>
      </c>
      <c r="AD40" s="675" t="s">
        <v>316</v>
      </c>
      <c r="AE40" s="675">
        <v>0</v>
      </c>
      <c r="AF40" s="675">
        <v>0</v>
      </c>
      <c r="AG40" s="675">
        <v>0</v>
      </c>
      <c r="AH40" s="675">
        <v>0</v>
      </c>
      <c r="AI40" s="675">
        <v>0</v>
      </c>
      <c r="AJ40" s="675">
        <v>6160</v>
      </c>
      <c r="AK40" s="675" t="s">
        <v>671</v>
      </c>
      <c r="AL40" s="675" t="s">
        <v>51</v>
      </c>
      <c r="AM40" s="675">
        <v>0</v>
      </c>
      <c r="AN40" s="675">
        <v>0</v>
      </c>
      <c r="AO40" s="675">
        <v>0</v>
      </c>
      <c r="AP40" s="675">
        <v>0</v>
      </c>
      <c r="AQ40" s="675">
        <v>0</v>
      </c>
      <c r="AR40" s="675">
        <v>0</v>
      </c>
      <c r="AS40" s="675">
        <v>0</v>
      </c>
      <c r="AT40" s="675">
        <v>0</v>
      </c>
      <c r="AU40" s="675">
        <v>0</v>
      </c>
      <c r="AV40" s="675">
        <v>0</v>
      </c>
      <c r="AW40" s="675">
        <v>11085821</v>
      </c>
      <c r="AX40" s="675">
        <v>10931256</v>
      </c>
      <c r="AY40" s="675">
        <v>7552384</v>
      </c>
      <c r="AZ40" s="675">
        <v>388194</v>
      </c>
      <c r="BA40" s="675">
        <v>0</v>
      </c>
      <c r="BB40" s="675">
        <v>0</v>
      </c>
      <c r="BC40" s="675">
        <v>0</v>
      </c>
      <c r="BD40" s="675">
        <v>0</v>
      </c>
      <c r="BE40" s="675">
        <v>0</v>
      </c>
      <c r="BF40" s="675">
        <v>10081817</v>
      </c>
      <c r="BG40" s="675">
        <v>0</v>
      </c>
      <c r="BH40" s="675">
        <v>0</v>
      </c>
      <c r="BI40" s="675">
        <v>0</v>
      </c>
      <c r="BJ40" s="675">
        <v>12</v>
      </c>
      <c r="BK40" s="675">
        <v>0</v>
      </c>
      <c r="BL40" s="675">
        <v>0</v>
      </c>
      <c r="BM40" s="675">
        <v>0</v>
      </c>
      <c r="BN40" s="675">
        <v>0</v>
      </c>
      <c r="BO40" s="675">
        <v>0</v>
      </c>
      <c r="BP40" s="675">
        <v>0</v>
      </c>
      <c r="BQ40" s="675">
        <v>637</v>
      </c>
      <c r="BR40" s="675">
        <v>0</v>
      </c>
      <c r="BS40" s="675">
        <v>0</v>
      </c>
      <c r="BT40" s="675">
        <v>0</v>
      </c>
      <c r="BU40" s="675">
        <v>0</v>
      </c>
      <c r="BV40" s="675">
        <v>0</v>
      </c>
      <c r="BW40" s="675">
        <v>0</v>
      </c>
      <c r="BX40" s="675">
        <v>0</v>
      </c>
      <c r="BY40" s="675">
        <v>0</v>
      </c>
      <c r="BZ40" s="675">
        <v>0</v>
      </c>
      <c r="CA40" s="675">
        <v>0</v>
      </c>
      <c r="CB40" s="675">
        <v>0</v>
      </c>
      <c r="CC40" s="675">
        <v>0</v>
      </c>
      <c r="CD40" s="675">
        <v>0</v>
      </c>
      <c r="CE40" s="675">
        <v>0</v>
      </c>
      <c r="CF40" s="675">
        <v>0</v>
      </c>
      <c r="CG40" s="675">
        <v>0</v>
      </c>
      <c r="CH40" s="675">
        <v>155895</v>
      </c>
      <c r="CI40" s="675">
        <v>0</v>
      </c>
      <c r="CJ40" s="675">
        <v>4</v>
      </c>
      <c r="CK40" s="675">
        <v>0</v>
      </c>
      <c r="CL40" s="675">
        <v>0</v>
      </c>
      <c r="CM40" s="675">
        <v>0</v>
      </c>
      <c r="CN40" s="675">
        <v>0</v>
      </c>
      <c r="CO40" s="675">
        <v>1</v>
      </c>
      <c r="CP40" s="675">
        <v>0</v>
      </c>
      <c r="CQ40" s="675">
        <v>0</v>
      </c>
      <c r="CR40" s="675">
        <v>967.52200000000005</v>
      </c>
      <c r="CS40" s="675">
        <v>0</v>
      </c>
      <c r="CT40" s="675">
        <v>0</v>
      </c>
      <c r="CU40" s="675">
        <v>0</v>
      </c>
      <c r="CV40" s="675">
        <v>0</v>
      </c>
      <c r="CW40" s="675">
        <v>0</v>
      </c>
      <c r="CX40" s="675">
        <v>0</v>
      </c>
      <c r="CY40" s="675">
        <v>0</v>
      </c>
      <c r="CZ40" s="675">
        <v>0</v>
      </c>
      <c r="DA40" s="675">
        <v>0</v>
      </c>
      <c r="DB40" s="675">
        <v>5335786</v>
      </c>
      <c r="DC40" s="675">
        <v>0</v>
      </c>
      <c r="DD40" s="675">
        <v>0</v>
      </c>
      <c r="DE40" s="675">
        <v>1640323</v>
      </c>
      <c r="DF40" s="675">
        <v>1640323</v>
      </c>
      <c r="DG40" s="675">
        <v>266.28800000000001</v>
      </c>
      <c r="DH40" s="675">
        <v>0</v>
      </c>
      <c r="DI40" s="675">
        <v>0</v>
      </c>
      <c r="DJ40" s="675">
        <v>0</v>
      </c>
      <c r="DK40" s="675">
        <v>1808</v>
      </c>
      <c r="DL40" s="675">
        <v>0</v>
      </c>
      <c r="DM40" s="675">
        <v>353539</v>
      </c>
      <c r="DN40" s="675">
        <v>1330</v>
      </c>
      <c r="DO40" s="675">
        <v>0</v>
      </c>
      <c r="DP40" s="675">
        <v>0</v>
      </c>
      <c r="DQ40" s="675">
        <v>0</v>
      </c>
      <c r="DR40" s="675">
        <v>0</v>
      </c>
      <c r="DS40" s="675">
        <v>0</v>
      </c>
      <c r="DT40" s="675">
        <v>0</v>
      </c>
      <c r="DU40" s="675">
        <v>0</v>
      </c>
      <c r="DV40" s="675">
        <v>0</v>
      </c>
      <c r="DW40" s="675">
        <v>0</v>
      </c>
      <c r="DX40" s="675">
        <v>0</v>
      </c>
      <c r="DY40" s="675">
        <v>0</v>
      </c>
      <c r="DZ40" s="675">
        <v>0</v>
      </c>
      <c r="EA40" s="675">
        <v>0</v>
      </c>
      <c r="EB40" s="675">
        <v>0</v>
      </c>
      <c r="EC40" s="675">
        <v>3.2120000000000002</v>
      </c>
      <c r="ED40" s="675">
        <v>22754</v>
      </c>
      <c r="EE40" s="675">
        <v>0</v>
      </c>
      <c r="EF40" s="675">
        <v>0</v>
      </c>
      <c r="EG40" s="675">
        <v>0</v>
      </c>
      <c r="EH40" s="675">
        <v>332115</v>
      </c>
      <c r="EI40" s="675">
        <v>0</v>
      </c>
      <c r="EJ40" s="675">
        <v>0</v>
      </c>
      <c r="EK40" s="675">
        <v>14.99</v>
      </c>
      <c r="EL40" s="675">
        <v>0</v>
      </c>
      <c r="EM40" s="675">
        <v>0</v>
      </c>
      <c r="EN40" s="675">
        <v>1.7890000000000001</v>
      </c>
      <c r="EO40" s="675">
        <v>0</v>
      </c>
      <c r="EP40" s="675">
        <v>0</v>
      </c>
      <c r="EQ40" s="675">
        <v>16.779</v>
      </c>
      <c r="ER40" s="675">
        <v>0</v>
      </c>
      <c r="ES40" s="675">
        <v>53.914999999999999</v>
      </c>
      <c r="ET40" s="675">
        <v>0</v>
      </c>
      <c r="EU40" s="675">
        <v>0</v>
      </c>
      <c r="EV40" s="675">
        <v>0</v>
      </c>
      <c r="EW40" s="675">
        <v>0</v>
      </c>
      <c r="EX40" s="675">
        <v>0</v>
      </c>
      <c r="EY40" s="675">
        <v>0</v>
      </c>
      <c r="EZ40" s="675">
        <v>9693623</v>
      </c>
      <c r="FA40" s="675">
        <v>0</v>
      </c>
      <c r="FB40" s="675">
        <v>10080487</v>
      </c>
      <c r="FC40" s="675">
        <v>0</v>
      </c>
      <c r="FD40" s="675">
        <v>0</v>
      </c>
      <c r="FE40" s="675">
        <v>1025527</v>
      </c>
      <c r="FF40" s="675">
        <v>212106</v>
      </c>
      <c r="FG40" s="675">
        <v>6.3574999999999993E-2</v>
      </c>
      <c r="FH40" s="675">
        <v>2.6297999999999998E-2</v>
      </c>
      <c r="FI40" s="675">
        <v>0</v>
      </c>
      <c r="FJ40" s="675">
        <v>0</v>
      </c>
      <c r="FK40" s="675">
        <v>1636.6660000000002</v>
      </c>
      <c r="FL40" s="675">
        <v>11474015</v>
      </c>
      <c r="FM40" s="675">
        <v>0</v>
      </c>
      <c r="FN40" s="675">
        <v>0</v>
      </c>
      <c r="FO40" s="675">
        <v>0</v>
      </c>
      <c r="FP40" s="675">
        <v>0</v>
      </c>
      <c r="FQ40" s="675">
        <v>0</v>
      </c>
      <c r="FR40" s="675">
        <v>0</v>
      </c>
      <c r="FS40" s="675">
        <v>0</v>
      </c>
      <c r="FT40" s="675">
        <v>0</v>
      </c>
      <c r="FU40" s="675">
        <v>0</v>
      </c>
      <c r="FV40" s="675">
        <v>0</v>
      </c>
      <c r="FW40" s="675">
        <v>0</v>
      </c>
      <c r="FX40" s="675">
        <v>0</v>
      </c>
      <c r="FY40" s="675">
        <v>0</v>
      </c>
      <c r="FZ40" s="675">
        <v>0</v>
      </c>
      <c r="GA40" s="675">
        <v>0</v>
      </c>
      <c r="GB40" s="675">
        <v>0</v>
      </c>
      <c r="GC40" s="675">
        <v>0</v>
      </c>
      <c r="GD40" s="675">
        <v>0</v>
      </c>
      <c r="GE40" s="675">
        <v>0</v>
      </c>
      <c r="GF40" s="675">
        <v>0</v>
      </c>
      <c r="GG40" s="675">
        <v>0</v>
      </c>
      <c r="GH40" s="675">
        <v>0</v>
      </c>
      <c r="GI40" s="675">
        <v>0</v>
      </c>
      <c r="GJ40" s="675">
        <v>0</v>
      </c>
      <c r="GK40" s="675">
        <v>0</v>
      </c>
      <c r="GL40" s="675">
        <v>0</v>
      </c>
      <c r="GM40" s="675">
        <v>0</v>
      </c>
      <c r="GN40" s="675">
        <v>0</v>
      </c>
      <c r="GO40" s="675">
        <v>0</v>
      </c>
      <c r="GP40" s="675">
        <v>0</v>
      </c>
      <c r="GQ40" s="675">
        <v>0</v>
      </c>
      <c r="GR40" s="675">
        <v>0</v>
      </c>
      <c r="GS40" s="675">
        <v>0</v>
      </c>
      <c r="GT40" s="675">
        <v>0</v>
      </c>
      <c r="GU40" s="675">
        <v>0</v>
      </c>
      <c r="GV40" s="675">
        <v>0</v>
      </c>
      <c r="GW40" s="675">
        <v>0</v>
      </c>
      <c r="GX40" s="675">
        <v>0</v>
      </c>
      <c r="GY40" s="675">
        <v>0</v>
      </c>
      <c r="GZ40" s="675">
        <v>0</v>
      </c>
      <c r="HA40" s="675">
        <v>0</v>
      </c>
      <c r="HB40" s="675">
        <v>308877260</v>
      </c>
      <c r="HC40" s="675">
        <v>4.4138999999999998E-2</v>
      </c>
      <c r="HD40" s="675">
        <v>155895</v>
      </c>
      <c r="HE40" s="675">
        <v>0</v>
      </c>
      <c r="HF40" s="675">
        <v>955422</v>
      </c>
      <c r="HG40" s="675">
        <v>642</v>
      </c>
      <c r="HH40" s="675">
        <v>464777</v>
      </c>
      <c r="HI40" s="675">
        <v>0</v>
      </c>
      <c r="HJ40" s="675">
        <v>8583</v>
      </c>
      <c r="HK40" s="675">
        <v>0</v>
      </c>
      <c r="HL40" s="675">
        <v>0</v>
      </c>
      <c r="HM40" s="675">
        <v>0</v>
      </c>
      <c r="HN40" s="675">
        <v>0</v>
      </c>
      <c r="HO40" s="675">
        <v>0</v>
      </c>
      <c r="HP40" s="675">
        <v>0</v>
      </c>
      <c r="HQ40" s="675">
        <v>0</v>
      </c>
      <c r="HR40" s="675">
        <v>0</v>
      </c>
      <c r="HS40" s="675">
        <v>9692293</v>
      </c>
      <c r="HT40" s="675">
        <v>212106</v>
      </c>
      <c r="HU40" s="675">
        <v>0</v>
      </c>
      <c r="HV40" s="675">
        <v>0</v>
      </c>
      <c r="HW40" s="675">
        <v>0</v>
      </c>
      <c r="HX40" s="675">
        <v>25</v>
      </c>
      <c r="HY40" s="675">
        <v>51</v>
      </c>
      <c r="HZ40" s="675">
        <v>115</v>
      </c>
      <c r="IA40" s="675">
        <v>126</v>
      </c>
      <c r="IB40" s="675">
        <v>679</v>
      </c>
      <c r="IC40" s="675">
        <v>996</v>
      </c>
      <c r="ID40" s="675">
        <v>0</v>
      </c>
      <c r="IE40" s="675">
        <v>766.30600000000004</v>
      </c>
      <c r="IF40" s="675">
        <v>231.12400000000002</v>
      </c>
      <c r="IG40" s="675">
        <v>1.042</v>
      </c>
      <c r="IH40" s="675">
        <v>754.51200000000006</v>
      </c>
      <c r="II40" s="675">
        <v>0</v>
      </c>
      <c r="IJ40" s="675">
        <v>1877.5730000000001</v>
      </c>
      <c r="IK40" s="675">
        <v>0</v>
      </c>
      <c r="IL40" s="675">
        <v>0</v>
      </c>
      <c r="IM40" s="675">
        <v>0</v>
      </c>
      <c r="IN40" s="675">
        <v>0</v>
      </c>
      <c r="IO40" s="675">
        <v>0</v>
      </c>
      <c r="IP40" s="675">
        <v>0</v>
      </c>
      <c r="IQ40" s="675">
        <v>880.14300000000003</v>
      </c>
      <c r="IR40" s="675">
        <v>542166</v>
      </c>
      <c r="IS40" s="675">
        <v>0</v>
      </c>
      <c r="IT40" s="675">
        <v>0</v>
      </c>
      <c r="IU40" s="675">
        <v>0</v>
      </c>
      <c r="IV40" s="675">
        <v>0</v>
      </c>
      <c r="IW40" s="675">
        <v>6160</v>
      </c>
      <c r="IX40" s="675">
        <v>708063</v>
      </c>
      <c r="IY40" s="675">
        <v>71186</v>
      </c>
      <c r="IZ40" s="675">
        <v>0</v>
      </c>
      <c r="JA40" s="675">
        <v>0</v>
      </c>
      <c r="JB40" s="675">
        <v>0</v>
      </c>
      <c r="JC40" s="675">
        <v>0</v>
      </c>
      <c r="JD40" s="675">
        <v>0</v>
      </c>
      <c r="JE40" s="675">
        <v>0</v>
      </c>
      <c r="JF40" s="675">
        <v>0</v>
      </c>
      <c r="JG40" s="675">
        <v>0</v>
      </c>
      <c r="JH40" s="675">
        <v>0</v>
      </c>
      <c r="JI40" s="675">
        <v>0</v>
      </c>
      <c r="JJ40" s="675">
        <v>0</v>
      </c>
      <c r="JK40" s="675">
        <v>0</v>
      </c>
      <c r="JL40" s="675">
        <v>0</v>
      </c>
      <c r="JM40" s="675">
        <v>0</v>
      </c>
      <c r="JN40" s="675">
        <v>32469</v>
      </c>
      <c r="JO40" s="675">
        <v>0</v>
      </c>
      <c r="JP40" s="675">
        <v>0</v>
      </c>
      <c r="JQ40" s="675">
        <v>0</v>
      </c>
      <c r="JR40" s="675">
        <v>0</v>
      </c>
      <c r="JS40" s="675">
        <v>0</v>
      </c>
      <c r="JT40" s="675">
        <v>0</v>
      </c>
      <c r="JU40" s="675">
        <v>0</v>
      </c>
      <c r="JV40" s="675">
        <v>0</v>
      </c>
      <c r="JW40" s="675">
        <v>0</v>
      </c>
      <c r="JX40" s="675">
        <v>0</v>
      </c>
      <c r="JY40" s="675">
        <v>0</v>
      </c>
      <c r="JZ40" s="675">
        <v>0</v>
      </c>
      <c r="KA40" s="675">
        <v>0</v>
      </c>
      <c r="KB40" s="675">
        <v>0</v>
      </c>
      <c r="KC40" s="675">
        <v>0</v>
      </c>
      <c r="KD40" s="675">
        <v>0</v>
      </c>
      <c r="KE40" s="675">
        <v>7263</v>
      </c>
      <c r="KF40" s="675">
        <v>0</v>
      </c>
      <c r="KG40" s="675">
        <v>0</v>
      </c>
      <c r="KH40" s="675">
        <v>0</v>
      </c>
      <c r="KI40" s="675">
        <v>0</v>
      </c>
    </row>
    <row r="41" spans="1:295" ht="12.5" x14ac:dyDescent="0.25">
      <c r="A41" s="675">
        <v>35795</v>
      </c>
      <c r="B41" s="675">
        <v>105802</v>
      </c>
      <c r="C41" s="675">
        <v>7</v>
      </c>
      <c r="D41" s="675">
        <v>2022</v>
      </c>
      <c r="E41" s="675">
        <v>6160</v>
      </c>
      <c r="F41" s="675">
        <v>0</v>
      </c>
      <c r="G41" s="675">
        <v>112.16500000000001</v>
      </c>
      <c r="H41" s="675">
        <v>112.054</v>
      </c>
      <c r="I41" s="675">
        <v>112.054</v>
      </c>
      <c r="J41" s="675">
        <v>112.16500000000001</v>
      </c>
      <c r="K41" s="675">
        <v>0</v>
      </c>
      <c r="L41" s="675">
        <v>6160</v>
      </c>
      <c r="M41" s="675">
        <v>0</v>
      </c>
      <c r="N41" s="675">
        <v>0</v>
      </c>
      <c r="O41" s="675">
        <v>0</v>
      </c>
      <c r="P41" s="675">
        <v>150.48699999999999</v>
      </c>
      <c r="Q41" s="675">
        <v>0</v>
      </c>
      <c r="R41" s="675">
        <v>60560</v>
      </c>
      <c r="S41" s="675">
        <v>402.428</v>
      </c>
      <c r="T41" s="675">
        <v>0</v>
      </c>
      <c r="U41" s="675">
        <v>32204</v>
      </c>
      <c r="V41" s="675">
        <v>0</v>
      </c>
      <c r="W41" s="675">
        <v>0</v>
      </c>
      <c r="X41" s="675">
        <v>0</v>
      </c>
      <c r="Y41" s="675">
        <v>0</v>
      </c>
      <c r="Z41" s="675">
        <v>0</v>
      </c>
      <c r="AA41" s="675">
        <v>0</v>
      </c>
      <c r="AB41" s="675">
        <v>0</v>
      </c>
      <c r="AC41" s="675">
        <v>0</v>
      </c>
      <c r="AD41" s="675" t="s">
        <v>316</v>
      </c>
      <c r="AE41" s="675">
        <v>0</v>
      </c>
      <c r="AF41" s="675">
        <v>0</v>
      </c>
      <c r="AG41" s="675">
        <v>0</v>
      </c>
      <c r="AH41" s="675">
        <v>0</v>
      </c>
      <c r="AI41" s="675">
        <v>0</v>
      </c>
      <c r="AJ41" s="675">
        <v>6160</v>
      </c>
      <c r="AK41" s="675" t="s">
        <v>671</v>
      </c>
      <c r="AL41" s="675" t="s">
        <v>3</v>
      </c>
      <c r="AM41" s="675">
        <v>0</v>
      </c>
      <c r="AN41" s="675">
        <v>0</v>
      </c>
      <c r="AO41" s="675">
        <v>0</v>
      </c>
      <c r="AP41" s="675">
        <v>0</v>
      </c>
      <c r="AQ41" s="675">
        <v>0</v>
      </c>
      <c r="AR41" s="675">
        <v>0</v>
      </c>
      <c r="AS41" s="675">
        <v>0</v>
      </c>
      <c r="AT41" s="675">
        <v>0</v>
      </c>
      <c r="AU41" s="675">
        <v>0</v>
      </c>
      <c r="AV41" s="675">
        <v>-26329</v>
      </c>
      <c r="AW41" s="675">
        <v>1163607</v>
      </c>
      <c r="AX41" s="675">
        <v>1056583</v>
      </c>
      <c r="AY41" s="675">
        <v>765058</v>
      </c>
      <c r="AZ41" s="675">
        <v>60560</v>
      </c>
      <c r="BA41" s="675">
        <v>0</v>
      </c>
      <c r="BB41" s="675">
        <v>0</v>
      </c>
      <c r="BC41" s="675">
        <v>0</v>
      </c>
      <c r="BD41" s="675">
        <v>0</v>
      </c>
      <c r="BE41" s="675">
        <v>0</v>
      </c>
      <c r="BF41" s="675">
        <v>972714</v>
      </c>
      <c r="BG41" s="675">
        <v>0</v>
      </c>
      <c r="BH41" s="675">
        <v>0</v>
      </c>
      <c r="BI41" s="675">
        <v>0</v>
      </c>
      <c r="BJ41" s="675">
        <v>12</v>
      </c>
      <c r="BK41" s="675">
        <v>0</v>
      </c>
      <c r="BL41" s="675">
        <v>0</v>
      </c>
      <c r="BM41" s="675">
        <v>0</v>
      </c>
      <c r="BN41" s="675">
        <v>0</v>
      </c>
      <c r="BO41" s="675">
        <v>0</v>
      </c>
      <c r="BP41" s="675">
        <v>0</v>
      </c>
      <c r="BQ41" s="675">
        <v>753</v>
      </c>
      <c r="BR41" s="675">
        <v>0</v>
      </c>
      <c r="BS41" s="675">
        <v>0</v>
      </c>
      <c r="BT41" s="675">
        <v>0</v>
      </c>
      <c r="BU41" s="675">
        <v>0</v>
      </c>
      <c r="BV41" s="675">
        <v>0</v>
      </c>
      <c r="BW41" s="675">
        <v>0</v>
      </c>
      <c r="BX41" s="675">
        <v>0</v>
      </c>
      <c r="BY41" s="675">
        <v>0</v>
      </c>
      <c r="BZ41" s="675">
        <v>0</v>
      </c>
      <c r="CA41" s="675">
        <v>0</v>
      </c>
      <c r="CB41" s="675">
        <v>0</v>
      </c>
      <c r="CC41" s="675">
        <v>0</v>
      </c>
      <c r="CD41" s="675">
        <v>0</v>
      </c>
      <c r="CE41" s="675">
        <v>0</v>
      </c>
      <c r="CF41" s="675">
        <v>0</v>
      </c>
      <c r="CG41" s="675">
        <v>0</v>
      </c>
      <c r="CH41" s="675">
        <v>107088</v>
      </c>
      <c r="CI41" s="675">
        <v>0</v>
      </c>
      <c r="CJ41" s="675">
        <v>4</v>
      </c>
      <c r="CK41" s="675">
        <v>0</v>
      </c>
      <c r="CL41" s="675">
        <v>0</v>
      </c>
      <c r="CM41" s="675">
        <v>0</v>
      </c>
      <c r="CN41" s="675">
        <v>0</v>
      </c>
      <c r="CO41" s="675">
        <v>1</v>
      </c>
      <c r="CP41" s="675">
        <v>0</v>
      </c>
      <c r="CQ41" s="675">
        <v>0</v>
      </c>
      <c r="CR41" s="675">
        <v>143.65700000000001</v>
      </c>
      <c r="CS41" s="675">
        <v>0</v>
      </c>
      <c r="CT41" s="675">
        <v>0</v>
      </c>
      <c r="CU41" s="675">
        <v>0</v>
      </c>
      <c r="CV41" s="675">
        <v>0</v>
      </c>
      <c r="CW41" s="675">
        <v>0</v>
      </c>
      <c r="CX41" s="675">
        <v>0</v>
      </c>
      <c r="CY41" s="675">
        <v>0</v>
      </c>
      <c r="CZ41" s="675">
        <v>0</v>
      </c>
      <c r="DA41" s="675">
        <v>0</v>
      </c>
      <c r="DB41" s="675">
        <v>603505</v>
      </c>
      <c r="DC41" s="675">
        <v>0</v>
      </c>
      <c r="DD41" s="675">
        <v>0</v>
      </c>
      <c r="DE41" s="675">
        <v>110263</v>
      </c>
      <c r="DF41" s="675">
        <v>110263</v>
      </c>
      <c r="DG41" s="675">
        <v>17.900000000000002</v>
      </c>
      <c r="DH41" s="675">
        <v>0</v>
      </c>
      <c r="DI41" s="675">
        <v>0</v>
      </c>
      <c r="DJ41" s="675">
        <v>0</v>
      </c>
      <c r="DK41" s="675">
        <v>3666</v>
      </c>
      <c r="DL41" s="675">
        <v>0</v>
      </c>
      <c r="DM41" s="675">
        <v>103877</v>
      </c>
      <c r="DN41" s="675">
        <v>64</v>
      </c>
      <c r="DO41" s="675">
        <v>0</v>
      </c>
      <c r="DP41" s="675">
        <v>0</v>
      </c>
      <c r="DQ41" s="675">
        <v>0</v>
      </c>
      <c r="DR41" s="675">
        <v>0</v>
      </c>
      <c r="DS41" s="675">
        <v>0</v>
      </c>
      <c r="DT41" s="675">
        <v>0</v>
      </c>
      <c r="DU41" s="675">
        <v>0</v>
      </c>
      <c r="DV41" s="675">
        <v>0</v>
      </c>
      <c r="DW41" s="675">
        <v>0</v>
      </c>
      <c r="DX41" s="675">
        <v>0</v>
      </c>
      <c r="DY41" s="675">
        <v>0</v>
      </c>
      <c r="DZ41" s="675">
        <v>0</v>
      </c>
      <c r="EA41" s="675">
        <v>0</v>
      </c>
      <c r="EB41" s="675">
        <v>0</v>
      </c>
      <c r="EC41" s="675">
        <v>1.9450000000000001</v>
      </c>
      <c r="ED41" s="675">
        <v>13778</v>
      </c>
      <c r="EE41" s="675">
        <v>0</v>
      </c>
      <c r="EF41" s="675">
        <v>0</v>
      </c>
      <c r="EG41" s="675">
        <v>0</v>
      </c>
      <c r="EH41" s="675">
        <v>3419</v>
      </c>
      <c r="EI41" s="675">
        <v>0</v>
      </c>
      <c r="EJ41" s="675">
        <v>0</v>
      </c>
      <c r="EK41" s="675">
        <v>0</v>
      </c>
      <c r="EL41" s="675">
        <v>0</v>
      </c>
      <c r="EM41" s="675">
        <v>0</v>
      </c>
      <c r="EN41" s="675">
        <v>0.111</v>
      </c>
      <c r="EO41" s="675">
        <v>0</v>
      </c>
      <c r="EP41" s="675">
        <v>0</v>
      </c>
      <c r="EQ41" s="675">
        <v>0.111</v>
      </c>
      <c r="ER41" s="675">
        <v>0</v>
      </c>
      <c r="ES41" s="675">
        <v>0.55500000000000005</v>
      </c>
      <c r="ET41" s="675">
        <v>0</v>
      </c>
      <c r="EU41" s="675">
        <v>0</v>
      </c>
      <c r="EV41" s="675">
        <v>0</v>
      </c>
      <c r="EW41" s="675">
        <v>0</v>
      </c>
      <c r="EX41" s="675">
        <v>0</v>
      </c>
      <c r="EY41" s="675">
        <v>0</v>
      </c>
      <c r="EZ41" s="675">
        <v>937174</v>
      </c>
      <c r="FA41" s="675">
        <v>0</v>
      </c>
      <c r="FB41" s="675">
        <v>997670</v>
      </c>
      <c r="FC41" s="675">
        <v>0</v>
      </c>
      <c r="FD41" s="675">
        <v>0</v>
      </c>
      <c r="FE41" s="675">
        <v>98945</v>
      </c>
      <c r="FF41" s="675">
        <v>20464</v>
      </c>
      <c r="FG41" s="675">
        <v>6.3574999999999993E-2</v>
      </c>
      <c r="FH41" s="675">
        <v>2.6297999999999998E-2</v>
      </c>
      <c r="FI41" s="675">
        <v>0</v>
      </c>
      <c r="FJ41" s="675">
        <v>0</v>
      </c>
      <c r="FK41" s="675">
        <v>157.90900000000002</v>
      </c>
      <c r="FL41" s="675">
        <v>1224167</v>
      </c>
      <c r="FM41" s="675">
        <v>0</v>
      </c>
      <c r="FN41" s="675">
        <v>0</v>
      </c>
      <c r="FO41" s="675">
        <v>25020</v>
      </c>
      <c r="FP41" s="675">
        <v>0</v>
      </c>
      <c r="FQ41" s="675">
        <v>25020</v>
      </c>
      <c r="FR41" s="675">
        <v>25020</v>
      </c>
      <c r="FS41" s="675">
        <v>0</v>
      </c>
      <c r="FT41" s="675">
        <v>0</v>
      </c>
      <c r="FU41" s="675">
        <v>0</v>
      </c>
      <c r="FV41" s="675">
        <v>0</v>
      </c>
      <c r="FW41" s="675">
        <v>0</v>
      </c>
      <c r="FX41" s="675">
        <v>0</v>
      </c>
      <c r="FY41" s="675">
        <v>0</v>
      </c>
      <c r="FZ41" s="675">
        <v>0</v>
      </c>
      <c r="GA41" s="675">
        <v>0</v>
      </c>
      <c r="GB41" s="675">
        <v>0</v>
      </c>
      <c r="GC41" s="675">
        <v>0</v>
      </c>
      <c r="GD41" s="675">
        <v>0</v>
      </c>
      <c r="GE41" s="675">
        <v>0</v>
      </c>
      <c r="GF41" s="675">
        <v>0</v>
      </c>
      <c r="GG41" s="675">
        <v>0</v>
      </c>
      <c r="GH41" s="675">
        <v>0</v>
      </c>
      <c r="GI41" s="675">
        <v>0</v>
      </c>
      <c r="GJ41" s="675">
        <v>0</v>
      </c>
      <c r="GK41" s="675">
        <v>0</v>
      </c>
      <c r="GL41" s="675">
        <v>0</v>
      </c>
      <c r="GM41" s="675">
        <v>0</v>
      </c>
      <c r="GN41" s="675">
        <v>0</v>
      </c>
      <c r="GO41" s="675">
        <v>0</v>
      </c>
      <c r="GP41" s="675">
        <v>0</v>
      </c>
      <c r="GQ41" s="675">
        <v>0</v>
      </c>
      <c r="GR41" s="675">
        <v>0</v>
      </c>
      <c r="GS41" s="675">
        <v>0</v>
      </c>
      <c r="GT41" s="675">
        <v>0</v>
      </c>
      <c r="GU41" s="675">
        <v>0</v>
      </c>
      <c r="GV41" s="675">
        <v>0</v>
      </c>
      <c r="GW41" s="675">
        <v>0</v>
      </c>
      <c r="GX41" s="675">
        <v>0</v>
      </c>
      <c r="GY41" s="675">
        <v>0</v>
      </c>
      <c r="GZ41" s="675">
        <v>0</v>
      </c>
      <c r="HA41" s="675">
        <v>0</v>
      </c>
      <c r="HB41" s="675">
        <v>0</v>
      </c>
      <c r="HC41" s="675">
        <v>4.4138999999999998E-2</v>
      </c>
      <c r="HD41" s="675">
        <v>0</v>
      </c>
      <c r="HE41" s="675">
        <v>0</v>
      </c>
      <c r="HF41" s="675">
        <v>123596</v>
      </c>
      <c r="HG41" s="675">
        <v>1232</v>
      </c>
      <c r="HH41" s="675">
        <v>29087</v>
      </c>
      <c r="HI41" s="675">
        <v>0</v>
      </c>
      <c r="HJ41" s="675">
        <v>1090</v>
      </c>
      <c r="HK41" s="675">
        <v>0</v>
      </c>
      <c r="HL41" s="675">
        <v>0</v>
      </c>
      <c r="HM41" s="675">
        <v>0</v>
      </c>
      <c r="HN41" s="675">
        <v>0</v>
      </c>
      <c r="HO41" s="675">
        <v>0</v>
      </c>
      <c r="HP41" s="675">
        <v>0</v>
      </c>
      <c r="HQ41" s="675">
        <v>0</v>
      </c>
      <c r="HR41" s="675">
        <v>0</v>
      </c>
      <c r="HS41" s="675">
        <v>937110</v>
      </c>
      <c r="HT41" s="675">
        <v>20464</v>
      </c>
      <c r="HU41" s="675">
        <v>107088</v>
      </c>
      <c r="HV41" s="675">
        <v>0</v>
      </c>
      <c r="HW41" s="675">
        <v>0</v>
      </c>
      <c r="HX41" s="675">
        <v>9</v>
      </c>
      <c r="HY41" s="675">
        <v>2</v>
      </c>
      <c r="HZ41" s="675">
        <v>15</v>
      </c>
      <c r="IA41" s="675">
        <v>14</v>
      </c>
      <c r="IB41" s="675">
        <v>29</v>
      </c>
      <c r="IC41" s="675">
        <v>69</v>
      </c>
      <c r="ID41" s="675">
        <v>0</v>
      </c>
      <c r="IE41" s="675">
        <v>0</v>
      </c>
      <c r="IF41" s="675">
        <v>0</v>
      </c>
      <c r="IG41" s="675">
        <v>2</v>
      </c>
      <c r="IH41" s="675">
        <v>47.22</v>
      </c>
      <c r="II41" s="675">
        <v>0</v>
      </c>
      <c r="IJ41" s="675">
        <v>0</v>
      </c>
      <c r="IK41" s="675">
        <v>0</v>
      </c>
      <c r="IL41" s="675">
        <v>0</v>
      </c>
      <c r="IM41" s="675">
        <v>0</v>
      </c>
      <c r="IN41" s="675">
        <v>0</v>
      </c>
      <c r="IO41" s="675">
        <v>0</v>
      </c>
      <c r="IP41" s="675">
        <v>0</v>
      </c>
      <c r="IQ41" s="675">
        <v>0</v>
      </c>
      <c r="IR41" s="675">
        <v>0</v>
      </c>
      <c r="IS41" s="675">
        <v>0</v>
      </c>
      <c r="IT41" s="675">
        <v>0</v>
      </c>
      <c r="IU41" s="675">
        <v>0</v>
      </c>
      <c r="IV41" s="675">
        <v>0</v>
      </c>
      <c r="IW41" s="675">
        <v>6160</v>
      </c>
      <c r="IX41" s="675">
        <v>0</v>
      </c>
      <c r="IY41" s="675">
        <v>0</v>
      </c>
      <c r="IZ41" s="675">
        <v>0</v>
      </c>
      <c r="JA41" s="675">
        <v>0</v>
      </c>
      <c r="JB41" s="675">
        <v>0</v>
      </c>
      <c r="JC41" s="675">
        <v>0</v>
      </c>
      <c r="JD41" s="675">
        <v>0</v>
      </c>
      <c r="JE41" s="675">
        <v>0</v>
      </c>
      <c r="JF41" s="675">
        <v>0</v>
      </c>
      <c r="JG41" s="675">
        <v>0</v>
      </c>
      <c r="JH41" s="675">
        <v>0</v>
      </c>
      <c r="JI41" s="675">
        <v>0</v>
      </c>
      <c r="JJ41" s="675">
        <v>0</v>
      </c>
      <c r="JK41" s="675">
        <v>0</v>
      </c>
      <c r="JL41" s="675">
        <v>0</v>
      </c>
      <c r="JM41" s="675">
        <v>0</v>
      </c>
      <c r="JN41" s="675">
        <v>32469</v>
      </c>
      <c r="JO41" s="675">
        <v>0</v>
      </c>
      <c r="JP41" s="675">
        <v>0</v>
      </c>
      <c r="JQ41" s="675">
        <v>0</v>
      </c>
      <c r="JR41" s="675">
        <v>0</v>
      </c>
      <c r="JS41" s="675">
        <v>0</v>
      </c>
      <c r="JT41" s="675">
        <v>0</v>
      </c>
      <c r="JU41" s="675">
        <v>0</v>
      </c>
      <c r="JV41" s="675">
        <v>107088</v>
      </c>
      <c r="JW41" s="675">
        <v>0</v>
      </c>
      <c r="JX41" s="675">
        <v>0</v>
      </c>
      <c r="JY41" s="675">
        <v>0</v>
      </c>
      <c r="JZ41" s="675">
        <v>0</v>
      </c>
      <c r="KA41" s="675">
        <v>0</v>
      </c>
      <c r="KB41" s="675">
        <v>0</v>
      </c>
      <c r="KC41" s="675">
        <v>0</v>
      </c>
      <c r="KD41" s="675">
        <v>0</v>
      </c>
      <c r="KE41" s="675">
        <v>7263</v>
      </c>
      <c r="KF41" s="675">
        <v>0</v>
      </c>
      <c r="KG41" s="675">
        <v>0</v>
      </c>
      <c r="KH41" s="675">
        <v>0</v>
      </c>
      <c r="KI41" s="675">
        <v>0</v>
      </c>
    </row>
    <row r="42" spans="1:295" ht="12.5" x14ac:dyDescent="0.25">
      <c r="A42" s="675">
        <v>35795</v>
      </c>
      <c r="B42" s="675">
        <v>108802</v>
      </c>
      <c r="C42" s="675">
        <v>7</v>
      </c>
      <c r="D42" s="675">
        <v>2022</v>
      </c>
      <c r="E42" s="675">
        <v>6160</v>
      </c>
      <c r="F42" s="675">
        <v>0</v>
      </c>
      <c r="G42" s="675">
        <v>1202.836</v>
      </c>
      <c r="H42" s="675">
        <v>1179.1220000000001</v>
      </c>
      <c r="I42" s="675">
        <v>1179.1220000000001</v>
      </c>
      <c r="J42" s="675">
        <v>1202.836</v>
      </c>
      <c r="K42" s="675">
        <v>0</v>
      </c>
      <c r="L42" s="675">
        <v>6160</v>
      </c>
      <c r="M42" s="675">
        <v>0</v>
      </c>
      <c r="N42" s="675">
        <v>0</v>
      </c>
      <c r="O42" s="675">
        <v>0</v>
      </c>
      <c r="P42" s="675">
        <v>1094.1970000000001</v>
      </c>
      <c r="Q42" s="675">
        <v>0</v>
      </c>
      <c r="R42" s="675">
        <v>440336</v>
      </c>
      <c r="S42" s="675">
        <v>402.428</v>
      </c>
      <c r="T42" s="675">
        <v>0</v>
      </c>
      <c r="U42" s="675">
        <v>234160</v>
      </c>
      <c r="V42" s="675">
        <v>343.68799999999999</v>
      </c>
      <c r="W42" s="675">
        <v>211711</v>
      </c>
      <c r="X42" s="675">
        <v>211711</v>
      </c>
      <c r="Y42" s="675">
        <v>0</v>
      </c>
      <c r="Z42" s="675">
        <v>0</v>
      </c>
      <c r="AA42" s="675">
        <v>0</v>
      </c>
      <c r="AB42" s="675">
        <v>0</v>
      </c>
      <c r="AC42" s="675">
        <v>0</v>
      </c>
      <c r="AD42" s="675" t="s">
        <v>316</v>
      </c>
      <c r="AE42" s="675">
        <v>0</v>
      </c>
      <c r="AF42" s="675">
        <v>0</v>
      </c>
      <c r="AG42" s="675">
        <v>0</v>
      </c>
      <c r="AH42" s="675">
        <v>0</v>
      </c>
      <c r="AI42" s="675">
        <v>0</v>
      </c>
      <c r="AJ42" s="675">
        <v>6160</v>
      </c>
      <c r="AK42" s="675" t="s">
        <v>671</v>
      </c>
      <c r="AL42" s="675" t="s">
        <v>354</v>
      </c>
      <c r="AM42" s="675">
        <v>0</v>
      </c>
      <c r="AN42" s="675">
        <v>0</v>
      </c>
      <c r="AO42" s="675">
        <v>0</v>
      </c>
      <c r="AP42" s="675">
        <v>0</v>
      </c>
      <c r="AQ42" s="675">
        <v>0</v>
      </c>
      <c r="AR42" s="675">
        <v>0</v>
      </c>
      <c r="AS42" s="675">
        <v>0</v>
      </c>
      <c r="AT42" s="675">
        <v>0</v>
      </c>
      <c r="AU42" s="675">
        <v>0</v>
      </c>
      <c r="AV42" s="675">
        <v>-13731</v>
      </c>
      <c r="AW42" s="675">
        <v>12705131</v>
      </c>
      <c r="AX42" s="675">
        <v>12340796</v>
      </c>
      <c r="AY42" s="675">
        <v>7693395</v>
      </c>
      <c r="AZ42" s="675">
        <v>440336</v>
      </c>
      <c r="BA42" s="675">
        <v>0</v>
      </c>
      <c r="BB42" s="675">
        <v>18110</v>
      </c>
      <c r="BC42" s="675">
        <v>17993</v>
      </c>
      <c r="BD42" s="675">
        <v>42</v>
      </c>
      <c r="BE42" s="675">
        <v>117</v>
      </c>
      <c r="BF42" s="675">
        <v>11383682</v>
      </c>
      <c r="BG42" s="675">
        <v>0</v>
      </c>
      <c r="BH42" s="675">
        <v>0</v>
      </c>
      <c r="BI42" s="675">
        <v>0</v>
      </c>
      <c r="BJ42" s="675">
        <v>12</v>
      </c>
      <c r="BK42" s="675">
        <v>0</v>
      </c>
      <c r="BL42" s="675">
        <v>0</v>
      </c>
      <c r="BM42" s="675">
        <v>0</v>
      </c>
      <c r="BN42" s="675">
        <v>0</v>
      </c>
      <c r="BO42" s="675">
        <v>0</v>
      </c>
      <c r="BP42" s="675">
        <v>0</v>
      </c>
      <c r="BQ42" s="675">
        <v>588</v>
      </c>
      <c r="BR42" s="675">
        <v>0</v>
      </c>
      <c r="BS42" s="675">
        <v>0</v>
      </c>
      <c r="BT42" s="675">
        <v>0</v>
      </c>
      <c r="BU42" s="675">
        <v>0</v>
      </c>
      <c r="BV42" s="675">
        <v>0</v>
      </c>
      <c r="BW42" s="675">
        <v>0</v>
      </c>
      <c r="BX42" s="675">
        <v>0</v>
      </c>
      <c r="BY42" s="675">
        <v>0</v>
      </c>
      <c r="BZ42" s="675">
        <v>0</v>
      </c>
      <c r="CA42" s="675">
        <v>0</v>
      </c>
      <c r="CB42" s="675">
        <v>0</v>
      </c>
      <c r="CC42" s="675">
        <v>0</v>
      </c>
      <c r="CD42" s="675">
        <v>0</v>
      </c>
      <c r="CE42" s="675">
        <v>0</v>
      </c>
      <c r="CF42" s="675">
        <v>0</v>
      </c>
      <c r="CG42" s="675">
        <v>0</v>
      </c>
      <c r="CH42" s="675">
        <v>366737</v>
      </c>
      <c r="CI42" s="675">
        <v>0</v>
      </c>
      <c r="CJ42" s="675">
        <v>4</v>
      </c>
      <c r="CK42" s="675">
        <v>0</v>
      </c>
      <c r="CL42" s="675">
        <v>0</v>
      </c>
      <c r="CM42" s="675">
        <v>0</v>
      </c>
      <c r="CN42" s="675">
        <v>0</v>
      </c>
      <c r="CO42" s="675">
        <v>1</v>
      </c>
      <c r="CP42" s="675">
        <v>0</v>
      </c>
      <c r="CQ42" s="675">
        <v>0</v>
      </c>
      <c r="CR42" s="675">
        <v>1045.7150000000001</v>
      </c>
      <c r="CS42" s="675">
        <v>0</v>
      </c>
      <c r="CT42" s="675">
        <v>0</v>
      </c>
      <c r="CU42" s="675">
        <v>0</v>
      </c>
      <c r="CV42" s="675">
        <v>0</v>
      </c>
      <c r="CW42" s="675">
        <v>0</v>
      </c>
      <c r="CX42" s="675">
        <v>0</v>
      </c>
      <c r="CY42" s="675">
        <v>0</v>
      </c>
      <c r="CZ42" s="675">
        <v>0</v>
      </c>
      <c r="DA42" s="675">
        <v>0</v>
      </c>
      <c r="DB42" s="675">
        <v>7263358</v>
      </c>
      <c r="DC42" s="675">
        <v>0</v>
      </c>
      <c r="DD42" s="675">
        <v>0</v>
      </c>
      <c r="DE42" s="675">
        <v>1521205</v>
      </c>
      <c r="DF42" s="675">
        <v>1521205</v>
      </c>
      <c r="DG42" s="675">
        <v>246.95000000000002</v>
      </c>
      <c r="DH42" s="675">
        <v>0</v>
      </c>
      <c r="DI42" s="675">
        <v>0</v>
      </c>
      <c r="DJ42" s="675">
        <v>0</v>
      </c>
      <c r="DK42" s="675">
        <v>1037</v>
      </c>
      <c r="DL42" s="675">
        <v>0</v>
      </c>
      <c r="DM42" s="675">
        <v>607321</v>
      </c>
      <c r="DN42" s="675">
        <v>2285</v>
      </c>
      <c r="DO42" s="675">
        <v>0</v>
      </c>
      <c r="DP42" s="675">
        <v>0</v>
      </c>
      <c r="DQ42" s="675">
        <v>0</v>
      </c>
      <c r="DR42" s="675">
        <v>0</v>
      </c>
      <c r="DS42" s="675">
        <v>0</v>
      </c>
      <c r="DT42" s="675">
        <v>0</v>
      </c>
      <c r="DU42" s="675">
        <v>0</v>
      </c>
      <c r="DV42" s="675">
        <v>0</v>
      </c>
      <c r="DW42" s="675">
        <v>0</v>
      </c>
      <c r="DX42" s="675">
        <v>0</v>
      </c>
      <c r="DY42" s="675">
        <v>0</v>
      </c>
      <c r="DZ42" s="675">
        <v>0</v>
      </c>
      <c r="EA42" s="675">
        <v>0</v>
      </c>
      <c r="EB42" s="675">
        <v>0</v>
      </c>
      <c r="EC42" s="675">
        <v>34.923999999999999</v>
      </c>
      <c r="ED42" s="675">
        <v>247400</v>
      </c>
      <c r="EE42" s="675">
        <v>0</v>
      </c>
      <c r="EF42" s="675">
        <v>0</v>
      </c>
      <c r="EG42" s="675">
        <v>0</v>
      </c>
      <c r="EH42" s="675">
        <v>362206</v>
      </c>
      <c r="EI42" s="675">
        <v>0</v>
      </c>
      <c r="EJ42" s="675">
        <v>0</v>
      </c>
      <c r="EK42" s="675">
        <v>15.855</v>
      </c>
      <c r="EL42" s="675">
        <v>0</v>
      </c>
      <c r="EM42" s="675">
        <v>0.22500000000000001</v>
      </c>
      <c r="EN42" s="675">
        <v>2.1120000000000001</v>
      </c>
      <c r="EO42" s="675">
        <v>0</v>
      </c>
      <c r="EP42" s="675">
        <v>0</v>
      </c>
      <c r="EQ42" s="675">
        <v>18.192</v>
      </c>
      <c r="ER42" s="675">
        <v>0</v>
      </c>
      <c r="ES42" s="675">
        <v>58.800000000000004</v>
      </c>
      <c r="ET42" s="675">
        <v>0</v>
      </c>
      <c r="EU42" s="675">
        <v>0</v>
      </c>
      <c r="EV42" s="675">
        <v>0</v>
      </c>
      <c r="EW42" s="675">
        <v>0</v>
      </c>
      <c r="EX42" s="675">
        <v>0</v>
      </c>
      <c r="EY42" s="675">
        <v>0</v>
      </c>
      <c r="EZ42" s="675">
        <v>10943346</v>
      </c>
      <c r="FA42" s="675">
        <v>0</v>
      </c>
      <c r="FB42" s="675">
        <v>11381280</v>
      </c>
      <c r="FC42" s="675">
        <v>0</v>
      </c>
      <c r="FD42" s="675">
        <v>0</v>
      </c>
      <c r="FE42" s="675">
        <v>1157954</v>
      </c>
      <c r="FF42" s="675">
        <v>239496</v>
      </c>
      <c r="FG42" s="675">
        <v>6.3574999999999993E-2</v>
      </c>
      <c r="FH42" s="675">
        <v>2.6297999999999998E-2</v>
      </c>
      <c r="FI42" s="675">
        <v>0</v>
      </c>
      <c r="FJ42" s="675">
        <v>0</v>
      </c>
      <c r="FK42" s="675">
        <v>1848.009</v>
      </c>
      <c r="FL42" s="675">
        <v>13145467</v>
      </c>
      <c r="FM42" s="675">
        <v>0</v>
      </c>
      <c r="FN42" s="675">
        <v>0</v>
      </c>
      <c r="FO42" s="675">
        <v>0</v>
      </c>
      <c r="FP42" s="675">
        <v>0</v>
      </c>
      <c r="FQ42" s="675">
        <v>0</v>
      </c>
      <c r="FR42" s="675">
        <v>0</v>
      </c>
      <c r="FS42" s="675">
        <v>0</v>
      </c>
      <c r="FT42" s="675">
        <v>0</v>
      </c>
      <c r="FU42" s="675">
        <v>0</v>
      </c>
      <c r="FV42" s="675">
        <v>0</v>
      </c>
      <c r="FW42" s="675">
        <v>0</v>
      </c>
      <c r="FX42" s="675">
        <v>0</v>
      </c>
      <c r="FY42" s="675">
        <v>0</v>
      </c>
      <c r="FZ42" s="675">
        <v>0</v>
      </c>
      <c r="GA42" s="675">
        <v>0</v>
      </c>
      <c r="GB42" s="675">
        <v>44117</v>
      </c>
      <c r="GC42" s="675">
        <v>44117</v>
      </c>
      <c r="GD42" s="675">
        <v>5.5220000000000002</v>
      </c>
      <c r="GE42" s="675">
        <v>0</v>
      </c>
      <c r="GF42" s="675">
        <v>0</v>
      </c>
      <c r="GG42" s="675">
        <v>0</v>
      </c>
      <c r="GH42" s="675">
        <v>0</v>
      </c>
      <c r="GI42" s="675">
        <v>0</v>
      </c>
      <c r="GJ42" s="675">
        <v>0</v>
      </c>
      <c r="GK42" s="675">
        <v>0</v>
      </c>
      <c r="GL42" s="675">
        <v>0</v>
      </c>
      <c r="GM42" s="675">
        <v>0</v>
      </c>
      <c r="GN42" s="675">
        <v>0</v>
      </c>
      <c r="GO42" s="675">
        <v>0</v>
      </c>
      <c r="GP42" s="675">
        <v>0</v>
      </c>
      <c r="GQ42" s="675">
        <v>0</v>
      </c>
      <c r="GR42" s="675">
        <v>0</v>
      </c>
      <c r="GS42" s="675">
        <v>0</v>
      </c>
      <c r="GT42" s="675">
        <v>0</v>
      </c>
      <c r="GU42" s="675">
        <v>0</v>
      </c>
      <c r="GV42" s="675">
        <v>0</v>
      </c>
      <c r="GW42" s="675">
        <v>0</v>
      </c>
      <c r="GX42" s="675">
        <v>0</v>
      </c>
      <c r="GY42" s="675">
        <v>0</v>
      </c>
      <c r="GZ42" s="675">
        <v>0</v>
      </c>
      <c r="HA42" s="675">
        <v>0</v>
      </c>
      <c r="HB42" s="675">
        <v>308877260</v>
      </c>
      <c r="HC42" s="675">
        <v>4.4138999999999998E-2</v>
      </c>
      <c r="HD42" s="675">
        <v>212367</v>
      </c>
      <c r="HE42" s="675">
        <v>0</v>
      </c>
      <c r="HF42" s="675">
        <v>1300572</v>
      </c>
      <c r="HG42" s="675">
        <v>4928</v>
      </c>
      <c r="HH42" s="675">
        <v>398383</v>
      </c>
      <c r="HI42" s="675">
        <v>0</v>
      </c>
      <c r="HJ42" s="675">
        <v>11692</v>
      </c>
      <c r="HK42" s="675">
        <v>0</v>
      </c>
      <c r="HL42" s="675">
        <v>0</v>
      </c>
      <c r="HM42" s="675">
        <v>0</v>
      </c>
      <c r="HN42" s="675">
        <v>0</v>
      </c>
      <c r="HO42" s="675">
        <v>0</v>
      </c>
      <c r="HP42" s="675">
        <v>0</v>
      </c>
      <c r="HQ42" s="675">
        <v>0</v>
      </c>
      <c r="HR42" s="675">
        <v>0</v>
      </c>
      <c r="HS42" s="675">
        <v>10940944</v>
      </c>
      <c r="HT42" s="675">
        <v>239496</v>
      </c>
      <c r="HU42" s="675">
        <v>127135</v>
      </c>
      <c r="HV42" s="675">
        <v>0</v>
      </c>
      <c r="HW42" s="675">
        <v>0</v>
      </c>
      <c r="HX42" s="675">
        <v>188</v>
      </c>
      <c r="HY42" s="675">
        <v>160</v>
      </c>
      <c r="HZ42" s="675">
        <v>247</v>
      </c>
      <c r="IA42" s="675">
        <v>210</v>
      </c>
      <c r="IB42" s="675">
        <v>181</v>
      </c>
      <c r="IC42" s="675">
        <v>986</v>
      </c>
      <c r="ID42" s="675">
        <v>0</v>
      </c>
      <c r="IE42" s="675">
        <v>0</v>
      </c>
      <c r="IF42" s="675">
        <v>0</v>
      </c>
      <c r="IG42" s="675">
        <v>8</v>
      </c>
      <c r="IH42" s="675">
        <v>646.72900000000004</v>
      </c>
      <c r="II42" s="675">
        <v>0</v>
      </c>
      <c r="IJ42" s="675">
        <v>343.68799999999999</v>
      </c>
      <c r="IK42" s="675">
        <v>0</v>
      </c>
      <c r="IL42" s="675">
        <v>0</v>
      </c>
      <c r="IM42" s="675">
        <v>0</v>
      </c>
      <c r="IN42" s="675">
        <v>0</v>
      </c>
      <c r="IO42" s="675">
        <v>0</v>
      </c>
      <c r="IP42" s="675">
        <v>0</v>
      </c>
      <c r="IQ42" s="675">
        <v>343.68799999999999</v>
      </c>
      <c r="IR42" s="675">
        <v>211711</v>
      </c>
      <c r="IS42" s="675">
        <v>0</v>
      </c>
      <c r="IT42" s="675">
        <v>0</v>
      </c>
      <c r="IU42" s="675">
        <v>0</v>
      </c>
      <c r="IV42" s="675">
        <v>0</v>
      </c>
      <c r="IW42" s="675">
        <v>6160</v>
      </c>
      <c r="IX42" s="675">
        <v>0</v>
      </c>
      <c r="IY42" s="675">
        <v>0</v>
      </c>
      <c r="IZ42" s="675">
        <v>0</v>
      </c>
      <c r="JA42" s="675">
        <v>0</v>
      </c>
      <c r="JB42" s="675">
        <v>0</v>
      </c>
      <c r="JC42" s="675">
        <v>0</v>
      </c>
      <c r="JD42" s="675">
        <v>0</v>
      </c>
      <c r="JE42" s="675">
        <v>0</v>
      </c>
      <c r="JF42" s="675">
        <v>0</v>
      </c>
      <c r="JG42" s="675">
        <v>0</v>
      </c>
      <c r="JH42" s="675">
        <v>0</v>
      </c>
      <c r="JI42" s="675">
        <v>0</v>
      </c>
      <c r="JJ42" s="675">
        <v>0</v>
      </c>
      <c r="JK42" s="675">
        <v>0</v>
      </c>
      <c r="JL42" s="675">
        <v>0</v>
      </c>
      <c r="JM42" s="675">
        <v>0</v>
      </c>
      <c r="JN42" s="675">
        <v>32469</v>
      </c>
      <c r="JO42" s="675">
        <v>5.5220000000000002</v>
      </c>
      <c r="JP42" s="675">
        <v>0</v>
      </c>
      <c r="JQ42" s="675">
        <v>0</v>
      </c>
      <c r="JR42" s="675">
        <v>44117</v>
      </c>
      <c r="JS42" s="675">
        <v>0</v>
      </c>
      <c r="JT42" s="675">
        <v>0</v>
      </c>
      <c r="JU42" s="675">
        <v>18110</v>
      </c>
      <c r="JV42" s="675">
        <v>127135</v>
      </c>
      <c r="JW42" s="675">
        <v>0</v>
      </c>
      <c r="JX42" s="675">
        <v>0</v>
      </c>
      <c r="JY42" s="675">
        <v>0</v>
      </c>
      <c r="JZ42" s="675">
        <v>0</v>
      </c>
      <c r="KA42" s="675">
        <v>0</v>
      </c>
      <c r="KB42" s="675">
        <v>0</v>
      </c>
      <c r="KC42" s="675">
        <v>0</v>
      </c>
      <c r="KD42" s="675">
        <v>18110</v>
      </c>
      <c r="KE42" s="675">
        <v>7263</v>
      </c>
      <c r="KF42" s="675">
        <v>27235</v>
      </c>
      <c r="KG42" s="675">
        <v>0</v>
      </c>
      <c r="KH42" s="675">
        <v>0</v>
      </c>
      <c r="KI42" s="675">
        <v>0</v>
      </c>
    </row>
    <row r="43" spans="1:295" ht="12.5" x14ac:dyDescent="0.25">
      <c r="A43" s="675">
        <v>35795</v>
      </c>
      <c r="B43" s="675">
        <v>152802</v>
      </c>
      <c r="C43" s="675">
        <v>7</v>
      </c>
      <c r="D43" s="675">
        <v>2022</v>
      </c>
      <c r="E43" s="675">
        <v>6160</v>
      </c>
      <c r="F43" s="675">
        <v>0</v>
      </c>
      <c r="G43" s="675">
        <v>244.67200000000003</v>
      </c>
      <c r="H43" s="675">
        <v>240.69</v>
      </c>
      <c r="I43" s="675">
        <v>240.69</v>
      </c>
      <c r="J43" s="675">
        <v>244.67200000000003</v>
      </c>
      <c r="K43" s="675">
        <v>0</v>
      </c>
      <c r="L43" s="675">
        <v>6160</v>
      </c>
      <c r="M43" s="675">
        <v>0</v>
      </c>
      <c r="N43" s="675">
        <v>0</v>
      </c>
      <c r="O43" s="675">
        <v>0</v>
      </c>
      <c r="P43" s="675">
        <v>223.82600000000002</v>
      </c>
      <c r="Q43" s="675">
        <v>0</v>
      </c>
      <c r="R43" s="675">
        <v>90074</v>
      </c>
      <c r="S43" s="675">
        <v>402.428</v>
      </c>
      <c r="T43" s="675">
        <v>0</v>
      </c>
      <c r="U43" s="675">
        <v>47898</v>
      </c>
      <c r="V43" s="675">
        <v>0</v>
      </c>
      <c r="W43" s="675">
        <v>0</v>
      </c>
      <c r="X43" s="675">
        <v>0</v>
      </c>
      <c r="Y43" s="675">
        <v>0</v>
      </c>
      <c r="Z43" s="675">
        <v>0</v>
      </c>
      <c r="AA43" s="675">
        <v>0</v>
      </c>
      <c r="AB43" s="675">
        <v>0</v>
      </c>
      <c r="AC43" s="675">
        <v>0</v>
      </c>
      <c r="AD43" s="675" t="s">
        <v>316</v>
      </c>
      <c r="AE43" s="675">
        <v>0</v>
      </c>
      <c r="AF43" s="675">
        <v>0</v>
      </c>
      <c r="AG43" s="675">
        <v>0</v>
      </c>
      <c r="AH43" s="675">
        <v>0</v>
      </c>
      <c r="AI43" s="675">
        <v>0</v>
      </c>
      <c r="AJ43" s="675">
        <v>6160</v>
      </c>
      <c r="AK43" s="675" t="s">
        <v>671</v>
      </c>
      <c r="AL43" s="675" t="s">
        <v>90</v>
      </c>
      <c r="AM43" s="675">
        <v>0</v>
      </c>
      <c r="AN43" s="675">
        <v>0</v>
      </c>
      <c r="AO43" s="675">
        <v>0</v>
      </c>
      <c r="AP43" s="675">
        <v>0</v>
      </c>
      <c r="AQ43" s="675">
        <v>0</v>
      </c>
      <c r="AR43" s="675">
        <v>0</v>
      </c>
      <c r="AS43" s="675">
        <v>0</v>
      </c>
      <c r="AT43" s="675">
        <v>0</v>
      </c>
      <c r="AU43" s="675">
        <v>0</v>
      </c>
      <c r="AV43" s="675">
        <v>0</v>
      </c>
      <c r="AW43" s="675">
        <v>2583721</v>
      </c>
      <c r="AX43" s="675">
        <v>2540947</v>
      </c>
      <c r="AY43" s="675">
        <v>1708417</v>
      </c>
      <c r="AZ43" s="675">
        <v>90074</v>
      </c>
      <c r="BA43" s="675">
        <v>0</v>
      </c>
      <c r="BB43" s="675">
        <v>0</v>
      </c>
      <c r="BC43" s="675">
        <v>0</v>
      </c>
      <c r="BD43" s="675">
        <v>0</v>
      </c>
      <c r="BE43" s="675">
        <v>0</v>
      </c>
      <c r="BF43" s="675">
        <v>2343353</v>
      </c>
      <c r="BG43" s="675">
        <v>0</v>
      </c>
      <c r="BH43" s="675">
        <v>0</v>
      </c>
      <c r="BI43" s="675">
        <v>0</v>
      </c>
      <c r="BJ43" s="675">
        <v>12</v>
      </c>
      <c r="BK43" s="675">
        <v>0</v>
      </c>
      <c r="BL43" s="675">
        <v>0</v>
      </c>
      <c r="BM43" s="675">
        <v>0</v>
      </c>
      <c r="BN43" s="675">
        <v>0</v>
      </c>
      <c r="BO43" s="675">
        <v>0</v>
      </c>
      <c r="BP43" s="675">
        <v>0</v>
      </c>
      <c r="BQ43" s="675">
        <v>733</v>
      </c>
      <c r="BR43" s="675">
        <v>0</v>
      </c>
      <c r="BS43" s="675">
        <v>0</v>
      </c>
      <c r="BT43" s="675">
        <v>0</v>
      </c>
      <c r="BU43" s="675">
        <v>0</v>
      </c>
      <c r="BV43" s="675">
        <v>0</v>
      </c>
      <c r="BW43" s="675">
        <v>0</v>
      </c>
      <c r="BX43" s="675">
        <v>0</v>
      </c>
      <c r="BY43" s="675">
        <v>0</v>
      </c>
      <c r="BZ43" s="675">
        <v>0</v>
      </c>
      <c r="CA43" s="675">
        <v>0</v>
      </c>
      <c r="CB43" s="675">
        <v>0</v>
      </c>
      <c r="CC43" s="675">
        <v>0</v>
      </c>
      <c r="CD43" s="675">
        <v>0</v>
      </c>
      <c r="CE43" s="675">
        <v>0</v>
      </c>
      <c r="CF43" s="675">
        <v>0</v>
      </c>
      <c r="CG43" s="675">
        <v>0</v>
      </c>
      <c r="CH43" s="675">
        <v>43198</v>
      </c>
      <c r="CI43" s="675">
        <v>0</v>
      </c>
      <c r="CJ43" s="675">
        <v>4</v>
      </c>
      <c r="CK43" s="675">
        <v>0</v>
      </c>
      <c r="CL43" s="675">
        <v>0</v>
      </c>
      <c r="CM43" s="675">
        <v>0</v>
      </c>
      <c r="CN43" s="675">
        <v>0</v>
      </c>
      <c r="CO43" s="675">
        <v>1</v>
      </c>
      <c r="CP43" s="675">
        <v>0</v>
      </c>
      <c r="CQ43" s="675">
        <v>0</v>
      </c>
      <c r="CR43" s="675">
        <v>228.04900000000001</v>
      </c>
      <c r="CS43" s="675">
        <v>0</v>
      </c>
      <c r="CT43" s="675">
        <v>0</v>
      </c>
      <c r="CU43" s="675">
        <v>0</v>
      </c>
      <c r="CV43" s="675">
        <v>0</v>
      </c>
      <c r="CW43" s="675">
        <v>0</v>
      </c>
      <c r="CX43" s="675">
        <v>0</v>
      </c>
      <c r="CY43" s="675">
        <v>0</v>
      </c>
      <c r="CZ43" s="675">
        <v>0</v>
      </c>
      <c r="DA43" s="675">
        <v>0</v>
      </c>
      <c r="DB43" s="675">
        <v>1482644</v>
      </c>
      <c r="DC43" s="675">
        <v>0</v>
      </c>
      <c r="DD43" s="675">
        <v>0</v>
      </c>
      <c r="DE43" s="675">
        <v>404248</v>
      </c>
      <c r="DF43" s="675">
        <v>404248</v>
      </c>
      <c r="DG43" s="675">
        <v>65.625</v>
      </c>
      <c r="DH43" s="675">
        <v>0</v>
      </c>
      <c r="DI43" s="675">
        <v>0</v>
      </c>
      <c r="DJ43" s="675">
        <v>0</v>
      </c>
      <c r="DK43" s="675">
        <v>3349</v>
      </c>
      <c r="DL43" s="675">
        <v>0</v>
      </c>
      <c r="DM43" s="675">
        <v>112687</v>
      </c>
      <c r="DN43" s="675">
        <v>424</v>
      </c>
      <c r="DO43" s="675">
        <v>0</v>
      </c>
      <c r="DP43" s="675">
        <v>0</v>
      </c>
      <c r="DQ43" s="675">
        <v>0</v>
      </c>
      <c r="DR43" s="675">
        <v>0</v>
      </c>
      <c r="DS43" s="675">
        <v>0</v>
      </c>
      <c r="DT43" s="675">
        <v>0</v>
      </c>
      <c r="DU43" s="675">
        <v>0</v>
      </c>
      <c r="DV43" s="675">
        <v>0</v>
      </c>
      <c r="DW43" s="675">
        <v>0</v>
      </c>
      <c r="DX43" s="675">
        <v>0</v>
      </c>
      <c r="DY43" s="675">
        <v>0</v>
      </c>
      <c r="DZ43" s="675">
        <v>0</v>
      </c>
      <c r="EA43" s="675">
        <v>0</v>
      </c>
      <c r="EB43" s="675">
        <v>0</v>
      </c>
      <c r="EC43" s="675">
        <v>3.5290000000000004</v>
      </c>
      <c r="ED43" s="675">
        <v>24999</v>
      </c>
      <c r="EE43" s="675">
        <v>0</v>
      </c>
      <c r="EF43" s="675">
        <v>0</v>
      </c>
      <c r="EG43" s="675">
        <v>0</v>
      </c>
      <c r="EH43" s="675">
        <v>88112</v>
      </c>
      <c r="EI43" s="675">
        <v>0</v>
      </c>
      <c r="EJ43" s="675">
        <v>0</v>
      </c>
      <c r="EK43" s="675">
        <v>2.8029999999999999</v>
      </c>
      <c r="EL43" s="675">
        <v>0</v>
      </c>
      <c r="EM43" s="675">
        <v>0</v>
      </c>
      <c r="EN43" s="675">
        <v>1.179</v>
      </c>
      <c r="EO43" s="675">
        <v>0</v>
      </c>
      <c r="EP43" s="675">
        <v>0</v>
      </c>
      <c r="EQ43" s="675">
        <v>3.9820000000000002</v>
      </c>
      <c r="ER43" s="675">
        <v>0</v>
      </c>
      <c r="ES43" s="675">
        <v>14.304</v>
      </c>
      <c r="ET43" s="675">
        <v>0</v>
      </c>
      <c r="EU43" s="675">
        <v>0</v>
      </c>
      <c r="EV43" s="675">
        <v>0</v>
      </c>
      <c r="EW43" s="675">
        <v>0</v>
      </c>
      <c r="EX43" s="675">
        <v>0</v>
      </c>
      <c r="EY43" s="675">
        <v>0</v>
      </c>
      <c r="EZ43" s="675">
        <v>2253279</v>
      </c>
      <c r="FA43" s="675">
        <v>0</v>
      </c>
      <c r="FB43" s="675">
        <v>2342929</v>
      </c>
      <c r="FC43" s="675">
        <v>0</v>
      </c>
      <c r="FD43" s="675">
        <v>0</v>
      </c>
      <c r="FE43" s="675">
        <v>238367</v>
      </c>
      <c r="FF43" s="675">
        <v>49301</v>
      </c>
      <c r="FG43" s="675">
        <v>6.3574999999999993E-2</v>
      </c>
      <c r="FH43" s="675">
        <v>2.6297999999999998E-2</v>
      </c>
      <c r="FI43" s="675">
        <v>0</v>
      </c>
      <c r="FJ43" s="675">
        <v>0</v>
      </c>
      <c r="FK43" s="675">
        <v>380.416</v>
      </c>
      <c r="FL43" s="675">
        <v>2673795</v>
      </c>
      <c r="FM43" s="675">
        <v>0</v>
      </c>
      <c r="FN43" s="675">
        <v>0</v>
      </c>
      <c r="FO43" s="675">
        <v>0</v>
      </c>
      <c r="FP43" s="675">
        <v>0</v>
      </c>
      <c r="FQ43" s="675">
        <v>0</v>
      </c>
      <c r="FR43" s="675">
        <v>0</v>
      </c>
      <c r="FS43" s="675">
        <v>0</v>
      </c>
      <c r="FT43" s="675">
        <v>0</v>
      </c>
      <c r="FU43" s="675">
        <v>0</v>
      </c>
      <c r="FV43" s="675">
        <v>0</v>
      </c>
      <c r="FW43" s="675">
        <v>0</v>
      </c>
      <c r="FX43" s="675">
        <v>0</v>
      </c>
      <c r="FY43" s="675">
        <v>0</v>
      </c>
      <c r="FZ43" s="675">
        <v>0</v>
      </c>
      <c r="GA43" s="675">
        <v>0</v>
      </c>
      <c r="GB43" s="675">
        <v>0</v>
      </c>
      <c r="GC43" s="675">
        <v>0</v>
      </c>
      <c r="GD43" s="675">
        <v>0</v>
      </c>
      <c r="GE43" s="675">
        <v>0</v>
      </c>
      <c r="GF43" s="675">
        <v>0</v>
      </c>
      <c r="GG43" s="675">
        <v>0</v>
      </c>
      <c r="GH43" s="675">
        <v>0</v>
      </c>
      <c r="GI43" s="675">
        <v>0</v>
      </c>
      <c r="GJ43" s="675">
        <v>0</v>
      </c>
      <c r="GK43" s="675">
        <v>0</v>
      </c>
      <c r="GL43" s="675">
        <v>0</v>
      </c>
      <c r="GM43" s="675">
        <v>0</v>
      </c>
      <c r="GN43" s="675">
        <v>0</v>
      </c>
      <c r="GO43" s="675">
        <v>0</v>
      </c>
      <c r="GP43" s="675">
        <v>0</v>
      </c>
      <c r="GQ43" s="675">
        <v>0</v>
      </c>
      <c r="GR43" s="675">
        <v>0</v>
      </c>
      <c r="GS43" s="675">
        <v>0</v>
      </c>
      <c r="GT43" s="675">
        <v>0</v>
      </c>
      <c r="GU43" s="675">
        <v>0</v>
      </c>
      <c r="GV43" s="675">
        <v>0</v>
      </c>
      <c r="GW43" s="675">
        <v>0</v>
      </c>
      <c r="GX43" s="675">
        <v>0</v>
      </c>
      <c r="GY43" s="675">
        <v>0</v>
      </c>
      <c r="GZ43" s="675">
        <v>0</v>
      </c>
      <c r="HA43" s="675">
        <v>0</v>
      </c>
      <c r="HB43" s="675">
        <v>308877260</v>
      </c>
      <c r="HC43" s="675">
        <v>4.4138999999999998E-2</v>
      </c>
      <c r="HD43" s="675">
        <v>43198</v>
      </c>
      <c r="HE43" s="675">
        <v>0</v>
      </c>
      <c r="HF43" s="675">
        <v>265481</v>
      </c>
      <c r="HG43" s="675">
        <v>642</v>
      </c>
      <c r="HH43" s="675">
        <v>74849</v>
      </c>
      <c r="HI43" s="675">
        <v>0</v>
      </c>
      <c r="HJ43" s="675">
        <v>2378</v>
      </c>
      <c r="HK43" s="675">
        <v>0</v>
      </c>
      <c r="HL43" s="675">
        <v>0</v>
      </c>
      <c r="HM43" s="675">
        <v>0</v>
      </c>
      <c r="HN43" s="675">
        <v>0</v>
      </c>
      <c r="HO43" s="675">
        <v>0</v>
      </c>
      <c r="HP43" s="675">
        <v>0</v>
      </c>
      <c r="HQ43" s="675">
        <v>0</v>
      </c>
      <c r="HR43" s="675">
        <v>0</v>
      </c>
      <c r="HS43" s="675">
        <v>2252855</v>
      </c>
      <c r="HT43" s="675">
        <v>49301</v>
      </c>
      <c r="HU43" s="675">
        <v>0</v>
      </c>
      <c r="HV43" s="675">
        <v>0</v>
      </c>
      <c r="HW43" s="675">
        <v>0</v>
      </c>
      <c r="HX43" s="675">
        <v>70</v>
      </c>
      <c r="HY43" s="675">
        <v>26</v>
      </c>
      <c r="HZ43" s="675">
        <v>18</v>
      </c>
      <c r="IA43" s="675">
        <v>76</v>
      </c>
      <c r="IB43" s="675">
        <v>70</v>
      </c>
      <c r="IC43" s="675">
        <v>260</v>
      </c>
      <c r="ID43" s="675">
        <v>0</v>
      </c>
      <c r="IE43" s="675">
        <v>0</v>
      </c>
      <c r="IF43" s="675">
        <v>0</v>
      </c>
      <c r="IG43" s="675">
        <v>1.042</v>
      </c>
      <c r="IH43" s="675">
        <v>121.50800000000001</v>
      </c>
      <c r="II43" s="675">
        <v>0</v>
      </c>
      <c r="IJ43" s="675">
        <v>0</v>
      </c>
      <c r="IK43" s="675">
        <v>0</v>
      </c>
      <c r="IL43" s="675">
        <v>0</v>
      </c>
      <c r="IM43" s="675">
        <v>0</v>
      </c>
      <c r="IN43" s="675">
        <v>0</v>
      </c>
      <c r="IO43" s="675">
        <v>0</v>
      </c>
      <c r="IP43" s="675">
        <v>0</v>
      </c>
      <c r="IQ43" s="675">
        <v>0</v>
      </c>
      <c r="IR43" s="675">
        <v>0</v>
      </c>
      <c r="IS43" s="675">
        <v>0</v>
      </c>
      <c r="IT43" s="675">
        <v>0</v>
      </c>
      <c r="IU43" s="675">
        <v>0</v>
      </c>
      <c r="IV43" s="675">
        <v>0</v>
      </c>
      <c r="IW43" s="675">
        <v>6160</v>
      </c>
      <c r="IX43" s="675">
        <v>0</v>
      </c>
      <c r="IY43" s="675">
        <v>0</v>
      </c>
      <c r="IZ43" s="675">
        <v>0</v>
      </c>
      <c r="JA43" s="675">
        <v>0</v>
      </c>
      <c r="JB43" s="675">
        <v>0</v>
      </c>
      <c r="JC43" s="675">
        <v>0</v>
      </c>
      <c r="JD43" s="675">
        <v>0</v>
      </c>
      <c r="JE43" s="675">
        <v>0</v>
      </c>
      <c r="JF43" s="675">
        <v>0</v>
      </c>
      <c r="JG43" s="675">
        <v>0</v>
      </c>
      <c r="JH43" s="675">
        <v>0</v>
      </c>
      <c r="JI43" s="675">
        <v>0</v>
      </c>
      <c r="JJ43" s="675">
        <v>0</v>
      </c>
      <c r="JK43" s="675">
        <v>0</v>
      </c>
      <c r="JL43" s="675">
        <v>0</v>
      </c>
      <c r="JM43" s="675">
        <v>0</v>
      </c>
      <c r="JN43" s="675">
        <v>32469</v>
      </c>
      <c r="JO43" s="675">
        <v>0</v>
      </c>
      <c r="JP43" s="675">
        <v>0</v>
      </c>
      <c r="JQ43" s="675">
        <v>0</v>
      </c>
      <c r="JR43" s="675">
        <v>0</v>
      </c>
      <c r="JS43" s="675">
        <v>0</v>
      </c>
      <c r="JT43" s="675">
        <v>0</v>
      </c>
      <c r="JU43" s="675">
        <v>0</v>
      </c>
      <c r="JV43" s="675">
        <v>0</v>
      </c>
      <c r="JW43" s="675">
        <v>0</v>
      </c>
      <c r="JX43" s="675">
        <v>0</v>
      </c>
      <c r="JY43" s="675">
        <v>0</v>
      </c>
      <c r="JZ43" s="675">
        <v>0</v>
      </c>
      <c r="KA43" s="675">
        <v>0</v>
      </c>
      <c r="KB43" s="675">
        <v>0</v>
      </c>
      <c r="KC43" s="675">
        <v>0</v>
      </c>
      <c r="KD43" s="675">
        <v>0</v>
      </c>
      <c r="KE43" s="675">
        <v>7263</v>
      </c>
      <c r="KF43" s="675">
        <v>0</v>
      </c>
      <c r="KG43" s="675">
        <v>0</v>
      </c>
      <c r="KH43" s="675">
        <v>0</v>
      </c>
      <c r="KI43" s="675">
        <v>0</v>
      </c>
    </row>
    <row r="44" spans="1:295" ht="12.5" x14ac:dyDescent="0.25">
      <c r="A44" s="675">
        <v>35795</v>
      </c>
      <c r="B44" s="675">
        <v>161802</v>
      </c>
      <c r="C44" s="675">
        <v>7</v>
      </c>
      <c r="D44" s="675">
        <v>2022</v>
      </c>
      <c r="E44" s="675">
        <v>6160</v>
      </c>
      <c r="F44" s="675">
        <v>0</v>
      </c>
      <c r="G44" s="675">
        <v>772.846</v>
      </c>
      <c r="H44" s="675">
        <v>697.56500000000005</v>
      </c>
      <c r="I44" s="675">
        <v>697.56500000000005</v>
      </c>
      <c r="J44" s="675">
        <v>772.846</v>
      </c>
      <c r="K44" s="675">
        <v>0</v>
      </c>
      <c r="L44" s="675">
        <v>6160</v>
      </c>
      <c r="M44" s="675">
        <v>0</v>
      </c>
      <c r="N44" s="675">
        <v>0</v>
      </c>
      <c r="O44" s="675">
        <v>0</v>
      </c>
      <c r="P44" s="675">
        <v>752.14600000000007</v>
      </c>
      <c r="Q44" s="675">
        <v>0</v>
      </c>
      <c r="R44" s="675">
        <v>302685</v>
      </c>
      <c r="S44" s="675">
        <v>402.428</v>
      </c>
      <c r="T44" s="675">
        <v>0</v>
      </c>
      <c r="U44" s="675">
        <v>160959</v>
      </c>
      <c r="V44" s="675">
        <v>67.040000000000006</v>
      </c>
      <c r="W44" s="675">
        <v>41296</v>
      </c>
      <c r="X44" s="675">
        <v>41296</v>
      </c>
      <c r="Y44" s="675">
        <v>0</v>
      </c>
      <c r="Z44" s="675">
        <v>0</v>
      </c>
      <c r="AA44" s="675">
        <v>0</v>
      </c>
      <c r="AB44" s="675">
        <v>0</v>
      </c>
      <c r="AC44" s="675">
        <v>0</v>
      </c>
      <c r="AD44" s="675" t="s">
        <v>316</v>
      </c>
      <c r="AE44" s="675">
        <v>0</v>
      </c>
      <c r="AF44" s="675">
        <v>0</v>
      </c>
      <c r="AG44" s="675">
        <v>0</v>
      </c>
      <c r="AH44" s="675">
        <v>0</v>
      </c>
      <c r="AI44" s="675">
        <v>0</v>
      </c>
      <c r="AJ44" s="675">
        <v>6160</v>
      </c>
      <c r="AK44" s="675" t="s">
        <v>671</v>
      </c>
      <c r="AL44" s="675" t="s">
        <v>359</v>
      </c>
      <c r="AM44" s="675">
        <v>0</v>
      </c>
      <c r="AN44" s="675">
        <v>0</v>
      </c>
      <c r="AO44" s="675">
        <v>0</v>
      </c>
      <c r="AP44" s="675">
        <v>0</v>
      </c>
      <c r="AQ44" s="675">
        <v>0</v>
      </c>
      <c r="AR44" s="675">
        <v>0</v>
      </c>
      <c r="AS44" s="675">
        <v>0</v>
      </c>
      <c r="AT44" s="675">
        <v>0</v>
      </c>
      <c r="AU44" s="675">
        <v>0</v>
      </c>
      <c r="AV44" s="675">
        <v>0</v>
      </c>
      <c r="AW44" s="675">
        <v>8709166</v>
      </c>
      <c r="AX44" s="675">
        <v>8576444</v>
      </c>
      <c r="AY44" s="675">
        <v>5614948</v>
      </c>
      <c r="AZ44" s="675">
        <v>302685</v>
      </c>
      <c r="BA44" s="675">
        <v>0</v>
      </c>
      <c r="BB44" s="675">
        <v>0</v>
      </c>
      <c r="BC44" s="675">
        <v>0</v>
      </c>
      <c r="BD44" s="675">
        <v>0</v>
      </c>
      <c r="BE44" s="675">
        <v>0</v>
      </c>
      <c r="BF44" s="675">
        <v>7905205</v>
      </c>
      <c r="BG44" s="675">
        <v>0</v>
      </c>
      <c r="BH44" s="675">
        <v>0</v>
      </c>
      <c r="BI44" s="675">
        <v>0</v>
      </c>
      <c r="BJ44" s="675">
        <v>12</v>
      </c>
      <c r="BK44" s="675">
        <v>0</v>
      </c>
      <c r="BL44" s="675">
        <v>0</v>
      </c>
      <c r="BM44" s="675">
        <v>0</v>
      </c>
      <c r="BN44" s="675">
        <v>0</v>
      </c>
      <c r="BO44" s="675">
        <v>0</v>
      </c>
      <c r="BP44" s="675">
        <v>0</v>
      </c>
      <c r="BQ44" s="675">
        <v>663</v>
      </c>
      <c r="BR44" s="675">
        <v>0</v>
      </c>
      <c r="BS44" s="675">
        <v>0</v>
      </c>
      <c r="BT44" s="675">
        <v>0</v>
      </c>
      <c r="BU44" s="675">
        <v>0</v>
      </c>
      <c r="BV44" s="675">
        <v>0</v>
      </c>
      <c r="BW44" s="675">
        <v>0</v>
      </c>
      <c r="BX44" s="675">
        <v>0</v>
      </c>
      <c r="BY44" s="675">
        <v>0</v>
      </c>
      <c r="BZ44" s="675">
        <v>0</v>
      </c>
      <c r="CA44" s="675">
        <v>0</v>
      </c>
      <c r="CB44" s="675">
        <v>0</v>
      </c>
      <c r="CC44" s="675">
        <v>0</v>
      </c>
      <c r="CD44" s="675">
        <v>0</v>
      </c>
      <c r="CE44" s="675">
        <v>0</v>
      </c>
      <c r="CF44" s="675">
        <v>0</v>
      </c>
      <c r="CG44" s="675">
        <v>0</v>
      </c>
      <c r="CH44" s="675">
        <v>136450</v>
      </c>
      <c r="CI44" s="675">
        <v>0</v>
      </c>
      <c r="CJ44" s="675">
        <v>4</v>
      </c>
      <c r="CK44" s="675">
        <v>0</v>
      </c>
      <c r="CL44" s="675">
        <v>0</v>
      </c>
      <c r="CM44" s="675">
        <v>0</v>
      </c>
      <c r="CN44" s="675">
        <v>0</v>
      </c>
      <c r="CO44" s="675">
        <v>1</v>
      </c>
      <c r="CP44" s="675">
        <v>0</v>
      </c>
      <c r="CQ44" s="675">
        <v>0</v>
      </c>
      <c r="CR44" s="675">
        <v>756.71699999999998</v>
      </c>
      <c r="CS44" s="675">
        <v>0</v>
      </c>
      <c r="CT44" s="675">
        <v>0</v>
      </c>
      <c r="CU44" s="675">
        <v>0</v>
      </c>
      <c r="CV44" s="675">
        <v>0</v>
      </c>
      <c r="CW44" s="675">
        <v>0</v>
      </c>
      <c r="CX44" s="675">
        <v>0</v>
      </c>
      <c r="CY44" s="675">
        <v>0</v>
      </c>
      <c r="CZ44" s="675">
        <v>0</v>
      </c>
      <c r="DA44" s="675">
        <v>0</v>
      </c>
      <c r="DB44" s="675">
        <v>4296980</v>
      </c>
      <c r="DC44" s="675">
        <v>0</v>
      </c>
      <c r="DD44" s="675">
        <v>0</v>
      </c>
      <c r="DE44" s="675">
        <v>1036492</v>
      </c>
      <c r="DF44" s="675">
        <v>1036492</v>
      </c>
      <c r="DG44" s="675">
        <v>168.26300000000001</v>
      </c>
      <c r="DH44" s="675">
        <v>0</v>
      </c>
      <c r="DI44" s="675">
        <v>0</v>
      </c>
      <c r="DJ44" s="675">
        <v>0</v>
      </c>
      <c r="DK44" s="675">
        <v>2224</v>
      </c>
      <c r="DL44" s="675">
        <v>0</v>
      </c>
      <c r="DM44" s="675">
        <v>991147</v>
      </c>
      <c r="DN44" s="675">
        <v>3728</v>
      </c>
      <c r="DO44" s="675">
        <v>0</v>
      </c>
      <c r="DP44" s="675">
        <v>0</v>
      </c>
      <c r="DQ44" s="675">
        <v>0</v>
      </c>
      <c r="DR44" s="675">
        <v>0</v>
      </c>
      <c r="DS44" s="675">
        <v>0</v>
      </c>
      <c r="DT44" s="675">
        <v>0</v>
      </c>
      <c r="DU44" s="675">
        <v>0</v>
      </c>
      <c r="DV44" s="675">
        <v>0</v>
      </c>
      <c r="DW44" s="675">
        <v>0</v>
      </c>
      <c r="DX44" s="675">
        <v>0</v>
      </c>
      <c r="DY44" s="675">
        <v>0</v>
      </c>
      <c r="DZ44" s="675">
        <v>0</v>
      </c>
      <c r="EA44" s="675">
        <v>0</v>
      </c>
      <c r="EB44" s="675">
        <v>0</v>
      </c>
      <c r="EC44" s="675">
        <v>81.363</v>
      </c>
      <c r="ED44" s="675">
        <v>576373</v>
      </c>
      <c r="EE44" s="675">
        <v>0</v>
      </c>
      <c r="EF44" s="675">
        <v>0</v>
      </c>
      <c r="EG44" s="675">
        <v>0</v>
      </c>
      <c r="EH44" s="675">
        <v>418502</v>
      </c>
      <c r="EI44" s="675">
        <v>0</v>
      </c>
      <c r="EJ44" s="675">
        <v>0</v>
      </c>
      <c r="EK44" s="675">
        <v>17.228000000000002</v>
      </c>
      <c r="EL44" s="675">
        <v>0</v>
      </c>
      <c r="EM44" s="675">
        <v>1.35</v>
      </c>
      <c r="EN44" s="675">
        <v>2.4410000000000003</v>
      </c>
      <c r="EO44" s="675">
        <v>0</v>
      </c>
      <c r="EP44" s="675">
        <v>0</v>
      </c>
      <c r="EQ44" s="675">
        <v>21.019000000000002</v>
      </c>
      <c r="ER44" s="675">
        <v>0</v>
      </c>
      <c r="ES44" s="675">
        <v>67.939000000000007</v>
      </c>
      <c r="ET44" s="675">
        <v>0</v>
      </c>
      <c r="EU44" s="675">
        <v>0</v>
      </c>
      <c r="EV44" s="675">
        <v>0</v>
      </c>
      <c r="EW44" s="675">
        <v>0</v>
      </c>
      <c r="EX44" s="675">
        <v>0</v>
      </c>
      <c r="EY44" s="675">
        <v>0</v>
      </c>
      <c r="EZ44" s="675">
        <v>7606009</v>
      </c>
      <c r="FA44" s="675">
        <v>0</v>
      </c>
      <c r="FB44" s="675">
        <v>7904966</v>
      </c>
      <c r="FC44" s="675">
        <v>0</v>
      </c>
      <c r="FD44" s="675">
        <v>0</v>
      </c>
      <c r="FE44" s="675">
        <v>804121</v>
      </c>
      <c r="FF44" s="675">
        <v>166314</v>
      </c>
      <c r="FG44" s="675">
        <v>6.3574999999999993E-2</v>
      </c>
      <c r="FH44" s="675">
        <v>2.6297999999999998E-2</v>
      </c>
      <c r="FI44" s="675">
        <v>0</v>
      </c>
      <c r="FJ44" s="675">
        <v>0</v>
      </c>
      <c r="FK44" s="675">
        <v>1283.318</v>
      </c>
      <c r="FL44" s="675">
        <v>9011851</v>
      </c>
      <c r="FM44" s="675">
        <v>0</v>
      </c>
      <c r="FN44" s="675">
        <v>0</v>
      </c>
      <c r="FO44" s="675">
        <v>0</v>
      </c>
      <c r="FP44" s="675">
        <v>0</v>
      </c>
      <c r="FQ44" s="675">
        <v>0</v>
      </c>
      <c r="FR44" s="675">
        <v>0</v>
      </c>
      <c r="FS44" s="675">
        <v>0</v>
      </c>
      <c r="FT44" s="675">
        <v>0</v>
      </c>
      <c r="FU44" s="675">
        <v>0</v>
      </c>
      <c r="FV44" s="675">
        <v>0</v>
      </c>
      <c r="FW44" s="675">
        <v>0</v>
      </c>
      <c r="FX44" s="675">
        <v>0</v>
      </c>
      <c r="FY44" s="675">
        <v>0</v>
      </c>
      <c r="FZ44" s="675">
        <v>0</v>
      </c>
      <c r="GA44" s="675">
        <v>0</v>
      </c>
      <c r="GB44" s="675">
        <v>507924</v>
      </c>
      <c r="GC44" s="675">
        <v>507924</v>
      </c>
      <c r="GD44" s="675">
        <v>54.262</v>
      </c>
      <c r="GE44" s="675">
        <v>0</v>
      </c>
      <c r="GF44" s="675">
        <v>0</v>
      </c>
      <c r="GG44" s="675">
        <v>0</v>
      </c>
      <c r="GH44" s="675">
        <v>0</v>
      </c>
      <c r="GI44" s="675">
        <v>0</v>
      </c>
      <c r="GJ44" s="675">
        <v>0</v>
      </c>
      <c r="GK44" s="675">
        <v>0</v>
      </c>
      <c r="GL44" s="675">
        <v>0</v>
      </c>
      <c r="GM44" s="675">
        <v>0</v>
      </c>
      <c r="GN44" s="675">
        <v>0</v>
      </c>
      <c r="GO44" s="675">
        <v>0</v>
      </c>
      <c r="GP44" s="675">
        <v>0</v>
      </c>
      <c r="GQ44" s="675">
        <v>0</v>
      </c>
      <c r="GR44" s="675">
        <v>0</v>
      </c>
      <c r="GS44" s="675">
        <v>0</v>
      </c>
      <c r="GT44" s="675">
        <v>0</v>
      </c>
      <c r="GU44" s="675">
        <v>0</v>
      </c>
      <c r="GV44" s="675">
        <v>0</v>
      </c>
      <c r="GW44" s="675">
        <v>0</v>
      </c>
      <c r="GX44" s="675">
        <v>0</v>
      </c>
      <c r="GY44" s="675">
        <v>0</v>
      </c>
      <c r="GZ44" s="675">
        <v>0</v>
      </c>
      <c r="HA44" s="675">
        <v>0</v>
      </c>
      <c r="HB44" s="675">
        <v>308877260</v>
      </c>
      <c r="HC44" s="675">
        <v>4.4138999999999998E-2</v>
      </c>
      <c r="HD44" s="675">
        <v>136450</v>
      </c>
      <c r="HE44" s="675">
        <v>0</v>
      </c>
      <c r="HF44" s="675">
        <v>769414</v>
      </c>
      <c r="HG44" s="675">
        <v>37855</v>
      </c>
      <c r="HH44" s="675">
        <v>145857</v>
      </c>
      <c r="HI44" s="675">
        <v>0</v>
      </c>
      <c r="HJ44" s="675">
        <v>7512</v>
      </c>
      <c r="HK44" s="675">
        <v>2376</v>
      </c>
      <c r="HL44" s="675">
        <v>1113</v>
      </c>
      <c r="HM44" s="675">
        <v>67000</v>
      </c>
      <c r="HN44" s="675">
        <v>0</v>
      </c>
      <c r="HO44" s="675">
        <v>0</v>
      </c>
      <c r="HP44" s="675">
        <v>0</v>
      </c>
      <c r="HQ44" s="675">
        <v>0</v>
      </c>
      <c r="HR44" s="675">
        <v>0</v>
      </c>
      <c r="HS44" s="675">
        <v>7602281</v>
      </c>
      <c r="HT44" s="675">
        <v>166314</v>
      </c>
      <c r="HU44" s="675">
        <v>0</v>
      </c>
      <c r="HV44" s="675">
        <v>0</v>
      </c>
      <c r="HW44" s="675">
        <v>0</v>
      </c>
      <c r="HX44" s="675">
        <v>59</v>
      </c>
      <c r="HY44" s="675">
        <v>41</v>
      </c>
      <c r="HZ44" s="675">
        <v>76</v>
      </c>
      <c r="IA44" s="675">
        <v>174</v>
      </c>
      <c r="IB44" s="675">
        <v>293</v>
      </c>
      <c r="IC44" s="675">
        <v>643</v>
      </c>
      <c r="ID44" s="675">
        <v>0</v>
      </c>
      <c r="IE44" s="675">
        <v>0</v>
      </c>
      <c r="IF44" s="675">
        <v>0</v>
      </c>
      <c r="IG44" s="675">
        <v>61.454000000000001</v>
      </c>
      <c r="IH44" s="675">
        <v>236.78200000000001</v>
      </c>
      <c r="II44" s="675">
        <v>0</v>
      </c>
      <c r="IJ44" s="675">
        <v>67.040000000000006</v>
      </c>
      <c r="IK44" s="675">
        <v>0</v>
      </c>
      <c r="IL44" s="675">
        <v>8</v>
      </c>
      <c r="IM44" s="675">
        <v>9</v>
      </c>
      <c r="IN44" s="675">
        <v>0</v>
      </c>
      <c r="IO44" s="675">
        <v>17</v>
      </c>
      <c r="IP44" s="675">
        <v>0</v>
      </c>
      <c r="IQ44" s="675">
        <v>67.040000000000006</v>
      </c>
      <c r="IR44" s="675">
        <v>41296</v>
      </c>
      <c r="IS44" s="675">
        <v>0</v>
      </c>
      <c r="IT44" s="675">
        <v>40000</v>
      </c>
      <c r="IU44" s="675">
        <v>27000</v>
      </c>
      <c r="IV44" s="675">
        <v>0</v>
      </c>
      <c r="IW44" s="675">
        <v>6160</v>
      </c>
      <c r="IX44" s="675">
        <v>0</v>
      </c>
      <c r="IY44" s="675">
        <v>0</v>
      </c>
      <c r="IZ44" s="675">
        <v>0</v>
      </c>
      <c r="JA44" s="675">
        <v>0</v>
      </c>
      <c r="JB44" s="675">
        <v>0</v>
      </c>
      <c r="JC44" s="675">
        <v>0</v>
      </c>
      <c r="JD44" s="675">
        <v>0</v>
      </c>
      <c r="JE44" s="675">
        <v>0</v>
      </c>
      <c r="JF44" s="675">
        <v>0</v>
      </c>
      <c r="JG44" s="675">
        <v>0</v>
      </c>
      <c r="JH44" s="675">
        <v>0</v>
      </c>
      <c r="JI44" s="675">
        <v>0</v>
      </c>
      <c r="JJ44" s="675">
        <v>0</v>
      </c>
      <c r="JK44" s="675">
        <v>0</v>
      </c>
      <c r="JL44" s="675">
        <v>0</v>
      </c>
      <c r="JM44" s="675">
        <v>0</v>
      </c>
      <c r="JN44" s="675">
        <v>32469</v>
      </c>
      <c r="JO44" s="675">
        <v>15.403</v>
      </c>
      <c r="JP44" s="675">
        <v>21.76</v>
      </c>
      <c r="JQ44" s="675">
        <v>17.100000000000001</v>
      </c>
      <c r="JR44" s="675">
        <v>123059</v>
      </c>
      <c r="JS44" s="675">
        <v>202295</v>
      </c>
      <c r="JT44" s="675">
        <v>182570</v>
      </c>
      <c r="JU44" s="675">
        <v>0</v>
      </c>
      <c r="JV44" s="675">
        <v>0</v>
      </c>
      <c r="JW44" s="675">
        <v>0</v>
      </c>
      <c r="JX44" s="675">
        <v>0</v>
      </c>
      <c r="JY44" s="675">
        <v>0</v>
      </c>
      <c r="JZ44" s="675">
        <v>0</v>
      </c>
      <c r="KA44" s="675">
        <v>0</v>
      </c>
      <c r="KB44" s="675">
        <v>0</v>
      </c>
      <c r="KC44" s="675">
        <v>0</v>
      </c>
      <c r="KD44" s="675">
        <v>0</v>
      </c>
      <c r="KE44" s="675">
        <v>7263</v>
      </c>
      <c r="KF44" s="675">
        <v>0</v>
      </c>
      <c r="KG44" s="675">
        <v>0</v>
      </c>
      <c r="KH44" s="675">
        <v>0</v>
      </c>
      <c r="KI44" s="675">
        <v>0</v>
      </c>
    </row>
    <row r="45" spans="1:295" ht="12.5" x14ac:dyDescent="0.25">
      <c r="A45" s="675">
        <v>35795</v>
      </c>
      <c r="B45" s="675">
        <v>165802</v>
      </c>
      <c r="C45" s="675">
        <v>7</v>
      </c>
      <c r="D45" s="675">
        <v>2022</v>
      </c>
      <c r="E45" s="675">
        <v>6160</v>
      </c>
      <c r="F45" s="675">
        <v>0</v>
      </c>
      <c r="G45" s="675">
        <v>340.25100000000003</v>
      </c>
      <c r="H45" s="675">
        <v>331.18400000000003</v>
      </c>
      <c r="I45" s="675">
        <v>331.18400000000003</v>
      </c>
      <c r="J45" s="675">
        <v>340.25100000000003</v>
      </c>
      <c r="K45" s="675">
        <v>0</v>
      </c>
      <c r="L45" s="675">
        <v>6160</v>
      </c>
      <c r="M45" s="675">
        <v>0</v>
      </c>
      <c r="N45" s="675">
        <v>0</v>
      </c>
      <c r="O45" s="675">
        <v>0</v>
      </c>
      <c r="P45" s="675">
        <v>345.19800000000004</v>
      </c>
      <c r="Q45" s="675">
        <v>0</v>
      </c>
      <c r="R45" s="675">
        <v>138917</v>
      </c>
      <c r="S45" s="675">
        <v>402.428</v>
      </c>
      <c r="T45" s="675">
        <v>0</v>
      </c>
      <c r="U45" s="675">
        <v>73873</v>
      </c>
      <c r="V45" s="675">
        <v>13.062000000000001</v>
      </c>
      <c r="W45" s="675">
        <v>8046</v>
      </c>
      <c r="X45" s="675">
        <v>8046</v>
      </c>
      <c r="Y45" s="675">
        <v>0</v>
      </c>
      <c r="Z45" s="675">
        <v>0</v>
      </c>
      <c r="AA45" s="675">
        <v>0</v>
      </c>
      <c r="AB45" s="675">
        <v>0</v>
      </c>
      <c r="AC45" s="675">
        <v>0</v>
      </c>
      <c r="AD45" s="675" t="s">
        <v>316</v>
      </c>
      <c r="AE45" s="675">
        <v>0</v>
      </c>
      <c r="AF45" s="675">
        <v>0</v>
      </c>
      <c r="AG45" s="675">
        <v>0</v>
      </c>
      <c r="AH45" s="675">
        <v>0</v>
      </c>
      <c r="AI45" s="675">
        <v>0</v>
      </c>
      <c r="AJ45" s="675">
        <v>6160</v>
      </c>
      <c r="AK45" s="675" t="s">
        <v>671</v>
      </c>
      <c r="AL45" s="675" t="s">
        <v>91</v>
      </c>
      <c r="AM45" s="675">
        <v>0</v>
      </c>
      <c r="AN45" s="675">
        <v>0</v>
      </c>
      <c r="AO45" s="675">
        <v>0</v>
      </c>
      <c r="AP45" s="675">
        <v>0</v>
      </c>
      <c r="AQ45" s="675">
        <v>0</v>
      </c>
      <c r="AR45" s="675">
        <v>0</v>
      </c>
      <c r="AS45" s="675">
        <v>0</v>
      </c>
      <c r="AT45" s="675">
        <v>0</v>
      </c>
      <c r="AU45" s="675">
        <v>0</v>
      </c>
      <c r="AV45" s="675">
        <v>-10763</v>
      </c>
      <c r="AW45" s="675">
        <v>3146141</v>
      </c>
      <c r="AX45" s="675">
        <v>3086753</v>
      </c>
      <c r="AY45" s="675">
        <v>2075085</v>
      </c>
      <c r="AZ45" s="675">
        <v>138917</v>
      </c>
      <c r="BA45" s="675">
        <v>0</v>
      </c>
      <c r="BB45" s="675">
        <v>6899</v>
      </c>
      <c r="BC45" s="675">
        <v>6854</v>
      </c>
      <c r="BD45" s="675">
        <v>16</v>
      </c>
      <c r="BE45" s="675">
        <v>45</v>
      </c>
      <c r="BF45" s="675">
        <v>2872986</v>
      </c>
      <c r="BG45" s="675">
        <v>0</v>
      </c>
      <c r="BH45" s="675">
        <v>0</v>
      </c>
      <c r="BI45" s="675">
        <v>0</v>
      </c>
      <c r="BJ45" s="675">
        <v>12</v>
      </c>
      <c r="BK45" s="675">
        <v>0</v>
      </c>
      <c r="BL45" s="675">
        <v>0</v>
      </c>
      <c r="BM45" s="675">
        <v>0</v>
      </c>
      <c r="BN45" s="675">
        <v>0</v>
      </c>
      <c r="BO45" s="675">
        <v>0</v>
      </c>
      <c r="BP45" s="675">
        <v>0</v>
      </c>
      <c r="BQ45" s="675">
        <v>719</v>
      </c>
      <c r="BR45" s="675">
        <v>0</v>
      </c>
      <c r="BS45" s="675">
        <v>0</v>
      </c>
      <c r="BT45" s="675">
        <v>0</v>
      </c>
      <c r="BU45" s="675">
        <v>0</v>
      </c>
      <c r="BV45" s="675">
        <v>0</v>
      </c>
      <c r="BW45" s="675">
        <v>0</v>
      </c>
      <c r="BX45" s="675">
        <v>0</v>
      </c>
      <c r="BY45" s="675">
        <v>0</v>
      </c>
      <c r="BZ45" s="675">
        <v>0</v>
      </c>
      <c r="CA45" s="675">
        <v>0</v>
      </c>
      <c r="CB45" s="675">
        <v>0</v>
      </c>
      <c r="CC45" s="675">
        <v>0</v>
      </c>
      <c r="CD45" s="675">
        <v>0</v>
      </c>
      <c r="CE45" s="675">
        <v>0</v>
      </c>
      <c r="CF45" s="675">
        <v>0</v>
      </c>
      <c r="CG45" s="675">
        <v>0</v>
      </c>
      <c r="CH45" s="675">
        <v>60073</v>
      </c>
      <c r="CI45" s="675">
        <v>0</v>
      </c>
      <c r="CJ45" s="675">
        <v>4</v>
      </c>
      <c r="CK45" s="675">
        <v>0</v>
      </c>
      <c r="CL45" s="675">
        <v>0</v>
      </c>
      <c r="CM45" s="675">
        <v>0</v>
      </c>
      <c r="CN45" s="675">
        <v>0</v>
      </c>
      <c r="CO45" s="675">
        <v>1</v>
      </c>
      <c r="CP45" s="675">
        <v>0</v>
      </c>
      <c r="CQ45" s="675">
        <v>0</v>
      </c>
      <c r="CR45" s="675">
        <v>348.15500000000003</v>
      </c>
      <c r="CS45" s="675">
        <v>0</v>
      </c>
      <c r="CT45" s="675">
        <v>0</v>
      </c>
      <c r="CU45" s="675">
        <v>0</v>
      </c>
      <c r="CV45" s="675">
        <v>0</v>
      </c>
      <c r="CW45" s="675">
        <v>0</v>
      </c>
      <c r="CX45" s="675">
        <v>0</v>
      </c>
      <c r="CY45" s="675">
        <v>0</v>
      </c>
      <c r="CZ45" s="675">
        <v>0</v>
      </c>
      <c r="DA45" s="675">
        <v>0</v>
      </c>
      <c r="DB45" s="675">
        <v>2040084</v>
      </c>
      <c r="DC45" s="675">
        <v>0</v>
      </c>
      <c r="DD45" s="675">
        <v>0</v>
      </c>
      <c r="DE45" s="675">
        <v>223299</v>
      </c>
      <c r="DF45" s="675">
        <v>223299</v>
      </c>
      <c r="DG45" s="675">
        <v>36.25</v>
      </c>
      <c r="DH45" s="675">
        <v>0</v>
      </c>
      <c r="DI45" s="675">
        <v>0</v>
      </c>
      <c r="DJ45" s="675">
        <v>0</v>
      </c>
      <c r="DK45" s="675">
        <v>3126</v>
      </c>
      <c r="DL45" s="675">
        <v>0</v>
      </c>
      <c r="DM45" s="675">
        <v>170207</v>
      </c>
      <c r="DN45" s="675">
        <v>640</v>
      </c>
      <c r="DO45" s="675">
        <v>0</v>
      </c>
      <c r="DP45" s="675">
        <v>0</v>
      </c>
      <c r="DQ45" s="675">
        <v>0</v>
      </c>
      <c r="DR45" s="675">
        <v>0</v>
      </c>
      <c r="DS45" s="675">
        <v>0</v>
      </c>
      <c r="DT45" s="675">
        <v>0</v>
      </c>
      <c r="DU45" s="675">
        <v>0</v>
      </c>
      <c r="DV45" s="675">
        <v>0</v>
      </c>
      <c r="DW45" s="675">
        <v>0</v>
      </c>
      <c r="DX45" s="675">
        <v>0</v>
      </c>
      <c r="DY45" s="675">
        <v>0</v>
      </c>
      <c r="DZ45" s="675">
        <v>0</v>
      </c>
      <c r="EA45" s="675">
        <v>0</v>
      </c>
      <c r="EB45" s="675">
        <v>0</v>
      </c>
      <c r="EC45" s="675">
        <v>0</v>
      </c>
      <c r="ED45" s="675">
        <v>0</v>
      </c>
      <c r="EE45" s="675">
        <v>0</v>
      </c>
      <c r="EF45" s="675">
        <v>0</v>
      </c>
      <c r="EG45" s="675">
        <v>0</v>
      </c>
      <c r="EH45" s="675">
        <v>170847</v>
      </c>
      <c r="EI45" s="675">
        <v>0</v>
      </c>
      <c r="EJ45" s="675">
        <v>0</v>
      </c>
      <c r="EK45" s="675">
        <v>8.8000000000000007</v>
      </c>
      <c r="EL45" s="675">
        <v>0</v>
      </c>
      <c r="EM45" s="675">
        <v>0</v>
      </c>
      <c r="EN45" s="675">
        <v>0.26700000000000002</v>
      </c>
      <c r="EO45" s="675">
        <v>0</v>
      </c>
      <c r="EP45" s="675">
        <v>0</v>
      </c>
      <c r="EQ45" s="675">
        <v>9.0670000000000002</v>
      </c>
      <c r="ER45" s="675">
        <v>0</v>
      </c>
      <c r="ES45" s="675">
        <v>27.735000000000003</v>
      </c>
      <c r="ET45" s="675">
        <v>0</v>
      </c>
      <c r="EU45" s="675">
        <v>0</v>
      </c>
      <c r="EV45" s="675">
        <v>0</v>
      </c>
      <c r="EW45" s="675">
        <v>0</v>
      </c>
      <c r="EX45" s="675">
        <v>0</v>
      </c>
      <c r="EY45" s="675">
        <v>0</v>
      </c>
      <c r="EZ45" s="675">
        <v>2734069</v>
      </c>
      <c r="FA45" s="675">
        <v>0</v>
      </c>
      <c r="FB45" s="675">
        <v>2872301</v>
      </c>
      <c r="FC45" s="675">
        <v>0</v>
      </c>
      <c r="FD45" s="675">
        <v>0</v>
      </c>
      <c r="FE45" s="675">
        <v>292241</v>
      </c>
      <c r="FF45" s="675">
        <v>60443</v>
      </c>
      <c r="FG45" s="675">
        <v>6.3574999999999993E-2</v>
      </c>
      <c r="FH45" s="675">
        <v>2.6297999999999998E-2</v>
      </c>
      <c r="FI45" s="675">
        <v>0</v>
      </c>
      <c r="FJ45" s="675">
        <v>0</v>
      </c>
      <c r="FK45" s="675">
        <v>466.39600000000002</v>
      </c>
      <c r="FL45" s="675">
        <v>3285058</v>
      </c>
      <c r="FM45" s="675">
        <v>0</v>
      </c>
      <c r="FN45" s="675">
        <v>0</v>
      </c>
      <c r="FO45" s="675">
        <v>0</v>
      </c>
      <c r="FP45" s="675">
        <v>0</v>
      </c>
      <c r="FQ45" s="675">
        <v>0</v>
      </c>
      <c r="FR45" s="675">
        <v>0</v>
      </c>
      <c r="FS45" s="675">
        <v>0</v>
      </c>
      <c r="FT45" s="675">
        <v>0</v>
      </c>
      <c r="FU45" s="675">
        <v>0</v>
      </c>
      <c r="FV45" s="675">
        <v>0</v>
      </c>
      <c r="FW45" s="675">
        <v>0</v>
      </c>
      <c r="FX45" s="675">
        <v>0</v>
      </c>
      <c r="FY45" s="675">
        <v>0</v>
      </c>
      <c r="FZ45" s="675">
        <v>0</v>
      </c>
      <c r="GA45" s="675">
        <v>0</v>
      </c>
      <c r="GB45" s="675">
        <v>0</v>
      </c>
      <c r="GC45" s="675">
        <v>0</v>
      </c>
      <c r="GD45" s="675">
        <v>0</v>
      </c>
      <c r="GE45" s="675">
        <v>0</v>
      </c>
      <c r="GF45" s="675">
        <v>0</v>
      </c>
      <c r="GG45" s="675">
        <v>0</v>
      </c>
      <c r="GH45" s="675">
        <v>0</v>
      </c>
      <c r="GI45" s="675">
        <v>0</v>
      </c>
      <c r="GJ45" s="675">
        <v>0</v>
      </c>
      <c r="GK45" s="675">
        <v>0</v>
      </c>
      <c r="GL45" s="675">
        <v>0</v>
      </c>
      <c r="GM45" s="675">
        <v>0</v>
      </c>
      <c r="GN45" s="675">
        <v>0</v>
      </c>
      <c r="GO45" s="675">
        <v>0</v>
      </c>
      <c r="GP45" s="675">
        <v>0</v>
      </c>
      <c r="GQ45" s="675">
        <v>0</v>
      </c>
      <c r="GR45" s="675">
        <v>0</v>
      </c>
      <c r="GS45" s="675">
        <v>0</v>
      </c>
      <c r="GT45" s="675">
        <v>0</v>
      </c>
      <c r="GU45" s="675">
        <v>0</v>
      </c>
      <c r="GV45" s="675">
        <v>0</v>
      </c>
      <c r="GW45" s="675">
        <v>0</v>
      </c>
      <c r="GX45" s="675">
        <v>0</v>
      </c>
      <c r="GY45" s="675">
        <v>0</v>
      </c>
      <c r="GZ45" s="675">
        <v>0</v>
      </c>
      <c r="HA45" s="675">
        <v>0</v>
      </c>
      <c r="HB45" s="675">
        <v>308877260</v>
      </c>
      <c r="HC45" s="675">
        <v>4.4138999999999998E-2</v>
      </c>
      <c r="HD45" s="675">
        <v>60073</v>
      </c>
      <c r="HE45" s="675">
        <v>0</v>
      </c>
      <c r="HF45" s="675">
        <v>365296</v>
      </c>
      <c r="HG45" s="675">
        <v>1848</v>
      </c>
      <c r="HH45" s="675">
        <v>53360</v>
      </c>
      <c r="HI45" s="675">
        <v>0</v>
      </c>
      <c r="HJ45" s="675">
        <v>3307</v>
      </c>
      <c r="HK45" s="675">
        <v>0</v>
      </c>
      <c r="HL45" s="675">
        <v>0</v>
      </c>
      <c r="HM45" s="675">
        <v>0</v>
      </c>
      <c r="HN45" s="675">
        <v>0</v>
      </c>
      <c r="HO45" s="675">
        <v>0</v>
      </c>
      <c r="HP45" s="675">
        <v>0</v>
      </c>
      <c r="HQ45" s="675">
        <v>0</v>
      </c>
      <c r="HR45" s="675">
        <v>0</v>
      </c>
      <c r="HS45" s="675">
        <v>2733384</v>
      </c>
      <c r="HT45" s="675">
        <v>60443</v>
      </c>
      <c r="HU45" s="675">
        <v>0</v>
      </c>
      <c r="HV45" s="675">
        <v>0</v>
      </c>
      <c r="HW45" s="675">
        <v>0</v>
      </c>
      <c r="HX45" s="675">
        <v>33</v>
      </c>
      <c r="HY45" s="675">
        <v>24</v>
      </c>
      <c r="HZ45" s="675">
        <v>51</v>
      </c>
      <c r="IA45" s="675">
        <v>28</v>
      </c>
      <c r="IB45" s="675">
        <v>11</v>
      </c>
      <c r="IC45" s="675">
        <v>147</v>
      </c>
      <c r="ID45" s="675">
        <v>0</v>
      </c>
      <c r="IE45" s="675">
        <v>0</v>
      </c>
      <c r="IF45" s="675">
        <v>0</v>
      </c>
      <c r="IG45" s="675">
        <v>3</v>
      </c>
      <c r="IH45" s="675">
        <v>86.624000000000009</v>
      </c>
      <c r="II45" s="675">
        <v>0</v>
      </c>
      <c r="IJ45" s="675">
        <v>13.062000000000001</v>
      </c>
      <c r="IK45" s="675">
        <v>0</v>
      </c>
      <c r="IL45" s="675">
        <v>0</v>
      </c>
      <c r="IM45" s="675">
        <v>0</v>
      </c>
      <c r="IN45" s="675">
        <v>0</v>
      </c>
      <c r="IO45" s="675">
        <v>0</v>
      </c>
      <c r="IP45" s="675">
        <v>0</v>
      </c>
      <c r="IQ45" s="675">
        <v>13.062000000000001</v>
      </c>
      <c r="IR45" s="675">
        <v>8046</v>
      </c>
      <c r="IS45" s="675">
        <v>0</v>
      </c>
      <c r="IT45" s="675">
        <v>0</v>
      </c>
      <c r="IU45" s="675">
        <v>0</v>
      </c>
      <c r="IV45" s="675">
        <v>0</v>
      </c>
      <c r="IW45" s="675">
        <v>6160</v>
      </c>
      <c r="IX45" s="675">
        <v>0</v>
      </c>
      <c r="IY45" s="675">
        <v>0</v>
      </c>
      <c r="IZ45" s="675">
        <v>0</v>
      </c>
      <c r="JA45" s="675">
        <v>0</v>
      </c>
      <c r="JB45" s="675">
        <v>0</v>
      </c>
      <c r="JC45" s="675">
        <v>0</v>
      </c>
      <c r="JD45" s="675">
        <v>0</v>
      </c>
      <c r="JE45" s="675">
        <v>0</v>
      </c>
      <c r="JF45" s="675">
        <v>0</v>
      </c>
      <c r="JG45" s="675">
        <v>0</v>
      </c>
      <c r="JH45" s="675">
        <v>0</v>
      </c>
      <c r="JI45" s="675">
        <v>0</v>
      </c>
      <c r="JJ45" s="675">
        <v>0</v>
      </c>
      <c r="JK45" s="675">
        <v>0</v>
      </c>
      <c r="JL45" s="675">
        <v>0</v>
      </c>
      <c r="JM45" s="675">
        <v>0</v>
      </c>
      <c r="JN45" s="675">
        <v>32469</v>
      </c>
      <c r="JO45" s="675">
        <v>0</v>
      </c>
      <c r="JP45" s="675">
        <v>0</v>
      </c>
      <c r="JQ45" s="675">
        <v>0</v>
      </c>
      <c r="JR45" s="675">
        <v>0</v>
      </c>
      <c r="JS45" s="675">
        <v>0</v>
      </c>
      <c r="JT45" s="675">
        <v>0</v>
      </c>
      <c r="JU45" s="675">
        <v>6899</v>
      </c>
      <c r="JV45" s="675">
        <v>0</v>
      </c>
      <c r="JW45" s="675">
        <v>0</v>
      </c>
      <c r="JX45" s="675">
        <v>0</v>
      </c>
      <c r="JY45" s="675">
        <v>0</v>
      </c>
      <c r="JZ45" s="675">
        <v>0</v>
      </c>
      <c r="KA45" s="675">
        <v>0</v>
      </c>
      <c r="KB45" s="675">
        <v>0</v>
      </c>
      <c r="KC45" s="675">
        <v>0</v>
      </c>
      <c r="KD45" s="675">
        <v>6899</v>
      </c>
      <c r="KE45" s="675">
        <v>7263</v>
      </c>
      <c r="KF45" s="675">
        <v>0</v>
      </c>
      <c r="KG45" s="675">
        <v>0</v>
      </c>
      <c r="KH45" s="675">
        <v>0</v>
      </c>
      <c r="KI45" s="675">
        <v>0</v>
      </c>
    </row>
    <row r="46" spans="1:295" ht="12.5" x14ac:dyDescent="0.25">
      <c r="A46" s="675">
        <v>35795</v>
      </c>
      <c r="B46" s="675">
        <v>220802</v>
      </c>
      <c r="C46" s="675">
        <v>7</v>
      </c>
      <c r="D46" s="675">
        <v>2022</v>
      </c>
      <c r="E46" s="675">
        <v>6160</v>
      </c>
      <c r="F46" s="675">
        <v>0</v>
      </c>
      <c r="G46" s="675">
        <v>1471.4770000000001</v>
      </c>
      <c r="H46" s="675">
        <v>1452.3290000000002</v>
      </c>
      <c r="I46" s="675">
        <v>1452.3290000000002</v>
      </c>
      <c r="J46" s="675">
        <v>1471.4770000000001</v>
      </c>
      <c r="K46" s="675">
        <v>0</v>
      </c>
      <c r="L46" s="675">
        <v>6160</v>
      </c>
      <c r="M46" s="675">
        <v>0</v>
      </c>
      <c r="N46" s="675">
        <v>0</v>
      </c>
      <c r="O46" s="675">
        <v>0</v>
      </c>
      <c r="P46" s="675">
        <v>1495.9</v>
      </c>
      <c r="Q46" s="675">
        <v>0</v>
      </c>
      <c r="R46" s="675">
        <v>601992</v>
      </c>
      <c r="S46" s="675">
        <v>402.428</v>
      </c>
      <c r="T46" s="675">
        <v>0</v>
      </c>
      <c r="U46" s="675">
        <v>320124</v>
      </c>
      <c r="V46" s="675">
        <v>125.578</v>
      </c>
      <c r="W46" s="675">
        <v>77356</v>
      </c>
      <c r="X46" s="675">
        <v>77356</v>
      </c>
      <c r="Y46" s="675">
        <v>0</v>
      </c>
      <c r="Z46" s="675">
        <v>0</v>
      </c>
      <c r="AA46" s="675">
        <v>0</v>
      </c>
      <c r="AB46" s="675">
        <v>0</v>
      </c>
      <c r="AC46" s="675">
        <v>0</v>
      </c>
      <c r="AD46" s="675" t="s">
        <v>316</v>
      </c>
      <c r="AE46" s="675">
        <v>0</v>
      </c>
      <c r="AF46" s="675">
        <v>0</v>
      </c>
      <c r="AG46" s="675">
        <v>0</v>
      </c>
      <c r="AH46" s="675">
        <v>0</v>
      </c>
      <c r="AI46" s="675">
        <v>0</v>
      </c>
      <c r="AJ46" s="675">
        <v>6160</v>
      </c>
      <c r="AK46" s="675" t="s">
        <v>671</v>
      </c>
      <c r="AL46" s="675" t="s">
        <v>77</v>
      </c>
      <c r="AM46" s="675">
        <v>0</v>
      </c>
      <c r="AN46" s="675">
        <v>0</v>
      </c>
      <c r="AO46" s="675">
        <v>0</v>
      </c>
      <c r="AP46" s="675">
        <v>0</v>
      </c>
      <c r="AQ46" s="675">
        <v>0</v>
      </c>
      <c r="AR46" s="675">
        <v>0</v>
      </c>
      <c r="AS46" s="675">
        <v>0</v>
      </c>
      <c r="AT46" s="675">
        <v>0</v>
      </c>
      <c r="AU46" s="675">
        <v>0</v>
      </c>
      <c r="AV46" s="675">
        <v>-92889</v>
      </c>
      <c r="AW46" s="675">
        <v>13429968</v>
      </c>
      <c r="AX46" s="675">
        <v>13172997</v>
      </c>
      <c r="AY46" s="675">
        <v>8536631</v>
      </c>
      <c r="AZ46" s="675">
        <v>601992</v>
      </c>
      <c r="BA46" s="675">
        <v>0</v>
      </c>
      <c r="BB46" s="675">
        <v>0</v>
      </c>
      <c r="BC46" s="675">
        <v>0</v>
      </c>
      <c r="BD46" s="675">
        <v>0</v>
      </c>
      <c r="BE46" s="675">
        <v>0</v>
      </c>
      <c r="BF46" s="675">
        <v>12268874</v>
      </c>
      <c r="BG46" s="675">
        <v>0</v>
      </c>
      <c r="BH46" s="675">
        <v>0</v>
      </c>
      <c r="BI46" s="675">
        <v>0</v>
      </c>
      <c r="BJ46" s="675">
        <v>12</v>
      </c>
      <c r="BK46" s="675">
        <v>0</v>
      </c>
      <c r="BL46" s="675">
        <v>0</v>
      </c>
      <c r="BM46" s="675">
        <v>0</v>
      </c>
      <c r="BN46" s="675">
        <v>0</v>
      </c>
      <c r="BO46" s="675">
        <v>0</v>
      </c>
      <c r="BP46" s="675">
        <v>0</v>
      </c>
      <c r="BQ46" s="675">
        <v>546</v>
      </c>
      <c r="BR46" s="675">
        <v>0</v>
      </c>
      <c r="BS46" s="675">
        <v>0</v>
      </c>
      <c r="BT46" s="675">
        <v>0</v>
      </c>
      <c r="BU46" s="675">
        <v>0</v>
      </c>
      <c r="BV46" s="675">
        <v>0</v>
      </c>
      <c r="BW46" s="675">
        <v>0</v>
      </c>
      <c r="BX46" s="675">
        <v>0</v>
      </c>
      <c r="BY46" s="675">
        <v>0</v>
      </c>
      <c r="BZ46" s="675">
        <v>0</v>
      </c>
      <c r="CA46" s="675">
        <v>0</v>
      </c>
      <c r="CB46" s="675">
        <v>0</v>
      </c>
      <c r="CC46" s="675">
        <v>0</v>
      </c>
      <c r="CD46" s="675">
        <v>0</v>
      </c>
      <c r="CE46" s="675">
        <v>0</v>
      </c>
      <c r="CF46" s="675">
        <v>0</v>
      </c>
      <c r="CG46" s="675">
        <v>0</v>
      </c>
      <c r="CH46" s="675">
        <v>259797</v>
      </c>
      <c r="CI46" s="675">
        <v>0</v>
      </c>
      <c r="CJ46" s="675">
        <v>4</v>
      </c>
      <c r="CK46" s="675">
        <v>0</v>
      </c>
      <c r="CL46" s="675">
        <v>0</v>
      </c>
      <c r="CM46" s="675">
        <v>0</v>
      </c>
      <c r="CN46" s="675">
        <v>0</v>
      </c>
      <c r="CO46" s="675">
        <v>1</v>
      </c>
      <c r="CP46" s="675">
        <v>0</v>
      </c>
      <c r="CQ46" s="675">
        <v>0</v>
      </c>
      <c r="CR46" s="675">
        <v>1506.3410000000001</v>
      </c>
      <c r="CS46" s="675">
        <v>0</v>
      </c>
      <c r="CT46" s="675">
        <v>0</v>
      </c>
      <c r="CU46" s="675">
        <v>0</v>
      </c>
      <c r="CV46" s="675">
        <v>0</v>
      </c>
      <c r="CW46" s="675">
        <v>0</v>
      </c>
      <c r="CX46" s="675">
        <v>0</v>
      </c>
      <c r="CY46" s="675">
        <v>0</v>
      </c>
      <c r="CZ46" s="675">
        <v>0</v>
      </c>
      <c r="DA46" s="675">
        <v>0</v>
      </c>
      <c r="DB46" s="675">
        <v>8946305</v>
      </c>
      <c r="DC46" s="675">
        <v>0</v>
      </c>
      <c r="DD46" s="675">
        <v>0</v>
      </c>
      <c r="DE46" s="675">
        <v>643332</v>
      </c>
      <c r="DF46" s="675">
        <v>643332</v>
      </c>
      <c r="DG46" s="675">
        <v>104.438</v>
      </c>
      <c r="DH46" s="675">
        <v>0</v>
      </c>
      <c r="DI46" s="675">
        <v>0</v>
      </c>
      <c r="DJ46" s="675">
        <v>0</v>
      </c>
      <c r="DK46" s="675">
        <v>364</v>
      </c>
      <c r="DL46" s="675">
        <v>0</v>
      </c>
      <c r="DM46" s="675">
        <v>751360</v>
      </c>
      <c r="DN46" s="675">
        <v>2826</v>
      </c>
      <c r="DO46" s="675">
        <v>0</v>
      </c>
      <c r="DP46" s="675">
        <v>0</v>
      </c>
      <c r="DQ46" s="675">
        <v>0</v>
      </c>
      <c r="DR46" s="675">
        <v>0</v>
      </c>
      <c r="DS46" s="675">
        <v>0</v>
      </c>
      <c r="DT46" s="675">
        <v>0</v>
      </c>
      <c r="DU46" s="675">
        <v>0</v>
      </c>
      <c r="DV46" s="675">
        <v>0</v>
      </c>
      <c r="DW46" s="675">
        <v>0</v>
      </c>
      <c r="DX46" s="675">
        <v>0</v>
      </c>
      <c r="DY46" s="675">
        <v>0</v>
      </c>
      <c r="DZ46" s="675">
        <v>0</v>
      </c>
      <c r="EA46" s="675">
        <v>0</v>
      </c>
      <c r="EB46" s="675">
        <v>0</v>
      </c>
      <c r="EC46" s="675">
        <v>84.216000000000008</v>
      </c>
      <c r="ED46" s="675">
        <v>596583</v>
      </c>
      <c r="EE46" s="675">
        <v>0</v>
      </c>
      <c r="EF46" s="675">
        <v>0</v>
      </c>
      <c r="EG46" s="675">
        <v>0</v>
      </c>
      <c r="EH46" s="675">
        <v>157603</v>
      </c>
      <c r="EI46" s="675">
        <v>0</v>
      </c>
      <c r="EJ46" s="675">
        <v>0</v>
      </c>
      <c r="EK46" s="675">
        <v>6.2309999999999999</v>
      </c>
      <c r="EL46" s="675">
        <v>0</v>
      </c>
      <c r="EM46" s="675">
        <v>0.17400000000000002</v>
      </c>
      <c r="EN46" s="675">
        <v>1.274</v>
      </c>
      <c r="EO46" s="675">
        <v>0</v>
      </c>
      <c r="EP46" s="675">
        <v>0</v>
      </c>
      <c r="EQ46" s="675">
        <v>7.6790000000000003</v>
      </c>
      <c r="ER46" s="675">
        <v>0</v>
      </c>
      <c r="ES46" s="675">
        <v>25.585000000000001</v>
      </c>
      <c r="ET46" s="675">
        <v>0</v>
      </c>
      <c r="EU46" s="675">
        <v>0</v>
      </c>
      <c r="EV46" s="675">
        <v>0</v>
      </c>
      <c r="EW46" s="675">
        <v>0</v>
      </c>
      <c r="EX46" s="675">
        <v>0</v>
      </c>
      <c r="EY46" s="675">
        <v>0</v>
      </c>
      <c r="EZ46" s="675">
        <v>11666882</v>
      </c>
      <c r="FA46" s="675">
        <v>0</v>
      </c>
      <c r="FB46" s="675">
        <v>12266048</v>
      </c>
      <c r="FC46" s="675">
        <v>0</v>
      </c>
      <c r="FD46" s="675">
        <v>0</v>
      </c>
      <c r="FE46" s="675">
        <v>1247996</v>
      </c>
      <c r="FF46" s="675">
        <v>258119</v>
      </c>
      <c r="FG46" s="675">
        <v>6.3574999999999993E-2</v>
      </c>
      <c r="FH46" s="675">
        <v>2.6297999999999998E-2</v>
      </c>
      <c r="FI46" s="675">
        <v>0</v>
      </c>
      <c r="FJ46" s="675">
        <v>0</v>
      </c>
      <c r="FK46" s="675">
        <v>1991.71</v>
      </c>
      <c r="FL46" s="675">
        <v>14031960</v>
      </c>
      <c r="FM46" s="675">
        <v>0</v>
      </c>
      <c r="FN46" s="675">
        <v>0</v>
      </c>
      <c r="FO46" s="675">
        <v>0</v>
      </c>
      <c r="FP46" s="675">
        <v>0</v>
      </c>
      <c r="FQ46" s="675">
        <v>0</v>
      </c>
      <c r="FR46" s="675">
        <v>0</v>
      </c>
      <c r="FS46" s="675">
        <v>0</v>
      </c>
      <c r="FT46" s="675">
        <v>0</v>
      </c>
      <c r="FU46" s="675">
        <v>0</v>
      </c>
      <c r="FV46" s="675">
        <v>0</v>
      </c>
      <c r="FW46" s="675">
        <v>0</v>
      </c>
      <c r="FX46" s="675">
        <v>0</v>
      </c>
      <c r="FY46" s="675">
        <v>0</v>
      </c>
      <c r="FZ46" s="675">
        <v>0</v>
      </c>
      <c r="GA46" s="675">
        <v>0</v>
      </c>
      <c r="GB46" s="675">
        <v>96561</v>
      </c>
      <c r="GC46" s="675">
        <v>96561</v>
      </c>
      <c r="GD46" s="675">
        <v>11.469000000000001</v>
      </c>
      <c r="GE46" s="675">
        <v>0</v>
      </c>
      <c r="GF46" s="675">
        <v>0</v>
      </c>
      <c r="GG46" s="675">
        <v>0</v>
      </c>
      <c r="GH46" s="675">
        <v>0</v>
      </c>
      <c r="GI46" s="675">
        <v>0</v>
      </c>
      <c r="GJ46" s="675">
        <v>0</v>
      </c>
      <c r="GK46" s="675">
        <v>0</v>
      </c>
      <c r="GL46" s="675">
        <v>0</v>
      </c>
      <c r="GM46" s="675">
        <v>0</v>
      </c>
      <c r="GN46" s="675">
        <v>0</v>
      </c>
      <c r="GO46" s="675">
        <v>0</v>
      </c>
      <c r="GP46" s="675">
        <v>0</v>
      </c>
      <c r="GQ46" s="675">
        <v>0</v>
      </c>
      <c r="GR46" s="675">
        <v>0</v>
      </c>
      <c r="GS46" s="675">
        <v>0</v>
      </c>
      <c r="GT46" s="675">
        <v>0</v>
      </c>
      <c r="GU46" s="675">
        <v>0</v>
      </c>
      <c r="GV46" s="675">
        <v>0</v>
      </c>
      <c r="GW46" s="675">
        <v>0</v>
      </c>
      <c r="GX46" s="675">
        <v>0</v>
      </c>
      <c r="GY46" s="675">
        <v>0</v>
      </c>
      <c r="GZ46" s="675">
        <v>0</v>
      </c>
      <c r="HA46" s="675">
        <v>0</v>
      </c>
      <c r="HB46" s="675">
        <v>308877260</v>
      </c>
      <c r="HC46" s="675">
        <v>4.4138999999999998E-2</v>
      </c>
      <c r="HD46" s="675">
        <v>259797</v>
      </c>
      <c r="HE46" s="675">
        <v>0</v>
      </c>
      <c r="HF46" s="675">
        <v>1601919</v>
      </c>
      <c r="HG46" s="675">
        <v>14116</v>
      </c>
      <c r="HH46" s="675">
        <v>120796</v>
      </c>
      <c r="HI46" s="675">
        <v>0</v>
      </c>
      <c r="HJ46" s="675">
        <v>14303</v>
      </c>
      <c r="HK46" s="675">
        <v>0</v>
      </c>
      <c r="HL46" s="675">
        <v>0</v>
      </c>
      <c r="HM46" s="675">
        <v>0</v>
      </c>
      <c r="HN46" s="675">
        <v>0</v>
      </c>
      <c r="HO46" s="675">
        <v>0</v>
      </c>
      <c r="HP46" s="675">
        <v>0</v>
      </c>
      <c r="HQ46" s="675">
        <v>0</v>
      </c>
      <c r="HR46" s="675">
        <v>0</v>
      </c>
      <c r="HS46" s="675">
        <v>11664056</v>
      </c>
      <c r="HT46" s="675">
        <v>258119</v>
      </c>
      <c r="HU46" s="675">
        <v>0</v>
      </c>
      <c r="HV46" s="675">
        <v>0</v>
      </c>
      <c r="HW46" s="675">
        <v>0</v>
      </c>
      <c r="HX46" s="675">
        <v>143</v>
      </c>
      <c r="HY46" s="675">
        <v>92</v>
      </c>
      <c r="HZ46" s="675">
        <v>62</v>
      </c>
      <c r="IA46" s="675">
        <v>89</v>
      </c>
      <c r="IB46" s="675">
        <v>42</v>
      </c>
      <c r="IC46" s="675">
        <v>428</v>
      </c>
      <c r="ID46" s="675">
        <v>0</v>
      </c>
      <c r="IE46" s="675">
        <v>0</v>
      </c>
      <c r="IF46" s="675">
        <v>0</v>
      </c>
      <c r="IG46" s="675">
        <v>22.915000000000003</v>
      </c>
      <c r="IH46" s="675">
        <v>196.09900000000002</v>
      </c>
      <c r="II46" s="675">
        <v>0</v>
      </c>
      <c r="IJ46" s="675">
        <v>125.578</v>
      </c>
      <c r="IK46" s="675">
        <v>0</v>
      </c>
      <c r="IL46" s="675">
        <v>0</v>
      </c>
      <c r="IM46" s="675">
        <v>0</v>
      </c>
      <c r="IN46" s="675">
        <v>0</v>
      </c>
      <c r="IO46" s="675">
        <v>0</v>
      </c>
      <c r="IP46" s="675">
        <v>0</v>
      </c>
      <c r="IQ46" s="675">
        <v>125.578</v>
      </c>
      <c r="IR46" s="675">
        <v>77356</v>
      </c>
      <c r="IS46" s="675">
        <v>0</v>
      </c>
      <c r="IT46" s="675">
        <v>0</v>
      </c>
      <c r="IU46" s="675">
        <v>0</v>
      </c>
      <c r="IV46" s="675">
        <v>0</v>
      </c>
      <c r="IW46" s="675">
        <v>6160</v>
      </c>
      <c r="IX46" s="675">
        <v>0</v>
      </c>
      <c r="IY46" s="675">
        <v>0</v>
      </c>
      <c r="IZ46" s="675">
        <v>0</v>
      </c>
      <c r="JA46" s="675">
        <v>0</v>
      </c>
      <c r="JB46" s="675">
        <v>0</v>
      </c>
      <c r="JC46" s="675">
        <v>0</v>
      </c>
      <c r="JD46" s="675">
        <v>0</v>
      </c>
      <c r="JE46" s="675">
        <v>0</v>
      </c>
      <c r="JF46" s="675">
        <v>0</v>
      </c>
      <c r="JG46" s="675">
        <v>0</v>
      </c>
      <c r="JH46" s="675">
        <v>0</v>
      </c>
      <c r="JI46" s="675">
        <v>0</v>
      </c>
      <c r="JJ46" s="675">
        <v>0</v>
      </c>
      <c r="JK46" s="675">
        <v>0</v>
      </c>
      <c r="JL46" s="675">
        <v>0</v>
      </c>
      <c r="JM46" s="675">
        <v>0</v>
      </c>
      <c r="JN46" s="675">
        <v>32469</v>
      </c>
      <c r="JO46" s="675">
        <v>7.69</v>
      </c>
      <c r="JP46" s="675">
        <v>3.778</v>
      </c>
      <c r="JQ46" s="675">
        <v>0</v>
      </c>
      <c r="JR46" s="675">
        <v>61438</v>
      </c>
      <c r="JS46" s="675">
        <v>35123</v>
      </c>
      <c r="JT46" s="675">
        <v>0</v>
      </c>
      <c r="JU46" s="675">
        <v>0</v>
      </c>
      <c r="JV46" s="675">
        <v>0</v>
      </c>
      <c r="JW46" s="675">
        <v>0</v>
      </c>
      <c r="JX46" s="675">
        <v>0</v>
      </c>
      <c r="JY46" s="675">
        <v>0</v>
      </c>
      <c r="JZ46" s="675">
        <v>0</v>
      </c>
      <c r="KA46" s="675">
        <v>0</v>
      </c>
      <c r="KB46" s="675">
        <v>0</v>
      </c>
      <c r="KC46" s="675">
        <v>0</v>
      </c>
      <c r="KD46" s="675">
        <v>0</v>
      </c>
      <c r="KE46" s="675">
        <v>7263</v>
      </c>
      <c r="KF46" s="675">
        <v>0</v>
      </c>
      <c r="KG46" s="675">
        <v>0</v>
      </c>
      <c r="KH46" s="675">
        <v>0</v>
      </c>
      <c r="KI46" s="675">
        <v>0</v>
      </c>
    </row>
    <row r="47" spans="1:295" ht="12.5" x14ac:dyDescent="0.25">
      <c r="A47" s="675">
        <v>35795</v>
      </c>
      <c r="B47" s="675">
        <v>236802</v>
      </c>
      <c r="C47" s="675">
        <v>7</v>
      </c>
      <c r="D47" s="675">
        <v>2022</v>
      </c>
      <c r="E47" s="675">
        <v>6160</v>
      </c>
      <c r="F47" s="675">
        <v>0</v>
      </c>
      <c r="G47" s="675">
        <v>400.33800000000002</v>
      </c>
      <c r="H47" s="675">
        <v>398.94499999999999</v>
      </c>
      <c r="I47" s="675">
        <v>398.94499999999999</v>
      </c>
      <c r="J47" s="675">
        <v>400.33800000000002</v>
      </c>
      <c r="K47" s="675">
        <v>0</v>
      </c>
      <c r="L47" s="675">
        <v>6160</v>
      </c>
      <c r="M47" s="675">
        <v>0</v>
      </c>
      <c r="N47" s="675">
        <v>0</v>
      </c>
      <c r="O47" s="675">
        <v>0</v>
      </c>
      <c r="P47" s="675">
        <v>373.017</v>
      </c>
      <c r="Q47" s="675">
        <v>0</v>
      </c>
      <c r="R47" s="675">
        <v>150112</v>
      </c>
      <c r="S47" s="675">
        <v>402.428</v>
      </c>
      <c r="T47" s="675">
        <v>0</v>
      </c>
      <c r="U47" s="675">
        <v>79826</v>
      </c>
      <c r="V47" s="675">
        <v>24.765000000000001</v>
      </c>
      <c r="W47" s="675">
        <v>15255</v>
      </c>
      <c r="X47" s="675">
        <v>15255</v>
      </c>
      <c r="Y47" s="675">
        <v>0</v>
      </c>
      <c r="Z47" s="675">
        <v>0</v>
      </c>
      <c r="AA47" s="675">
        <v>0</v>
      </c>
      <c r="AB47" s="675">
        <v>0</v>
      </c>
      <c r="AC47" s="675">
        <v>0</v>
      </c>
      <c r="AD47" s="675" t="s">
        <v>316</v>
      </c>
      <c r="AE47" s="675">
        <v>0</v>
      </c>
      <c r="AF47" s="675">
        <v>0</v>
      </c>
      <c r="AG47" s="675">
        <v>0</v>
      </c>
      <c r="AH47" s="675">
        <v>0</v>
      </c>
      <c r="AI47" s="675">
        <v>0</v>
      </c>
      <c r="AJ47" s="675">
        <v>6160</v>
      </c>
      <c r="AK47" s="675" t="s">
        <v>671</v>
      </c>
      <c r="AL47" s="675" t="s">
        <v>390</v>
      </c>
      <c r="AM47" s="675">
        <v>0</v>
      </c>
      <c r="AN47" s="675">
        <v>0</v>
      </c>
      <c r="AO47" s="675">
        <v>0</v>
      </c>
      <c r="AP47" s="675">
        <v>0</v>
      </c>
      <c r="AQ47" s="675">
        <v>0</v>
      </c>
      <c r="AR47" s="675">
        <v>0</v>
      </c>
      <c r="AS47" s="675">
        <v>0</v>
      </c>
      <c r="AT47" s="675">
        <v>0</v>
      </c>
      <c r="AU47" s="675">
        <v>0</v>
      </c>
      <c r="AV47" s="675">
        <v>0</v>
      </c>
      <c r="AW47" s="675">
        <v>3670341</v>
      </c>
      <c r="AX47" s="675">
        <v>3600376</v>
      </c>
      <c r="AY47" s="675">
        <v>2421500</v>
      </c>
      <c r="AZ47" s="675">
        <v>150112</v>
      </c>
      <c r="BA47" s="675">
        <v>0</v>
      </c>
      <c r="BB47" s="675">
        <v>8624</v>
      </c>
      <c r="BC47" s="675">
        <v>8568</v>
      </c>
      <c r="BD47" s="675">
        <v>20</v>
      </c>
      <c r="BE47" s="675">
        <v>56</v>
      </c>
      <c r="BF47" s="675">
        <v>3340422</v>
      </c>
      <c r="BG47" s="675">
        <v>0</v>
      </c>
      <c r="BH47" s="675">
        <v>0</v>
      </c>
      <c r="BI47" s="675">
        <v>0</v>
      </c>
      <c r="BJ47" s="675">
        <v>12</v>
      </c>
      <c r="BK47" s="675">
        <v>0</v>
      </c>
      <c r="BL47" s="675">
        <v>0</v>
      </c>
      <c r="BM47" s="675">
        <v>0</v>
      </c>
      <c r="BN47" s="675">
        <v>0</v>
      </c>
      <c r="BO47" s="675">
        <v>0</v>
      </c>
      <c r="BP47" s="675">
        <v>0</v>
      </c>
      <c r="BQ47" s="675">
        <v>709</v>
      </c>
      <c r="BR47" s="675">
        <v>0</v>
      </c>
      <c r="BS47" s="675">
        <v>0</v>
      </c>
      <c r="BT47" s="675">
        <v>0</v>
      </c>
      <c r="BU47" s="675">
        <v>0</v>
      </c>
      <c r="BV47" s="675">
        <v>0</v>
      </c>
      <c r="BW47" s="675">
        <v>0</v>
      </c>
      <c r="BX47" s="675">
        <v>0</v>
      </c>
      <c r="BY47" s="675">
        <v>0</v>
      </c>
      <c r="BZ47" s="675">
        <v>0</v>
      </c>
      <c r="CA47" s="675">
        <v>0</v>
      </c>
      <c r="CB47" s="675">
        <v>0</v>
      </c>
      <c r="CC47" s="675">
        <v>0</v>
      </c>
      <c r="CD47" s="675">
        <v>0</v>
      </c>
      <c r="CE47" s="675">
        <v>0</v>
      </c>
      <c r="CF47" s="675">
        <v>0</v>
      </c>
      <c r="CG47" s="675">
        <v>0</v>
      </c>
      <c r="CH47" s="675">
        <v>70682</v>
      </c>
      <c r="CI47" s="675">
        <v>0</v>
      </c>
      <c r="CJ47" s="675">
        <v>4</v>
      </c>
      <c r="CK47" s="675">
        <v>0</v>
      </c>
      <c r="CL47" s="675">
        <v>0</v>
      </c>
      <c r="CM47" s="675">
        <v>0</v>
      </c>
      <c r="CN47" s="675">
        <v>0</v>
      </c>
      <c r="CO47" s="675">
        <v>1</v>
      </c>
      <c r="CP47" s="675">
        <v>0</v>
      </c>
      <c r="CQ47" s="675">
        <v>0</v>
      </c>
      <c r="CR47" s="675">
        <v>517.22199999999998</v>
      </c>
      <c r="CS47" s="675">
        <v>0</v>
      </c>
      <c r="CT47" s="675">
        <v>0</v>
      </c>
      <c r="CU47" s="675">
        <v>0</v>
      </c>
      <c r="CV47" s="675">
        <v>0</v>
      </c>
      <c r="CW47" s="675">
        <v>0</v>
      </c>
      <c r="CX47" s="675">
        <v>0</v>
      </c>
      <c r="CY47" s="675">
        <v>0</v>
      </c>
      <c r="CZ47" s="675">
        <v>0</v>
      </c>
      <c r="DA47" s="675">
        <v>0</v>
      </c>
      <c r="DB47" s="675">
        <v>2457490</v>
      </c>
      <c r="DC47" s="675">
        <v>0</v>
      </c>
      <c r="DD47" s="675">
        <v>0</v>
      </c>
      <c r="DE47" s="675">
        <v>172248</v>
      </c>
      <c r="DF47" s="675">
        <v>172248</v>
      </c>
      <c r="DG47" s="675">
        <v>27.963000000000001</v>
      </c>
      <c r="DH47" s="675">
        <v>0</v>
      </c>
      <c r="DI47" s="675">
        <v>0</v>
      </c>
      <c r="DJ47" s="675">
        <v>0</v>
      </c>
      <c r="DK47" s="675">
        <v>2959</v>
      </c>
      <c r="DL47" s="675">
        <v>0</v>
      </c>
      <c r="DM47" s="675">
        <v>175740</v>
      </c>
      <c r="DN47" s="675">
        <v>661</v>
      </c>
      <c r="DO47" s="675">
        <v>0</v>
      </c>
      <c r="DP47" s="675">
        <v>0</v>
      </c>
      <c r="DQ47" s="675">
        <v>0</v>
      </c>
      <c r="DR47" s="675">
        <v>0</v>
      </c>
      <c r="DS47" s="675">
        <v>0</v>
      </c>
      <c r="DT47" s="675">
        <v>0</v>
      </c>
      <c r="DU47" s="675">
        <v>0</v>
      </c>
      <c r="DV47" s="675">
        <v>0</v>
      </c>
      <c r="DW47" s="675">
        <v>0</v>
      </c>
      <c r="DX47" s="675">
        <v>0</v>
      </c>
      <c r="DY47" s="675">
        <v>0</v>
      </c>
      <c r="DZ47" s="675">
        <v>0</v>
      </c>
      <c r="EA47" s="675">
        <v>0</v>
      </c>
      <c r="EB47" s="675">
        <v>0</v>
      </c>
      <c r="EC47" s="675">
        <v>18.845000000000002</v>
      </c>
      <c r="ED47" s="675">
        <v>133497</v>
      </c>
      <c r="EE47" s="675">
        <v>0</v>
      </c>
      <c r="EF47" s="675">
        <v>0</v>
      </c>
      <c r="EG47" s="675">
        <v>0</v>
      </c>
      <c r="EH47" s="675">
        <v>42904</v>
      </c>
      <c r="EI47" s="675">
        <v>0</v>
      </c>
      <c r="EJ47" s="675">
        <v>0</v>
      </c>
      <c r="EK47" s="675">
        <v>0</v>
      </c>
      <c r="EL47" s="675">
        <v>0</v>
      </c>
      <c r="EM47" s="675">
        <v>0</v>
      </c>
      <c r="EN47" s="675">
        <v>1.393</v>
      </c>
      <c r="EO47" s="675">
        <v>0</v>
      </c>
      <c r="EP47" s="675">
        <v>0</v>
      </c>
      <c r="EQ47" s="675">
        <v>1.393</v>
      </c>
      <c r="ER47" s="675">
        <v>0</v>
      </c>
      <c r="ES47" s="675">
        <v>6.9650000000000007</v>
      </c>
      <c r="ET47" s="675">
        <v>0</v>
      </c>
      <c r="EU47" s="675">
        <v>0</v>
      </c>
      <c r="EV47" s="675">
        <v>0</v>
      </c>
      <c r="EW47" s="675">
        <v>0</v>
      </c>
      <c r="EX47" s="675">
        <v>0</v>
      </c>
      <c r="EY47" s="675">
        <v>0</v>
      </c>
      <c r="EZ47" s="675">
        <v>3190310</v>
      </c>
      <c r="FA47" s="675">
        <v>0</v>
      </c>
      <c r="FB47" s="675">
        <v>3339705</v>
      </c>
      <c r="FC47" s="675">
        <v>0</v>
      </c>
      <c r="FD47" s="675">
        <v>0</v>
      </c>
      <c r="FE47" s="675">
        <v>339789</v>
      </c>
      <c r="FF47" s="675">
        <v>70277</v>
      </c>
      <c r="FG47" s="675">
        <v>6.3574999999999993E-2</v>
      </c>
      <c r="FH47" s="675">
        <v>2.6297999999999998E-2</v>
      </c>
      <c r="FI47" s="675">
        <v>0</v>
      </c>
      <c r="FJ47" s="675">
        <v>0</v>
      </c>
      <c r="FK47" s="675">
        <v>542.279</v>
      </c>
      <c r="FL47" s="675">
        <v>3820453</v>
      </c>
      <c r="FM47" s="675">
        <v>0</v>
      </c>
      <c r="FN47" s="675">
        <v>0</v>
      </c>
      <c r="FO47" s="675">
        <v>0</v>
      </c>
      <c r="FP47" s="675">
        <v>0</v>
      </c>
      <c r="FQ47" s="675">
        <v>0</v>
      </c>
      <c r="FR47" s="675">
        <v>0</v>
      </c>
      <c r="FS47" s="675">
        <v>0</v>
      </c>
      <c r="FT47" s="675">
        <v>0</v>
      </c>
      <c r="FU47" s="675">
        <v>0</v>
      </c>
      <c r="FV47" s="675">
        <v>0</v>
      </c>
      <c r="FW47" s="675">
        <v>0</v>
      </c>
      <c r="FX47" s="675">
        <v>0</v>
      </c>
      <c r="FY47" s="675">
        <v>0</v>
      </c>
      <c r="FZ47" s="675">
        <v>0</v>
      </c>
      <c r="GA47" s="675">
        <v>0</v>
      </c>
      <c r="GB47" s="675">
        <v>0</v>
      </c>
      <c r="GC47" s="675">
        <v>0</v>
      </c>
      <c r="GD47" s="675">
        <v>0</v>
      </c>
      <c r="GE47" s="675">
        <v>0</v>
      </c>
      <c r="GF47" s="675">
        <v>0</v>
      </c>
      <c r="GG47" s="675">
        <v>0</v>
      </c>
      <c r="GH47" s="675">
        <v>0</v>
      </c>
      <c r="GI47" s="675">
        <v>0</v>
      </c>
      <c r="GJ47" s="675">
        <v>0</v>
      </c>
      <c r="GK47" s="675">
        <v>0</v>
      </c>
      <c r="GL47" s="675">
        <v>0</v>
      </c>
      <c r="GM47" s="675">
        <v>0</v>
      </c>
      <c r="GN47" s="675">
        <v>0</v>
      </c>
      <c r="GO47" s="675">
        <v>0</v>
      </c>
      <c r="GP47" s="675">
        <v>0</v>
      </c>
      <c r="GQ47" s="675">
        <v>0</v>
      </c>
      <c r="GR47" s="675">
        <v>0</v>
      </c>
      <c r="GS47" s="675">
        <v>0</v>
      </c>
      <c r="GT47" s="675">
        <v>0</v>
      </c>
      <c r="GU47" s="675">
        <v>0</v>
      </c>
      <c r="GV47" s="675">
        <v>0</v>
      </c>
      <c r="GW47" s="675">
        <v>0</v>
      </c>
      <c r="GX47" s="675">
        <v>0</v>
      </c>
      <c r="GY47" s="675">
        <v>0</v>
      </c>
      <c r="GZ47" s="675">
        <v>0</v>
      </c>
      <c r="HA47" s="675">
        <v>0</v>
      </c>
      <c r="HB47" s="675">
        <v>308877260</v>
      </c>
      <c r="HC47" s="675">
        <v>4.4138999999999998E-2</v>
      </c>
      <c r="HD47" s="675">
        <v>70682</v>
      </c>
      <c r="HE47" s="675">
        <v>0</v>
      </c>
      <c r="HF47" s="675">
        <v>440036</v>
      </c>
      <c r="HG47" s="675">
        <v>18480</v>
      </c>
      <c r="HH47" s="675">
        <v>47997</v>
      </c>
      <c r="HI47" s="675">
        <v>0</v>
      </c>
      <c r="HJ47" s="675">
        <v>3891</v>
      </c>
      <c r="HK47" s="675">
        <v>0</v>
      </c>
      <c r="HL47" s="675">
        <v>0</v>
      </c>
      <c r="HM47" s="675">
        <v>0</v>
      </c>
      <c r="HN47" s="675">
        <v>0</v>
      </c>
      <c r="HO47" s="675">
        <v>0</v>
      </c>
      <c r="HP47" s="675">
        <v>0</v>
      </c>
      <c r="HQ47" s="675">
        <v>0</v>
      </c>
      <c r="HR47" s="675">
        <v>0</v>
      </c>
      <c r="HS47" s="675">
        <v>3189593</v>
      </c>
      <c r="HT47" s="675">
        <v>70277</v>
      </c>
      <c r="HU47" s="675">
        <v>0</v>
      </c>
      <c r="HV47" s="675">
        <v>0</v>
      </c>
      <c r="HW47" s="675">
        <v>0</v>
      </c>
      <c r="HX47" s="675">
        <v>32</v>
      </c>
      <c r="HY47" s="675">
        <v>27</v>
      </c>
      <c r="HZ47" s="675">
        <v>32</v>
      </c>
      <c r="IA47" s="675">
        <v>20</v>
      </c>
      <c r="IB47" s="675">
        <v>4</v>
      </c>
      <c r="IC47" s="675">
        <v>115</v>
      </c>
      <c r="ID47" s="675">
        <v>0</v>
      </c>
      <c r="IE47" s="675">
        <v>0</v>
      </c>
      <c r="IF47" s="675">
        <v>0</v>
      </c>
      <c r="IG47" s="675">
        <v>30</v>
      </c>
      <c r="IH47" s="675">
        <v>77.917000000000002</v>
      </c>
      <c r="II47" s="675">
        <v>0</v>
      </c>
      <c r="IJ47" s="675">
        <v>24.765000000000001</v>
      </c>
      <c r="IK47" s="675">
        <v>0</v>
      </c>
      <c r="IL47" s="675">
        <v>0</v>
      </c>
      <c r="IM47" s="675">
        <v>0</v>
      </c>
      <c r="IN47" s="675">
        <v>0</v>
      </c>
      <c r="IO47" s="675">
        <v>0</v>
      </c>
      <c r="IP47" s="675">
        <v>0</v>
      </c>
      <c r="IQ47" s="675">
        <v>24.765000000000001</v>
      </c>
      <c r="IR47" s="675">
        <v>15255</v>
      </c>
      <c r="IS47" s="675">
        <v>0</v>
      </c>
      <c r="IT47" s="675">
        <v>0</v>
      </c>
      <c r="IU47" s="675">
        <v>0</v>
      </c>
      <c r="IV47" s="675">
        <v>0</v>
      </c>
      <c r="IW47" s="675">
        <v>6160</v>
      </c>
      <c r="IX47" s="675">
        <v>0</v>
      </c>
      <c r="IY47" s="675">
        <v>0</v>
      </c>
      <c r="IZ47" s="675">
        <v>0</v>
      </c>
      <c r="JA47" s="675">
        <v>0</v>
      </c>
      <c r="JB47" s="675">
        <v>0</v>
      </c>
      <c r="JC47" s="675">
        <v>0</v>
      </c>
      <c r="JD47" s="675">
        <v>0</v>
      </c>
      <c r="JE47" s="675">
        <v>0</v>
      </c>
      <c r="JF47" s="675">
        <v>0</v>
      </c>
      <c r="JG47" s="675">
        <v>0</v>
      </c>
      <c r="JH47" s="675">
        <v>0</v>
      </c>
      <c r="JI47" s="675">
        <v>0</v>
      </c>
      <c r="JJ47" s="675">
        <v>0</v>
      </c>
      <c r="JK47" s="675">
        <v>0</v>
      </c>
      <c r="JL47" s="675">
        <v>0</v>
      </c>
      <c r="JM47" s="675">
        <v>0</v>
      </c>
      <c r="JN47" s="675">
        <v>32469</v>
      </c>
      <c r="JO47" s="675">
        <v>0</v>
      </c>
      <c r="JP47" s="675">
        <v>0</v>
      </c>
      <c r="JQ47" s="675">
        <v>0</v>
      </c>
      <c r="JR47" s="675">
        <v>0</v>
      </c>
      <c r="JS47" s="675">
        <v>0</v>
      </c>
      <c r="JT47" s="675">
        <v>0</v>
      </c>
      <c r="JU47" s="675">
        <v>8624</v>
      </c>
      <c r="JV47" s="675">
        <v>0</v>
      </c>
      <c r="JW47" s="675">
        <v>0</v>
      </c>
      <c r="JX47" s="675">
        <v>0</v>
      </c>
      <c r="JY47" s="675">
        <v>0</v>
      </c>
      <c r="JZ47" s="675">
        <v>0</v>
      </c>
      <c r="KA47" s="675">
        <v>0</v>
      </c>
      <c r="KB47" s="675">
        <v>0</v>
      </c>
      <c r="KC47" s="675">
        <v>0</v>
      </c>
      <c r="KD47" s="675">
        <v>8624</v>
      </c>
      <c r="KE47" s="675">
        <v>7263</v>
      </c>
      <c r="KF47" s="675">
        <v>0</v>
      </c>
      <c r="KG47" s="675">
        <v>0</v>
      </c>
      <c r="KH47" s="675">
        <v>0</v>
      </c>
      <c r="KI47" s="675">
        <v>0</v>
      </c>
    </row>
    <row r="48" spans="1:295" ht="12.5" x14ac:dyDescent="0.25">
      <c r="A48" s="675">
        <v>35795</v>
      </c>
      <c r="B48" s="675">
        <v>246802</v>
      </c>
      <c r="C48" s="675">
        <v>7</v>
      </c>
      <c r="D48" s="675">
        <v>2022</v>
      </c>
      <c r="E48" s="675">
        <v>6160</v>
      </c>
      <c r="F48" s="675">
        <v>0</v>
      </c>
      <c r="G48" s="675">
        <v>298.90300000000002</v>
      </c>
      <c r="H48" s="675">
        <v>288.84500000000003</v>
      </c>
      <c r="I48" s="675">
        <v>288.84500000000003</v>
      </c>
      <c r="J48" s="675">
        <v>298.90300000000002</v>
      </c>
      <c r="K48" s="675">
        <v>0</v>
      </c>
      <c r="L48" s="675">
        <v>6160</v>
      </c>
      <c r="M48" s="675">
        <v>0</v>
      </c>
      <c r="N48" s="675">
        <v>0</v>
      </c>
      <c r="O48" s="675">
        <v>0</v>
      </c>
      <c r="P48" s="675">
        <v>276.16200000000003</v>
      </c>
      <c r="Q48" s="675">
        <v>0</v>
      </c>
      <c r="R48" s="675">
        <v>111135</v>
      </c>
      <c r="S48" s="675">
        <v>402.428</v>
      </c>
      <c r="T48" s="675">
        <v>0</v>
      </c>
      <c r="U48" s="675">
        <v>59098</v>
      </c>
      <c r="V48" s="675">
        <v>14.629000000000001</v>
      </c>
      <c r="W48" s="675">
        <v>9011</v>
      </c>
      <c r="X48" s="675">
        <v>9011</v>
      </c>
      <c r="Y48" s="675">
        <v>0</v>
      </c>
      <c r="Z48" s="675">
        <v>0</v>
      </c>
      <c r="AA48" s="675">
        <v>0</v>
      </c>
      <c r="AB48" s="675">
        <v>0</v>
      </c>
      <c r="AC48" s="675">
        <v>0</v>
      </c>
      <c r="AD48" s="675" t="s">
        <v>316</v>
      </c>
      <c r="AE48" s="675">
        <v>0</v>
      </c>
      <c r="AF48" s="675">
        <v>0</v>
      </c>
      <c r="AG48" s="675">
        <v>0</v>
      </c>
      <c r="AH48" s="675">
        <v>0</v>
      </c>
      <c r="AI48" s="675">
        <v>0</v>
      </c>
      <c r="AJ48" s="675">
        <v>6160</v>
      </c>
      <c r="AK48" s="675" t="s">
        <v>671</v>
      </c>
      <c r="AL48" s="675" t="s">
        <v>420</v>
      </c>
      <c r="AM48" s="675">
        <v>0</v>
      </c>
      <c r="AN48" s="675">
        <v>0</v>
      </c>
      <c r="AO48" s="675">
        <v>0</v>
      </c>
      <c r="AP48" s="675">
        <v>0</v>
      </c>
      <c r="AQ48" s="675">
        <v>0</v>
      </c>
      <c r="AR48" s="675">
        <v>0</v>
      </c>
      <c r="AS48" s="675">
        <v>0</v>
      </c>
      <c r="AT48" s="675">
        <v>0</v>
      </c>
      <c r="AU48" s="675">
        <v>0</v>
      </c>
      <c r="AV48" s="675">
        <v>-530</v>
      </c>
      <c r="AW48" s="675">
        <v>2816291</v>
      </c>
      <c r="AX48" s="675">
        <v>2764342</v>
      </c>
      <c r="AY48" s="675">
        <v>1881257</v>
      </c>
      <c r="AZ48" s="675">
        <v>111135</v>
      </c>
      <c r="BA48" s="675">
        <v>0</v>
      </c>
      <c r="BB48" s="675">
        <v>862</v>
      </c>
      <c r="BC48" s="675">
        <v>856</v>
      </c>
      <c r="BD48" s="675">
        <v>2</v>
      </c>
      <c r="BE48" s="675">
        <v>6</v>
      </c>
      <c r="BF48" s="675">
        <v>2561082</v>
      </c>
      <c r="BG48" s="675">
        <v>0</v>
      </c>
      <c r="BH48" s="675">
        <v>0</v>
      </c>
      <c r="BI48" s="675">
        <v>0</v>
      </c>
      <c r="BJ48" s="675">
        <v>12</v>
      </c>
      <c r="BK48" s="675">
        <v>0</v>
      </c>
      <c r="BL48" s="675">
        <v>0</v>
      </c>
      <c r="BM48" s="675">
        <v>0</v>
      </c>
      <c r="BN48" s="675">
        <v>0</v>
      </c>
      <c r="BO48" s="675">
        <v>0</v>
      </c>
      <c r="BP48" s="675">
        <v>0</v>
      </c>
      <c r="BQ48" s="675">
        <v>726</v>
      </c>
      <c r="BR48" s="675">
        <v>0</v>
      </c>
      <c r="BS48" s="675">
        <v>0</v>
      </c>
      <c r="BT48" s="675">
        <v>0</v>
      </c>
      <c r="BU48" s="675">
        <v>0</v>
      </c>
      <c r="BV48" s="675">
        <v>0</v>
      </c>
      <c r="BW48" s="675">
        <v>0</v>
      </c>
      <c r="BX48" s="675">
        <v>0</v>
      </c>
      <c r="BY48" s="675">
        <v>0</v>
      </c>
      <c r="BZ48" s="675">
        <v>0</v>
      </c>
      <c r="CA48" s="675">
        <v>0</v>
      </c>
      <c r="CB48" s="675">
        <v>0</v>
      </c>
      <c r="CC48" s="675">
        <v>0</v>
      </c>
      <c r="CD48" s="675">
        <v>0</v>
      </c>
      <c r="CE48" s="675">
        <v>0</v>
      </c>
      <c r="CF48" s="675">
        <v>0</v>
      </c>
      <c r="CG48" s="675">
        <v>0</v>
      </c>
      <c r="CH48" s="675">
        <v>52773</v>
      </c>
      <c r="CI48" s="675">
        <v>0</v>
      </c>
      <c r="CJ48" s="675">
        <v>4</v>
      </c>
      <c r="CK48" s="675">
        <v>0</v>
      </c>
      <c r="CL48" s="675">
        <v>0</v>
      </c>
      <c r="CM48" s="675">
        <v>0</v>
      </c>
      <c r="CN48" s="675">
        <v>0</v>
      </c>
      <c r="CO48" s="675">
        <v>1</v>
      </c>
      <c r="CP48" s="675">
        <v>0</v>
      </c>
      <c r="CQ48" s="675">
        <v>0</v>
      </c>
      <c r="CR48" s="675">
        <v>396.536</v>
      </c>
      <c r="CS48" s="675">
        <v>0</v>
      </c>
      <c r="CT48" s="675">
        <v>0</v>
      </c>
      <c r="CU48" s="675">
        <v>0</v>
      </c>
      <c r="CV48" s="675">
        <v>0</v>
      </c>
      <c r="CW48" s="675">
        <v>0</v>
      </c>
      <c r="CX48" s="675">
        <v>0</v>
      </c>
      <c r="CY48" s="675">
        <v>0</v>
      </c>
      <c r="CZ48" s="675">
        <v>0</v>
      </c>
      <c r="DA48" s="675">
        <v>0</v>
      </c>
      <c r="DB48" s="675">
        <v>1706379</v>
      </c>
      <c r="DC48" s="675">
        <v>0</v>
      </c>
      <c r="DD48" s="675">
        <v>0</v>
      </c>
      <c r="DE48" s="675">
        <v>192499</v>
      </c>
      <c r="DF48" s="675">
        <v>192499</v>
      </c>
      <c r="DG48" s="675">
        <v>31.25</v>
      </c>
      <c r="DH48" s="675">
        <v>0</v>
      </c>
      <c r="DI48" s="675">
        <v>0</v>
      </c>
      <c r="DJ48" s="675">
        <v>0</v>
      </c>
      <c r="DK48" s="675">
        <v>3231</v>
      </c>
      <c r="DL48" s="675">
        <v>0</v>
      </c>
      <c r="DM48" s="675">
        <v>290381</v>
      </c>
      <c r="DN48" s="675">
        <v>818</v>
      </c>
      <c r="DO48" s="675">
        <v>0</v>
      </c>
      <c r="DP48" s="675">
        <v>0</v>
      </c>
      <c r="DQ48" s="675">
        <v>0</v>
      </c>
      <c r="DR48" s="675">
        <v>0</v>
      </c>
      <c r="DS48" s="675">
        <v>0</v>
      </c>
      <c r="DT48" s="675">
        <v>0</v>
      </c>
      <c r="DU48" s="675">
        <v>0</v>
      </c>
      <c r="DV48" s="675">
        <v>0</v>
      </c>
      <c r="DW48" s="675">
        <v>0</v>
      </c>
      <c r="DX48" s="675">
        <v>0</v>
      </c>
      <c r="DY48" s="675">
        <v>0</v>
      </c>
      <c r="DZ48" s="675">
        <v>0</v>
      </c>
      <c r="EA48" s="675">
        <v>0</v>
      </c>
      <c r="EB48" s="675">
        <v>0</v>
      </c>
      <c r="EC48" s="675">
        <v>3.298</v>
      </c>
      <c r="ED48" s="675">
        <v>23363</v>
      </c>
      <c r="EE48" s="675">
        <v>0</v>
      </c>
      <c r="EF48" s="675">
        <v>0</v>
      </c>
      <c r="EG48" s="675">
        <v>0</v>
      </c>
      <c r="EH48" s="675">
        <v>194938</v>
      </c>
      <c r="EI48" s="675">
        <v>0</v>
      </c>
      <c r="EJ48" s="675">
        <v>0</v>
      </c>
      <c r="EK48" s="675">
        <v>9.322000000000001</v>
      </c>
      <c r="EL48" s="675">
        <v>0</v>
      </c>
      <c r="EM48" s="675">
        <v>0</v>
      </c>
      <c r="EN48" s="675">
        <v>0.73599999999999999</v>
      </c>
      <c r="EO48" s="675">
        <v>0</v>
      </c>
      <c r="EP48" s="675">
        <v>0</v>
      </c>
      <c r="EQ48" s="675">
        <v>10.058</v>
      </c>
      <c r="ER48" s="675">
        <v>0</v>
      </c>
      <c r="ES48" s="675">
        <v>31.646000000000001</v>
      </c>
      <c r="ET48" s="675">
        <v>0</v>
      </c>
      <c r="EU48" s="675">
        <v>0</v>
      </c>
      <c r="EV48" s="675">
        <v>0</v>
      </c>
      <c r="EW48" s="675">
        <v>0</v>
      </c>
      <c r="EX48" s="675">
        <v>0</v>
      </c>
      <c r="EY48" s="675">
        <v>0</v>
      </c>
      <c r="EZ48" s="675">
        <v>2449947</v>
      </c>
      <c r="FA48" s="675">
        <v>0</v>
      </c>
      <c r="FB48" s="675">
        <v>2560258</v>
      </c>
      <c r="FC48" s="675">
        <v>0</v>
      </c>
      <c r="FD48" s="675">
        <v>0</v>
      </c>
      <c r="FE48" s="675">
        <v>260514</v>
      </c>
      <c r="FF48" s="675">
        <v>53881</v>
      </c>
      <c r="FG48" s="675">
        <v>6.3574999999999993E-2</v>
      </c>
      <c r="FH48" s="675">
        <v>2.6297999999999998E-2</v>
      </c>
      <c r="FI48" s="675">
        <v>0</v>
      </c>
      <c r="FJ48" s="675">
        <v>0</v>
      </c>
      <c r="FK48" s="675">
        <v>415.762</v>
      </c>
      <c r="FL48" s="675">
        <v>2927426</v>
      </c>
      <c r="FM48" s="675">
        <v>0</v>
      </c>
      <c r="FN48" s="675">
        <v>0</v>
      </c>
      <c r="FO48" s="675">
        <v>0</v>
      </c>
      <c r="FP48" s="675">
        <v>0</v>
      </c>
      <c r="FQ48" s="675">
        <v>0</v>
      </c>
      <c r="FR48" s="675">
        <v>0</v>
      </c>
      <c r="FS48" s="675">
        <v>0</v>
      </c>
      <c r="FT48" s="675">
        <v>0</v>
      </c>
      <c r="FU48" s="675">
        <v>0</v>
      </c>
      <c r="FV48" s="675">
        <v>0</v>
      </c>
      <c r="FW48" s="675">
        <v>0</v>
      </c>
      <c r="FX48" s="675">
        <v>0</v>
      </c>
      <c r="FY48" s="675">
        <v>0</v>
      </c>
      <c r="FZ48" s="675">
        <v>0</v>
      </c>
      <c r="GA48" s="675">
        <v>0</v>
      </c>
      <c r="GB48" s="675">
        <v>0</v>
      </c>
      <c r="GC48" s="675">
        <v>0</v>
      </c>
      <c r="GD48" s="675">
        <v>0</v>
      </c>
      <c r="GE48" s="675">
        <v>0</v>
      </c>
      <c r="GF48" s="675">
        <v>0</v>
      </c>
      <c r="GG48" s="675">
        <v>0</v>
      </c>
      <c r="GH48" s="675">
        <v>0</v>
      </c>
      <c r="GI48" s="675">
        <v>0</v>
      </c>
      <c r="GJ48" s="675">
        <v>0</v>
      </c>
      <c r="GK48" s="675">
        <v>0</v>
      </c>
      <c r="GL48" s="675">
        <v>0</v>
      </c>
      <c r="GM48" s="675">
        <v>0</v>
      </c>
      <c r="GN48" s="675">
        <v>0</v>
      </c>
      <c r="GO48" s="675">
        <v>0</v>
      </c>
      <c r="GP48" s="675">
        <v>0</v>
      </c>
      <c r="GQ48" s="675">
        <v>0</v>
      </c>
      <c r="GR48" s="675">
        <v>0</v>
      </c>
      <c r="GS48" s="675">
        <v>0</v>
      </c>
      <c r="GT48" s="675">
        <v>0</v>
      </c>
      <c r="GU48" s="675">
        <v>0</v>
      </c>
      <c r="GV48" s="675">
        <v>0</v>
      </c>
      <c r="GW48" s="675">
        <v>0</v>
      </c>
      <c r="GX48" s="675">
        <v>0</v>
      </c>
      <c r="GY48" s="675">
        <v>0</v>
      </c>
      <c r="GZ48" s="675">
        <v>0</v>
      </c>
      <c r="HA48" s="675">
        <v>0</v>
      </c>
      <c r="HB48" s="675">
        <v>308877260</v>
      </c>
      <c r="HC48" s="675">
        <v>4.4138999999999998E-2</v>
      </c>
      <c r="HD48" s="675">
        <v>52773</v>
      </c>
      <c r="HE48" s="675">
        <v>0</v>
      </c>
      <c r="HF48" s="675">
        <v>318596</v>
      </c>
      <c r="HG48" s="675">
        <v>2464</v>
      </c>
      <c r="HH48" s="675">
        <v>37167</v>
      </c>
      <c r="HI48" s="675">
        <v>0</v>
      </c>
      <c r="HJ48" s="675">
        <v>2905</v>
      </c>
      <c r="HK48" s="675">
        <v>0</v>
      </c>
      <c r="HL48" s="675">
        <v>0</v>
      </c>
      <c r="HM48" s="675">
        <v>0</v>
      </c>
      <c r="HN48" s="675">
        <v>0</v>
      </c>
      <c r="HO48" s="675">
        <v>0</v>
      </c>
      <c r="HP48" s="675">
        <v>0</v>
      </c>
      <c r="HQ48" s="675">
        <v>0</v>
      </c>
      <c r="HR48" s="675">
        <v>0</v>
      </c>
      <c r="HS48" s="675">
        <v>2449123</v>
      </c>
      <c r="HT48" s="675">
        <v>53881</v>
      </c>
      <c r="HU48" s="675">
        <v>0</v>
      </c>
      <c r="HV48" s="675">
        <v>0</v>
      </c>
      <c r="HW48" s="675">
        <v>0</v>
      </c>
      <c r="HX48" s="675">
        <v>76</v>
      </c>
      <c r="HY48" s="675">
        <v>33</v>
      </c>
      <c r="HZ48" s="675">
        <v>21</v>
      </c>
      <c r="IA48" s="675">
        <v>3</v>
      </c>
      <c r="IB48" s="675">
        <v>1</v>
      </c>
      <c r="IC48" s="675">
        <v>134</v>
      </c>
      <c r="ID48" s="675">
        <v>0</v>
      </c>
      <c r="IE48" s="675">
        <v>0</v>
      </c>
      <c r="IF48" s="675">
        <v>0</v>
      </c>
      <c r="IG48" s="675">
        <v>4</v>
      </c>
      <c r="IH48" s="675">
        <v>60.337000000000003</v>
      </c>
      <c r="II48" s="675">
        <v>0</v>
      </c>
      <c r="IJ48" s="675">
        <v>14.629000000000001</v>
      </c>
      <c r="IK48" s="675">
        <v>0</v>
      </c>
      <c r="IL48" s="675">
        <v>0</v>
      </c>
      <c r="IM48" s="675">
        <v>0</v>
      </c>
      <c r="IN48" s="675">
        <v>0</v>
      </c>
      <c r="IO48" s="675">
        <v>0</v>
      </c>
      <c r="IP48" s="675">
        <v>0</v>
      </c>
      <c r="IQ48" s="675">
        <v>14.629000000000001</v>
      </c>
      <c r="IR48" s="675">
        <v>9011</v>
      </c>
      <c r="IS48" s="675">
        <v>0</v>
      </c>
      <c r="IT48" s="675">
        <v>0</v>
      </c>
      <c r="IU48" s="675">
        <v>0</v>
      </c>
      <c r="IV48" s="675">
        <v>0</v>
      </c>
      <c r="IW48" s="675">
        <v>6160</v>
      </c>
      <c r="IX48" s="675">
        <v>0</v>
      </c>
      <c r="IY48" s="675">
        <v>0</v>
      </c>
      <c r="IZ48" s="675">
        <v>0</v>
      </c>
      <c r="JA48" s="675">
        <v>0</v>
      </c>
      <c r="JB48" s="675">
        <v>0</v>
      </c>
      <c r="JC48" s="675">
        <v>0</v>
      </c>
      <c r="JD48" s="675">
        <v>0</v>
      </c>
      <c r="JE48" s="675">
        <v>0</v>
      </c>
      <c r="JF48" s="675">
        <v>0</v>
      </c>
      <c r="JG48" s="675">
        <v>0</v>
      </c>
      <c r="JH48" s="675">
        <v>0</v>
      </c>
      <c r="JI48" s="675">
        <v>0</v>
      </c>
      <c r="JJ48" s="675">
        <v>0</v>
      </c>
      <c r="JK48" s="675">
        <v>0</v>
      </c>
      <c r="JL48" s="675">
        <v>0</v>
      </c>
      <c r="JM48" s="675">
        <v>0</v>
      </c>
      <c r="JN48" s="675">
        <v>32469</v>
      </c>
      <c r="JO48" s="675">
        <v>0</v>
      </c>
      <c r="JP48" s="675">
        <v>0</v>
      </c>
      <c r="JQ48" s="675">
        <v>0</v>
      </c>
      <c r="JR48" s="675">
        <v>0</v>
      </c>
      <c r="JS48" s="675">
        <v>0</v>
      </c>
      <c r="JT48" s="675">
        <v>0</v>
      </c>
      <c r="JU48" s="675">
        <v>862</v>
      </c>
      <c r="JV48" s="675">
        <v>0</v>
      </c>
      <c r="JW48" s="675">
        <v>0</v>
      </c>
      <c r="JX48" s="675">
        <v>0</v>
      </c>
      <c r="JY48" s="675">
        <v>0</v>
      </c>
      <c r="JZ48" s="675">
        <v>0</v>
      </c>
      <c r="KA48" s="675">
        <v>0</v>
      </c>
      <c r="KB48" s="675">
        <v>0</v>
      </c>
      <c r="KC48" s="675">
        <v>0</v>
      </c>
      <c r="KD48" s="675">
        <v>862</v>
      </c>
      <c r="KE48" s="675">
        <v>7263</v>
      </c>
      <c r="KF48" s="675">
        <v>0</v>
      </c>
      <c r="KG48" s="675">
        <v>0</v>
      </c>
      <c r="KH48" s="675">
        <v>0</v>
      </c>
      <c r="KI48" s="675">
        <v>0</v>
      </c>
    </row>
    <row r="49" spans="1:295" ht="12.5" x14ac:dyDescent="0.25">
      <c r="A49" s="675">
        <v>35795</v>
      </c>
      <c r="B49" s="675">
        <v>14803</v>
      </c>
      <c r="C49" s="675">
        <v>7</v>
      </c>
      <c r="D49" s="675">
        <v>2022</v>
      </c>
      <c r="E49" s="675">
        <v>6160</v>
      </c>
      <c r="F49" s="675">
        <v>0</v>
      </c>
      <c r="G49" s="675">
        <v>732.99599999999998</v>
      </c>
      <c r="H49" s="675">
        <v>687.37599999999998</v>
      </c>
      <c r="I49" s="675">
        <v>687.37599999999998</v>
      </c>
      <c r="J49" s="675">
        <v>732.99599999999998</v>
      </c>
      <c r="K49" s="675">
        <v>0</v>
      </c>
      <c r="L49" s="675">
        <v>6160</v>
      </c>
      <c r="M49" s="675">
        <v>0</v>
      </c>
      <c r="N49" s="675">
        <v>0</v>
      </c>
      <c r="O49" s="675">
        <v>0</v>
      </c>
      <c r="P49" s="675">
        <v>762.23900000000003</v>
      </c>
      <c r="Q49" s="675">
        <v>0</v>
      </c>
      <c r="R49" s="675">
        <v>306746</v>
      </c>
      <c r="S49" s="675">
        <v>402.428</v>
      </c>
      <c r="T49" s="675">
        <v>0</v>
      </c>
      <c r="U49" s="675">
        <v>163120</v>
      </c>
      <c r="V49" s="675">
        <v>42.85</v>
      </c>
      <c r="W49" s="675">
        <v>26395</v>
      </c>
      <c r="X49" s="675">
        <v>26395</v>
      </c>
      <c r="Y49" s="675">
        <v>0</v>
      </c>
      <c r="Z49" s="675">
        <v>0</v>
      </c>
      <c r="AA49" s="675">
        <v>0</v>
      </c>
      <c r="AB49" s="675">
        <v>0</v>
      </c>
      <c r="AC49" s="675">
        <v>0</v>
      </c>
      <c r="AD49" s="675" t="s">
        <v>316</v>
      </c>
      <c r="AE49" s="675">
        <v>0</v>
      </c>
      <c r="AF49" s="675">
        <v>0</v>
      </c>
      <c r="AG49" s="675">
        <v>0</v>
      </c>
      <c r="AH49" s="675">
        <v>0</v>
      </c>
      <c r="AI49" s="675">
        <v>0</v>
      </c>
      <c r="AJ49" s="675">
        <v>6160</v>
      </c>
      <c r="AK49" s="675" t="s">
        <v>671</v>
      </c>
      <c r="AL49" s="675" t="s">
        <v>317</v>
      </c>
      <c r="AM49" s="675">
        <v>0</v>
      </c>
      <c r="AN49" s="675">
        <v>0</v>
      </c>
      <c r="AO49" s="675">
        <v>0</v>
      </c>
      <c r="AP49" s="675">
        <v>0</v>
      </c>
      <c r="AQ49" s="675">
        <v>0</v>
      </c>
      <c r="AR49" s="675">
        <v>0</v>
      </c>
      <c r="AS49" s="675">
        <v>0</v>
      </c>
      <c r="AT49" s="675">
        <v>0</v>
      </c>
      <c r="AU49" s="675">
        <v>0</v>
      </c>
      <c r="AV49" s="675">
        <v>-116743</v>
      </c>
      <c r="AW49" s="675">
        <v>7429873</v>
      </c>
      <c r="AX49" s="675">
        <v>7303296</v>
      </c>
      <c r="AY49" s="675">
        <v>4916141</v>
      </c>
      <c r="AZ49" s="675">
        <v>306746</v>
      </c>
      <c r="BA49" s="675">
        <v>0</v>
      </c>
      <c r="BB49" s="675">
        <v>15523</v>
      </c>
      <c r="BC49" s="675">
        <v>15423</v>
      </c>
      <c r="BD49" s="675">
        <v>36</v>
      </c>
      <c r="BE49" s="675">
        <v>100</v>
      </c>
      <c r="BF49" s="675">
        <v>6695800</v>
      </c>
      <c r="BG49" s="675">
        <v>0</v>
      </c>
      <c r="BH49" s="675">
        <v>0</v>
      </c>
      <c r="BI49" s="675">
        <v>0</v>
      </c>
      <c r="BJ49" s="675">
        <v>12</v>
      </c>
      <c r="BK49" s="675">
        <v>0</v>
      </c>
      <c r="BL49" s="675">
        <v>0</v>
      </c>
      <c r="BM49" s="675">
        <v>0</v>
      </c>
      <c r="BN49" s="675">
        <v>0</v>
      </c>
      <c r="BO49" s="675">
        <v>0</v>
      </c>
      <c r="BP49" s="675">
        <v>0</v>
      </c>
      <c r="BQ49" s="675">
        <v>664</v>
      </c>
      <c r="BR49" s="675">
        <v>0</v>
      </c>
      <c r="BS49" s="675">
        <v>0</v>
      </c>
      <c r="BT49" s="675">
        <v>0</v>
      </c>
      <c r="BU49" s="675">
        <v>0</v>
      </c>
      <c r="BV49" s="675">
        <v>0</v>
      </c>
      <c r="BW49" s="675">
        <v>0</v>
      </c>
      <c r="BX49" s="675">
        <v>0</v>
      </c>
      <c r="BY49" s="675">
        <v>0</v>
      </c>
      <c r="BZ49" s="675">
        <v>0</v>
      </c>
      <c r="CA49" s="675">
        <v>0</v>
      </c>
      <c r="CB49" s="675">
        <v>0</v>
      </c>
      <c r="CC49" s="675">
        <v>0</v>
      </c>
      <c r="CD49" s="675">
        <v>0</v>
      </c>
      <c r="CE49" s="675">
        <v>0</v>
      </c>
      <c r="CF49" s="675">
        <v>0</v>
      </c>
      <c r="CG49" s="675">
        <v>0</v>
      </c>
      <c r="CH49" s="675">
        <v>129414</v>
      </c>
      <c r="CI49" s="675">
        <v>0</v>
      </c>
      <c r="CJ49" s="675">
        <v>4</v>
      </c>
      <c r="CK49" s="675">
        <v>0</v>
      </c>
      <c r="CL49" s="675">
        <v>0</v>
      </c>
      <c r="CM49" s="675">
        <v>0</v>
      </c>
      <c r="CN49" s="675">
        <v>0</v>
      </c>
      <c r="CO49" s="675">
        <v>1</v>
      </c>
      <c r="CP49" s="675">
        <v>0</v>
      </c>
      <c r="CQ49" s="675">
        <v>0</v>
      </c>
      <c r="CR49" s="675">
        <v>752.274</v>
      </c>
      <c r="CS49" s="675">
        <v>0</v>
      </c>
      <c r="CT49" s="675">
        <v>0</v>
      </c>
      <c r="CU49" s="675">
        <v>0</v>
      </c>
      <c r="CV49" s="675">
        <v>0</v>
      </c>
      <c r="CW49" s="675">
        <v>0</v>
      </c>
      <c r="CX49" s="675">
        <v>0</v>
      </c>
      <c r="CY49" s="675">
        <v>0</v>
      </c>
      <c r="CZ49" s="675">
        <v>0</v>
      </c>
      <c r="DA49" s="675">
        <v>0</v>
      </c>
      <c r="DB49" s="675">
        <v>4234217</v>
      </c>
      <c r="DC49" s="675">
        <v>0</v>
      </c>
      <c r="DD49" s="675">
        <v>0</v>
      </c>
      <c r="DE49" s="675">
        <v>724490</v>
      </c>
      <c r="DF49" s="675">
        <v>724490</v>
      </c>
      <c r="DG49" s="675">
        <v>117.613</v>
      </c>
      <c r="DH49" s="675">
        <v>0</v>
      </c>
      <c r="DI49" s="675">
        <v>0</v>
      </c>
      <c r="DJ49" s="675">
        <v>0</v>
      </c>
      <c r="DK49" s="675">
        <v>2249</v>
      </c>
      <c r="DL49" s="675">
        <v>0</v>
      </c>
      <c r="DM49" s="675">
        <v>727376</v>
      </c>
      <c r="DN49" s="675">
        <v>2736</v>
      </c>
      <c r="DO49" s="675">
        <v>0</v>
      </c>
      <c r="DP49" s="675">
        <v>0</v>
      </c>
      <c r="DQ49" s="675">
        <v>0</v>
      </c>
      <c r="DR49" s="675">
        <v>0</v>
      </c>
      <c r="DS49" s="675">
        <v>0</v>
      </c>
      <c r="DT49" s="675">
        <v>0</v>
      </c>
      <c r="DU49" s="675">
        <v>0</v>
      </c>
      <c r="DV49" s="675">
        <v>0</v>
      </c>
      <c r="DW49" s="675">
        <v>0</v>
      </c>
      <c r="DX49" s="675">
        <v>0</v>
      </c>
      <c r="DY49" s="675">
        <v>0</v>
      </c>
      <c r="DZ49" s="675">
        <v>0</v>
      </c>
      <c r="EA49" s="675">
        <v>0</v>
      </c>
      <c r="EB49" s="675">
        <v>0</v>
      </c>
      <c r="EC49" s="675">
        <v>6.7610000000000001</v>
      </c>
      <c r="ED49" s="675">
        <v>47895</v>
      </c>
      <c r="EE49" s="675">
        <v>0</v>
      </c>
      <c r="EF49" s="675">
        <v>0</v>
      </c>
      <c r="EG49" s="675">
        <v>0</v>
      </c>
      <c r="EH49" s="675">
        <v>682217</v>
      </c>
      <c r="EI49" s="675">
        <v>0</v>
      </c>
      <c r="EJ49" s="675">
        <v>0</v>
      </c>
      <c r="EK49" s="675">
        <v>33.995000000000005</v>
      </c>
      <c r="EL49" s="675">
        <v>0</v>
      </c>
      <c r="EM49" s="675">
        <v>0</v>
      </c>
      <c r="EN49" s="675">
        <v>1.7530000000000001</v>
      </c>
      <c r="EO49" s="675">
        <v>0</v>
      </c>
      <c r="EP49" s="675">
        <v>0</v>
      </c>
      <c r="EQ49" s="675">
        <v>35.748000000000005</v>
      </c>
      <c r="ER49" s="675">
        <v>0</v>
      </c>
      <c r="ES49" s="675">
        <v>110.75</v>
      </c>
      <c r="ET49" s="675">
        <v>0</v>
      </c>
      <c r="EU49" s="675">
        <v>0</v>
      </c>
      <c r="EV49" s="675">
        <v>0</v>
      </c>
      <c r="EW49" s="675">
        <v>0</v>
      </c>
      <c r="EX49" s="675">
        <v>0</v>
      </c>
      <c r="EY49" s="675">
        <v>0</v>
      </c>
      <c r="EZ49" s="675">
        <v>6481326</v>
      </c>
      <c r="FA49" s="675">
        <v>0</v>
      </c>
      <c r="FB49" s="675">
        <v>6785235</v>
      </c>
      <c r="FC49" s="675">
        <v>0</v>
      </c>
      <c r="FD49" s="675">
        <v>0</v>
      </c>
      <c r="FE49" s="675">
        <v>681100</v>
      </c>
      <c r="FF49" s="675">
        <v>140870</v>
      </c>
      <c r="FG49" s="675">
        <v>6.3574999999999993E-2</v>
      </c>
      <c r="FH49" s="675">
        <v>2.6297999999999998E-2</v>
      </c>
      <c r="FI49" s="675">
        <v>0</v>
      </c>
      <c r="FJ49" s="675">
        <v>0</v>
      </c>
      <c r="FK49" s="675">
        <v>1086.9860000000001</v>
      </c>
      <c r="FL49" s="675">
        <v>7736619</v>
      </c>
      <c r="FM49" s="675">
        <v>0</v>
      </c>
      <c r="FN49" s="675">
        <v>0</v>
      </c>
      <c r="FO49" s="675">
        <v>89474</v>
      </c>
      <c r="FP49" s="675">
        <v>0</v>
      </c>
      <c r="FQ49" s="675">
        <v>89474</v>
      </c>
      <c r="FR49" s="675">
        <v>89474</v>
      </c>
      <c r="FS49" s="675">
        <v>0</v>
      </c>
      <c r="FT49" s="675">
        <v>0</v>
      </c>
      <c r="FU49" s="675">
        <v>0</v>
      </c>
      <c r="FV49" s="675">
        <v>0</v>
      </c>
      <c r="FW49" s="675">
        <v>0</v>
      </c>
      <c r="FX49" s="675">
        <v>0</v>
      </c>
      <c r="FY49" s="675">
        <v>0</v>
      </c>
      <c r="FZ49" s="675">
        <v>0</v>
      </c>
      <c r="GA49" s="675">
        <v>0</v>
      </c>
      <c r="GB49" s="675">
        <v>92239</v>
      </c>
      <c r="GC49" s="675">
        <v>92239</v>
      </c>
      <c r="GD49" s="675">
        <v>9.8719999999999999</v>
      </c>
      <c r="GE49" s="675">
        <v>0</v>
      </c>
      <c r="GF49" s="675">
        <v>0</v>
      </c>
      <c r="GG49" s="675">
        <v>0</v>
      </c>
      <c r="GH49" s="675">
        <v>0</v>
      </c>
      <c r="GI49" s="675">
        <v>0</v>
      </c>
      <c r="GJ49" s="675">
        <v>0</v>
      </c>
      <c r="GK49" s="675">
        <v>0</v>
      </c>
      <c r="GL49" s="675">
        <v>0</v>
      </c>
      <c r="GM49" s="675">
        <v>0</v>
      </c>
      <c r="GN49" s="675">
        <v>0</v>
      </c>
      <c r="GO49" s="675">
        <v>0</v>
      </c>
      <c r="GP49" s="675">
        <v>0</v>
      </c>
      <c r="GQ49" s="675">
        <v>0</v>
      </c>
      <c r="GR49" s="675">
        <v>0</v>
      </c>
      <c r="GS49" s="675">
        <v>0</v>
      </c>
      <c r="GT49" s="675">
        <v>0</v>
      </c>
      <c r="GU49" s="675">
        <v>0</v>
      </c>
      <c r="GV49" s="675">
        <v>0</v>
      </c>
      <c r="GW49" s="675">
        <v>0</v>
      </c>
      <c r="GX49" s="675">
        <v>0</v>
      </c>
      <c r="GY49" s="675">
        <v>0</v>
      </c>
      <c r="GZ49" s="675">
        <v>0</v>
      </c>
      <c r="HA49" s="675">
        <v>0</v>
      </c>
      <c r="HB49" s="675">
        <v>308877260</v>
      </c>
      <c r="HC49" s="675">
        <v>4.4138999999999998E-2</v>
      </c>
      <c r="HD49" s="675">
        <v>129414</v>
      </c>
      <c r="HE49" s="675">
        <v>0</v>
      </c>
      <c r="HF49" s="675">
        <v>758176</v>
      </c>
      <c r="HG49" s="675">
        <v>14784</v>
      </c>
      <c r="HH49" s="675">
        <v>92739</v>
      </c>
      <c r="HI49" s="675">
        <v>0</v>
      </c>
      <c r="HJ49" s="675">
        <v>7125</v>
      </c>
      <c r="HK49" s="675">
        <v>1674</v>
      </c>
      <c r="HL49" s="675">
        <v>1124</v>
      </c>
      <c r="HM49" s="675">
        <v>0</v>
      </c>
      <c r="HN49" s="675">
        <v>0</v>
      </c>
      <c r="HO49" s="675">
        <v>0</v>
      </c>
      <c r="HP49" s="675">
        <v>0</v>
      </c>
      <c r="HQ49" s="675">
        <v>0</v>
      </c>
      <c r="HR49" s="675">
        <v>0</v>
      </c>
      <c r="HS49" s="675">
        <v>6478489</v>
      </c>
      <c r="HT49" s="675">
        <v>140870</v>
      </c>
      <c r="HU49" s="675">
        <v>0</v>
      </c>
      <c r="HV49" s="675">
        <v>0</v>
      </c>
      <c r="HW49" s="675">
        <v>0</v>
      </c>
      <c r="HX49" s="675">
        <v>158</v>
      </c>
      <c r="HY49" s="675">
        <v>95</v>
      </c>
      <c r="HZ49" s="675">
        <v>98</v>
      </c>
      <c r="IA49" s="675">
        <v>60</v>
      </c>
      <c r="IB49" s="675">
        <v>70</v>
      </c>
      <c r="IC49" s="675">
        <v>481</v>
      </c>
      <c r="ID49" s="675">
        <v>0</v>
      </c>
      <c r="IE49" s="675">
        <v>0</v>
      </c>
      <c r="IF49" s="675">
        <v>0</v>
      </c>
      <c r="IG49" s="675">
        <v>24</v>
      </c>
      <c r="IH49" s="675">
        <v>150.55100000000002</v>
      </c>
      <c r="II49" s="675">
        <v>0</v>
      </c>
      <c r="IJ49" s="675">
        <v>42.85</v>
      </c>
      <c r="IK49" s="675">
        <v>0</v>
      </c>
      <c r="IL49" s="675">
        <v>0</v>
      </c>
      <c r="IM49" s="675">
        <v>0</v>
      </c>
      <c r="IN49" s="675">
        <v>0</v>
      </c>
      <c r="IO49" s="675">
        <v>0</v>
      </c>
      <c r="IP49" s="675">
        <v>0</v>
      </c>
      <c r="IQ49" s="675">
        <v>42.85</v>
      </c>
      <c r="IR49" s="675">
        <v>26395</v>
      </c>
      <c r="IS49" s="675">
        <v>0</v>
      </c>
      <c r="IT49" s="675">
        <v>0</v>
      </c>
      <c r="IU49" s="675">
        <v>0</v>
      </c>
      <c r="IV49" s="675">
        <v>0</v>
      </c>
      <c r="IW49" s="675">
        <v>6160</v>
      </c>
      <c r="IX49" s="675">
        <v>0</v>
      </c>
      <c r="IY49" s="675">
        <v>0</v>
      </c>
      <c r="IZ49" s="675">
        <v>0</v>
      </c>
      <c r="JA49" s="675">
        <v>0</v>
      </c>
      <c r="JB49" s="675">
        <v>0</v>
      </c>
      <c r="JC49" s="675">
        <v>0</v>
      </c>
      <c r="JD49" s="675">
        <v>0</v>
      </c>
      <c r="JE49" s="675">
        <v>0</v>
      </c>
      <c r="JF49" s="675">
        <v>0</v>
      </c>
      <c r="JG49" s="675">
        <v>0</v>
      </c>
      <c r="JH49" s="675">
        <v>0</v>
      </c>
      <c r="JI49" s="675">
        <v>0</v>
      </c>
      <c r="JJ49" s="675">
        <v>0</v>
      </c>
      <c r="JK49" s="675">
        <v>0</v>
      </c>
      <c r="JL49" s="675">
        <v>0</v>
      </c>
      <c r="JM49" s="675">
        <v>0</v>
      </c>
      <c r="JN49" s="675">
        <v>32469</v>
      </c>
      <c r="JO49" s="675">
        <v>1.1910000000000001</v>
      </c>
      <c r="JP49" s="675">
        <v>7.21</v>
      </c>
      <c r="JQ49" s="675">
        <v>1.47</v>
      </c>
      <c r="JR49" s="675">
        <v>9515</v>
      </c>
      <c r="JS49" s="675">
        <v>67029</v>
      </c>
      <c r="JT49" s="675">
        <v>15695</v>
      </c>
      <c r="JU49" s="675">
        <v>15523</v>
      </c>
      <c r="JV49" s="675">
        <v>0</v>
      </c>
      <c r="JW49" s="675">
        <v>0</v>
      </c>
      <c r="JX49" s="675">
        <v>0</v>
      </c>
      <c r="JY49" s="675">
        <v>0</v>
      </c>
      <c r="JZ49" s="675">
        <v>0</v>
      </c>
      <c r="KA49" s="675">
        <v>0</v>
      </c>
      <c r="KB49" s="675">
        <v>0</v>
      </c>
      <c r="KC49" s="675">
        <v>0</v>
      </c>
      <c r="KD49" s="675">
        <v>15523</v>
      </c>
      <c r="KE49" s="675">
        <v>7263</v>
      </c>
      <c r="KF49" s="675">
        <v>0</v>
      </c>
      <c r="KG49" s="675">
        <v>0</v>
      </c>
      <c r="KH49" s="675">
        <v>0</v>
      </c>
      <c r="KI49" s="675">
        <v>0</v>
      </c>
    </row>
    <row r="50" spans="1:295" ht="12.5" x14ac:dyDescent="0.25">
      <c r="A50" s="675">
        <v>35795</v>
      </c>
      <c r="B50" s="675">
        <v>21803</v>
      </c>
      <c r="C50" s="675">
        <v>7</v>
      </c>
      <c r="D50" s="675">
        <v>2022</v>
      </c>
      <c r="E50" s="675">
        <v>6160</v>
      </c>
      <c r="F50" s="675">
        <v>0</v>
      </c>
      <c r="G50" s="675">
        <v>259.64600000000002</v>
      </c>
      <c r="H50" s="675">
        <v>252.90300000000002</v>
      </c>
      <c r="I50" s="675">
        <v>252.90300000000002</v>
      </c>
      <c r="J50" s="675">
        <v>259.64600000000002</v>
      </c>
      <c r="K50" s="675">
        <v>0</v>
      </c>
      <c r="L50" s="675">
        <v>6160</v>
      </c>
      <c r="M50" s="675">
        <v>0</v>
      </c>
      <c r="N50" s="675">
        <v>0</v>
      </c>
      <c r="O50" s="675">
        <v>0</v>
      </c>
      <c r="P50" s="675">
        <v>259.19300000000004</v>
      </c>
      <c r="Q50" s="675">
        <v>0</v>
      </c>
      <c r="R50" s="675">
        <v>104307</v>
      </c>
      <c r="S50" s="675">
        <v>402.428</v>
      </c>
      <c r="T50" s="675">
        <v>0</v>
      </c>
      <c r="U50" s="675">
        <v>55468</v>
      </c>
      <c r="V50" s="675">
        <v>101.52800000000001</v>
      </c>
      <c r="W50" s="675">
        <v>62541</v>
      </c>
      <c r="X50" s="675">
        <v>62541</v>
      </c>
      <c r="Y50" s="675">
        <v>0</v>
      </c>
      <c r="Z50" s="675">
        <v>0</v>
      </c>
      <c r="AA50" s="675">
        <v>0</v>
      </c>
      <c r="AB50" s="675">
        <v>0</v>
      </c>
      <c r="AC50" s="675">
        <v>0</v>
      </c>
      <c r="AD50" s="675" t="s">
        <v>316</v>
      </c>
      <c r="AE50" s="675">
        <v>0</v>
      </c>
      <c r="AF50" s="675">
        <v>0</v>
      </c>
      <c r="AG50" s="675">
        <v>0</v>
      </c>
      <c r="AH50" s="675">
        <v>0</v>
      </c>
      <c r="AI50" s="675">
        <v>0</v>
      </c>
      <c r="AJ50" s="675">
        <v>6160</v>
      </c>
      <c r="AK50" s="675" t="s">
        <v>671</v>
      </c>
      <c r="AL50" s="675" t="s">
        <v>41</v>
      </c>
      <c r="AM50" s="675">
        <v>0</v>
      </c>
      <c r="AN50" s="675">
        <v>0</v>
      </c>
      <c r="AO50" s="675">
        <v>0</v>
      </c>
      <c r="AP50" s="675">
        <v>0</v>
      </c>
      <c r="AQ50" s="675">
        <v>0</v>
      </c>
      <c r="AR50" s="675">
        <v>0</v>
      </c>
      <c r="AS50" s="675">
        <v>0</v>
      </c>
      <c r="AT50" s="675">
        <v>0</v>
      </c>
      <c r="AU50" s="675">
        <v>0</v>
      </c>
      <c r="AV50" s="675">
        <v>0</v>
      </c>
      <c r="AW50" s="675">
        <v>2955872</v>
      </c>
      <c r="AX50" s="675">
        <v>2910519</v>
      </c>
      <c r="AY50" s="675">
        <v>2060813</v>
      </c>
      <c r="AZ50" s="675">
        <v>104307</v>
      </c>
      <c r="BA50" s="675">
        <v>0</v>
      </c>
      <c r="BB50" s="675">
        <v>0</v>
      </c>
      <c r="BC50" s="675">
        <v>0</v>
      </c>
      <c r="BD50" s="675">
        <v>0</v>
      </c>
      <c r="BE50" s="675">
        <v>0</v>
      </c>
      <c r="BF50" s="675">
        <v>2685195</v>
      </c>
      <c r="BG50" s="675">
        <v>0</v>
      </c>
      <c r="BH50" s="675">
        <v>0</v>
      </c>
      <c r="BI50" s="675">
        <v>0</v>
      </c>
      <c r="BJ50" s="675">
        <v>12</v>
      </c>
      <c r="BK50" s="675">
        <v>0</v>
      </c>
      <c r="BL50" s="675">
        <v>0</v>
      </c>
      <c r="BM50" s="675">
        <v>0</v>
      </c>
      <c r="BN50" s="675">
        <v>0</v>
      </c>
      <c r="BO50" s="675">
        <v>0</v>
      </c>
      <c r="BP50" s="675">
        <v>0</v>
      </c>
      <c r="BQ50" s="675">
        <v>731</v>
      </c>
      <c r="BR50" s="675">
        <v>0</v>
      </c>
      <c r="BS50" s="675">
        <v>0</v>
      </c>
      <c r="BT50" s="675">
        <v>0</v>
      </c>
      <c r="BU50" s="675">
        <v>0</v>
      </c>
      <c r="BV50" s="675">
        <v>0</v>
      </c>
      <c r="BW50" s="675">
        <v>0</v>
      </c>
      <c r="BX50" s="675">
        <v>0</v>
      </c>
      <c r="BY50" s="675">
        <v>0</v>
      </c>
      <c r="BZ50" s="675">
        <v>0</v>
      </c>
      <c r="CA50" s="675">
        <v>0</v>
      </c>
      <c r="CB50" s="675">
        <v>0</v>
      </c>
      <c r="CC50" s="675">
        <v>0</v>
      </c>
      <c r="CD50" s="675">
        <v>0</v>
      </c>
      <c r="CE50" s="675">
        <v>0</v>
      </c>
      <c r="CF50" s="675">
        <v>0</v>
      </c>
      <c r="CG50" s="675">
        <v>0</v>
      </c>
      <c r="CH50" s="675">
        <v>45842</v>
      </c>
      <c r="CI50" s="675">
        <v>0</v>
      </c>
      <c r="CJ50" s="675">
        <v>4</v>
      </c>
      <c r="CK50" s="675">
        <v>0</v>
      </c>
      <c r="CL50" s="675">
        <v>0</v>
      </c>
      <c r="CM50" s="675">
        <v>0</v>
      </c>
      <c r="CN50" s="675">
        <v>0</v>
      </c>
      <c r="CO50" s="675">
        <v>1</v>
      </c>
      <c r="CP50" s="675">
        <v>0</v>
      </c>
      <c r="CQ50" s="675">
        <v>0</v>
      </c>
      <c r="CR50" s="675">
        <v>278.49400000000003</v>
      </c>
      <c r="CS50" s="675">
        <v>0</v>
      </c>
      <c r="CT50" s="675">
        <v>0</v>
      </c>
      <c r="CU50" s="675">
        <v>0</v>
      </c>
      <c r="CV50" s="675">
        <v>0</v>
      </c>
      <c r="CW50" s="675">
        <v>0</v>
      </c>
      <c r="CX50" s="675">
        <v>0</v>
      </c>
      <c r="CY50" s="675">
        <v>0</v>
      </c>
      <c r="CZ50" s="675">
        <v>0</v>
      </c>
      <c r="DA50" s="675">
        <v>0</v>
      </c>
      <c r="DB50" s="675">
        <v>1521465</v>
      </c>
      <c r="DC50" s="675">
        <v>0</v>
      </c>
      <c r="DD50" s="675">
        <v>0</v>
      </c>
      <c r="DE50" s="675">
        <v>529912</v>
      </c>
      <c r="DF50" s="675">
        <v>529912</v>
      </c>
      <c r="DG50" s="675">
        <v>86.025000000000006</v>
      </c>
      <c r="DH50" s="675">
        <v>0</v>
      </c>
      <c r="DI50" s="675">
        <v>0</v>
      </c>
      <c r="DJ50" s="675">
        <v>0</v>
      </c>
      <c r="DK50" s="675">
        <v>3319</v>
      </c>
      <c r="DL50" s="675">
        <v>0</v>
      </c>
      <c r="DM50" s="675">
        <v>166432</v>
      </c>
      <c r="DN50" s="675">
        <v>489</v>
      </c>
      <c r="DO50" s="675">
        <v>0</v>
      </c>
      <c r="DP50" s="675">
        <v>0</v>
      </c>
      <c r="DQ50" s="675">
        <v>0</v>
      </c>
      <c r="DR50" s="675">
        <v>0</v>
      </c>
      <c r="DS50" s="675">
        <v>0</v>
      </c>
      <c r="DT50" s="675">
        <v>0</v>
      </c>
      <c r="DU50" s="675">
        <v>0</v>
      </c>
      <c r="DV50" s="675">
        <v>0</v>
      </c>
      <c r="DW50" s="675">
        <v>0</v>
      </c>
      <c r="DX50" s="675">
        <v>0</v>
      </c>
      <c r="DY50" s="675">
        <v>0</v>
      </c>
      <c r="DZ50" s="675">
        <v>0</v>
      </c>
      <c r="EA50" s="675">
        <v>0</v>
      </c>
      <c r="EB50" s="675">
        <v>0</v>
      </c>
      <c r="EC50" s="675">
        <v>0</v>
      </c>
      <c r="ED50" s="675">
        <v>0</v>
      </c>
      <c r="EE50" s="675">
        <v>0</v>
      </c>
      <c r="EF50" s="675">
        <v>0</v>
      </c>
      <c r="EG50" s="675">
        <v>0</v>
      </c>
      <c r="EH50" s="675">
        <v>130511</v>
      </c>
      <c r="EI50" s="675">
        <v>0</v>
      </c>
      <c r="EJ50" s="675">
        <v>0</v>
      </c>
      <c r="EK50" s="675">
        <v>6.2640000000000002</v>
      </c>
      <c r="EL50" s="675">
        <v>0</v>
      </c>
      <c r="EM50" s="675">
        <v>0</v>
      </c>
      <c r="EN50" s="675">
        <v>0.47900000000000004</v>
      </c>
      <c r="EO50" s="675">
        <v>0</v>
      </c>
      <c r="EP50" s="675">
        <v>0</v>
      </c>
      <c r="EQ50" s="675">
        <v>6.7430000000000003</v>
      </c>
      <c r="ER50" s="675">
        <v>0</v>
      </c>
      <c r="ES50" s="675">
        <v>21.187000000000001</v>
      </c>
      <c r="ET50" s="675">
        <v>0</v>
      </c>
      <c r="EU50" s="675">
        <v>0</v>
      </c>
      <c r="EV50" s="675">
        <v>0</v>
      </c>
      <c r="EW50" s="675">
        <v>0</v>
      </c>
      <c r="EX50" s="675">
        <v>0</v>
      </c>
      <c r="EY50" s="675">
        <v>0</v>
      </c>
      <c r="EZ50" s="675">
        <v>2580888</v>
      </c>
      <c r="FA50" s="675">
        <v>0</v>
      </c>
      <c r="FB50" s="675">
        <v>2684706</v>
      </c>
      <c r="FC50" s="675">
        <v>0</v>
      </c>
      <c r="FD50" s="675">
        <v>0</v>
      </c>
      <c r="FE50" s="675">
        <v>273139</v>
      </c>
      <c r="FF50" s="675">
        <v>56492</v>
      </c>
      <c r="FG50" s="675">
        <v>6.3574999999999993E-2</v>
      </c>
      <c r="FH50" s="675">
        <v>2.6297999999999998E-2</v>
      </c>
      <c r="FI50" s="675">
        <v>0</v>
      </c>
      <c r="FJ50" s="675">
        <v>0</v>
      </c>
      <c r="FK50" s="675">
        <v>435.91</v>
      </c>
      <c r="FL50" s="675">
        <v>3060179</v>
      </c>
      <c r="FM50" s="675">
        <v>0</v>
      </c>
      <c r="FN50" s="675">
        <v>0</v>
      </c>
      <c r="FO50" s="675">
        <v>0</v>
      </c>
      <c r="FP50" s="675">
        <v>0</v>
      </c>
      <c r="FQ50" s="675">
        <v>0</v>
      </c>
      <c r="FR50" s="675">
        <v>0</v>
      </c>
      <c r="FS50" s="675">
        <v>0</v>
      </c>
      <c r="FT50" s="675">
        <v>0</v>
      </c>
      <c r="FU50" s="675">
        <v>0</v>
      </c>
      <c r="FV50" s="675">
        <v>0</v>
      </c>
      <c r="FW50" s="675">
        <v>0</v>
      </c>
      <c r="FX50" s="675">
        <v>0</v>
      </c>
      <c r="FY50" s="675">
        <v>0</v>
      </c>
      <c r="FZ50" s="675">
        <v>0</v>
      </c>
      <c r="GA50" s="675">
        <v>0</v>
      </c>
      <c r="GB50" s="675">
        <v>0</v>
      </c>
      <c r="GC50" s="675">
        <v>0</v>
      </c>
      <c r="GD50" s="675">
        <v>0</v>
      </c>
      <c r="GE50" s="675">
        <v>0</v>
      </c>
      <c r="GF50" s="675">
        <v>0</v>
      </c>
      <c r="GG50" s="675">
        <v>0</v>
      </c>
      <c r="GH50" s="675">
        <v>0</v>
      </c>
      <c r="GI50" s="675">
        <v>0</v>
      </c>
      <c r="GJ50" s="675">
        <v>0</v>
      </c>
      <c r="GK50" s="675">
        <v>0</v>
      </c>
      <c r="GL50" s="675">
        <v>0</v>
      </c>
      <c r="GM50" s="675">
        <v>0</v>
      </c>
      <c r="GN50" s="675">
        <v>0</v>
      </c>
      <c r="GO50" s="675">
        <v>0</v>
      </c>
      <c r="GP50" s="675">
        <v>0</v>
      </c>
      <c r="GQ50" s="675">
        <v>0</v>
      </c>
      <c r="GR50" s="675">
        <v>0</v>
      </c>
      <c r="GS50" s="675">
        <v>0</v>
      </c>
      <c r="GT50" s="675">
        <v>0</v>
      </c>
      <c r="GU50" s="675">
        <v>0</v>
      </c>
      <c r="GV50" s="675">
        <v>0</v>
      </c>
      <c r="GW50" s="675">
        <v>0</v>
      </c>
      <c r="GX50" s="675">
        <v>0</v>
      </c>
      <c r="GY50" s="675">
        <v>0</v>
      </c>
      <c r="GZ50" s="675">
        <v>0</v>
      </c>
      <c r="HA50" s="675">
        <v>0</v>
      </c>
      <c r="HB50" s="675">
        <v>308877260</v>
      </c>
      <c r="HC50" s="675">
        <v>4.4138999999999998E-2</v>
      </c>
      <c r="HD50" s="675">
        <v>45842</v>
      </c>
      <c r="HE50" s="675">
        <v>0</v>
      </c>
      <c r="HF50" s="675">
        <v>278952</v>
      </c>
      <c r="HG50" s="675">
        <v>1925</v>
      </c>
      <c r="HH50" s="675">
        <v>120955</v>
      </c>
      <c r="HI50" s="675">
        <v>0</v>
      </c>
      <c r="HJ50" s="675">
        <v>2524</v>
      </c>
      <c r="HK50" s="675">
        <v>0</v>
      </c>
      <c r="HL50" s="675">
        <v>0</v>
      </c>
      <c r="HM50" s="675">
        <v>0</v>
      </c>
      <c r="HN50" s="675">
        <v>0</v>
      </c>
      <c r="HO50" s="675">
        <v>0</v>
      </c>
      <c r="HP50" s="675">
        <v>0</v>
      </c>
      <c r="HQ50" s="675">
        <v>0</v>
      </c>
      <c r="HR50" s="675">
        <v>0</v>
      </c>
      <c r="HS50" s="675">
        <v>2580399</v>
      </c>
      <c r="HT50" s="675">
        <v>56492</v>
      </c>
      <c r="HU50" s="675">
        <v>0</v>
      </c>
      <c r="HV50" s="675">
        <v>0</v>
      </c>
      <c r="HW50" s="675">
        <v>0</v>
      </c>
      <c r="HX50" s="675">
        <v>21</v>
      </c>
      <c r="HY50" s="675">
        <v>26</v>
      </c>
      <c r="HZ50" s="675">
        <v>34</v>
      </c>
      <c r="IA50" s="675">
        <v>126</v>
      </c>
      <c r="IB50" s="675">
        <v>122</v>
      </c>
      <c r="IC50" s="675">
        <v>329</v>
      </c>
      <c r="ID50" s="675">
        <v>0</v>
      </c>
      <c r="IE50" s="675">
        <v>0</v>
      </c>
      <c r="IF50" s="675">
        <v>0</v>
      </c>
      <c r="IG50" s="675">
        <v>3.125</v>
      </c>
      <c r="IH50" s="675">
        <v>196.35600000000002</v>
      </c>
      <c r="II50" s="675">
        <v>0</v>
      </c>
      <c r="IJ50" s="675">
        <v>101.52800000000001</v>
      </c>
      <c r="IK50" s="675">
        <v>0</v>
      </c>
      <c r="IL50" s="675">
        <v>0</v>
      </c>
      <c r="IM50" s="675">
        <v>0</v>
      </c>
      <c r="IN50" s="675">
        <v>0</v>
      </c>
      <c r="IO50" s="675">
        <v>0</v>
      </c>
      <c r="IP50" s="675">
        <v>0</v>
      </c>
      <c r="IQ50" s="675">
        <v>101.52800000000001</v>
      </c>
      <c r="IR50" s="675">
        <v>62541</v>
      </c>
      <c r="IS50" s="675">
        <v>0</v>
      </c>
      <c r="IT50" s="675">
        <v>0</v>
      </c>
      <c r="IU50" s="675">
        <v>0</v>
      </c>
      <c r="IV50" s="675">
        <v>0</v>
      </c>
      <c r="IW50" s="675">
        <v>6160</v>
      </c>
      <c r="IX50" s="675">
        <v>0</v>
      </c>
      <c r="IY50" s="675">
        <v>0</v>
      </c>
      <c r="IZ50" s="675">
        <v>0</v>
      </c>
      <c r="JA50" s="675">
        <v>0</v>
      </c>
      <c r="JB50" s="675">
        <v>0</v>
      </c>
      <c r="JC50" s="675">
        <v>0</v>
      </c>
      <c r="JD50" s="675">
        <v>0</v>
      </c>
      <c r="JE50" s="675">
        <v>0</v>
      </c>
      <c r="JF50" s="675">
        <v>0</v>
      </c>
      <c r="JG50" s="675">
        <v>0</v>
      </c>
      <c r="JH50" s="675">
        <v>0</v>
      </c>
      <c r="JI50" s="675">
        <v>0</v>
      </c>
      <c r="JJ50" s="675">
        <v>0</v>
      </c>
      <c r="JK50" s="675">
        <v>0</v>
      </c>
      <c r="JL50" s="675">
        <v>0</v>
      </c>
      <c r="JM50" s="675">
        <v>0</v>
      </c>
      <c r="JN50" s="675">
        <v>32469</v>
      </c>
      <c r="JO50" s="675">
        <v>0</v>
      </c>
      <c r="JP50" s="675">
        <v>0</v>
      </c>
      <c r="JQ50" s="675">
        <v>0</v>
      </c>
      <c r="JR50" s="675">
        <v>0</v>
      </c>
      <c r="JS50" s="675">
        <v>0</v>
      </c>
      <c r="JT50" s="675">
        <v>0</v>
      </c>
      <c r="JU50" s="675">
        <v>0</v>
      </c>
      <c r="JV50" s="675">
        <v>0</v>
      </c>
      <c r="JW50" s="675">
        <v>0</v>
      </c>
      <c r="JX50" s="675">
        <v>0</v>
      </c>
      <c r="JY50" s="675">
        <v>0</v>
      </c>
      <c r="JZ50" s="675">
        <v>0</v>
      </c>
      <c r="KA50" s="675">
        <v>0</v>
      </c>
      <c r="KB50" s="675">
        <v>0</v>
      </c>
      <c r="KC50" s="675">
        <v>0</v>
      </c>
      <c r="KD50" s="675">
        <v>0</v>
      </c>
      <c r="KE50" s="675">
        <v>7263</v>
      </c>
      <c r="KF50" s="675">
        <v>0</v>
      </c>
      <c r="KG50" s="675">
        <v>0</v>
      </c>
      <c r="KH50" s="675">
        <v>0</v>
      </c>
      <c r="KI50" s="675">
        <v>0</v>
      </c>
    </row>
    <row r="51" spans="1:295" ht="12.5" x14ac:dyDescent="0.25">
      <c r="A51" s="675">
        <v>35795</v>
      </c>
      <c r="B51" s="675">
        <v>57803</v>
      </c>
      <c r="C51" s="675">
        <v>7</v>
      </c>
      <c r="D51" s="675">
        <v>2022</v>
      </c>
      <c r="E51" s="675">
        <v>6160</v>
      </c>
      <c r="F51" s="675">
        <v>0</v>
      </c>
      <c r="G51" s="675">
        <v>20594.903999999999</v>
      </c>
      <c r="H51" s="675">
        <v>18885.714</v>
      </c>
      <c r="I51" s="675">
        <v>18885.714</v>
      </c>
      <c r="J51" s="675">
        <v>20594.903999999999</v>
      </c>
      <c r="K51" s="675">
        <v>0</v>
      </c>
      <c r="L51" s="675">
        <v>6160</v>
      </c>
      <c r="M51" s="675">
        <v>0</v>
      </c>
      <c r="N51" s="675">
        <v>0</v>
      </c>
      <c r="O51" s="675">
        <v>0</v>
      </c>
      <c r="P51" s="675">
        <v>20108.472000000002</v>
      </c>
      <c r="Q51" s="675">
        <v>0</v>
      </c>
      <c r="R51" s="675">
        <v>8092212</v>
      </c>
      <c r="S51" s="675">
        <v>402.428</v>
      </c>
      <c r="T51" s="675">
        <v>0</v>
      </c>
      <c r="U51" s="675">
        <v>4303239</v>
      </c>
      <c r="V51" s="675">
        <v>6119.018</v>
      </c>
      <c r="W51" s="675">
        <v>3769298</v>
      </c>
      <c r="X51" s="675">
        <v>3769298</v>
      </c>
      <c r="Y51" s="675">
        <v>0</v>
      </c>
      <c r="Z51" s="675">
        <v>0</v>
      </c>
      <c r="AA51" s="675">
        <v>0</v>
      </c>
      <c r="AB51" s="675">
        <v>0</v>
      </c>
      <c r="AC51" s="675">
        <v>0</v>
      </c>
      <c r="AD51" s="675" t="s">
        <v>316</v>
      </c>
      <c r="AE51" s="675">
        <v>0</v>
      </c>
      <c r="AF51" s="675">
        <v>0</v>
      </c>
      <c r="AG51" s="675">
        <v>0</v>
      </c>
      <c r="AH51" s="675">
        <v>0</v>
      </c>
      <c r="AI51" s="675">
        <v>0</v>
      </c>
      <c r="AJ51" s="675">
        <v>6160</v>
      </c>
      <c r="AK51" s="675" t="s">
        <v>671</v>
      </c>
      <c r="AL51" s="675" t="s">
        <v>386</v>
      </c>
      <c r="AM51" s="675">
        <v>0</v>
      </c>
      <c r="AN51" s="675">
        <v>0</v>
      </c>
      <c r="AO51" s="675">
        <v>0</v>
      </c>
      <c r="AP51" s="675">
        <v>0</v>
      </c>
      <c r="AQ51" s="675">
        <v>0</v>
      </c>
      <c r="AR51" s="675">
        <v>0</v>
      </c>
      <c r="AS51" s="675">
        <v>0</v>
      </c>
      <c r="AT51" s="675">
        <v>0</v>
      </c>
      <c r="AU51" s="675">
        <v>0</v>
      </c>
      <c r="AV51" s="675">
        <v>-14373</v>
      </c>
      <c r="AW51" s="675">
        <v>216815302</v>
      </c>
      <c r="AX51" s="675">
        <v>213228683</v>
      </c>
      <c r="AY51" s="675">
        <v>142858351</v>
      </c>
      <c r="AZ51" s="675">
        <v>8092212</v>
      </c>
      <c r="BA51" s="675">
        <v>0</v>
      </c>
      <c r="BB51" s="675">
        <v>0</v>
      </c>
      <c r="BC51" s="675">
        <v>0</v>
      </c>
      <c r="BD51" s="675">
        <v>0</v>
      </c>
      <c r="BE51" s="675">
        <v>0</v>
      </c>
      <c r="BF51" s="675">
        <v>196643355</v>
      </c>
      <c r="BG51" s="675">
        <v>0</v>
      </c>
      <c r="BH51" s="675">
        <v>0</v>
      </c>
      <c r="BI51" s="675">
        <v>0</v>
      </c>
      <c r="BJ51" s="675">
        <v>12</v>
      </c>
      <c r="BK51" s="675">
        <v>0</v>
      </c>
      <c r="BL51" s="675">
        <v>0</v>
      </c>
      <c r="BM51" s="675">
        <v>0</v>
      </c>
      <c r="BN51" s="675">
        <v>0</v>
      </c>
      <c r="BO51" s="675">
        <v>0</v>
      </c>
      <c r="BP51" s="675">
        <v>0</v>
      </c>
      <c r="BQ51" s="675">
        <v>0</v>
      </c>
      <c r="BR51" s="675">
        <v>0</v>
      </c>
      <c r="BS51" s="675">
        <v>0</v>
      </c>
      <c r="BT51" s="675">
        <v>0</v>
      </c>
      <c r="BU51" s="675">
        <v>0</v>
      </c>
      <c r="BV51" s="675">
        <v>0</v>
      </c>
      <c r="BW51" s="675">
        <v>0</v>
      </c>
      <c r="BX51" s="675">
        <v>0</v>
      </c>
      <c r="BY51" s="675">
        <v>0</v>
      </c>
      <c r="BZ51" s="675">
        <v>0</v>
      </c>
      <c r="CA51" s="675">
        <v>512.02800000000002</v>
      </c>
      <c r="CB51" s="675">
        <v>436643</v>
      </c>
      <c r="CC51" s="675">
        <v>0</v>
      </c>
      <c r="CD51" s="675">
        <v>0</v>
      </c>
      <c r="CE51" s="675">
        <v>0</v>
      </c>
      <c r="CF51" s="675">
        <v>0</v>
      </c>
      <c r="CG51" s="675">
        <v>0</v>
      </c>
      <c r="CH51" s="675">
        <v>3636144</v>
      </c>
      <c r="CI51" s="675">
        <v>0</v>
      </c>
      <c r="CJ51" s="675">
        <v>4</v>
      </c>
      <c r="CK51" s="675">
        <v>0</v>
      </c>
      <c r="CL51" s="675">
        <v>0</v>
      </c>
      <c r="CM51" s="675">
        <v>0</v>
      </c>
      <c r="CN51" s="675">
        <v>0</v>
      </c>
      <c r="CO51" s="675">
        <v>1</v>
      </c>
      <c r="CP51" s="675">
        <v>0</v>
      </c>
      <c r="CQ51" s="675">
        <v>0</v>
      </c>
      <c r="CR51" s="675">
        <v>19754.439999999999</v>
      </c>
      <c r="CS51" s="675">
        <v>0</v>
      </c>
      <c r="CT51" s="675">
        <v>0</v>
      </c>
      <c r="CU51" s="675">
        <v>0</v>
      </c>
      <c r="CV51" s="675">
        <v>0</v>
      </c>
      <c r="CW51" s="675">
        <v>0</v>
      </c>
      <c r="CX51" s="675">
        <v>0</v>
      </c>
      <c r="CY51" s="675">
        <v>0</v>
      </c>
      <c r="CZ51" s="675">
        <v>0</v>
      </c>
      <c r="DA51" s="675">
        <v>0</v>
      </c>
      <c r="DB51" s="675">
        <v>116335459</v>
      </c>
      <c r="DC51" s="675">
        <v>0</v>
      </c>
      <c r="DD51" s="675">
        <v>0</v>
      </c>
      <c r="DE51" s="675">
        <v>25684463</v>
      </c>
      <c r="DF51" s="675">
        <v>25684463</v>
      </c>
      <c r="DG51" s="675">
        <v>4169.5749999999998</v>
      </c>
      <c r="DH51" s="675">
        <v>0</v>
      </c>
      <c r="DI51" s="675">
        <v>0</v>
      </c>
      <c r="DJ51" s="675">
        <v>0</v>
      </c>
      <c r="DK51" s="675">
        <v>0</v>
      </c>
      <c r="DL51" s="675">
        <v>0</v>
      </c>
      <c r="DM51" s="675">
        <v>13165138</v>
      </c>
      <c r="DN51" s="675">
        <v>49525</v>
      </c>
      <c r="DO51" s="675">
        <v>0</v>
      </c>
      <c r="DP51" s="675">
        <v>0</v>
      </c>
      <c r="DQ51" s="675">
        <v>0</v>
      </c>
      <c r="DR51" s="675">
        <v>0</v>
      </c>
      <c r="DS51" s="675">
        <v>0</v>
      </c>
      <c r="DT51" s="675">
        <v>0</v>
      </c>
      <c r="DU51" s="675">
        <v>0</v>
      </c>
      <c r="DV51" s="675">
        <v>0</v>
      </c>
      <c r="DW51" s="675">
        <v>0</v>
      </c>
      <c r="DX51" s="675">
        <v>0</v>
      </c>
      <c r="DY51" s="675">
        <v>0</v>
      </c>
      <c r="DZ51" s="675">
        <v>0</v>
      </c>
      <c r="EA51" s="675">
        <v>0.89300000000000002</v>
      </c>
      <c r="EB51" s="675">
        <v>0</v>
      </c>
      <c r="EC51" s="675">
        <v>296.67700000000002</v>
      </c>
      <c r="ED51" s="675">
        <v>2101650</v>
      </c>
      <c r="EE51" s="675">
        <v>0</v>
      </c>
      <c r="EF51" s="675">
        <v>0</v>
      </c>
      <c r="EG51" s="675">
        <v>0</v>
      </c>
      <c r="EH51" s="675">
        <v>11113013</v>
      </c>
      <c r="EI51" s="675">
        <v>0</v>
      </c>
      <c r="EJ51" s="675">
        <v>0</v>
      </c>
      <c r="EK51" s="675">
        <v>410.15899999999999</v>
      </c>
      <c r="EL51" s="675">
        <v>0.58700000000000008</v>
      </c>
      <c r="EM51" s="675">
        <v>130.56399999999999</v>
      </c>
      <c r="EN51" s="675">
        <v>35.487000000000002</v>
      </c>
      <c r="EO51" s="675">
        <v>0</v>
      </c>
      <c r="EP51" s="675">
        <v>0</v>
      </c>
      <c r="EQ51" s="675">
        <v>577.10300000000007</v>
      </c>
      <c r="ER51" s="675">
        <v>0</v>
      </c>
      <c r="ES51" s="675">
        <v>1804.0690000000002</v>
      </c>
      <c r="ET51" s="675">
        <v>0</v>
      </c>
      <c r="EU51" s="675">
        <v>0</v>
      </c>
      <c r="EV51" s="675">
        <v>0</v>
      </c>
      <c r="EW51" s="675">
        <v>0</v>
      </c>
      <c r="EX51" s="675">
        <v>0</v>
      </c>
      <c r="EY51" s="675">
        <v>0</v>
      </c>
      <c r="EZ51" s="675">
        <v>189088947</v>
      </c>
      <c r="FA51" s="675">
        <v>0</v>
      </c>
      <c r="FB51" s="675">
        <v>197131634</v>
      </c>
      <c r="FC51" s="675">
        <v>0</v>
      </c>
      <c r="FD51" s="675">
        <v>0</v>
      </c>
      <c r="FE51" s="675">
        <v>20002655</v>
      </c>
      <c r="FF51" s="675">
        <v>4137081</v>
      </c>
      <c r="FG51" s="675">
        <v>6.3574999999999993E-2</v>
      </c>
      <c r="FH51" s="675">
        <v>2.6297999999999998E-2</v>
      </c>
      <c r="FI51" s="675">
        <v>0</v>
      </c>
      <c r="FJ51" s="675">
        <v>0</v>
      </c>
      <c r="FK51" s="675">
        <v>31922.771000000001</v>
      </c>
      <c r="FL51" s="675">
        <v>224907514</v>
      </c>
      <c r="FM51" s="675">
        <v>0</v>
      </c>
      <c r="FN51" s="675">
        <v>0</v>
      </c>
      <c r="FO51" s="675">
        <v>0</v>
      </c>
      <c r="FP51" s="675">
        <v>0</v>
      </c>
      <c r="FQ51" s="675">
        <v>0</v>
      </c>
      <c r="FR51" s="675">
        <v>0</v>
      </c>
      <c r="FS51" s="675">
        <v>0</v>
      </c>
      <c r="FT51" s="675">
        <v>0</v>
      </c>
      <c r="FU51" s="675">
        <v>1</v>
      </c>
      <c r="FV51" s="675">
        <v>0</v>
      </c>
      <c r="FW51" s="675">
        <v>0</v>
      </c>
      <c r="FX51" s="675">
        <v>0</v>
      </c>
      <c r="FY51" s="675">
        <v>0</v>
      </c>
      <c r="FZ51" s="675">
        <v>0</v>
      </c>
      <c r="GA51" s="675">
        <v>0</v>
      </c>
      <c r="GB51" s="675">
        <v>9833426</v>
      </c>
      <c r="GC51" s="675">
        <v>9833426</v>
      </c>
      <c r="GD51" s="675">
        <v>1132.087</v>
      </c>
      <c r="GE51" s="675">
        <v>0</v>
      </c>
      <c r="GF51" s="675">
        <v>0</v>
      </c>
      <c r="GG51" s="675">
        <v>0</v>
      </c>
      <c r="GH51" s="675">
        <v>0</v>
      </c>
      <c r="GI51" s="675">
        <v>0</v>
      </c>
      <c r="GJ51" s="675">
        <v>0</v>
      </c>
      <c r="GK51" s="675">
        <v>0</v>
      </c>
      <c r="GL51" s="675">
        <v>0</v>
      </c>
      <c r="GM51" s="675">
        <v>0</v>
      </c>
      <c r="GN51" s="675">
        <v>0</v>
      </c>
      <c r="GO51" s="675">
        <v>0</v>
      </c>
      <c r="GP51" s="675">
        <v>0</v>
      </c>
      <c r="GQ51" s="675">
        <v>0</v>
      </c>
      <c r="GR51" s="675">
        <v>0</v>
      </c>
      <c r="GS51" s="675">
        <v>0</v>
      </c>
      <c r="GT51" s="675">
        <v>0</v>
      </c>
      <c r="GU51" s="675">
        <v>0</v>
      </c>
      <c r="GV51" s="675">
        <v>0</v>
      </c>
      <c r="GW51" s="675">
        <v>0</v>
      </c>
      <c r="GX51" s="675">
        <v>0</v>
      </c>
      <c r="GY51" s="675">
        <v>0</v>
      </c>
      <c r="GZ51" s="675">
        <v>0</v>
      </c>
      <c r="HA51" s="675">
        <v>0</v>
      </c>
      <c r="HB51" s="675">
        <v>308877260</v>
      </c>
      <c r="HC51" s="675">
        <v>4.4138999999999998E-2</v>
      </c>
      <c r="HD51" s="675">
        <v>3636144</v>
      </c>
      <c r="HE51" s="675">
        <v>0</v>
      </c>
      <c r="HF51" s="675">
        <v>20830943</v>
      </c>
      <c r="HG51" s="675">
        <v>259335</v>
      </c>
      <c r="HH51" s="675">
        <v>4494201</v>
      </c>
      <c r="HI51" s="675">
        <v>0</v>
      </c>
      <c r="HJ51" s="675">
        <v>200182</v>
      </c>
      <c r="HK51" s="675">
        <v>54873</v>
      </c>
      <c r="HL51" s="675">
        <v>46288</v>
      </c>
      <c r="HM51" s="675">
        <v>638000</v>
      </c>
      <c r="HN51" s="675">
        <v>1284385</v>
      </c>
      <c r="HO51" s="675">
        <v>99000</v>
      </c>
      <c r="HP51" s="675">
        <v>0</v>
      </c>
      <c r="HQ51" s="675">
        <v>0</v>
      </c>
      <c r="HR51" s="675">
        <v>0</v>
      </c>
      <c r="HS51" s="675">
        <v>189039422</v>
      </c>
      <c r="HT51" s="675">
        <v>4137081</v>
      </c>
      <c r="HU51" s="675">
        <v>0</v>
      </c>
      <c r="HV51" s="675">
        <v>0</v>
      </c>
      <c r="HW51" s="675">
        <v>0</v>
      </c>
      <c r="HX51" s="675">
        <v>1582</v>
      </c>
      <c r="HY51" s="675">
        <v>2073</v>
      </c>
      <c r="HZ51" s="675">
        <v>2715</v>
      </c>
      <c r="IA51" s="675">
        <v>4219</v>
      </c>
      <c r="IB51" s="675">
        <v>5582</v>
      </c>
      <c r="IC51" s="675">
        <v>16171</v>
      </c>
      <c r="ID51" s="675">
        <v>0</v>
      </c>
      <c r="IE51" s="675">
        <v>0</v>
      </c>
      <c r="IF51" s="675">
        <v>0</v>
      </c>
      <c r="IG51" s="675">
        <v>421</v>
      </c>
      <c r="IH51" s="675">
        <v>7295.8140000000003</v>
      </c>
      <c r="II51" s="675">
        <v>0</v>
      </c>
      <c r="IJ51" s="675">
        <v>6119.018</v>
      </c>
      <c r="IK51" s="675">
        <v>0</v>
      </c>
      <c r="IL51" s="675">
        <v>93</v>
      </c>
      <c r="IM51" s="675">
        <v>55</v>
      </c>
      <c r="IN51" s="675">
        <v>4</v>
      </c>
      <c r="IO51" s="675">
        <v>152</v>
      </c>
      <c r="IP51" s="675">
        <v>0</v>
      </c>
      <c r="IQ51" s="675">
        <v>6119.018</v>
      </c>
      <c r="IR51" s="675">
        <v>3769298</v>
      </c>
      <c r="IS51" s="675">
        <v>0</v>
      </c>
      <c r="IT51" s="675">
        <v>465000</v>
      </c>
      <c r="IU51" s="675">
        <v>165000</v>
      </c>
      <c r="IV51" s="675">
        <v>8000</v>
      </c>
      <c r="IW51" s="675">
        <v>6160</v>
      </c>
      <c r="IX51" s="675">
        <v>0</v>
      </c>
      <c r="IY51" s="675">
        <v>0</v>
      </c>
      <c r="IZ51" s="675">
        <v>0</v>
      </c>
      <c r="JA51" s="675">
        <v>0</v>
      </c>
      <c r="JB51" s="675">
        <v>15</v>
      </c>
      <c r="JC51" s="675">
        <v>280280</v>
      </c>
      <c r="JD51" s="675">
        <v>50</v>
      </c>
      <c r="JE51" s="675">
        <v>575675</v>
      </c>
      <c r="JF51" s="675">
        <v>59</v>
      </c>
      <c r="JG51" s="675">
        <v>359930</v>
      </c>
      <c r="JH51" s="675">
        <v>68500</v>
      </c>
      <c r="JI51" s="675">
        <v>0</v>
      </c>
      <c r="JJ51" s="675">
        <v>0</v>
      </c>
      <c r="JK51" s="675">
        <v>0</v>
      </c>
      <c r="JL51" s="675">
        <v>0</v>
      </c>
      <c r="JM51" s="675">
        <v>0</v>
      </c>
      <c r="JN51" s="675">
        <v>32469</v>
      </c>
      <c r="JO51" s="675">
        <v>652.66300000000001</v>
      </c>
      <c r="JP51" s="675">
        <v>361.97</v>
      </c>
      <c r="JQ51" s="675">
        <v>117.453</v>
      </c>
      <c r="JR51" s="675">
        <v>5214321</v>
      </c>
      <c r="JS51" s="675">
        <v>3365105</v>
      </c>
      <c r="JT51" s="675">
        <v>1254000</v>
      </c>
      <c r="JU51" s="675">
        <v>0</v>
      </c>
      <c r="JV51" s="675">
        <v>0</v>
      </c>
      <c r="JW51" s="675">
        <v>0</v>
      </c>
      <c r="JX51" s="675">
        <v>0</v>
      </c>
      <c r="JY51" s="675">
        <v>0</v>
      </c>
      <c r="JZ51" s="675">
        <v>0</v>
      </c>
      <c r="KA51" s="675">
        <v>0</v>
      </c>
      <c r="KB51" s="675">
        <v>0</v>
      </c>
      <c r="KC51" s="675">
        <v>0</v>
      </c>
      <c r="KD51" s="675">
        <v>0</v>
      </c>
      <c r="KE51" s="675">
        <v>7263</v>
      </c>
      <c r="KF51" s="675">
        <v>0</v>
      </c>
      <c r="KG51" s="675">
        <v>0</v>
      </c>
      <c r="KH51" s="675">
        <v>0</v>
      </c>
      <c r="KI51" s="675">
        <v>0</v>
      </c>
    </row>
    <row r="52" spans="1:295" ht="12.5" x14ac:dyDescent="0.25">
      <c r="A52" s="675">
        <v>35795</v>
      </c>
      <c r="B52" s="675">
        <v>68803</v>
      </c>
      <c r="C52" s="675">
        <v>7</v>
      </c>
      <c r="D52" s="675">
        <v>2022</v>
      </c>
      <c r="E52" s="675">
        <v>6160</v>
      </c>
      <c r="F52" s="675">
        <v>0</v>
      </c>
      <c r="G52" s="675">
        <v>715.77100000000007</v>
      </c>
      <c r="H52" s="675">
        <v>637.87800000000004</v>
      </c>
      <c r="I52" s="675">
        <v>637.87800000000004</v>
      </c>
      <c r="J52" s="675">
        <v>715.77100000000007</v>
      </c>
      <c r="K52" s="675">
        <v>0</v>
      </c>
      <c r="L52" s="675">
        <v>6160</v>
      </c>
      <c r="M52" s="675">
        <v>0</v>
      </c>
      <c r="N52" s="675">
        <v>0</v>
      </c>
      <c r="O52" s="675">
        <v>0</v>
      </c>
      <c r="P52" s="675">
        <v>747.59500000000003</v>
      </c>
      <c r="Q52" s="675">
        <v>0</v>
      </c>
      <c r="R52" s="675">
        <v>300853</v>
      </c>
      <c r="S52" s="675">
        <v>402.428</v>
      </c>
      <c r="T52" s="675">
        <v>0</v>
      </c>
      <c r="U52" s="675">
        <v>159986</v>
      </c>
      <c r="V52" s="675">
        <v>4.4249999999999998</v>
      </c>
      <c r="W52" s="675">
        <v>2726</v>
      </c>
      <c r="X52" s="675">
        <v>2726</v>
      </c>
      <c r="Y52" s="675">
        <v>0</v>
      </c>
      <c r="Z52" s="675">
        <v>0</v>
      </c>
      <c r="AA52" s="675">
        <v>0</v>
      </c>
      <c r="AB52" s="675">
        <v>0</v>
      </c>
      <c r="AC52" s="675">
        <v>0</v>
      </c>
      <c r="AD52" s="675" t="s">
        <v>316</v>
      </c>
      <c r="AE52" s="675">
        <v>0</v>
      </c>
      <c r="AF52" s="675">
        <v>0</v>
      </c>
      <c r="AG52" s="675">
        <v>0</v>
      </c>
      <c r="AH52" s="675">
        <v>0</v>
      </c>
      <c r="AI52" s="675">
        <v>0</v>
      </c>
      <c r="AJ52" s="675">
        <v>6160</v>
      </c>
      <c r="AK52" s="675" t="s">
        <v>671</v>
      </c>
      <c r="AL52" s="675" t="s">
        <v>338</v>
      </c>
      <c r="AM52" s="675">
        <v>0</v>
      </c>
      <c r="AN52" s="675">
        <v>0</v>
      </c>
      <c r="AO52" s="675">
        <v>0</v>
      </c>
      <c r="AP52" s="675">
        <v>0</v>
      </c>
      <c r="AQ52" s="675">
        <v>0</v>
      </c>
      <c r="AR52" s="675">
        <v>0</v>
      </c>
      <c r="AS52" s="675">
        <v>0</v>
      </c>
      <c r="AT52" s="675">
        <v>0</v>
      </c>
      <c r="AU52" s="675">
        <v>0</v>
      </c>
      <c r="AV52" s="675">
        <v>-1353</v>
      </c>
      <c r="AW52" s="675">
        <v>6380177</v>
      </c>
      <c r="AX52" s="675">
        <v>6254593</v>
      </c>
      <c r="AY52" s="675">
        <v>4317353</v>
      </c>
      <c r="AZ52" s="675">
        <v>300853</v>
      </c>
      <c r="BA52" s="675">
        <v>0</v>
      </c>
      <c r="BB52" s="675">
        <v>15432</v>
      </c>
      <c r="BC52" s="675">
        <v>15332</v>
      </c>
      <c r="BD52" s="675">
        <v>35.789000000000001</v>
      </c>
      <c r="BE52" s="675">
        <v>100</v>
      </c>
      <c r="BF52" s="675">
        <v>5835134</v>
      </c>
      <c r="BG52" s="675">
        <v>0</v>
      </c>
      <c r="BH52" s="675">
        <v>0</v>
      </c>
      <c r="BI52" s="675">
        <v>0</v>
      </c>
      <c r="BJ52" s="675">
        <v>12</v>
      </c>
      <c r="BK52" s="675">
        <v>0</v>
      </c>
      <c r="BL52" s="675">
        <v>0</v>
      </c>
      <c r="BM52" s="675">
        <v>0</v>
      </c>
      <c r="BN52" s="675">
        <v>0</v>
      </c>
      <c r="BO52" s="675">
        <v>0</v>
      </c>
      <c r="BP52" s="675">
        <v>0</v>
      </c>
      <c r="BQ52" s="675">
        <v>672</v>
      </c>
      <c r="BR52" s="675">
        <v>0</v>
      </c>
      <c r="BS52" s="675">
        <v>0</v>
      </c>
      <c r="BT52" s="675">
        <v>0</v>
      </c>
      <c r="BU52" s="675">
        <v>0</v>
      </c>
      <c r="BV52" s="675">
        <v>0</v>
      </c>
      <c r="BW52" s="675">
        <v>0</v>
      </c>
      <c r="BX52" s="675">
        <v>0</v>
      </c>
      <c r="BY52" s="675">
        <v>0</v>
      </c>
      <c r="BZ52" s="675">
        <v>0</v>
      </c>
      <c r="CA52" s="675">
        <v>0</v>
      </c>
      <c r="CB52" s="675">
        <v>0</v>
      </c>
      <c r="CC52" s="675">
        <v>0</v>
      </c>
      <c r="CD52" s="675">
        <v>0</v>
      </c>
      <c r="CE52" s="675">
        <v>0</v>
      </c>
      <c r="CF52" s="675">
        <v>0</v>
      </c>
      <c r="CG52" s="675">
        <v>0</v>
      </c>
      <c r="CH52" s="675">
        <v>126373</v>
      </c>
      <c r="CI52" s="675">
        <v>0</v>
      </c>
      <c r="CJ52" s="675">
        <v>4</v>
      </c>
      <c r="CK52" s="675">
        <v>0</v>
      </c>
      <c r="CL52" s="675">
        <v>0</v>
      </c>
      <c r="CM52" s="675">
        <v>0</v>
      </c>
      <c r="CN52" s="675">
        <v>0</v>
      </c>
      <c r="CO52" s="675">
        <v>1</v>
      </c>
      <c r="CP52" s="675">
        <v>0</v>
      </c>
      <c r="CQ52" s="675">
        <v>0</v>
      </c>
      <c r="CR52" s="675">
        <v>782.92400000000009</v>
      </c>
      <c r="CS52" s="675">
        <v>0</v>
      </c>
      <c r="CT52" s="675">
        <v>0</v>
      </c>
      <c r="CU52" s="675">
        <v>0</v>
      </c>
      <c r="CV52" s="675">
        <v>0</v>
      </c>
      <c r="CW52" s="675">
        <v>0</v>
      </c>
      <c r="CX52" s="675">
        <v>0</v>
      </c>
      <c r="CY52" s="675">
        <v>0</v>
      </c>
      <c r="CZ52" s="675">
        <v>0</v>
      </c>
      <c r="DA52" s="675">
        <v>0</v>
      </c>
      <c r="DB52" s="675">
        <v>3912202</v>
      </c>
      <c r="DC52" s="675">
        <v>0</v>
      </c>
      <c r="DD52" s="675">
        <v>0</v>
      </c>
      <c r="DE52" s="675">
        <v>279278</v>
      </c>
      <c r="DF52" s="675">
        <v>279278</v>
      </c>
      <c r="DG52" s="675">
        <v>45.338000000000001</v>
      </c>
      <c r="DH52" s="675">
        <v>0</v>
      </c>
      <c r="DI52" s="675">
        <v>0</v>
      </c>
      <c r="DJ52" s="675">
        <v>0</v>
      </c>
      <c r="DK52" s="675">
        <v>2371</v>
      </c>
      <c r="DL52" s="675">
        <v>0</v>
      </c>
      <c r="DM52" s="675">
        <v>200224</v>
      </c>
      <c r="DN52" s="675">
        <v>689</v>
      </c>
      <c r="DO52" s="675">
        <v>0</v>
      </c>
      <c r="DP52" s="675">
        <v>0</v>
      </c>
      <c r="DQ52" s="675">
        <v>0</v>
      </c>
      <c r="DR52" s="675">
        <v>0</v>
      </c>
      <c r="DS52" s="675">
        <v>0</v>
      </c>
      <c r="DT52" s="675">
        <v>0</v>
      </c>
      <c r="DU52" s="675">
        <v>0</v>
      </c>
      <c r="DV52" s="675">
        <v>0</v>
      </c>
      <c r="DW52" s="675">
        <v>0</v>
      </c>
      <c r="DX52" s="675">
        <v>0</v>
      </c>
      <c r="DY52" s="675">
        <v>0</v>
      </c>
      <c r="DZ52" s="675">
        <v>0</v>
      </c>
      <c r="EA52" s="675">
        <v>0</v>
      </c>
      <c r="EB52" s="675">
        <v>0</v>
      </c>
      <c r="EC52" s="675">
        <v>21.29</v>
      </c>
      <c r="ED52" s="675">
        <v>150818</v>
      </c>
      <c r="EE52" s="675">
        <v>0</v>
      </c>
      <c r="EF52" s="675">
        <v>0</v>
      </c>
      <c r="EG52" s="675">
        <v>0</v>
      </c>
      <c r="EH52" s="675">
        <v>32987</v>
      </c>
      <c r="EI52" s="675">
        <v>0</v>
      </c>
      <c r="EJ52" s="675">
        <v>0</v>
      </c>
      <c r="EK52" s="675">
        <v>0</v>
      </c>
      <c r="EL52" s="675">
        <v>0</v>
      </c>
      <c r="EM52" s="675">
        <v>0</v>
      </c>
      <c r="EN52" s="675">
        <v>1.071</v>
      </c>
      <c r="EO52" s="675">
        <v>0</v>
      </c>
      <c r="EP52" s="675">
        <v>0</v>
      </c>
      <c r="EQ52" s="675">
        <v>1.071</v>
      </c>
      <c r="ER52" s="675">
        <v>0</v>
      </c>
      <c r="ES52" s="675">
        <v>5.3550000000000004</v>
      </c>
      <c r="ET52" s="675">
        <v>0</v>
      </c>
      <c r="EU52" s="675">
        <v>0</v>
      </c>
      <c r="EV52" s="675">
        <v>0</v>
      </c>
      <c r="EW52" s="675">
        <v>0</v>
      </c>
      <c r="EX52" s="675">
        <v>0</v>
      </c>
      <c r="EY52" s="675">
        <v>0</v>
      </c>
      <c r="EZ52" s="675">
        <v>5538279</v>
      </c>
      <c r="FA52" s="675">
        <v>0</v>
      </c>
      <c r="FB52" s="675">
        <v>5838343</v>
      </c>
      <c r="FC52" s="675">
        <v>0</v>
      </c>
      <c r="FD52" s="675">
        <v>0</v>
      </c>
      <c r="FE52" s="675">
        <v>593552</v>
      </c>
      <c r="FF52" s="675">
        <v>122762</v>
      </c>
      <c r="FG52" s="675">
        <v>6.3574999999999993E-2</v>
      </c>
      <c r="FH52" s="675">
        <v>2.6297999999999998E-2</v>
      </c>
      <c r="FI52" s="675">
        <v>0</v>
      </c>
      <c r="FJ52" s="675">
        <v>0</v>
      </c>
      <c r="FK52" s="675">
        <v>947.26600000000008</v>
      </c>
      <c r="FL52" s="675">
        <v>6681030</v>
      </c>
      <c r="FM52" s="675">
        <v>0</v>
      </c>
      <c r="FN52" s="675">
        <v>0</v>
      </c>
      <c r="FO52" s="675">
        <v>0</v>
      </c>
      <c r="FP52" s="675">
        <v>0</v>
      </c>
      <c r="FQ52" s="675">
        <v>0</v>
      </c>
      <c r="FR52" s="675">
        <v>0</v>
      </c>
      <c r="FS52" s="675">
        <v>0</v>
      </c>
      <c r="FT52" s="675">
        <v>0</v>
      </c>
      <c r="FU52" s="675">
        <v>0</v>
      </c>
      <c r="FV52" s="675">
        <v>0</v>
      </c>
      <c r="FW52" s="675">
        <v>0</v>
      </c>
      <c r="FX52" s="675">
        <v>0</v>
      </c>
      <c r="FY52" s="675">
        <v>0</v>
      </c>
      <c r="FZ52" s="675">
        <v>0</v>
      </c>
      <c r="GA52" s="675">
        <v>0</v>
      </c>
      <c r="GB52" s="675">
        <v>687276</v>
      </c>
      <c r="GC52" s="675">
        <v>687276</v>
      </c>
      <c r="GD52" s="675">
        <v>76.822000000000003</v>
      </c>
      <c r="GE52" s="675">
        <v>0</v>
      </c>
      <c r="GF52" s="675">
        <v>0</v>
      </c>
      <c r="GG52" s="675">
        <v>0</v>
      </c>
      <c r="GH52" s="675">
        <v>0</v>
      </c>
      <c r="GI52" s="675">
        <v>0</v>
      </c>
      <c r="GJ52" s="675">
        <v>0</v>
      </c>
      <c r="GK52" s="675">
        <v>0</v>
      </c>
      <c r="GL52" s="675">
        <v>0</v>
      </c>
      <c r="GM52" s="675">
        <v>0</v>
      </c>
      <c r="GN52" s="675">
        <v>0</v>
      </c>
      <c r="GO52" s="675">
        <v>0</v>
      </c>
      <c r="GP52" s="675">
        <v>0</v>
      </c>
      <c r="GQ52" s="675">
        <v>0</v>
      </c>
      <c r="GR52" s="675">
        <v>0</v>
      </c>
      <c r="GS52" s="675">
        <v>0</v>
      </c>
      <c r="GT52" s="675">
        <v>0</v>
      </c>
      <c r="GU52" s="675">
        <v>0</v>
      </c>
      <c r="GV52" s="675">
        <v>0</v>
      </c>
      <c r="GW52" s="675">
        <v>0</v>
      </c>
      <c r="GX52" s="675">
        <v>0</v>
      </c>
      <c r="GY52" s="675">
        <v>0</v>
      </c>
      <c r="GZ52" s="675">
        <v>0</v>
      </c>
      <c r="HA52" s="675">
        <v>0</v>
      </c>
      <c r="HB52" s="675">
        <v>308877260</v>
      </c>
      <c r="HC52" s="675">
        <v>4.4138999999999998E-2</v>
      </c>
      <c r="HD52" s="675">
        <v>126373</v>
      </c>
      <c r="HE52" s="675">
        <v>0</v>
      </c>
      <c r="HF52" s="675">
        <v>703579</v>
      </c>
      <c r="HG52" s="675">
        <v>11088</v>
      </c>
      <c r="HH52" s="675">
        <v>15683</v>
      </c>
      <c r="HI52" s="675">
        <v>0</v>
      </c>
      <c r="HJ52" s="675">
        <v>6957</v>
      </c>
      <c r="HK52" s="675">
        <v>2286</v>
      </c>
      <c r="HL52" s="675">
        <v>1712</v>
      </c>
      <c r="HM52" s="675">
        <v>0</v>
      </c>
      <c r="HN52" s="675">
        <v>0</v>
      </c>
      <c r="HO52" s="675">
        <v>0</v>
      </c>
      <c r="HP52" s="675">
        <v>0</v>
      </c>
      <c r="HQ52" s="675">
        <v>0</v>
      </c>
      <c r="HR52" s="675">
        <v>0</v>
      </c>
      <c r="HS52" s="675">
        <v>5537490</v>
      </c>
      <c r="HT52" s="675">
        <v>122762</v>
      </c>
      <c r="HU52" s="675">
        <v>0</v>
      </c>
      <c r="HV52" s="675">
        <v>0</v>
      </c>
      <c r="HW52" s="675">
        <v>0</v>
      </c>
      <c r="HX52" s="675">
        <v>71</v>
      </c>
      <c r="HY52" s="675">
        <v>30</v>
      </c>
      <c r="HZ52" s="675">
        <v>38</v>
      </c>
      <c r="IA52" s="675">
        <v>37</v>
      </c>
      <c r="IB52" s="675">
        <v>11</v>
      </c>
      <c r="IC52" s="675">
        <v>187</v>
      </c>
      <c r="ID52" s="675">
        <v>0</v>
      </c>
      <c r="IE52" s="675">
        <v>0</v>
      </c>
      <c r="IF52" s="675">
        <v>0</v>
      </c>
      <c r="IG52" s="675">
        <v>18</v>
      </c>
      <c r="IH52" s="675">
        <v>25.46</v>
      </c>
      <c r="II52" s="675">
        <v>0</v>
      </c>
      <c r="IJ52" s="675">
        <v>4.4249999999999998</v>
      </c>
      <c r="IK52" s="675">
        <v>0</v>
      </c>
      <c r="IL52" s="675">
        <v>0</v>
      </c>
      <c r="IM52" s="675">
        <v>0</v>
      </c>
      <c r="IN52" s="675">
        <v>0</v>
      </c>
      <c r="IO52" s="675">
        <v>0</v>
      </c>
      <c r="IP52" s="675">
        <v>0</v>
      </c>
      <c r="IQ52" s="675">
        <v>4.4249999999999998</v>
      </c>
      <c r="IR52" s="675">
        <v>2726</v>
      </c>
      <c r="IS52" s="675">
        <v>0</v>
      </c>
      <c r="IT52" s="675">
        <v>0</v>
      </c>
      <c r="IU52" s="675">
        <v>0</v>
      </c>
      <c r="IV52" s="675">
        <v>0</v>
      </c>
      <c r="IW52" s="675">
        <v>6160</v>
      </c>
      <c r="IX52" s="675">
        <v>0</v>
      </c>
      <c r="IY52" s="675">
        <v>0</v>
      </c>
      <c r="IZ52" s="675">
        <v>0</v>
      </c>
      <c r="JA52" s="675">
        <v>0</v>
      </c>
      <c r="JB52" s="675">
        <v>0</v>
      </c>
      <c r="JC52" s="675">
        <v>0</v>
      </c>
      <c r="JD52" s="675">
        <v>0</v>
      </c>
      <c r="JE52" s="675">
        <v>0</v>
      </c>
      <c r="JF52" s="675">
        <v>0</v>
      </c>
      <c r="JG52" s="675">
        <v>0</v>
      </c>
      <c r="JH52" s="675">
        <v>0</v>
      </c>
      <c r="JI52" s="675">
        <v>0</v>
      </c>
      <c r="JJ52" s="675">
        <v>0</v>
      </c>
      <c r="JK52" s="675">
        <v>0</v>
      </c>
      <c r="JL52" s="675">
        <v>0</v>
      </c>
      <c r="JM52" s="675">
        <v>0</v>
      </c>
      <c r="JN52" s="675">
        <v>32469</v>
      </c>
      <c r="JO52" s="675">
        <v>27.061</v>
      </c>
      <c r="JP52" s="675">
        <v>43.625</v>
      </c>
      <c r="JQ52" s="675">
        <v>6.1360000000000001</v>
      </c>
      <c r="JR52" s="675">
        <v>216198</v>
      </c>
      <c r="JS52" s="675">
        <v>405566</v>
      </c>
      <c r="JT52" s="675">
        <v>65512</v>
      </c>
      <c r="JU52" s="675">
        <v>15432</v>
      </c>
      <c r="JV52" s="675">
        <v>0</v>
      </c>
      <c r="JW52" s="675">
        <v>0</v>
      </c>
      <c r="JX52" s="675">
        <v>0</v>
      </c>
      <c r="JY52" s="675">
        <v>0</v>
      </c>
      <c r="JZ52" s="675">
        <v>0</v>
      </c>
      <c r="KA52" s="675">
        <v>0</v>
      </c>
      <c r="KB52" s="675">
        <v>0</v>
      </c>
      <c r="KC52" s="675">
        <v>0</v>
      </c>
      <c r="KD52" s="675">
        <v>15523</v>
      </c>
      <c r="KE52" s="675">
        <v>7263</v>
      </c>
      <c r="KF52" s="675">
        <v>0</v>
      </c>
      <c r="KG52" s="675">
        <v>0</v>
      </c>
      <c r="KH52" s="675">
        <v>0</v>
      </c>
      <c r="KI52" s="675">
        <v>0</v>
      </c>
    </row>
    <row r="53" spans="1:295" ht="12.5" x14ac:dyDescent="0.25">
      <c r="A53" s="675">
        <v>35795</v>
      </c>
      <c r="B53" s="675">
        <v>71803</v>
      </c>
      <c r="C53" s="675">
        <v>7</v>
      </c>
      <c r="D53" s="675">
        <v>2022</v>
      </c>
      <c r="E53" s="675">
        <v>6160</v>
      </c>
      <c r="F53" s="675">
        <v>0</v>
      </c>
      <c r="G53" s="675">
        <v>182.69400000000002</v>
      </c>
      <c r="H53" s="675">
        <v>173.76900000000001</v>
      </c>
      <c r="I53" s="675">
        <v>173.76900000000001</v>
      </c>
      <c r="J53" s="675">
        <v>182.69400000000002</v>
      </c>
      <c r="K53" s="675">
        <v>0</v>
      </c>
      <c r="L53" s="675">
        <v>6160</v>
      </c>
      <c r="M53" s="675">
        <v>0</v>
      </c>
      <c r="N53" s="675">
        <v>0</v>
      </c>
      <c r="O53" s="675">
        <v>0</v>
      </c>
      <c r="P53" s="675">
        <v>161.56400000000002</v>
      </c>
      <c r="Q53" s="675">
        <v>0</v>
      </c>
      <c r="R53" s="675">
        <v>65018</v>
      </c>
      <c r="S53" s="675">
        <v>402.428</v>
      </c>
      <c r="T53" s="675">
        <v>0</v>
      </c>
      <c r="U53" s="675">
        <v>34575</v>
      </c>
      <c r="V53" s="675">
        <v>41.411999999999999</v>
      </c>
      <c r="W53" s="675">
        <v>25510</v>
      </c>
      <c r="X53" s="675">
        <v>25510</v>
      </c>
      <c r="Y53" s="675">
        <v>0</v>
      </c>
      <c r="Z53" s="675">
        <v>0</v>
      </c>
      <c r="AA53" s="675">
        <v>0</v>
      </c>
      <c r="AB53" s="675">
        <v>0</v>
      </c>
      <c r="AC53" s="675">
        <v>0</v>
      </c>
      <c r="AD53" s="675" t="s">
        <v>316</v>
      </c>
      <c r="AE53" s="675">
        <v>0</v>
      </c>
      <c r="AF53" s="675">
        <v>0</v>
      </c>
      <c r="AG53" s="675">
        <v>0</v>
      </c>
      <c r="AH53" s="675">
        <v>0</v>
      </c>
      <c r="AI53" s="675">
        <v>0</v>
      </c>
      <c r="AJ53" s="675">
        <v>6160</v>
      </c>
      <c r="AK53" s="675" t="s">
        <v>671</v>
      </c>
      <c r="AL53" s="675" t="s">
        <v>472</v>
      </c>
      <c r="AM53" s="675">
        <v>0</v>
      </c>
      <c r="AN53" s="675">
        <v>0</v>
      </c>
      <c r="AO53" s="675">
        <v>0</v>
      </c>
      <c r="AP53" s="675">
        <v>0</v>
      </c>
      <c r="AQ53" s="675">
        <v>0</v>
      </c>
      <c r="AR53" s="675">
        <v>0</v>
      </c>
      <c r="AS53" s="675">
        <v>0</v>
      </c>
      <c r="AT53" s="675">
        <v>0</v>
      </c>
      <c r="AU53" s="675">
        <v>0</v>
      </c>
      <c r="AV53" s="675">
        <v>-1953</v>
      </c>
      <c r="AW53" s="675">
        <v>2032314</v>
      </c>
      <c r="AX53" s="675">
        <v>1967473</v>
      </c>
      <c r="AY53" s="675">
        <v>1221123</v>
      </c>
      <c r="AZ53" s="675">
        <v>65018</v>
      </c>
      <c r="BA53" s="675">
        <v>0</v>
      </c>
      <c r="BB53" s="675">
        <v>0</v>
      </c>
      <c r="BC53" s="675">
        <v>0</v>
      </c>
      <c r="BD53" s="675">
        <v>0</v>
      </c>
      <c r="BE53" s="675">
        <v>0</v>
      </c>
      <c r="BF53" s="675">
        <v>1760172</v>
      </c>
      <c r="BG53" s="675">
        <v>0</v>
      </c>
      <c r="BH53" s="675">
        <v>0</v>
      </c>
      <c r="BI53" s="675">
        <v>0</v>
      </c>
      <c r="BJ53" s="675">
        <v>12</v>
      </c>
      <c r="BK53" s="675">
        <v>0</v>
      </c>
      <c r="BL53" s="675">
        <v>0</v>
      </c>
      <c r="BM53" s="675">
        <v>0</v>
      </c>
      <c r="BN53" s="675">
        <v>0</v>
      </c>
      <c r="BO53" s="675">
        <v>0</v>
      </c>
      <c r="BP53" s="675">
        <v>0</v>
      </c>
      <c r="BQ53" s="675">
        <v>743</v>
      </c>
      <c r="BR53" s="675">
        <v>0</v>
      </c>
      <c r="BS53" s="675">
        <v>0</v>
      </c>
      <c r="BT53" s="675">
        <v>0</v>
      </c>
      <c r="BU53" s="675">
        <v>0</v>
      </c>
      <c r="BV53" s="675">
        <v>0</v>
      </c>
      <c r="BW53" s="675">
        <v>0</v>
      </c>
      <c r="BX53" s="675">
        <v>0</v>
      </c>
      <c r="BY53" s="675">
        <v>0</v>
      </c>
      <c r="BZ53" s="675">
        <v>0</v>
      </c>
      <c r="CA53" s="675">
        <v>0</v>
      </c>
      <c r="CB53" s="675">
        <v>0</v>
      </c>
      <c r="CC53" s="675">
        <v>0</v>
      </c>
      <c r="CD53" s="675">
        <v>0</v>
      </c>
      <c r="CE53" s="675">
        <v>0</v>
      </c>
      <c r="CF53" s="675">
        <v>0</v>
      </c>
      <c r="CG53" s="675">
        <v>0</v>
      </c>
      <c r="CH53" s="675">
        <v>65192</v>
      </c>
      <c r="CI53" s="675">
        <v>0</v>
      </c>
      <c r="CJ53" s="675">
        <v>4</v>
      </c>
      <c r="CK53" s="675">
        <v>0</v>
      </c>
      <c r="CL53" s="675">
        <v>0</v>
      </c>
      <c r="CM53" s="675">
        <v>0</v>
      </c>
      <c r="CN53" s="675">
        <v>0</v>
      </c>
      <c r="CO53" s="675">
        <v>1</v>
      </c>
      <c r="CP53" s="675">
        <v>1.159</v>
      </c>
      <c r="CQ53" s="675">
        <v>0</v>
      </c>
      <c r="CR53" s="675">
        <v>164.21100000000001</v>
      </c>
      <c r="CS53" s="675">
        <v>0</v>
      </c>
      <c r="CT53" s="675">
        <v>0</v>
      </c>
      <c r="CU53" s="675">
        <v>0</v>
      </c>
      <c r="CV53" s="675">
        <v>0</v>
      </c>
      <c r="CW53" s="675">
        <v>0</v>
      </c>
      <c r="CX53" s="675">
        <v>0</v>
      </c>
      <c r="CY53" s="675">
        <v>0</v>
      </c>
      <c r="CZ53" s="675">
        <v>0</v>
      </c>
      <c r="DA53" s="675">
        <v>0</v>
      </c>
      <c r="DB53" s="675">
        <v>1042648</v>
      </c>
      <c r="DC53" s="675">
        <v>0</v>
      </c>
      <c r="DD53" s="675">
        <v>0</v>
      </c>
      <c r="DE53" s="675">
        <v>286208</v>
      </c>
      <c r="DF53" s="675">
        <v>303414</v>
      </c>
      <c r="DG53" s="675">
        <v>46.463000000000001</v>
      </c>
      <c r="DH53" s="675">
        <v>0</v>
      </c>
      <c r="DI53" s="675">
        <v>17206</v>
      </c>
      <c r="DJ53" s="675">
        <v>0</v>
      </c>
      <c r="DK53" s="675">
        <v>3514</v>
      </c>
      <c r="DL53" s="675">
        <v>0</v>
      </c>
      <c r="DM53" s="675">
        <v>120996</v>
      </c>
      <c r="DN53" s="675">
        <v>351</v>
      </c>
      <c r="DO53" s="675">
        <v>0</v>
      </c>
      <c r="DP53" s="675">
        <v>0</v>
      </c>
      <c r="DQ53" s="675">
        <v>0</v>
      </c>
      <c r="DR53" s="675">
        <v>0</v>
      </c>
      <c r="DS53" s="675">
        <v>0</v>
      </c>
      <c r="DT53" s="675">
        <v>0</v>
      </c>
      <c r="DU53" s="675">
        <v>0</v>
      </c>
      <c r="DV53" s="675">
        <v>0</v>
      </c>
      <c r="DW53" s="675">
        <v>0</v>
      </c>
      <c r="DX53" s="675">
        <v>0</v>
      </c>
      <c r="DY53" s="675">
        <v>0</v>
      </c>
      <c r="DZ53" s="675">
        <v>0</v>
      </c>
      <c r="EA53" s="675">
        <v>0</v>
      </c>
      <c r="EB53" s="675">
        <v>0</v>
      </c>
      <c r="EC53" s="675">
        <v>13.18</v>
      </c>
      <c r="ED53" s="675">
        <v>93367</v>
      </c>
      <c r="EE53" s="675">
        <v>0</v>
      </c>
      <c r="EF53" s="675">
        <v>0</v>
      </c>
      <c r="EG53" s="675">
        <v>0</v>
      </c>
      <c r="EH53" s="675">
        <v>216</v>
      </c>
      <c r="EI53" s="675">
        <v>0</v>
      </c>
      <c r="EJ53" s="675">
        <v>0</v>
      </c>
      <c r="EK53" s="675">
        <v>0</v>
      </c>
      <c r="EL53" s="675">
        <v>0</v>
      </c>
      <c r="EM53" s="675">
        <v>0</v>
      </c>
      <c r="EN53" s="675">
        <v>7.0000000000000001E-3</v>
      </c>
      <c r="EO53" s="675">
        <v>0</v>
      </c>
      <c r="EP53" s="675">
        <v>0</v>
      </c>
      <c r="EQ53" s="675">
        <v>7.0000000000000001E-3</v>
      </c>
      <c r="ER53" s="675">
        <v>0</v>
      </c>
      <c r="ES53" s="675">
        <v>3.5000000000000003E-2</v>
      </c>
      <c r="ET53" s="675">
        <v>0</v>
      </c>
      <c r="EU53" s="675">
        <v>0</v>
      </c>
      <c r="EV53" s="675">
        <v>0</v>
      </c>
      <c r="EW53" s="675">
        <v>0</v>
      </c>
      <c r="EX53" s="675">
        <v>0</v>
      </c>
      <c r="EY53" s="675">
        <v>0</v>
      </c>
      <c r="EZ53" s="675">
        <v>1751396</v>
      </c>
      <c r="FA53" s="675">
        <v>0</v>
      </c>
      <c r="FB53" s="675">
        <v>1816063</v>
      </c>
      <c r="FC53" s="675">
        <v>0</v>
      </c>
      <c r="FD53" s="675">
        <v>0</v>
      </c>
      <c r="FE53" s="675">
        <v>179046</v>
      </c>
      <c r="FF53" s="675">
        <v>37031</v>
      </c>
      <c r="FG53" s="675">
        <v>6.3574999999999993E-2</v>
      </c>
      <c r="FH53" s="675">
        <v>2.6297999999999998E-2</v>
      </c>
      <c r="FI53" s="675">
        <v>0</v>
      </c>
      <c r="FJ53" s="675">
        <v>0</v>
      </c>
      <c r="FK53" s="675">
        <v>285.74400000000003</v>
      </c>
      <c r="FL53" s="675">
        <v>2097332</v>
      </c>
      <c r="FM53" s="675">
        <v>0</v>
      </c>
      <c r="FN53" s="675">
        <v>0</v>
      </c>
      <c r="FO53" s="675">
        <v>0</v>
      </c>
      <c r="FP53" s="675">
        <v>0</v>
      </c>
      <c r="FQ53" s="675">
        <v>0</v>
      </c>
      <c r="FR53" s="675">
        <v>0</v>
      </c>
      <c r="FS53" s="675">
        <v>0</v>
      </c>
      <c r="FT53" s="675">
        <v>0</v>
      </c>
      <c r="FU53" s="675">
        <v>0</v>
      </c>
      <c r="FV53" s="675">
        <v>0</v>
      </c>
      <c r="FW53" s="675">
        <v>0</v>
      </c>
      <c r="FX53" s="675">
        <v>0</v>
      </c>
      <c r="FY53" s="675">
        <v>0</v>
      </c>
      <c r="FZ53" s="675">
        <v>0</v>
      </c>
      <c r="GA53" s="675">
        <v>0</v>
      </c>
      <c r="GB53" s="675">
        <v>73810</v>
      </c>
      <c r="GC53" s="675">
        <v>73810</v>
      </c>
      <c r="GD53" s="675">
        <v>8.918000000000001</v>
      </c>
      <c r="GE53" s="675">
        <v>0</v>
      </c>
      <c r="GF53" s="675">
        <v>0</v>
      </c>
      <c r="GG53" s="675">
        <v>0</v>
      </c>
      <c r="GH53" s="675">
        <v>0</v>
      </c>
      <c r="GI53" s="675">
        <v>0</v>
      </c>
      <c r="GJ53" s="675">
        <v>0</v>
      </c>
      <c r="GK53" s="675">
        <v>0</v>
      </c>
      <c r="GL53" s="675">
        <v>0</v>
      </c>
      <c r="GM53" s="675">
        <v>0</v>
      </c>
      <c r="GN53" s="675">
        <v>0</v>
      </c>
      <c r="GO53" s="675">
        <v>0</v>
      </c>
      <c r="GP53" s="675">
        <v>0</v>
      </c>
      <c r="GQ53" s="675">
        <v>0</v>
      </c>
      <c r="GR53" s="675">
        <v>0</v>
      </c>
      <c r="GS53" s="675">
        <v>0</v>
      </c>
      <c r="GT53" s="675">
        <v>0</v>
      </c>
      <c r="GU53" s="675">
        <v>0</v>
      </c>
      <c r="GV53" s="675">
        <v>0</v>
      </c>
      <c r="GW53" s="675">
        <v>0</v>
      </c>
      <c r="GX53" s="675">
        <v>0</v>
      </c>
      <c r="GY53" s="675">
        <v>0</v>
      </c>
      <c r="GZ53" s="675">
        <v>0</v>
      </c>
      <c r="HA53" s="675">
        <v>0</v>
      </c>
      <c r="HB53" s="675">
        <v>308877260</v>
      </c>
      <c r="HC53" s="675">
        <v>4.4138999999999998E-2</v>
      </c>
      <c r="HD53" s="675">
        <v>32256</v>
      </c>
      <c r="HE53" s="675">
        <v>0</v>
      </c>
      <c r="HF53" s="675">
        <v>191667</v>
      </c>
      <c r="HG53" s="675">
        <v>0</v>
      </c>
      <c r="HH53" s="675">
        <v>0</v>
      </c>
      <c r="HI53" s="675">
        <v>0</v>
      </c>
      <c r="HJ53" s="675">
        <v>1776</v>
      </c>
      <c r="HK53" s="675">
        <v>1908</v>
      </c>
      <c r="HL53" s="675">
        <v>75</v>
      </c>
      <c r="HM53" s="675">
        <v>0</v>
      </c>
      <c r="HN53" s="675">
        <v>0</v>
      </c>
      <c r="HO53" s="675">
        <v>0</v>
      </c>
      <c r="HP53" s="675">
        <v>54259</v>
      </c>
      <c r="HQ53" s="675">
        <v>0</v>
      </c>
      <c r="HR53" s="675">
        <v>0</v>
      </c>
      <c r="HS53" s="675">
        <v>1751045</v>
      </c>
      <c r="HT53" s="675">
        <v>37031</v>
      </c>
      <c r="HU53" s="675">
        <v>32936</v>
      </c>
      <c r="HV53" s="675">
        <v>0</v>
      </c>
      <c r="HW53" s="675">
        <v>0</v>
      </c>
      <c r="HX53" s="675">
        <v>24</v>
      </c>
      <c r="HY53" s="675">
        <v>28</v>
      </c>
      <c r="HZ53" s="675">
        <v>47</v>
      </c>
      <c r="IA53" s="675">
        <v>35</v>
      </c>
      <c r="IB53" s="675">
        <v>49</v>
      </c>
      <c r="IC53" s="675">
        <v>183</v>
      </c>
      <c r="ID53" s="675">
        <v>0</v>
      </c>
      <c r="IE53" s="675">
        <v>0</v>
      </c>
      <c r="IF53" s="675">
        <v>0</v>
      </c>
      <c r="IG53" s="675">
        <v>0</v>
      </c>
      <c r="IH53" s="675">
        <v>0</v>
      </c>
      <c r="II53" s="675">
        <v>197.304</v>
      </c>
      <c r="IJ53" s="675">
        <v>41.411999999999999</v>
      </c>
      <c r="IK53" s="675">
        <v>0</v>
      </c>
      <c r="IL53" s="675">
        <v>0</v>
      </c>
      <c r="IM53" s="675">
        <v>0</v>
      </c>
      <c r="IN53" s="675">
        <v>0</v>
      </c>
      <c r="IO53" s="675">
        <v>0</v>
      </c>
      <c r="IP53" s="675">
        <v>197.304</v>
      </c>
      <c r="IQ53" s="675">
        <v>41.411999999999999</v>
      </c>
      <c r="IR53" s="675">
        <v>25510</v>
      </c>
      <c r="IS53" s="675">
        <v>0</v>
      </c>
      <c r="IT53" s="675">
        <v>0</v>
      </c>
      <c r="IU53" s="675">
        <v>0</v>
      </c>
      <c r="IV53" s="675">
        <v>0</v>
      </c>
      <c r="IW53" s="675">
        <v>6160</v>
      </c>
      <c r="IX53" s="675">
        <v>0</v>
      </c>
      <c r="IY53" s="675">
        <v>0</v>
      </c>
      <c r="IZ53" s="675">
        <v>54259</v>
      </c>
      <c r="JA53" s="675">
        <v>0</v>
      </c>
      <c r="JB53" s="675">
        <v>0</v>
      </c>
      <c r="JC53" s="675">
        <v>0</v>
      </c>
      <c r="JD53" s="675">
        <v>0</v>
      </c>
      <c r="JE53" s="675">
        <v>0</v>
      </c>
      <c r="JF53" s="675">
        <v>0</v>
      </c>
      <c r="JG53" s="675">
        <v>0</v>
      </c>
      <c r="JH53" s="675">
        <v>0</v>
      </c>
      <c r="JI53" s="675">
        <v>0</v>
      </c>
      <c r="JJ53" s="675">
        <v>0</v>
      </c>
      <c r="JK53" s="675">
        <v>0</v>
      </c>
      <c r="JL53" s="675">
        <v>0</v>
      </c>
      <c r="JM53" s="675">
        <v>0</v>
      </c>
      <c r="JN53" s="675">
        <v>32469</v>
      </c>
      <c r="JO53" s="675">
        <v>6.9880000000000004</v>
      </c>
      <c r="JP53" s="675">
        <v>1.9020000000000001</v>
      </c>
      <c r="JQ53" s="675">
        <v>2.8000000000000001E-2</v>
      </c>
      <c r="JR53" s="675">
        <v>55829</v>
      </c>
      <c r="JS53" s="675">
        <v>17682</v>
      </c>
      <c r="JT53" s="675">
        <v>299</v>
      </c>
      <c r="JU53" s="675">
        <v>0</v>
      </c>
      <c r="JV53" s="675">
        <v>32936</v>
      </c>
      <c r="JW53" s="675">
        <v>0</v>
      </c>
      <c r="JX53" s="675">
        <v>0</v>
      </c>
      <c r="JY53" s="675">
        <v>0</v>
      </c>
      <c r="JZ53" s="675">
        <v>0</v>
      </c>
      <c r="KA53" s="675">
        <v>0</v>
      </c>
      <c r="KB53" s="675">
        <v>0</v>
      </c>
      <c r="KC53" s="675">
        <v>0</v>
      </c>
      <c r="KD53" s="675">
        <v>0</v>
      </c>
      <c r="KE53" s="675">
        <v>7263</v>
      </c>
      <c r="KF53" s="675">
        <v>0</v>
      </c>
      <c r="KG53" s="675">
        <v>0</v>
      </c>
      <c r="KH53" s="675">
        <v>0</v>
      </c>
      <c r="KI53" s="675">
        <v>0</v>
      </c>
    </row>
    <row r="54" spans="1:295" ht="12.5" x14ac:dyDescent="0.25">
      <c r="A54" s="675">
        <v>35795</v>
      </c>
      <c r="B54" s="675">
        <v>101803</v>
      </c>
      <c r="C54" s="675">
        <v>7</v>
      </c>
      <c r="D54" s="675">
        <v>2022</v>
      </c>
      <c r="E54" s="675">
        <v>6160</v>
      </c>
      <c r="F54" s="675">
        <v>0</v>
      </c>
      <c r="G54" s="675">
        <v>1160.4870000000001</v>
      </c>
      <c r="H54" s="675">
        <v>1134.941</v>
      </c>
      <c r="I54" s="675">
        <v>1134.941</v>
      </c>
      <c r="J54" s="675">
        <v>1160.4870000000001</v>
      </c>
      <c r="K54" s="675">
        <v>0</v>
      </c>
      <c r="L54" s="675">
        <v>6160</v>
      </c>
      <c r="M54" s="675">
        <v>0</v>
      </c>
      <c r="N54" s="675">
        <v>0</v>
      </c>
      <c r="O54" s="675">
        <v>0</v>
      </c>
      <c r="P54" s="675">
        <v>1026.797</v>
      </c>
      <c r="Q54" s="675">
        <v>0</v>
      </c>
      <c r="R54" s="675">
        <v>413212</v>
      </c>
      <c r="S54" s="675">
        <v>402.428</v>
      </c>
      <c r="T54" s="675">
        <v>0</v>
      </c>
      <c r="U54" s="675">
        <v>219735</v>
      </c>
      <c r="V54" s="675">
        <v>32.063000000000002</v>
      </c>
      <c r="W54" s="675">
        <v>19751</v>
      </c>
      <c r="X54" s="675">
        <v>19751</v>
      </c>
      <c r="Y54" s="675">
        <v>0</v>
      </c>
      <c r="Z54" s="675">
        <v>0</v>
      </c>
      <c r="AA54" s="675">
        <v>0</v>
      </c>
      <c r="AB54" s="675">
        <v>0</v>
      </c>
      <c r="AC54" s="675">
        <v>0</v>
      </c>
      <c r="AD54" s="675" t="s">
        <v>316</v>
      </c>
      <c r="AE54" s="675">
        <v>0</v>
      </c>
      <c r="AF54" s="675">
        <v>0</v>
      </c>
      <c r="AG54" s="675">
        <v>0</v>
      </c>
      <c r="AH54" s="675">
        <v>0</v>
      </c>
      <c r="AI54" s="675">
        <v>0</v>
      </c>
      <c r="AJ54" s="675">
        <v>6160</v>
      </c>
      <c r="AK54" s="675" t="s">
        <v>671</v>
      </c>
      <c r="AL54" s="675" t="s">
        <v>92</v>
      </c>
      <c r="AM54" s="675">
        <v>0</v>
      </c>
      <c r="AN54" s="675">
        <v>0</v>
      </c>
      <c r="AO54" s="675">
        <v>0</v>
      </c>
      <c r="AP54" s="675">
        <v>0</v>
      </c>
      <c r="AQ54" s="675">
        <v>0</v>
      </c>
      <c r="AR54" s="675">
        <v>0</v>
      </c>
      <c r="AS54" s="675">
        <v>0</v>
      </c>
      <c r="AT54" s="675">
        <v>0</v>
      </c>
      <c r="AU54" s="675">
        <v>0</v>
      </c>
      <c r="AV54" s="675">
        <v>-223005</v>
      </c>
      <c r="AW54" s="675">
        <v>10524745</v>
      </c>
      <c r="AX54" s="675">
        <v>10115037</v>
      </c>
      <c r="AY54" s="675">
        <v>7296500</v>
      </c>
      <c r="AZ54" s="675">
        <v>413212</v>
      </c>
      <c r="BA54" s="675">
        <v>0</v>
      </c>
      <c r="BB54" s="675">
        <v>0</v>
      </c>
      <c r="BC54" s="675">
        <v>0</v>
      </c>
      <c r="BD54" s="675">
        <v>0</v>
      </c>
      <c r="BE54" s="675">
        <v>0</v>
      </c>
      <c r="BF54" s="675">
        <v>9351476</v>
      </c>
      <c r="BG54" s="675">
        <v>0</v>
      </c>
      <c r="BH54" s="675">
        <v>0</v>
      </c>
      <c r="BI54" s="675">
        <v>0</v>
      </c>
      <c r="BJ54" s="675">
        <v>12</v>
      </c>
      <c r="BK54" s="675">
        <v>0</v>
      </c>
      <c r="BL54" s="675">
        <v>0</v>
      </c>
      <c r="BM54" s="675">
        <v>0</v>
      </c>
      <c r="BN54" s="675">
        <v>0</v>
      </c>
      <c r="BO54" s="675">
        <v>0</v>
      </c>
      <c r="BP54" s="675">
        <v>0</v>
      </c>
      <c r="BQ54" s="675">
        <v>595</v>
      </c>
      <c r="BR54" s="675">
        <v>0</v>
      </c>
      <c r="BS54" s="675">
        <v>0</v>
      </c>
      <c r="BT54" s="675">
        <v>0</v>
      </c>
      <c r="BU54" s="675">
        <v>0</v>
      </c>
      <c r="BV54" s="675">
        <v>0</v>
      </c>
      <c r="BW54" s="675">
        <v>0</v>
      </c>
      <c r="BX54" s="675">
        <v>0</v>
      </c>
      <c r="BY54" s="675">
        <v>0</v>
      </c>
      <c r="BZ54" s="675">
        <v>0</v>
      </c>
      <c r="CA54" s="675">
        <v>30.875</v>
      </c>
      <c r="CB54" s="675">
        <v>26329</v>
      </c>
      <c r="CC54" s="675">
        <v>0</v>
      </c>
      <c r="CD54" s="675">
        <v>0</v>
      </c>
      <c r="CE54" s="675">
        <v>0</v>
      </c>
      <c r="CF54" s="675">
        <v>0</v>
      </c>
      <c r="CG54" s="675">
        <v>0</v>
      </c>
      <c r="CH54" s="675">
        <v>412816</v>
      </c>
      <c r="CI54" s="675">
        <v>0</v>
      </c>
      <c r="CJ54" s="675">
        <v>5</v>
      </c>
      <c r="CK54" s="675">
        <v>0</v>
      </c>
      <c r="CL54" s="675">
        <v>0</v>
      </c>
      <c r="CM54" s="675">
        <v>0</v>
      </c>
      <c r="CN54" s="675">
        <v>0</v>
      </c>
      <c r="CO54" s="675">
        <v>1</v>
      </c>
      <c r="CP54" s="675">
        <v>0</v>
      </c>
      <c r="CQ54" s="675">
        <v>0</v>
      </c>
      <c r="CR54" s="675">
        <v>1031.915</v>
      </c>
      <c r="CS54" s="675">
        <v>0</v>
      </c>
      <c r="CT54" s="675">
        <v>0</v>
      </c>
      <c r="CU54" s="675">
        <v>0</v>
      </c>
      <c r="CV54" s="675">
        <v>0</v>
      </c>
      <c r="CW54" s="675">
        <v>0</v>
      </c>
      <c r="CX54" s="675">
        <v>0</v>
      </c>
      <c r="CY54" s="675">
        <v>0</v>
      </c>
      <c r="CZ54" s="675">
        <v>0</v>
      </c>
      <c r="DA54" s="675">
        <v>0</v>
      </c>
      <c r="DB54" s="675">
        <v>6991204</v>
      </c>
      <c r="DC54" s="675">
        <v>0</v>
      </c>
      <c r="DD54" s="675">
        <v>0</v>
      </c>
      <c r="DE54" s="675">
        <v>110802</v>
      </c>
      <c r="DF54" s="675">
        <v>110802</v>
      </c>
      <c r="DG54" s="675">
        <v>17.988</v>
      </c>
      <c r="DH54" s="675">
        <v>0</v>
      </c>
      <c r="DI54" s="675">
        <v>0</v>
      </c>
      <c r="DJ54" s="675">
        <v>0</v>
      </c>
      <c r="DK54" s="675">
        <v>1146</v>
      </c>
      <c r="DL54" s="675">
        <v>0</v>
      </c>
      <c r="DM54" s="675">
        <v>826052</v>
      </c>
      <c r="DN54" s="675">
        <v>3107</v>
      </c>
      <c r="DO54" s="675">
        <v>0</v>
      </c>
      <c r="DP54" s="675">
        <v>0</v>
      </c>
      <c r="DQ54" s="675">
        <v>0</v>
      </c>
      <c r="DR54" s="675">
        <v>0</v>
      </c>
      <c r="DS54" s="675">
        <v>0</v>
      </c>
      <c r="DT54" s="675">
        <v>0</v>
      </c>
      <c r="DU54" s="675">
        <v>0</v>
      </c>
      <c r="DV54" s="675">
        <v>0</v>
      </c>
      <c r="DW54" s="675">
        <v>0</v>
      </c>
      <c r="DX54" s="675">
        <v>0</v>
      </c>
      <c r="DY54" s="675">
        <v>0</v>
      </c>
      <c r="DZ54" s="675">
        <v>0</v>
      </c>
      <c r="EA54" s="675">
        <v>0</v>
      </c>
      <c r="EB54" s="675">
        <v>0</v>
      </c>
      <c r="EC54" s="675">
        <v>53.795999999999999</v>
      </c>
      <c r="ED54" s="675">
        <v>381089</v>
      </c>
      <c r="EE54" s="675">
        <v>0</v>
      </c>
      <c r="EF54" s="675">
        <v>0</v>
      </c>
      <c r="EG54" s="675">
        <v>0</v>
      </c>
      <c r="EH54" s="675">
        <v>448070</v>
      </c>
      <c r="EI54" s="675">
        <v>0</v>
      </c>
      <c r="EJ54" s="675">
        <v>0</v>
      </c>
      <c r="EK54" s="675">
        <v>19.413</v>
      </c>
      <c r="EL54" s="675">
        <v>0</v>
      </c>
      <c r="EM54" s="675">
        <v>0.76</v>
      </c>
      <c r="EN54" s="675">
        <v>2.444</v>
      </c>
      <c r="EO54" s="675">
        <v>0</v>
      </c>
      <c r="EP54" s="675">
        <v>0</v>
      </c>
      <c r="EQ54" s="675">
        <v>22.617000000000001</v>
      </c>
      <c r="ER54" s="675">
        <v>0</v>
      </c>
      <c r="ES54" s="675">
        <v>72.739000000000004</v>
      </c>
      <c r="ET54" s="675">
        <v>0</v>
      </c>
      <c r="EU54" s="675">
        <v>0</v>
      </c>
      <c r="EV54" s="675">
        <v>0</v>
      </c>
      <c r="EW54" s="675">
        <v>0</v>
      </c>
      <c r="EX54" s="675">
        <v>0</v>
      </c>
      <c r="EY54" s="675">
        <v>0</v>
      </c>
      <c r="EZ54" s="675">
        <v>8967059</v>
      </c>
      <c r="FA54" s="675">
        <v>0</v>
      </c>
      <c r="FB54" s="675">
        <v>9377164</v>
      </c>
      <c r="FC54" s="675">
        <v>0</v>
      </c>
      <c r="FD54" s="675">
        <v>0</v>
      </c>
      <c r="FE54" s="675">
        <v>951237</v>
      </c>
      <c r="FF54" s="675">
        <v>196741</v>
      </c>
      <c r="FG54" s="675">
        <v>6.3574999999999993E-2</v>
      </c>
      <c r="FH54" s="675">
        <v>2.6297999999999998E-2</v>
      </c>
      <c r="FI54" s="675">
        <v>0</v>
      </c>
      <c r="FJ54" s="675">
        <v>0</v>
      </c>
      <c r="FK54" s="675">
        <v>1518.104</v>
      </c>
      <c r="FL54" s="675">
        <v>10937957</v>
      </c>
      <c r="FM54" s="675">
        <v>0</v>
      </c>
      <c r="FN54" s="675">
        <v>0</v>
      </c>
      <c r="FO54" s="675">
        <v>0</v>
      </c>
      <c r="FP54" s="675">
        <v>0</v>
      </c>
      <c r="FQ54" s="675">
        <v>0</v>
      </c>
      <c r="FR54" s="675">
        <v>0</v>
      </c>
      <c r="FS54" s="675">
        <v>0</v>
      </c>
      <c r="FT54" s="675">
        <v>0</v>
      </c>
      <c r="FU54" s="675">
        <v>0</v>
      </c>
      <c r="FV54" s="675">
        <v>0</v>
      </c>
      <c r="FW54" s="675">
        <v>0</v>
      </c>
      <c r="FX54" s="675">
        <v>0</v>
      </c>
      <c r="FY54" s="675">
        <v>0</v>
      </c>
      <c r="FZ54" s="675">
        <v>0</v>
      </c>
      <c r="GA54" s="675">
        <v>0</v>
      </c>
      <c r="GB54" s="675">
        <v>23401</v>
      </c>
      <c r="GC54" s="675">
        <v>23401</v>
      </c>
      <c r="GD54" s="675">
        <v>2.9290000000000003</v>
      </c>
      <c r="GE54" s="675">
        <v>0</v>
      </c>
      <c r="GF54" s="675">
        <v>0</v>
      </c>
      <c r="GG54" s="675">
        <v>0</v>
      </c>
      <c r="GH54" s="675">
        <v>0</v>
      </c>
      <c r="GI54" s="675">
        <v>0</v>
      </c>
      <c r="GJ54" s="675">
        <v>0</v>
      </c>
      <c r="GK54" s="675">
        <v>0</v>
      </c>
      <c r="GL54" s="675">
        <v>0</v>
      </c>
      <c r="GM54" s="675">
        <v>0</v>
      </c>
      <c r="GN54" s="675">
        <v>0</v>
      </c>
      <c r="GO54" s="675">
        <v>0</v>
      </c>
      <c r="GP54" s="675">
        <v>0</v>
      </c>
      <c r="GQ54" s="675">
        <v>0</v>
      </c>
      <c r="GR54" s="675">
        <v>0</v>
      </c>
      <c r="GS54" s="675">
        <v>0</v>
      </c>
      <c r="GT54" s="675">
        <v>0</v>
      </c>
      <c r="GU54" s="675">
        <v>0</v>
      </c>
      <c r="GV54" s="675">
        <v>0</v>
      </c>
      <c r="GW54" s="675">
        <v>0</v>
      </c>
      <c r="GX54" s="675">
        <v>0</v>
      </c>
      <c r="GY54" s="675">
        <v>0</v>
      </c>
      <c r="GZ54" s="675">
        <v>0</v>
      </c>
      <c r="HA54" s="675">
        <v>0</v>
      </c>
      <c r="HB54" s="675">
        <v>308877260</v>
      </c>
      <c r="HC54" s="675">
        <v>4.4138999999999998E-2</v>
      </c>
      <c r="HD54" s="675">
        <v>204890</v>
      </c>
      <c r="HE54" s="675">
        <v>0</v>
      </c>
      <c r="HF54" s="675">
        <v>1251840</v>
      </c>
      <c r="HG54" s="675">
        <v>17248</v>
      </c>
      <c r="HH54" s="675">
        <v>77791</v>
      </c>
      <c r="HI54" s="675">
        <v>0</v>
      </c>
      <c r="HJ54" s="675">
        <v>11280</v>
      </c>
      <c r="HK54" s="675">
        <v>2466</v>
      </c>
      <c r="HL54" s="675">
        <v>0</v>
      </c>
      <c r="HM54" s="675">
        <v>19000</v>
      </c>
      <c r="HN54" s="675">
        <v>0</v>
      </c>
      <c r="HO54" s="675">
        <v>0</v>
      </c>
      <c r="HP54" s="675">
        <v>0</v>
      </c>
      <c r="HQ54" s="675">
        <v>0</v>
      </c>
      <c r="HR54" s="675">
        <v>0</v>
      </c>
      <c r="HS54" s="675">
        <v>8963952</v>
      </c>
      <c r="HT54" s="675">
        <v>196741</v>
      </c>
      <c r="HU54" s="675">
        <v>207926</v>
      </c>
      <c r="HV54" s="675">
        <v>0</v>
      </c>
      <c r="HW54" s="675">
        <v>0</v>
      </c>
      <c r="HX54" s="675">
        <v>28</v>
      </c>
      <c r="HY54" s="675">
        <v>31</v>
      </c>
      <c r="HZ54" s="675">
        <v>11</v>
      </c>
      <c r="IA54" s="675">
        <v>6</v>
      </c>
      <c r="IB54" s="675">
        <v>0</v>
      </c>
      <c r="IC54" s="675">
        <v>76</v>
      </c>
      <c r="ID54" s="675">
        <v>0</v>
      </c>
      <c r="IE54" s="675">
        <v>0</v>
      </c>
      <c r="IF54" s="675">
        <v>0</v>
      </c>
      <c r="IG54" s="675">
        <v>28</v>
      </c>
      <c r="IH54" s="675">
        <v>126.28400000000001</v>
      </c>
      <c r="II54" s="675">
        <v>0</v>
      </c>
      <c r="IJ54" s="675">
        <v>32.063000000000002</v>
      </c>
      <c r="IK54" s="675">
        <v>0</v>
      </c>
      <c r="IL54" s="675">
        <v>1</v>
      </c>
      <c r="IM54" s="675">
        <v>4</v>
      </c>
      <c r="IN54" s="675">
        <v>1</v>
      </c>
      <c r="IO54" s="675">
        <v>6</v>
      </c>
      <c r="IP54" s="675">
        <v>0</v>
      </c>
      <c r="IQ54" s="675">
        <v>32.063000000000002</v>
      </c>
      <c r="IR54" s="675">
        <v>19751</v>
      </c>
      <c r="IS54" s="675">
        <v>0</v>
      </c>
      <c r="IT54" s="675">
        <v>5000</v>
      </c>
      <c r="IU54" s="675">
        <v>12000</v>
      </c>
      <c r="IV54" s="675">
        <v>2000</v>
      </c>
      <c r="IW54" s="675">
        <v>6160</v>
      </c>
      <c r="IX54" s="675">
        <v>0</v>
      </c>
      <c r="IY54" s="675">
        <v>0</v>
      </c>
      <c r="IZ54" s="675">
        <v>0</v>
      </c>
      <c r="JA54" s="675">
        <v>0</v>
      </c>
      <c r="JB54" s="675">
        <v>0</v>
      </c>
      <c r="JC54" s="675">
        <v>0</v>
      </c>
      <c r="JD54" s="675">
        <v>0</v>
      </c>
      <c r="JE54" s="675">
        <v>0</v>
      </c>
      <c r="JF54" s="675">
        <v>0</v>
      </c>
      <c r="JG54" s="675">
        <v>0</v>
      </c>
      <c r="JH54" s="675">
        <v>0</v>
      </c>
      <c r="JI54" s="675">
        <v>0</v>
      </c>
      <c r="JJ54" s="675">
        <v>0</v>
      </c>
      <c r="JK54" s="675">
        <v>0</v>
      </c>
      <c r="JL54" s="675">
        <v>0</v>
      </c>
      <c r="JM54" s="675">
        <v>0</v>
      </c>
      <c r="JN54" s="675">
        <v>32469</v>
      </c>
      <c r="JO54" s="675">
        <v>2.9290000000000003</v>
      </c>
      <c r="JP54" s="675">
        <v>0</v>
      </c>
      <c r="JQ54" s="675">
        <v>0</v>
      </c>
      <c r="JR54" s="675">
        <v>23401</v>
      </c>
      <c r="JS54" s="675">
        <v>0</v>
      </c>
      <c r="JT54" s="675">
        <v>0</v>
      </c>
      <c r="JU54" s="675">
        <v>0</v>
      </c>
      <c r="JV54" s="675">
        <v>207926</v>
      </c>
      <c r="JW54" s="675">
        <v>0</v>
      </c>
      <c r="JX54" s="675">
        <v>0</v>
      </c>
      <c r="JY54" s="675">
        <v>0</v>
      </c>
      <c r="JZ54" s="675">
        <v>0</v>
      </c>
      <c r="KA54" s="675">
        <v>0</v>
      </c>
      <c r="KB54" s="675">
        <v>0</v>
      </c>
      <c r="KC54" s="675">
        <v>0</v>
      </c>
      <c r="KD54" s="675">
        <v>0</v>
      </c>
      <c r="KE54" s="675">
        <v>7263</v>
      </c>
      <c r="KF54" s="675">
        <v>0</v>
      </c>
      <c r="KG54" s="675">
        <v>0</v>
      </c>
      <c r="KH54" s="675">
        <v>0</v>
      </c>
      <c r="KI54" s="675">
        <v>0</v>
      </c>
    </row>
    <row r="55" spans="1:295" ht="12.5" x14ac:dyDescent="0.25">
      <c r="A55" s="675">
        <v>35795</v>
      </c>
      <c r="B55" s="675">
        <v>105803</v>
      </c>
      <c r="C55" s="675">
        <v>7</v>
      </c>
      <c r="D55" s="675">
        <v>2022</v>
      </c>
      <c r="E55" s="675">
        <v>6160</v>
      </c>
      <c r="F55" s="675">
        <v>0</v>
      </c>
      <c r="G55" s="675">
        <v>276.93299999999999</v>
      </c>
      <c r="H55" s="675">
        <v>157.654</v>
      </c>
      <c r="I55" s="675">
        <v>157.654</v>
      </c>
      <c r="J55" s="675">
        <v>276.93299999999999</v>
      </c>
      <c r="K55" s="675">
        <v>0</v>
      </c>
      <c r="L55" s="675">
        <v>6160</v>
      </c>
      <c r="M55" s="675">
        <v>0</v>
      </c>
      <c r="N55" s="675">
        <v>0</v>
      </c>
      <c r="O55" s="675">
        <v>0</v>
      </c>
      <c r="P55" s="675">
        <v>273.61599999999999</v>
      </c>
      <c r="Q55" s="675">
        <v>0</v>
      </c>
      <c r="R55" s="675">
        <v>110111</v>
      </c>
      <c r="S55" s="675">
        <v>402.428</v>
      </c>
      <c r="T55" s="675">
        <v>0</v>
      </c>
      <c r="U55" s="675">
        <v>58555</v>
      </c>
      <c r="V55" s="675">
        <v>0</v>
      </c>
      <c r="W55" s="675">
        <v>0</v>
      </c>
      <c r="X55" s="675">
        <v>0</v>
      </c>
      <c r="Y55" s="675">
        <v>0</v>
      </c>
      <c r="Z55" s="675">
        <v>0</v>
      </c>
      <c r="AA55" s="675">
        <v>0</v>
      </c>
      <c r="AB55" s="675">
        <v>0</v>
      </c>
      <c r="AC55" s="675">
        <v>0</v>
      </c>
      <c r="AD55" s="675" t="s">
        <v>316</v>
      </c>
      <c r="AE55" s="675">
        <v>0</v>
      </c>
      <c r="AF55" s="675">
        <v>0</v>
      </c>
      <c r="AG55" s="675">
        <v>0</v>
      </c>
      <c r="AH55" s="675">
        <v>0</v>
      </c>
      <c r="AI55" s="675">
        <v>0</v>
      </c>
      <c r="AJ55" s="675">
        <v>6160</v>
      </c>
      <c r="AK55" s="675" t="s">
        <v>671</v>
      </c>
      <c r="AL55" s="675" t="s">
        <v>372</v>
      </c>
      <c r="AM55" s="675">
        <v>0</v>
      </c>
      <c r="AN55" s="675">
        <v>0</v>
      </c>
      <c r="AO55" s="675">
        <v>0</v>
      </c>
      <c r="AP55" s="675">
        <v>0</v>
      </c>
      <c r="AQ55" s="675">
        <v>0</v>
      </c>
      <c r="AR55" s="675">
        <v>0</v>
      </c>
      <c r="AS55" s="675">
        <v>0</v>
      </c>
      <c r="AT55" s="675">
        <v>0</v>
      </c>
      <c r="AU55" s="675">
        <v>0</v>
      </c>
      <c r="AV55" s="675">
        <v>0</v>
      </c>
      <c r="AW55" s="675">
        <v>4971921</v>
      </c>
      <c r="AX55" s="675">
        <v>4932742</v>
      </c>
      <c r="AY55" s="675">
        <v>3338033</v>
      </c>
      <c r="AZ55" s="675">
        <v>110111</v>
      </c>
      <c r="BA55" s="675">
        <v>0</v>
      </c>
      <c r="BB55" s="675">
        <v>0</v>
      </c>
      <c r="BC55" s="675">
        <v>0</v>
      </c>
      <c r="BD55" s="675">
        <v>0</v>
      </c>
      <c r="BE55" s="675">
        <v>0</v>
      </c>
      <c r="BF55" s="675">
        <v>4369832</v>
      </c>
      <c r="BG55" s="675">
        <v>0</v>
      </c>
      <c r="BH55" s="675">
        <v>0</v>
      </c>
      <c r="BI55" s="675">
        <v>0</v>
      </c>
      <c r="BJ55" s="675">
        <v>12</v>
      </c>
      <c r="BK55" s="675">
        <v>0</v>
      </c>
      <c r="BL55" s="675">
        <v>0</v>
      </c>
      <c r="BM55" s="675">
        <v>0</v>
      </c>
      <c r="BN55" s="675">
        <v>0</v>
      </c>
      <c r="BO55" s="675">
        <v>0</v>
      </c>
      <c r="BP55" s="675">
        <v>0</v>
      </c>
      <c r="BQ55" s="675">
        <v>746</v>
      </c>
      <c r="BR55" s="675">
        <v>0</v>
      </c>
      <c r="BS55" s="675">
        <v>0</v>
      </c>
      <c r="BT55" s="675">
        <v>0</v>
      </c>
      <c r="BU55" s="675">
        <v>0</v>
      </c>
      <c r="BV55" s="675">
        <v>0</v>
      </c>
      <c r="BW55" s="675">
        <v>0</v>
      </c>
      <c r="BX55" s="675">
        <v>0</v>
      </c>
      <c r="BY55" s="675">
        <v>0</v>
      </c>
      <c r="BZ55" s="675">
        <v>0</v>
      </c>
      <c r="CA55" s="675">
        <v>0</v>
      </c>
      <c r="CB55" s="675">
        <v>0</v>
      </c>
      <c r="CC55" s="675">
        <v>0</v>
      </c>
      <c r="CD55" s="675">
        <v>0</v>
      </c>
      <c r="CE55" s="675">
        <v>0</v>
      </c>
      <c r="CF55" s="675">
        <v>0</v>
      </c>
      <c r="CG55" s="675">
        <v>0</v>
      </c>
      <c r="CH55" s="675">
        <v>48894</v>
      </c>
      <c r="CI55" s="675">
        <v>0</v>
      </c>
      <c r="CJ55" s="675">
        <v>4</v>
      </c>
      <c r="CK55" s="675">
        <v>0</v>
      </c>
      <c r="CL55" s="675">
        <v>0</v>
      </c>
      <c r="CM55" s="675">
        <v>0</v>
      </c>
      <c r="CN55" s="675">
        <v>0</v>
      </c>
      <c r="CO55" s="675">
        <v>1</v>
      </c>
      <c r="CP55" s="675">
        <v>0</v>
      </c>
      <c r="CQ55" s="675">
        <v>0</v>
      </c>
      <c r="CR55" s="675">
        <v>270.36599999999999</v>
      </c>
      <c r="CS55" s="675">
        <v>0</v>
      </c>
      <c r="CT55" s="675">
        <v>0</v>
      </c>
      <c r="CU55" s="675">
        <v>0</v>
      </c>
      <c r="CV55" s="675">
        <v>0</v>
      </c>
      <c r="CW55" s="675">
        <v>0</v>
      </c>
      <c r="CX55" s="675">
        <v>0</v>
      </c>
      <c r="CY55" s="675">
        <v>0</v>
      </c>
      <c r="CZ55" s="675">
        <v>0</v>
      </c>
      <c r="DA55" s="675">
        <v>0</v>
      </c>
      <c r="DB55" s="675">
        <v>915821</v>
      </c>
      <c r="DC55" s="675">
        <v>0</v>
      </c>
      <c r="DD55" s="675">
        <v>0</v>
      </c>
      <c r="DE55" s="675">
        <v>468004</v>
      </c>
      <c r="DF55" s="675">
        <v>469236</v>
      </c>
      <c r="DG55" s="675">
        <v>75.975000000000009</v>
      </c>
      <c r="DH55" s="675">
        <v>0</v>
      </c>
      <c r="DI55" s="675">
        <v>0</v>
      </c>
      <c r="DJ55" s="675">
        <v>0</v>
      </c>
      <c r="DK55" s="675">
        <v>3554</v>
      </c>
      <c r="DL55" s="675">
        <v>0</v>
      </c>
      <c r="DM55" s="675">
        <v>2637701</v>
      </c>
      <c r="DN55" s="675">
        <v>9714</v>
      </c>
      <c r="DO55" s="675">
        <v>0</v>
      </c>
      <c r="DP55" s="675">
        <v>0</v>
      </c>
      <c r="DQ55" s="675">
        <v>0</v>
      </c>
      <c r="DR55" s="675">
        <v>0</v>
      </c>
      <c r="DS55" s="675">
        <v>0</v>
      </c>
      <c r="DT55" s="675">
        <v>0</v>
      </c>
      <c r="DU55" s="675">
        <v>0</v>
      </c>
      <c r="DV55" s="675">
        <v>0</v>
      </c>
      <c r="DW55" s="675">
        <v>0</v>
      </c>
      <c r="DX55" s="675">
        <v>0</v>
      </c>
      <c r="DY55" s="675">
        <v>0</v>
      </c>
      <c r="DZ55" s="675">
        <v>0</v>
      </c>
      <c r="EA55" s="675">
        <v>0</v>
      </c>
      <c r="EB55" s="675">
        <v>1.044</v>
      </c>
      <c r="EC55" s="675">
        <v>0.76</v>
      </c>
      <c r="ED55" s="675">
        <v>5384</v>
      </c>
      <c r="EE55" s="675">
        <v>0</v>
      </c>
      <c r="EF55" s="675">
        <v>0</v>
      </c>
      <c r="EG55" s="675">
        <v>0</v>
      </c>
      <c r="EH55" s="675">
        <v>82827</v>
      </c>
      <c r="EI55" s="675">
        <v>2503881</v>
      </c>
      <c r="EJ55" s="675">
        <v>101.619</v>
      </c>
      <c r="EK55" s="675">
        <v>0.97800000000000009</v>
      </c>
      <c r="EL55" s="675">
        <v>0</v>
      </c>
      <c r="EM55" s="675">
        <v>0.40500000000000003</v>
      </c>
      <c r="EN55" s="675">
        <v>1.2330000000000001</v>
      </c>
      <c r="EO55" s="675">
        <v>0</v>
      </c>
      <c r="EP55" s="675">
        <v>0</v>
      </c>
      <c r="EQ55" s="675">
        <v>105.27900000000001</v>
      </c>
      <c r="ER55" s="675">
        <v>0</v>
      </c>
      <c r="ES55" s="675">
        <v>13.446000000000002</v>
      </c>
      <c r="ET55" s="675">
        <v>0</v>
      </c>
      <c r="EU55" s="675">
        <v>0</v>
      </c>
      <c r="EV55" s="675">
        <v>0</v>
      </c>
      <c r="EW55" s="675">
        <v>0</v>
      </c>
      <c r="EX55" s="675">
        <v>0</v>
      </c>
      <c r="EY55" s="675">
        <v>0</v>
      </c>
      <c r="EZ55" s="675">
        <v>4396305</v>
      </c>
      <c r="FA55" s="675">
        <v>0</v>
      </c>
      <c r="FB55" s="675">
        <v>4496701</v>
      </c>
      <c r="FC55" s="675">
        <v>0</v>
      </c>
      <c r="FD55" s="675">
        <v>0</v>
      </c>
      <c r="FE55" s="675">
        <v>444502</v>
      </c>
      <c r="FF55" s="675">
        <v>91935</v>
      </c>
      <c r="FG55" s="675">
        <v>6.3574999999999993E-2</v>
      </c>
      <c r="FH55" s="675">
        <v>2.6297999999999998E-2</v>
      </c>
      <c r="FI55" s="675">
        <v>0</v>
      </c>
      <c r="FJ55" s="675">
        <v>0</v>
      </c>
      <c r="FK55" s="675">
        <v>709.39200000000005</v>
      </c>
      <c r="FL55" s="675">
        <v>5082032</v>
      </c>
      <c r="FM55" s="675">
        <v>0</v>
      </c>
      <c r="FN55" s="675">
        <v>0</v>
      </c>
      <c r="FO55" s="675">
        <v>0</v>
      </c>
      <c r="FP55" s="675">
        <v>0</v>
      </c>
      <c r="FQ55" s="675">
        <v>0</v>
      </c>
      <c r="FR55" s="675">
        <v>0</v>
      </c>
      <c r="FS55" s="675">
        <v>0</v>
      </c>
      <c r="FT55" s="675">
        <v>0</v>
      </c>
      <c r="FU55" s="675">
        <v>0</v>
      </c>
      <c r="FV55" s="675">
        <v>0</v>
      </c>
      <c r="FW55" s="675">
        <v>0</v>
      </c>
      <c r="FX55" s="675">
        <v>0</v>
      </c>
      <c r="FY55" s="675">
        <v>0</v>
      </c>
      <c r="FZ55" s="675">
        <v>0</v>
      </c>
      <c r="GA55" s="675">
        <v>0</v>
      </c>
      <c r="GB55" s="675">
        <v>130153</v>
      </c>
      <c r="GC55" s="675">
        <v>130153</v>
      </c>
      <c r="GD55" s="675">
        <v>14</v>
      </c>
      <c r="GE55" s="675">
        <v>0</v>
      </c>
      <c r="GF55" s="675">
        <v>0</v>
      </c>
      <c r="GG55" s="675">
        <v>0</v>
      </c>
      <c r="GH55" s="675">
        <v>0</v>
      </c>
      <c r="GI55" s="675">
        <v>0</v>
      </c>
      <c r="GJ55" s="675">
        <v>0</v>
      </c>
      <c r="GK55" s="675">
        <v>0</v>
      </c>
      <c r="GL55" s="675">
        <v>0</v>
      </c>
      <c r="GM55" s="675">
        <v>0</v>
      </c>
      <c r="GN55" s="675">
        <v>0</v>
      </c>
      <c r="GO55" s="675">
        <v>0</v>
      </c>
      <c r="GP55" s="675">
        <v>0</v>
      </c>
      <c r="GQ55" s="675">
        <v>0</v>
      </c>
      <c r="GR55" s="675">
        <v>0</v>
      </c>
      <c r="GS55" s="675">
        <v>0</v>
      </c>
      <c r="GT55" s="675">
        <v>0</v>
      </c>
      <c r="GU55" s="675">
        <v>0</v>
      </c>
      <c r="GV55" s="675">
        <v>0</v>
      </c>
      <c r="GW55" s="675">
        <v>0</v>
      </c>
      <c r="GX55" s="675">
        <v>0</v>
      </c>
      <c r="GY55" s="675">
        <v>0</v>
      </c>
      <c r="GZ55" s="675">
        <v>0</v>
      </c>
      <c r="HA55" s="675">
        <v>0</v>
      </c>
      <c r="HB55" s="675">
        <v>308877260</v>
      </c>
      <c r="HC55" s="675">
        <v>4.4138999999999998E-2</v>
      </c>
      <c r="HD55" s="675">
        <v>48894</v>
      </c>
      <c r="HE55" s="675">
        <v>0</v>
      </c>
      <c r="HF55" s="675">
        <v>173892</v>
      </c>
      <c r="HG55" s="675">
        <v>9856</v>
      </c>
      <c r="HH55" s="675">
        <v>7267</v>
      </c>
      <c r="HI55" s="675">
        <v>0</v>
      </c>
      <c r="HJ55" s="675">
        <v>2692</v>
      </c>
      <c r="HK55" s="675">
        <v>1872</v>
      </c>
      <c r="HL55" s="675">
        <v>0</v>
      </c>
      <c r="HM55" s="675">
        <v>0</v>
      </c>
      <c r="HN55" s="675">
        <v>0</v>
      </c>
      <c r="HO55" s="675">
        <v>13500</v>
      </c>
      <c r="HP55" s="675">
        <v>77433</v>
      </c>
      <c r="HQ55" s="675">
        <v>0</v>
      </c>
      <c r="HR55" s="675">
        <v>0</v>
      </c>
      <c r="HS55" s="675">
        <v>4386590</v>
      </c>
      <c r="HT55" s="675">
        <v>91935</v>
      </c>
      <c r="HU55" s="675">
        <v>0</v>
      </c>
      <c r="HV55" s="675">
        <v>0</v>
      </c>
      <c r="HW55" s="675">
        <v>0</v>
      </c>
      <c r="HX55" s="675">
        <v>7</v>
      </c>
      <c r="HY55" s="675">
        <v>4</v>
      </c>
      <c r="HZ55" s="675">
        <v>5</v>
      </c>
      <c r="IA55" s="675">
        <v>10</v>
      </c>
      <c r="IB55" s="675">
        <v>253</v>
      </c>
      <c r="IC55" s="675">
        <v>279</v>
      </c>
      <c r="ID55" s="675">
        <v>1</v>
      </c>
      <c r="IE55" s="675">
        <v>0</v>
      </c>
      <c r="IF55" s="675">
        <v>0</v>
      </c>
      <c r="IG55" s="675">
        <v>16</v>
      </c>
      <c r="IH55" s="675">
        <v>11.797000000000001</v>
      </c>
      <c r="II55" s="675">
        <v>281.57300000000004</v>
      </c>
      <c r="IJ55" s="675">
        <v>0</v>
      </c>
      <c r="IK55" s="675">
        <v>208.28800000000001</v>
      </c>
      <c r="IL55" s="675">
        <v>0</v>
      </c>
      <c r="IM55" s="675">
        <v>0</v>
      </c>
      <c r="IN55" s="675">
        <v>0</v>
      </c>
      <c r="IO55" s="675">
        <v>0</v>
      </c>
      <c r="IP55" s="675">
        <v>489.86100000000005</v>
      </c>
      <c r="IQ55" s="675">
        <v>0</v>
      </c>
      <c r="IR55" s="675">
        <v>0</v>
      </c>
      <c r="IS55" s="675">
        <v>57279</v>
      </c>
      <c r="IT55" s="675">
        <v>0</v>
      </c>
      <c r="IU55" s="675">
        <v>0</v>
      </c>
      <c r="IV55" s="675">
        <v>0</v>
      </c>
      <c r="IW55" s="675">
        <v>6160</v>
      </c>
      <c r="IX55" s="675">
        <v>0</v>
      </c>
      <c r="IY55" s="675">
        <v>0</v>
      </c>
      <c r="IZ55" s="675">
        <v>134712</v>
      </c>
      <c r="JA55" s="675">
        <v>1232</v>
      </c>
      <c r="JB55" s="675">
        <v>0</v>
      </c>
      <c r="JC55" s="675">
        <v>0</v>
      </c>
      <c r="JD55" s="675">
        <v>0</v>
      </c>
      <c r="JE55" s="675">
        <v>0</v>
      </c>
      <c r="JF55" s="675">
        <v>0</v>
      </c>
      <c r="JG55" s="675">
        <v>0</v>
      </c>
      <c r="JH55" s="675">
        <v>0</v>
      </c>
      <c r="JI55" s="675">
        <v>0</v>
      </c>
      <c r="JJ55" s="675">
        <v>0</v>
      </c>
      <c r="JK55" s="675">
        <v>0</v>
      </c>
      <c r="JL55" s="675">
        <v>0</v>
      </c>
      <c r="JM55" s="675">
        <v>0</v>
      </c>
      <c r="JN55" s="675">
        <v>32469</v>
      </c>
      <c r="JO55" s="675">
        <v>0</v>
      </c>
      <c r="JP55" s="675">
        <v>14</v>
      </c>
      <c r="JQ55" s="675">
        <v>0</v>
      </c>
      <c r="JR55" s="675">
        <v>0</v>
      </c>
      <c r="JS55" s="675">
        <v>130153</v>
      </c>
      <c r="JT55" s="675">
        <v>0</v>
      </c>
      <c r="JU55" s="675">
        <v>0</v>
      </c>
      <c r="JV55" s="675">
        <v>0</v>
      </c>
      <c r="JW55" s="675">
        <v>0</v>
      </c>
      <c r="JX55" s="675">
        <v>0</v>
      </c>
      <c r="JY55" s="675">
        <v>0</v>
      </c>
      <c r="JZ55" s="675">
        <v>0</v>
      </c>
      <c r="KA55" s="675">
        <v>0</v>
      </c>
      <c r="KB55" s="675">
        <v>0</v>
      </c>
      <c r="KC55" s="675">
        <v>0</v>
      </c>
      <c r="KD55" s="675">
        <v>0</v>
      </c>
      <c r="KE55" s="675">
        <v>7263</v>
      </c>
      <c r="KF55" s="675">
        <v>0</v>
      </c>
      <c r="KG55" s="675">
        <v>0</v>
      </c>
      <c r="KH55" s="675">
        <v>0</v>
      </c>
      <c r="KI55" s="675">
        <v>0</v>
      </c>
    </row>
    <row r="56" spans="1:295" ht="12.5" x14ac:dyDescent="0.25">
      <c r="A56" s="675">
        <v>35795</v>
      </c>
      <c r="B56" s="675">
        <v>123803</v>
      </c>
      <c r="C56" s="675">
        <v>7</v>
      </c>
      <c r="D56" s="675">
        <v>2022</v>
      </c>
      <c r="E56" s="675">
        <v>6160</v>
      </c>
      <c r="F56" s="675">
        <v>0</v>
      </c>
      <c r="G56" s="675">
        <v>283.48400000000004</v>
      </c>
      <c r="H56" s="675">
        <v>276.221</v>
      </c>
      <c r="I56" s="675">
        <v>276.221</v>
      </c>
      <c r="J56" s="675">
        <v>283.48400000000004</v>
      </c>
      <c r="K56" s="675">
        <v>0</v>
      </c>
      <c r="L56" s="675">
        <v>6160</v>
      </c>
      <c r="M56" s="675">
        <v>0</v>
      </c>
      <c r="N56" s="675">
        <v>0</v>
      </c>
      <c r="O56" s="675">
        <v>0</v>
      </c>
      <c r="P56" s="675">
        <v>355.07300000000004</v>
      </c>
      <c r="Q56" s="675">
        <v>0</v>
      </c>
      <c r="R56" s="675">
        <v>142891</v>
      </c>
      <c r="S56" s="675">
        <v>402.428</v>
      </c>
      <c r="T56" s="675">
        <v>0</v>
      </c>
      <c r="U56" s="675">
        <v>75986</v>
      </c>
      <c r="V56" s="675">
        <v>0</v>
      </c>
      <c r="W56" s="675">
        <v>0</v>
      </c>
      <c r="X56" s="675">
        <v>0</v>
      </c>
      <c r="Y56" s="675">
        <v>0</v>
      </c>
      <c r="Z56" s="675">
        <v>0</v>
      </c>
      <c r="AA56" s="675">
        <v>0</v>
      </c>
      <c r="AB56" s="675">
        <v>0</v>
      </c>
      <c r="AC56" s="675">
        <v>0</v>
      </c>
      <c r="AD56" s="675" t="s">
        <v>316</v>
      </c>
      <c r="AE56" s="675">
        <v>0</v>
      </c>
      <c r="AF56" s="675">
        <v>0</v>
      </c>
      <c r="AG56" s="675">
        <v>0</v>
      </c>
      <c r="AH56" s="675">
        <v>0</v>
      </c>
      <c r="AI56" s="675">
        <v>0</v>
      </c>
      <c r="AJ56" s="675">
        <v>6160</v>
      </c>
      <c r="AK56" s="675" t="s">
        <v>671</v>
      </c>
      <c r="AL56" s="675" t="s">
        <v>356</v>
      </c>
      <c r="AM56" s="675">
        <v>0</v>
      </c>
      <c r="AN56" s="675">
        <v>0</v>
      </c>
      <c r="AO56" s="675">
        <v>0</v>
      </c>
      <c r="AP56" s="675">
        <v>0</v>
      </c>
      <c r="AQ56" s="675">
        <v>0</v>
      </c>
      <c r="AR56" s="675">
        <v>0</v>
      </c>
      <c r="AS56" s="675">
        <v>0</v>
      </c>
      <c r="AT56" s="675">
        <v>0</v>
      </c>
      <c r="AU56" s="675">
        <v>0</v>
      </c>
      <c r="AV56" s="675">
        <v>-48891</v>
      </c>
      <c r="AW56" s="675">
        <v>2959389</v>
      </c>
      <c r="AX56" s="675">
        <v>2909436</v>
      </c>
      <c r="AY56" s="675">
        <v>2668635</v>
      </c>
      <c r="AZ56" s="675">
        <v>142891</v>
      </c>
      <c r="BA56" s="675">
        <v>0</v>
      </c>
      <c r="BB56" s="675">
        <v>0</v>
      </c>
      <c r="BC56" s="675">
        <v>0</v>
      </c>
      <c r="BD56" s="675">
        <v>0</v>
      </c>
      <c r="BE56" s="675">
        <v>0</v>
      </c>
      <c r="BF56" s="675">
        <v>2700090</v>
      </c>
      <c r="BG56" s="675">
        <v>0</v>
      </c>
      <c r="BH56" s="675">
        <v>0</v>
      </c>
      <c r="BI56" s="675">
        <v>0</v>
      </c>
      <c r="BJ56" s="675">
        <v>12</v>
      </c>
      <c r="BK56" s="675">
        <v>0</v>
      </c>
      <c r="BL56" s="675">
        <v>0</v>
      </c>
      <c r="BM56" s="675">
        <v>0</v>
      </c>
      <c r="BN56" s="675">
        <v>0</v>
      </c>
      <c r="BO56" s="675">
        <v>0</v>
      </c>
      <c r="BP56" s="675">
        <v>0</v>
      </c>
      <c r="BQ56" s="675">
        <v>727</v>
      </c>
      <c r="BR56" s="675">
        <v>0</v>
      </c>
      <c r="BS56" s="675">
        <v>0</v>
      </c>
      <c r="BT56" s="675">
        <v>0</v>
      </c>
      <c r="BU56" s="675">
        <v>0</v>
      </c>
      <c r="BV56" s="675">
        <v>0</v>
      </c>
      <c r="BW56" s="675">
        <v>0</v>
      </c>
      <c r="BX56" s="675">
        <v>0</v>
      </c>
      <c r="BY56" s="675">
        <v>0</v>
      </c>
      <c r="BZ56" s="675">
        <v>0</v>
      </c>
      <c r="CA56" s="675">
        <v>0</v>
      </c>
      <c r="CB56" s="675">
        <v>0</v>
      </c>
      <c r="CC56" s="675">
        <v>0</v>
      </c>
      <c r="CD56" s="675">
        <v>0</v>
      </c>
      <c r="CE56" s="675">
        <v>0</v>
      </c>
      <c r="CF56" s="675">
        <v>0</v>
      </c>
      <c r="CG56" s="675">
        <v>0</v>
      </c>
      <c r="CH56" s="675">
        <v>50051</v>
      </c>
      <c r="CI56" s="675">
        <v>0</v>
      </c>
      <c r="CJ56" s="675">
        <v>4</v>
      </c>
      <c r="CK56" s="675">
        <v>0</v>
      </c>
      <c r="CL56" s="675">
        <v>0</v>
      </c>
      <c r="CM56" s="675">
        <v>0</v>
      </c>
      <c r="CN56" s="675">
        <v>0</v>
      </c>
      <c r="CO56" s="675">
        <v>1</v>
      </c>
      <c r="CP56" s="675">
        <v>0</v>
      </c>
      <c r="CQ56" s="675">
        <v>0</v>
      </c>
      <c r="CR56" s="675">
        <v>377.7</v>
      </c>
      <c r="CS56" s="675">
        <v>0</v>
      </c>
      <c r="CT56" s="675">
        <v>0</v>
      </c>
      <c r="CU56" s="675">
        <v>0</v>
      </c>
      <c r="CV56" s="675">
        <v>0</v>
      </c>
      <c r="CW56" s="675">
        <v>0</v>
      </c>
      <c r="CX56" s="675">
        <v>0</v>
      </c>
      <c r="CY56" s="675">
        <v>0</v>
      </c>
      <c r="CZ56" s="675">
        <v>0</v>
      </c>
      <c r="DA56" s="675">
        <v>0</v>
      </c>
      <c r="DB56" s="675">
        <v>1658281</v>
      </c>
      <c r="DC56" s="675">
        <v>0</v>
      </c>
      <c r="DD56" s="675">
        <v>0</v>
      </c>
      <c r="DE56" s="675">
        <v>531452</v>
      </c>
      <c r="DF56" s="675">
        <v>531452</v>
      </c>
      <c r="DG56" s="675">
        <v>86.275000000000006</v>
      </c>
      <c r="DH56" s="675">
        <v>0</v>
      </c>
      <c r="DI56" s="675">
        <v>0</v>
      </c>
      <c r="DJ56" s="675">
        <v>0</v>
      </c>
      <c r="DK56" s="675">
        <v>3262</v>
      </c>
      <c r="DL56" s="675">
        <v>0</v>
      </c>
      <c r="DM56" s="675">
        <v>69372</v>
      </c>
      <c r="DN56" s="675">
        <v>98</v>
      </c>
      <c r="DO56" s="675">
        <v>0</v>
      </c>
      <c r="DP56" s="675">
        <v>0</v>
      </c>
      <c r="DQ56" s="675">
        <v>0</v>
      </c>
      <c r="DR56" s="675">
        <v>0</v>
      </c>
      <c r="DS56" s="675">
        <v>0</v>
      </c>
      <c r="DT56" s="675">
        <v>0</v>
      </c>
      <c r="DU56" s="675">
        <v>0</v>
      </c>
      <c r="DV56" s="675">
        <v>0</v>
      </c>
      <c r="DW56" s="675">
        <v>0</v>
      </c>
      <c r="DX56" s="675">
        <v>0</v>
      </c>
      <c r="DY56" s="675">
        <v>0</v>
      </c>
      <c r="DZ56" s="675">
        <v>0</v>
      </c>
      <c r="EA56" s="675">
        <v>0</v>
      </c>
      <c r="EB56" s="675">
        <v>0</v>
      </c>
      <c r="EC56" s="675">
        <v>3.2430000000000003</v>
      </c>
      <c r="ED56" s="675">
        <v>22973</v>
      </c>
      <c r="EE56" s="675">
        <v>0</v>
      </c>
      <c r="EF56" s="675">
        <v>0</v>
      </c>
      <c r="EG56" s="675">
        <v>0</v>
      </c>
      <c r="EH56" s="675">
        <v>3265</v>
      </c>
      <c r="EI56" s="675">
        <v>0</v>
      </c>
      <c r="EJ56" s="675">
        <v>0</v>
      </c>
      <c r="EK56" s="675">
        <v>0</v>
      </c>
      <c r="EL56" s="675">
        <v>0</v>
      </c>
      <c r="EM56" s="675">
        <v>0</v>
      </c>
      <c r="EN56" s="675">
        <v>0.10600000000000001</v>
      </c>
      <c r="EO56" s="675">
        <v>0</v>
      </c>
      <c r="EP56" s="675">
        <v>0</v>
      </c>
      <c r="EQ56" s="675">
        <v>0.10600000000000001</v>
      </c>
      <c r="ER56" s="675">
        <v>0</v>
      </c>
      <c r="ES56" s="675">
        <v>0.53</v>
      </c>
      <c r="ET56" s="675">
        <v>0</v>
      </c>
      <c r="EU56" s="675">
        <v>0</v>
      </c>
      <c r="EV56" s="675">
        <v>0</v>
      </c>
      <c r="EW56" s="675">
        <v>0</v>
      </c>
      <c r="EX56" s="675">
        <v>0</v>
      </c>
      <c r="EY56" s="675">
        <v>0</v>
      </c>
      <c r="EZ56" s="675">
        <v>2577976</v>
      </c>
      <c r="FA56" s="675">
        <v>0</v>
      </c>
      <c r="FB56" s="675">
        <v>2720769</v>
      </c>
      <c r="FC56" s="675">
        <v>0</v>
      </c>
      <c r="FD56" s="675">
        <v>0</v>
      </c>
      <c r="FE56" s="675">
        <v>274654</v>
      </c>
      <c r="FF56" s="675">
        <v>56806</v>
      </c>
      <c r="FG56" s="675">
        <v>6.3574999999999993E-2</v>
      </c>
      <c r="FH56" s="675">
        <v>2.6297999999999998E-2</v>
      </c>
      <c r="FI56" s="675">
        <v>0</v>
      </c>
      <c r="FJ56" s="675">
        <v>0</v>
      </c>
      <c r="FK56" s="675">
        <v>438.32800000000003</v>
      </c>
      <c r="FL56" s="675">
        <v>3102280</v>
      </c>
      <c r="FM56" s="675">
        <v>0</v>
      </c>
      <c r="FN56" s="675">
        <v>0</v>
      </c>
      <c r="FO56" s="675">
        <v>20047</v>
      </c>
      <c r="FP56" s="675">
        <v>0</v>
      </c>
      <c r="FQ56" s="675">
        <v>20047</v>
      </c>
      <c r="FR56" s="675">
        <v>20047</v>
      </c>
      <c r="FS56" s="675">
        <v>0</v>
      </c>
      <c r="FT56" s="675">
        <v>0</v>
      </c>
      <c r="FU56" s="675">
        <v>0</v>
      </c>
      <c r="FV56" s="675">
        <v>0</v>
      </c>
      <c r="FW56" s="675">
        <v>0</v>
      </c>
      <c r="FX56" s="675">
        <v>0</v>
      </c>
      <c r="FY56" s="675">
        <v>0</v>
      </c>
      <c r="FZ56" s="675">
        <v>0</v>
      </c>
      <c r="GA56" s="675">
        <v>0</v>
      </c>
      <c r="GB56" s="675">
        <v>61798</v>
      </c>
      <c r="GC56" s="675">
        <v>61798</v>
      </c>
      <c r="GD56" s="675">
        <v>7.157</v>
      </c>
      <c r="GE56" s="675">
        <v>0</v>
      </c>
      <c r="GF56" s="675">
        <v>0</v>
      </c>
      <c r="GG56" s="675">
        <v>0</v>
      </c>
      <c r="GH56" s="675">
        <v>0</v>
      </c>
      <c r="GI56" s="675">
        <v>0</v>
      </c>
      <c r="GJ56" s="675">
        <v>0</v>
      </c>
      <c r="GK56" s="675">
        <v>0</v>
      </c>
      <c r="GL56" s="675">
        <v>0</v>
      </c>
      <c r="GM56" s="675">
        <v>0</v>
      </c>
      <c r="GN56" s="675">
        <v>0</v>
      </c>
      <c r="GO56" s="675">
        <v>0</v>
      </c>
      <c r="GP56" s="675">
        <v>0</v>
      </c>
      <c r="GQ56" s="675">
        <v>0</v>
      </c>
      <c r="GR56" s="675">
        <v>0</v>
      </c>
      <c r="GS56" s="675">
        <v>0</v>
      </c>
      <c r="GT56" s="675">
        <v>0</v>
      </c>
      <c r="GU56" s="675">
        <v>0</v>
      </c>
      <c r="GV56" s="675">
        <v>0</v>
      </c>
      <c r="GW56" s="675">
        <v>0</v>
      </c>
      <c r="GX56" s="675">
        <v>0</v>
      </c>
      <c r="GY56" s="675">
        <v>0</v>
      </c>
      <c r="GZ56" s="675">
        <v>0</v>
      </c>
      <c r="HA56" s="675">
        <v>0</v>
      </c>
      <c r="HB56" s="675">
        <v>308877260</v>
      </c>
      <c r="HC56" s="675">
        <v>4.4138999999999998E-2</v>
      </c>
      <c r="HD56" s="675">
        <v>50051</v>
      </c>
      <c r="HE56" s="675">
        <v>0</v>
      </c>
      <c r="HF56" s="675">
        <v>304672</v>
      </c>
      <c r="HG56" s="675">
        <v>0</v>
      </c>
      <c r="HH56" s="675">
        <v>71662</v>
      </c>
      <c r="HI56" s="675">
        <v>0</v>
      </c>
      <c r="HJ56" s="675">
        <v>2755</v>
      </c>
      <c r="HK56" s="675">
        <v>666</v>
      </c>
      <c r="HL56" s="675">
        <v>64</v>
      </c>
      <c r="HM56" s="675">
        <v>0</v>
      </c>
      <c r="HN56" s="675">
        <v>0</v>
      </c>
      <c r="HO56" s="675">
        <v>0</v>
      </c>
      <c r="HP56" s="675">
        <v>0</v>
      </c>
      <c r="HQ56" s="675">
        <v>0</v>
      </c>
      <c r="HR56" s="675">
        <v>0</v>
      </c>
      <c r="HS56" s="675">
        <v>2577878</v>
      </c>
      <c r="HT56" s="675">
        <v>56806</v>
      </c>
      <c r="HU56" s="675">
        <v>0</v>
      </c>
      <c r="HV56" s="675">
        <v>0</v>
      </c>
      <c r="HW56" s="675">
        <v>0</v>
      </c>
      <c r="HX56" s="675">
        <v>28</v>
      </c>
      <c r="HY56" s="675">
        <v>7</v>
      </c>
      <c r="HZ56" s="675">
        <v>68</v>
      </c>
      <c r="IA56" s="675">
        <v>111</v>
      </c>
      <c r="IB56" s="675">
        <v>117</v>
      </c>
      <c r="IC56" s="675">
        <v>331</v>
      </c>
      <c r="ID56" s="675">
        <v>0</v>
      </c>
      <c r="IE56" s="675">
        <v>0</v>
      </c>
      <c r="IF56" s="675">
        <v>0</v>
      </c>
      <c r="IG56" s="675">
        <v>0</v>
      </c>
      <c r="IH56" s="675">
        <v>116.33500000000001</v>
      </c>
      <c r="II56" s="675">
        <v>0</v>
      </c>
      <c r="IJ56" s="675">
        <v>0</v>
      </c>
      <c r="IK56" s="675">
        <v>0</v>
      </c>
      <c r="IL56" s="675">
        <v>0</v>
      </c>
      <c r="IM56" s="675">
        <v>0</v>
      </c>
      <c r="IN56" s="675">
        <v>0</v>
      </c>
      <c r="IO56" s="675">
        <v>0</v>
      </c>
      <c r="IP56" s="675">
        <v>0</v>
      </c>
      <c r="IQ56" s="675">
        <v>0</v>
      </c>
      <c r="IR56" s="675">
        <v>0</v>
      </c>
      <c r="IS56" s="675">
        <v>0</v>
      </c>
      <c r="IT56" s="675">
        <v>0</v>
      </c>
      <c r="IU56" s="675">
        <v>0</v>
      </c>
      <c r="IV56" s="675">
        <v>0</v>
      </c>
      <c r="IW56" s="675">
        <v>6160</v>
      </c>
      <c r="IX56" s="675">
        <v>0</v>
      </c>
      <c r="IY56" s="675">
        <v>0</v>
      </c>
      <c r="IZ56" s="675">
        <v>0</v>
      </c>
      <c r="JA56" s="675">
        <v>0</v>
      </c>
      <c r="JB56" s="675">
        <v>0</v>
      </c>
      <c r="JC56" s="675">
        <v>0</v>
      </c>
      <c r="JD56" s="675">
        <v>0</v>
      </c>
      <c r="JE56" s="675">
        <v>0</v>
      </c>
      <c r="JF56" s="675">
        <v>0</v>
      </c>
      <c r="JG56" s="675">
        <v>0</v>
      </c>
      <c r="JH56" s="675">
        <v>0</v>
      </c>
      <c r="JI56" s="675">
        <v>0</v>
      </c>
      <c r="JJ56" s="675">
        <v>0</v>
      </c>
      <c r="JK56" s="675">
        <v>0</v>
      </c>
      <c r="JL56" s="675">
        <v>0</v>
      </c>
      <c r="JM56" s="675">
        <v>0</v>
      </c>
      <c r="JN56" s="675">
        <v>32469</v>
      </c>
      <c r="JO56" s="675">
        <v>4.6269999999999998</v>
      </c>
      <c r="JP56" s="675">
        <v>1.58</v>
      </c>
      <c r="JQ56" s="675">
        <v>0.95000000000000007</v>
      </c>
      <c r="JR56" s="675">
        <v>36966</v>
      </c>
      <c r="JS56" s="675">
        <v>14689</v>
      </c>
      <c r="JT56" s="675">
        <v>10143</v>
      </c>
      <c r="JU56" s="675">
        <v>0</v>
      </c>
      <c r="JV56" s="675">
        <v>0</v>
      </c>
      <c r="JW56" s="675">
        <v>0</v>
      </c>
      <c r="JX56" s="675">
        <v>0</v>
      </c>
      <c r="JY56" s="675">
        <v>0</v>
      </c>
      <c r="JZ56" s="675">
        <v>0</v>
      </c>
      <c r="KA56" s="675">
        <v>0</v>
      </c>
      <c r="KB56" s="675">
        <v>0</v>
      </c>
      <c r="KC56" s="675">
        <v>0</v>
      </c>
      <c r="KD56" s="675">
        <v>0</v>
      </c>
      <c r="KE56" s="675">
        <v>7263</v>
      </c>
      <c r="KF56" s="675">
        <v>0</v>
      </c>
      <c r="KG56" s="675">
        <v>0</v>
      </c>
      <c r="KH56" s="675">
        <v>0</v>
      </c>
      <c r="KI56" s="675">
        <v>0</v>
      </c>
    </row>
    <row r="57" spans="1:295" ht="12.5" x14ac:dyDescent="0.25">
      <c r="A57" s="675">
        <v>35795</v>
      </c>
      <c r="B57" s="675">
        <v>152803</v>
      </c>
      <c r="C57" s="675">
        <v>7</v>
      </c>
      <c r="D57" s="675">
        <v>2022</v>
      </c>
      <c r="E57" s="675">
        <v>6160</v>
      </c>
      <c r="F57" s="675">
        <v>0</v>
      </c>
      <c r="G57" s="675">
        <v>141.29900000000001</v>
      </c>
      <c r="H57" s="675">
        <v>125.45500000000001</v>
      </c>
      <c r="I57" s="675">
        <v>125.45500000000001</v>
      </c>
      <c r="J57" s="675">
        <v>141.29900000000001</v>
      </c>
      <c r="K57" s="675">
        <v>0</v>
      </c>
      <c r="L57" s="675">
        <v>6160</v>
      </c>
      <c r="M57" s="675">
        <v>0</v>
      </c>
      <c r="N57" s="675">
        <v>0</v>
      </c>
      <c r="O57" s="675">
        <v>0</v>
      </c>
      <c r="P57" s="675">
        <v>153.53200000000001</v>
      </c>
      <c r="Q57" s="675">
        <v>0</v>
      </c>
      <c r="R57" s="675">
        <v>61786</v>
      </c>
      <c r="S57" s="675">
        <v>402.428</v>
      </c>
      <c r="T57" s="675">
        <v>0</v>
      </c>
      <c r="U57" s="675">
        <v>32857</v>
      </c>
      <c r="V57" s="675">
        <v>2.6779999999999999</v>
      </c>
      <c r="W57" s="675">
        <v>1650</v>
      </c>
      <c r="X57" s="675">
        <v>1650</v>
      </c>
      <c r="Y57" s="675">
        <v>0</v>
      </c>
      <c r="Z57" s="675">
        <v>0</v>
      </c>
      <c r="AA57" s="675">
        <v>0</v>
      </c>
      <c r="AB57" s="675">
        <v>0</v>
      </c>
      <c r="AC57" s="675">
        <v>0</v>
      </c>
      <c r="AD57" s="675" t="s">
        <v>316</v>
      </c>
      <c r="AE57" s="675">
        <v>0</v>
      </c>
      <c r="AF57" s="675">
        <v>0</v>
      </c>
      <c r="AG57" s="675">
        <v>0</v>
      </c>
      <c r="AH57" s="675">
        <v>0</v>
      </c>
      <c r="AI57" s="675">
        <v>0</v>
      </c>
      <c r="AJ57" s="675">
        <v>6160</v>
      </c>
      <c r="AK57" s="675" t="s">
        <v>671</v>
      </c>
      <c r="AL57" s="675" t="s">
        <v>473</v>
      </c>
      <c r="AM57" s="675">
        <v>0</v>
      </c>
      <c r="AN57" s="675">
        <v>0</v>
      </c>
      <c r="AO57" s="675">
        <v>0</v>
      </c>
      <c r="AP57" s="675">
        <v>0</v>
      </c>
      <c r="AQ57" s="675">
        <v>0</v>
      </c>
      <c r="AR57" s="675">
        <v>0</v>
      </c>
      <c r="AS57" s="675">
        <v>0</v>
      </c>
      <c r="AT57" s="675">
        <v>0</v>
      </c>
      <c r="AU57" s="675">
        <v>0</v>
      </c>
      <c r="AV57" s="675">
        <v>-11104</v>
      </c>
      <c r="AW57" s="675">
        <v>1612887</v>
      </c>
      <c r="AX57" s="675">
        <v>1582593</v>
      </c>
      <c r="AY57" s="675">
        <v>991666</v>
      </c>
      <c r="AZ57" s="675">
        <v>61786</v>
      </c>
      <c r="BA57" s="675">
        <v>0</v>
      </c>
      <c r="BB57" s="675">
        <v>0</v>
      </c>
      <c r="BC57" s="675">
        <v>0</v>
      </c>
      <c r="BD57" s="675">
        <v>0</v>
      </c>
      <c r="BE57" s="675">
        <v>0</v>
      </c>
      <c r="BF57" s="675">
        <v>1461185</v>
      </c>
      <c r="BG57" s="675">
        <v>0</v>
      </c>
      <c r="BH57" s="675">
        <v>0</v>
      </c>
      <c r="BI57" s="675">
        <v>0</v>
      </c>
      <c r="BJ57" s="675">
        <v>12</v>
      </c>
      <c r="BK57" s="675">
        <v>0</v>
      </c>
      <c r="BL57" s="675">
        <v>0</v>
      </c>
      <c r="BM57" s="675">
        <v>0</v>
      </c>
      <c r="BN57" s="675">
        <v>0</v>
      </c>
      <c r="BO57" s="675">
        <v>0</v>
      </c>
      <c r="BP57" s="675">
        <v>0</v>
      </c>
      <c r="BQ57" s="675">
        <v>751</v>
      </c>
      <c r="BR57" s="675">
        <v>0</v>
      </c>
      <c r="BS57" s="675">
        <v>0</v>
      </c>
      <c r="BT57" s="675">
        <v>0</v>
      </c>
      <c r="BU57" s="675">
        <v>0</v>
      </c>
      <c r="BV57" s="675">
        <v>0</v>
      </c>
      <c r="BW57" s="675">
        <v>0</v>
      </c>
      <c r="BX57" s="675">
        <v>0</v>
      </c>
      <c r="BY57" s="675">
        <v>0</v>
      </c>
      <c r="BZ57" s="675">
        <v>0</v>
      </c>
      <c r="CA57" s="675">
        <v>0</v>
      </c>
      <c r="CB57" s="675">
        <v>0</v>
      </c>
      <c r="CC57" s="675">
        <v>0</v>
      </c>
      <c r="CD57" s="675">
        <v>0</v>
      </c>
      <c r="CE57" s="675">
        <v>0</v>
      </c>
      <c r="CF57" s="675">
        <v>0</v>
      </c>
      <c r="CG57" s="675">
        <v>0</v>
      </c>
      <c r="CH57" s="675">
        <v>30795</v>
      </c>
      <c r="CI57" s="675">
        <v>0</v>
      </c>
      <c r="CJ57" s="675">
        <v>4</v>
      </c>
      <c r="CK57" s="675">
        <v>0</v>
      </c>
      <c r="CL57" s="675">
        <v>0</v>
      </c>
      <c r="CM57" s="675">
        <v>0</v>
      </c>
      <c r="CN57" s="675">
        <v>0</v>
      </c>
      <c r="CO57" s="675">
        <v>1</v>
      </c>
      <c r="CP57" s="675">
        <v>1.9450000000000001</v>
      </c>
      <c r="CQ57" s="675">
        <v>0</v>
      </c>
      <c r="CR57" s="675">
        <v>145.58700000000002</v>
      </c>
      <c r="CS57" s="675">
        <v>0</v>
      </c>
      <c r="CT57" s="675">
        <v>0</v>
      </c>
      <c r="CU57" s="675">
        <v>0</v>
      </c>
      <c r="CV57" s="675">
        <v>0</v>
      </c>
      <c r="CW57" s="675">
        <v>0</v>
      </c>
      <c r="CX57" s="675">
        <v>0</v>
      </c>
      <c r="CY57" s="675">
        <v>0</v>
      </c>
      <c r="CZ57" s="675">
        <v>0</v>
      </c>
      <c r="DA57" s="675">
        <v>0</v>
      </c>
      <c r="DB57" s="675">
        <v>731031</v>
      </c>
      <c r="DC57" s="675">
        <v>0</v>
      </c>
      <c r="DD57" s="675">
        <v>0</v>
      </c>
      <c r="DE57" s="675">
        <v>246322</v>
      </c>
      <c r="DF57" s="675">
        <v>275197</v>
      </c>
      <c r="DG57" s="675">
        <v>39.988</v>
      </c>
      <c r="DH57" s="675">
        <v>0</v>
      </c>
      <c r="DI57" s="675">
        <v>28875</v>
      </c>
      <c r="DJ57" s="675">
        <v>0</v>
      </c>
      <c r="DK57" s="675">
        <v>3633</v>
      </c>
      <c r="DL57" s="675">
        <v>0</v>
      </c>
      <c r="DM57" s="675">
        <v>174947</v>
      </c>
      <c r="DN57" s="675">
        <v>501</v>
      </c>
      <c r="DO57" s="675">
        <v>0</v>
      </c>
      <c r="DP57" s="675">
        <v>0</v>
      </c>
      <c r="DQ57" s="675">
        <v>0</v>
      </c>
      <c r="DR57" s="675">
        <v>0</v>
      </c>
      <c r="DS57" s="675">
        <v>0</v>
      </c>
      <c r="DT57" s="675">
        <v>0</v>
      </c>
      <c r="DU57" s="675">
        <v>0</v>
      </c>
      <c r="DV57" s="675">
        <v>0</v>
      </c>
      <c r="DW57" s="675">
        <v>0</v>
      </c>
      <c r="DX57" s="675">
        <v>0</v>
      </c>
      <c r="DY57" s="675">
        <v>0</v>
      </c>
      <c r="DZ57" s="675">
        <v>0</v>
      </c>
      <c r="EA57" s="675">
        <v>0</v>
      </c>
      <c r="EB57" s="675">
        <v>0</v>
      </c>
      <c r="EC57" s="675">
        <v>18.442</v>
      </c>
      <c r="ED57" s="675">
        <v>130643</v>
      </c>
      <c r="EE57" s="675">
        <v>0</v>
      </c>
      <c r="EF57" s="675">
        <v>0</v>
      </c>
      <c r="EG57" s="675">
        <v>0</v>
      </c>
      <c r="EH57" s="675">
        <v>3037</v>
      </c>
      <c r="EI57" s="675">
        <v>0</v>
      </c>
      <c r="EJ57" s="675">
        <v>0</v>
      </c>
      <c r="EK57" s="675">
        <v>0.10100000000000001</v>
      </c>
      <c r="EL57" s="675">
        <v>0</v>
      </c>
      <c r="EM57" s="675">
        <v>0</v>
      </c>
      <c r="EN57" s="675">
        <v>3.7999999999999999E-2</v>
      </c>
      <c r="EO57" s="675">
        <v>0</v>
      </c>
      <c r="EP57" s="675">
        <v>0</v>
      </c>
      <c r="EQ57" s="675">
        <v>0.13900000000000001</v>
      </c>
      <c r="ER57" s="675">
        <v>0</v>
      </c>
      <c r="ES57" s="675">
        <v>0.49300000000000005</v>
      </c>
      <c r="ET57" s="675">
        <v>0</v>
      </c>
      <c r="EU57" s="675">
        <v>0</v>
      </c>
      <c r="EV57" s="675">
        <v>0</v>
      </c>
      <c r="EW57" s="675">
        <v>0</v>
      </c>
      <c r="EX57" s="675">
        <v>0</v>
      </c>
      <c r="EY57" s="675">
        <v>0</v>
      </c>
      <c r="EZ57" s="675">
        <v>1403220</v>
      </c>
      <c r="FA57" s="675">
        <v>0</v>
      </c>
      <c r="FB57" s="675">
        <v>1464505</v>
      </c>
      <c r="FC57" s="675">
        <v>0</v>
      </c>
      <c r="FD57" s="675">
        <v>0</v>
      </c>
      <c r="FE57" s="675">
        <v>148632</v>
      </c>
      <c r="FF57" s="675">
        <v>30741</v>
      </c>
      <c r="FG57" s="675">
        <v>6.3574999999999993E-2</v>
      </c>
      <c r="FH57" s="675">
        <v>2.6297999999999998E-2</v>
      </c>
      <c r="FI57" s="675">
        <v>0</v>
      </c>
      <c r="FJ57" s="675">
        <v>0</v>
      </c>
      <c r="FK57" s="675">
        <v>237.20600000000002</v>
      </c>
      <c r="FL57" s="675">
        <v>1674673</v>
      </c>
      <c r="FM57" s="675">
        <v>0</v>
      </c>
      <c r="FN57" s="675">
        <v>0</v>
      </c>
      <c r="FO57" s="675">
        <v>0</v>
      </c>
      <c r="FP57" s="675">
        <v>0</v>
      </c>
      <c r="FQ57" s="675">
        <v>0</v>
      </c>
      <c r="FR57" s="675">
        <v>0</v>
      </c>
      <c r="FS57" s="675">
        <v>0</v>
      </c>
      <c r="FT57" s="675">
        <v>0</v>
      </c>
      <c r="FU57" s="675">
        <v>0</v>
      </c>
      <c r="FV57" s="675">
        <v>0</v>
      </c>
      <c r="FW57" s="675">
        <v>0</v>
      </c>
      <c r="FX57" s="675">
        <v>0</v>
      </c>
      <c r="FY57" s="675">
        <v>0</v>
      </c>
      <c r="FZ57" s="675">
        <v>0</v>
      </c>
      <c r="GA57" s="675">
        <v>0</v>
      </c>
      <c r="GB57" s="675">
        <v>133618</v>
      </c>
      <c r="GC57" s="675">
        <v>133618</v>
      </c>
      <c r="GD57" s="675">
        <v>15.705</v>
      </c>
      <c r="GE57" s="675">
        <v>0</v>
      </c>
      <c r="GF57" s="675">
        <v>0</v>
      </c>
      <c r="GG57" s="675">
        <v>0</v>
      </c>
      <c r="GH57" s="675">
        <v>0</v>
      </c>
      <c r="GI57" s="675">
        <v>0</v>
      </c>
      <c r="GJ57" s="675">
        <v>0</v>
      </c>
      <c r="GK57" s="675">
        <v>0</v>
      </c>
      <c r="GL57" s="675">
        <v>0</v>
      </c>
      <c r="GM57" s="675">
        <v>0</v>
      </c>
      <c r="GN57" s="675">
        <v>0</v>
      </c>
      <c r="GO57" s="675">
        <v>0</v>
      </c>
      <c r="GP57" s="675">
        <v>0</v>
      </c>
      <c r="GQ57" s="675">
        <v>0</v>
      </c>
      <c r="GR57" s="675">
        <v>0</v>
      </c>
      <c r="GS57" s="675">
        <v>0</v>
      </c>
      <c r="GT57" s="675">
        <v>0</v>
      </c>
      <c r="GU57" s="675">
        <v>0</v>
      </c>
      <c r="GV57" s="675">
        <v>0</v>
      </c>
      <c r="GW57" s="675">
        <v>0</v>
      </c>
      <c r="GX57" s="675">
        <v>0</v>
      </c>
      <c r="GY57" s="675">
        <v>0</v>
      </c>
      <c r="GZ57" s="675">
        <v>0</v>
      </c>
      <c r="HA57" s="675">
        <v>0</v>
      </c>
      <c r="HB57" s="675">
        <v>308877260</v>
      </c>
      <c r="HC57" s="675">
        <v>4.4138999999999998E-2</v>
      </c>
      <c r="HD57" s="675">
        <v>24947</v>
      </c>
      <c r="HE57" s="675">
        <v>0</v>
      </c>
      <c r="HF57" s="675">
        <v>138377</v>
      </c>
      <c r="HG57" s="675">
        <v>4491</v>
      </c>
      <c r="HH57" s="675">
        <v>0</v>
      </c>
      <c r="HI57" s="675">
        <v>0</v>
      </c>
      <c r="HJ57" s="675">
        <v>1373</v>
      </c>
      <c r="HK57" s="675">
        <v>2601</v>
      </c>
      <c r="HL57" s="675">
        <v>1220</v>
      </c>
      <c r="HM57" s="675">
        <v>0</v>
      </c>
      <c r="HN57" s="675">
        <v>0</v>
      </c>
      <c r="HO57" s="675">
        <v>0</v>
      </c>
      <c r="HP57" s="675">
        <v>0</v>
      </c>
      <c r="HQ57" s="675">
        <v>0</v>
      </c>
      <c r="HR57" s="675">
        <v>0</v>
      </c>
      <c r="HS57" s="675">
        <v>1402719</v>
      </c>
      <c r="HT57" s="675">
        <v>30741</v>
      </c>
      <c r="HU57" s="675">
        <v>5848</v>
      </c>
      <c r="HV57" s="675">
        <v>0</v>
      </c>
      <c r="HW57" s="675">
        <v>0</v>
      </c>
      <c r="HX57" s="675">
        <v>25</v>
      </c>
      <c r="HY57" s="675">
        <v>16</v>
      </c>
      <c r="HZ57" s="675">
        <v>15</v>
      </c>
      <c r="IA57" s="675">
        <v>33</v>
      </c>
      <c r="IB57" s="675">
        <v>66</v>
      </c>
      <c r="IC57" s="675">
        <v>155</v>
      </c>
      <c r="ID57" s="675">
        <v>0</v>
      </c>
      <c r="IE57" s="675">
        <v>0</v>
      </c>
      <c r="IF57" s="675">
        <v>0</v>
      </c>
      <c r="IG57" s="675">
        <v>7.2910000000000004</v>
      </c>
      <c r="IH57" s="675">
        <v>0</v>
      </c>
      <c r="II57" s="675">
        <v>0</v>
      </c>
      <c r="IJ57" s="675">
        <v>2.6779999999999999</v>
      </c>
      <c r="IK57" s="675">
        <v>0</v>
      </c>
      <c r="IL57" s="675">
        <v>0</v>
      </c>
      <c r="IM57" s="675">
        <v>0</v>
      </c>
      <c r="IN57" s="675">
        <v>0</v>
      </c>
      <c r="IO57" s="675">
        <v>0</v>
      </c>
      <c r="IP57" s="675">
        <v>0</v>
      </c>
      <c r="IQ57" s="675">
        <v>2.6779999999999999</v>
      </c>
      <c r="IR57" s="675">
        <v>1650</v>
      </c>
      <c r="IS57" s="675">
        <v>0</v>
      </c>
      <c r="IT57" s="675">
        <v>0</v>
      </c>
      <c r="IU57" s="675">
        <v>0</v>
      </c>
      <c r="IV57" s="675">
        <v>0</v>
      </c>
      <c r="IW57" s="675">
        <v>6160</v>
      </c>
      <c r="IX57" s="675">
        <v>0</v>
      </c>
      <c r="IY57" s="675">
        <v>0</v>
      </c>
      <c r="IZ57" s="675">
        <v>0</v>
      </c>
      <c r="JA57" s="675">
        <v>0</v>
      </c>
      <c r="JB57" s="675">
        <v>0</v>
      </c>
      <c r="JC57" s="675">
        <v>0</v>
      </c>
      <c r="JD57" s="675">
        <v>0</v>
      </c>
      <c r="JE57" s="675">
        <v>0</v>
      </c>
      <c r="JF57" s="675">
        <v>0</v>
      </c>
      <c r="JG57" s="675">
        <v>0</v>
      </c>
      <c r="JH57" s="675">
        <v>0</v>
      </c>
      <c r="JI57" s="675">
        <v>0</v>
      </c>
      <c r="JJ57" s="675">
        <v>0</v>
      </c>
      <c r="JK57" s="675">
        <v>0</v>
      </c>
      <c r="JL57" s="675">
        <v>0</v>
      </c>
      <c r="JM57" s="675">
        <v>0</v>
      </c>
      <c r="JN57" s="675">
        <v>32469</v>
      </c>
      <c r="JO57" s="675">
        <v>10.103</v>
      </c>
      <c r="JP57" s="675">
        <v>5.0060000000000002</v>
      </c>
      <c r="JQ57" s="675">
        <v>0.59599999999999997</v>
      </c>
      <c r="JR57" s="675">
        <v>80716</v>
      </c>
      <c r="JS57" s="675">
        <v>46539</v>
      </c>
      <c r="JT57" s="675">
        <v>6363</v>
      </c>
      <c r="JU57" s="675">
        <v>0</v>
      </c>
      <c r="JV57" s="675">
        <v>5848</v>
      </c>
      <c r="JW57" s="675">
        <v>0</v>
      </c>
      <c r="JX57" s="675">
        <v>0</v>
      </c>
      <c r="JY57" s="675">
        <v>0</v>
      </c>
      <c r="JZ57" s="675">
        <v>0</v>
      </c>
      <c r="KA57" s="675">
        <v>0</v>
      </c>
      <c r="KB57" s="675">
        <v>0</v>
      </c>
      <c r="KC57" s="675">
        <v>0</v>
      </c>
      <c r="KD57" s="675">
        <v>0</v>
      </c>
      <c r="KE57" s="675">
        <v>7263</v>
      </c>
      <c r="KF57" s="675">
        <v>0</v>
      </c>
      <c r="KG57" s="675">
        <v>0</v>
      </c>
      <c r="KH57" s="675">
        <v>0</v>
      </c>
      <c r="KI57" s="675">
        <v>0</v>
      </c>
    </row>
    <row r="58" spans="1:295" ht="12.5" x14ac:dyDescent="0.25">
      <c r="A58" s="675">
        <v>35795</v>
      </c>
      <c r="B58" s="675">
        <v>227803</v>
      </c>
      <c r="C58" s="675">
        <v>7</v>
      </c>
      <c r="D58" s="675">
        <v>2022</v>
      </c>
      <c r="E58" s="675">
        <v>6160</v>
      </c>
      <c r="F58" s="675">
        <v>0</v>
      </c>
      <c r="G58" s="675">
        <v>1447.067</v>
      </c>
      <c r="H58" s="675">
        <v>1333.25</v>
      </c>
      <c r="I58" s="675">
        <v>1333.25</v>
      </c>
      <c r="J58" s="675">
        <v>1447.067</v>
      </c>
      <c r="K58" s="675">
        <v>0</v>
      </c>
      <c r="L58" s="675">
        <v>6160</v>
      </c>
      <c r="M58" s="675">
        <v>0</v>
      </c>
      <c r="N58" s="675">
        <v>0</v>
      </c>
      <c r="O58" s="675">
        <v>0</v>
      </c>
      <c r="P58" s="675">
        <v>1649.039</v>
      </c>
      <c r="Q58" s="675">
        <v>0</v>
      </c>
      <c r="R58" s="675">
        <v>663619</v>
      </c>
      <c r="S58" s="675">
        <v>402.428</v>
      </c>
      <c r="T58" s="675">
        <v>0</v>
      </c>
      <c r="U58" s="675">
        <v>352898</v>
      </c>
      <c r="V58" s="675">
        <v>612.42899999999997</v>
      </c>
      <c r="W58" s="675">
        <v>377255</v>
      </c>
      <c r="X58" s="675">
        <v>377255</v>
      </c>
      <c r="Y58" s="675">
        <v>0</v>
      </c>
      <c r="Z58" s="675">
        <v>0</v>
      </c>
      <c r="AA58" s="675">
        <v>0</v>
      </c>
      <c r="AB58" s="675">
        <v>0</v>
      </c>
      <c r="AC58" s="675">
        <v>0</v>
      </c>
      <c r="AD58" s="675" t="s">
        <v>316</v>
      </c>
      <c r="AE58" s="675">
        <v>0</v>
      </c>
      <c r="AF58" s="675">
        <v>0</v>
      </c>
      <c r="AG58" s="675">
        <v>0</v>
      </c>
      <c r="AH58" s="675">
        <v>0</v>
      </c>
      <c r="AI58" s="675">
        <v>0</v>
      </c>
      <c r="AJ58" s="675">
        <v>6160</v>
      </c>
      <c r="AK58" s="675" t="s">
        <v>671</v>
      </c>
      <c r="AL58" s="675" t="s">
        <v>366</v>
      </c>
      <c r="AM58" s="675">
        <v>0</v>
      </c>
      <c r="AN58" s="675">
        <v>0</v>
      </c>
      <c r="AO58" s="675">
        <v>0</v>
      </c>
      <c r="AP58" s="675">
        <v>0</v>
      </c>
      <c r="AQ58" s="675">
        <v>0</v>
      </c>
      <c r="AR58" s="675">
        <v>0</v>
      </c>
      <c r="AS58" s="675">
        <v>0</v>
      </c>
      <c r="AT58" s="675">
        <v>0</v>
      </c>
      <c r="AU58" s="675">
        <v>0</v>
      </c>
      <c r="AV58" s="675">
        <v>-955569</v>
      </c>
      <c r="AW58" s="675">
        <v>15862919</v>
      </c>
      <c r="AX58" s="675">
        <v>15612847</v>
      </c>
      <c r="AY58" s="675">
        <v>10339334</v>
      </c>
      <c r="AZ58" s="675">
        <v>663619</v>
      </c>
      <c r="BA58" s="675">
        <v>0</v>
      </c>
      <c r="BB58" s="675">
        <v>0</v>
      </c>
      <c r="BC58" s="675">
        <v>0</v>
      </c>
      <c r="BD58" s="675">
        <v>0</v>
      </c>
      <c r="BE58" s="675">
        <v>0</v>
      </c>
      <c r="BF58" s="675">
        <v>14492109</v>
      </c>
      <c r="BG58" s="675">
        <v>0</v>
      </c>
      <c r="BH58" s="675">
        <v>0</v>
      </c>
      <c r="BI58" s="675">
        <v>0</v>
      </c>
      <c r="BJ58" s="675">
        <v>12</v>
      </c>
      <c r="BK58" s="675">
        <v>0</v>
      </c>
      <c r="BL58" s="675">
        <v>0</v>
      </c>
      <c r="BM58" s="675">
        <v>0</v>
      </c>
      <c r="BN58" s="675">
        <v>0</v>
      </c>
      <c r="BO58" s="675">
        <v>0</v>
      </c>
      <c r="BP58" s="675">
        <v>0</v>
      </c>
      <c r="BQ58" s="675">
        <v>565</v>
      </c>
      <c r="BR58" s="675">
        <v>0</v>
      </c>
      <c r="BS58" s="675">
        <v>0</v>
      </c>
      <c r="BT58" s="675">
        <v>0</v>
      </c>
      <c r="BU58" s="675">
        <v>0</v>
      </c>
      <c r="BV58" s="675">
        <v>0</v>
      </c>
      <c r="BW58" s="675">
        <v>0</v>
      </c>
      <c r="BX58" s="675">
        <v>0</v>
      </c>
      <c r="BY58" s="675">
        <v>0</v>
      </c>
      <c r="BZ58" s="675">
        <v>0</v>
      </c>
      <c r="CA58" s="675">
        <v>0</v>
      </c>
      <c r="CB58" s="675">
        <v>0</v>
      </c>
      <c r="CC58" s="675">
        <v>0</v>
      </c>
      <c r="CD58" s="675">
        <v>0</v>
      </c>
      <c r="CE58" s="675">
        <v>0</v>
      </c>
      <c r="CF58" s="675">
        <v>0</v>
      </c>
      <c r="CG58" s="675">
        <v>0</v>
      </c>
      <c r="CH58" s="675">
        <v>255488</v>
      </c>
      <c r="CI58" s="675">
        <v>0</v>
      </c>
      <c r="CJ58" s="675">
        <v>4</v>
      </c>
      <c r="CK58" s="675">
        <v>0</v>
      </c>
      <c r="CL58" s="675">
        <v>0</v>
      </c>
      <c r="CM58" s="675">
        <v>0</v>
      </c>
      <c r="CN58" s="675">
        <v>0</v>
      </c>
      <c r="CO58" s="675">
        <v>1</v>
      </c>
      <c r="CP58" s="675">
        <v>0</v>
      </c>
      <c r="CQ58" s="675">
        <v>0</v>
      </c>
      <c r="CR58" s="675">
        <v>1691.566</v>
      </c>
      <c r="CS58" s="675">
        <v>0</v>
      </c>
      <c r="CT58" s="675">
        <v>0</v>
      </c>
      <c r="CU58" s="675">
        <v>0</v>
      </c>
      <c r="CV58" s="675">
        <v>0</v>
      </c>
      <c r="CW58" s="675">
        <v>0</v>
      </c>
      <c r="CX58" s="675">
        <v>0</v>
      </c>
      <c r="CY58" s="675">
        <v>0</v>
      </c>
      <c r="CZ58" s="675">
        <v>0</v>
      </c>
      <c r="DA58" s="675">
        <v>0</v>
      </c>
      <c r="DB58" s="675">
        <v>8212782</v>
      </c>
      <c r="DC58" s="675">
        <v>0</v>
      </c>
      <c r="DD58" s="675">
        <v>0</v>
      </c>
      <c r="DE58" s="675">
        <v>2011847</v>
      </c>
      <c r="DF58" s="675">
        <v>2011847</v>
      </c>
      <c r="DG58" s="675">
        <v>326.60000000000002</v>
      </c>
      <c r="DH58" s="675">
        <v>0</v>
      </c>
      <c r="DI58" s="675">
        <v>0</v>
      </c>
      <c r="DJ58" s="675">
        <v>0</v>
      </c>
      <c r="DK58" s="675">
        <v>657</v>
      </c>
      <c r="DL58" s="675">
        <v>0</v>
      </c>
      <c r="DM58" s="675">
        <v>1439795</v>
      </c>
      <c r="DN58" s="675">
        <v>5416</v>
      </c>
      <c r="DO58" s="675">
        <v>0</v>
      </c>
      <c r="DP58" s="675">
        <v>0</v>
      </c>
      <c r="DQ58" s="675">
        <v>0</v>
      </c>
      <c r="DR58" s="675">
        <v>0</v>
      </c>
      <c r="DS58" s="675">
        <v>0</v>
      </c>
      <c r="DT58" s="675">
        <v>0</v>
      </c>
      <c r="DU58" s="675">
        <v>0</v>
      </c>
      <c r="DV58" s="675">
        <v>0</v>
      </c>
      <c r="DW58" s="675">
        <v>0</v>
      </c>
      <c r="DX58" s="675">
        <v>0</v>
      </c>
      <c r="DY58" s="675">
        <v>0</v>
      </c>
      <c r="DZ58" s="675">
        <v>0</v>
      </c>
      <c r="EA58" s="675">
        <v>0</v>
      </c>
      <c r="EB58" s="675">
        <v>0</v>
      </c>
      <c r="EC58" s="675">
        <v>46.155000000000001</v>
      </c>
      <c r="ED58" s="675">
        <v>326961</v>
      </c>
      <c r="EE58" s="675">
        <v>0</v>
      </c>
      <c r="EF58" s="675">
        <v>0</v>
      </c>
      <c r="EG58" s="675">
        <v>0</v>
      </c>
      <c r="EH58" s="675">
        <v>1118250</v>
      </c>
      <c r="EI58" s="675">
        <v>0</v>
      </c>
      <c r="EJ58" s="675">
        <v>0</v>
      </c>
      <c r="EK58" s="675">
        <v>50.227000000000004</v>
      </c>
      <c r="EL58" s="675">
        <v>0</v>
      </c>
      <c r="EM58" s="675">
        <v>6.048</v>
      </c>
      <c r="EN58" s="675">
        <v>2.5420000000000003</v>
      </c>
      <c r="EO58" s="675">
        <v>0</v>
      </c>
      <c r="EP58" s="675">
        <v>0</v>
      </c>
      <c r="EQ58" s="675">
        <v>58.817</v>
      </c>
      <c r="ER58" s="675">
        <v>0</v>
      </c>
      <c r="ES58" s="675">
        <v>181.535</v>
      </c>
      <c r="ET58" s="675">
        <v>0</v>
      </c>
      <c r="EU58" s="675">
        <v>0</v>
      </c>
      <c r="EV58" s="675">
        <v>0</v>
      </c>
      <c r="EW58" s="675">
        <v>0</v>
      </c>
      <c r="EX58" s="675">
        <v>0</v>
      </c>
      <c r="EY58" s="675">
        <v>0</v>
      </c>
      <c r="EZ58" s="675">
        <v>13833811</v>
      </c>
      <c r="FA58" s="675">
        <v>0</v>
      </c>
      <c r="FB58" s="675">
        <v>14492014</v>
      </c>
      <c r="FC58" s="675">
        <v>0</v>
      </c>
      <c r="FD58" s="675">
        <v>0</v>
      </c>
      <c r="FE58" s="675">
        <v>1474144</v>
      </c>
      <c r="FF58" s="675">
        <v>304892</v>
      </c>
      <c r="FG58" s="675">
        <v>6.3574999999999993E-2</v>
      </c>
      <c r="FH58" s="675">
        <v>2.6297999999999998E-2</v>
      </c>
      <c r="FI58" s="675">
        <v>0</v>
      </c>
      <c r="FJ58" s="675">
        <v>0</v>
      </c>
      <c r="FK58" s="675">
        <v>2352.6260000000002</v>
      </c>
      <c r="FL58" s="675">
        <v>16526538</v>
      </c>
      <c r="FM58" s="675">
        <v>0</v>
      </c>
      <c r="FN58" s="675">
        <v>0</v>
      </c>
      <c r="FO58" s="675">
        <v>0</v>
      </c>
      <c r="FP58" s="675">
        <v>0</v>
      </c>
      <c r="FQ58" s="675">
        <v>0</v>
      </c>
      <c r="FR58" s="675">
        <v>0</v>
      </c>
      <c r="FS58" s="675">
        <v>0</v>
      </c>
      <c r="FT58" s="675">
        <v>0</v>
      </c>
      <c r="FU58" s="675">
        <v>0</v>
      </c>
      <c r="FV58" s="675">
        <v>0</v>
      </c>
      <c r="FW58" s="675">
        <v>0</v>
      </c>
      <c r="FX58" s="675">
        <v>0</v>
      </c>
      <c r="FY58" s="675">
        <v>0</v>
      </c>
      <c r="FZ58" s="675">
        <v>0</v>
      </c>
      <c r="GA58" s="675">
        <v>0</v>
      </c>
      <c r="GB58" s="675">
        <v>526257</v>
      </c>
      <c r="GC58" s="675">
        <v>526257</v>
      </c>
      <c r="GD58" s="675">
        <v>55</v>
      </c>
      <c r="GE58" s="675">
        <v>0</v>
      </c>
      <c r="GF58" s="675">
        <v>0</v>
      </c>
      <c r="GG58" s="675">
        <v>0</v>
      </c>
      <c r="GH58" s="675">
        <v>0</v>
      </c>
      <c r="GI58" s="675">
        <v>0</v>
      </c>
      <c r="GJ58" s="675">
        <v>0</v>
      </c>
      <c r="GK58" s="675">
        <v>0</v>
      </c>
      <c r="GL58" s="675">
        <v>0</v>
      </c>
      <c r="GM58" s="675">
        <v>0</v>
      </c>
      <c r="GN58" s="675">
        <v>0</v>
      </c>
      <c r="GO58" s="675">
        <v>0</v>
      </c>
      <c r="GP58" s="675">
        <v>0</v>
      </c>
      <c r="GQ58" s="675">
        <v>0</v>
      </c>
      <c r="GR58" s="675">
        <v>0</v>
      </c>
      <c r="GS58" s="675">
        <v>0</v>
      </c>
      <c r="GT58" s="675">
        <v>0</v>
      </c>
      <c r="GU58" s="675">
        <v>0</v>
      </c>
      <c r="GV58" s="675">
        <v>0</v>
      </c>
      <c r="GW58" s="675">
        <v>0</v>
      </c>
      <c r="GX58" s="675">
        <v>0</v>
      </c>
      <c r="GY58" s="675">
        <v>0</v>
      </c>
      <c r="GZ58" s="675">
        <v>0</v>
      </c>
      <c r="HA58" s="675">
        <v>0</v>
      </c>
      <c r="HB58" s="675">
        <v>308877260</v>
      </c>
      <c r="HC58" s="675">
        <v>4.4138999999999998E-2</v>
      </c>
      <c r="HD58" s="675">
        <v>255488</v>
      </c>
      <c r="HE58" s="675">
        <v>0</v>
      </c>
      <c r="HF58" s="675">
        <v>1470575</v>
      </c>
      <c r="HG58" s="675">
        <v>43120</v>
      </c>
      <c r="HH58" s="675">
        <v>388997</v>
      </c>
      <c r="HI58" s="675">
        <v>0</v>
      </c>
      <c r="HJ58" s="675">
        <v>14065</v>
      </c>
      <c r="HK58" s="675">
        <v>3555</v>
      </c>
      <c r="HL58" s="675">
        <v>1766</v>
      </c>
      <c r="HM58" s="675">
        <v>2000</v>
      </c>
      <c r="HN58" s="675">
        <v>0</v>
      </c>
      <c r="HO58" s="675">
        <v>0</v>
      </c>
      <c r="HP58" s="675">
        <v>0</v>
      </c>
      <c r="HQ58" s="675">
        <v>0</v>
      </c>
      <c r="HR58" s="675">
        <v>0</v>
      </c>
      <c r="HS58" s="675">
        <v>13828395</v>
      </c>
      <c r="HT58" s="675">
        <v>304892</v>
      </c>
      <c r="HU58" s="675">
        <v>0</v>
      </c>
      <c r="HV58" s="675">
        <v>0</v>
      </c>
      <c r="HW58" s="675">
        <v>0</v>
      </c>
      <c r="HX58" s="675">
        <v>190</v>
      </c>
      <c r="HY58" s="675">
        <v>247</v>
      </c>
      <c r="HZ58" s="675">
        <v>360</v>
      </c>
      <c r="IA58" s="675">
        <v>273</v>
      </c>
      <c r="IB58" s="675">
        <v>231</v>
      </c>
      <c r="IC58" s="675">
        <v>1301</v>
      </c>
      <c r="ID58" s="675">
        <v>0</v>
      </c>
      <c r="IE58" s="675">
        <v>0</v>
      </c>
      <c r="IF58" s="675">
        <v>0</v>
      </c>
      <c r="IG58" s="675">
        <v>70</v>
      </c>
      <c r="IH58" s="675">
        <v>631.49200000000008</v>
      </c>
      <c r="II58" s="675">
        <v>0</v>
      </c>
      <c r="IJ58" s="675">
        <v>612.42899999999997</v>
      </c>
      <c r="IK58" s="675">
        <v>0</v>
      </c>
      <c r="IL58" s="675">
        <v>0</v>
      </c>
      <c r="IM58" s="675">
        <v>0</v>
      </c>
      <c r="IN58" s="675">
        <v>1</v>
      </c>
      <c r="IO58" s="675">
        <v>1</v>
      </c>
      <c r="IP58" s="675">
        <v>0</v>
      </c>
      <c r="IQ58" s="675">
        <v>612.42899999999997</v>
      </c>
      <c r="IR58" s="675">
        <v>377255</v>
      </c>
      <c r="IS58" s="675">
        <v>0</v>
      </c>
      <c r="IT58" s="675">
        <v>0</v>
      </c>
      <c r="IU58" s="675">
        <v>0</v>
      </c>
      <c r="IV58" s="675">
        <v>2000</v>
      </c>
      <c r="IW58" s="675">
        <v>6160</v>
      </c>
      <c r="IX58" s="675">
        <v>0</v>
      </c>
      <c r="IY58" s="675">
        <v>0</v>
      </c>
      <c r="IZ58" s="675">
        <v>0</v>
      </c>
      <c r="JA58" s="675">
        <v>0</v>
      </c>
      <c r="JB58" s="675">
        <v>0</v>
      </c>
      <c r="JC58" s="675">
        <v>0</v>
      </c>
      <c r="JD58" s="675">
        <v>0</v>
      </c>
      <c r="JE58" s="675">
        <v>0</v>
      </c>
      <c r="JF58" s="675">
        <v>0</v>
      </c>
      <c r="JG58" s="675">
        <v>0</v>
      </c>
      <c r="JH58" s="675">
        <v>0</v>
      </c>
      <c r="JI58" s="675">
        <v>0</v>
      </c>
      <c r="JJ58" s="675">
        <v>0</v>
      </c>
      <c r="JK58" s="675">
        <v>0</v>
      </c>
      <c r="JL58" s="675">
        <v>0</v>
      </c>
      <c r="JM58" s="675">
        <v>0</v>
      </c>
      <c r="JN58" s="675">
        <v>32469</v>
      </c>
      <c r="JO58" s="675">
        <v>0</v>
      </c>
      <c r="JP58" s="675">
        <v>44.172000000000004</v>
      </c>
      <c r="JQ58" s="675">
        <v>10.828000000000001</v>
      </c>
      <c r="JR58" s="675">
        <v>0</v>
      </c>
      <c r="JS58" s="675">
        <v>410651</v>
      </c>
      <c r="JT58" s="675">
        <v>115606</v>
      </c>
      <c r="JU58" s="675">
        <v>0</v>
      </c>
      <c r="JV58" s="675">
        <v>0</v>
      </c>
      <c r="JW58" s="675">
        <v>0</v>
      </c>
      <c r="JX58" s="675">
        <v>0</v>
      </c>
      <c r="JY58" s="675">
        <v>0</v>
      </c>
      <c r="JZ58" s="675">
        <v>0</v>
      </c>
      <c r="KA58" s="675">
        <v>0</v>
      </c>
      <c r="KB58" s="675">
        <v>0</v>
      </c>
      <c r="KC58" s="675">
        <v>0</v>
      </c>
      <c r="KD58" s="675">
        <v>0</v>
      </c>
      <c r="KE58" s="675">
        <v>7263</v>
      </c>
      <c r="KF58" s="675">
        <v>0</v>
      </c>
      <c r="KG58" s="675">
        <v>0</v>
      </c>
      <c r="KH58" s="675">
        <v>0</v>
      </c>
      <c r="KI58" s="675">
        <v>0</v>
      </c>
    </row>
    <row r="59" spans="1:295" ht="12.5" x14ac:dyDescent="0.25">
      <c r="A59" s="675">
        <v>35795</v>
      </c>
      <c r="B59" s="675">
        <v>14804</v>
      </c>
      <c r="C59" s="675">
        <v>7</v>
      </c>
      <c r="D59" s="675">
        <v>2022</v>
      </c>
      <c r="E59" s="675">
        <v>6160</v>
      </c>
      <c r="F59" s="675">
        <v>0</v>
      </c>
      <c r="G59" s="675">
        <v>1794.1940000000002</v>
      </c>
      <c r="H59" s="675">
        <v>1628.799</v>
      </c>
      <c r="I59" s="675">
        <v>1628.799</v>
      </c>
      <c r="J59" s="675">
        <v>1794.1940000000002</v>
      </c>
      <c r="K59" s="675">
        <v>0</v>
      </c>
      <c r="L59" s="675">
        <v>6160</v>
      </c>
      <c r="M59" s="675">
        <v>0</v>
      </c>
      <c r="N59" s="675">
        <v>0</v>
      </c>
      <c r="O59" s="675">
        <v>0</v>
      </c>
      <c r="P59" s="675">
        <v>1755.8700000000001</v>
      </c>
      <c r="Q59" s="675">
        <v>0</v>
      </c>
      <c r="R59" s="675">
        <v>706611</v>
      </c>
      <c r="S59" s="675">
        <v>402.428</v>
      </c>
      <c r="T59" s="675">
        <v>0</v>
      </c>
      <c r="U59" s="675">
        <v>375759</v>
      </c>
      <c r="V59" s="675">
        <v>35.716999999999999</v>
      </c>
      <c r="W59" s="675">
        <v>22002</v>
      </c>
      <c r="X59" s="675">
        <v>22002</v>
      </c>
      <c r="Y59" s="675">
        <v>0</v>
      </c>
      <c r="Z59" s="675">
        <v>0</v>
      </c>
      <c r="AA59" s="675">
        <v>0</v>
      </c>
      <c r="AB59" s="675">
        <v>0</v>
      </c>
      <c r="AC59" s="675">
        <v>0</v>
      </c>
      <c r="AD59" s="675" t="s">
        <v>316</v>
      </c>
      <c r="AE59" s="675">
        <v>0</v>
      </c>
      <c r="AF59" s="675">
        <v>0</v>
      </c>
      <c r="AG59" s="675">
        <v>0</v>
      </c>
      <c r="AH59" s="675">
        <v>0</v>
      </c>
      <c r="AI59" s="675">
        <v>0</v>
      </c>
      <c r="AJ59" s="675">
        <v>6160</v>
      </c>
      <c r="AK59" s="675" t="s">
        <v>671</v>
      </c>
      <c r="AL59" s="675" t="s">
        <v>1</v>
      </c>
      <c r="AM59" s="675">
        <v>0</v>
      </c>
      <c r="AN59" s="675">
        <v>0</v>
      </c>
      <c r="AO59" s="675">
        <v>0</v>
      </c>
      <c r="AP59" s="675">
        <v>0</v>
      </c>
      <c r="AQ59" s="675">
        <v>0</v>
      </c>
      <c r="AR59" s="675">
        <v>0</v>
      </c>
      <c r="AS59" s="675">
        <v>0</v>
      </c>
      <c r="AT59" s="675">
        <v>0</v>
      </c>
      <c r="AU59" s="675">
        <v>0</v>
      </c>
      <c r="AV59" s="675">
        <v>-30854</v>
      </c>
      <c r="AW59" s="675">
        <v>16772861</v>
      </c>
      <c r="AX59" s="675">
        <v>16463945</v>
      </c>
      <c r="AY59" s="675">
        <v>11099675</v>
      </c>
      <c r="AZ59" s="675">
        <v>706611</v>
      </c>
      <c r="BA59" s="675">
        <v>0</v>
      </c>
      <c r="BB59" s="675">
        <v>0</v>
      </c>
      <c r="BC59" s="675">
        <v>0</v>
      </c>
      <c r="BD59" s="675">
        <v>0</v>
      </c>
      <c r="BE59" s="675">
        <v>0</v>
      </c>
      <c r="BF59" s="675">
        <v>15272943</v>
      </c>
      <c r="BG59" s="675">
        <v>0</v>
      </c>
      <c r="BH59" s="675">
        <v>0</v>
      </c>
      <c r="BI59" s="675">
        <v>0</v>
      </c>
      <c r="BJ59" s="675">
        <v>12</v>
      </c>
      <c r="BK59" s="675">
        <v>0</v>
      </c>
      <c r="BL59" s="675">
        <v>0</v>
      </c>
      <c r="BM59" s="675">
        <v>0</v>
      </c>
      <c r="BN59" s="675">
        <v>0</v>
      </c>
      <c r="BO59" s="675">
        <v>0</v>
      </c>
      <c r="BP59" s="675">
        <v>0</v>
      </c>
      <c r="BQ59" s="675">
        <v>519</v>
      </c>
      <c r="BR59" s="675">
        <v>0</v>
      </c>
      <c r="BS59" s="675">
        <v>0</v>
      </c>
      <c r="BT59" s="675">
        <v>0</v>
      </c>
      <c r="BU59" s="675">
        <v>0</v>
      </c>
      <c r="BV59" s="675">
        <v>0</v>
      </c>
      <c r="BW59" s="675">
        <v>0</v>
      </c>
      <c r="BX59" s="675">
        <v>0</v>
      </c>
      <c r="BY59" s="675">
        <v>0</v>
      </c>
      <c r="BZ59" s="675">
        <v>0</v>
      </c>
      <c r="CA59" s="675">
        <v>0</v>
      </c>
      <c r="CB59" s="675">
        <v>0</v>
      </c>
      <c r="CC59" s="675">
        <v>0</v>
      </c>
      <c r="CD59" s="675">
        <v>0</v>
      </c>
      <c r="CE59" s="675">
        <v>0</v>
      </c>
      <c r="CF59" s="675">
        <v>0</v>
      </c>
      <c r="CG59" s="675">
        <v>0</v>
      </c>
      <c r="CH59" s="675">
        <v>316775</v>
      </c>
      <c r="CI59" s="675">
        <v>0</v>
      </c>
      <c r="CJ59" s="675">
        <v>4</v>
      </c>
      <c r="CK59" s="675">
        <v>0</v>
      </c>
      <c r="CL59" s="675">
        <v>0</v>
      </c>
      <c r="CM59" s="675">
        <v>0</v>
      </c>
      <c r="CN59" s="675">
        <v>0</v>
      </c>
      <c r="CO59" s="675">
        <v>1</v>
      </c>
      <c r="CP59" s="675">
        <v>0</v>
      </c>
      <c r="CQ59" s="675">
        <v>0</v>
      </c>
      <c r="CR59" s="675">
        <v>1794.7070000000001</v>
      </c>
      <c r="CS59" s="675">
        <v>0</v>
      </c>
      <c r="CT59" s="675">
        <v>0</v>
      </c>
      <c r="CU59" s="675">
        <v>0</v>
      </c>
      <c r="CV59" s="675">
        <v>0</v>
      </c>
      <c r="CW59" s="675">
        <v>0</v>
      </c>
      <c r="CX59" s="675">
        <v>0</v>
      </c>
      <c r="CY59" s="675">
        <v>0</v>
      </c>
      <c r="CZ59" s="675">
        <v>0</v>
      </c>
      <c r="DA59" s="675">
        <v>0</v>
      </c>
      <c r="DB59" s="675">
        <v>10033355</v>
      </c>
      <c r="DC59" s="675">
        <v>0</v>
      </c>
      <c r="DD59" s="675">
        <v>0</v>
      </c>
      <c r="DE59" s="675">
        <v>330713</v>
      </c>
      <c r="DF59" s="675">
        <v>330713</v>
      </c>
      <c r="DG59" s="675">
        <v>53.688000000000002</v>
      </c>
      <c r="DH59" s="675">
        <v>0</v>
      </c>
      <c r="DI59" s="675">
        <v>0</v>
      </c>
      <c r="DJ59" s="675">
        <v>0</v>
      </c>
      <c r="DK59" s="675">
        <v>0</v>
      </c>
      <c r="DL59" s="675">
        <v>0</v>
      </c>
      <c r="DM59" s="675">
        <v>2089155</v>
      </c>
      <c r="DN59" s="675">
        <v>7859</v>
      </c>
      <c r="DO59" s="675">
        <v>0</v>
      </c>
      <c r="DP59" s="675">
        <v>0</v>
      </c>
      <c r="DQ59" s="675">
        <v>0</v>
      </c>
      <c r="DR59" s="675">
        <v>0</v>
      </c>
      <c r="DS59" s="675">
        <v>0</v>
      </c>
      <c r="DT59" s="675">
        <v>0</v>
      </c>
      <c r="DU59" s="675">
        <v>0</v>
      </c>
      <c r="DV59" s="675">
        <v>0</v>
      </c>
      <c r="DW59" s="675">
        <v>0</v>
      </c>
      <c r="DX59" s="675">
        <v>0</v>
      </c>
      <c r="DY59" s="675">
        <v>0</v>
      </c>
      <c r="DZ59" s="675">
        <v>0</v>
      </c>
      <c r="EA59" s="675">
        <v>0</v>
      </c>
      <c r="EB59" s="675">
        <v>0</v>
      </c>
      <c r="EC59" s="675">
        <v>37.099000000000004</v>
      </c>
      <c r="ED59" s="675">
        <v>262808</v>
      </c>
      <c r="EE59" s="675">
        <v>0</v>
      </c>
      <c r="EF59" s="675">
        <v>0</v>
      </c>
      <c r="EG59" s="675">
        <v>0</v>
      </c>
      <c r="EH59" s="675">
        <v>922259</v>
      </c>
      <c r="EI59" s="675">
        <v>911947</v>
      </c>
      <c r="EJ59" s="675">
        <v>37.011000000000003</v>
      </c>
      <c r="EK59" s="675">
        <v>43.337000000000003</v>
      </c>
      <c r="EL59" s="675">
        <v>0</v>
      </c>
      <c r="EM59" s="675">
        <v>0.95900000000000007</v>
      </c>
      <c r="EN59" s="675">
        <v>3.3660000000000001</v>
      </c>
      <c r="EO59" s="675">
        <v>0</v>
      </c>
      <c r="EP59" s="675">
        <v>0</v>
      </c>
      <c r="EQ59" s="675">
        <v>84.673000000000002</v>
      </c>
      <c r="ER59" s="675">
        <v>0</v>
      </c>
      <c r="ES59" s="675">
        <v>149.71800000000002</v>
      </c>
      <c r="ET59" s="675">
        <v>0</v>
      </c>
      <c r="EU59" s="675">
        <v>0</v>
      </c>
      <c r="EV59" s="675">
        <v>0</v>
      </c>
      <c r="EW59" s="675">
        <v>0</v>
      </c>
      <c r="EX59" s="675">
        <v>0</v>
      </c>
      <c r="EY59" s="675">
        <v>0</v>
      </c>
      <c r="EZ59" s="675">
        <v>14589054</v>
      </c>
      <c r="FA59" s="675">
        <v>0</v>
      </c>
      <c r="FB59" s="675">
        <v>15287806</v>
      </c>
      <c r="FC59" s="675">
        <v>0</v>
      </c>
      <c r="FD59" s="675">
        <v>0</v>
      </c>
      <c r="FE59" s="675">
        <v>1553571</v>
      </c>
      <c r="FF59" s="675">
        <v>321320</v>
      </c>
      <c r="FG59" s="675">
        <v>6.3574999999999993E-2</v>
      </c>
      <c r="FH59" s="675">
        <v>2.6297999999999998E-2</v>
      </c>
      <c r="FI59" s="675">
        <v>0</v>
      </c>
      <c r="FJ59" s="675">
        <v>0</v>
      </c>
      <c r="FK59" s="675">
        <v>2479.3850000000002</v>
      </c>
      <c r="FL59" s="675">
        <v>17479472</v>
      </c>
      <c r="FM59" s="675">
        <v>0</v>
      </c>
      <c r="FN59" s="675">
        <v>0</v>
      </c>
      <c r="FO59" s="675">
        <v>0</v>
      </c>
      <c r="FP59" s="675">
        <v>0</v>
      </c>
      <c r="FQ59" s="675">
        <v>0</v>
      </c>
      <c r="FR59" s="675">
        <v>0</v>
      </c>
      <c r="FS59" s="675">
        <v>0</v>
      </c>
      <c r="FT59" s="675">
        <v>0</v>
      </c>
      <c r="FU59" s="675">
        <v>0</v>
      </c>
      <c r="FV59" s="675">
        <v>0</v>
      </c>
      <c r="FW59" s="675">
        <v>0</v>
      </c>
      <c r="FX59" s="675">
        <v>0</v>
      </c>
      <c r="FY59" s="675">
        <v>0</v>
      </c>
      <c r="FZ59" s="675">
        <v>0</v>
      </c>
      <c r="GA59" s="675">
        <v>0</v>
      </c>
      <c r="GB59" s="675">
        <v>778885</v>
      </c>
      <c r="GC59" s="675">
        <v>778885</v>
      </c>
      <c r="GD59" s="675">
        <v>80.722000000000008</v>
      </c>
      <c r="GE59" s="675">
        <v>0</v>
      </c>
      <c r="GF59" s="675">
        <v>0</v>
      </c>
      <c r="GG59" s="675">
        <v>0</v>
      </c>
      <c r="GH59" s="675">
        <v>0</v>
      </c>
      <c r="GI59" s="675">
        <v>0</v>
      </c>
      <c r="GJ59" s="675">
        <v>0</v>
      </c>
      <c r="GK59" s="675">
        <v>0</v>
      </c>
      <c r="GL59" s="675">
        <v>0</v>
      </c>
      <c r="GM59" s="675">
        <v>0</v>
      </c>
      <c r="GN59" s="675">
        <v>0</v>
      </c>
      <c r="GO59" s="675">
        <v>0</v>
      </c>
      <c r="GP59" s="675">
        <v>0</v>
      </c>
      <c r="GQ59" s="675">
        <v>0</v>
      </c>
      <c r="GR59" s="675">
        <v>0</v>
      </c>
      <c r="GS59" s="675">
        <v>0</v>
      </c>
      <c r="GT59" s="675">
        <v>0</v>
      </c>
      <c r="GU59" s="675">
        <v>0</v>
      </c>
      <c r="GV59" s="675">
        <v>0</v>
      </c>
      <c r="GW59" s="675">
        <v>0</v>
      </c>
      <c r="GX59" s="675">
        <v>0</v>
      </c>
      <c r="GY59" s="675">
        <v>0</v>
      </c>
      <c r="GZ59" s="675">
        <v>0</v>
      </c>
      <c r="HA59" s="675">
        <v>0</v>
      </c>
      <c r="HB59" s="675">
        <v>308877260</v>
      </c>
      <c r="HC59" s="675">
        <v>4.4138999999999998E-2</v>
      </c>
      <c r="HD59" s="675">
        <v>316775</v>
      </c>
      <c r="HE59" s="675">
        <v>0</v>
      </c>
      <c r="HF59" s="675">
        <v>1796565</v>
      </c>
      <c r="HG59" s="675">
        <v>72688</v>
      </c>
      <c r="HH59" s="675">
        <v>57281</v>
      </c>
      <c r="HI59" s="675">
        <v>0</v>
      </c>
      <c r="HJ59" s="675">
        <v>17440</v>
      </c>
      <c r="HK59" s="675">
        <v>6399</v>
      </c>
      <c r="HL59" s="675">
        <v>332</v>
      </c>
      <c r="HM59" s="675">
        <v>67000</v>
      </c>
      <c r="HN59" s="675">
        <v>0</v>
      </c>
      <c r="HO59" s="675">
        <v>0</v>
      </c>
      <c r="HP59" s="675">
        <v>0</v>
      </c>
      <c r="HQ59" s="675">
        <v>0</v>
      </c>
      <c r="HR59" s="675">
        <v>0</v>
      </c>
      <c r="HS59" s="675">
        <v>14581195</v>
      </c>
      <c r="HT59" s="675">
        <v>321320</v>
      </c>
      <c r="HU59" s="675">
        <v>0</v>
      </c>
      <c r="HV59" s="675">
        <v>0</v>
      </c>
      <c r="HW59" s="675">
        <v>0</v>
      </c>
      <c r="HX59" s="675">
        <v>61</v>
      </c>
      <c r="HY59" s="675">
        <v>57</v>
      </c>
      <c r="HZ59" s="675">
        <v>31</v>
      </c>
      <c r="IA59" s="675">
        <v>2</v>
      </c>
      <c r="IB59" s="675">
        <v>66</v>
      </c>
      <c r="IC59" s="675">
        <v>217</v>
      </c>
      <c r="ID59" s="675">
        <v>0</v>
      </c>
      <c r="IE59" s="675">
        <v>0</v>
      </c>
      <c r="IF59" s="675">
        <v>0</v>
      </c>
      <c r="IG59" s="675">
        <v>118</v>
      </c>
      <c r="IH59" s="675">
        <v>92.989000000000004</v>
      </c>
      <c r="II59" s="675">
        <v>0</v>
      </c>
      <c r="IJ59" s="675">
        <v>35.716999999999999</v>
      </c>
      <c r="IK59" s="675">
        <v>58.15</v>
      </c>
      <c r="IL59" s="675">
        <v>1</v>
      </c>
      <c r="IM59" s="675">
        <v>20</v>
      </c>
      <c r="IN59" s="675">
        <v>1</v>
      </c>
      <c r="IO59" s="675">
        <v>22</v>
      </c>
      <c r="IP59" s="675">
        <v>58.15</v>
      </c>
      <c r="IQ59" s="675">
        <v>35.716999999999999</v>
      </c>
      <c r="IR59" s="675">
        <v>22002</v>
      </c>
      <c r="IS59" s="675">
        <v>15991</v>
      </c>
      <c r="IT59" s="675">
        <v>5000</v>
      </c>
      <c r="IU59" s="675">
        <v>60000</v>
      </c>
      <c r="IV59" s="675">
        <v>2000</v>
      </c>
      <c r="IW59" s="675">
        <v>6160</v>
      </c>
      <c r="IX59" s="675">
        <v>0</v>
      </c>
      <c r="IY59" s="675">
        <v>0</v>
      </c>
      <c r="IZ59" s="675">
        <v>15991</v>
      </c>
      <c r="JA59" s="675">
        <v>0</v>
      </c>
      <c r="JB59" s="675">
        <v>0</v>
      </c>
      <c r="JC59" s="675">
        <v>0</v>
      </c>
      <c r="JD59" s="675">
        <v>0</v>
      </c>
      <c r="JE59" s="675">
        <v>0</v>
      </c>
      <c r="JF59" s="675">
        <v>0</v>
      </c>
      <c r="JG59" s="675">
        <v>0</v>
      </c>
      <c r="JH59" s="675">
        <v>0</v>
      </c>
      <c r="JI59" s="675">
        <v>0</v>
      </c>
      <c r="JJ59" s="675">
        <v>0</v>
      </c>
      <c r="JK59" s="675">
        <v>0</v>
      </c>
      <c r="JL59" s="675">
        <v>0</v>
      </c>
      <c r="JM59" s="675">
        <v>0</v>
      </c>
      <c r="JN59" s="675">
        <v>32469</v>
      </c>
      <c r="JO59" s="675">
        <v>0</v>
      </c>
      <c r="JP59" s="675">
        <v>60.112000000000002</v>
      </c>
      <c r="JQ59" s="675">
        <v>20.61</v>
      </c>
      <c r="JR59" s="675">
        <v>0</v>
      </c>
      <c r="JS59" s="675">
        <v>558840</v>
      </c>
      <c r="JT59" s="675">
        <v>220045</v>
      </c>
      <c r="JU59" s="675">
        <v>0</v>
      </c>
      <c r="JV59" s="675">
        <v>0</v>
      </c>
      <c r="JW59" s="675">
        <v>0</v>
      </c>
      <c r="JX59" s="675">
        <v>0</v>
      </c>
      <c r="JY59" s="675">
        <v>0</v>
      </c>
      <c r="JZ59" s="675">
        <v>0</v>
      </c>
      <c r="KA59" s="675">
        <v>0</v>
      </c>
      <c r="KB59" s="675">
        <v>0</v>
      </c>
      <c r="KC59" s="675">
        <v>0</v>
      </c>
      <c r="KD59" s="675">
        <v>0</v>
      </c>
      <c r="KE59" s="675">
        <v>7263</v>
      </c>
      <c r="KF59" s="675">
        <v>0</v>
      </c>
      <c r="KG59" s="675">
        <v>0</v>
      </c>
      <c r="KH59" s="675">
        <v>0</v>
      </c>
      <c r="KI59" s="675">
        <v>0</v>
      </c>
    </row>
    <row r="60" spans="1:295" ht="12.5" x14ac:dyDescent="0.25">
      <c r="A60" s="675">
        <v>35795</v>
      </c>
      <c r="B60" s="675">
        <v>57804</v>
      </c>
      <c r="C60" s="675">
        <v>7</v>
      </c>
      <c r="D60" s="675">
        <v>2022</v>
      </c>
      <c r="E60" s="675">
        <v>6160</v>
      </c>
      <c r="F60" s="675">
        <v>0</v>
      </c>
      <c r="G60" s="675">
        <v>4216.2</v>
      </c>
      <c r="H60" s="675">
        <v>3851.8680000000004</v>
      </c>
      <c r="I60" s="675">
        <v>3851.8680000000004</v>
      </c>
      <c r="J60" s="675">
        <v>4216.2</v>
      </c>
      <c r="K60" s="675">
        <v>0</v>
      </c>
      <c r="L60" s="675">
        <v>6160</v>
      </c>
      <c r="M60" s="675">
        <v>0</v>
      </c>
      <c r="N60" s="675">
        <v>0</v>
      </c>
      <c r="O60" s="675">
        <v>0</v>
      </c>
      <c r="P60" s="675">
        <v>3971.5440000000003</v>
      </c>
      <c r="Q60" s="675">
        <v>0</v>
      </c>
      <c r="R60" s="675">
        <v>1598261</v>
      </c>
      <c r="S60" s="675">
        <v>402.428</v>
      </c>
      <c r="T60" s="675">
        <v>0</v>
      </c>
      <c r="U60" s="675">
        <v>849915</v>
      </c>
      <c r="V60" s="675">
        <v>1904.2070000000001</v>
      </c>
      <c r="W60" s="675">
        <v>1172986</v>
      </c>
      <c r="X60" s="675">
        <v>1172986</v>
      </c>
      <c r="Y60" s="675">
        <v>0</v>
      </c>
      <c r="Z60" s="675">
        <v>0</v>
      </c>
      <c r="AA60" s="675">
        <v>0</v>
      </c>
      <c r="AB60" s="675">
        <v>0</v>
      </c>
      <c r="AC60" s="675">
        <v>0</v>
      </c>
      <c r="AD60" s="675" t="s">
        <v>316</v>
      </c>
      <c r="AE60" s="675">
        <v>0</v>
      </c>
      <c r="AF60" s="675">
        <v>0</v>
      </c>
      <c r="AG60" s="675">
        <v>0</v>
      </c>
      <c r="AH60" s="675">
        <v>0</v>
      </c>
      <c r="AI60" s="675">
        <v>0</v>
      </c>
      <c r="AJ60" s="675">
        <v>6160</v>
      </c>
      <c r="AK60" s="675" t="s">
        <v>671</v>
      </c>
      <c r="AL60" s="675" t="s">
        <v>324</v>
      </c>
      <c r="AM60" s="675">
        <v>0</v>
      </c>
      <c r="AN60" s="675">
        <v>0</v>
      </c>
      <c r="AO60" s="675">
        <v>0</v>
      </c>
      <c r="AP60" s="675">
        <v>0</v>
      </c>
      <c r="AQ60" s="675">
        <v>0</v>
      </c>
      <c r="AR60" s="675">
        <v>0</v>
      </c>
      <c r="AS60" s="675">
        <v>0</v>
      </c>
      <c r="AT60" s="675">
        <v>0</v>
      </c>
      <c r="AU60" s="675">
        <v>0</v>
      </c>
      <c r="AV60" s="675">
        <v>-7947599</v>
      </c>
      <c r="AW60" s="675">
        <v>49554566</v>
      </c>
      <c r="AX60" s="675">
        <v>48829749</v>
      </c>
      <c r="AY60" s="675">
        <v>22129796</v>
      </c>
      <c r="AZ60" s="675">
        <v>1598261</v>
      </c>
      <c r="BA60" s="675">
        <v>0</v>
      </c>
      <c r="BB60" s="675">
        <v>0</v>
      </c>
      <c r="BC60" s="675">
        <v>0</v>
      </c>
      <c r="BD60" s="675">
        <v>0</v>
      </c>
      <c r="BE60" s="675">
        <v>0</v>
      </c>
      <c r="BF60" s="675">
        <v>42855574</v>
      </c>
      <c r="BG60" s="675">
        <v>0</v>
      </c>
      <c r="BH60" s="675">
        <v>0</v>
      </c>
      <c r="BI60" s="675">
        <v>0</v>
      </c>
      <c r="BJ60" s="675">
        <v>12</v>
      </c>
      <c r="BK60" s="675">
        <v>0</v>
      </c>
      <c r="BL60" s="675">
        <v>0</v>
      </c>
      <c r="BM60" s="675">
        <v>0</v>
      </c>
      <c r="BN60" s="675">
        <v>0</v>
      </c>
      <c r="BO60" s="675">
        <v>0</v>
      </c>
      <c r="BP60" s="675">
        <v>0</v>
      </c>
      <c r="BQ60" s="675">
        <v>177</v>
      </c>
      <c r="BR60" s="675">
        <v>0</v>
      </c>
      <c r="BS60" s="675">
        <v>0</v>
      </c>
      <c r="BT60" s="675">
        <v>0</v>
      </c>
      <c r="BU60" s="675">
        <v>0</v>
      </c>
      <c r="BV60" s="675">
        <v>0</v>
      </c>
      <c r="BW60" s="675">
        <v>0</v>
      </c>
      <c r="BX60" s="675">
        <v>0</v>
      </c>
      <c r="BY60" s="675">
        <v>0</v>
      </c>
      <c r="BZ60" s="675">
        <v>0</v>
      </c>
      <c r="CA60" s="675">
        <v>0</v>
      </c>
      <c r="CB60" s="675">
        <v>0</v>
      </c>
      <c r="CC60" s="675">
        <v>0</v>
      </c>
      <c r="CD60" s="675">
        <v>0</v>
      </c>
      <c r="CE60" s="675">
        <v>0</v>
      </c>
      <c r="CF60" s="675">
        <v>0</v>
      </c>
      <c r="CG60" s="675">
        <v>0</v>
      </c>
      <c r="CH60" s="675">
        <v>744393</v>
      </c>
      <c r="CI60" s="675">
        <v>0</v>
      </c>
      <c r="CJ60" s="675">
        <v>4</v>
      </c>
      <c r="CK60" s="675">
        <v>0</v>
      </c>
      <c r="CL60" s="675">
        <v>0</v>
      </c>
      <c r="CM60" s="675">
        <v>0</v>
      </c>
      <c r="CN60" s="675">
        <v>0</v>
      </c>
      <c r="CO60" s="675">
        <v>1</v>
      </c>
      <c r="CP60" s="675">
        <v>0</v>
      </c>
      <c r="CQ60" s="675">
        <v>0</v>
      </c>
      <c r="CR60" s="675">
        <v>3823.6860000000001</v>
      </c>
      <c r="CS60" s="675">
        <v>0</v>
      </c>
      <c r="CT60" s="675">
        <v>0</v>
      </c>
      <c r="CU60" s="675">
        <v>0</v>
      </c>
      <c r="CV60" s="675">
        <v>0</v>
      </c>
      <c r="CW60" s="675">
        <v>0</v>
      </c>
      <c r="CX60" s="675">
        <v>0</v>
      </c>
      <c r="CY60" s="675">
        <v>0</v>
      </c>
      <c r="CZ60" s="675">
        <v>0</v>
      </c>
      <c r="DA60" s="675">
        <v>0</v>
      </c>
      <c r="DB60" s="675">
        <v>23727397</v>
      </c>
      <c r="DC60" s="675">
        <v>0</v>
      </c>
      <c r="DD60" s="675">
        <v>0</v>
      </c>
      <c r="DE60" s="675">
        <v>7346767</v>
      </c>
      <c r="DF60" s="675">
        <v>7346767</v>
      </c>
      <c r="DG60" s="675">
        <v>1192.663</v>
      </c>
      <c r="DH60" s="675">
        <v>0</v>
      </c>
      <c r="DI60" s="675">
        <v>0</v>
      </c>
      <c r="DJ60" s="675">
        <v>0</v>
      </c>
      <c r="DK60" s="675">
        <v>0</v>
      </c>
      <c r="DL60" s="675">
        <v>0</v>
      </c>
      <c r="DM60" s="675">
        <v>5203764</v>
      </c>
      <c r="DN60" s="675">
        <v>19575</v>
      </c>
      <c r="DO60" s="675">
        <v>0</v>
      </c>
      <c r="DP60" s="675">
        <v>0</v>
      </c>
      <c r="DQ60" s="675">
        <v>0</v>
      </c>
      <c r="DR60" s="675">
        <v>0</v>
      </c>
      <c r="DS60" s="675">
        <v>0</v>
      </c>
      <c r="DT60" s="675">
        <v>0</v>
      </c>
      <c r="DU60" s="675">
        <v>0</v>
      </c>
      <c r="DV60" s="675">
        <v>0</v>
      </c>
      <c r="DW60" s="675">
        <v>0</v>
      </c>
      <c r="DX60" s="675">
        <v>0</v>
      </c>
      <c r="DY60" s="675">
        <v>0</v>
      </c>
      <c r="DZ60" s="675">
        <v>0</v>
      </c>
      <c r="EA60" s="675">
        <v>0.156</v>
      </c>
      <c r="EB60" s="675">
        <v>0</v>
      </c>
      <c r="EC60" s="675">
        <v>132.791</v>
      </c>
      <c r="ED60" s="675">
        <v>940687</v>
      </c>
      <c r="EE60" s="675">
        <v>0</v>
      </c>
      <c r="EF60" s="675">
        <v>0</v>
      </c>
      <c r="EG60" s="675">
        <v>0</v>
      </c>
      <c r="EH60" s="675">
        <v>4282652</v>
      </c>
      <c r="EI60" s="675">
        <v>0</v>
      </c>
      <c r="EJ60" s="675">
        <v>0</v>
      </c>
      <c r="EK60" s="675">
        <v>229.84300000000002</v>
      </c>
      <c r="EL60" s="675">
        <v>0</v>
      </c>
      <c r="EM60" s="675">
        <v>0</v>
      </c>
      <c r="EN60" s="675">
        <v>0.9860000000000001</v>
      </c>
      <c r="EO60" s="675">
        <v>0</v>
      </c>
      <c r="EP60" s="675">
        <v>0</v>
      </c>
      <c r="EQ60" s="675">
        <v>230.98500000000001</v>
      </c>
      <c r="ER60" s="675">
        <v>0</v>
      </c>
      <c r="ES60" s="675">
        <v>695.23900000000003</v>
      </c>
      <c r="ET60" s="675">
        <v>0</v>
      </c>
      <c r="EU60" s="675">
        <v>0</v>
      </c>
      <c r="EV60" s="675">
        <v>0</v>
      </c>
      <c r="EW60" s="675">
        <v>0</v>
      </c>
      <c r="EX60" s="675">
        <v>0</v>
      </c>
      <c r="EY60" s="675">
        <v>0</v>
      </c>
      <c r="EZ60" s="675">
        <v>43568843</v>
      </c>
      <c r="FA60" s="675">
        <v>0</v>
      </c>
      <c r="FB60" s="675">
        <v>45147528</v>
      </c>
      <c r="FC60" s="675">
        <v>0</v>
      </c>
      <c r="FD60" s="675">
        <v>0</v>
      </c>
      <c r="FE60" s="675">
        <v>4359289</v>
      </c>
      <c r="FF60" s="675">
        <v>901617</v>
      </c>
      <c r="FG60" s="675">
        <v>6.3574999999999993E-2</v>
      </c>
      <c r="FH60" s="675">
        <v>2.6297999999999998E-2</v>
      </c>
      <c r="FI60" s="675">
        <v>0</v>
      </c>
      <c r="FJ60" s="675">
        <v>0</v>
      </c>
      <c r="FK60" s="675">
        <v>6957.1060000000007</v>
      </c>
      <c r="FL60" s="675">
        <v>51152827</v>
      </c>
      <c r="FM60" s="675">
        <v>0</v>
      </c>
      <c r="FN60" s="675">
        <v>0</v>
      </c>
      <c r="FO60" s="675">
        <v>994528</v>
      </c>
      <c r="FP60" s="675">
        <v>0</v>
      </c>
      <c r="FQ60" s="675">
        <v>994528</v>
      </c>
      <c r="FR60" s="675">
        <v>994528</v>
      </c>
      <c r="FS60" s="675">
        <v>0</v>
      </c>
      <c r="FT60" s="675">
        <v>0</v>
      </c>
      <c r="FU60" s="675">
        <v>0</v>
      </c>
      <c r="FV60" s="675">
        <v>0</v>
      </c>
      <c r="FW60" s="675">
        <v>0</v>
      </c>
      <c r="FX60" s="675">
        <v>0</v>
      </c>
      <c r="FY60" s="675">
        <v>0</v>
      </c>
      <c r="FZ60" s="675">
        <v>0</v>
      </c>
      <c r="GA60" s="675">
        <v>0</v>
      </c>
      <c r="GB60" s="675">
        <v>1095494</v>
      </c>
      <c r="GC60" s="675">
        <v>1095494</v>
      </c>
      <c r="GD60" s="675">
        <v>133.34700000000001</v>
      </c>
      <c r="GE60" s="675">
        <v>0</v>
      </c>
      <c r="GF60" s="675">
        <v>0</v>
      </c>
      <c r="GG60" s="675">
        <v>0</v>
      </c>
      <c r="GH60" s="675">
        <v>0</v>
      </c>
      <c r="GI60" s="675">
        <v>0</v>
      </c>
      <c r="GJ60" s="675">
        <v>0</v>
      </c>
      <c r="GK60" s="675">
        <v>0</v>
      </c>
      <c r="GL60" s="675">
        <v>0</v>
      </c>
      <c r="GM60" s="675">
        <v>0</v>
      </c>
      <c r="GN60" s="675">
        <v>0</v>
      </c>
      <c r="GO60" s="675">
        <v>0</v>
      </c>
      <c r="GP60" s="675">
        <v>0</v>
      </c>
      <c r="GQ60" s="675">
        <v>0</v>
      </c>
      <c r="GR60" s="675">
        <v>0</v>
      </c>
      <c r="GS60" s="675">
        <v>0</v>
      </c>
      <c r="GT60" s="675">
        <v>0</v>
      </c>
      <c r="GU60" s="675">
        <v>0</v>
      </c>
      <c r="GV60" s="675">
        <v>0</v>
      </c>
      <c r="GW60" s="675">
        <v>0</v>
      </c>
      <c r="GX60" s="675">
        <v>0</v>
      </c>
      <c r="GY60" s="675">
        <v>0</v>
      </c>
      <c r="GZ60" s="675">
        <v>0</v>
      </c>
      <c r="HA60" s="675">
        <v>0</v>
      </c>
      <c r="HB60" s="675">
        <v>308877260</v>
      </c>
      <c r="HC60" s="675">
        <v>4.4138999999999998E-2</v>
      </c>
      <c r="HD60" s="675">
        <v>744393</v>
      </c>
      <c r="HE60" s="675">
        <v>0</v>
      </c>
      <c r="HF60" s="675">
        <v>4248610</v>
      </c>
      <c r="HG60" s="675">
        <v>0</v>
      </c>
      <c r="HH60" s="675">
        <v>0</v>
      </c>
      <c r="HI60" s="675">
        <v>0</v>
      </c>
      <c r="HJ60" s="675">
        <v>40981</v>
      </c>
      <c r="HK60" s="675">
        <v>55359</v>
      </c>
      <c r="HL60" s="675">
        <v>0</v>
      </c>
      <c r="HM60" s="675">
        <v>0</v>
      </c>
      <c r="HN60" s="675">
        <v>0</v>
      </c>
      <c r="HO60" s="675">
        <v>0</v>
      </c>
      <c r="HP60" s="675">
        <v>1261643</v>
      </c>
      <c r="HQ60" s="675">
        <v>0</v>
      </c>
      <c r="HR60" s="675">
        <v>0</v>
      </c>
      <c r="HS60" s="675">
        <v>43549267</v>
      </c>
      <c r="HT60" s="675">
        <v>901617</v>
      </c>
      <c r="HU60" s="675">
        <v>0</v>
      </c>
      <c r="HV60" s="675">
        <v>0</v>
      </c>
      <c r="HW60" s="675">
        <v>0</v>
      </c>
      <c r="HX60" s="675">
        <v>393</v>
      </c>
      <c r="HY60" s="675">
        <v>513</v>
      </c>
      <c r="HZ60" s="675">
        <v>707</v>
      </c>
      <c r="IA60" s="675">
        <v>1218</v>
      </c>
      <c r="IB60" s="675">
        <v>1767</v>
      </c>
      <c r="IC60" s="675">
        <v>4598</v>
      </c>
      <c r="ID60" s="675">
        <v>0</v>
      </c>
      <c r="IE60" s="675">
        <v>0</v>
      </c>
      <c r="IF60" s="675">
        <v>0</v>
      </c>
      <c r="IG60" s="675">
        <v>0</v>
      </c>
      <c r="IH60" s="675">
        <v>0</v>
      </c>
      <c r="II60" s="675">
        <v>4587.7920000000004</v>
      </c>
      <c r="IJ60" s="675">
        <v>1904.2070000000001</v>
      </c>
      <c r="IK60" s="675">
        <v>0</v>
      </c>
      <c r="IL60" s="675">
        <v>0</v>
      </c>
      <c r="IM60" s="675">
        <v>0</v>
      </c>
      <c r="IN60" s="675">
        <v>0</v>
      </c>
      <c r="IO60" s="675">
        <v>0</v>
      </c>
      <c r="IP60" s="675">
        <v>4587.7920000000004</v>
      </c>
      <c r="IQ60" s="675">
        <v>1904.2070000000001</v>
      </c>
      <c r="IR60" s="675">
        <v>1172986</v>
      </c>
      <c r="IS60" s="675">
        <v>0</v>
      </c>
      <c r="IT60" s="675">
        <v>0</v>
      </c>
      <c r="IU60" s="675">
        <v>0</v>
      </c>
      <c r="IV60" s="675">
        <v>0</v>
      </c>
      <c r="IW60" s="675">
        <v>6160</v>
      </c>
      <c r="IX60" s="675">
        <v>0</v>
      </c>
      <c r="IY60" s="675">
        <v>0</v>
      </c>
      <c r="IZ60" s="675">
        <v>1261643</v>
      </c>
      <c r="JA60" s="675">
        <v>0</v>
      </c>
      <c r="JB60" s="675">
        <v>0</v>
      </c>
      <c r="JC60" s="675">
        <v>0</v>
      </c>
      <c r="JD60" s="675">
        <v>0</v>
      </c>
      <c r="JE60" s="675">
        <v>0</v>
      </c>
      <c r="JF60" s="675">
        <v>0</v>
      </c>
      <c r="JG60" s="675">
        <v>0</v>
      </c>
      <c r="JH60" s="675">
        <v>0</v>
      </c>
      <c r="JI60" s="675">
        <v>0</v>
      </c>
      <c r="JJ60" s="675">
        <v>0</v>
      </c>
      <c r="JK60" s="675">
        <v>0</v>
      </c>
      <c r="JL60" s="675">
        <v>0</v>
      </c>
      <c r="JM60" s="675">
        <v>0</v>
      </c>
      <c r="JN60" s="675">
        <v>32469</v>
      </c>
      <c r="JO60" s="675">
        <v>111.795</v>
      </c>
      <c r="JP60" s="675">
        <v>20.118000000000002</v>
      </c>
      <c r="JQ60" s="675">
        <v>1.4330000000000001</v>
      </c>
      <c r="JR60" s="675">
        <v>893164</v>
      </c>
      <c r="JS60" s="675">
        <v>187030</v>
      </c>
      <c r="JT60" s="675">
        <v>15300</v>
      </c>
      <c r="JU60" s="675">
        <v>0</v>
      </c>
      <c r="JV60" s="675">
        <v>0</v>
      </c>
      <c r="JW60" s="675">
        <v>0</v>
      </c>
      <c r="JX60" s="675">
        <v>0</v>
      </c>
      <c r="JY60" s="675">
        <v>0</v>
      </c>
      <c r="JZ60" s="675">
        <v>0</v>
      </c>
      <c r="KA60" s="675">
        <v>0</v>
      </c>
      <c r="KB60" s="675">
        <v>0</v>
      </c>
      <c r="KC60" s="675">
        <v>0</v>
      </c>
      <c r="KD60" s="675">
        <v>0</v>
      </c>
      <c r="KE60" s="675">
        <v>7263</v>
      </c>
      <c r="KF60" s="675">
        <v>0</v>
      </c>
      <c r="KG60" s="675">
        <v>0</v>
      </c>
      <c r="KH60" s="675">
        <v>0</v>
      </c>
      <c r="KI60" s="675">
        <v>0</v>
      </c>
    </row>
    <row r="61" spans="1:295" ht="12.5" x14ac:dyDescent="0.25">
      <c r="A61" s="675">
        <v>35795</v>
      </c>
      <c r="B61" s="675">
        <v>61804</v>
      </c>
      <c r="C61" s="675">
        <v>7</v>
      </c>
      <c r="D61" s="675">
        <v>2022</v>
      </c>
      <c r="E61" s="675">
        <v>6160</v>
      </c>
      <c r="F61" s="675">
        <v>0</v>
      </c>
      <c r="G61" s="675">
        <v>1273.4290000000001</v>
      </c>
      <c r="H61" s="675">
        <v>1128.577</v>
      </c>
      <c r="I61" s="675">
        <v>1128.577</v>
      </c>
      <c r="J61" s="675">
        <v>1273.4290000000001</v>
      </c>
      <c r="K61" s="675">
        <v>0</v>
      </c>
      <c r="L61" s="675">
        <v>6160</v>
      </c>
      <c r="M61" s="675">
        <v>0</v>
      </c>
      <c r="N61" s="675">
        <v>0</v>
      </c>
      <c r="O61" s="675">
        <v>0</v>
      </c>
      <c r="P61" s="675">
        <v>1284.1290000000001</v>
      </c>
      <c r="Q61" s="675">
        <v>0</v>
      </c>
      <c r="R61" s="675">
        <v>516769</v>
      </c>
      <c r="S61" s="675">
        <v>402.428</v>
      </c>
      <c r="T61" s="675">
        <v>0</v>
      </c>
      <c r="U61" s="675">
        <v>274805</v>
      </c>
      <c r="V61" s="675">
        <v>49.702000000000005</v>
      </c>
      <c r="W61" s="675">
        <v>30616</v>
      </c>
      <c r="X61" s="675">
        <v>30616</v>
      </c>
      <c r="Y61" s="675">
        <v>0</v>
      </c>
      <c r="Z61" s="675">
        <v>0</v>
      </c>
      <c r="AA61" s="675">
        <v>0</v>
      </c>
      <c r="AB61" s="675">
        <v>0</v>
      </c>
      <c r="AC61" s="675">
        <v>0</v>
      </c>
      <c r="AD61" s="675" t="s">
        <v>316</v>
      </c>
      <c r="AE61" s="675">
        <v>0</v>
      </c>
      <c r="AF61" s="675">
        <v>0</v>
      </c>
      <c r="AG61" s="675">
        <v>0</v>
      </c>
      <c r="AH61" s="675">
        <v>0</v>
      </c>
      <c r="AI61" s="675">
        <v>0</v>
      </c>
      <c r="AJ61" s="675">
        <v>6160</v>
      </c>
      <c r="AK61" s="675" t="s">
        <v>671</v>
      </c>
      <c r="AL61" s="675" t="s">
        <v>336</v>
      </c>
      <c r="AM61" s="675">
        <v>0</v>
      </c>
      <c r="AN61" s="675">
        <v>0</v>
      </c>
      <c r="AO61" s="675">
        <v>0</v>
      </c>
      <c r="AP61" s="675">
        <v>0</v>
      </c>
      <c r="AQ61" s="675">
        <v>0</v>
      </c>
      <c r="AR61" s="675">
        <v>0</v>
      </c>
      <c r="AS61" s="675">
        <v>0</v>
      </c>
      <c r="AT61" s="675">
        <v>0</v>
      </c>
      <c r="AU61" s="675">
        <v>0</v>
      </c>
      <c r="AV61" s="675">
        <v>-2020</v>
      </c>
      <c r="AW61" s="675">
        <v>11108351</v>
      </c>
      <c r="AX61" s="675">
        <v>10886144</v>
      </c>
      <c r="AY61" s="675">
        <v>7404736</v>
      </c>
      <c r="AZ61" s="675">
        <v>516769</v>
      </c>
      <c r="BA61" s="675">
        <v>0</v>
      </c>
      <c r="BB61" s="675">
        <v>27165</v>
      </c>
      <c r="BC61" s="675">
        <v>26989</v>
      </c>
      <c r="BD61" s="675">
        <v>63</v>
      </c>
      <c r="BE61" s="675">
        <v>176</v>
      </c>
      <c r="BF61" s="675">
        <v>10152110</v>
      </c>
      <c r="BG61" s="675">
        <v>0</v>
      </c>
      <c r="BH61" s="675">
        <v>0</v>
      </c>
      <c r="BI61" s="675">
        <v>0</v>
      </c>
      <c r="BJ61" s="675">
        <v>12</v>
      </c>
      <c r="BK61" s="675">
        <v>0</v>
      </c>
      <c r="BL61" s="675">
        <v>0</v>
      </c>
      <c r="BM61" s="675">
        <v>0</v>
      </c>
      <c r="BN61" s="675">
        <v>0</v>
      </c>
      <c r="BO61" s="675">
        <v>0</v>
      </c>
      <c r="BP61" s="675">
        <v>0</v>
      </c>
      <c r="BQ61" s="675">
        <v>596</v>
      </c>
      <c r="BR61" s="675">
        <v>0</v>
      </c>
      <c r="BS61" s="675">
        <v>0</v>
      </c>
      <c r="BT61" s="675">
        <v>0</v>
      </c>
      <c r="BU61" s="675">
        <v>0</v>
      </c>
      <c r="BV61" s="675">
        <v>0</v>
      </c>
      <c r="BW61" s="675">
        <v>0</v>
      </c>
      <c r="BX61" s="675">
        <v>0</v>
      </c>
      <c r="BY61" s="675">
        <v>0</v>
      </c>
      <c r="BZ61" s="675">
        <v>0</v>
      </c>
      <c r="CA61" s="675">
        <v>0</v>
      </c>
      <c r="CB61" s="675">
        <v>0</v>
      </c>
      <c r="CC61" s="675">
        <v>0</v>
      </c>
      <c r="CD61" s="675">
        <v>0</v>
      </c>
      <c r="CE61" s="675">
        <v>0</v>
      </c>
      <c r="CF61" s="675">
        <v>0</v>
      </c>
      <c r="CG61" s="675">
        <v>0</v>
      </c>
      <c r="CH61" s="675">
        <v>224831</v>
      </c>
      <c r="CI61" s="675">
        <v>0</v>
      </c>
      <c r="CJ61" s="675">
        <v>4</v>
      </c>
      <c r="CK61" s="675">
        <v>0</v>
      </c>
      <c r="CL61" s="675">
        <v>0</v>
      </c>
      <c r="CM61" s="675">
        <v>0</v>
      </c>
      <c r="CN61" s="675">
        <v>0</v>
      </c>
      <c r="CO61" s="675">
        <v>1</v>
      </c>
      <c r="CP61" s="675">
        <v>0</v>
      </c>
      <c r="CQ61" s="675">
        <v>0</v>
      </c>
      <c r="CR61" s="675">
        <v>1320.694</v>
      </c>
      <c r="CS61" s="675">
        <v>0</v>
      </c>
      <c r="CT61" s="675">
        <v>0</v>
      </c>
      <c r="CU61" s="675">
        <v>0</v>
      </c>
      <c r="CV61" s="675">
        <v>0</v>
      </c>
      <c r="CW61" s="675">
        <v>0</v>
      </c>
      <c r="CX61" s="675">
        <v>0</v>
      </c>
      <c r="CY61" s="675">
        <v>0</v>
      </c>
      <c r="CZ61" s="675">
        <v>0</v>
      </c>
      <c r="DA61" s="675">
        <v>0</v>
      </c>
      <c r="DB61" s="675">
        <v>6952002</v>
      </c>
      <c r="DC61" s="675">
        <v>0</v>
      </c>
      <c r="DD61" s="675">
        <v>0</v>
      </c>
      <c r="DE61" s="675">
        <v>72996</v>
      </c>
      <c r="DF61" s="675">
        <v>72996</v>
      </c>
      <c r="DG61" s="675">
        <v>11.85</v>
      </c>
      <c r="DH61" s="675">
        <v>0</v>
      </c>
      <c r="DI61" s="675">
        <v>0</v>
      </c>
      <c r="DJ61" s="675">
        <v>0</v>
      </c>
      <c r="DK61" s="675">
        <v>1162</v>
      </c>
      <c r="DL61" s="675">
        <v>0</v>
      </c>
      <c r="DM61" s="675">
        <v>650712</v>
      </c>
      <c r="DN61" s="675">
        <v>2448</v>
      </c>
      <c r="DO61" s="675">
        <v>0</v>
      </c>
      <c r="DP61" s="675">
        <v>0</v>
      </c>
      <c r="DQ61" s="675">
        <v>0</v>
      </c>
      <c r="DR61" s="675">
        <v>0</v>
      </c>
      <c r="DS61" s="675">
        <v>0</v>
      </c>
      <c r="DT61" s="675">
        <v>0</v>
      </c>
      <c r="DU61" s="675">
        <v>0</v>
      </c>
      <c r="DV61" s="675">
        <v>0</v>
      </c>
      <c r="DW61" s="675">
        <v>0</v>
      </c>
      <c r="DX61" s="675">
        <v>0</v>
      </c>
      <c r="DY61" s="675">
        <v>0</v>
      </c>
      <c r="DZ61" s="675">
        <v>0</v>
      </c>
      <c r="EA61" s="675">
        <v>0</v>
      </c>
      <c r="EB61" s="675">
        <v>0</v>
      </c>
      <c r="EC61" s="675">
        <v>40.800000000000004</v>
      </c>
      <c r="ED61" s="675">
        <v>289026</v>
      </c>
      <c r="EE61" s="675">
        <v>0</v>
      </c>
      <c r="EF61" s="675">
        <v>0</v>
      </c>
      <c r="EG61" s="675">
        <v>0</v>
      </c>
      <c r="EH61" s="675">
        <v>364134</v>
      </c>
      <c r="EI61" s="675">
        <v>0</v>
      </c>
      <c r="EJ61" s="675">
        <v>0</v>
      </c>
      <c r="EK61" s="675">
        <v>13.447000000000001</v>
      </c>
      <c r="EL61" s="675">
        <v>0</v>
      </c>
      <c r="EM61" s="675">
        <v>1.804</v>
      </c>
      <c r="EN61" s="675">
        <v>2.6720000000000002</v>
      </c>
      <c r="EO61" s="675">
        <v>0</v>
      </c>
      <c r="EP61" s="675">
        <v>0</v>
      </c>
      <c r="EQ61" s="675">
        <v>17.923000000000002</v>
      </c>
      <c r="ER61" s="675">
        <v>0</v>
      </c>
      <c r="ES61" s="675">
        <v>59.113</v>
      </c>
      <c r="ET61" s="675">
        <v>0</v>
      </c>
      <c r="EU61" s="675">
        <v>0</v>
      </c>
      <c r="EV61" s="675">
        <v>0</v>
      </c>
      <c r="EW61" s="675">
        <v>0</v>
      </c>
      <c r="EX61" s="675">
        <v>0</v>
      </c>
      <c r="EY61" s="675">
        <v>0</v>
      </c>
      <c r="EZ61" s="675">
        <v>9639882</v>
      </c>
      <c r="FA61" s="675">
        <v>0</v>
      </c>
      <c r="FB61" s="675">
        <v>10154027</v>
      </c>
      <c r="FC61" s="675">
        <v>0</v>
      </c>
      <c r="FD61" s="675">
        <v>0</v>
      </c>
      <c r="FE61" s="675">
        <v>1032677</v>
      </c>
      <c r="FF61" s="675">
        <v>213585</v>
      </c>
      <c r="FG61" s="675">
        <v>6.3574999999999993E-2</v>
      </c>
      <c r="FH61" s="675">
        <v>2.6297999999999998E-2</v>
      </c>
      <c r="FI61" s="675">
        <v>0</v>
      </c>
      <c r="FJ61" s="675">
        <v>0</v>
      </c>
      <c r="FK61" s="675">
        <v>1648.077</v>
      </c>
      <c r="FL61" s="675">
        <v>11625120</v>
      </c>
      <c r="FM61" s="675">
        <v>0</v>
      </c>
      <c r="FN61" s="675">
        <v>0</v>
      </c>
      <c r="FO61" s="675">
        <v>0</v>
      </c>
      <c r="FP61" s="675">
        <v>0</v>
      </c>
      <c r="FQ61" s="675">
        <v>0</v>
      </c>
      <c r="FR61" s="675">
        <v>0</v>
      </c>
      <c r="FS61" s="675">
        <v>0</v>
      </c>
      <c r="FT61" s="675">
        <v>0</v>
      </c>
      <c r="FU61" s="675">
        <v>0</v>
      </c>
      <c r="FV61" s="675">
        <v>0</v>
      </c>
      <c r="FW61" s="675">
        <v>0</v>
      </c>
      <c r="FX61" s="675">
        <v>0</v>
      </c>
      <c r="FY61" s="675">
        <v>0</v>
      </c>
      <c r="FZ61" s="675">
        <v>0</v>
      </c>
      <c r="GA61" s="675">
        <v>0</v>
      </c>
      <c r="GB61" s="675">
        <v>1132256</v>
      </c>
      <c r="GC61" s="675">
        <v>1132256</v>
      </c>
      <c r="GD61" s="675">
        <v>126.929</v>
      </c>
      <c r="GE61" s="675">
        <v>0</v>
      </c>
      <c r="GF61" s="675">
        <v>0</v>
      </c>
      <c r="GG61" s="675">
        <v>0</v>
      </c>
      <c r="GH61" s="675">
        <v>0</v>
      </c>
      <c r="GI61" s="675">
        <v>0</v>
      </c>
      <c r="GJ61" s="675">
        <v>0</v>
      </c>
      <c r="GK61" s="675">
        <v>0</v>
      </c>
      <c r="GL61" s="675">
        <v>0</v>
      </c>
      <c r="GM61" s="675">
        <v>0</v>
      </c>
      <c r="GN61" s="675">
        <v>0</v>
      </c>
      <c r="GO61" s="675">
        <v>0</v>
      </c>
      <c r="GP61" s="675">
        <v>0</v>
      </c>
      <c r="GQ61" s="675">
        <v>0</v>
      </c>
      <c r="GR61" s="675">
        <v>0</v>
      </c>
      <c r="GS61" s="675">
        <v>0</v>
      </c>
      <c r="GT61" s="675">
        <v>0</v>
      </c>
      <c r="GU61" s="675">
        <v>0</v>
      </c>
      <c r="GV61" s="675">
        <v>0</v>
      </c>
      <c r="GW61" s="675">
        <v>0</v>
      </c>
      <c r="GX61" s="675">
        <v>0</v>
      </c>
      <c r="GY61" s="675">
        <v>0</v>
      </c>
      <c r="GZ61" s="675">
        <v>0</v>
      </c>
      <c r="HA61" s="675">
        <v>0</v>
      </c>
      <c r="HB61" s="675">
        <v>308877260</v>
      </c>
      <c r="HC61" s="675">
        <v>4.4138999999999998E-2</v>
      </c>
      <c r="HD61" s="675">
        <v>224831</v>
      </c>
      <c r="HE61" s="675">
        <v>0</v>
      </c>
      <c r="HF61" s="675">
        <v>1244820</v>
      </c>
      <c r="HG61" s="675">
        <v>3696</v>
      </c>
      <c r="HH61" s="675">
        <v>23021</v>
      </c>
      <c r="HI61" s="675">
        <v>0</v>
      </c>
      <c r="HJ61" s="675">
        <v>12378</v>
      </c>
      <c r="HK61" s="675">
        <v>4059</v>
      </c>
      <c r="HL61" s="675">
        <v>482</v>
      </c>
      <c r="HM61" s="675">
        <v>0</v>
      </c>
      <c r="HN61" s="675">
        <v>0</v>
      </c>
      <c r="HO61" s="675">
        <v>0</v>
      </c>
      <c r="HP61" s="675">
        <v>0</v>
      </c>
      <c r="HQ61" s="675">
        <v>0</v>
      </c>
      <c r="HR61" s="675">
        <v>0</v>
      </c>
      <c r="HS61" s="675">
        <v>9637258</v>
      </c>
      <c r="HT61" s="675">
        <v>213585</v>
      </c>
      <c r="HU61" s="675">
        <v>0</v>
      </c>
      <c r="HV61" s="675">
        <v>0</v>
      </c>
      <c r="HW61" s="675">
        <v>0</v>
      </c>
      <c r="HX61" s="675">
        <v>33</v>
      </c>
      <c r="HY61" s="675">
        <v>11</v>
      </c>
      <c r="HZ61" s="675">
        <v>2</v>
      </c>
      <c r="IA61" s="675">
        <v>5</v>
      </c>
      <c r="IB61" s="675">
        <v>0</v>
      </c>
      <c r="IC61" s="675">
        <v>51</v>
      </c>
      <c r="ID61" s="675">
        <v>0</v>
      </c>
      <c r="IE61" s="675">
        <v>0</v>
      </c>
      <c r="IF61" s="675">
        <v>0</v>
      </c>
      <c r="IG61" s="675">
        <v>6</v>
      </c>
      <c r="IH61" s="675">
        <v>37.372</v>
      </c>
      <c r="II61" s="675">
        <v>0</v>
      </c>
      <c r="IJ61" s="675">
        <v>49.702000000000005</v>
      </c>
      <c r="IK61" s="675">
        <v>0</v>
      </c>
      <c r="IL61" s="675">
        <v>0</v>
      </c>
      <c r="IM61" s="675">
        <v>0</v>
      </c>
      <c r="IN61" s="675">
        <v>0</v>
      </c>
      <c r="IO61" s="675">
        <v>0</v>
      </c>
      <c r="IP61" s="675">
        <v>0</v>
      </c>
      <c r="IQ61" s="675">
        <v>49.702000000000005</v>
      </c>
      <c r="IR61" s="675">
        <v>30616</v>
      </c>
      <c r="IS61" s="675">
        <v>0</v>
      </c>
      <c r="IT61" s="675">
        <v>0</v>
      </c>
      <c r="IU61" s="675">
        <v>0</v>
      </c>
      <c r="IV61" s="675">
        <v>0</v>
      </c>
      <c r="IW61" s="675">
        <v>6160</v>
      </c>
      <c r="IX61" s="675">
        <v>0</v>
      </c>
      <c r="IY61" s="675">
        <v>0</v>
      </c>
      <c r="IZ61" s="675">
        <v>0</v>
      </c>
      <c r="JA61" s="675">
        <v>0</v>
      </c>
      <c r="JB61" s="675">
        <v>0</v>
      </c>
      <c r="JC61" s="675">
        <v>0</v>
      </c>
      <c r="JD61" s="675">
        <v>0</v>
      </c>
      <c r="JE61" s="675">
        <v>0</v>
      </c>
      <c r="JF61" s="675">
        <v>0</v>
      </c>
      <c r="JG61" s="675">
        <v>0</v>
      </c>
      <c r="JH61" s="675">
        <v>0</v>
      </c>
      <c r="JI61" s="675">
        <v>0</v>
      </c>
      <c r="JJ61" s="675">
        <v>0</v>
      </c>
      <c r="JK61" s="675">
        <v>0</v>
      </c>
      <c r="JL61" s="675">
        <v>0</v>
      </c>
      <c r="JM61" s="675">
        <v>0</v>
      </c>
      <c r="JN61" s="675">
        <v>32469</v>
      </c>
      <c r="JO61" s="675">
        <v>58.050000000000004</v>
      </c>
      <c r="JP61" s="675">
        <v>48.492000000000004</v>
      </c>
      <c r="JQ61" s="675">
        <v>20.387</v>
      </c>
      <c r="JR61" s="675">
        <v>463779</v>
      </c>
      <c r="JS61" s="675">
        <v>450813</v>
      </c>
      <c r="JT61" s="675">
        <v>217664</v>
      </c>
      <c r="JU61" s="675">
        <v>27165</v>
      </c>
      <c r="JV61" s="675">
        <v>0</v>
      </c>
      <c r="JW61" s="675">
        <v>0</v>
      </c>
      <c r="JX61" s="675">
        <v>0</v>
      </c>
      <c r="JY61" s="675">
        <v>0</v>
      </c>
      <c r="JZ61" s="675">
        <v>0</v>
      </c>
      <c r="KA61" s="675">
        <v>0</v>
      </c>
      <c r="KB61" s="675">
        <v>0</v>
      </c>
      <c r="KC61" s="675">
        <v>0</v>
      </c>
      <c r="KD61" s="675">
        <v>27165</v>
      </c>
      <c r="KE61" s="675">
        <v>7263</v>
      </c>
      <c r="KF61" s="675">
        <v>0</v>
      </c>
      <c r="KG61" s="675">
        <v>0</v>
      </c>
      <c r="KH61" s="675">
        <v>0</v>
      </c>
      <c r="KI61" s="675">
        <v>0</v>
      </c>
    </row>
    <row r="62" spans="1:295" ht="12.5" x14ac:dyDescent="0.25">
      <c r="A62" s="675">
        <v>35795</v>
      </c>
      <c r="B62" s="675">
        <v>71804</v>
      </c>
      <c r="C62" s="675">
        <v>7</v>
      </c>
      <c r="D62" s="675">
        <v>2022</v>
      </c>
      <c r="E62" s="675">
        <v>6160</v>
      </c>
      <c r="F62" s="675">
        <v>0</v>
      </c>
      <c r="G62" s="675">
        <v>213.79</v>
      </c>
      <c r="H62" s="675">
        <v>204.095</v>
      </c>
      <c r="I62" s="675">
        <v>204.095</v>
      </c>
      <c r="J62" s="675">
        <v>213.79</v>
      </c>
      <c r="K62" s="675">
        <v>0</v>
      </c>
      <c r="L62" s="675">
        <v>6160</v>
      </c>
      <c r="M62" s="675">
        <v>0</v>
      </c>
      <c r="N62" s="675">
        <v>0</v>
      </c>
      <c r="O62" s="675">
        <v>0</v>
      </c>
      <c r="P62" s="675">
        <v>254.96800000000002</v>
      </c>
      <c r="Q62" s="675">
        <v>0</v>
      </c>
      <c r="R62" s="675">
        <v>102606</v>
      </c>
      <c r="S62" s="675">
        <v>402.428</v>
      </c>
      <c r="T62" s="675">
        <v>0</v>
      </c>
      <c r="U62" s="675">
        <v>54565</v>
      </c>
      <c r="V62" s="675">
        <v>29.09</v>
      </c>
      <c r="W62" s="675">
        <v>17919</v>
      </c>
      <c r="X62" s="675">
        <v>17919</v>
      </c>
      <c r="Y62" s="675">
        <v>0</v>
      </c>
      <c r="Z62" s="675">
        <v>0</v>
      </c>
      <c r="AA62" s="675">
        <v>0</v>
      </c>
      <c r="AB62" s="675">
        <v>0</v>
      </c>
      <c r="AC62" s="675">
        <v>0</v>
      </c>
      <c r="AD62" s="675" t="s">
        <v>316</v>
      </c>
      <c r="AE62" s="675">
        <v>0</v>
      </c>
      <c r="AF62" s="675">
        <v>0</v>
      </c>
      <c r="AG62" s="675">
        <v>0</v>
      </c>
      <c r="AH62" s="675">
        <v>0</v>
      </c>
      <c r="AI62" s="675">
        <v>0</v>
      </c>
      <c r="AJ62" s="675">
        <v>6160</v>
      </c>
      <c r="AK62" s="675" t="s">
        <v>671</v>
      </c>
      <c r="AL62" s="675" t="s">
        <v>25</v>
      </c>
      <c r="AM62" s="675">
        <v>0</v>
      </c>
      <c r="AN62" s="675">
        <v>0</v>
      </c>
      <c r="AO62" s="675">
        <v>0</v>
      </c>
      <c r="AP62" s="675">
        <v>0</v>
      </c>
      <c r="AQ62" s="675">
        <v>0</v>
      </c>
      <c r="AR62" s="675">
        <v>0</v>
      </c>
      <c r="AS62" s="675">
        <v>0</v>
      </c>
      <c r="AT62" s="675">
        <v>0</v>
      </c>
      <c r="AU62" s="675">
        <v>0</v>
      </c>
      <c r="AV62" s="675">
        <v>-4100</v>
      </c>
      <c r="AW62" s="675">
        <v>2314724</v>
      </c>
      <c r="AX62" s="675">
        <v>2222977</v>
      </c>
      <c r="AY62" s="675">
        <v>1636054</v>
      </c>
      <c r="AZ62" s="675">
        <v>102606</v>
      </c>
      <c r="BA62" s="675">
        <v>0</v>
      </c>
      <c r="BB62" s="675">
        <v>0</v>
      </c>
      <c r="BC62" s="675">
        <v>0</v>
      </c>
      <c r="BD62" s="675">
        <v>0</v>
      </c>
      <c r="BE62" s="675">
        <v>0</v>
      </c>
      <c r="BF62" s="675">
        <v>1996886</v>
      </c>
      <c r="BG62" s="675">
        <v>0</v>
      </c>
      <c r="BH62" s="675">
        <v>0</v>
      </c>
      <c r="BI62" s="675">
        <v>0</v>
      </c>
      <c r="BJ62" s="675">
        <v>12</v>
      </c>
      <c r="BK62" s="675">
        <v>0</v>
      </c>
      <c r="BL62" s="675">
        <v>0</v>
      </c>
      <c r="BM62" s="675">
        <v>0</v>
      </c>
      <c r="BN62" s="675">
        <v>0</v>
      </c>
      <c r="BO62" s="675">
        <v>0</v>
      </c>
      <c r="BP62" s="675">
        <v>0</v>
      </c>
      <c r="BQ62" s="675">
        <v>739</v>
      </c>
      <c r="BR62" s="675">
        <v>0</v>
      </c>
      <c r="BS62" s="675">
        <v>0</v>
      </c>
      <c r="BT62" s="675">
        <v>0</v>
      </c>
      <c r="BU62" s="675">
        <v>0</v>
      </c>
      <c r="BV62" s="675">
        <v>0</v>
      </c>
      <c r="BW62" s="675">
        <v>0</v>
      </c>
      <c r="BX62" s="675">
        <v>0</v>
      </c>
      <c r="BY62" s="675">
        <v>0</v>
      </c>
      <c r="BZ62" s="675">
        <v>0</v>
      </c>
      <c r="CA62" s="675">
        <v>0</v>
      </c>
      <c r="CB62" s="675">
        <v>0</v>
      </c>
      <c r="CC62" s="675">
        <v>0</v>
      </c>
      <c r="CD62" s="675">
        <v>0</v>
      </c>
      <c r="CE62" s="675">
        <v>0</v>
      </c>
      <c r="CF62" s="675">
        <v>0</v>
      </c>
      <c r="CG62" s="675">
        <v>0</v>
      </c>
      <c r="CH62" s="675">
        <v>92136</v>
      </c>
      <c r="CI62" s="675">
        <v>0</v>
      </c>
      <c r="CJ62" s="675">
        <v>4</v>
      </c>
      <c r="CK62" s="675">
        <v>0</v>
      </c>
      <c r="CL62" s="675">
        <v>0</v>
      </c>
      <c r="CM62" s="675">
        <v>0</v>
      </c>
      <c r="CN62" s="675">
        <v>0</v>
      </c>
      <c r="CO62" s="675">
        <v>1</v>
      </c>
      <c r="CP62" s="675">
        <v>1.046</v>
      </c>
      <c r="CQ62" s="675">
        <v>0</v>
      </c>
      <c r="CR62" s="675">
        <v>247.13900000000001</v>
      </c>
      <c r="CS62" s="675">
        <v>0</v>
      </c>
      <c r="CT62" s="675">
        <v>0</v>
      </c>
      <c r="CU62" s="675">
        <v>0</v>
      </c>
      <c r="CV62" s="675">
        <v>0</v>
      </c>
      <c r="CW62" s="675">
        <v>0</v>
      </c>
      <c r="CX62" s="675">
        <v>0</v>
      </c>
      <c r="CY62" s="675">
        <v>0</v>
      </c>
      <c r="CZ62" s="675">
        <v>0</v>
      </c>
      <c r="DA62" s="675">
        <v>0</v>
      </c>
      <c r="DB62" s="675">
        <v>1183012</v>
      </c>
      <c r="DC62" s="675">
        <v>0</v>
      </c>
      <c r="DD62" s="675">
        <v>0</v>
      </c>
      <c r="DE62" s="675">
        <v>301454</v>
      </c>
      <c r="DF62" s="675">
        <v>316982</v>
      </c>
      <c r="DG62" s="675">
        <v>48.938000000000002</v>
      </c>
      <c r="DH62" s="675">
        <v>0</v>
      </c>
      <c r="DI62" s="675">
        <v>15528</v>
      </c>
      <c r="DJ62" s="675">
        <v>0</v>
      </c>
      <c r="DK62" s="675">
        <v>3440</v>
      </c>
      <c r="DL62" s="675">
        <v>0</v>
      </c>
      <c r="DM62" s="675">
        <v>177527</v>
      </c>
      <c r="DN62" s="675">
        <v>389</v>
      </c>
      <c r="DO62" s="675">
        <v>0</v>
      </c>
      <c r="DP62" s="675">
        <v>0</v>
      </c>
      <c r="DQ62" s="675">
        <v>0</v>
      </c>
      <c r="DR62" s="675">
        <v>0</v>
      </c>
      <c r="DS62" s="675">
        <v>0</v>
      </c>
      <c r="DT62" s="675">
        <v>0</v>
      </c>
      <c r="DU62" s="675">
        <v>0</v>
      </c>
      <c r="DV62" s="675">
        <v>0</v>
      </c>
      <c r="DW62" s="675">
        <v>0</v>
      </c>
      <c r="DX62" s="675">
        <v>0</v>
      </c>
      <c r="DY62" s="675">
        <v>0</v>
      </c>
      <c r="DZ62" s="675">
        <v>0</v>
      </c>
      <c r="EA62" s="675">
        <v>0.3</v>
      </c>
      <c r="EB62" s="675">
        <v>0</v>
      </c>
      <c r="EC62" s="675">
        <v>12.326000000000001</v>
      </c>
      <c r="ED62" s="675">
        <v>87317</v>
      </c>
      <c r="EE62" s="675">
        <v>0</v>
      </c>
      <c r="EF62" s="675">
        <v>0</v>
      </c>
      <c r="EG62" s="675">
        <v>0</v>
      </c>
      <c r="EH62" s="675">
        <v>16392</v>
      </c>
      <c r="EI62" s="675">
        <v>0</v>
      </c>
      <c r="EJ62" s="675">
        <v>0</v>
      </c>
      <c r="EK62" s="675">
        <v>0.34200000000000003</v>
      </c>
      <c r="EL62" s="675">
        <v>0</v>
      </c>
      <c r="EM62" s="675">
        <v>0</v>
      </c>
      <c r="EN62" s="675">
        <v>2.7E-2</v>
      </c>
      <c r="EO62" s="675">
        <v>0</v>
      </c>
      <c r="EP62" s="675">
        <v>0</v>
      </c>
      <c r="EQ62" s="675">
        <v>0.66900000000000004</v>
      </c>
      <c r="ER62" s="675">
        <v>0</v>
      </c>
      <c r="ES62" s="675">
        <v>2.661</v>
      </c>
      <c r="ET62" s="675">
        <v>0</v>
      </c>
      <c r="EU62" s="675">
        <v>0</v>
      </c>
      <c r="EV62" s="675">
        <v>0</v>
      </c>
      <c r="EW62" s="675">
        <v>0</v>
      </c>
      <c r="EX62" s="675">
        <v>0</v>
      </c>
      <c r="EY62" s="675">
        <v>0</v>
      </c>
      <c r="EZ62" s="675">
        <v>1977842</v>
      </c>
      <c r="FA62" s="675">
        <v>0</v>
      </c>
      <c r="FB62" s="675">
        <v>2080059</v>
      </c>
      <c r="FC62" s="675">
        <v>0</v>
      </c>
      <c r="FD62" s="675">
        <v>0</v>
      </c>
      <c r="FE62" s="675">
        <v>203124</v>
      </c>
      <c r="FF62" s="675">
        <v>42011</v>
      </c>
      <c r="FG62" s="675">
        <v>6.3574999999999993E-2</v>
      </c>
      <c r="FH62" s="675">
        <v>2.6297999999999998E-2</v>
      </c>
      <c r="FI62" s="675">
        <v>0</v>
      </c>
      <c r="FJ62" s="675">
        <v>0</v>
      </c>
      <c r="FK62" s="675">
        <v>324.17099999999999</v>
      </c>
      <c r="FL62" s="675">
        <v>2417330</v>
      </c>
      <c r="FM62" s="675">
        <v>0</v>
      </c>
      <c r="FN62" s="675">
        <v>0</v>
      </c>
      <c r="FO62" s="675">
        <v>0</v>
      </c>
      <c r="FP62" s="675">
        <v>0</v>
      </c>
      <c r="FQ62" s="675">
        <v>0</v>
      </c>
      <c r="FR62" s="675">
        <v>0</v>
      </c>
      <c r="FS62" s="675">
        <v>0</v>
      </c>
      <c r="FT62" s="675">
        <v>0</v>
      </c>
      <c r="FU62" s="675">
        <v>0</v>
      </c>
      <c r="FV62" s="675">
        <v>0</v>
      </c>
      <c r="FW62" s="675">
        <v>0</v>
      </c>
      <c r="FX62" s="675">
        <v>0</v>
      </c>
      <c r="FY62" s="675">
        <v>0</v>
      </c>
      <c r="FZ62" s="675">
        <v>0</v>
      </c>
      <c r="GA62" s="675">
        <v>0</v>
      </c>
      <c r="GB62" s="675">
        <v>72579</v>
      </c>
      <c r="GC62" s="675">
        <v>72579</v>
      </c>
      <c r="GD62" s="675">
        <v>9.0259999999999998</v>
      </c>
      <c r="GE62" s="675">
        <v>0</v>
      </c>
      <c r="GF62" s="675">
        <v>0</v>
      </c>
      <c r="GG62" s="675">
        <v>0</v>
      </c>
      <c r="GH62" s="675">
        <v>0</v>
      </c>
      <c r="GI62" s="675">
        <v>0</v>
      </c>
      <c r="GJ62" s="675">
        <v>0</v>
      </c>
      <c r="GK62" s="675">
        <v>0</v>
      </c>
      <c r="GL62" s="675">
        <v>0</v>
      </c>
      <c r="GM62" s="675">
        <v>0</v>
      </c>
      <c r="GN62" s="675">
        <v>0</v>
      </c>
      <c r="GO62" s="675">
        <v>0</v>
      </c>
      <c r="GP62" s="675">
        <v>0</v>
      </c>
      <c r="GQ62" s="675">
        <v>0</v>
      </c>
      <c r="GR62" s="675">
        <v>0</v>
      </c>
      <c r="GS62" s="675">
        <v>0</v>
      </c>
      <c r="GT62" s="675">
        <v>0</v>
      </c>
      <c r="GU62" s="675">
        <v>0</v>
      </c>
      <c r="GV62" s="675">
        <v>0</v>
      </c>
      <c r="GW62" s="675">
        <v>0</v>
      </c>
      <c r="GX62" s="675">
        <v>0</v>
      </c>
      <c r="GY62" s="675">
        <v>0</v>
      </c>
      <c r="GZ62" s="675">
        <v>0</v>
      </c>
      <c r="HA62" s="675">
        <v>0</v>
      </c>
      <c r="HB62" s="675">
        <v>308877260</v>
      </c>
      <c r="HC62" s="675">
        <v>4.4138999999999998E-2</v>
      </c>
      <c r="HD62" s="675">
        <v>37746</v>
      </c>
      <c r="HE62" s="675">
        <v>0</v>
      </c>
      <c r="HF62" s="675">
        <v>225117</v>
      </c>
      <c r="HG62" s="675">
        <v>1283</v>
      </c>
      <c r="HH62" s="675">
        <v>0</v>
      </c>
      <c r="HI62" s="675">
        <v>0</v>
      </c>
      <c r="HJ62" s="675">
        <v>2078</v>
      </c>
      <c r="HK62" s="675">
        <v>4905</v>
      </c>
      <c r="HL62" s="675">
        <v>0</v>
      </c>
      <c r="HM62" s="675">
        <v>0</v>
      </c>
      <c r="HN62" s="675">
        <v>0</v>
      </c>
      <c r="HO62" s="675">
        <v>0</v>
      </c>
      <c r="HP62" s="675">
        <v>78657</v>
      </c>
      <c r="HQ62" s="675">
        <v>0</v>
      </c>
      <c r="HR62" s="675">
        <v>0</v>
      </c>
      <c r="HS62" s="675">
        <v>1977453</v>
      </c>
      <c r="HT62" s="675">
        <v>42011</v>
      </c>
      <c r="HU62" s="675">
        <v>0</v>
      </c>
      <c r="HV62" s="675">
        <v>0</v>
      </c>
      <c r="HW62" s="675">
        <v>0</v>
      </c>
      <c r="HX62" s="675">
        <v>35</v>
      </c>
      <c r="HY62" s="675">
        <v>31</v>
      </c>
      <c r="HZ62" s="675">
        <v>34</v>
      </c>
      <c r="IA62" s="675">
        <v>52</v>
      </c>
      <c r="IB62" s="675">
        <v>42</v>
      </c>
      <c r="IC62" s="675">
        <v>194</v>
      </c>
      <c r="ID62" s="675">
        <v>0</v>
      </c>
      <c r="IE62" s="675">
        <v>0</v>
      </c>
      <c r="IF62" s="675">
        <v>0</v>
      </c>
      <c r="IG62" s="675">
        <v>2.0830000000000002</v>
      </c>
      <c r="IH62" s="675">
        <v>0</v>
      </c>
      <c r="II62" s="675">
        <v>286.024</v>
      </c>
      <c r="IJ62" s="675">
        <v>29.09</v>
      </c>
      <c r="IK62" s="675">
        <v>0</v>
      </c>
      <c r="IL62" s="675">
        <v>0</v>
      </c>
      <c r="IM62" s="675">
        <v>0</v>
      </c>
      <c r="IN62" s="675">
        <v>0</v>
      </c>
      <c r="IO62" s="675">
        <v>0</v>
      </c>
      <c r="IP62" s="675">
        <v>286.024</v>
      </c>
      <c r="IQ62" s="675">
        <v>29.09</v>
      </c>
      <c r="IR62" s="675">
        <v>17919</v>
      </c>
      <c r="IS62" s="675">
        <v>0</v>
      </c>
      <c r="IT62" s="675">
        <v>0</v>
      </c>
      <c r="IU62" s="675">
        <v>0</v>
      </c>
      <c r="IV62" s="675">
        <v>0</v>
      </c>
      <c r="IW62" s="675">
        <v>6160</v>
      </c>
      <c r="IX62" s="675">
        <v>0</v>
      </c>
      <c r="IY62" s="675">
        <v>0</v>
      </c>
      <c r="IZ62" s="675">
        <v>78657</v>
      </c>
      <c r="JA62" s="675">
        <v>0</v>
      </c>
      <c r="JB62" s="675">
        <v>0</v>
      </c>
      <c r="JC62" s="675">
        <v>0</v>
      </c>
      <c r="JD62" s="675">
        <v>0</v>
      </c>
      <c r="JE62" s="675">
        <v>0</v>
      </c>
      <c r="JF62" s="675">
        <v>0</v>
      </c>
      <c r="JG62" s="675">
        <v>0</v>
      </c>
      <c r="JH62" s="675">
        <v>0</v>
      </c>
      <c r="JI62" s="675">
        <v>0</v>
      </c>
      <c r="JJ62" s="675">
        <v>0</v>
      </c>
      <c r="JK62" s="675">
        <v>0</v>
      </c>
      <c r="JL62" s="675">
        <v>0</v>
      </c>
      <c r="JM62" s="675">
        <v>0</v>
      </c>
      <c r="JN62" s="675">
        <v>32469</v>
      </c>
      <c r="JO62" s="675">
        <v>8.668000000000001</v>
      </c>
      <c r="JP62" s="675">
        <v>0.35800000000000004</v>
      </c>
      <c r="JQ62" s="675">
        <v>0</v>
      </c>
      <c r="JR62" s="675">
        <v>69251</v>
      </c>
      <c r="JS62" s="675">
        <v>3328</v>
      </c>
      <c r="JT62" s="675">
        <v>0</v>
      </c>
      <c r="JU62" s="675">
        <v>0</v>
      </c>
      <c r="JV62" s="675">
        <v>0</v>
      </c>
      <c r="JW62" s="675">
        <v>0</v>
      </c>
      <c r="JX62" s="675">
        <v>0</v>
      </c>
      <c r="JY62" s="675">
        <v>0</v>
      </c>
      <c r="JZ62" s="675">
        <v>0</v>
      </c>
      <c r="KA62" s="675">
        <v>0</v>
      </c>
      <c r="KB62" s="675">
        <v>0</v>
      </c>
      <c r="KC62" s="675">
        <v>0</v>
      </c>
      <c r="KD62" s="675">
        <v>0</v>
      </c>
      <c r="KE62" s="675">
        <v>7263</v>
      </c>
      <c r="KF62" s="675">
        <v>54390</v>
      </c>
      <c r="KG62" s="675">
        <v>0</v>
      </c>
      <c r="KH62" s="675">
        <v>0</v>
      </c>
      <c r="KI62" s="675">
        <v>0</v>
      </c>
    </row>
    <row r="63" spans="1:295" ht="12.5" x14ac:dyDescent="0.25">
      <c r="A63" s="675">
        <v>35795</v>
      </c>
      <c r="B63" s="675">
        <v>84804</v>
      </c>
      <c r="C63" s="675">
        <v>7</v>
      </c>
      <c r="D63" s="675">
        <v>2022</v>
      </c>
      <c r="E63" s="675">
        <v>6160</v>
      </c>
      <c r="F63" s="675">
        <v>0</v>
      </c>
      <c r="G63" s="675">
        <v>158.58100000000002</v>
      </c>
      <c r="H63" s="675">
        <v>155.62300000000002</v>
      </c>
      <c r="I63" s="675">
        <v>155.62300000000002</v>
      </c>
      <c r="J63" s="675">
        <v>158.58100000000002</v>
      </c>
      <c r="K63" s="675">
        <v>0</v>
      </c>
      <c r="L63" s="675">
        <v>6160</v>
      </c>
      <c r="M63" s="675">
        <v>0</v>
      </c>
      <c r="N63" s="675">
        <v>0</v>
      </c>
      <c r="O63" s="675">
        <v>0</v>
      </c>
      <c r="P63" s="675">
        <v>207.84200000000001</v>
      </c>
      <c r="Q63" s="675">
        <v>0</v>
      </c>
      <c r="R63" s="675">
        <v>83641</v>
      </c>
      <c r="S63" s="675">
        <v>402.428</v>
      </c>
      <c r="T63" s="675">
        <v>0</v>
      </c>
      <c r="U63" s="675">
        <v>44478</v>
      </c>
      <c r="V63" s="675">
        <v>0</v>
      </c>
      <c r="W63" s="675">
        <v>0</v>
      </c>
      <c r="X63" s="675">
        <v>0</v>
      </c>
      <c r="Y63" s="675">
        <v>0</v>
      </c>
      <c r="Z63" s="675">
        <v>0</v>
      </c>
      <c r="AA63" s="675">
        <v>0</v>
      </c>
      <c r="AB63" s="675">
        <v>0</v>
      </c>
      <c r="AC63" s="675">
        <v>0</v>
      </c>
      <c r="AD63" s="675" t="s">
        <v>316</v>
      </c>
      <c r="AE63" s="675">
        <v>0</v>
      </c>
      <c r="AF63" s="675">
        <v>0</v>
      </c>
      <c r="AG63" s="675">
        <v>0</v>
      </c>
      <c r="AH63" s="675">
        <v>0</v>
      </c>
      <c r="AI63" s="675">
        <v>0</v>
      </c>
      <c r="AJ63" s="675">
        <v>6160</v>
      </c>
      <c r="AK63" s="675" t="s">
        <v>671</v>
      </c>
      <c r="AL63" s="675" t="s">
        <v>65</v>
      </c>
      <c r="AM63" s="675">
        <v>0</v>
      </c>
      <c r="AN63" s="675">
        <v>0</v>
      </c>
      <c r="AO63" s="675">
        <v>0</v>
      </c>
      <c r="AP63" s="675">
        <v>0</v>
      </c>
      <c r="AQ63" s="675">
        <v>0</v>
      </c>
      <c r="AR63" s="675">
        <v>0</v>
      </c>
      <c r="AS63" s="675">
        <v>0</v>
      </c>
      <c r="AT63" s="675">
        <v>0</v>
      </c>
      <c r="AU63" s="675">
        <v>0</v>
      </c>
      <c r="AV63" s="675">
        <v>-101213</v>
      </c>
      <c r="AW63" s="675">
        <v>1627203</v>
      </c>
      <c r="AX63" s="675">
        <v>1599423</v>
      </c>
      <c r="AY63" s="675">
        <v>1118169</v>
      </c>
      <c r="AZ63" s="675">
        <v>83641</v>
      </c>
      <c r="BA63" s="675">
        <v>0</v>
      </c>
      <c r="BB63" s="675">
        <v>862</v>
      </c>
      <c r="BC63" s="675">
        <v>856</v>
      </c>
      <c r="BD63" s="675">
        <v>2</v>
      </c>
      <c r="BE63" s="675">
        <v>6</v>
      </c>
      <c r="BF63" s="675">
        <v>1499043</v>
      </c>
      <c r="BG63" s="675">
        <v>0</v>
      </c>
      <c r="BH63" s="675">
        <v>0</v>
      </c>
      <c r="BI63" s="675">
        <v>0</v>
      </c>
      <c r="BJ63" s="675">
        <v>12</v>
      </c>
      <c r="BK63" s="675">
        <v>0</v>
      </c>
      <c r="BL63" s="675">
        <v>0</v>
      </c>
      <c r="BM63" s="675">
        <v>0</v>
      </c>
      <c r="BN63" s="675">
        <v>0</v>
      </c>
      <c r="BO63" s="675">
        <v>0</v>
      </c>
      <c r="BP63" s="675">
        <v>0</v>
      </c>
      <c r="BQ63" s="675">
        <v>746</v>
      </c>
      <c r="BR63" s="675">
        <v>0</v>
      </c>
      <c r="BS63" s="675">
        <v>0</v>
      </c>
      <c r="BT63" s="675">
        <v>0</v>
      </c>
      <c r="BU63" s="675">
        <v>0</v>
      </c>
      <c r="BV63" s="675">
        <v>0</v>
      </c>
      <c r="BW63" s="675">
        <v>0</v>
      </c>
      <c r="BX63" s="675">
        <v>0</v>
      </c>
      <c r="BY63" s="675">
        <v>0</v>
      </c>
      <c r="BZ63" s="675">
        <v>0</v>
      </c>
      <c r="CA63" s="675">
        <v>0</v>
      </c>
      <c r="CB63" s="675">
        <v>0</v>
      </c>
      <c r="CC63" s="675">
        <v>0</v>
      </c>
      <c r="CD63" s="675">
        <v>0</v>
      </c>
      <c r="CE63" s="675">
        <v>0</v>
      </c>
      <c r="CF63" s="675">
        <v>0</v>
      </c>
      <c r="CG63" s="675">
        <v>0</v>
      </c>
      <c r="CH63" s="675">
        <v>27998</v>
      </c>
      <c r="CI63" s="675">
        <v>0</v>
      </c>
      <c r="CJ63" s="675">
        <v>4</v>
      </c>
      <c r="CK63" s="675">
        <v>0</v>
      </c>
      <c r="CL63" s="675">
        <v>0</v>
      </c>
      <c r="CM63" s="675">
        <v>0</v>
      </c>
      <c r="CN63" s="675">
        <v>0</v>
      </c>
      <c r="CO63" s="675">
        <v>1</v>
      </c>
      <c r="CP63" s="675">
        <v>0</v>
      </c>
      <c r="CQ63" s="675">
        <v>0</v>
      </c>
      <c r="CR63" s="675">
        <v>208.79300000000001</v>
      </c>
      <c r="CS63" s="675">
        <v>0</v>
      </c>
      <c r="CT63" s="675">
        <v>0</v>
      </c>
      <c r="CU63" s="675">
        <v>0</v>
      </c>
      <c r="CV63" s="675">
        <v>0</v>
      </c>
      <c r="CW63" s="675">
        <v>0</v>
      </c>
      <c r="CX63" s="675">
        <v>0</v>
      </c>
      <c r="CY63" s="675">
        <v>0</v>
      </c>
      <c r="CZ63" s="675">
        <v>0</v>
      </c>
      <c r="DA63" s="675">
        <v>0</v>
      </c>
      <c r="DB63" s="675">
        <v>958633</v>
      </c>
      <c r="DC63" s="675">
        <v>0</v>
      </c>
      <c r="DD63" s="675">
        <v>0</v>
      </c>
      <c r="DE63" s="675">
        <v>258257</v>
      </c>
      <c r="DF63" s="675">
        <v>258257</v>
      </c>
      <c r="DG63" s="675">
        <v>41.925000000000004</v>
      </c>
      <c r="DH63" s="675">
        <v>0</v>
      </c>
      <c r="DI63" s="675">
        <v>0</v>
      </c>
      <c r="DJ63" s="675">
        <v>0</v>
      </c>
      <c r="DK63" s="675">
        <v>3559</v>
      </c>
      <c r="DL63" s="675">
        <v>0</v>
      </c>
      <c r="DM63" s="675">
        <v>56508</v>
      </c>
      <c r="DN63" s="675">
        <v>213</v>
      </c>
      <c r="DO63" s="675">
        <v>0</v>
      </c>
      <c r="DP63" s="675">
        <v>0</v>
      </c>
      <c r="DQ63" s="675">
        <v>0</v>
      </c>
      <c r="DR63" s="675">
        <v>0</v>
      </c>
      <c r="DS63" s="675">
        <v>0</v>
      </c>
      <c r="DT63" s="675">
        <v>0</v>
      </c>
      <c r="DU63" s="675">
        <v>0</v>
      </c>
      <c r="DV63" s="675">
        <v>0</v>
      </c>
      <c r="DW63" s="675">
        <v>0</v>
      </c>
      <c r="DX63" s="675">
        <v>0</v>
      </c>
      <c r="DY63" s="675">
        <v>0</v>
      </c>
      <c r="DZ63" s="675">
        <v>0</v>
      </c>
      <c r="EA63" s="675">
        <v>0</v>
      </c>
      <c r="EB63" s="675">
        <v>0</v>
      </c>
      <c r="EC63" s="675">
        <v>0</v>
      </c>
      <c r="ED63" s="675">
        <v>0</v>
      </c>
      <c r="EE63" s="675">
        <v>0</v>
      </c>
      <c r="EF63" s="675">
        <v>0</v>
      </c>
      <c r="EG63" s="675">
        <v>0</v>
      </c>
      <c r="EH63" s="675">
        <v>56721</v>
      </c>
      <c r="EI63" s="675">
        <v>0</v>
      </c>
      <c r="EJ63" s="675">
        <v>0</v>
      </c>
      <c r="EK63" s="675">
        <v>2.7909999999999999</v>
      </c>
      <c r="EL63" s="675">
        <v>0</v>
      </c>
      <c r="EM63" s="675">
        <v>0</v>
      </c>
      <c r="EN63" s="675">
        <v>0.16700000000000001</v>
      </c>
      <c r="EO63" s="675">
        <v>0</v>
      </c>
      <c r="EP63" s="675">
        <v>0</v>
      </c>
      <c r="EQ63" s="675">
        <v>2.9580000000000002</v>
      </c>
      <c r="ER63" s="675">
        <v>0</v>
      </c>
      <c r="ES63" s="675">
        <v>9.2080000000000002</v>
      </c>
      <c r="ET63" s="675">
        <v>0</v>
      </c>
      <c r="EU63" s="675">
        <v>0</v>
      </c>
      <c r="EV63" s="675">
        <v>0</v>
      </c>
      <c r="EW63" s="675">
        <v>0</v>
      </c>
      <c r="EX63" s="675">
        <v>0</v>
      </c>
      <c r="EY63" s="675">
        <v>0</v>
      </c>
      <c r="EZ63" s="675">
        <v>1415402</v>
      </c>
      <c r="FA63" s="675">
        <v>0</v>
      </c>
      <c r="FB63" s="675">
        <v>1498825</v>
      </c>
      <c r="FC63" s="675">
        <v>0</v>
      </c>
      <c r="FD63" s="675">
        <v>0</v>
      </c>
      <c r="FE63" s="675">
        <v>152483</v>
      </c>
      <c r="FF63" s="675">
        <v>31538</v>
      </c>
      <c r="FG63" s="675">
        <v>6.3574999999999993E-2</v>
      </c>
      <c r="FH63" s="675">
        <v>2.6297999999999998E-2</v>
      </c>
      <c r="FI63" s="675">
        <v>0</v>
      </c>
      <c r="FJ63" s="675">
        <v>0</v>
      </c>
      <c r="FK63" s="675">
        <v>243.352</v>
      </c>
      <c r="FL63" s="675">
        <v>1710844</v>
      </c>
      <c r="FM63" s="675">
        <v>0</v>
      </c>
      <c r="FN63" s="675">
        <v>0</v>
      </c>
      <c r="FO63" s="675">
        <v>0</v>
      </c>
      <c r="FP63" s="675">
        <v>0</v>
      </c>
      <c r="FQ63" s="675">
        <v>0</v>
      </c>
      <c r="FR63" s="675">
        <v>0</v>
      </c>
      <c r="FS63" s="675">
        <v>0</v>
      </c>
      <c r="FT63" s="675">
        <v>0</v>
      </c>
      <c r="FU63" s="675">
        <v>0</v>
      </c>
      <c r="FV63" s="675">
        <v>0</v>
      </c>
      <c r="FW63" s="675">
        <v>0</v>
      </c>
      <c r="FX63" s="675">
        <v>0</v>
      </c>
      <c r="FY63" s="675">
        <v>0</v>
      </c>
      <c r="FZ63" s="675">
        <v>0</v>
      </c>
      <c r="GA63" s="675">
        <v>0</v>
      </c>
      <c r="GB63" s="675">
        <v>0</v>
      </c>
      <c r="GC63" s="675">
        <v>0</v>
      </c>
      <c r="GD63" s="675">
        <v>0</v>
      </c>
      <c r="GE63" s="675">
        <v>0</v>
      </c>
      <c r="GF63" s="675">
        <v>0</v>
      </c>
      <c r="GG63" s="675">
        <v>0</v>
      </c>
      <c r="GH63" s="675">
        <v>0</v>
      </c>
      <c r="GI63" s="675">
        <v>0</v>
      </c>
      <c r="GJ63" s="675">
        <v>0</v>
      </c>
      <c r="GK63" s="675">
        <v>0</v>
      </c>
      <c r="GL63" s="675">
        <v>0</v>
      </c>
      <c r="GM63" s="675">
        <v>0</v>
      </c>
      <c r="GN63" s="675">
        <v>0</v>
      </c>
      <c r="GO63" s="675">
        <v>0</v>
      </c>
      <c r="GP63" s="675">
        <v>0</v>
      </c>
      <c r="GQ63" s="675">
        <v>0</v>
      </c>
      <c r="GR63" s="675">
        <v>0</v>
      </c>
      <c r="GS63" s="675">
        <v>0</v>
      </c>
      <c r="GT63" s="675">
        <v>0</v>
      </c>
      <c r="GU63" s="675">
        <v>0</v>
      </c>
      <c r="GV63" s="675">
        <v>0</v>
      </c>
      <c r="GW63" s="675">
        <v>0</v>
      </c>
      <c r="GX63" s="675">
        <v>0</v>
      </c>
      <c r="GY63" s="675">
        <v>0</v>
      </c>
      <c r="GZ63" s="675">
        <v>0</v>
      </c>
      <c r="HA63" s="675">
        <v>0</v>
      </c>
      <c r="HB63" s="675">
        <v>308877260</v>
      </c>
      <c r="HC63" s="675">
        <v>4.4138999999999998E-2</v>
      </c>
      <c r="HD63" s="675">
        <v>27998</v>
      </c>
      <c r="HE63" s="675">
        <v>0</v>
      </c>
      <c r="HF63" s="675">
        <v>171652</v>
      </c>
      <c r="HG63" s="675">
        <v>1232</v>
      </c>
      <c r="HH63" s="675">
        <v>35145</v>
      </c>
      <c r="HI63" s="675">
        <v>0</v>
      </c>
      <c r="HJ63" s="675">
        <v>1541</v>
      </c>
      <c r="HK63" s="675">
        <v>0</v>
      </c>
      <c r="HL63" s="675">
        <v>0</v>
      </c>
      <c r="HM63" s="675">
        <v>0</v>
      </c>
      <c r="HN63" s="675">
        <v>0</v>
      </c>
      <c r="HO63" s="675">
        <v>15000</v>
      </c>
      <c r="HP63" s="675">
        <v>0</v>
      </c>
      <c r="HQ63" s="675">
        <v>0</v>
      </c>
      <c r="HR63" s="675">
        <v>0</v>
      </c>
      <c r="HS63" s="675">
        <v>1415184</v>
      </c>
      <c r="HT63" s="675">
        <v>31538</v>
      </c>
      <c r="HU63" s="675">
        <v>0</v>
      </c>
      <c r="HV63" s="675">
        <v>0</v>
      </c>
      <c r="HW63" s="675">
        <v>0</v>
      </c>
      <c r="HX63" s="675">
        <v>23</v>
      </c>
      <c r="HY63" s="675">
        <v>10</v>
      </c>
      <c r="HZ63" s="675">
        <v>59</v>
      </c>
      <c r="IA63" s="675">
        <v>36</v>
      </c>
      <c r="IB63" s="675">
        <v>37</v>
      </c>
      <c r="IC63" s="675">
        <v>165</v>
      </c>
      <c r="ID63" s="675">
        <v>0</v>
      </c>
      <c r="IE63" s="675">
        <v>0</v>
      </c>
      <c r="IF63" s="675">
        <v>0</v>
      </c>
      <c r="IG63" s="675">
        <v>2</v>
      </c>
      <c r="IH63" s="675">
        <v>57.054000000000002</v>
      </c>
      <c r="II63" s="675">
        <v>0</v>
      </c>
      <c r="IJ63" s="675">
        <v>0</v>
      </c>
      <c r="IK63" s="675">
        <v>0</v>
      </c>
      <c r="IL63" s="675">
        <v>0</v>
      </c>
      <c r="IM63" s="675">
        <v>0</v>
      </c>
      <c r="IN63" s="675">
        <v>0</v>
      </c>
      <c r="IO63" s="675">
        <v>0</v>
      </c>
      <c r="IP63" s="675">
        <v>0</v>
      </c>
      <c r="IQ63" s="675">
        <v>0</v>
      </c>
      <c r="IR63" s="675">
        <v>0</v>
      </c>
      <c r="IS63" s="675">
        <v>0</v>
      </c>
      <c r="IT63" s="675">
        <v>0</v>
      </c>
      <c r="IU63" s="675">
        <v>0</v>
      </c>
      <c r="IV63" s="675">
        <v>0</v>
      </c>
      <c r="IW63" s="675">
        <v>6160</v>
      </c>
      <c r="IX63" s="675">
        <v>0</v>
      </c>
      <c r="IY63" s="675">
        <v>0</v>
      </c>
      <c r="IZ63" s="675">
        <v>0</v>
      </c>
      <c r="JA63" s="675">
        <v>0</v>
      </c>
      <c r="JB63" s="675">
        <v>0</v>
      </c>
      <c r="JC63" s="675">
        <v>0</v>
      </c>
      <c r="JD63" s="675">
        <v>0</v>
      </c>
      <c r="JE63" s="675">
        <v>0</v>
      </c>
      <c r="JF63" s="675">
        <v>0</v>
      </c>
      <c r="JG63" s="675">
        <v>0</v>
      </c>
      <c r="JH63" s="675">
        <v>0</v>
      </c>
      <c r="JI63" s="675">
        <v>0</v>
      </c>
      <c r="JJ63" s="675">
        <v>0</v>
      </c>
      <c r="JK63" s="675">
        <v>0</v>
      </c>
      <c r="JL63" s="675">
        <v>0</v>
      </c>
      <c r="JM63" s="675">
        <v>0</v>
      </c>
      <c r="JN63" s="675">
        <v>32469</v>
      </c>
      <c r="JO63" s="675">
        <v>0</v>
      </c>
      <c r="JP63" s="675">
        <v>0</v>
      </c>
      <c r="JQ63" s="675">
        <v>0</v>
      </c>
      <c r="JR63" s="675">
        <v>0</v>
      </c>
      <c r="JS63" s="675">
        <v>0</v>
      </c>
      <c r="JT63" s="675">
        <v>0</v>
      </c>
      <c r="JU63" s="675">
        <v>862</v>
      </c>
      <c r="JV63" s="675">
        <v>0</v>
      </c>
      <c r="JW63" s="675">
        <v>0</v>
      </c>
      <c r="JX63" s="675">
        <v>0</v>
      </c>
      <c r="JY63" s="675">
        <v>0</v>
      </c>
      <c r="JZ63" s="675">
        <v>0</v>
      </c>
      <c r="KA63" s="675">
        <v>0</v>
      </c>
      <c r="KB63" s="675">
        <v>0</v>
      </c>
      <c r="KC63" s="675">
        <v>0</v>
      </c>
      <c r="KD63" s="675">
        <v>862</v>
      </c>
      <c r="KE63" s="675">
        <v>7263</v>
      </c>
      <c r="KF63" s="675">
        <v>0</v>
      </c>
      <c r="KG63" s="675">
        <v>0</v>
      </c>
      <c r="KH63" s="675">
        <v>0</v>
      </c>
      <c r="KI63" s="675">
        <v>0</v>
      </c>
    </row>
    <row r="64" spans="1:295" ht="12.5" x14ac:dyDescent="0.25">
      <c r="A64" s="675">
        <v>35795</v>
      </c>
      <c r="B64" s="675">
        <v>101804</v>
      </c>
      <c r="C64" s="675">
        <v>7</v>
      </c>
      <c r="D64" s="675">
        <v>2022</v>
      </c>
      <c r="E64" s="675">
        <v>6160</v>
      </c>
      <c r="F64" s="675">
        <v>0</v>
      </c>
      <c r="G64" s="675">
        <v>816.19600000000003</v>
      </c>
      <c r="H64" s="675">
        <v>709.73700000000008</v>
      </c>
      <c r="I64" s="675">
        <v>709.73700000000008</v>
      </c>
      <c r="J64" s="675">
        <v>816.19600000000003</v>
      </c>
      <c r="K64" s="675">
        <v>0</v>
      </c>
      <c r="L64" s="675">
        <v>6160</v>
      </c>
      <c r="M64" s="675">
        <v>0</v>
      </c>
      <c r="N64" s="675">
        <v>0</v>
      </c>
      <c r="O64" s="675">
        <v>0</v>
      </c>
      <c r="P64" s="675">
        <v>861.63499999999999</v>
      </c>
      <c r="Q64" s="675">
        <v>0</v>
      </c>
      <c r="R64" s="675">
        <v>346746</v>
      </c>
      <c r="S64" s="675">
        <v>402.428</v>
      </c>
      <c r="T64" s="675">
        <v>0</v>
      </c>
      <c r="U64" s="675">
        <v>184390</v>
      </c>
      <c r="V64" s="675">
        <v>398.64500000000004</v>
      </c>
      <c r="W64" s="675">
        <v>245564</v>
      </c>
      <c r="X64" s="675">
        <v>245564</v>
      </c>
      <c r="Y64" s="675">
        <v>0</v>
      </c>
      <c r="Z64" s="675">
        <v>0</v>
      </c>
      <c r="AA64" s="675">
        <v>0</v>
      </c>
      <c r="AB64" s="675">
        <v>0</v>
      </c>
      <c r="AC64" s="675">
        <v>0</v>
      </c>
      <c r="AD64" s="675" t="s">
        <v>316</v>
      </c>
      <c r="AE64" s="675">
        <v>0</v>
      </c>
      <c r="AF64" s="675">
        <v>0</v>
      </c>
      <c r="AG64" s="675">
        <v>0</v>
      </c>
      <c r="AH64" s="675">
        <v>0</v>
      </c>
      <c r="AI64" s="675">
        <v>0</v>
      </c>
      <c r="AJ64" s="675">
        <v>6160</v>
      </c>
      <c r="AK64" s="675" t="s">
        <v>671</v>
      </c>
      <c r="AL64" s="675" t="s">
        <v>7</v>
      </c>
      <c r="AM64" s="675">
        <v>0</v>
      </c>
      <c r="AN64" s="675">
        <v>0</v>
      </c>
      <c r="AO64" s="675">
        <v>0</v>
      </c>
      <c r="AP64" s="675">
        <v>0</v>
      </c>
      <c r="AQ64" s="675">
        <v>0</v>
      </c>
      <c r="AR64" s="675">
        <v>0</v>
      </c>
      <c r="AS64" s="675">
        <v>0</v>
      </c>
      <c r="AT64" s="675">
        <v>0</v>
      </c>
      <c r="AU64" s="675">
        <v>0</v>
      </c>
      <c r="AV64" s="675">
        <v>-310669</v>
      </c>
      <c r="AW64" s="675">
        <v>9044878</v>
      </c>
      <c r="AX64" s="675">
        <v>8902723</v>
      </c>
      <c r="AY64" s="675">
        <v>6087152</v>
      </c>
      <c r="AZ64" s="675">
        <v>346746</v>
      </c>
      <c r="BA64" s="675">
        <v>0</v>
      </c>
      <c r="BB64" s="675">
        <v>0</v>
      </c>
      <c r="BC64" s="675">
        <v>0</v>
      </c>
      <c r="BD64" s="675">
        <v>0</v>
      </c>
      <c r="BE64" s="675">
        <v>0</v>
      </c>
      <c r="BF64" s="675">
        <v>8196012</v>
      </c>
      <c r="BG64" s="675">
        <v>0</v>
      </c>
      <c r="BH64" s="675">
        <v>0</v>
      </c>
      <c r="BI64" s="675">
        <v>0</v>
      </c>
      <c r="BJ64" s="675">
        <v>12</v>
      </c>
      <c r="BK64" s="675">
        <v>0</v>
      </c>
      <c r="BL64" s="675">
        <v>0</v>
      </c>
      <c r="BM64" s="675">
        <v>0</v>
      </c>
      <c r="BN64" s="675">
        <v>0</v>
      </c>
      <c r="BO64" s="675">
        <v>0</v>
      </c>
      <c r="BP64" s="675">
        <v>0</v>
      </c>
      <c r="BQ64" s="675">
        <v>661</v>
      </c>
      <c r="BR64" s="675">
        <v>0</v>
      </c>
      <c r="BS64" s="675">
        <v>0</v>
      </c>
      <c r="BT64" s="675">
        <v>0</v>
      </c>
      <c r="BU64" s="675">
        <v>0</v>
      </c>
      <c r="BV64" s="675">
        <v>0</v>
      </c>
      <c r="BW64" s="675">
        <v>0</v>
      </c>
      <c r="BX64" s="675">
        <v>0</v>
      </c>
      <c r="BY64" s="675">
        <v>0</v>
      </c>
      <c r="BZ64" s="675">
        <v>0</v>
      </c>
      <c r="CA64" s="675">
        <v>0</v>
      </c>
      <c r="CB64" s="675">
        <v>0</v>
      </c>
      <c r="CC64" s="675">
        <v>0</v>
      </c>
      <c r="CD64" s="675">
        <v>0</v>
      </c>
      <c r="CE64" s="675">
        <v>0</v>
      </c>
      <c r="CF64" s="675">
        <v>0</v>
      </c>
      <c r="CG64" s="675">
        <v>0</v>
      </c>
      <c r="CH64" s="675">
        <v>144104</v>
      </c>
      <c r="CI64" s="675">
        <v>0</v>
      </c>
      <c r="CJ64" s="675">
        <v>4</v>
      </c>
      <c r="CK64" s="675">
        <v>0</v>
      </c>
      <c r="CL64" s="675">
        <v>0</v>
      </c>
      <c r="CM64" s="675">
        <v>0</v>
      </c>
      <c r="CN64" s="675">
        <v>0</v>
      </c>
      <c r="CO64" s="675">
        <v>1</v>
      </c>
      <c r="CP64" s="675">
        <v>0.872</v>
      </c>
      <c r="CQ64" s="675">
        <v>0</v>
      </c>
      <c r="CR64" s="675">
        <v>898.303</v>
      </c>
      <c r="CS64" s="675">
        <v>0</v>
      </c>
      <c r="CT64" s="675">
        <v>0</v>
      </c>
      <c r="CU64" s="675">
        <v>0</v>
      </c>
      <c r="CV64" s="675">
        <v>0</v>
      </c>
      <c r="CW64" s="675">
        <v>0</v>
      </c>
      <c r="CX64" s="675">
        <v>0</v>
      </c>
      <c r="CY64" s="675">
        <v>0</v>
      </c>
      <c r="CZ64" s="675">
        <v>0</v>
      </c>
      <c r="DA64" s="675">
        <v>0</v>
      </c>
      <c r="DB64" s="675">
        <v>4321533</v>
      </c>
      <c r="DC64" s="675">
        <v>0</v>
      </c>
      <c r="DD64" s="675">
        <v>0</v>
      </c>
      <c r="DE64" s="675">
        <v>1471232</v>
      </c>
      <c r="DF64" s="675">
        <v>1484177</v>
      </c>
      <c r="DG64" s="675">
        <v>238.83800000000002</v>
      </c>
      <c r="DH64" s="675">
        <v>0</v>
      </c>
      <c r="DI64" s="675">
        <v>12945</v>
      </c>
      <c r="DJ64" s="675">
        <v>0</v>
      </c>
      <c r="DK64" s="675">
        <v>2194</v>
      </c>
      <c r="DL64" s="675">
        <v>0</v>
      </c>
      <c r="DM64" s="675">
        <v>568399</v>
      </c>
      <c r="DN64" s="675">
        <v>1949</v>
      </c>
      <c r="DO64" s="675">
        <v>0</v>
      </c>
      <c r="DP64" s="675">
        <v>0</v>
      </c>
      <c r="DQ64" s="675">
        <v>0</v>
      </c>
      <c r="DR64" s="675">
        <v>0</v>
      </c>
      <c r="DS64" s="675">
        <v>0</v>
      </c>
      <c r="DT64" s="675">
        <v>0</v>
      </c>
      <c r="DU64" s="675">
        <v>0</v>
      </c>
      <c r="DV64" s="675">
        <v>0</v>
      </c>
      <c r="DW64" s="675">
        <v>0</v>
      </c>
      <c r="DX64" s="675">
        <v>0</v>
      </c>
      <c r="DY64" s="675">
        <v>0</v>
      </c>
      <c r="DZ64" s="675">
        <v>0</v>
      </c>
      <c r="EA64" s="675">
        <v>0</v>
      </c>
      <c r="EB64" s="675">
        <v>0</v>
      </c>
      <c r="EC64" s="675">
        <v>26.608000000000001</v>
      </c>
      <c r="ED64" s="675">
        <v>188490</v>
      </c>
      <c r="EE64" s="675">
        <v>0</v>
      </c>
      <c r="EF64" s="675">
        <v>0</v>
      </c>
      <c r="EG64" s="675">
        <v>0</v>
      </c>
      <c r="EH64" s="675">
        <v>331431</v>
      </c>
      <c r="EI64" s="675">
        <v>0</v>
      </c>
      <c r="EJ64" s="675">
        <v>0</v>
      </c>
      <c r="EK64" s="675">
        <v>13.809000000000001</v>
      </c>
      <c r="EL64" s="675">
        <v>0</v>
      </c>
      <c r="EM64" s="675">
        <v>3.7440000000000002</v>
      </c>
      <c r="EN64" s="675">
        <v>0.22900000000000001</v>
      </c>
      <c r="EO64" s="675">
        <v>0</v>
      </c>
      <c r="EP64" s="675">
        <v>0</v>
      </c>
      <c r="EQ64" s="675">
        <v>17.782</v>
      </c>
      <c r="ER64" s="675">
        <v>0</v>
      </c>
      <c r="ES64" s="675">
        <v>53.804000000000002</v>
      </c>
      <c r="ET64" s="675">
        <v>0</v>
      </c>
      <c r="EU64" s="675">
        <v>0</v>
      </c>
      <c r="EV64" s="675">
        <v>0</v>
      </c>
      <c r="EW64" s="675">
        <v>0</v>
      </c>
      <c r="EX64" s="675">
        <v>0</v>
      </c>
      <c r="EY64" s="675">
        <v>0</v>
      </c>
      <c r="EZ64" s="675">
        <v>7896589</v>
      </c>
      <c r="FA64" s="675">
        <v>0</v>
      </c>
      <c r="FB64" s="675">
        <v>8241386</v>
      </c>
      <c r="FC64" s="675">
        <v>0</v>
      </c>
      <c r="FD64" s="675">
        <v>0</v>
      </c>
      <c r="FE64" s="675">
        <v>833702</v>
      </c>
      <c r="FF64" s="675">
        <v>172432</v>
      </c>
      <c r="FG64" s="675">
        <v>6.3574999999999993E-2</v>
      </c>
      <c r="FH64" s="675">
        <v>2.6297999999999998E-2</v>
      </c>
      <c r="FI64" s="675">
        <v>0</v>
      </c>
      <c r="FJ64" s="675">
        <v>0</v>
      </c>
      <c r="FK64" s="675">
        <v>1330.528</v>
      </c>
      <c r="FL64" s="675">
        <v>9391624</v>
      </c>
      <c r="FM64" s="675">
        <v>0</v>
      </c>
      <c r="FN64" s="675">
        <v>0</v>
      </c>
      <c r="FO64" s="675">
        <v>32940</v>
      </c>
      <c r="FP64" s="675">
        <v>0</v>
      </c>
      <c r="FQ64" s="675">
        <v>37809</v>
      </c>
      <c r="FR64" s="675">
        <v>32940</v>
      </c>
      <c r="FS64" s="675">
        <v>4869</v>
      </c>
      <c r="FT64" s="675">
        <v>0</v>
      </c>
      <c r="FU64" s="675">
        <v>0</v>
      </c>
      <c r="FV64" s="675">
        <v>0</v>
      </c>
      <c r="FW64" s="675">
        <v>0</v>
      </c>
      <c r="FX64" s="675">
        <v>0</v>
      </c>
      <c r="FY64" s="675">
        <v>0</v>
      </c>
      <c r="FZ64" s="675">
        <v>0</v>
      </c>
      <c r="GA64" s="675">
        <v>0</v>
      </c>
      <c r="GB64" s="675">
        <v>783617</v>
      </c>
      <c r="GC64" s="675">
        <v>783617</v>
      </c>
      <c r="GD64" s="675">
        <v>88.677000000000007</v>
      </c>
      <c r="GE64" s="675">
        <v>0</v>
      </c>
      <c r="GF64" s="675">
        <v>0</v>
      </c>
      <c r="GG64" s="675">
        <v>0</v>
      </c>
      <c r="GH64" s="675">
        <v>0</v>
      </c>
      <c r="GI64" s="675">
        <v>0</v>
      </c>
      <c r="GJ64" s="675">
        <v>0</v>
      </c>
      <c r="GK64" s="675">
        <v>0</v>
      </c>
      <c r="GL64" s="675">
        <v>0</v>
      </c>
      <c r="GM64" s="675">
        <v>0</v>
      </c>
      <c r="GN64" s="675">
        <v>0</v>
      </c>
      <c r="GO64" s="675">
        <v>0</v>
      </c>
      <c r="GP64" s="675">
        <v>0</v>
      </c>
      <c r="GQ64" s="675">
        <v>0</v>
      </c>
      <c r="GR64" s="675">
        <v>0</v>
      </c>
      <c r="GS64" s="675">
        <v>0</v>
      </c>
      <c r="GT64" s="675">
        <v>0</v>
      </c>
      <c r="GU64" s="675">
        <v>0</v>
      </c>
      <c r="GV64" s="675">
        <v>0</v>
      </c>
      <c r="GW64" s="675">
        <v>0</v>
      </c>
      <c r="GX64" s="675">
        <v>0</v>
      </c>
      <c r="GY64" s="675">
        <v>0</v>
      </c>
      <c r="GZ64" s="675">
        <v>0</v>
      </c>
      <c r="HA64" s="675">
        <v>0</v>
      </c>
      <c r="HB64" s="675">
        <v>308877260</v>
      </c>
      <c r="HC64" s="675">
        <v>4.4138999999999998E-2</v>
      </c>
      <c r="HD64" s="675">
        <v>144104</v>
      </c>
      <c r="HE64" s="675">
        <v>0</v>
      </c>
      <c r="HF64" s="675">
        <v>782840</v>
      </c>
      <c r="HG64" s="675">
        <v>0</v>
      </c>
      <c r="HH64" s="675">
        <v>0</v>
      </c>
      <c r="HI64" s="675">
        <v>0</v>
      </c>
      <c r="HJ64" s="675">
        <v>7933</v>
      </c>
      <c r="HK64" s="675">
        <v>7524</v>
      </c>
      <c r="HL64" s="675">
        <v>1990</v>
      </c>
      <c r="HM64" s="675">
        <v>0</v>
      </c>
      <c r="HN64" s="675">
        <v>0</v>
      </c>
      <c r="HO64" s="675">
        <v>0</v>
      </c>
      <c r="HP64" s="675">
        <v>0</v>
      </c>
      <c r="HQ64" s="675">
        <v>0</v>
      </c>
      <c r="HR64" s="675">
        <v>0</v>
      </c>
      <c r="HS64" s="675">
        <v>7894640</v>
      </c>
      <c r="HT64" s="675">
        <v>172432</v>
      </c>
      <c r="HU64" s="675">
        <v>0</v>
      </c>
      <c r="HV64" s="675">
        <v>0</v>
      </c>
      <c r="HW64" s="675">
        <v>0</v>
      </c>
      <c r="HX64" s="675">
        <v>26</v>
      </c>
      <c r="HY64" s="675">
        <v>28</v>
      </c>
      <c r="HZ64" s="675">
        <v>150</v>
      </c>
      <c r="IA64" s="675">
        <v>271</v>
      </c>
      <c r="IB64" s="675">
        <v>428</v>
      </c>
      <c r="IC64" s="675">
        <v>903</v>
      </c>
      <c r="ID64" s="675">
        <v>0</v>
      </c>
      <c r="IE64" s="675">
        <v>0</v>
      </c>
      <c r="IF64" s="675">
        <v>0</v>
      </c>
      <c r="IG64" s="675">
        <v>0</v>
      </c>
      <c r="IH64" s="675">
        <v>0</v>
      </c>
      <c r="II64" s="675">
        <v>0</v>
      </c>
      <c r="IJ64" s="675">
        <v>398.64500000000004</v>
      </c>
      <c r="IK64" s="675">
        <v>0</v>
      </c>
      <c r="IL64" s="675">
        <v>0</v>
      </c>
      <c r="IM64" s="675">
        <v>0</v>
      </c>
      <c r="IN64" s="675">
        <v>0</v>
      </c>
      <c r="IO64" s="675">
        <v>0</v>
      </c>
      <c r="IP64" s="675">
        <v>0</v>
      </c>
      <c r="IQ64" s="675">
        <v>398.64500000000004</v>
      </c>
      <c r="IR64" s="675">
        <v>245564</v>
      </c>
      <c r="IS64" s="675">
        <v>0</v>
      </c>
      <c r="IT64" s="675">
        <v>0</v>
      </c>
      <c r="IU64" s="675">
        <v>0</v>
      </c>
      <c r="IV64" s="675">
        <v>0</v>
      </c>
      <c r="IW64" s="675">
        <v>6160</v>
      </c>
      <c r="IX64" s="675">
        <v>0</v>
      </c>
      <c r="IY64" s="675">
        <v>0</v>
      </c>
      <c r="IZ64" s="675">
        <v>0</v>
      </c>
      <c r="JA64" s="675">
        <v>0</v>
      </c>
      <c r="JB64" s="675">
        <v>0</v>
      </c>
      <c r="JC64" s="675">
        <v>0</v>
      </c>
      <c r="JD64" s="675">
        <v>0</v>
      </c>
      <c r="JE64" s="675">
        <v>0</v>
      </c>
      <c r="JF64" s="675">
        <v>0</v>
      </c>
      <c r="JG64" s="675">
        <v>0</v>
      </c>
      <c r="JH64" s="675">
        <v>0</v>
      </c>
      <c r="JI64" s="675">
        <v>0</v>
      </c>
      <c r="JJ64" s="675">
        <v>0</v>
      </c>
      <c r="JK64" s="675">
        <v>0</v>
      </c>
      <c r="JL64" s="675">
        <v>0</v>
      </c>
      <c r="JM64" s="675">
        <v>0</v>
      </c>
      <c r="JN64" s="675">
        <v>32469</v>
      </c>
      <c r="JO64" s="675">
        <v>40.447000000000003</v>
      </c>
      <c r="JP64" s="675">
        <v>39.463999999999999</v>
      </c>
      <c r="JQ64" s="675">
        <v>8.766</v>
      </c>
      <c r="JR64" s="675">
        <v>323143</v>
      </c>
      <c r="JS64" s="675">
        <v>366883</v>
      </c>
      <c r="JT64" s="675">
        <v>93591</v>
      </c>
      <c r="JU64" s="675">
        <v>0</v>
      </c>
      <c r="JV64" s="675">
        <v>0</v>
      </c>
      <c r="JW64" s="675">
        <v>0</v>
      </c>
      <c r="JX64" s="675">
        <v>0</v>
      </c>
      <c r="JY64" s="675">
        <v>0</v>
      </c>
      <c r="JZ64" s="675">
        <v>0</v>
      </c>
      <c r="KA64" s="675">
        <v>0</v>
      </c>
      <c r="KB64" s="675">
        <v>0</v>
      </c>
      <c r="KC64" s="675">
        <v>0</v>
      </c>
      <c r="KD64" s="675">
        <v>0</v>
      </c>
      <c r="KE64" s="675">
        <v>7263</v>
      </c>
      <c r="KF64" s="675">
        <v>0</v>
      </c>
      <c r="KG64" s="675">
        <v>0</v>
      </c>
      <c r="KH64" s="675">
        <v>0</v>
      </c>
      <c r="KI64" s="675">
        <v>0</v>
      </c>
    </row>
    <row r="65" spans="1:295" ht="12.5" x14ac:dyDescent="0.25">
      <c r="A65" s="675">
        <v>35795</v>
      </c>
      <c r="B65" s="675">
        <v>108804</v>
      </c>
      <c r="C65" s="675">
        <v>7</v>
      </c>
      <c r="D65" s="675">
        <v>2022</v>
      </c>
      <c r="E65" s="675">
        <v>6160</v>
      </c>
      <c r="F65" s="675">
        <v>0</v>
      </c>
      <c r="G65" s="675">
        <v>419.89700000000005</v>
      </c>
      <c r="H65" s="675">
        <v>391.71100000000001</v>
      </c>
      <c r="I65" s="675">
        <v>391.71100000000001</v>
      </c>
      <c r="J65" s="675">
        <v>419.89700000000005</v>
      </c>
      <c r="K65" s="675">
        <v>0</v>
      </c>
      <c r="L65" s="675">
        <v>6160</v>
      </c>
      <c r="M65" s="675">
        <v>0</v>
      </c>
      <c r="N65" s="675">
        <v>0</v>
      </c>
      <c r="O65" s="675">
        <v>0</v>
      </c>
      <c r="P65" s="675">
        <v>429.70699999999999</v>
      </c>
      <c r="Q65" s="675">
        <v>0</v>
      </c>
      <c r="R65" s="675">
        <v>172926</v>
      </c>
      <c r="S65" s="675">
        <v>402.428</v>
      </c>
      <c r="T65" s="675">
        <v>0</v>
      </c>
      <c r="U65" s="675">
        <v>91959</v>
      </c>
      <c r="V65" s="675">
        <v>71.25200000000001</v>
      </c>
      <c r="W65" s="675">
        <v>43891</v>
      </c>
      <c r="X65" s="675">
        <v>43891</v>
      </c>
      <c r="Y65" s="675">
        <v>0</v>
      </c>
      <c r="Z65" s="675">
        <v>0</v>
      </c>
      <c r="AA65" s="675">
        <v>0</v>
      </c>
      <c r="AB65" s="675">
        <v>0</v>
      </c>
      <c r="AC65" s="675">
        <v>0</v>
      </c>
      <c r="AD65" s="675" t="s">
        <v>316</v>
      </c>
      <c r="AE65" s="675">
        <v>0</v>
      </c>
      <c r="AF65" s="675">
        <v>0</v>
      </c>
      <c r="AG65" s="675">
        <v>0</v>
      </c>
      <c r="AH65" s="675">
        <v>0</v>
      </c>
      <c r="AI65" s="675">
        <v>0</v>
      </c>
      <c r="AJ65" s="675">
        <v>6160</v>
      </c>
      <c r="AK65" s="675" t="s">
        <v>671</v>
      </c>
      <c r="AL65" s="675" t="s">
        <v>467</v>
      </c>
      <c r="AM65" s="675">
        <v>0</v>
      </c>
      <c r="AN65" s="675">
        <v>0</v>
      </c>
      <c r="AO65" s="675">
        <v>0</v>
      </c>
      <c r="AP65" s="675">
        <v>0</v>
      </c>
      <c r="AQ65" s="675">
        <v>0</v>
      </c>
      <c r="AR65" s="675">
        <v>0</v>
      </c>
      <c r="AS65" s="675">
        <v>0</v>
      </c>
      <c r="AT65" s="675">
        <v>0</v>
      </c>
      <c r="AU65" s="675">
        <v>0</v>
      </c>
      <c r="AV65" s="675">
        <v>-5769</v>
      </c>
      <c r="AW65" s="675">
        <v>4791177</v>
      </c>
      <c r="AX65" s="675">
        <v>4578281</v>
      </c>
      <c r="AY65" s="675">
        <v>2897305</v>
      </c>
      <c r="AZ65" s="675">
        <v>172926</v>
      </c>
      <c r="BA65" s="675">
        <v>0</v>
      </c>
      <c r="BB65" s="675">
        <v>0</v>
      </c>
      <c r="BC65" s="675">
        <v>0</v>
      </c>
      <c r="BD65" s="675">
        <v>0</v>
      </c>
      <c r="BE65" s="675">
        <v>0</v>
      </c>
      <c r="BF65" s="675">
        <v>4143314</v>
      </c>
      <c r="BG65" s="675">
        <v>0</v>
      </c>
      <c r="BH65" s="675">
        <v>0</v>
      </c>
      <c r="BI65" s="675">
        <v>0</v>
      </c>
      <c r="BJ65" s="675">
        <v>12</v>
      </c>
      <c r="BK65" s="675">
        <v>0</v>
      </c>
      <c r="BL65" s="675">
        <v>0</v>
      </c>
      <c r="BM65" s="675">
        <v>0</v>
      </c>
      <c r="BN65" s="675">
        <v>0</v>
      </c>
      <c r="BO65" s="675">
        <v>0</v>
      </c>
      <c r="BP65" s="675">
        <v>0</v>
      </c>
      <c r="BQ65" s="675">
        <v>710</v>
      </c>
      <c r="BR65" s="675">
        <v>0</v>
      </c>
      <c r="BS65" s="675">
        <v>0</v>
      </c>
      <c r="BT65" s="675">
        <v>0</v>
      </c>
      <c r="BU65" s="675">
        <v>0</v>
      </c>
      <c r="BV65" s="675">
        <v>0</v>
      </c>
      <c r="BW65" s="675">
        <v>0</v>
      </c>
      <c r="BX65" s="675">
        <v>0</v>
      </c>
      <c r="BY65" s="675">
        <v>0</v>
      </c>
      <c r="BZ65" s="675">
        <v>0</v>
      </c>
      <c r="CA65" s="675">
        <v>0</v>
      </c>
      <c r="CB65" s="675">
        <v>0</v>
      </c>
      <c r="CC65" s="675">
        <v>0</v>
      </c>
      <c r="CD65" s="675">
        <v>0</v>
      </c>
      <c r="CE65" s="675">
        <v>0</v>
      </c>
      <c r="CF65" s="675">
        <v>0</v>
      </c>
      <c r="CG65" s="675">
        <v>0</v>
      </c>
      <c r="CH65" s="675">
        <v>213884</v>
      </c>
      <c r="CI65" s="675">
        <v>0</v>
      </c>
      <c r="CJ65" s="675">
        <v>4</v>
      </c>
      <c r="CK65" s="675">
        <v>0</v>
      </c>
      <c r="CL65" s="675">
        <v>0</v>
      </c>
      <c r="CM65" s="675">
        <v>0</v>
      </c>
      <c r="CN65" s="675">
        <v>0</v>
      </c>
      <c r="CO65" s="675">
        <v>1</v>
      </c>
      <c r="CP65" s="675">
        <v>2.8440000000000003</v>
      </c>
      <c r="CQ65" s="675">
        <v>0</v>
      </c>
      <c r="CR65" s="675">
        <v>443.09399999999999</v>
      </c>
      <c r="CS65" s="675">
        <v>0</v>
      </c>
      <c r="CT65" s="675">
        <v>0</v>
      </c>
      <c r="CU65" s="675">
        <v>0</v>
      </c>
      <c r="CV65" s="675">
        <v>0</v>
      </c>
      <c r="CW65" s="675">
        <v>0</v>
      </c>
      <c r="CX65" s="675">
        <v>0</v>
      </c>
      <c r="CY65" s="675">
        <v>0</v>
      </c>
      <c r="CZ65" s="675">
        <v>0</v>
      </c>
      <c r="DA65" s="675">
        <v>0</v>
      </c>
      <c r="DB65" s="675">
        <v>2354660</v>
      </c>
      <c r="DC65" s="675">
        <v>0</v>
      </c>
      <c r="DD65" s="675">
        <v>0</v>
      </c>
      <c r="DE65" s="675">
        <v>706857</v>
      </c>
      <c r="DF65" s="675">
        <v>749078</v>
      </c>
      <c r="DG65" s="675">
        <v>114.75</v>
      </c>
      <c r="DH65" s="675">
        <v>0</v>
      </c>
      <c r="DI65" s="675">
        <v>42221</v>
      </c>
      <c r="DJ65" s="675">
        <v>0</v>
      </c>
      <c r="DK65" s="675">
        <v>2977</v>
      </c>
      <c r="DL65" s="675">
        <v>0</v>
      </c>
      <c r="DM65" s="675">
        <v>320883</v>
      </c>
      <c r="DN65" s="675">
        <v>988</v>
      </c>
      <c r="DO65" s="675">
        <v>0</v>
      </c>
      <c r="DP65" s="675">
        <v>0</v>
      </c>
      <c r="DQ65" s="675">
        <v>0</v>
      </c>
      <c r="DR65" s="675">
        <v>0</v>
      </c>
      <c r="DS65" s="675">
        <v>0</v>
      </c>
      <c r="DT65" s="675">
        <v>0</v>
      </c>
      <c r="DU65" s="675">
        <v>0</v>
      </c>
      <c r="DV65" s="675">
        <v>0</v>
      </c>
      <c r="DW65" s="675">
        <v>0</v>
      </c>
      <c r="DX65" s="675">
        <v>0</v>
      </c>
      <c r="DY65" s="675">
        <v>0</v>
      </c>
      <c r="DZ65" s="675">
        <v>0</v>
      </c>
      <c r="EA65" s="675">
        <v>0</v>
      </c>
      <c r="EB65" s="675">
        <v>0</v>
      </c>
      <c r="EC65" s="675">
        <v>36.885000000000005</v>
      </c>
      <c r="ED65" s="675">
        <v>261292</v>
      </c>
      <c r="EE65" s="675">
        <v>0</v>
      </c>
      <c r="EF65" s="675">
        <v>0</v>
      </c>
      <c r="EG65" s="675">
        <v>0</v>
      </c>
      <c r="EH65" s="675">
        <v>2310</v>
      </c>
      <c r="EI65" s="675">
        <v>0</v>
      </c>
      <c r="EJ65" s="675">
        <v>0</v>
      </c>
      <c r="EK65" s="675">
        <v>0</v>
      </c>
      <c r="EL65" s="675">
        <v>0</v>
      </c>
      <c r="EM65" s="675">
        <v>0</v>
      </c>
      <c r="EN65" s="675">
        <v>7.4999999999999997E-2</v>
      </c>
      <c r="EO65" s="675">
        <v>0</v>
      </c>
      <c r="EP65" s="675">
        <v>0</v>
      </c>
      <c r="EQ65" s="675">
        <v>7.4999999999999997E-2</v>
      </c>
      <c r="ER65" s="675">
        <v>0</v>
      </c>
      <c r="ES65" s="675">
        <v>0.375</v>
      </c>
      <c r="ET65" s="675">
        <v>0</v>
      </c>
      <c r="EU65" s="675">
        <v>0</v>
      </c>
      <c r="EV65" s="675">
        <v>0</v>
      </c>
      <c r="EW65" s="675">
        <v>0</v>
      </c>
      <c r="EX65" s="675">
        <v>0</v>
      </c>
      <c r="EY65" s="675">
        <v>0</v>
      </c>
      <c r="EZ65" s="675">
        <v>4069652</v>
      </c>
      <c r="FA65" s="675">
        <v>0</v>
      </c>
      <c r="FB65" s="675">
        <v>4241590</v>
      </c>
      <c r="FC65" s="675">
        <v>0</v>
      </c>
      <c r="FD65" s="675">
        <v>0</v>
      </c>
      <c r="FE65" s="675">
        <v>421460</v>
      </c>
      <c r="FF65" s="675">
        <v>87169</v>
      </c>
      <c r="FG65" s="675">
        <v>6.3574999999999993E-2</v>
      </c>
      <c r="FH65" s="675">
        <v>2.6297999999999998E-2</v>
      </c>
      <c r="FI65" s="675">
        <v>0</v>
      </c>
      <c r="FJ65" s="675">
        <v>0</v>
      </c>
      <c r="FK65" s="675">
        <v>672.61900000000003</v>
      </c>
      <c r="FL65" s="675">
        <v>4964103</v>
      </c>
      <c r="FM65" s="675">
        <v>0</v>
      </c>
      <c r="FN65" s="675">
        <v>0</v>
      </c>
      <c r="FO65" s="675">
        <v>0</v>
      </c>
      <c r="FP65" s="675">
        <v>0</v>
      </c>
      <c r="FQ65" s="675">
        <v>0</v>
      </c>
      <c r="FR65" s="675">
        <v>0</v>
      </c>
      <c r="FS65" s="675">
        <v>0</v>
      </c>
      <c r="FT65" s="675">
        <v>0</v>
      </c>
      <c r="FU65" s="675">
        <v>0</v>
      </c>
      <c r="FV65" s="675">
        <v>0</v>
      </c>
      <c r="FW65" s="675">
        <v>0</v>
      </c>
      <c r="FX65" s="675">
        <v>0</v>
      </c>
      <c r="FY65" s="675">
        <v>0</v>
      </c>
      <c r="FZ65" s="675">
        <v>0</v>
      </c>
      <c r="GA65" s="675">
        <v>0</v>
      </c>
      <c r="GB65" s="675">
        <v>237034</v>
      </c>
      <c r="GC65" s="675">
        <v>237034</v>
      </c>
      <c r="GD65" s="675">
        <v>28.111000000000001</v>
      </c>
      <c r="GE65" s="675">
        <v>0</v>
      </c>
      <c r="GF65" s="675">
        <v>0</v>
      </c>
      <c r="GG65" s="675">
        <v>0</v>
      </c>
      <c r="GH65" s="675">
        <v>0</v>
      </c>
      <c r="GI65" s="675">
        <v>0</v>
      </c>
      <c r="GJ65" s="675">
        <v>0</v>
      </c>
      <c r="GK65" s="675">
        <v>0</v>
      </c>
      <c r="GL65" s="675">
        <v>0</v>
      </c>
      <c r="GM65" s="675">
        <v>0</v>
      </c>
      <c r="GN65" s="675">
        <v>0</v>
      </c>
      <c r="GO65" s="675">
        <v>0</v>
      </c>
      <c r="GP65" s="675">
        <v>0</v>
      </c>
      <c r="GQ65" s="675">
        <v>0</v>
      </c>
      <c r="GR65" s="675">
        <v>0</v>
      </c>
      <c r="GS65" s="675">
        <v>0</v>
      </c>
      <c r="GT65" s="675">
        <v>0</v>
      </c>
      <c r="GU65" s="675">
        <v>0</v>
      </c>
      <c r="GV65" s="675">
        <v>0</v>
      </c>
      <c r="GW65" s="675">
        <v>0</v>
      </c>
      <c r="GX65" s="675">
        <v>0</v>
      </c>
      <c r="GY65" s="675">
        <v>0</v>
      </c>
      <c r="GZ65" s="675">
        <v>0</v>
      </c>
      <c r="HA65" s="675">
        <v>0</v>
      </c>
      <c r="HB65" s="675">
        <v>308877260</v>
      </c>
      <c r="HC65" s="675">
        <v>4.4138999999999998E-2</v>
      </c>
      <c r="HD65" s="675">
        <v>74135</v>
      </c>
      <c r="HE65" s="675">
        <v>0</v>
      </c>
      <c r="HF65" s="675">
        <v>432057</v>
      </c>
      <c r="HG65" s="675">
        <v>642</v>
      </c>
      <c r="HH65" s="675">
        <v>0</v>
      </c>
      <c r="HI65" s="675">
        <v>0</v>
      </c>
      <c r="HJ65" s="675">
        <v>4081</v>
      </c>
      <c r="HK65" s="675">
        <v>4680</v>
      </c>
      <c r="HL65" s="675">
        <v>417</v>
      </c>
      <c r="HM65" s="675">
        <v>0</v>
      </c>
      <c r="HN65" s="675">
        <v>0</v>
      </c>
      <c r="HO65" s="675">
        <v>0</v>
      </c>
      <c r="HP65" s="675">
        <v>94167</v>
      </c>
      <c r="HQ65" s="675">
        <v>0</v>
      </c>
      <c r="HR65" s="675">
        <v>0</v>
      </c>
      <c r="HS65" s="675">
        <v>4068664</v>
      </c>
      <c r="HT65" s="675">
        <v>87169</v>
      </c>
      <c r="HU65" s="675">
        <v>0</v>
      </c>
      <c r="HV65" s="675">
        <v>0</v>
      </c>
      <c r="HW65" s="675">
        <v>0</v>
      </c>
      <c r="HX65" s="675">
        <v>29</v>
      </c>
      <c r="HY65" s="675">
        <v>52</v>
      </c>
      <c r="HZ65" s="675">
        <v>98</v>
      </c>
      <c r="IA65" s="675">
        <v>120</v>
      </c>
      <c r="IB65" s="675">
        <v>145</v>
      </c>
      <c r="IC65" s="675">
        <v>444</v>
      </c>
      <c r="ID65" s="675">
        <v>0</v>
      </c>
      <c r="IE65" s="675">
        <v>0</v>
      </c>
      <c r="IF65" s="675">
        <v>0</v>
      </c>
      <c r="IG65" s="675">
        <v>1.042</v>
      </c>
      <c r="IH65" s="675">
        <v>0</v>
      </c>
      <c r="II65" s="675">
        <v>342.42500000000001</v>
      </c>
      <c r="IJ65" s="675">
        <v>71.25200000000001</v>
      </c>
      <c r="IK65" s="675">
        <v>0</v>
      </c>
      <c r="IL65" s="675">
        <v>0</v>
      </c>
      <c r="IM65" s="675">
        <v>0</v>
      </c>
      <c r="IN65" s="675">
        <v>0</v>
      </c>
      <c r="IO65" s="675">
        <v>0</v>
      </c>
      <c r="IP65" s="675">
        <v>342.42500000000001</v>
      </c>
      <c r="IQ65" s="675">
        <v>71.25200000000001</v>
      </c>
      <c r="IR65" s="675">
        <v>43891</v>
      </c>
      <c r="IS65" s="675">
        <v>0</v>
      </c>
      <c r="IT65" s="675">
        <v>0</v>
      </c>
      <c r="IU65" s="675">
        <v>0</v>
      </c>
      <c r="IV65" s="675">
        <v>0</v>
      </c>
      <c r="IW65" s="675">
        <v>6160</v>
      </c>
      <c r="IX65" s="675">
        <v>0</v>
      </c>
      <c r="IY65" s="675">
        <v>0</v>
      </c>
      <c r="IZ65" s="675">
        <v>94167</v>
      </c>
      <c r="JA65" s="675">
        <v>0</v>
      </c>
      <c r="JB65" s="675">
        <v>0</v>
      </c>
      <c r="JC65" s="675">
        <v>0</v>
      </c>
      <c r="JD65" s="675">
        <v>0</v>
      </c>
      <c r="JE65" s="675">
        <v>0</v>
      </c>
      <c r="JF65" s="675">
        <v>0</v>
      </c>
      <c r="JG65" s="675">
        <v>0</v>
      </c>
      <c r="JH65" s="675">
        <v>0</v>
      </c>
      <c r="JI65" s="675">
        <v>0</v>
      </c>
      <c r="JJ65" s="675">
        <v>0</v>
      </c>
      <c r="JK65" s="675">
        <v>0</v>
      </c>
      <c r="JL65" s="675">
        <v>0</v>
      </c>
      <c r="JM65" s="675">
        <v>0</v>
      </c>
      <c r="JN65" s="675">
        <v>32469</v>
      </c>
      <c r="JO65" s="675">
        <v>18.614000000000001</v>
      </c>
      <c r="JP65" s="675">
        <v>9.4749999999999996</v>
      </c>
      <c r="JQ65" s="675">
        <v>2.2000000000000002E-2</v>
      </c>
      <c r="JR65" s="675">
        <v>148713</v>
      </c>
      <c r="JS65" s="675">
        <v>88086</v>
      </c>
      <c r="JT65" s="675">
        <v>235</v>
      </c>
      <c r="JU65" s="675">
        <v>0</v>
      </c>
      <c r="JV65" s="675">
        <v>0</v>
      </c>
      <c r="JW65" s="675">
        <v>0</v>
      </c>
      <c r="JX65" s="675">
        <v>0</v>
      </c>
      <c r="JY65" s="675">
        <v>0</v>
      </c>
      <c r="JZ65" s="675">
        <v>0</v>
      </c>
      <c r="KA65" s="675">
        <v>0</v>
      </c>
      <c r="KB65" s="675">
        <v>0</v>
      </c>
      <c r="KC65" s="675">
        <v>0</v>
      </c>
      <c r="KD65" s="675">
        <v>0</v>
      </c>
      <c r="KE65" s="675">
        <v>7263</v>
      </c>
      <c r="KF65" s="675">
        <v>139749</v>
      </c>
      <c r="KG65" s="675">
        <v>0</v>
      </c>
      <c r="KH65" s="675">
        <v>0</v>
      </c>
      <c r="KI65" s="675">
        <v>0</v>
      </c>
    </row>
    <row r="66" spans="1:295" ht="12.5" x14ac:dyDescent="0.25">
      <c r="A66" s="675">
        <v>35795</v>
      </c>
      <c r="B66" s="675">
        <v>212804</v>
      </c>
      <c r="C66" s="675">
        <v>7</v>
      </c>
      <c r="D66" s="675">
        <v>2022</v>
      </c>
      <c r="E66" s="675">
        <v>6160</v>
      </c>
      <c r="F66" s="675">
        <v>0</v>
      </c>
      <c r="G66" s="675">
        <v>801.72400000000005</v>
      </c>
      <c r="H66" s="675">
        <v>723.19500000000005</v>
      </c>
      <c r="I66" s="675">
        <v>723.19500000000005</v>
      </c>
      <c r="J66" s="675">
        <v>801.72400000000005</v>
      </c>
      <c r="K66" s="675">
        <v>0</v>
      </c>
      <c r="L66" s="675">
        <v>6160</v>
      </c>
      <c r="M66" s="675">
        <v>0</v>
      </c>
      <c r="N66" s="675">
        <v>0</v>
      </c>
      <c r="O66" s="675">
        <v>0</v>
      </c>
      <c r="P66" s="675">
        <v>782.11099999999999</v>
      </c>
      <c r="Q66" s="675">
        <v>0</v>
      </c>
      <c r="R66" s="675">
        <v>314743</v>
      </c>
      <c r="S66" s="675">
        <v>402.428</v>
      </c>
      <c r="T66" s="675">
        <v>0</v>
      </c>
      <c r="U66" s="675">
        <v>167374</v>
      </c>
      <c r="V66" s="675">
        <v>18.617000000000001</v>
      </c>
      <c r="W66" s="675">
        <v>11468</v>
      </c>
      <c r="X66" s="675">
        <v>11468</v>
      </c>
      <c r="Y66" s="675">
        <v>0</v>
      </c>
      <c r="Z66" s="675">
        <v>0</v>
      </c>
      <c r="AA66" s="675">
        <v>0</v>
      </c>
      <c r="AB66" s="675">
        <v>0</v>
      </c>
      <c r="AC66" s="675">
        <v>0</v>
      </c>
      <c r="AD66" s="675" t="s">
        <v>316</v>
      </c>
      <c r="AE66" s="675">
        <v>0</v>
      </c>
      <c r="AF66" s="675">
        <v>0</v>
      </c>
      <c r="AG66" s="675">
        <v>0</v>
      </c>
      <c r="AH66" s="675">
        <v>0</v>
      </c>
      <c r="AI66" s="675">
        <v>0</v>
      </c>
      <c r="AJ66" s="675">
        <v>6160</v>
      </c>
      <c r="AK66" s="675" t="s">
        <v>671</v>
      </c>
      <c r="AL66" s="675" t="s">
        <v>469</v>
      </c>
      <c r="AM66" s="675">
        <v>0</v>
      </c>
      <c r="AN66" s="675">
        <v>0</v>
      </c>
      <c r="AO66" s="675">
        <v>0</v>
      </c>
      <c r="AP66" s="675">
        <v>0</v>
      </c>
      <c r="AQ66" s="675">
        <v>0</v>
      </c>
      <c r="AR66" s="675">
        <v>0</v>
      </c>
      <c r="AS66" s="675">
        <v>0</v>
      </c>
      <c r="AT66" s="675">
        <v>0</v>
      </c>
      <c r="AU66" s="675">
        <v>0</v>
      </c>
      <c r="AV66" s="675">
        <v>-1957</v>
      </c>
      <c r="AW66" s="675">
        <v>7571054</v>
      </c>
      <c r="AX66" s="675">
        <v>7430995</v>
      </c>
      <c r="AY66" s="675">
        <v>5071427</v>
      </c>
      <c r="AZ66" s="675">
        <v>314743</v>
      </c>
      <c r="BA66" s="675">
        <v>0</v>
      </c>
      <c r="BB66" s="675">
        <v>17248</v>
      </c>
      <c r="BC66" s="675">
        <v>17136</v>
      </c>
      <c r="BD66" s="675">
        <v>40</v>
      </c>
      <c r="BE66" s="675">
        <v>112</v>
      </c>
      <c r="BF66" s="675">
        <v>6894467</v>
      </c>
      <c r="BG66" s="675">
        <v>0</v>
      </c>
      <c r="BH66" s="675">
        <v>0</v>
      </c>
      <c r="BI66" s="675">
        <v>0</v>
      </c>
      <c r="BJ66" s="675">
        <v>12</v>
      </c>
      <c r="BK66" s="675">
        <v>0</v>
      </c>
      <c r="BL66" s="675">
        <v>0</v>
      </c>
      <c r="BM66" s="675">
        <v>0</v>
      </c>
      <c r="BN66" s="675">
        <v>0</v>
      </c>
      <c r="BO66" s="675">
        <v>0</v>
      </c>
      <c r="BP66" s="675">
        <v>0</v>
      </c>
      <c r="BQ66" s="675">
        <v>659</v>
      </c>
      <c r="BR66" s="675">
        <v>0</v>
      </c>
      <c r="BS66" s="675">
        <v>0</v>
      </c>
      <c r="BT66" s="675">
        <v>0</v>
      </c>
      <c r="BU66" s="675">
        <v>0</v>
      </c>
      <c r="BV66" s="675">
        <v>0</v>
      </c>
      <c r="BW66" s="675">
        <v>0</v>
      </c>
      <c r="BX66" s="675">
        <v>0</v>
      </c>
      <c r="BY66" s="675">
        <v>0</v>
      </c>
      <c r="BZ66" s="675">
        <v>0</v>
      </c>
      <c r="CA66" s="675">
        <v>0</v>
      </c>
      <c r="CB66" s="675">
        <v>0</v>
      </c>
      <c r="CC66" s="675">
        <v>0</v>
      </c>
      <c r="CD66" s="675">
        <v>0</v>
      </c>
      <c r="CE66" s="675">
        <v>0</v>
      </c>
      <c r="CF66" s="675">
        <v>0</v>
      </c>
      <c r="CG66" s="675">
        <v>0</v>
      </c>
      <c r="CH66" s="675">
        <v>141549</v>
      </c>
      <c r="CI66" s="675">
        <v>0</v>
      </c>
      <c r="CJ66" s="675">
        <v>4</v>
      </c>
      <c r="CK66" s="675">
        <v>0</v>
      </c>
      <c r="CL66" s="675">
        <v>0</v>
      </c>
      <c r="CM66" s="675">
        <v>0</v>
      </c>
      <c r="CN66" s="675">
        <v>0</v>
      </c>
      <c r="CO66" s="675">
        <v>1</v>
      </c>
      <c r="CP66" s="675">
        <v>0</v>
      </c>
      <c r="CQ66" s="675">
        <v>0</v>
      </c>
      <c r="CR66" s="675">
        <v>839.23500000000001</v>
      </c>
      <c r="CS66" s="675">
        <v>0</v>
      </c>
      <c r="CT66" s="675">
        <v>0</v>
      </c>
      <c r="CU66" s="675">
        <v>0</v>
      </c>
      <c r="CV66" s="675">
        <v>0</v>
      </c>
      <c r="CW66" s="675">
        <v>0</v>
      </c>
      <c r="CX66" s="675">
        <v>0</v>
      </c>
      <c r="CY66" s="675">
        <v>0</v>
      </c>
      <c r="CZ66" s="675">
        <v>0</v>
      </c>
      <c r="DA66" s="675">
        <v>0</v>
      </c>
      <c r="DB66" s="675">
        <v>4454861</v>
      </c>
      <c r="DC66" s="675">
        <v>0</v>
      </c>
      <c r="DD66" s="675">
        <v>0</v>
      </c>
      <c r="DE66" s="675">
        <v>437127</v>
      </c>
      <c r="DF66" s="675">
        <v>437127</v>
      </c>
      <c r="DG66" s="675">
        <v>70.963000000000008</v>
      </c>
      <c r="DH66" s="675">
        <v>0</v>
      </c>
      <c r="DI66" s="675">
        <v>0</v>
      </c>
      <c r="DJ66" s="675">
        <v>0</v>
      </c>
      <c r="DK66" s="675">
        <v>2160</v>
      </c>
      <c r="DL66" s="675">
        <v>0</v>
      </c>
      <c r="DM66" s="675">
        <v>366396</v>
      </c>
      <c r="DN66" s="675">
        <v>1378</v>
      </c>
      <c r="DO66" s="675">
        <v>0</v>
      </c>
      <c r="DP66" s="675">
        <v>0</v>
      </c>
      <c r="DQ66" s="675">
        <v>0</v>
      </c>
      <c r="DR66" s="675">
        <v>0</v>
      </c>
      <c r="DS66" s="675">
        <v>0</v>
      </c>
      <c r="DT66" s="675">
        <v>0</v>
      </c>
      <c r="DU66" s="675">
        <v>0</v>
      </c>
      <c r="DV66" s="675">
        <v>0</v>
      </c>
      <c r="DW66" s="675">
        <v>0</v>
      </c>
      <c r="DX66" s="675">
        <v>0</v>
      </c>
      <c r="DY66" s="675">
        <v>0</v>
      </c>
      <c r="DZ66" s="675">
        <v>0</v>
      </c>
      <c r="EA66" s="675">
        <v>0</v>
      </c>
      <c r="EB66" s="675">
        <v>0</v>
      </c>
      <c r="EC66" s="675">
        <v>17.519000000000002</v>
      </c>
      <c r="ED66" s="675">
        <v>124104</v>
      </c>
      <c r="EE66" s="675">
        <v>0</v>
      </c>
      <c r="EF66" s="675">
        <v>0</v>
      </c>
      <c r="EG66" s="675">
        <v>0</v>
      </c>
      <c r="EH66" s="675">
        <v>243670</v>
      </c>
      <c r="EI66" s="675">
        <v>0</v>
      </c>
      <c r="EJ66" s="675">
        <v>0</v>
      </c>
      <c r="EK66" s="675">
        <v>10.099</v>
      </c>
      <c r="EL66" s="675">
        <v>0</v>
      </c>
      <c r="EM66" s="675">
        <v>0</v>
      </c>
      <c r="EN66" s="675">
        <v>1.8520000000000001</v>
      </c>
      <c r="EO66" s="675">
        <v>0</v>
      </c>
      <c r="EP66" s="675">
        <v>0</v>
      </c>
      <c r="EQ66" s="675">
        <v>11.951000000000001</v>
      </c>
      <c r="ER66" s="675">
        <v>0</v>
      </c>
      <c r="ES66" s="675">
        <v>39.557000000000002</v>
      </c>
      <c r="ET66" s="675">
        <v>0</v>
      </c>
      <c r="EU66" s="675">
        <v>0</v>
      </c>
      <c r="EV66" s="675">
        <v>0</v>
      </c>
      <c r="EW66" s="675">
        <v>0</v>
      </c>
      <c r="EX66" s="675">
        <v>0</v>
      </c>
      <c r="EY66" s="675">
        <v>0</v>
      </c>
      <c r="EZ66" s="675">
        <v>6584637</v>
      </c>
      <c r="FA66" s="675">
        <v>0</v>
      </c>
      <c r="FB66" s="675">
        <v>6897890</v>
      </c>
      <c r="FC66" s="675">
        <v>0</v>
      </c>
      <c r="FD66" s="675">
        <v>0</v>
      </c>
      <c r="FE66" s="675">
        <v>701309</v>
      </c>
      <c r="FF66" s="675">
        <v>145049</v>
      </c>
      <c r="FG66" s="675">
        <v>6.3574999999999993E-2</v>
      </c>
      <c r="FH66" s="675">
        <v>2.6297999999999998E-2</v>
      </c>
      <c r="FI66" s="675">
        <v>0</v>
      </c>
      <c r="FJ66" s="675">
        <v>0</v>
      </c>
      <c r="FK66" s="675">
        <v>1119.2370000000001</v>
      </c>
      <c r="FL66" s="675">
        <v>7885797</v>
      </c>
      <c r="FM66" s="675">
        <v>0</v>
      </c>
      <c r="FN66" s="675">
        <v>0</v>
      </c>
      <c r="FO66" s="675">
        <v>0</v>
      </c>
      <c r="FP66" s="675">
        <v>0</v>
      </c>
      <c r="FQ66" s="675">
        <v>0</v>
      </c>
      <c r="FR66" s="675">
        <v>0</v>
      </c>
      <c r="FS66" s="675">
        <v>0</v>
      </c>
      <c r="FT66" s="675">
        <v>0</v>
      </c>
      <c r="FU66" s="675">
        <v>0</v>
      </c>
      <c r="FV66" s="675">
        <v>0</v>
      </c>
      <c r="FW66" s="675">
        <v>0</v>
      </c>
      <c r="FX66" s="675">
        <v>0</v>
      </c>
      <c r="FY66" s="675">
        <v>0</v>
      </c>
      <c r="FZ66" s="675">
        <v>0</v>
      </c>
      <c r="GA66" s="675">
        <v>0</v>
      </c>
      <c r="GB66" s="675">
        <v>628969</v>
      </c>
      <c r="GC66" s="675">
        <v>628969</v>
      </c>
      <c r="GD66" s="675">
        <v>66.578000000000003</v>
      </c>
      <c r="GE66" s="675">
        <v>0</v>
      </c>
      <c r="GF66" s="675">
        <v>0</v>
      </c>
      <c r="GG66" s="675">
        <v>0</v>
      </c>
      <c r="GH66" s="675">
        <v>0</v>
      </c>
      <c r="GI66" s="675">
        <v>0</v>
      </c>
      <c r="GJ66" s="675">
        <v>0</v>
      </c>
      <c r="GK66" s="675">
        <v>0</v>
      </c>
      <c r="GL66" s="675">
        <v>0</v>
      </c>
      <c r="GM66" s="675">
        <v>0</v>
      </c>
      <c r="GN66" s="675">
        <v>0</v>
      </c>
      <c r="GO66" s="675">
        <v>0</v>
      </c>
      <c r="GP66" s="675">
        <v>0</v>
      </c>
      <c r="GQ66" s="675">
        <v>0</v>
      </c>
      <c r="GR66" s="675">
        <v>0</v>
      </c>
      <c r="GS66" s="675">
        <v>0</v>
      </c>
      <c r="GT66" s="675">
        <v>0</v>
      </c>
      <c r="GU66" s="675">
        <v>0</v>
      </c>
      <c r="GV66" s="675">
        <v>0</v>
      </c>
      <c r="GW66" s="675">
        <v>0</v>
      </c>
      <c r="GX66" s="675">
        <v>0</v>
      </c>
      <c r="GY66" s="675">
        <v>0</v>
      </c>
      <c r="GZ66" s="675">
        <v>0</v>
      </c>
      <c r="HA66" s="675">
        <v>0</v>
      </c>
      <c r="HB66" s="675">
        <v>308877260</v>
      </c>
      <c r="HC66" s="675">
        <v>4.4138999999999998E-2</v>
      </c>
      <c r="HD66" s="675">
        <v>141549</v>
      </c>
      <c r="HE66" s="675">
        <v>0</v>
      </c>
      <c r="HF66" s="675">
        <v>797684</v>
      </c>
      <c r="HG66" s="675">
        <v>38808</v>
      </c>
      <c r="HH66" s="675">
        <v>68735</v>
      </c>
      <c r="HI66" s="675">
        <v>0</v>
      </c>
      <c r="HJ66" s="675">
        <v>7793</v>
      </c>
      <c r="HK66" s="675">
        <v>2484</v>
      </c>
      <c r="HL66" s="675">
        <v>2429</v>
      </c>
      <c r="HM66" s="675">
        <v>64000</v>
      </c>
      <c r="HN66" s="675">
        <v>0</v>
      </c>
      <c r="HO66" s="675">
        <v>0</v>
      </c>
      <c r="HP66" s="675">
        <v>0</v>
      </c>
      <c r="HQ66" s="675">
        <v>0</v>
      </c>
      <c r="HR66" s="675">
        <v>0</v>
      </c>
      <c r="HS66" s="675">
        <v>6583147</v>
      </c>
      <c r="HT66" s="675">
        <v>145049</v>
      </c>
      <c r="HU66" s="675">
        <v>0</v>
      </c>
      <c r="HV66" s="675">
        <v>0</v>
      </c>
      <c r="HW66" s="675">
        <v>0</v>
      </c>
      <c r="HX66" s="675">
        <v>54</v>
      </c>
      <c r="HY66" s="675">
        <v>62</v>
      </c>
      <c r="HZ66" s="675">
        <v>70</v>
      </c>
      <c r="IA66" s="675">
        <v>73</v>
      </c>
      <c r="IB66" s="675">
        <v>27</v>
      </c>
      <c r="IC66" s="675">
        <v>286</v>
      </c>
      <c r="ID66" s="675">
        <v>0</v>
      </c>
      <c r="IE66" s="675">
        <v>0</v>
      </c>
      <c r="IF66" s="675">
        <v>0</v>
      </c>
      <c r="IG66" s="675">
        <v>63</v>
      </c>
      <c r="IH66" s="675">
        <v>111.584</v>
      </c>
      <c r="II66" s="675">
        <v>0</v>
      </c>
      <c r="IJ66" s="675">
        <v>18.617000000000001</v>
      </c>
      <c r="IK66" s="675">
        <v>0</v>
      </c>
      <c r="IL66" s="675">
        <v>5</v>
      </c>
      <c r="IM66" s="675">
        <v>11</v>
      </c>
      <c r="IN66" s="675">
        <v>3</v>
      </c>
      <c r="IO66" s="675">
        <v>19</v>
      </c>
      <c r="IP66" s="675">
        <v>0</v>
      </c>
      <c r="IQ66" s="675">
        <v>18.617000000000001</v>
      </c>
      <c r="IR66" s="675">
        <v>11468</v>
      </c>
      <c r="IS66" s="675">
        <v>0</v>
      </c>
      <c r="IT66" s="675">
        <v>25000</v>
      </c>
      <c r="IU66" s="675">
        <v>33000</v>
      </c>
      <c r="IV66" s="675">
        <v>6000</v>
      </c>
      <c r="IW66" s="675">
        <v>6160</v>
      </c>
      <c r="IX66" s="675">
        <v>0</v>
      </c>
      <c r="IY66" s="675">
        <v>0</v>
      </c>
      <c r="IZ66" s="675">
        <v>0</v>
      </c>
      <c r="JA66" s="675">
        <v>0</v>
      </c>
      <c r="JB66" s="675">
        <v>0</v>
      </c>
      <c r="JC66" s="675">
        <v>0</v>
      </c>
      <c r="JD66" s="675">
        <v>0</v>
      </c>
      <c r="JE66" s="675">
        <v>0</v>
      </c>
      <c r="JF66" s="675">
        <v>0</v>
      </c>
      <c r="JG66" s="675">
        <v>0</v>
      </c>
      <c r="JH66" s="675">
        <v>0</v>
      </c>
      <c r="JI66" s="675">
        <v>0</v>
      </c>
      <c r="JJ66" s="675">
        <v>0</v>
      </c>
      <c r="JK66" s="675">
        <v>0</v>
      </c>
      <c r="JL66" s="675">
        <v>0</v>
      </c>
      <c r="JM66" s="675">
        <v>0</v>
      </c>
      <c r="JN66" s="675">
        <v>32469</v>
      </c>
      <c r="JO66" s="675">
        <v>18.948</v>
      </c>
      <c r="JP66" s="675">
        <v>22.42</v>
      </c>
      <c r="JQ66" s="675">
        <v>25.21</v>
      </c>
      <c r="JR66" s="675">
        <v>151381</v>
      </c>
      <c r="JS66" s="675">
        <v>208431</v>
      </c>
      <c r="JT66" s="675">
        <v>269157</v>
      </c>
      <c r="JU66" s="675">
        <v>17248</v>
      </c>
      <c r="JV66" s="675">
        <v>0</v>
      </c>
      <c r="JW66" s="675">
        <v>0</v>
      </c>
      <c r="JX66" s="675">
        <v>0</v>
      </c>
      <c r="JY66" s="675">
        <v>0</v>
      </c>
      <c r="JZ66" s="675">
        <v>0</v>
      </c>
      <c r="KA66" s="675">
        <v>0</v>
      </c>
      <c r="KB66" s="675">
        <v>0</v>
      </c>
      <c r="KC66" s="675">
        <v>0</v>
      </c>
      <c r="KD66" s="675">
        <v>17248</v>
      </c>
      <c r="KE66" s="675">
        <v>7263</v>
      </c>
      <c r="KF66" s="675">
        <v>0</v>
      </c>
      <c r="KG66" s="675">
        <v>0</v>
      </c>
      <c r="KH66" s="675">
        <v>0</v>
      </c>
      <c r="KI66" s="675">
        <v>0</v>
      </c>
    </row>
    <row r="67" spans="1:295" ht="12.5" x14ac:dyDescent="0.25">
      <c r="A67" s="675">
        <v>35795</v>
      </c>
      <c r="B67" s="675">
        <v>227804</v>
      </c>
      <c r="C67" s="675">
        <v>7</v>
      </c>
      <c r="D67" s="675">
        <v>2022</v>
      </c>
      <c r="E67" s="675">
        <v>6160</v>
      </c>
      <c r="F67" s="675">
        <v>0</v>
      </c>
      <c r="G67" s="675">
        <v>1296.319</v>
      </c>
      <c r="H67" s="675">
        <v>1179.0540000000001</v>
      </c>
      <c r="I67" s="675">
        <v>1179.0540000000001</v>
      </c>
      <c r="J67" s="675">
        <v>1296.319</v>
      </c>
      <c r="K67" s="675">
        <v>0</v>
      </c>
      <c r="L67" s="675">
        <v>6160</v>
      </c>
      <c r="M67" s="675">
        <v>0</v>
      </c>
      <c r="N67" s="675">
        <v>0</v>
      </c>
      <c r="O67" s="675">
        <v>0</v>
      </c>
      <c r="P67" s="675">
        <v>991.803</v>
      </c>
      <c r="Q67" s="675">
        <v>0</v>
      </c>
      <c r="R67" s="675">
        <v>399129</v>
      </c>
      <c r="S67" s="675">
        <v>402.428</v>
      </c>
      <c r="T67" s="675">
        <v>0</v>
      </c>
      <c r="U67" s="675">
        <v>212247</v>
      </c>
      <c r="V67" s="675">
        <v>252.17000000000002</v>
      </c>
      <c r="W67" s="675">
        <v>155336</v>
      </c>
      <c r="X67" s="675">
        <v>155336</v>
      </c>
      <c r="Y67" s="675">
        <v>0</v>
      </c>
      <c r="Z67" s="675">
        <v>0</v>
      </c>
      <c r="AA67" s="675">
        <v>0</v>
      </c>
      <c r="AB67" s="675">
        <v>0</v>
      </c>
      <c r="AC67" s="675">
        <v>0</v>
      </c>
      <c r="AD67" s="675" t="s">
        <v>316</v>
      </c>
      <c r="AE67" s="675">
        <v>0</v>
      </c>
      <c r="AF67" s="675">
        <v>0</v>
      </c>
      <c r="AG67" s="675">
        <v>0</v>
      </c>
      <c r="AH67" s="675">
        <v>0</v>
      </c>
      <c r="AI67" s="675">
        <v>0</v>
      </c>
      <c r="AJ67" s="675">
        <v>6160</v>
      </c>
      <c r="AK67" s="675" t="s">
        <v>671</v>
      </c>
      <c r="AL67" s="675" t="s">
        <v>79</v>
      </c>
      <c r="AM67" s="675">
        <v>0</v>
      </c>
      <c r="AN67" s="675">
        <v>0</v>
      </c>
      <c r="AO67" s="675">
        <v>0</v>
      </c>
      <c r="AP67" s="675">
        <v>0</v>
      </c>
      <c r="AQ67" s="675">
        <v>0</v>
      </c>
      <c r="AR67" s="675">
        <v>0</v>
      </c>
      <c r="AS67" s="675">
        <v>0</v>
      </c>
      <c r="AT67" s="675">
        <v>0</v>
      </c>
      <c r="AU67" s="675">
        <v>0</v>
      </c>
      <c r="AV67" s="675">
        <v>0</v>
      </c>
      <c r="AW67" s="675">
        <v>13693487</v>
      </c>
      <c r="AX67" s="675">
        <v>13468540</v>
      </c>
      <c r="AY67" s="675">
        <v>9042402</v>
      </c>
      <c r="AZ67" s="675">
        <v>399129</v>
      </c>
      <c r="BA67" s="675">
        <v>0</v>
      </c>
      <c r="BB67" s="675">
        <v>0</v>
      </c>
      <c r="BC67" s="675">
        <v>0</v>
      </c>
      <c r="BD67" s="675">
        <v>0</v>
      </c>
      <c r="BE67" s="675">
        <v>0</v>
      </c>
      <c r="BF67" s="675">
        <v>11550003</v>
      </c>
      <c r="BG67" s="675">
        <v>0</v>
      </c>
      <c r="BH67" s="675">
        <v>0</v>
      </c>
      <c r="BI67" s="675">
        <v>0</v>
      </c>
      <c r="BJ67" s="675">
        <v>12</v>
      </c>
      <c r="BK67" s="675">
        <v>0</v>
      </c>
      <c r="BL67" s="675">
        <v>0</v>
      </c>
      <c r="BM67" s="675">
        <v>0</v>
      </c>
      <c r="BN67" s="675">
        <v>0</v>
      </c>
      <c r="BO67" s="675">
        <v>0</v>
      </c>
      <c r="BP67" s="675">
        <v>0</v>
      </c>
      <c r="BQ67" s="675">
        <v>588</v>
      </c>
      <c r="BR67" s="675">
        <v>0</v>
      </c>
      <c r="BS67" s="675">
        <v>0</v>
      </c>
      <c r="BT67" s="675">
        <v>0</v>
      </c>
      <c r="BU67" s="675">
        <v>0</v>
      </c>
      <c r="BV67" s="675">
        <v>0</v>
      </c>
      <c r="BW67" s="675">
        <v>0</v>
      </c>
      <c r="BX67" s="675">
        <v>0</v>
      </c>
      <c r="BY67" s="675">
        <v>0</v>
      </c>
      <c r="BZ67" s="675">
        <v>0</v>
      </c>
      <c r="CA67" s="675">
        <v>1050.9490000000001</v>
      </c>
      <c r="CB67" s="675">
        <v>896220</v>
      </c>
      <c r="CC67" s="675">
        <v>0</v>
      </c>
      <c r="CD67" s="675">
        <v>0</v>
      </c>
      <c r="CE67" s="675">
        <v>0</v>
      </c>
      <c r="CF67" s="675">
        <v>0</v>
      </c>
      <c r="CG67" s="675">
        <v>0</v>
      </c>
      <c r="CH67" s="675">
        <v>228872</v>
      </c>
      <c r="CI67" s="675">
        <v>0</v>
      </c>
      <c r="CJ67" s="675">
        <v>4</v>
      </c>
      <c r="CK67" s="675">
        <v>0</v>
      </c>
      <c r="CL67" s="675">
        <v>0</v>
      </c>
      <c r="CM67" s="675">
        <v>0</v>
      </c>
      <c r="CN67" s="675">
        <v>0</v>
      </c>
      <c r="CO67" s="675">
        <v>1</v>
      </c>
      <c r="CP67" s="675">
        <v>0</v>
      </c>
      <c r="CQ67" s="675">
        <v>0</v>
      </c>
      <c r="CR67" s="675">
        <v>1008.561</v>
      </c>
      <c r="CS67" s="675">
        <v>0</v>
      </c>
      <c r="CT67" s="675">
        <v>0</v>
      </c>
      <c r="CU67" s="675">
        <v>0</v>
      </c>
      <c r="CV67" s="675">
        <v>0</v>
      </c>
      <c r="CW67" s="675">
        <v>0</v>
      </c>
      <c r="CX67" s="675">
        <v>0</v>
      </c>
      <c r="CY67" s="675">
        <v>0</v>
      </c>
      <c r="CZ67" s="675">
        <v>0</v>
      </c>
      <c r="DA67" s="675">
        <v>0</v>
      </c>
      <c r="DB67" s="675">
        <v>7262939</v>
      </c>
      <c r="DC67" s="675">
        <v>0</v>
      </c>
      <c r="DD67" s="675">
        <v>0</v>
      </c>
      <c r="DE67" s="675">
        <v>707935</v>
      </c>
      <c r="DF67" s="675">
        <v>707935</v>
      </c>
      <c r="DG67" s="675">
        <v>114.92500000000001</v>
      </c>
      <c r="DH67" s="675">
        <v>0</v>
      </c>
      <c r="DI67" s="675">
        <v>0</v>
      </c>
      <c r="DJ67" s="675">
        <v>0</v>
      </c>
      <c r="DK67" s="675">
        <v>1037</v>
      </c>
      <c r="DL67" s="675">
        <v>0</v>
      </c>
      <c r="DM67" s="675">
        <v>1043297</v>
      </c>
      <c r="DN67" s="675">
        <v>3925</v>
      </c>
      <c r="DO67" s="675">
        <v>0</v>
      </c>
      <c r="DP67" s="675">
        <v>0</v>
      </c>
      <c r="DQ67" s="675">
        <v>0</v>
      </c>
      <c r="DR67" s="675">
        <v>0</v>
      </c>
      <c r="DS67" s="675">
        <v>0</v>
      </c>
      <c r="DT67" s="675">
        <v>0</v>
      </c>
      <c r="DU67" s="675">
        <v>0</v>
      </c>
      <c r="DV67" s="675">
        <v>0</v>
      </c>
      <c r="DW67" s="675">
        <v>0</v>
      </c>
      <c r="DX67" s="675">
        <v>0</v>
      </c>
      <c r="DY67" s="675">
        <v>0</v>
      </c>
      <c r="DZ67" s="675">
        <v>0</v>
      </c>
      <c r="EA67" s="675">
        <v>6.7000000000000004E-2</v>
      </c>
      <c r="EB67" s="675">
        <v>0</v>
      </c>
      <c r="EC67" s="675">
        <v>50.289000000000001</v>
      </c>
      <c r="ED67" s="675">
        <v>356246</v>
      </c>
      <c r="EE67" s="675">
        <v>0</v>
      </c>
      <c r="EF67" s="675">
        <v>0</v>
      </c>
      <c r="EG67" s="675">
        <v>0</v>
      </c>
      <c r="EH67" s="675">
        <v>690976</v>
      </c>
      <c r="EI67" s="675">
        <v>0</v>
      </c>
      <c r="EJ67" s="675">
        <v>0</v>
      </c>
      <c r="EK67" s="675">
        <v>30.783000000000001</v>
      </c>
      <c r="EL67" s="675">
        <v>0</v>
      </c>
      <c r="EM67" s="675">
        <v>2.3360000000000003</v>
      </c>
      <c r="EN67" s="675">
        <v>2.496</v>
      </c>
      <c r="EO67" s="675">
        <v>0</v>
      </c>
      <c r="EP67" s="675">
        <v>0</v>
      </c>
      <c r="EQ67" s="675">
        <v>35.682000000000002</v>
      </c>
      <c r="ER67" s="675">
        <v>0</v>
      </c>
      <c r="ES67" s="675">
        <v>112.17200000000001</v>
      </c>
      <c r="ET67" s="675">
        <v>0</v>
      </c>
      <c r="EU67" s="675">
        <v>0</v>
      </c>
      <c r="EV67" s="675">
        <v>0</v>
      </c>
      <c r="EW67" s="675">
        <v>0</v>
      </c>
      <c r="EX67" s="675">
        <v>0</v>
      </c>
      <c r="EY67" s="675">
        <v>0</v>
      </c>
      <c r="EZ67" s="675">
        <v>12050673</v>
      </c>
      <c r="FA67" s="675">
        <v>0</v>
      </c>
      <c r="FB67" s="675">
        <v>12445877</v>
      </c>
      <c r="FC67" s="675">
        <v>0</v>
      </c>
      <c r="FD67" s="675">
        <v>0</v>
      </c>
      <c r="FE67" s="675">
        <v>1174872</v>
      </c>
      <c r="FF67" s="675">
        <v>242995</v>
      </c>
      <c r="FG67" s="675">
        <v>6.3574999999999993E-2</v>
      </c>
      <c r="FH67" s="675">
        <v>2.6297999999999998E-2</v>
      </c>
      <c r="FI67" s="675">
        <v>0</v>
      </c>
      <c r="FJ67" s="675">
        <v>0</v>
      </c>
      <c r="FK67" s="675">
        <v>1875.009</v>
      </c>
      <c r="FL67" s="675">
        <v>14092616</v>
      </c>
      <c r="FM67" s="675">
        <v>0</v>
      </c>
      <c r="FN67" s="675">
        <v>0</v>
      </c>
      <c r="FO67" s="675">
        <v>0</v>
      </c>
      <c r="FP67" s="675">
        <v>0</v>
      </c>
      <c r="FQ67" s="675">
        <v>0</v>
      </c>
      <c r="FR67" s="675">
        <v>0</v>
      </c>
      <c r="FS67" s="675">
        <v>0</v>
      </c>
      <c r="FT67" s="675">
        <v>0</v>
      </c>
      <c r="FU67" s="675">
        <v>0</v>
      </c>
      <c r="FV67" s="675">
        <v>0</v>
      </c>
      <c r="FW67" s="675">
        <v>0</v>
      </c>
      <c r="FX67" s="675">
        <v>0</v>
      </c>
      <c r="FY67" s="675">
        <v>0</v>
      </c>
      <c r="FZ67" s="675">
        <v>0</v>
      </c>
      <c r="GA67" s="675">
        <v>0</v>
      </c>
      <c r="GB67" s="675">
        <v>759553</v>
      </c>
      <c r="GC67" s="675">
        <v>759553</v>
      </c>
      <c r="GD67" s="675">
        <v>81.582999999999998</v>
      </c>
      <c r="GE67" s="675">
        <v>0</v>
      </c>
      <c r="GF67" s="675">
        <v>0</v>
      </c>
      <c r="GG67" s="675">
        <v>0</v>
      </c>
      <c r="GH67" s="675">
        <v>0</v>
      </c>
      <c r="GI67" s="675">
        <v>0</v>
      </c>
      <c r="GJ67" s="675">
        <v>0</v>
      </c>
      <c r="GK67" s="675">
        <v>0</v>
      </c>
      <c r="GL67" s="675">
        <v>0</v>
      </c>
      <c r="GM67" s="675">
        <v>0</v>
      </c>
      <c r="GN67" s="675">
        <v>0</v>
      </c>
      <c r="GO67" s="675">
        <v>0</v>
      </c>
      <c r="GP67" s="675">
        <v>0</v>
      </c>
      <c r="GQ67" s="675">
        <v>0</v>
      </c>
      <c r="GR67" s="675">
        <v>0</v>
      </c>
      <c r="GS67" s="675">
        <v>0</v>
      </c>
      <c r="GT67" s="675">
        <v>0</v>
      </c>
      <c r="GU67" s="675">
        <v>0</v>
      </c>
      <c r="GV67" s="675">
        <v>0</v>
      </c>
      <c r="GW67" s="675">
        <v>0</v>
      </c>
      <c r="GX67" s="675">
        <v>0</v>
      </c>
      <c r="GY67" s="675">
        <v>0</v>
      </c>
      <c r="GZ67" s="675">
        <v>0</v>
      </c>
      <c r="HA67" s="675">
        <v>0</v>
      </c>
      <c r="HB67" s="675">
        <v>308877260</v>
      </c>
      <c r="HC67" s="675">
        <v>4.4138999999999998E-2</v>
      </c>
      <c r="HD67" s="675">
        <v>228872</v>
      </c>
      <c r="HE67" s="675">
        <v>0</v>
      </c>
      <c r="HF67" s="675">
        <v>1300497</v>
      </c>
      <c r="HG67" s="675">
        <v>39424</v>
      </c>
      <c r="HH67" s="675">
        <v>215702</v>
      </c>
      <c r="HI67" s="675">
        <v>0</v>
      </c>
      <c r="HJ67" s="675">
        <v>12600</v>
      </c>
      <c r="HK67" s="675">
        <v>3429</v>
      </c>
      <c r="HL67" s="675">
        <v>150</v>
      </c>
      <c r="HM67" s="675">
        <v>45000</v>
      </c>
      <c r="HN67" s="675">
        <v>3795</v>
      </c>
      <c r="HO67" s="675">
        <v>0</v>
      </c>
      <c r="HP67" s="675">
        <v>0</v>
      </c>
      <c r="HQ67" s="675">
        <v>0</v>
      </c>
      <c r="HR67" s="675">
        <v>0</v>
      </c>
      <c r="HS67" s="675">
        <v>12046748</v>
      </c>
      <c r="HT67" s="675">
        <v>242995</v>
      </c>
      <c r="HU67" s="675">
        <v>0</v>
      </c>
      <c r="HV67" s="675">
        <v>0</v>
      </c>
      <c r="HW67" s="675">
        <v>0</v>
      </c>
      <c r="HX67" s="675">
        <v>126</v>
      </c>
      <c r="HY67" s="675">
        <v>164</v>
      </c>
      <c r="HZ67" s="675">
        <v>133</v>
      </c>
      <c r="IA67" s="675">
        <v>38</v>
      </c>
      <c r="IB67" s="675">
        <v>16</v>
      </c>
      <c r="IC67" s="675">
        <v>477</v>
      </c>
      <c r="ID67" s="675">
        <v>0</v>
      </c>
      <c r="IE67" s="675">
        <v>0</v>
      </c>
      <c r="IF67" s="675">
        <v>0</v>
      </c>
      <c r="IG67" s="675">
        <v>64</v>
      </c>
      <c r="IH67" s="675">
        <v>350.16800000000001</v>
      </c>
      <c r="II67" s="675">
        <v>0</v>
      </c>
      <c r="IJ67" s="675">
        <v>252.17000000000002</v>
      </c>
      <c r="IK67" s="675">
        <v>0</v>
      </c>
      <c r="IL67" s="675">
        <v>3</v>
      </c>
      <c r="IM67" s="675">
        <v>10</v>
      </c>
      <c r="IN67" s="675">
        <v>0</v>
      </c>
      <c r="IO67" s="675">
        <v>13</v>
      </c>
      <c r="IP67" s="675">
        <v>0</v>
      </c>
      <c r="IQ67" s="675">
        <v>252.17000000000002</v>
      </c>
      <c r="IR67" s="675">
        <v>155336</v>
      </c>
      <c r="IS67" s="675">
        <v>0</v>
      </c>
      <c r="IT67" s="675">
        <v>15000</v>
      </c>
      <c r="IU67" s="675">
        <v>30000</v>
      </c>
      <c r="IV67" s="675">
        <v>0</v>
      </c>
      <c r="IW67" s="675">
        <v>6160</v>
      </c>
      <c r="IX67" s="675">
        <v>0</v>
      </c>
      <c r="IY67" s="675">
        <v>0</v>
      </c>
      <c r="IZ67" s="675">
        <v>0</v>
      </c>
      <c r="JA67" s="675">
        <v>0</v>
      </c>
      <c r="JB67" s="675">
        <v>0</v>
      </c>
      <c r="JC67" s="675">
        <v>0</v>
      </c>
      <c r="JD67" s="675">
        <v>0</v>
      </c>
      <c r="JE67" s="675">
        <v>0</v>
      </c>
      <c r="JF67" s="675">
        <v>1</v>
      </c>
      <c r="JG67" s="675">
        <v>3795</v>
      </c>
      <c r="JH67" s="675">
        <v>0</v>
      </c>
      <c r="JI67" s="675">
        <v>0</v>
      </c>
      <c r="JJ67" s="675">
        <v>0</v>
      </c>
      <c r="JK67" s="675">
        <v>0</v>
      </c>
      <c r="JL67" s="675">
        <v>0</v>
      </c>
      <c r="JM67" s="675">
        <v>0</v>
      </c>
      <c r="JN67" s="675">
        <v>32469</v>
      </c>
      <c r="JO67" s="675">
        <v>11.482000000000001</v>
      </c>
      <c r="JP67" s="675">
        <v>58.43</v>
      </c>
      <c r="JQ67" s="675">
        <v>11.672000000000001</v>
      </c>
      <c r="JR67" s="675">
        <v>91733</v>
      </c>
      <c r="JS67" s="675">
        <v>543203</v>
      </c>
      <c r="JT67" s="675">
        <v>124617</v>
      </c>
      <c r="JU67" s="675">
        <v>0</v>
      </c>
      <c r="JV67" s="675">
        <v>0</v>
      </c>
      <c r="JW67" s="675">
        <v>0</v>
      </c>
      <c r="JX67" s="675">
        <v>0</v>
      </c>
      <c r="JY67" s="675">
        <v>0</v>
      </c>
      <c r="JZ67" s="675">
        <v>0</v>
      </c>
      <c r="KA67" s="675">
        <v>0</v>
      </c>
      <c r="KB67" s="675">
        <v>0</v>
      </c>
      <c r="KC67" s="675">
        <v>0</v>
      </c>
      <c r="KD67" s="675">
        <v>0</v>
      </c>
      <c r="KE67" s="675">
        <v>7263</v>
      </c>
      <c r="KF67" s="675">
        <v>0</v>
      </c>
      <c r="KG67" s="675">
        <v>0</v>
      </c>
      <c r="KH67" s="675">
        <v>0</v>
      </c>
      <c r="KI67" s="675">
        <v>0</v>
      </c>
    </row>
    <row r="68" spans="1:295" ht="12.5" x14ac:dyDescent="0.25">
      <c r="A68" s="675">
        <v>35795</v>
      </c>
      <c r="B68" s="675">
        <v>15805</v>
      </c>
      <c r="C68" s="675">
        <v>7</v>
      </c>
      <c r="D68" s="675">
        <v>2022</v>
      </c>
      <c r="E68" s="675">
        <v>6160</v>
      </c>
      <c r="F68" s="675">
        <v>0</v>
      </c>
      <c r="G68" s="675">
        <v>129.59700000000001</v>
      </c>
      <c r="H68" s="675">
        <v>129.56200000000001</v>
      </c>
      <c r="I68" s="675">
        <v>129.56200000000001</v>
      </c>
      <c r="J68" s="675">
        <v>129.59700000000001</v>
      </c>
      <c r="K68" s="675">
        <v>0</v>
      </c>
      <c r="L68" s="675">
        <v>6160</v>
      </c>
      <c r="M68" s="675">
        <v>0</v>
      </c>
      <c r="N68" s="675">
        <v>0</v>
      </c>
      <c r="O68" s="675">
        <v>0</v>
      </c>
      <c r="P68" s="675">
        <v>424.67</v>
      </c>
      <c r="Q68" s="675">
        <v>0</v>
      </c>
      <c r="R68" s="675">
        <v>170899</v>
      </c>
      <c r="S68" s="675">
        <v>402.428</v>
      </c>
      <c r="T68" s="675">
        <v>0</v>
      </c>
      <c r="U68" s="675">
        <v>90879</v>
      </c>
      <c r="V68" s="675">
        <v>9.5400000000000009</v>
      </c>
      <c r="W68" s="675">
        <v>5877</v>
      </c>
      <c r="X68" s="675">
        <v>5877</v>
      </c>
      <c r="Y68" s="675">
        <v>0</v>
      </c>
      <c r="Z68" s="675">
        <v>0</v>
      </c>
      <c r="AA68" s="675">
        <v>0</v>
      </c>
      <c r="AB68" s="675">
        <v>0</v>
      </c>
      <c r="AC68" s="675">
        <v>0</v>
      </c>
      <c r="AD68" s="675" t="s">
        <v>316</v>
      </c>
      <c r="AE68" s="675">
        <v>0</v>
      </c>
      <c r="AF68" s="675">
        <v>0</v>
      </c>
      <c r="AG68" s="675">
        <v>0</v>
      </c>
      <c r="AH68" s="675">
        <v>0</v>
      </c>
      <c r="AI68" s="675">
        <v>0</v>
      </c>
      <c r="AJ68" s="675">
        <v>6160</v>
      </c>
      <c r="AK68" s="675" t="s">
        <v>671</v>
      </c>
      <c r="AL68" s="675" t="s">
        <v>460</v>
      </c>
      <c r="AM68" s="675">
        <v>0</v>
      </c>
      <c r="AN68" s="675">
        <v>0</v>
      </c>
      <c r="AO68" s="675">
        <v>0</v>
      </c>
      <c r="AP68" s="675">
        <v>0</v>
      </c>
      <c r="AQ68" s="675">
        <v>0</v>
      </c>
      <c r="AR68" s="675">
        <v>0</v>
      </c>
      <c r="AS68" s="675">
        <v>0</v>
      </c>
      <c r="AT68" s="675">
        <v>0</v>
      </c>
      <c r="AU68" s="675">
        <v>0</v>
      </c>
      <c r="AV68" s="675">
        <v>-2526</v>
      </c>
      <c r="AW68" s="675">
        <v>1307333</v>
      </c>
      <c r="AX68" s="675">
        <v>1284575</v>
      </c>
      <c r="AY68" s="675">
        <v>1159401</v>
      </c>
      <c r="AZ68" s="675">
        <v>170899</v>
      </c>
      <c r="BA68" s="675">
        <v>0</v>
      </c>
      <c r="BB68" s="675">
        <v>0</v>
      </c>
      <c r="BC68" s="675">
        <v>0</v>
      </c>
      <c r="BD68" s="675">
        <v>0</v>
      </c>
      <c r="BE68" s="675">
        <v>0</v>
      </c>
      <c r="BF68" s="675">
        <v>1291762</v>
      </c>
      <c r="BG68" s="675">
        <v>0</v>
      </c>
      <c r="BH68" s="675">
        <v>0</v>
      </c>
      <c r="BI68" s="675">
        <v>0</v>
      </c>
      <c r="BJ68" s="675">
        <v>12</v>
      </c>
      <c r="BK68" s="675">
        <v>0</v>
      </c>
      <c r="BL68" s="675">
        <v>0</v>
      </c>
      <c r="BM68" s="675">
        <v>0</v>
      </c>
      <c r="BN68" s="675">
        <v>0</v>
      </c>
      <c r="BO68" s="675">
        <v>0</v>
      </c>
      <c r="BP68" s="675">
        <v>0</v>
      </c>
      <c r="BQ68" s="675">
        <v>750</v>
      </c>
      <c r="BR68" s="675">
        <v>0</v>
      </c>
      <c r="BS68" s="675">
        <v>0</v>
      </c>
      <c r="BT68" s="675">
        <v>0</v>
      </c>
      <c r="BU68" s="675">
        <v>0</v>
      </c>
      <c r="BV68" s="675">
        <v>0</v>
      </c>
      <c r="BW68" s="675">
        <v>0</v>
      </c>
      <c r="BX68" s="675">
        <v>0</v>
      </c>
      <c r="BY68" s="675">
        <v>0</v>
      </c>
      <c r="BZ68" s="675">
        <v>0</v>
      </c>
      <c r="CA68" s="675">
        <v>0</v>
      </c>
      <c r="CB68" s="675">
        <v>0</v>
      </c>
      <c r="CC68" s="675">
        <v>0</v>
      </c>
      <c r="CD68" s="675">
        <v>0</v>
      </c>
      <c r="CE68" s="675">
        <v>0</v>
      </c>
      <c r="CF68" s="675">
        <v>0</v>
      </c>
      <c r="CG68" s="675">
        <v>0</v>
      </c>
      <c r="CH68" s="675">
        <v>22881</v>
      </c>
      <c r="CI68" s="675">
        <v>0</v>
      </c>
      <c r="CJ68" s="675">
        <v>4</v>
      </c>
      <c r="CK68" s="675">
        <v>0</v>
      </c>
      <c r="CL68" s="675">
        <v>0</v>
      </c>
      <c r="CM68" s="675">
        <v>0</v>
      </c>
      <c r="CN68" s="675">
        <v>0</v>
      </c>
      <c r="CO68" s="675">
        <v>1</v>
      </c>
      <c r="CP68" s="675">
        <v>0</v>
      </c>
      <c r="CQ68" s="675">
        <v>0</v>
      </c>
      <c r="CR68" s="675">
        <v>440.42900000000003</v>
      </c>
      <c r="CS68" s="675">
        <v>0</v>
      </c>
      <c r="CT68" s="675">
        <v>0</v>
      </c>
      <c r="CU68" s="675">
        <v>0</v>
      </c>
      <c r="CV68" s="675">
        <v>0</v>
      </c>
      <c r="CW68" s="675">
        <v>0</v>
      </c>
      <c r="CX68" s="675">
        <v>0</v>
      </c>
      <c r="CY68" s="675">
        <v>0</v>
      </c>
      <c r="CZ68" s="675">
        <v>0</v>
      </c>
      <c r="DA68" s="675">
        <v>0</v>
      </c>
      <c r="DB68" s="675">
        <v>601703</v>
      </c>
      <c r="DC68" s="675">
        <v>0</v>
      </c>
      <c r="DD68" s="675">
        <v>0</v>
      </c>
      <c r="DE68" s="675">
        <v>175174</v>
      </c>
      <c r="DF68" s="675">
        <v>175174</v>
      </c>
      <c r="DG68" s="675">
        <v>28.438000000000002</v>
      </c>
      <c r="DH68" s="675">
        <v>0</v>
      </c>
      <c r="DI68" s="675">
        <v>0</v>
      </c>
      <c r="DJ68" s="675">
        <v>0</v>
      </c>
      <c r="DK68" s="675">
        <v>3623</v>
      </c>
      <c r="DL68" s="675">
        <v>0</v>
      </c>
      <c r="DM68" s="675">
        <v>229022</v>
      </c>
      <c r="DN68" s="675">
        <v>123</v>
      </c>
      <c r="DO68" s="675">
        <v>0</v>
      </c>
      <c r="DP68" s="675">
        <v>0</v>
      </c>
      <c r="DQ68" s="675">
        <v>0</v>
      </c>
      <c r="DR68" s="675">
        <v>0</v>
      </c>
      <c r="DS68" s="675">
        <v>0</v>
      </c>
      <c r="DT68" s="675">
        <v>0</v>
      </c>
      <c r="DU68" s="675">
        <v>0</v>
      </c>
      <c r="DV68" s="675">
        <v>0</v>
      </c>
      <c r="DW68" s="675">
        <v>0</v>
      </c>
      <c r="DX68" s="675">
        <v>0</v>
      </c>
      <c r="DY68" s="675">
        <v>0</v>
      </c>
      <c r="DZ68" s="675">
        <v>0</v>
      </c>
      <c r="EA68" s="675">
        <v>0</v>
      </c>
      <c r="EB68" s="675">
        <v>0</v>
      </c>
      <c r="EC68" s="675">
        <v>4.4710000000000001</v>
      </c>
      <c r="ED68" s="675">
        <v>31672</v>
      </c>
      <c r="EE68" s="675">
        <v>0</v>
      </c>
      <c r="EF68" s="675">
        <v>0</v>
      </c>
      <c r="EG68" s="675">
        <v>0</v>
      </c>
      <c r="EH68" s="675">
        <v>1078</v>
      </c>
      <c r="EI68" s="675">
        <v>0</v>
      </c>
      <c r="EJ68" s="675">
        <v>0</v>
      </c>
      <c r="EK68" s="675">
        <v>0</v>
      </c>
      <c r="EL68" s="675">
        <v>0</v>
      </c>
      <c r="EM68" s="675">
        <v>0</v>
      </c>
      <c r="EN68" s="675">
        <v>3.5000000000000003E-2</v>
      </c>
      <c r="EO68" s="675">
        <v>0</v>
      </c>
      <c r="EP68" s="675">
        <v>0</v>
      </c>
      <c r="EQ68" s="675">
        <v>3.5000000000000003E-2</v>
      </c>
      <c r="ER68" s="675">
        <v>0</v>
      </c>
      <c r="ES68" s="675">
        <v>0.17500000000000002</v>
      </c>
      <c r="ET68" s="675">
        <v>0</v>
      </c>
      <c r="EU68" s="675">
        <v>0</v>
      </c>
      <c r="EV68" s="675">
        <v>0</v>
      </c>
      <c r="EW68" s="675">
        <v>0</v>
      </c>
      <c r="EX68" s="675">
        <v>0</v>
      </c>
      <c r="EY68" s="675">
        <v>0</v>
      </c>
      <c r="EZ68" s="675">
        <v>1125999</v>
      </c>
      <c r="FA68" s="675">
        <v>0</v>
      </c>
      <c r="FB68" s="675">
        <v>1296775</v>
      </c>
      <c r="FC68" s="675">
        <v>0</v>
      </c>
      <c r="FD68" s="675">
        <v>0</v>
      </c>
      <c r="FE68" s="675">
        <v>131399</v>
      </c>
      <c r="FF68" s="675">
        <v>27177</v>
      </c>
      <c r="FG68" s="675">
        <v>6.3574999999999993E-2</v>
      </c>
      <c r="FH68" s="675">
        <v>2.6297999999999998E-2</v>
      </c>
      <c r="FI68" s="675">
        <v>0</v>
      </c>
      <c r="FJ68" s="675">
        <v>0</v>
      </c>
      <c r="FK68" s="675">
        <v>209.703</v>
      </c>
      <c r="FL68" s="675">
        <v>1478232</v>
      </c>
      <c r="FM68" s="675">
        <v>0</v>
      </c>
      <c r="FN68" s="675">
        <v>0</v>
      </c>
      <c r="FO68" s="675">
        <v>3363</v>
      </c>
      <c r="FP68" s="675">
        <v>0</v>
      </c>
      <c r="FQ68" s="675">
        <v>3363</v>
      </c>
      <c r="FR68" s="675">
        <v>3363</v>
      </c>
      <c r="FS68" s="675">
        <v>0</v>
      </c>
      <c r="FT68" s="675">
        <v>0</v>
      </c>
      <c r="FU68" s="675">
        <v>0</v>
      </c>
      <c r="FV68" s="675">
        <v>0</v>
      </c>
      <c r="FW68" s="675">
        <v>0</v>
      </c>
      <c r="FX68" s="675">
        <v>0</v>
      </c>
      <c r="FY68" s="675">
        <v>0</v>
      </c>
      <c r="FZ68" s="675">
        <v>0</v>
      </c>
      <c r="GA68" s="675">
        <v>0</v>
      </c>
      <c r="GB68" s="675">
        <v>0</v>
      </c>
      <c r="GC68" s="675">
        <v>0</v>
      </c>
      <c r="GD68" s="675">
        <v>0</v>
      </c>
      <c r="GE68" s="675">
        <v>0</v>
      </c>
      <c r="GF68" s="675">
        <v>0</v>
      </c>
      <c r="GG68" s="675">
        <v>0</v>
      </c>
      <c r="GH68" s="675">
        <v>0</v>
      </c>
      <c r="GI68" s="675">
        <v>0</v>
      </c>
      <c r="GJ68" s="675">
        <v>0</v>
      </c>
      <c r="GK68" s="675">
        <v>0</v>
      </c>
      <c r="GL68" s="675">
        <v>0</v>
      </c>
      <c r="GM68" s="675">
        <v>0</v>
      </c>
      <c r="GN68" s="675">
        <v>0</v>
      </c>
      <c r="GO68" s="675">
        <v>0</v>
      </c>
      <c r="GP68" s="675">
        <v>0</v>
      </c>
      <c r="GQ68" s="675">
        <v>0</v>
      </c>
      <c r="GR68" s="675">
        <v>0</v>
      </c>
      <c r="GS68" s="675">
        <v>0</v>
      </c>
      <c r="GT68" s="675">
        <v>0</v>
      </c>
      <c r="GU68" s="675">
        <v>0</v>
      </c>
      <c r="GV68" s="675">
        <v>0</v>
      </c>
      <c r="GW68" s="675">
        <v>0</v>
      </c>
      <c r="GX68" s="675">
        <v>0</v>
      </c>
      <c r="GY68" s="675">
        <v>0</v>
      </c>
      <c r="GZ68" s="675">
        <v>0</v>
      </c>
      <c r="HA68" s="675">
        <v>0</v>
      </c>
      <c r="HB68" s="675">
        <v>308877260</v>
      </c>
      <c r="HC68" s="675">
        <v>4.4138999999999998E-2</v>
      </c>
      <c r="HD68" s="675">
        <v>22881</v>
      </c>
      <c r="HE68" s="675">
        <v>0</v>
      </c>
      <c r="HF68" s="675">
        <v>142907</v>
      </c>
      <c r="HG68" s="675">
        <v>3696</v>
      </c>
      <c r="HH68" s="675">
        <v>0</v>
      </c>
      <c r="HI68" s="675">
        <v>0</v>
      </c>
      <c r="HJ68" s="675">
        <v>1260</v>
      </c>
      <c r="HK68" s="675">
        <v>1773</v>
      </c>
      <c r="HL68" s="675">
        <v>0</v>
      </c>
      <c r="HM68" s="675">
        <v>132000</v>
      </c>
      <c r="HN68" s="675">
        <v>0</v>
      </c>
      <c r="HO68" s="675">
        <v>0</v>
      </c>
      <c r="HP68" s="675">
        <v>0</v>
      </c>
      <c r="HQ68" s="675">
        <v>0</v>
      </c>
      <c r="HR68" s="675">
        <v>0</v>
      </c>
      <c r="HS68" s="675">
        <v>1125876</v>
      </c>
      <c r="HT68" s="675">
        <v>27177</v>
      </c>
      <c r="HU68" s="675">
        <v>0</v>
      </c>
      <c r="HV68" s="675">
        <v>0</v>
      </c>
      <c r="HW68" s="675">
        <v>0</v>
      </c>
      <c r="HX68" s="675">
        <v>5</v>
      </c>
      <c r="HY68" s="675">
        <v>17</v>
      </c>
      <c r="HZ68" s="675">
        <v>22</v>
      </c>
      <c r="IA68" s="675">
        <v>30</v>
      </c>
      <c r="IB68" s="675">
        <v>36</v>
      </c>
      <c r="IC68" s="675">
        <v>110</v>
      </c>
      <c r="ID68" s="675">
        <v>0</v>
      </c>
      <c r="IE68" s="675">
        <v>0</v>
      </c>
      <c r="IF68" s="675">
        <v>0</v>
      </c>
      <c r="IG68" s="675">
        <v>6</v>
      </c>
      <c r="IH68" s="675">
        <v>0</v>
      </c>
      <c r="II68" s="675">
        <v>0</v>
      </c>
      <c r="IJ68" s="675">
        <v>9.5400000000000009</v>
      </c>
      <c r="IK68" s="675">
        <v>0</v>
      </c>
      <c r="IL68" s="675">
        <v>21</v>
      </c>
      <c r="IM68" s="675">
        <v>9</v>
      </c>
      <c r="IN68" s="675">
        <v>0</v>
      </c>
      <c r="IO68" s="675">
        <v>30</v>
      </c>
      <c r="IP68" s="675">
        <v>0</v>
      </c>
      <c r="IQ68" s="675">
        <v>9.5400000000000009</v>
      </c>
      <c r="IR68" s="675">
        <v>5877</v>
      </c>
      <c r="IS68" s="675">
        <v>0</v>
      </c>
      <c r="IT68" s="675">
        <v>105000</v>
      </c>
      <c r="IU68" s="675">
        <v>27000</v>
      </c>
      <c r="IV68" s="675">
        <v>0</v>
      </c>
      <c r="IW68" s="675">
        <v>6160</v>
      </c>
      <c r="IX68" s="675">
        <v>0</v>
      </c>
      <c r="IY68" s="675">
        <v>0</v>
      </c>
      <c r="IZ68" s="675">
        <v>0</v>
      </c>
      <c r="JA68" s="675">
        <v>0</v>
      </c>
      <c r="JB68" s="675">
        <v>0</v>
      </c>
      <c r="JC68" s="675">
        <v>0</v>
      </c>
      <c r="JD68" s="675">
        <v>0</v>
      </c>
      <c r="JE68" s="675">
        <v>0</v>
      </c>
      <c r="JF68" s="675">
        <v>0</v>
      </c>
      <c r="JG68" s="675">
        <v>0</v>
      </c>
      <c r="JH68" s="675">
        <v>0</v>
      </c>
      <c r="JI68" s="675">
        <v>0</v>
      </c>
      <c r="JJ68" s="675">
        <v>0</v>
      </c>
      <c r="JK68" s="675">
        <v>0</v>
      </c>
      <c r="JL68" s="675">
        <v>0</v>
      </c>
      <c r="JM68" s="675">
        <v>0</v>
      </c>
      <c r="JN68" s="675">
        <v>32469</v>
      </c>
      <c r="JO68" s="675">
        <v>0</v>
      </c>
      <c r="JP68" s="675">
        <v>0</v>
      </c>
      <c r="JQ68" s="675">
        <v>0</v>
      </c>
      <c r="JR68" s="675">
        <v>0</v>
      </c>
      <c r="JS68" s="675">
        <v>0</v>
      </c>
      <c r="JT68" s="675">
        <v>0</v>
      </c>
      <c r="JU68" s="675">
        <v>0</v>
      </c>
      <c r="JV68" s="675">
        <v>0</v>
      </c>
      <c r="JW68" s="675">
        <v>0</v>
      </c>
      <c r="JX68" s="675">
        <v>0</v>
      </c>
      <c r="JY68" s="675">
        <v>0</v>
      </c>
      <c r="JZ68" s="675">
        <v>0</v>
      </c>
      <c r="KA68" s="675">
        <v>0</v>
      </c>
      <c r="KB68" s="675">
        <v>0</v>
      </c>
      <c r="KC68" s="675">
        <v>0</v>
      </c>
      <c r="KD68" s="675">
        <v>0</v>
      </c>
      <c r="KE68" s="675">
        <v>7263</v>
      </c>
      <c r="KF68" s="675">
        <v>0</v>
      </c>
      <c r="KG68" s="675">
        <v>0</v>
      </c>
      <c r="KH68" s="675">
        <v>0</v>
      </c>
      <c r="KI68" s="675">
        <v>0</v>
      </c>
    </row>
    <row r="69" spans="1:295" ht="12.5" x14ac:dyDescent="0.25">
      <c r="A69" s="675">
        <v>35795</v>
      </c>
      <c r="B69" s="675">
        <v>21805</v>
      </c>
      <c r="C69" s="675">
        <v>7</v>
      </c>
      <c r="D69" s="675">
        <v>2022</v>
      </c>
      <c r="E69" s="675">
        <v>6160</v>
      </c>
      <c r="F69" s="675">
        <v>0</v>
      </c>
      <c r="G69" s="675">
        <v>549.12900000000002</v>
      </c>
      <c r="H69" s="675">
        <v>533.96900000000005</v>
      </c>
      <c r="I69" s="675">
        <v>533.96900000000005</v>
      </c>
      <c r="J69" s="675">
        <v>549.12900000000002</v>
      </c>
      <c r="K69" s="675">
        <v>0</v>
      </c>
      <c r="L69" s="675">
        <v>6160</v>
      </c>
      <c r="M69" s="675">
        <v>0</v>
      </c>
      <c r="N69" s="675">
        <v>0</v>
      </c>
      <c r="O69" s="675">
        <v>0</v>
      </c>
      <c r="P69" s="675">
        <v>627.09800000000007</v>
      </c>
      <c r="Q69" s="675">
        <v>0</v>
      </c>
      <c r="R69" s="675">
        <v>252362</v>
      </c>
      <c r="S69" s="675">
        <v>402.428</v>
      </c>
      <c r="T69" s="675">
        <v>0</v>
      </c>
      <c r="U69" s="675">
        <v>134199</v>
      </c>
      <c r="V69" s="675">
        <v>62.17</v>
      </c>
      <c r="W69" s="675">
        <v>38297</v>
      </c>
      <c r="X69" s="675">
        <v>38297</v>
      </c>
      <c r="Y69" s="675">
        <v>0</v>
      </c>
      <c r="Z69" s="675">
        <v>0</v>
      </c>
      <c r="AA69" s="675">
        <v>0</v>
      </c>
      <c r="AB69" s="675">
        <v>0</v>
      </c>
      <c r="AC69" s="675">
        <v>0</v>
      </c>
      <c r="AD69" s="675" t="s">
        <v>316</v>
      </c>
      <c r="AE69" s="675">
        <v>0</v>
      </c>
      <c r="AF69" s="675">
        <v>0</v>
      </c>
      <c r="AG69" s="675">
        <v>0</v>
      </c>
      <c r="AH69" s="675">
        <v>0</v>
      </c>
      <c r="AI69" s="675">
        <v>0</v>
      </c>
      <c r="AJ69" s="675">
        <v>6160</v>
      </c>
      <c r="AK69" s="675" t="s">
        <v>671</v>
      </c>
      <c r="AL69" s="675" t="s">
        <v>322</v>
      </c>
      <c r="AM69" s="675">
        <v>0</v>
      </c>
      <c r="AN69" s="675">
        <v>0</v>
      </c>
      <c r="AO69" s="675">
        <v>0</v>
      </c>
      <c r="AP69" s="675">
        <v>0</v>
      </c>
      <c r="AQ69" s="675">
        <v>0</v>
      </c>
      <c r="AR69" s="675">
        <v>0</v>
      </c>
      <c r="AS69" s="675">
        <v>0</v>
      </c>
      <c r="AT69" s="675">
        <v>0</v>
      </c>
      <c r="AU69" s="675">
        <v>0</v>
      </c>
      <c r="AV69" s="675">
        <v>0</v>
      </c>
      <c r="AW69" s="675">
        <v>5743948</v>
      </c>
      <c r="AX69" s="675">
        <v>5648401</v>
      </c>
      <c r="AY69" s="675">
        <v>4062767</v>
      </c>
      <c r="AZ69" s="675">
        <v>252362</v>
      </c>
      <c r="BA69" s="675">
        <v>0</v>
      </c>
      <c r="BB69" s="675">
        <v>2156</v>
      </c>
      <c r="BC69" s="675">
        <v>2142</v>
      </c>
      <c r="BD69" s="675">
        <v>5</v>
      </c>
      <c r="BE69" s="675">
        <v>14</v>
      </c>
      <c r="BF69" s="675">
        <v>5239537</v>
      </c>
      <c r="BG69" s="675">
        <v>0</v>
      </c>
      <c r="BH69" s="675">
        <v>0</v>
      </c>
      <c r="BI69" s="675">
        <v>0</v>
      </c>
      <c r="BJ69" s="675">
        <v>12</v>
      </c>
      <c r="BK69" s="675">
        <v>0</v>
      </c>
      <c r="BL69" s="675">
        <v>0</v>
      </c>
      <c r="BM69" s="675">
        <v>0</v>
      </c>
      <c r="BN69" s="675">
        <v>0</v>
      </c>
      <c r="BO69" s="675">
        <v>0</v>
      </c>
      <c r="BP69" s="675">
        <v>0</v>
      </c>
      <c r="BQ69" s="675">
        <v>688</v>
      </c>
      <c r="BR69" s="675">
        <v>0</v>
      </c>
      <c r="BS69" s="675">
        <v>0</v>
      </c>
      <c r="BT69" s="675">
        <v>0</v>
      </c>
      <c r="BU69" s="675">
        <v>0</v>
      </c>
      <c r="BV69" s="675">
        <v>0</v>
      </c>
      <c r="BW69" s="675">
        <v>0</v>
      </c>
      <c r="BX69" s="675">
        <v>0</v>
      </c>
      <c r="BY69" s="675">
        <v>0</v>
      </c>
      <c r="BZ69" s="675">
        <v>0</v>
      </c>
      <c r="CA69" s="675">
        <v>0</v>
      </c>
      <c r="CB69" s="675">
        <v>0</v>
      </c>
      <c r="CC69" s="675">
        <v>0</v>
      </c>
      <c r="CD69" s="675">
        <v>0</v>
      </c>
      <c r="CE69" s="675">
        <v>0</v>
      </c>
      <c r="CF69" s="675">
        <v>0</v>
      </c>
      <c r="CG69" s="675">
        <v>0</v>
      </c>
      <c r="CH69" s="675">
        <v>96952</v>
      </c>
      <c r="CI69" s="675">
        <v>0</v>
      </c>
      <c r="CJ69" s="675">
        <v>4</v>
      </c>
      <c r="CK69" s="675">
        <v>0</v>
      </c>
      <c r="CL69" s="675">
        <v>0</v>
      </c>
      <c r="CM69" s="675">
        <v>0</v>
      </c>
      <c r="CN69" s="675">
        <v>0</v>
      </c>
      <c r="CO69" s="675">
        <v>1</v>
      </c>
      <c r="CP69" s="675">
        <v>0</v>
      </c>
      <c r="CQ69" s="675">
        <v>0</v>
      </c>
      <c r="CR69" s="675">
        <v>681.06400000000008</v>
      </c>
      <c r="CS69" s="675">
        <v>0</v>
      </c>
      <c r="CT69" s="675">
        <v>0</v>
      </c>
      <c r="CU69" s="675">
        <v>0</v>
      </c>
      <c r="CV69" s="675">
        <v>0</v>
      </c>
      <c r="CW69" s="675">
        <v>0</v>
      </c>
      <c r="CX69" s="675">
        <v>0</v>
      </c>
      <c r="CY69" s="675">
        <v>0</v>
      </c>
      <c r="CZ69" s="675">
        <v>0</v>
      </c>
      <c r="DA69" s="675">
        <v>0</v>
      </c>
      <c r="DB69" s="675">
        <v>3237722</v>
      </c>
      <c r="DC69" s="675">
        <v>0</v>
      </c>
      <c r="DD69" s="675">
        <v>0</v>
      </c>
      <c r="DE69" s="675">
        <v>741584</v>
      </c>
      <c r="DF69" s="675">
        <v>741584</v>
      </c>
      <c r="DG69" s="675">
        <v>120.38800000000001</v>
      </c>
      <c r="DH69" s="675">
        <v>0</v>
      </c>
      <c r="DI69" s="675">
        <v>0</v>
      </c>
      <c r="DJ69" s="675">
        <v>0</v>
      </c>
      <c r="DK69" s="675">
        <v>2627</v>
      </c>
      <c r="DL69" s="675">
        <v>0</v>
      </c>
      <c r="DM69" s="675">
        <v>421347</v>
      </c>
      <c r="DN69" s="675">
        <v>1391</v>
      </c>
      <c r="DO69" s="675">
        <v>0</v>
      </c>
      <c r="DP69" s="675">
        <v>0</v>
      </c>
      <c r="DQ69" s="675">
        <v>0</v>
      </c>
      <c r="DR69" s="675">
        <v>0</v>
      </c>
      <c r="DS69" s="675">
        <v>0</v>
      </c>
      <c r="DT69" s="675">
        <v>0</v>
      </c>
      <c r="DU69" s="675">
        <v>0</v>
      </c>
      <c r="DV69" s="675">
        <v>0</v>
      </c>
      <c r="DW69" s="675">
        <v>0</v>
      </c>
      <c r="DX69" s="675">
        <v>0</v>
      </c>
      <c r="DY69" s="675">
        <v>0</v>
      </c>
      <c r="DZ69" s="675">
        <v>0</v>
      </c>
      <c r="EA69" s="675">
        <v>0</v>
      </c>
      <c r="EB69" s="675">
        <v>0</v>
      </c>
      <c r="EC69" s="675">
        <v>11.061</v>
      </c>
      <c r="ED69" s="675">
        <v>78356</v>
      </c>
      <c r="EE69" s="675">
        <v>0</v>
      </c>
      <c r="EF69" s="675">
        <v>0</v>
      </c>
      <c r="EG69" s="675">
        <v>0</v>
      </c>
      <c r="EH69" s="675">
        <v>292870</v>
      </c>
      <c r="EI69" s="675">
        <v>0</v>
      </c>
      <c r="EJ69" s="675">
        <v>0</v>
      </c>
      <c r="EK69" s="675">
        <v>13.421000000000001</v>
      </c>
      <c r="EL69" s="675">
        <v>0</v>
      </c>
      <c r="EM69" s="675">
        <v>0.70700000000000007</v>
      </c>
      <c r="EN69" s="675">
        <v>1.032</v>
      </c>
      <c r="EO69" s="675">
        <v>0</v>
      </c>
      <c r="EP69" s="675">
        <v>0</v>
      </c>
      <c r="EQ69" s="675">
        <v>15.16</v>
      </c>
      <c r="ER69" s="675">
        <v>0</v>
      </c>
      <c r="ES69" s="675">
        <v>47.544000000000004</v>
      </c>
      <c r="ET69" s="675">
        <v>0</v>
      </c>
      <c r="EU69" s="675">
        <v>0</v>
      </c>
      <c r="EV69" s="675">
        <v>0</v>
      </c>
      <c r="EW69" s="675">
        <v>0</v>
      </c>
      <c r="EX69" s="675">
        <v>0</v>
      </c>
      <c r="EY69" s="675">
        <v>0</v>
      </c>
      <c r="EZ69" s="675">
        <v>5005201</v>
      </c>
      <c r="FA69" s="675">
        <v>0</v>
      </c>
      <c r="FB69" s="675">
        <v>5256158</v>
      </c>
      <c r="FC69" s="675">
        <v>0</v>
      </c>
      <c r="FD69" s="675">
        <v>0</v>
      </c>
      <c r="FE69" s="675">
        <v>532968</v>
      </c>
      <c r="FF69" s="675">
        <v>110232</v>
      </c>
      <c r="FG69" s="675">
        <v>6.3574999999999993E-2</v>
      </c>
      <c r="FH69" s="675">
        <v>2.6297999999999998E-2</v>
      </c>
      <c r="FI69" s="675">
        <v>0</v>
      </c>
      <c r="FJ69" s="675">
        <v>0</v>
      </c>
      <c r="FK69" s="675">
        <v>850.57800000000009</v>
      </c>
      <c r="FL69" s="675">
        <v>5996310</v>
      </c>
      <c r="FM69" s="675">
        <v>0</v>
      </c>
      <c r="FN69" s="675">
        <v>0</v>
      </c>
      <c r="FO69" s="675">
        <v>18026</v>
      </c>
      <c r="FP69" s="675">
        <v>0</v>
      </c>
      <c r="FQ69" s="675">
        <v>18026</v>
      </c>
      <c r="FR69" s="675">
        <v>18026</v>
      </c>
      <c r="FS69" s="675">
        <v>0</v>
      </c>
      <c r="FT69" s="675">
        <v>0</v>
      </c>
      <c r="FU69" s="675">
        <v>0</v>
      </c>
      <c r="FV69" s="675">
        <v>0</v>
      </c>
      <c r="FW69" s="675">
        <v>0</v>
      </c>
      <c r="FX69" s="675">
        <v>0</v>
      </c>
      <c r="FY69" s="675">
        <v>0</v>
      </c>
      <c r="FZ69" s="675">
        <v>0</v>
      </c>
      <c r="GA69" s="675">
        <v>0</v>
      </c>
      <c r="GB69" s="675">
        <v>0</v>
      </c>
      <c r="GC69" s="675">
        <v>0</v>
      </c>
      <c r="GD69" s="675">
        <v>0</v>
      </c>
      <c r="GE69" s="675">
        <v>0</v>
      </c>
      <c r="GF69" s="675">
        <v>0</v>
      </c>
      <c r="GG69" s="675">
        <v>0</v>
      </c>
      <c r="GH69" s="675">
        <v>0</v>
      </c>
      <c r="GI69" s="675">
        <v>0</v>
      </c>
      <c r="GJ69" s="675">
        <v>0</v>
      </c>
      <c r="GK69" s="675">
        <v>0</v>
      </c>
      <c r="GL69" s="675">
        <v>0</v>
      </c>
      <c r="GM69" s="675">
        <v>0</v>
      </c>
      <c r="GN69" s="675">
        <v>0</v>
      </c>
      <c r="GO69" s="675">
        <v>0</v>
      </c>
      <c r="GP69" s="675">
        <v>0</v>
      </c>
      <c r="GQ69" s="675">
        <v>0</v>
      </c>
      <c r="GR69" s="675">
        <v>0</v>
      </c>
      <c r="GS69" s="675">
        <v>0</v>
      </c>
      <c r="GT69" s="675">
        <v>0</v>
      </c>
      <c r="GU69" s="675">
        <v>0</v>
      </c>
      <c r="GV69" s="675">
        <v>0</v>
      </c>
      <c r="GW69" s="675">
        <v>0</v>
      </c>
      <c r="GX69" s="675">
        <v>0</v>
      </c>
      <c r="GY69" s="675">
        <v>0</v>
      </c>
      <c r="GZ69" s="675">
        <v>0</v>
      </c>
      <c r="HA69" s="675">
        <v>0</v>
      </c>
      <c r="HB69" s="675">
        <v>308877260</v>
      </c>
      <c r="HC69" s="675">
        <v>4.4138999999999998E-2</v>
      </c>
      <c r="HD69" s="675">
        <v>96952</v>
      </c>
      <c r="HE69" s="675">
        <v>0</v>
      </c>
      <c r="HF69" s="675">
        <v>588968</v>
      </c>
      <c r="HG69" s="675">
        <v>3080</v>
      </c>
      <c r="HH69" s="675">
        <v>199654</v>
      </c>
      <c r="HI69" s="675">
        <v>0</v>
      </c>
      <c r="HJ69" s="675">
        <v>5338</v>
      </c>
      <c r="HK69" s="675">
        <v>0</v>
      </c>
      <c r="HL69" s="675">
        <v>0</v>
      </c>
      <c r="HM69" s="675">
        <v>0</v>
      </c>
      <c r="HN69" s="675">
        <v>0</v>
      </c>
      <c r="HO69" s="675">
        <v>0</v>
      </c>
      <c r="HP69" s="675">
        <v>0</v>
      </c>
      <c r="HQ69" s="675">
        <v>0</v>
      </c>
      <c r="HR69" s="675">
        <v>0</v>
      </c>
      <c r="HS69" s="675">
        <v>5003796</v>
      </c>
      <c r="HT69" s="675">
        <v>110232</v>
      </c>
      <c r="HU69" s="675">
        <v>0</v>
      </c>
      <c r="HV69" s="675">
        <v>0</v>
      </c>
      <c r="HW69" s="675">
        <v>0</v>
      </c>
      <c r="HX69" s="675">
        <v>53</v>
      </c>
      <c r="HY69" s="675">
        <v>45</v>
      </c>
      <c r="HZ69" s="675">
        <v>97</v>
      </c>
      <c r="IA69" s="675">
        <v>80</v>
      </c>
      <c r="IB69" s="675">
        <v>191</v>
      </c>
      <c r="IC69" s="675">
        <v>466</v>
      </c>
      <c r="ID69" s="675">
        <v>0</v>
      </c>
      <c r="IE69" s="675">
        <v>0</v>
      </c>
      <c r="IF69" s="675">
        <v>0</v>
      </c>
      <c r="IG69" s="675">
        <v>5</v>
      </c>
      <c r="IH69" s="675">
        <v>324.11500000000001</v>
      </c>
      <c r="II69" s="675">
        <v>0</v>
      </c>
      <c r="IJ69" s="675">
        <v>62.17</v>
      </c>
      <c r="IK69" s="675">
        <v>0</v>
      </c>
      <c r="IL69" s="675">
        <v>0</v>
      </c>
      <c r="IM69" s="675">
        <v>0</v>
      </c>
      <c r="IN69" s="675">
        <v>0</v>
      </c>
      <c r="IO69" s="675">
        <v>0</v>
      </c>
      <c r="IP69" s="675">
        <v>0</v>
      </c>
      <c r="IQ69" s="675">
        <v>62.17</v>
      </c>
      <c r="IR69" s="675">
        <v>38297</v>
      </c>
      <c r="IS69" s="675">
        <v>0</v>
      </c>
      <c r="IT69" s="675">
        <v>0</v>
      </c>
      <c r="IU69" s="675">
        <v>0</v>
      </c>
      <c r="IV69" s="675">
        <v>0</v>
      </c>
      <c r="IW69" s="675">
        <v>6160</v>
      </c>
      <c r="IX69" s="675">
        <v>0</v>
      </c>
      <c r="IY69" s="675">
        <v>0</v>
      </c>
      <c r="IZ69" s="675">
        <v>0</v>
      </c>
      <c r="JA69" s="675">
        <v>0</v>
      </c>
      <c r="JB69" s="675">
        <v>0</v>
      </c>
      <c r="JC69" s="675">
        <v>0</v>
      </c>
      <c r="JD69" s="675">
        <v>0</v>
      </c>
      <c r="JE69" s="675">
        <v>0</v>
      </c>
      <c r="JF69" s="675">
        <v>0</v>
      </c>
      <c r="JG69" s="675">
        <v>0</v>
      </c>
      <c r="JH69" s="675">
        <v>0</v>
      </c>
      <c r="JI69" s="675">
        <v>0</v>
      </c>
      <c r="JJ69" s="675">
        <v>0</v>
      </c>
      <c r="JK69" s="675">
        <v>0</v>
      </c>
      <c r="JL69" s="675">
        <v>0</v>
      </c>
      <c r="JM69" s="675">
        <v>0</v>
      </c>
      <c r="JN69" s="675">
        <v>32469</v>
      </c>
      <c r="JO69" s="675">
        <v>0</v>
      </c>
      <c r="JP69" s="675">
        <v>0</v>
      </c>
      <c r="JQ69" s="675">
        <v>0</v>
      </c>
      <c r="JR69" s="675">
        <v>0</v>
      </c>
      <c r="JS69" s="675">
        <v>0</v>
      </c>
      <c r="JT69" s="675">
        <v>0</v>
      </c>
      <c r="JU69" s="675">
        <v>2156</v>
      </c>
      <c r="JV69" s="675">
        <v>0</v>
      </c>
      <c r="JW69" s="675">
        <v>0</v>
      </c>
      <c r="JX69" s="675">
        <v>0</v>
      </c>
      <c r="JY69" s="675">
        <v>0</v>
      </c>
      <c r="JZ69" s="675">
        <v>0</v>
      </c>
      <c r="KA69" s="675">
        <v>0</v>
      </c>
      <c r="KB69" s="675">
        <v>0</v>
      </c>
      <c r="KC69" s="675">
        <v>0</v>
      </c>
      <c r="KD69" s="675">
        <v>2156</v>
      </c>
      <c r="KE69" s="675">
        <v>7263</v>
      </c>
      <c r="KF69" s="675">
        <v>0</v>
      </c>
      <c r="KG69" s="675">
        <v>0</v>
      </c>
      <c r="KH69" s="675">
        <v>0</v>
      </c>
      <c r="KI69" s="675">
        <v>0</v>
      </c>
    </row>
    <row r="70" spans="1:295" ht="12.5" x14ac:dyDescent="0.25">
      <c r="A70" s="675">
        <v>35795</v>
      </c>
      <c r="B70" s="675">
        <v>57805</v>
      </c>
      <c r="C70" s="675">
        <v>7</v>
      </c>
      <c r="D70" s="675">
        <v>2022</v>
      </c>
      <c r="E70" s="675">
        <v>6160</v>
      </c>
      <c r="F70" s="675">
        <v>0</v>
      </c>
      <c r="G70" s="675">
        <v>169.79500000000002</v>
      </c>
      <c r="H70" s="675">
        <v>163.93200000000002</v>
      </c>
      <c r="I70" s="675">
        <v>163.93200000000002</v>
      </c>
      <c r="J70" s="675">
        <v>169.79500000000002</v>
      </c>
      <c r="K70" s="675">
        <v>0</v>
      </c>
      <c r="L70" s="675">
        <v>6160</v>
      </c>
      <c r="M70" s="675">
        <v>0</v>
      </c>
      <c r="N70" s="675">
        <v>0</v>
      </c>
      <c r="O70" s="675">
        <v>0</v>
      </c>
      <c r="P70" s="675">
        <v>174.84700000000001</v>
      </c>
      <c r="Q70" s="675">
        <v>0</v>
      </c>
      <c r="R70" s="675">
        <v>70363</v>
      </c>
      <c r="S70" s="675">
        <v>402.428</v>
      </c>
      <c r="T70" s="675">
        <v>0</v>
      </c>
      <c r="U70" s="675">
        <v>37417</v>
      </c>
      <c r="V70" s="675">
        <v>71.424999999999997</v>
      </c>
      <c r="W70" s="675">
        <v>43998</v>
      </c>
      <c r="X70" s="675">
        <v>43998</v>
      </c>
      <c r="Y70" s="675">
        <v>0</v>
      </c>
      <c r="Z70" s="675">
        <v>0</v>
      </c>
      <c r="AA70" s="675">
        <v>0</v>
      </c>
      <c r="AB70" s="675">
        <v>0</v>
      </c>
      <c r="AC70" s="675">
        <v>0</v>
      </c>
      <c r="AD70" s="675" t="s">
        <v>316</v>
      </c>
      <c r="AE70" s="675">
        <v>0</v>
      </c>
      <c r="AF70" s="675">
        <v>0</v>
      </c>
      <c r="AG70" s="675">
        <v>0</v>
      </c>
      <c r="AH70" s="675">
        <v>0</v>
      </c>
      <c r="AI70" s="675">
        <v>0</v>
      </c>
      <c r="AJ70" s="675">
        <v>6160</v>
      </c>
      <c r="AK70" s="675" t="s">
        <v>671</v>
      </c>
      <c r="AL70" s="675" t="s">
        <v>325</v>
      </c>
      <c r="AM70" s="675">
        <v>0</v>
      </c>
      <c r="AN70" s="675">
        <v>0</v>
      </c>
      <c r="AO70" s="675">
        <v>0</v>
      </c>
      <c r="AP70" s="675">
        <v>0</v>
      </c>
      <c r="AQ70" s="675">
        <v>0</v>
      </c>
      <c r="AR70" s="675">
        <v>0</v>
      </c>
      <c r="AS70" s="675">
        <v>0</v>
      </c>
      <c r="AT70" s="675">
        <v>0</v>
      </c>
      <c r="AU70" s="675">
        <v>0</v>
      </c>
      <c r="AV70" s="675">
        <v>-16673</v>
      </c>
      <c r="AW70" s="675">
        <v>1861024</v>
      </c>
      <c r="AX70" s="675">
        <v>1861461</v>
      </c>
      <c r="AY70" s="675">
        <v>1244293</v>
      </c>
      <c r="AZ70" s="675">
        <v>70363</v>
      </c>
      <c r="BA70" s="675">
        <v>0</v>
      </c>
      <c r="BB70" s="675">
        <v>0</v>
      </c>
      <c r="BC70" s="675">
        <v>0</v>
      </c>
      <c r="BD70" s="675">
        <v>0</v>
      </c>
      <c r="BE70" s="675">
        <v>0</v>
      </c>
      <c r="BF70" s="675">
        <v>1720604</v>
      </c>
      <c r="BG70" s="675">
        <v>0</v>
      </c>
      <c r="BH70" s="675">
        <v>0</v>
      </c>
      <c r="BI70" s="675">
        <v>0</v>
      </c>
      <c r="BJ70" s="675">
        <v>12</v>
      </c>
      <c r="BK70" s="675">
        <v>0</v>
      </c>
      <c r="BL70" s="675">
        <v>0</v>
      </c>
      <c r="BM70" s="675">
        <v>0</v>
      </c>
      <c r="BN70" s="675">
        <v>0</v>
      </c>
      <c r="BO70" s="675">
        <v>0</v>
      </c>
      <c r="BP70" s="675">
        <v>0</v>
      </c>
      <c r="BQ70" s="675">
        <v>745</v>
      </c>
      <c r="BR70" s="675">
        <v>0</v>
      </c>
      <c r="BS70" s="675">
        <v>0</v>
      </c>
      <c r="BT70" s="675">
        <v>0</v>
      </c>
      <c r="BU70" s="675">
        <v>0</v>
      </c>
      <c r="BV70" s="675">
        <v>0</v>
      </c>
      <c r="BW70" s="675">
        <v>0</v>
      </c>
      <c r="BX70" s="675">
        <v>0</v>
      </c>
      <c r="BY70" s="675">
        <v>0</v>
      </c>
      <c r="BZ70" s="675">
        <v>0</v>
      </c>
      <c r="CA70" s="675">
        <v>0</v>
      </c>
      <c r="CB70" s="675">
        <v>0</v>
      </c>
      <c r="CC70" s="675">
        <v>0</v>
      </c>
      <c r="CD70" s="675">
        <v>0</v>
      </c>
      <c r="CE70" s="675">
        <v>0</v>
      </c>
      <c r="CF70" s="675">
        <v>0</v>
      </c>
      <c r="CG70" s="675">
        <v>0</v>
      </c>
      <c r="CH70" s="675">
        <v>0</v>
      </c>
      <c r="CI70" s="675">
        <v>0</v>
      </c>
      <c r="CJ70" s="675">
        <v>4</v>
      </c>
      <c r="CK70" s="675">
        <v>0</v>
      </c>
      <c r="CL70" s="675">
        <v>0</v>
      </c>
      <c r="CM70" s="675">
        <v>0</v>
      </c>
      <c r="CN70" s="675">
        <v>0</v>
      </c>
      <c r="CO70" s="675">
        <v>1</v>
      </c>
      <c r="CP70" s="675">
        <v>0</v>
      </c>
      <c r="CQ70" s="675">
        <v>0</v>
      </c>
      <c r="CR70" s="675">
        <v>179.47</v>
      </c>
      <c r="CS70" s="675">
        <v>0</v>
      </c>
      <c r="CT70" s="675">
        <v>0</v>
      </c>
      <c r="CU70" s="675">
        <v>0</v>
      </c>
      <c r="CV70" s="675">
        <v>0</v>
      </c>
      <c r="CW70" s="675">
        <v>0</v>
      </c>
      <c r="CX70" s="675">
        <v>0</v>
      </c>
      <c r="CY70" s="675">
        <v>0</v>
      </c>
      <c r="CZ70" s="675">
        <v>0</v>
      </c>
      <c r="DA70" s="675">
        <v>0</v>
      </c>
      <c r="DB70" s="675">
        <v>977681</v>
      </c>
      <c r="DC70" s="675">
        <v>0</v>
      </c>
      <c r="DD70" s="675">
        <v>0</v>
      </c>
      <c r="DE70" s="675">
        <v>277122</v>
      </c>
      <c r="DF70" s="675">
        <v>277122</v>
      </c>
      <c r="DG70" s="675">
        <v>44.988</v>
      </c>
      <c r="DH70" s="675">
        <v>0</v>
      </c>
      <c r="DI70" s="675">
        <v>0</v>
      </c>
      <c r="DJ70" s="675">
        <v>0</v>
      </c>
      <c r="DK70" s="675">
        <v>3538</v>
      </c>
      <c r="DL70" s="675">
        <v>0</v>
      </c>
      <c r="DM70" s="675">
        <v>148325</v>
      </c>
      <c r="DN70" s="675">
        <v>437</v>
      </c>
      <c r="DO70" s="675">
        <v>0</v>
      </c>
      <c r="DP70" s="675">
        <v>0</v>
      </c>
      <c r="DQ70" s="675">
        <v>0</v>
      </c>
      <c r="DR70" s="675">
        <v>0</v>
      </c>
      <c r="DS70" s="675">
        <v>0</v>
      </c>
      <c r="DT70" s="675">
        <v>0</v>
      </c>
      <c r="DU70" s="675">
        <v>0</v>
      </c>
      <c r="DV70" s="675">
        <v>0</v>
      </c>
      <c r="DW70" s="675">
        <v>0</v>
      </c>
      <c r="DX70" s="675">
        <v>0</v>
      </c>
      <c r="DY70" s="675">
        <v>0</v>
      </c>
      <c r="DZ70" s="675">
        <v>0</v>
      </c>
      <c r="EA70" s="675">
        <v>0</v>
      </c>
      <c r="EB70" s="675">
        <v>0</v>
      </c>
      <c r="EC70" s="675">
        <v>0</v>
      </c>
      <c r="ED70" s="675">
        <v>0</v>
      </c>
      <c r="EE70" s="675">
        <v>0</v>
      </c>
      <c r="EF70" s="675">
        <v>0</v>
      </c>
      <c r="EG70" s="675">
        <v>0</v>
      </c>
      <c r="EH70" s="675">
        <v>116627</v>
      </c>
      <c r="EI70" s="675">
        <v>0</v>
      </c>
      <c r="EJ70" s="675">
        <v>0</v>
      </c>
      <c r="EK70" s="675">
        <v>5.1909999999999998</v>
      </c>
      <c r="EL70" s="675">
        <v>0</v>
      </c>
      <c r="EM70" s="675">
        <v>0</v>
      </c>
      <c r="EN70" s="675">
        <v>0.67200000000000004</v>
      </c>
      <c r="EO70" s="675">
        <v>0</v>
      </c>
      <c r="EP70" s="675">
        <v>0</v>
      </c>
      <c r="EQ70" s="675">
        <v>5.8630000000000004</v>
      </c>
      <c r="ER70" s="675">
        <v>0</v>
      </c>
      <c r="ES70" s="675">
        <v>18.933</v>
      </c>
      <c r="ET70" s="675">
        <v>0</v>
      </c>
      <c r="EU70" s="675">
        <v>0</v>
      </c>
      <c r="EV70" s="675">
        <v>0</v>
      </c>
      <c r="EW70" s="675">
        <v>0</v>
      </c>
      <c r="EX70" s="675">
        <v>0</v>
      </c>
      <c r="EY70" s="675">
        <v>0</v>
      </c>
      <c r="EZ70" s="675">
        <v>1650241</v>
      </c>
      <c r="FA70" s="675">
        <v>0</v>
      </c>
      <c r="FB70" s="675">
        <v>1720167</v>
      </c>
      <c r="FC70" s="675">
        <v>0</v>
      </c>
      <c r="FD70" s="675">
        <v>0</v>
      </c>
      <c r="FE70" s="675">
        <v>175021</v>
      </c>
      <c r="FF70" s="675">
        <v>36199</v>
      </c>
      <c r="FG70" s="675">
        <v>6.3574999999999993E-2</v>
      </c>
      <c r="FH70" s="675">
        <v>2.6297999999999998E-2</v>
      </c>
      <c r="FI70" s="675">
        <v>0</v>
      </c>
      <c r="FJ70" s="675">
        <v>0</v>
      </c>
      <c r="FK70" s="675">
        <v>279.32</v>
      </c>
      <c r="FL70" s="675">
        <v>1931387</v>
      </c>
      <c r="FM70" s="675">
        <v>0</v>
      </c>
      <c r="FN70" s="675">
        <v>0</v>
      </c>
      <c r="FO70" s="675">
        <v>0</v>
      </c>
      <c r="FP70" s="675">
        <v>0</v>
      </c>
      <c r="FQ70" s="675">
        <v>0</v>
      </c>
      <c r="FR70" s="675">
        <v>0</v>
      </c>
      <c r="FS70" s="675">
        <v>0</v>
      </c>
      <c r="FT70" s="675">
        <v>0</v>
      </c>
      <c r="FU70" s="675">
        <v>0</v>
      </c>
      <c r="FV70" s="675">
        <v>0</v>
      </c>
      <c r="FW70" s="675">
        <v>0</v>
      </c>
      <c r="FX70" s="675">
        <v>0</v>
      </c>
      <c r="FY70" s="675">
        <v>0</v>
      </c>
      <c r="FZ70" s="675">
        <v>0</v>
      </c>
      <c r="GA70" s="675">
        <v>0</v>
      </c>
      <c r="GB70" s="675">
        <v>0</v>
      </c>
      <c r="GC70" s="675">
        <v>0</v>
      </c>
      <c r="GD70" s="675">
        <v>0</v>
      </c>
      <c r="GE70" s="675">
        <v>0</v>
      </c>
      <c r="GF70" s="675">
        <v>0</v>
      </c>
      <c r="GG70" s="675">
        <v>0</v>
      </c>
      <c r="GH70" s="675">
        <v>0</v>
      </c>
      <c r="GI70" s="675">
        <v>0</v>
      </c>
      <c r="GJ70" s="675">
        <v>0</v>
      </c>
      <c r="GK70" s="675">
        <v>0</v>
      </c>
      <c r="GL70" s="675">
        <v>0</v>
      </c>
      <c r="GM70" s="675">
        <v>0</v>
      </c>
      <c r="GN70" s="675">
        <v>0</v>
      </c>
      <c r="GO70" s="675">
        <v>0</v>
      </c>
      <c r="GP70" s="675">
        <v>0</v>
      </c>
      <c r="GQ70" s="675">
        <v>0</v>
      </c>
      <c r="GR70" s="675">
        <v>0</v>
      </c>
      <c r="GS70" s="675">
        <v>0</v>
      </c>
      <c r="GT70" s="675">
        <v>0</v>
      </c>
      <c r="GU70" s="675">
        <v>0</v>
      </c>
      <c r="GV70" s="675">
        <v>0</v>
      </c>
      <c r="GW70" s="675">
        <v>0</v>
      </c>
      <c r="GX70" s="675">
        <v>0</v>
      </c>
      <c r="GY70" s="675">
        <v>0</v>
      </c>
      <c r="GZ70" s="675">
        <v>0</v>
      </c>
      <c r="HA70" s="675">
        <v>0</v>
      </c>
      <c r="HB70" s="675">
        <v>0</v>
      </c>
      <c r="HC70" s="675">
        <v>4.4138999999999998E-2</v>
      </c>
      <c r="HD70" s="675">
        <v>0</v>
      </c>
      <c r="HE70" s="675">
        <v>0</v>
      </c>
      <c r="HF70" s="675">
        <v>180817</v>
      </c>
      <c r="HG70" s="675">
        <v>5133</v>
      </c>
      <c r="HH70" s="675">
        <v>85441</v>
      </c>
      <c r="HI70" s="675">
        <v>0</v>
      </c>
      <c r="HJ70" s="675">
        <v>1650</v>
      </c>
      <c r="HK70" s="675">
        <v>0</v>
      </c>
      <c r="HL70" s="675">
        <v>0</v>
      </c>
      <c r="HM70" s="675">
        <v>0</v>
      </c>
      <c r="HN70" s="675">
        <v>0</v>
      </c>
      <c r="HO70" s="675">
        <v>0</v>
      </c>
      <c r="HP70" s="675">
        <v>0</v>
      </c>
      <c r="HQ70" s="675">
        <v>0</v>
      </c>
      <c r="HR70" s="675">
        <v>0</v>
      </c>
      <c r="HS70" s="675">
        <v>1649804</v>
      </c>
      <c r="HT70" s="675">
        <v>36199</v>
      </c>
      <c r="HU70" s="675">
        <v>0</v>
      </c>
      <c r="HV70" s="675">
        <v>0</v>
      </c>
      <c r="HW70" s="675">
        <v>0</v>
      </c>
      <c r="HX70" s="675">
        <v>16</v>
      </c>
      <c r="HY70" s="675">
        <v>26</v>
      </c>
      <c r="HZ70" s="675">
        <v>24</v>
      </c>
      <c r="IA70" s="675">
        <v>61</v>
      </c>
      <c r="IB70" s="675">
        <v>48</v>
      </c>
      <c r="IC70" s="675">
        <v>175</v>
      </c>
      <c r="ID70" s="675">
        <v>0</v>
      </c>
      <c r="IE70" s="675">
        <v>0</v>
      </c>
      <c r="IF70" s="675">
        <v>0</v>
      </c>
      <c r="IG70" s="675">
        <v>8.3330000000000002</v>
      </c>
      <c r="IH70" s="675">
        <v>138.70400000000001</v>
      </c>
      <c r="II70" s="675">
        <v>0</v>
      </c>
      <c r="IJ70" s="675">
        <v>71.424999999999997</v>
      </c>
      <c r="IK70" s="675">
        <v>0</v>
      </c>
      <c r="IL70" s="675">
        <v>0</v>
      </c>
      <c r="IM70" s="675">
        <v>0</v>
      </c>
      <c r="IN70" s="675">
        <v>0</v>
      </c>
      <c r="IO70" s="675">
        <v>0</v>
      </c>
      <c r="IP70" s="675">
        <v>0</v>
      </c>
      <c r="IQ70" s="675">
        <v>71.424999999999997</v>
      </c>
      <c r="IR70" s="675">
        <v>43998</v>
      </c>
      <c r="IS70" s="675">
        <v>0</v>
      </c>
      <c r="IT70" s="675">
        <v>0</v>
      </c>
      <c r="IU70" s="675">
        <v>0</v>
      </c>
      <c r="IV70" s="675">
        <v>0</v>
      </c>
      <c r="IW70" s="675">
        <v>6160</v>
      </c>
      <c r="IX70" s="675">
        <v>0</v>
      </c>
      <c r="IY70" s="675">
        <v>0</v>
      </c>
      <c r="IZ70" s="675">
        <v>0</v>
      </c>
      <c r="JA70" s="675">
        <v>0</v>
      </c>
      <c r="JB70" s="675">
        <v>0</v>
      </c>
      <c r="JC70" s="675">
        <v>0</v>
      </c>
      <c r="JD70" s="675">
        <v>0</v>
      </c>
      <c r="JE70" s="675">
        <v>0</v>
      </c>
      <c r="JF70" s="675">
        <v>0</v>
      </c>
      <c r="JG70" s="675">
        <v>0</v>
      </c>
      <c r="JH70" s="675">
        <v>0</v>
      </c>
      <c r="JI70" s="675">
        <v>0</v>
      </c>
      <c r="JJ70" s="675">
        <v>0</v>
      </c>
      <c r="JK70" s="675">
        <v>0</v>
      </c>
      <c r="JL70" s="675">
        <v>0</v>
      </c>
      <c r="JM70" s="675">
        <v>0</v>
      </c>
      <c r="JN70" s="675">
        <v>32469</v>
      </c>
      <c r="JO70" s="675">
        <v>0</v>
      </c>
      <c r="JP70" s="675">
        <v>0</v>
      </c>
      <c r="JQ70" s="675">
        <v>0</v>
      </c>
      <c r="JR70" s="675">
        <v>0</v>
      </c>
      <c r="JS70" s="675">
        <v>0</v>
      </c>
      <c r="JT70" s="675">
        <v>0</v>
      </c>
      <c r="JU70" s="675">
        <v>0</v>
      </c>
      <c r="JV70" s="675">
        <v>0</v>
      </c>
      <c r="JW70" s="675">
        <v>0</v>
      </c>
      <c r="JX70" s="675">
        <v>0</v>
      </c>
      <c r="JY70" s="675">
        <v>0</v>
      </c>
      <c r="JZ70" s="675">
        <v>0</v>
      </c>
      <c r="KA70" s="675">
        <v>0</v>
      </c>
      <c r="KB70" s="675">
        <v>0</v>
      </c>
      <c r="KC70" s="675">
        <v>0</v>
      </c>
      <c r="KD70" s="675">
        <v>0</v>
      </c>
      <c r="KE70" s="675">
        <v>7263</v>
      </c>
      <c r="KF70" s="675">
        <v>0</v>
      </c>
      <c r="KG70" s="675">
        <v>0</v>
      </c>
      <c r="KH70" s="675">
        <v>0</v>
      </c>
      <c r="KI70" s="675">
        <v>0</v>
      </c>
    </row>
    <row r="71" spans="1:295" ht="12.5" x14ac:dyDescent="0.25">
      <c r="A71" s="675">
        <v>35795</v>
      </c>
      <c r="B71" s="675">
        <v>61805</v>
      </c>
      <c r="C71" s="675">
        <v>7</v>
      </c>
      <c r="D71" s="675">
        <v>2022</v>
      </c>
      <c r="E71" s="675">
        <v>6160</v>
      </c>
      <c r="F71" s="675">
        <v>0</v>
      </c>
      <c r="G71" s="675">
        <v>531.149</v>
      </c>
      <c r="H71" s="675">
        <v>508.56400000000002</v>
      </c>
      <c r="I71" s="675">
        <v>508.56400000000002</v>
      </c>
      <c r="J71" s="675">
        <v>531.149</v>
      </c>
      <c r="K71" s="675">
        <v>0</v>
      </c>
      <c r="L71" s="675">
        <v>6160</v>
      </c>
      <c r="M71" s="675">
        <v>0</v>
      </c>
      <c r="N71" s="675">
        <v>0</v>
      </c>
      <c r="O71" s="675">
        <v>0</v>
      </c>
      <c r="P71" s="675">
        <v>577.85900000000004</v>
      </c>
      <c r="Q71" s="675">
        <v>0</v>
      </c>
      <c r="R71" s="675">
        <v>232547</v>
      </c>
      <c r="S71" s="675">
        <v>402.428</v>
      </c>
      <c r="T71" s="675">
        <v>0</v>
      </c>
      <c r="U71" s="675">
        <v>123662</v>
      </c>
      <c r="V71" s="675">
        <v>50.572000000000003</v>
      </c>
      <c r="W71" s="675">
        <v>31152</v>
      </c>
      <c r="X71" s="675">
        <v>31152</v>
      </c>
      <c r="Y71" s="675">
        <v>0</v>
      </c>
      <c r="Z71" s="675">
        <v>0</v>
      </c>
      <c r="AA71" s="675">
        <v>0</v>
      </c>
      <c r="AB71" s="675">
        <v>0</v>
      </c>
      <c r="AC71" s="675">
        <v>0</v>
      </c>
      <c r="AD71" s="675" t="s">
        <v>316</v>
      </c>
      <c r="AE71" s="675">
        <v>0</v>
      </c>
      <c r="AF71" s="675">
        <v>0</v>
      </c>
      <c r="AG71" s="675">
        <v>0</v>
      </c>
      <c r="AH71" s="675">
        <v>0</v>
      </c>
      <c r="AI71" s="675">
        <v>0</v>
      </c>
      <c r="AJ71" s="675">
        <v>6160</v>
      </c>
      <c r="AK71" s="675" t="s">
        <v>671</v>
      </c>
      <c r="AL71" s="675" t="s">
        <v>389</v>
      </c>
      <c r="AM71" s="675">
        <v>0</v>
      </c>
      <c r="AN71" s="675">
        <v>0</v>
      </c>
      <c r="AO71" s="675">
        <v>0</v>
      </c>
      <c r="AP71" s="675">
        <v>0</v>
      </c>
      <c r="AQ71" s="675">
        <v>0</v>
      </c>
      <c r="AR71" s="675">
        <v>0</v>
      </c>
      <c r="AS71" s="675">
        <v>0</v>
      </c>
      <c r="AT71" s="675">
        <v>0</v>
      </c>
      <c r="AU71" s="675">
        <v>0</v>
      </c>
      <c r="AV71" s="675">
        <v>0</v>
      </c>
      <c r="AW71" s="675">
        <v>4682559</v>
      </c>
      <c r="AX71" s="675">
        <v>4590613</v>
      </c>
      <c r="AY71" s="675">
        <v>3197473</v>
      </c>
      <c r="AZ71" s="675">
        <v>232547</v>
      </c>
      <c r="BA71" s="675">
        <v>0</v>
      </c>
      <c r="BB71" s="675">
        <v>11452</v>
      </c>
      <c r="BC71" s="675">
        <v>11378</v>
      </c>
      <c r="BD71" s="675">
        <v>26.557000000000002</v>
      </c>
      <c r="BE71" s="675">
        <v>74</v>
      </c>
      <c r="BF71" s="675">
        <v>4295811</v>
      </c>
      <c r="BG71" s="675">
        <v>0</v>
      </c>
      <c r="BH71" s="675">
        <v>0</v>
      </c>
      <c r="BI71" s="675">
        <v>0</v>
      </c>
      <c r="BJ71" s="675">
        <v>12</v>
      </c>
      <c r="BK71" s="675">
        <v>0</v>
      </c>
      <c r="BL71" s="675">
        <v>0</v>
      </c>
      <c r="BM71" s="675">
        <v>0</v>
      </c>
      <c r="BN71" s="675">
        <v>0</v>
      </c>
      <c r="BO71" s="675">
        <v>0</v>
      </c>
      <c r="BP71" s="675">
        <v>0</v>
      </c>
      <c r="BQ71" s="675">
        <v>692</v>
      </c>
      <c r="BR71" s="675">
        <v>0</v>
      </c>
      <c r="BS71" s="675">
        <v>0</v>
      </c>
      <c r="BT71" s="675">
        <v>0</v>
      </c>
      <c r="BU71" s="675">
        <v>0</v>
      </c>
      <c r="BV71" s="675">
        <v>0</v>
      </c>
      <c r="BW71" s="675">
        <v>0</v>
      </c>
      <c r="BX71" s="675">
        <v>0</v>
      </c>
      <c r="BY71" s="675">
        <v>0</v>
      </c>
      <c r="BZ71" s="675">
        <v>0</v>
      </c>
      <c r="CA71" s="675">
        <v>0</v>
      </c>
      <c r="CB71" s="675">
        <v>0</v>
      </c>
      <c r="CC71" s="675">
        <v>0</v>
      </c>
      <c r="CD71" s="675">
        <v>0</v>
      </c>
      <c r="CE71" s="675">
        <v>0</v>
      </c>
      <c r="CF71" s="675">
        <v>0</v>
      </c>
      <c r="CG71" s="675">
        <v>0</v>
      </c>
      <c r="CH71" s="675">
        <v>93777</v>
      </c>
      <c r="CI71" s="675">
        <v>0</v>
      </c>
      <c r="CJ71" s="675">
        <v>4</v>
      </c>
      <c r="CK71" s="675">
        <v>0</v>
      </c>
      <c r="CL71" s="675">
        <v>0</v>
      </c>
      <c r="CM71" s="675">
        <v>0</v>
      </c>
      <c r="CN71" s="675">
        <v>0</v>
      </c>
      <c r="CO71" s="675">
        <v>1</v>
      </c>
      <c r="CP71" s="675">
        <v>0</v>
      </c>
      <c r="CQ71" s="675">
        <v>0</v>
      </c>
      <c r="CR71" s="675">
        <v>596.952</v>
      </c>
      <c r="CS71" s="675">
        <v>0</v>
      </c>
      <c r="CT71" s="675">
        <v>0</v>
      </c>
      <c r="CU71" s="675">
        <v>0</v>
      </c>
      <c r="CV71" s="675">
        <v>0</v>
      </c>
      <c r="CW71" s="675">
        <v>0</v>
      </c>
      <c r="CX71" s="675">
        <v>0</v>
      </c>
      <c r="CY71" s="675">
        <v>0</v>
      </c>
      <c r="CZ71" s="675">
        <v>0</v>
      </c>
      <c r="DA71" s="675">
        <v>0</v>
      </c>
      <c r="DB71" s="675">
        <v>3132740</v>
      </c>
      <c r="DC71" s="675">
        <v>0</v>
      </c>
      <c r="DD71" s="675">
        <v>0</v>
      </c>
      <c r="DE71" s="675">
        <v>30646</v>
      </c>
      <c r="DF71" s="675">
        <v>30646</v>
      </c>
      <c r="DG71" s="675">
        <v>4.9750000000000005</v>
      </c>
      <c r="DH71" s="675">
        <v>0</v>
      </c>
      <c r="DI71" s="675">
        <v>0</v>
      </c>
      <c r="DJ71" s="675">
        <v>0</v>
      </c>
      <c r="DK71" s="675">
        <v>2689</v>
      </c>
      <c r="DL71" s="675">
        <v>0</v>
      </c>
      <c r="DM71" s="675">
        <v>467146</v>
      </c>
      <c r="DN71" s="675">
        <v>1757</v>
      </c>
      <c r="DO71" s="675">
        <v>0</v>
      </c>
      <c r="DP71" s="675">
        <v>0</v>
      </c>
      <c r="DQ71" s="675">
        <v>0</v>
      </c>
      <c r="DR71" s="675">
        <v>0</v>
      </c>
      <c r="DS71" s="675">
        <v>0</v>
      </c>
      <c r="DT71" s="675">
        <v>0</v>
      </c>
      <c r="DU71" s="675">
        <v>0</v>
      </c>
      <c r="DV71" s="675">
        <v>0</v>
      </c>
      <c r="DW71" s="675">
        <v>0</v>
      </c>
      <c r="DX71" s="675">
        <v>0</v>
      </c>
      <c r="DY71" s="675">
        <v>0</v>
      </c>
      <c r="DZ71" s="675">
        <v>0</v>
      </c>
      <c r="EA71" s="675">
        <v>0</v>
      </c>
      <c r="EB71" s="675">
        <v>0</v>
      </c>
      <c r="EC71" s="675">
        <v>10.973000000000001</v>
      </c>
      <c r="ED71" s="675">
        <v>77732</v>
      </c>
      <c r="EE71" s="675">
        <v>0</v>
      </c>
      <c r="EF71" s="675">
        <v>0</v>
      </c>
      <c r="EG71" s="675">
        <v>0</v>
      </c>
      <c r="EH71" s="675">
        <v>391171</v>
      </c>
      <c r="EI71" s="675">
        <v>0</v>
      </c>
      <c r="EJ71" s="675">
        <v>0</v>
      </c>
      <c r="EK71" s="675">
        <v>19.709</v>
      </c>
      <c r="EL71" s="675">
        <v>0</v>
      </c>
      <c r="EM71" s="675">
        <v>0</v>
      </c>
      <c r="EN71" s="675">
        <v>0.875</v>
      </c>
      <c r="EO71" s="675">
        <v>0</v>
      </c>
      <c r="EP71" s="675">
        <v>0</v>
      </c>
      <c r="EQ71" s="675">
        <v>20.584</v>
      </c>
      <c r="ER71" s="675">
        <v>0</v>
      </c>
      <c r="ES71" s="675">
        <v>63.502000000000002</v>
      </c>
      <c r="ET71" s="675">
        <v>0</v>
      </c>
      <c r="EU71" s="675">
        <v>0</v>
      </c>
      <c r="EV71" s="675">
        <v>0</v>
      </c>
      <c r="EW71" s="675">
        <v>0</v>
      </c>
      <c r="EX71" s="675">
        <v>0</v>
      </c>
      <c r="EY71" s="675">
        <v>0</v>
      </c>
      <c r="EZ71" s="675">
        <v>4063264</v>
      </c>
      <c r="FA71" s="675">
        <v>0</v>
      </c>
      <c r="FB71" s="675">
        <v>4293980</v>
      </c>
      <c r="FC71" s="675">
        <v>0</v>
      </c>
      <c r="FD71" s="675">
        <v>0</v>
      </c>
      <c r="FE71" s="675">
        <v>436972</v>
      </c>
      <c r="FF71" s="675">
        <v>90377</v>
      </c>
      <c r="FG71" s="675">
        <v>6.3574999999999993E-2</v>
      </c>
      <c r="FH71" s="675">
        <v>2.6297999999999998E-2</v>
      </c>
      <c r="FI71" s="675">
        <v>0</v>
      </c>
      <c r="FJ71" s="675">
        <v>0</v>
      </c>
      <c r="FK71" s="675">
        <v>697.375</v>
      </c>
      <c r="FL71" s="675">
        <v>4915106</v>
      </c>
      <c r="FM71" s="675">
        <v>0</v>
      </c>
      <c r="FN71" s="675">
        <v>0</v>
      </c>
      <c r="FO71" s="675">
        <v>0</v>
      </c>
      <c r="FP71" s="675">
        <v>0</v>
      </c>
      <c r="FQ71" s="675">
        <v>0</v>
      </c>
      <c r="FR71" s="675">
        <v>0</v>
      </c>
      <c r="FS71" s="675">
        <v>0</v>
      </c>
      <c r="FT71" s="675">
        <v>0</v>
      </c>
      <c r="FU71" s="675">
        <v>0</v>
      </c>
      <c r="FV71" s="675">
        <v>0</v>
      </c>
      <c r="FW71" s="675">
        <v>0</v>
      </c>
      <c r="FX71" s="675">
        <v>0</v>
      </c>
      <c r="FY71" s="675">
        <v>0</v>
      </c>
      <c r="FZ71" s="675">
        <v>0</v>
      </c>
      <c r="GA71" s="675">
        <v>0</v>
      </c>
      <c r="GB71" s="675">
        <v>18283</v>
      </c>
      <c r="GC71" s="675">
        <v>18283</v>
      </c>
      <c r="GD71" s="675">
        <v>2.0009999999999999</v>
      </c>
      <c r="GE71" s="675">
        <v>0</v>
      </c>
      <c r="GF71" s="675">
        <v>0</v>
      </c>
      <c r="GG71" s="675">
        <v>0</v>
      </c>
      <c r="GH71" s="675">
        <v>0</v>
      </c>
      <c r="GI71" s="675">
        <v>0</v>
      </c>
      <c r="GJ71" s="675">
        <v>0</v>
      </c>
      <c r="GK71" s="675">
        <v>0</v>
      </c>
      <c r="GL71" s="675">
        <v>0</v>
      </c>
      <c r="GM71" s="675">
        <v>0</v>
      </c>
      <c r="GN71" s="675">
        <v>0</v>
      </c>
      <c r="GO71" s="675">
        <v>0</v>
      </c>
      <c r="GP71" s="675">
        <v>0</v>
      </c>
      <c r="GQ71" s="675">
        <v>0</v>
      </c>
      <c r="GR71" s="675">
        <v>0</v>
      </c>
      <c r="GS71" s="675">
        <v>0</v>
      </c>
      <c r="GT71" s="675">
        <v>0</v>
      </c>
      <c r="GU71" s="675">
        <v>0</v>
      </c>
      <c r="GV71" s="675">
        <v>0</v>
      </c>
      <c r="GW71" s="675">
        <v>0</v>
      </c>
      <c r="GX71" s="675">
        <v>0</v>
      </c>
      <c r="GY71" s="675">
        <v>0</v>
      </c>
      <c r="GZ71" s="675">
        <v>0</v>
      </c>
      <c r="HA71" s="675">
        <v>0</v>
      </c>
      <c r="HB71" s="675">
        <v>308877260</v>
      </c>
      <c r="HC71" s="675">
        <v>4.4138999999999998E-2</v>
      </c>
      <c r="HD71" s="675">
        <v>93777</v>
      </c>
      <c r="HE71" s="675">
        <v>0</v>
      </c>
      <c r="HF71" s="675">
        <v>560946</v>
      </c>
      <c r="HG71" s="675">
        <v>24024</v>
      </c>
      <c r="HH71" s="675">
        <v>12502</v>
      </c>
      <c r="HI71" s="675">
        <v>0</v>
      </c>
      <c r="HJ71" s="675">
        <v>5163</v>
      </c>
      <c r="HK71" s="675">
        <v>0</v>
      </c>
      <c r="HL71" s="675">
        <v>0</v>
      </c>
      <c r="HM71" s="675">
        <v>0</v>
      </c>
      <c r="HN71" s="675">
        <v>0</v>
      </c>
      <c r="HO71" s="675">
        <v>0</v>
      </c>
      <c r="HP71" s="675">
        <v>0</v>
      </c>
      <c r="HQ71" s="675">
        <v>0</v>
      </c>
      <c r="HR71" s="675">
        <v>0</v>
      </c>
      <c r="HS71" s="675">
        <v>4061433</v>
      </c>
      <c r="HT71" s="675">
        <v>90377</v>
      </c>
      <c r="HU71" s="675">
        <v>0</v>
      </c>
      <c r="HV71" s="675">
        <v>0</v>
      </c>
      <c r="HW71" s="675">
        <v>0</v>
      </c>
      <c r="HX71" s="675">
        <v>10</v>
      </c>
      <c r="HY71" s="675">
        <v>5</v>
      </c>
      <c r="HZ71" s="675">
        <v>3</v>
      </c>
      <c r="IA71" s="675">
        <v>3</v>
      </c>
      <c r="IB71" s="675">
        <v>0</v>
      </c>
      <c r="IC71" s="675">
        <v>21</v>
      </c>
      <c r="ID71" s="675">
        <v>0</v>
      </c>
      <c r="IE71" s="675">
        <v>0</v>
      </c>
      <c r="IF71" s="675">
        <v>0</v>
      </c>
      <c r="IG71" s="675">
        <v>39</v>
      </c>
      <c r="IH71" s="675">
        <v>20.295000000000002</v>
      </c>
      <c r="II71" s="675">
        <v>0</v>
      </c>
      <c r="IJ71" s="675">
        <v>50.572000000000003</v>
      </c>
      <c r="IK71" s="675">
        <v>0</v>
      </c>
      <c r="IL71" s="675">
        <v>0</v>
      </c>
      <c r="IM71" s="675">
        <v>0</v>
      </c>
      <c r="IN71" s="675">
        <v>0</v>
      </c>
      <c r="IO71" s="675">
        <v>0</v>
      </c>
      <c r="IP71" s="675">
        <v>0</v>
      </c>
      <c r="IQ71" s="675">
        <v>50.572000000000003</v>
      </c>
      <c r="IR71" s="675">
        <v>31152</v>
      </c>
      <c r="IS71" s="675">
        <v>0</v>
      </c>
      <c r="IT71" s="675">
        <v>0</v>
      </c>
      <c r="IU71" s="675">
        <v>0</v>
      </c>
      <c r="IV71" s="675">
        <v>0</v>
      </c>
      <c r="IW71" s="675">
        <v>6160</v>
      </c>
      <c r="IX71" s="675">
        <v>0</v>
      </c>
      <c r="IY71" s="675">
        <v>0</v>
      </c>
      <c r="IZ71" s="675">
        <v>0</v>
      </c>
      <c r="JA71" s="675">
        <v>0</v>
      </c>
      <c r="JB71" s="675">
        <v>0</v>
      </c>
      <c r="JC71" s="675">
        <v>0</v>
      </c>
      <c r="JD71" s="675">
        <v>0</v>
      </c>
      <c r="JE71" s="675">
        <v>0</v>
      </c>
      <c r="JF71" s="675">
        <v>0</v>
      </c>
      <c r="JG71" s="675">
        <v>0</v>
      </c>
      <c r="JH71" s="675">
        <v>0</v>
      </c>
      <c r="JI71" s="675">
        <v>0</v>
      </c>
      <c r="JJ71" s="675">
        <v>0</v>
      </c>
      <c r="JK71" s="675">
        <v>0</v>
      </c>
      <c r="JL71" s="675">
        <v>0</v>
      </c>
      <c r="JM71" s="675">
        <v>0</v>
      </c>
      <c r="JN71" s="675">
        <v>32469</v>
      </c>
      <c r="JO71" s="675">
        <v>0.24400000000000002</v>
      </c>
      <c r="JP71" s="675">
        <v>1.7570000000000001</v>
      </c>
      <c r="JQ71" s="675">
        <v>0</v>
      </c>
      <c r="JR71" s="675">
        <v>1949</v>
      </c>
      <c r="JS71" s="675">
        <v>16334</v>
      </c>
      <c r="JT71" s="675">
        <v>0</v>
      </c>
      <c r="JU71" s="675">
        <v>11452</v>
      </c>
      <c r="JV71" s="675">
        <v>0</v>
      </c>
      <c r="JW71" s="675">
        <v>0</v>
      </c>
      <c r="JX71" s="675">
        <v>0</v>
      </c>
      <c r="JY71" s="675">
        <v>0</v>
      </c>
      <c r="JZ71" s="675">
        <v>0</v>
      </c>
      <c r="KA71" s="675">
        <v>0</v>
      </c>
      <c r="KB71" s="675">
        <v>0</v>
      </c>
      <c r="KC71" s="675">
        <v>0</v>
      </c>
      <c r="KD71" s="675">
        <v>11642</v>
      </c>
      <c r="KE71" s="675">
        <v>7263</v>
      </c>
      <c r="KF71" s="675">
        <v>0</v>
      </c>
      <c r="KG71" s="675">
        <v>0</v>
      </c>
      <c r="KH71" s="675">
        <v>0</v>
      </c>
      <c r="KI71" s="675">
        <v>0</v>
      </c>
    </row>
    <row r="72" spans="1:295" ht="12.5" x14ac:dyDescent="0.25">
      <c r="A72" s="675">
        <v>35795</v>
      </c>
      <c r="B72" s="675">
        <v>123805</v>
      </c>
      <c r="C72" s="675">
        <v>7</v>
      </c>
      <c r="D72" s="675">
        <v>2022</v>
      </c>
      <c r="E72" s="675">
        <v>6160</v>
      </c>
      <c r="F72" s="675">
        <v>0</v>
      </c>
      <c r="G72" s="675">
        <v>470.32</v>
      </c>
      <c r="H72" s="675">
        <v>464.25300000000004</v>
      </c>
      <c r="I72" s="675">
        <v>464.25300000000004</v>
      </c>
      <c r="J72" s="675">
        <v>470.32</v>
      </c>
      <c r="K72" s="675">
        <v>0</v>
      </c>
      <c r="L72" s="675">
        <v>6160</v>
      </c>
      <c r="M72" s="675">
        <v>0</v>
      </c>
      <c r="N72" s="675">
        <v>0</v>
      </c>
      <c r="O72" s="675">
        <v>0</v>
      </c>
      <c r="P72" s="675">
        <v>453.58500000000004</v>
      </c>
      <c r="Q72" s="675">
        <v>0</v>
      </c>
      <c r="R72" s="675">
        <v>182535</v>
      </c>
      <c r="S72" s="675">
        <v>402.428</v>
      </c>
      <c r="T72" s="675">
        <v>0</v>
      </c>
      <c r="U72" s="675">
        <v>97069</v>
      </c>
      <c r="V72" s="675">
        <v>268.07</v>
      </c>
      <c r="W72" s="675">
        <v>165130</v>
      </c>
      <c r="X72" s="675">
        <v>165130</v>
      </c>
      <c r="Y72" s="675">
        <v>0</v>
      </c>
      <c r="Z72" s="675">
        <v>0</v>
      </c>
      <c r="AA72" s="675">
        <v>0</v>
      </c>
      <c r="AB72" s="675">
        <v>0</v>
      </c>
      <c r="AC72" s="675">
        <v>0</v>
      </c>
      <c r="AD72" s="675" t="s">
        <v>316</v>
      </c>
      <c r="AE72" s="675">
        <v>0</v>
      </c>
      <c r="AF72" s="675">
        <v>0</v>
      </c>
      <c r="AG72" s="675">
        <v>0</v>
      </c>
      <c r="AH72" s="675">
        <v>0</v>
      </c>
      <c r="AI72" s="675">
        <v>0</v>
      </c>
      <c r="AJ72" s="675">
        <v>6160</v>
      </c>
      <c r="AK72" s="675" t="s">
        <v>671</v>
      </c>
      <c r="AL72" s="675" t="s">
        <v>4</v>
      </c>
      <c r="AM72" s="675">
        <v>0</v>
      </c>
      <c r="AN72" s="675">
        <v>0</v>
      </c>
      <c r="AO72" s="675">
        <v>0</v>
      </c>
      <c r="AP72" s="675">
        <v>0</v>
      </c>
      <c r="AQ72" s="675">
        <v>0</v>
      </c>
      <c r="AR72" s="675">
        <v>0</v>
      </c>
      <c r="AS72" s="675">
        <v>0</v>
      </c>
      <c r="AT72" s="675">
        <v>0</v>
      </c>
      <c r="AU72" s="675">
        <v>0</v>
      </c>
      <c r="AV72" s="675">
        <v>0</v>
      </c>
      <c r="AW72" s="675">
        <v>5208513</v>
      </c>
      <c r="AX72" s="675">
        <v>5126765</v>
      </c>
      <c r="AY72" s="675">
        <v>3407119</v>
      </c>
      <c r="AZ72" s="675">
        <v>182535</v>
      </c>
      <c r="BA72" s="675">
        <v>0</v>
      </c>
      <c r="BB72" s="675">
        <v>9055</v>
      </c>
      <c r="BC72" s="675">
        <v>8996</v>
      </c>
      <c r="BD72" s="675">
        <v>21</v>
      </c>
      <c r="BE72" s="675">
        <v>59</v>
      </c>
      <c r="BF72" s="675">
        <v>4728765</v>
      </c>
      <c r="BG72" s="675">
        <v>0</v>
      </c>
      <c r="BH72" s="675">
        <v>0</v>
      </c>
      <c r="BI72" s="675">
        <v>0</v>
      </c>
      <c r="BJ72" s="675">
        <v>12</v>
      </c>
      <c r="BK72" s="675">
        <v>0</v>
      </c>
      <c r="BL72" s="675">
        <v>0</v>
      </c>
      <c r="BM72" s="675">
        <v>0</v>
      </c>
      <c r="BN72" s="675">
        <v>0</v>
      </c>
      <c r="BO72" s="675">
        <v>0</v>
      </c>
      <c r="BP72" s="675">
        <v>0</v>
      </c>
      <c r="BQ72" s="675">
        <v>699</v>
      </c>
      <c r="BR72" s="675">
        <v>0</v>
      </c>
      <c r="BS72" s="675">
        <v>0</v>
      </c>
      <c r="BT72" s="675">
        <v>0</v>
      </c>
      <c r="BU72" s="675">
        <v>0</v>
      </c>
      <c r="BV72" s="675">
        <v>0</v>
      </c>
      <c r="BW72" s="675">
        <v>0</v>
      </c>
      <c r="BX72" s="675">
        <v>0</v>
      </c>
      <c r="BY72" s="675">
        <v>0</v>
      </c>
      <c r="BZ72" s="675">
        <v>0</v>
      </c>
      <c r="CA72" s="675">
        <v>0</v>
      </c>
      <c r="CB72" s="675">
        <v>0</v>
      </c>
      <c r="CC72" s="675">
        <v>0</v>
      </c>
      <c r="CD72" s="675">
        <v>0</v>
      </c>
      <c r="CE72" s="675">
        <v>0</v>
      </c>
      <c r="CF72" s="675">
        <v>0</v>
      </c>
      <c r="CG72" s="675">
        <v>0</v>
      </c>
      <c r="CH72" s="675">
        <v>83038</v>
      </c>
      <c r="CI72" s="675">
        <v>0</v>
      </c>
      <c r="CJ72" s="675">
        <v>4</v>
      </c>
      <c r="CK72" s="675">
        <v>0</v>
      </c>
      <c r="CL72" s="675">
        <v>0</v>
      </c>
      <c r="CM72" s="675">
        <v>0</v>
      </c>
      <c r="CN72" s="675">
        <v>0</v>
      </c>
      <c r="CO72" s="675">
        <v>1</v>
      </c>
      <c r="CP72" s="675">
        <v>0</v>
      </c>
      <c r="CQ72" s="675">
        <v>0</v>
      </c>
      <c r="CR72" s="675">
        <v>453.053</v>
      </c>
      <c r="CS72" s="675">
        <v>0</v>
      </c>
      <c r="CT72" s="675">
        <v>0</v>
      </c>
      <c r="CU72" s="675">
        <v>0</v>
      </c>
      <c r="CV72" s="675">
        <v>0</v>
      </c>
      <c r="CW72" s="675">
        <v>0</v>
      </c>
      <c r="CX72" s="675">
        <v>0</v>
      </c>
      <c r="CY72" s="675">
        <v>0</v>
      </c>
      <c r="CZ72" s="675">
        <v>0</v>
      </c>
      <c r="DA72" s="675">
        <v>0</v>
      </c>
      <c r="DB72" s="675">
        <v>2859785</v>
      </c>
      <c r="DC72" s="675">
        <v>0</v>
      </c>
      <c r="DD72" s="675">
        <v>0</v>
      </c>
      <c r="DE72" s="675">
        <v>702622</v>
      </c>
      <c r="DF72" s="675">
        <v>702622</v>
      </c>
      <c r="DG72" s="675">
        <v>114.063</v>
      </c>
      <c r="DH72" s="675">
        <v>0</v>
      </c>
      <c r="DI72" s="675">
        <v>0</v>
      </c>
      <c r="DJ72" s="675">
        <v>0</v>
      </c>
      <c r="DK72" s="675">
        <v>2798</v>
      </c>
      <c r="DL72" s="675">
        <v>0</v>
      </c>
      <c r="DM72" s="675">
        <v>327307</v>
      </c>
      <c r="DN72" s="675">
        <v>1231</v>
      </c>
      <c r="DO72" s="675">
        <v>0</v>
      </c>
      <c r="DP72" s="675">
        <v>0</v>
      </c>
      <c r="DQ72" s="675">
        <v>0</v>
      </c>
      <c r="DR72" s="675">
        <v>0</v>
      </c>
      <c r="DS72" s="675">
        <v>0</v>
      </c>
      <c r="DT72" s="675">
        <v>0</v>
      </c>
      <c r="DU72" s="675">
        <v>0</v>
      </c>
      <c r="DV72" s="675">
        <v>0</v>
      </c>
      <c r="DW72" s="675">
        <v>0</v>
      </c>
      <c r="DX72" s="675">
        <v>0</v>
      </c>
      <c r="DY72" s="675">
        <v>0</v>
      </c>
      <c r="DZ72" s="675">
        <v>0</v>
      </c>
      <c r="EA72" s="675">
        <v>0</v>
      </c>
      <c r="EB72" s="675">
        <v>0</v>
      </c>
      <c r="EC72" s="675">
        <v>28.596</v>
      </c>
      <c r="ED72" s="675">
        <v>202573</v>
      </c>
      <c r="EE72" s="675">
        <v>0</v>
      </c>
      <c r="EF72" s="675">
        <v>0</v>
      </c>
      <c r="EG72" s="675">
        <v>0</v>
      </c>
      <c r="EH72" s="675">
        <v>107387</v>
      </c>
      <c r="EI72" s="675">
        <v>18578</v>
      </c>
      <c r="EJ72" s="675">
        <v>0.754</v>
      </c>
      <c r="EK72" s="675">
        <v>4.5659999999999998</v>
      </c>
      <c r="EL72" s="675">
        <v>0</v>
      </c>
      <c r="EM72" s="675">
        <v>0</v>
      </c>
      <c r="EN72" s="675">
        <v>0.747</v>
      </c>
      <c r="EO72" s="675">
        <v>0</v>
      </c>
      <c r="EP72" s="675">
        <v>0</v>
      </c>
      <c r="EQ72" s="675">
        <v>6.0670000000000002</v>
      </c>
      <c r="ER72" s="675">
        <v>0</v>
      </c>
      <c r="ES72" s="675">
        <v>17.433</v>
      </c>
      <c r="ET72" s="675">
        <v>0</v>
      </c>
      <c r="EU72" s="675">
        <v>0</v>
      </c>
      <c r="EV72" s="675">
        <v>0</v>
      </c>
      <c r="EW72" s="675">
        <v>0</v>
      </c>
      <c r="EX72" s="675">
        <v>0</v>
      </c>
      <c r="EY72" s="675">
        <v>0</v>
      </c>
      <c r="EZ72" s="675">
        <v>4546267</v>
      </c>
      <c r="FA72" s="675">
        <v>0</v>
      </c>
      <c r="FB72" s="675">
        <v>4727512</v>
      </c>
      <c r="FC72" s="675">
        <v>0</v>
      </c>
      <c r="FD72" s="675">
        <v>0</v>
      </c>
      <c r="FE72" s="675">
        <v>481012</v>
      </c>
      <c r="FF72" s="675">
        <v>99486</v>
      </c>
      <c r="FG72" s="675">
        <v>6.3574999999999993E-2</v>
      </c>
      <c r="FH72" s="675">
        <v>2.6297999999999998E-2</v>
      </c>
      <c r="FI72" s="675">
        <v>0</v>
      </c>
      <c r="FJ72" s="675">
        <v>0</v>
      </c>
      <c r="FK72" s="675">
        <v>767.66</v>
      </c>
      <c r="FL72" s="675">
        <v>5391048</v>
      </c>
      <c r="FM72" s="675">
        <v>0</v>
      </c>
      <c r="FN72" s="675">
        <v>0</v>
      </c>
      <c r="FO72" s="675">
        <v>0</v>
      </c>
      <c r="FP72" s="675">
        <v>0</v>
      </c>
      <c r="FQ72" s="675">
        <v>0</v>
      </c>
      <c r="FR72" s="675">
        <v>0</v>
      </c>
      <c r="FS72" s="675">
        <v>0</v>
      </c>
      <c r="FT72" s="675">
        <v>0</v>
      </c>
      <c r="FU72" s="675">
        <v>0</v>
      </c>
      <c r="FV72" s="675">
        <v>0</v>
      </c>
      <c r="FW72" s="675">
        <v>0</v>
      </c>
      <c r="FX72" s="675">
        <v>0</v>
      </c>
      <c r="FY72" s="675">
        <v>0</v>
      </c>
      <c r="FZ72" s="675">
        <v>0</v>
      </c>
      <c r="GA72" s="675">
        <v>0</v>
      </c>
      <c r="GB72" s="675">
        <v>0</v>
      </c>
      <c r="GC72" s="675">
        <v>0</v>
      </c>
      <c r="GD72" s="675">
        <v>0</v>
      </c>
      <c r="GE72" s="675">
        <v>0</v>
      </c>
      <c r="GF72" s="675">
        <v>0</v>
      </c>
      <c r="GG72" s="675">
        <v>0</v>
      </c>
      <c r="GH72" s="675">
        <v>0</v>
      </c>
      <c r="GI72" s="675">
        <v>0</v>
      </c>
      <c r="GJ72" s="675">
        <v>0</v>
      </c>
      <c r="GK72" s="675">
        <v>0</v>
      </c>
      <c r="GL72" s="675">
        <v>0</v>
      </c>
      <c r="GM72" s="675">
        <v>0</v>
      </c>
      <c r="GN72" s="675">
        <v>0</v>
      </c>
      <c r="GO72" s="675">
        <v>0</v>
      </c>
      <c r="GP72" s="675">
        <v>0</v>
      </c>
      <c r="GQ72" s="675">
        <v>0</v>
      </c>
      <c r="GR72" s="675">
        <v>0</v>
      </c>
      <c r="GS72" s="675">
        <v>0</v>
      </c>
      <c r="GT72" s="675">
        <v>0</v>
      </c>
      <c r="GU72" s="675">
        <v>0</v>
      </c>
      <c r="GV72" s="675">
        <v>0</v>
      </c>
      <c r="GW72" s="675">
        <v>0</v>
      </c>
      <c r="GX72" s="675">
        <v>0</v>
      </c>
      <c r="GY72" s="675">
        <v>0</v>
      </c>
      <c r="GZ72" s="675">
        <v>0</v>
      </c>
      <c r="HA72" s="675">
        <v>0</v>
      </c>
      <c r="HB72" s="675">
        <v>308877260</v>
      </c>
      <c r="HC72" s="675">
        <v>4.4138999999999998E-2</v>
      </c>
      <c r="HD72" s="675">
        <v>83038</v>
      </c>
      <c r="HE72" s="675">
        <v>0</v>
      </c>
      <c r="HF72" s="675">
        <v>512071</v>
      </c>
      <c r="HG72" s="675">
        <v>6416</v>
      </c>
      <c r="HH72" s="675">
        <v>140576</v>
      </c>
      <c r="HI72" s="675">
        <v>0</v>
      </c>
      <c r="HJ72" s="675">
        <v>4572</v>
      </c>
      <c r="HK72" s="675">
        <v>0</v>
      </c>
      <c r="HL72" s="675">
        <v>0</v>
      </c>
      <c r="HM72" s="675">
        <v>0</v>
      </c>
      <c r="HN72" s="675">
        <v>0</v>
      </c>
      <c r="HO72" s="675">
        <v>0</v>
      </c>
      <c r="HP72" s="675">
        <v>0</v>
      </c>
      <c r="HQ72" s="675">
        <v>0</v>
      </c>
      <c r="HR72" s="675">
        <v>0</v>
      </c>
      <c r="HS72" s="675">
        <v>4544977</v>
      </c>
      <c r="HT72" s="675">
        <v>99486</v>
      </c>
      <c r="HU72" s="675">
        <v>0</v>
      </c>
      <c r="HV72" s="675">
        <v>0</v>
      </c>
      <c r="HW72" s="675">
        <v>0</v>
      </c>
      <c r="HX72" s="675">
        <v>63</v>
      </c>
      <c r="HY72" s="675">
        <v>42</v>
      </c>
      <c r="HZ72" s="675">
        <v>91</v>
      </c>
      <c r="IA72" s="675">
        <v>105</v>
      </c>
      <c r="IB72" s="675">
        <v>144</v>
      </c>
      <c r="IC72" s="675">
        <v>445</v>
      </c>
      <c r="ID72" s="675">
        <v>0</v>
      </c>
      <c r="IE72" s="675">
        <v>0</v>
      </c>
      <c r="IF72" s="675">
        <v>0</v>
      </c>
      <c r="IG72" s="675">
        <v>10.416</v>
      </c>
      <c r="IH72" s="675">
        <v>228.209</v>
      </c>
      <c r="II72" s="675">
        <v>0</v>
      </c>
      <c r="IJ72" s="675">
        <v>268.07</v>
      </c>
      <c r="IK72" s="675">
        <v>0.13300000000000001</v>
      </c>
      <c r="IL72" s="675">
        <v>0</v>
      </c>
      <c r="IM72" s="675">
        <v>0</v>
      </c>
      <c r="IN72" s="675">
        <v>0</v>
      </c>
      <c r="IO72" s="675">
        <v>0</v>
      </c>
      <c r="IP72" s="675">
        <v>0.13300000000000001</v>
      </c>
      <c r="IQ72" s="675">
        <v>268.07</v>
      </c>
      <c r="IR72" s="675">
        <v>165130</v>
      </c>
      <c r="IS72" s="675">
        <v>37</v>
      </c>
      <c r="IT72" s="675">
        <v>0</v>
      </c>
      <c r="IU72" s="675">
        <v>0</v>
      </c>
      <c r="IV72" s="675">
        <v>0</v>
      </c>
      <c r="IW72" s="675">
        <v>6160</v>
      </c>
      <c r="IX72" s="675">
        <v>0</v>
      </c>
      <c r="IY72" s="675">
        <v>0</v>
      </c>
      <c r="IZ72" s="675">
        <v>37</v>
      </c>
      <c r="JA72" s="675">
        <v>0</v>
      </c>
      <c r="JB72" s="675">
        <v>0</v>
      </c>
      <c r="JC72" s="675">
        <v>0</v>
      </c>
      <c r="JD72" s="675">
        <v>0</v>
      </c>
      <c r="JE72" s="675">
        <v>0</v>
      </c>
      <c r="JF72" s="675">
        <v>0</v>
      </c>
      <c r="JG72" s="675">
        <v>0</v>
      </c>
      <c r="JH72" s="675">
        <v>0</v>
      </c>
      <c r="JI72" s="675">
        <v>0</v>
      </c>
      <c r="JJ72" s="675">
        <v>0</v>
      </c>
      <c r="JK72" s="675">
        <v>0</v>
      </c>
      <c r="JL72" s="675">
        <v>0</v>
      </c>
      <c r="JM72" s="675">
        <v>0</v>
      </c>
      <c r="JN72" s="675">
        <v>32469</v>
      </c>
      <c r="JO72" s="675">
        <v>0</v>
      </c>
      <c r="JP72" s="675">
        <v>0</v>
      </c>
      <c r="JQ72" s="675">
        <v>0</v>
      </c>
      <c r="JR72" s="675">
        <v>0</v>
      </c>
      <c r="JS72" s="675">
        <v>0</v>
      </c>
      <c r="JT72" s="675">
        <v>0</v>
      </c>
      <c r="JU72" s="675">
        <v>9055</v>
      </c>
      <c r="JV72" s="675">
        <v>0</v>
      </c>
      <c r="JW72" s="675">
        <v>0</v>
      </c>
      <c r="JX72" s="675">
        <v>0</v>
      </c>
      <c r="JY72" s="675">
        <v>0</v>
      </c>
      <c r="JZ72" s="675">
        <v>0</v>
      </c>
      <c r="KA72" s="675">
        <v>0</v>
      </c>
      <c r="KB72" s="675">
        <v>0</v>
      </c>
      <c r="KC72" s="675">
        <v>0</v>
      </c>
      <c r="KD72" s="675">
        <v>9055</v>
      </c>
      <c r="KE72" s="675">
        <v>7263</v>
      </c>
      <c r="KF72" s="675">
        <v>0</v>
      </c>
      <c r="KG72" s="675">
        <v>0</v>
      </c>
      <c r="KH72" s="675">
        <v>0</v>
      </c>
      <c r="KI72" s="675">
        <v>0</v>
      </c>
    </row>
    <row r="73" spans="1:295" ht="12.5" x14ac:dyDescent="0.25">
      <c r="A73" s="675">
        <v>35795</v>
      </c>
      <c r="B73" s="675">
        <v>227805</v>
      </c>
      <c r="C73" s="675">
        <v>7</v>
      </c>
      <c r="D73" s="675">
        <v>2022</v>
      </c>
      <c r="E73" s="675">
        <v>6160</v>
      </c>
      <c r="F73" s="675">
        <v>0</v>
      </c>
      <c r="G73" s="675">
        <v>361.726</v>
      </c>
      <c r="H73" s="675">
        <v>348.65800000000002</v>
      </c>
      <c r="I73" s="675">
        <v>348.65800000000002</v>
      </c>
      <c r="J73" s="675">
        <v>361.726</v>
      </c>
      <c r="K73" s="675">
        <v>0</v>
      </c>
      <c r="L73" s="675">
        <v>6160</v>
      </c>
      <c r="M73" s="675">
        <v>0</v>
      </c>
      <c r="N73" s="675">
        <v>0</v>
      </c>
      <c r="O73" s="675">
        <v>0</v>
      </c>
      <c r="P73" s="675">
        <v>326.86900000000003</v>
      </c>
      <c r="Q73" s="675">
        <v>0</v>
      </c>
      <c r="R73" s="675">
        <v>131541</v>
      </c>
      <c r="S73" s="675">
        <v>402.428</v>
      </c>
      <c r="T73" s="675">
        <v>0</v>
      </c>
      <c r="U73" s="675">
        <v>69949</v>
      </c>
      <c r="V73" s="675">
        <v>0</v>
      </c>
      <c r="W73" s="675">
        <v>0</v>
      </c>
      <c r="X73" s="675">
        <v>0</v>
      </c>
      <c r="Y73" s="675">
        <v>0</v>
      </c>
      <c r="Z73" s="675">
        <v>0</v>
      </c>
      <c r="AA73" s="675">
        <v>0</v>
      </c>
      <c r="AB73" s="675">
        <v>0</v>
      </c>
      <c r="AC73" s="675">
        <v>0</v>
      </c>
      <c r="AD73" s="675" t="s">
        <v>316</v>
      </c>
      <c r="AE73" s="675">
        <v>0</v>
      </c>
      <c r="AF73" s="675">
        <v>0</v>
      </c>
      <c r="AG73" s="675">
        <v>0</v>
      </c>
      <c r="AH73" s="675">
        <v>0</v>
      </c>
      <c r="AI73" s="675">
        <v>0</v>
      </c>
      <c r="AJ73" s="675">
        <v>6160</v>
      </c>
      <c r="AK73" s="675" t="s">
        <v>671</v>
      </c>
      <c r="AL73" s="675" t="s">
        <v>80</v>
      </c>
      <c r="AM73" s="675">
        <v>0</v>
      </c>
      <c r="AN73" s="675">
        <v>0</v>
      </c>
      <c r="AO73" s="675">
        <v>0</v>
      </c>
      <c r="AP73" s="675">
        <v>0</v>
      </c>
      <c r="AQ73" s="675">
        <v>0</v>
      </c>
      <c r="AR73" s="675">
        <v>0</v>
      </c>
      <c r="AS73" s="675">
        <v>0</v>
      </c>
      <c r="AT73" s="675">
        <v>0</v>
      </c>
      <c r="AU73" s="675">
        <v>0</v>
      </c>
      <c r="AV73" s="675">
        <v>-9878</v>
      </c>
      <c r="AW73" s="675">
        <v>3659614</v>
      </c>
      <c r="AX73" s="675">
        <v>3531015</v>
      </c>
      <c r="AY73" s="675">
        <v>2340588</v>
      </c>
      <c r="AZ73" s="675">
        <v>131541</v>
      </c>
      <c r="BA73" s="675">
        <v>0</v>
      </c>
      <c r="BB73" s="675">
        <v>0</v>
      </c>
      <c r="BC73" s="675">
        <v>0</v>
      </c>
      <c r="BD73" s="675">
        <v>0</v>
      </c>
      <c r="BE73" s="675">
        <v>0</v>
      </c>
      <c r="BF73" s="675">
        <v>3261574</v>
      </c>
      <c r="BG73" s="675">
        <v>0</v>
      </c>
      <c r="BH73" s="675">
        <v>0</v>
      </c>
      <c r="BI73" s="675">
        <v>0</v>
      </c>
      <c r="BJ73" s="675">
        <v>12</v>
      </c>
      <c r="BK73" s="675">
        <v>0</v>
      </c>
      <c r="BL73" s="675">
        <v>0</v>
      </c>
      <c r="BM73" s="675">
        <v>0</v>
      </c>
      <c r="BN73" s="675">
        <v>0</v>
      </c>
      <c r="BO73" s="675">
        <v>0</v>
      </c>
      <c r="BP73" s="675">
        <v>0</v>
      </c>
      <c r="BQ73" s="675">
        <v>716</v>
      </c>
      <c r="BR73" s="675">
        <v>0</v>
      </c>
      <c r="BS73" s="675">
        <v>0</v>
      </c>
      <c r="BT73" s="675">
        <v>0</v>
      </c>
      <c r="BU73" s="675">
        <v>0</v>
      </c>
      <c r="BV73" s="675">
        <v>0</v>
      </c>
      <c r="BW73" s="675">
        <v>0</v>
      </c>
      <c r="BX73" s="675">
        <v>0</v>
      </c>
      <c r="BY73" s="675">
        <v>0</v>
      </c>
      <c r="BZ73" s="675">
        <v>0</v>
      </c>
      <c r="CA73" s="675">
        <v>0</v>
      </c>
      <c r="CB73" s="675">
        <v>0</v>
      </c>
      <c r="CC73" s="675">
        <v>0</v>
      </c>
      <c r="CD73" s="675">
        <v>0</v>
      </c>
      <c r="CE73" s="675">
        <v>0</v>
      </c>
      <c r="CF73" s="675">
        <v>0</v>
      </c>
      <c r="CG73" s="675">
        <v>0</v>
      </c>
      <c r="CH73" s="675">
        <v>129773</v>
      </c>
      <c r="CI73" s="675">
        <v>0</v>
      </c>
      <c r="CJ73" s="675">
        <v>4</v>
      </c>
      <c r="CK73" s="675">
        <v>0</v>
      </c>
      <c r="CL73" s="675">
        <v>0</v>
      </c>
      <c r="CM73" s="675">
        <v>0</v>
      </c>
      <c r="CN73" s="675">
        <v>0</v>
      </c>
      <c r="CO73" s="675">
        <v>1</v>
      </c>
      <c r="CP73" s="675">
        <v>0</v>
      </c>
      <c r="CQ73" s="675">
        <v>0</v>
      </c>
      <c r="CR73" s="675">
        <v>329.30099999999999</v>
      </c>
      <c r="CS73" s="675">
        <v>0</v>
      </c>
      <c r="CT73" s="675">
        <v>0</v>
      </c>
      <c r="CU73" s="675">
        <v>0</v>
      </c>
      <c r="CV73" s="675">
        <v>0</v>
      </c>
      <c r="CW73" s="675">
        <v>0</v>
      </c>
      <c r="CX73" s="675">
        <v>0</v>
      </c>
      <c r="CY73" s="675">
        <v>0</v>
      </c>
      <c r="CZ73" s="675">
        <v>0</v>
      </c>
      <c r="DA73" s="675">
        <v>0</v>
      </c>
      <c r="DB73" s="675">
        <v>2147723</v>
      </c>
      <c r="DC73" s="675">
        <v>0</v>
      </c>
      <c r="DD73" s="675">
        <v>0</v>
      </c>
      <c r="DE73" s="675">
        <v>353659</v>
      </c>
      <c r="DF73" s="675">
        <v>353659</v>
      </c>
      <c r="DG73" s="675">
        <v>57.413000000000004</v>
      </c>
      <c r="DH73" s="675">
        <v>0</v>
      </c>
      <c r="DI73" s="675">
        <v>0</v>
      </c>
      <c r="DJ73" s="675">
        <v>0</v>
      </c>
      <c r="DK73" s="675">
        <v>3083</v>
      </c>
      <c r="DL73" s="675">
        <v>0</v>
      </c>
      <c r="DM73" s="675">
        <v>312223</v>
      </c>
      <c r="DN73" s="675">
        <v>1175</v>
      </c>
      <c r="DO73" s="675">
        <v>0</v>
      </c>
      <c r="DP73" s="675">
        <v>0</v>
      </c>
      <c r="DQ73" s="675">
        <v>0</v>
      </c>
      <c r="DR73" s="675">
        <v>0</v>
      </c>
      <c r="DS73" s="675">
        <v>0</v>
      </c>
      <c r="DT73" s="675">
        <v>0</v>
      </c>
      <c r="DU73" s="675">
        <v>0</v>
      </c>
      <c r="DV73" s="675">
        <v>0</v>
      </c>
      <c r="DW73" s="675">
        <v>0</v>
      </c>
      <c r="DX73" s="675">
        <v>0</v>
      </c>
      <c r="DY73" s="675">
        <v>0</v>
      </c>
      <c r="DZ73" s="675">
        <v>0</v>
      </c>
      <c r="EA73" s="675">
        <v>0</v>
      </c>
      <c r="EB73" s="675">
        <v>0</v>
      </c>
      <c r="EC73" s="675">
        <v>7.7360000000000007</v>
      </c>
      <c r="ED73" s="675">
        <v>54802</v>
      </c>
      <c r="EE73" s="675">
        <v>0</v>
      </c>
      <c r="EF73" s="675">
        <v>0</v>
      </c>
      <c r="EG73" s="675">
        <v>0</v>
      </c>
      <c r="EH73" s="675">
        <v>258596</v>
      </c>
      <c r="EI73" s="675">
        <v>0</v>
      </c>
      <c r="EJ73" s="675">
        <v>0</v>
      </c>
      <c r="EK73" s="675">
        <v>11.233000000000001</v>
      </c>
      <c r="EL73" s="675">
        <v>0</v>
      </c>
      <c r="EM73" s="675">
        <v>0.44700000000000001</v>
      </c>
      <c r="EN73" s="675">
        <v>1.3880000000000001</v>
      </c>
      <c r="EO73" s="675">
        <v>0</v>
      </c>
      <c r="EP73" s="675">
        <v>0</v>
      </c>
      <c r="EQ73" s="675">
        <v>13.068000000000001</v>
      </c>
      <c r="ER73" s="675">
        <v>0</v>
      </c>
      <c r="ES73" s="675">
        <v>41.980000000000004</v>
      </c>
      <c r="ET73" s="675">
        <v>0</v>
      </c>
      <c r="EU73" s="675">
        <v>0</v>
      </c>
      <c r="EV73" s="675">
        <v>0</v>
      </c>
      <c r="EW73" s="675">
        <v>0</v>
      </c>
      <c r="EX73" s="675">
        <v>0</v>
      </c>
      <c r="EY73" s="675">
        <v>0</v>
      </c>
      <c r="EZ73" s="675">
        <v>3130627</v>
      </c>
      <c r="FA73" s="675">
        <v>0</v>
      </c>
      <c r="FB73" s="675">
        <v>3260993</v>
      </c>
      <c r="FC73" s="675">
        <v>0</v>
      </c>
      <c r="FD73" s="675">
        <v>0</v>
      </c>
      <c r="FE73" s="675">
        <v>331769</v>
      </c>
      <c r="FF73" s="675">
        <v>68619</v>
      </c>
      <c r="FG73" s="675">
        <v>6.3574999999999993E-2</v>
      </c>
      <c r="FH73" s="675">
        <v>2.6297999999999998E-2</v>
      </c>
      <c r="FI73" s="675">
        <v>0</v>
      </c>
      <c r="FJ73" s="675">
        <v>0</v>
      </c>
      <c r="FK73" s="675">
        <v>529.47900000000004</v>
      </c>
      <c r="FL73" s="675">
        <v>3791155</v>
      </c>
      <c r="FM73" s="675">
        <v>0</v>
      </c>
      <c r="FN73" s="675">
        <v>0</v>
      </c>
      <c r="FO73" s="675">
        <v>0</v>
      </c>
      <c r="FP73" s="675">
        <v>0</v>
      </c>
      <c r="FQ73" s="675">
        <v>0</v>
      </c>
      <c r="FR73" s="675">
        <v>0</v>
      </c>
      <c r="FS73" s="675">
        <v>0</v>
      </c>
      <c r="FT73" s="675">
        <v>0</v>
      </c>
      <c r="FU73" s="675">
        <v>0</v>
      </c>
      <c r="FV73" s="675">
        <v>0</v>
      </c>
      <c r="FW73" s="675">
        <v>0</v>
      </c>
      <c r="FX73" s="675">
        <v>0</v>
      </c>
      <c r="FY73" s="675">
        <v>0</v>
      </c>
      <c r="FZ73" s="675">
        <v>0</v>
      </c>
      <c r="GA73" s="675">
        <v>0</v>
      </c>
      <c r="GB73" s="675">
        <v>0</v>
      </c>
      <c r="GC73" s="675">
        <v>0</v>
      </c>
      <c r="GD73" s="675">
        <v>0</v>
      </c>
      <c r="GE73" s="675">
        <v>0</v>
      </c>
      <c r="GF73" s="675">
        <v>0</v>
      </c>
      <c r="GG73" s="675">
        <v>0</v>
      </c>
      <c r="GH73" s="675">
        <v>0</v>
      </c>
      <c r="GI73" s="675">
        <v>0</v>
      </c>
      <c r="GJ73" s="675">
        <v>0</v>
      </c>
      <c r="GK73" s="675">
        <v>0</v>
      </c>
      <c r="GL73" s="675">
        <v>0</v>
      </c>
      <c r="GM73" s="675">
        <v>0</v>
      </c>
      <c r="GN73" s="675">
        <v>0</v>
      </c>
      <c r="GO73" s="675">
        <v>0</v>
      </c>
      <c r="GP73" s="675">
        <v>0</v>
      </c>
      <c r="GQ73" s="675">
        <v>0</v>
      </c>
      <c r="GR73" s="675">
        <v>0</v>
      </c>
      <c r="GS73" s="675">
        <v>0</v>
      </c>
      <c r="GT73" s="675">
        <v>0</v>
      </c>
      <c r="GU73" s="675">
        <v>0</v>
      </c>
      <c r="GV73" s="675">
        <v>0</v>
      </c>
      <c r="GW73" s="675">
        <v>0</v>
      </c>
      <c r="GX73" s="675">
        <v>0</v>
      </c>
      <c r="GY73" s="675">
        <v>0</v>
      </c>
      <c r="GZ73" s="675">
        <v>0</v>
      </c>
      <c r="HA73" s="675">
        <v>0</v>
      </c>
      <c r="HB73" s="675">
        <v>308877260</v>
      </c>
      <c r="HC73" s="675">
        <v>4.4138999999999998E-2</v>
      </c>
      <c r="HD73" s="675">
        <v>63865</v>
      </c>
      <c r="HE73" s="675">
        <v>0</v>
      </c>
      <c r="HF73" s="675">
        <v>384570</v>
      </c>
      <c r="HG73" s="675">
        <v>642</v>
      </c>
      <c r="HH73" s="675">
        <v>58066</v>
      </c>
      <c r="HI73" s="675">
        <v>0</v>
      </c>
      <c r="HJ73" s="675">
        <v>3516</v>
      </c>
      <c r="HK73" s="675">
        <v>594</v>
      </c>
      <c r="HL73" s="675">
        <v>0</v>
      </c>
      <c r="HM73" s="675">
        <v>0</v>
      </c>
      <c r="HN73" s="675">
        <v>0</v>
      </c>
      <c r="HO73" s="675">
        <v>0</v>
      </c>
      <c r="HP73" s="675">
        <v>0</v>
      </c>
      <c r="HQ73" s="675">
        <v>0</v>
      </c>
      <c r="HR73" s="675">
        <v>0</v>
      </c>
      <c r="HS73" s="675">
        <v>3129452</v>
      </c>
      <c r="HT73" s="675">
        <v>68619</v>
      </c>
      <c r="HU73" s="675">
        <v>65908</v>
      </c>
      <c r="HV73" s="675">
        <v>0</v>
      </c>
      <c r="HW73" s="675">
        <v>0</v>
      </c>
      <c r="HX73" s="675">
        <v>32</v>
      </c>
      <c r="HY73" s="675">
        <v>54</v>
      </c>
      <c r="HZ73" s="675">
        <v>56</v>
      </c>
      <c r="IA73" s="675">
        <v>43</v>
      </c>
      <c r="IB73" s="675">
        <v>44</v>
      </c>
      <c r="IC73" s="675">
        <v>229</v>
      </c>
      <c r="ID73" s="675">
        <v>0</v>
      </c>
      <c r="IE73" s="675">
        <v>0</v>
      </c>
      <c r="IF73" s="675">
        <v>0</v>
      </c>
      <c r="IG73" s="675">
        <v>1.042</v>
      </c>
      <c r="IH73" s="675">
        <v>94.263000000000005</v>
      </c>
      <c r="II73" s="675">
        <v>0</v>
      </c>
      <c r="IJ73" s="675">
        <v>0</v>
      </c>
      <c r="IK73" s="675">
        <v>0</v>
      </c>
      <c r="IL73" s="675">
        <v>0</v>
      </c>
      <c r="IM73" s="675">
        <v>0</v>
      </c>
      <c r="IN73" s="675">
        <v>0</v>
      </c>
      <c r="IO73" s="675">
        <v>0</v>
      </c>
      <c r="IP73" s="675">
        <v>0</v>
      </c>
      <c r="IQ73" s="675">
        <v>0</v>
      </c>
      <c r="IR73" s="675">
        <v>0</v>
      </c>
      <c r="IS73" s="675">
        <v>0</v>
      </c>
      <c r="IT73" s="675">
        <v>0</v>
      </c>
      <c r="IU73" s="675">
        <v>0</v>
      </c>
      <c r="IV73" s="675">
        <v>0</v>
      </c>
      <c r="IW73" s="675">
        <v>6160</v>
      </c>
      <c r="IX73" s="675">
        <v>0</v>
      </c>
      <c r="IY73" s="675">
        <v>0</v>
      </c>
      <c r="IZ73" s="675">
        <v>0</v>
      </c>
      <c r="JA73" s="675">
        <v>0</v>
      </c>
      <c r="JB73" s="675">
        <v>0</v>
      </c>
      <c r="JC73" s="675">
        <v>0</v>
      </c>
      <c r="JD73" s="675">
        <v>0</v>
      </c>
      <c r="JE73" s="675">
        <v>0</v>
      </c>
      <c r="JF73" s="675">
        <v>0</v>
      </c>
      <c r="JG73" s="675">
        <v>0</v>
      </c>
      <c r="JH73" s="675">
        <v>0</v>
      </c>
      <c r="JI73" s="675">
        <v>0</v>
      </c>
      <c r="JJ73" s="675">
        <v>0</v>
      </c>
      <c r="JK73" s="675">
        <v>0</v>
      </c>
      <c r="JL73" s="675">
        <v>0</v>
      </c>
      <c r="JM73" s="675">
        <v>0</v>
      </c>
      <c r="JN73" s="675">
        <v>32469</v>
      </c>
      <c r="JO73" s="675">
        <v>0</v>
      </c>
      <c r="JP73" s="675">
        <v>0</v>
      </c>
      <c r="JQ73" s="675">
        <v>0</v>
      </c>
      <c r="JR73" s="675">
        <v>0</v>
      </c>
      <c r="JS73" s="675">
        <v>0</v>
      </c>
      <c r="JT73" s="675">
        <v>0</v>
      </c>
      <c r="JU73" s="675">
        <v>0</v>
      </c>
      <c r="JV73" s="675">
        <v>65908</v>
      </c>
      <c r="JW73" s="675">
        <v>0</v>
      </c>
      <c r="JX73" s="675">
        <v>0</v>
      </c>
      <c r="JY73" s="675">
        <v>0</v>
      </c>
      <c r="JZ73" s="675">
        <v>0</v>
      </c>
      <c r="KA73" s="675">
        <v>0</v>
      </c>
      <c r="KB73" s="675">
        <v>0</v>
      </c>
      <c r="KC73" s="675">
        <v>0</v>
      </c>
      <c r="KD73" s="675">
        <v>0</v>
      </c>
      <c r="KE73" s="675">
        <v>7263</v>
      </c>
      <c r="KF73" s="675">
        <v>0</v>
      </c>
      <c r="KG73" s="675">
        <v>0</v>
      </c>
      <c r="KH73" s="675">
        <v>0</v>
      </c>
      <c r="KI73" s="675">
        <v>0</v>
      </c>
    </row>
    <row r="74" spans="1:295" ht="12.5" x14ac:dyDescent="0.25">
      <c r="A74" s="675">
        <v>35795</v>
      </c>
      <c r="B74" s="675">
        <v>15806</v>
      </c>
      <c r="C74" s="675">
        <v>7</v>
      </c>
      <c r="D74" s="675">
        <v>2022</v>
      </c>
      <c r="E74" s="675">
        <v>6160</v>
      </c>
      <c r="F74" s="675">
        <v>0</v>
      </c>
      <c r="G74" s="675">
        <v>300.81400000000002</v>
      </c>
      <c r="H74" s="675">
        <v>255.67500000000001</v>
      </c>
      <c r="I74" s="675">
        <v>255.67500000000001</v>
      </c>
      <c r="J74" s="675">
        <v>300.81400000000002</v>
      </c>
      <c r="K74" s="675">
        <v>0</v>
      </c>
      <c r="L74" s="675">
        <v>6160</v>
      </c>
      <c r="M74" s="675">
        <v>0</v>
      </c>
      <c r="N74" s="675">
        <v>0</v>
      </c>
      <c r="O74" s="675">
        <v>0</v>
      </c>
      <c r="P74" s="675">
        <v>303.73099999999999</v>
      </c>
      <c r="Q74" s="675">
        <v>0</v>
      </c>
      <c r="R74" s="675">
        <v>122230</v>
      </c>
      <c r="S74" s="675">
        <v>402.428</v>
      </c>
      <c r="T74" s="675">
        <v>0</v>
      </c>
      <c r="U74" s="675">
        <v>64998</v>
      </c>
      <c r="V74" s="675">
        <v>71.528000000000006</v>
      </c>
      <c r="W74" s="675">
        <v>44061</v>
      </c>
      <c r="X74" s="675">
        <v>44061</v>
      </c>
      <c r="Y74" s="675">
        <v>0</v>
      </c>
      <c r="Z74" s="675">
        <v>0</v>
      </c>
      <c r="AA74" s="675">
        <v>0</v>
      </c>
      <c r="AB74" s="675">
        <v>0</v>
      </c>
      <c r="AC74" s="675">
        <v>0</v>
      </c>
      <c r="AD74" s="675" t="s">
        <v>316</v>
      </c>
      <c r="AE74" s="675">
        <v>0</v>
      </c>
      <c r="AF74" s="675">
        <v>0</v>
      </c>
      <c r="AG74" s="675">
        <v>0</v>
      </c>
      <c r="AH74" s="675">
        <v>0</v>
      </c>
      <c r="AI74" s="675">
        <v>0</v>
      </c>
      <c r="AJ74" s="675">
        <v>6160</v>
      </c>
      <c r="AK74" s="675" t="s">
        <v>671</v>
      </c>
      <c r="AL74" s="675" t="s">
        <v>789</v>
      </c>
      <c r="AM74" s="675">
        <v>0</v>
      </c>
      <c r="AN74" s="675">
        <v>0</v>
      </c>
      <c r="AO74" s="675">
        <v>0</v>
      </c>
      <c r="AP74" s="675">
        <v>0</v>
      </c>
      <c r="AQ74" s="675">
        <v>0</v>
      </c>
      <c r="AR74" s="675">
        <v>0</v>
      </c>
      <c r="AS74" s="675">
        <v>0</v>
      </c>
      <c r="AT74" s="675">
        <v>0</v>
      </c>
      <c r="AU74" s="675">
        <v>0</v>
      </c>
      <c r="AV74" s="675">
        <v>-134336</v>
      </c>
      <c r="AW74" s="675">
        <v>3469876</v>
      </c>
      <c r="AX74" s="675">
        <v>3417642</v>
      </c>
      <c r="AY74" s="675">
        <v>2269149</v>
      </c>
      <c r="AZ74" s="675">
        <v>122230</v>
      </c>
      <c r="BA74" s="675">
        <v>0</v>
      </c>
      <c r="BB74" s="675">
        <v>0</v>
      </c>
      <c r="BC74" s="675">
        <v>0</v>
      </c>
      <c r="BD74" s="675">
        <v>0</v>
      </c>
      <c r="BE74" s="675">
        <v>0</v>
      </c>
      <c r="BF74" s="675">
        <v>3114176</v>
      </c>
      <c r="BG74" s="675">
        <v>0</v>
      </c>
      <c r="BH74" s="675">
        <v>0</v>
      </c>
      <c r="BI74" s="675">
        <v>0</v>
      </c>
      <c r="BJ74" s="675">
        <v>12</v>
      </c>
      <c r="BK74" s="675">
        <v>0</v>
      </c>
      <c r="BL74" s="675">
        <v>0</v>
      </c>
      <c r="BM74" s="675">
        <v>0</v>
      </c>
      <c r="BN74" s="675">
        <v>0</v>
      </c>
      <c r="BO74" s="675">
        <v>0</v>
      </c>
      <c r="BP74" s="675">
        <v>0</v>
      </c>
      <c r="BQ74" s="675">
        <v>731</v>
      </c>
      <c r="BR74" s="675">
        <v>0</v>
      </c>
      <c r="BS74" s="675">
        <v>0</v>
      </c>
      <c r="BT74" s="675">
        <v>0</v>
      </c>
      <c r="BU74" s="675">
        <v>0</v>
      </c>
      <c r="BV74" s="675">
        <v>0</v>
      </c>
      <c r="BW74" s="675">
        <v>0</v>
      </c>
      <c r="BX74" s="675">
        <v>0</v>
      </c>
      <c r="BY74" s="675">
        <v>0</v>
      </c>
      <c r="BZ74" s="675">
        <v>0</v>
      </c>
      <c r="CA74" s="675">
        <v>0</v>
      </c>
      <c r="CB74" s="675">
        <v>0</v>
      </c>
      <c r="CC74" s="675">
        <v>0</v>
      </c>
      <c r="CD74" s="675">
        <v>0</v>
      </c>
      <c r="CE74" s="675">
        <v>0</v>
      </c>
      <c r="CF74" s="675">
        <v>0</v>
      </c>
      <c r="CG74" s="675">
        <v>0</v>
      </c>
      <c r="CH74" s="675">
        <v>53110</v>
      </c>
      <c r="CI74" s="675">
        <v>0</v>
      </c>
      <c r="CJ74" s="675">
        <v>4</v>
      </c>
      <c r="CK74" s="675">
        <v>0</v>
      </c>
      <c r="CL74" s="675">
        <v>0</v>
      </c>
      <c r="CM74" s="675">
        <v>0</v>
      </c>
      <c r="CN74" s="675">
        <v>0</v>
      </c>
      <c r="CO74" s="675">
        <v>1</v>
      </c>
      <c r="CP74" s="675">
        <v>0</v>
      </c>
      <c r="CQ74" s="675">
        <v>0</v>
      </c>
      <c r="CR74" s="675">
        <v>298.04300000000001</v>
      </c>
      <c r="CS74" s="675">
        <v>0</v>
      </c>
      <c r="CT74" s="675">
        <v>0</v>
      </c>
      <c r="CU74" s="675">
        <v>0</v>
      </c>
      <c r="CV74" s="675">
        <v>0</v>
      </c>
      <c r="CW74" s="675">
        <v>0</v>
      </c>
      <c r="CX74" s="675">
        <v>0</v>
      </c>
      <c r="CY74" s="675">
        <v>0</v>
      </c>
      <c r="CZ74" s="675">
        <v>0</v>
      </c>
      <c r="DA74" s="675">
        <v>0</v>
      </c>
      <c r="DB74" s="675">
        <v>1536264</v>
      </c>
      <c r="DC74" s="675">
        <v>0</v>
      </c>
      <c r="DD74" s="675">
        <v>0</v>
      </c>
      <c r="DE74" s="675">
        <v>507351</v>
      </c>
      <c r="DF74" s="675">
        <v>507351</v>
      </c>
      <c r="DG74" s="675">
        <v>82.363</v>
      </c>
      <c r="DH74" s="675">
        <v>0</v>
      </c>
      <c r="DI74" s="675">
        <v>0</v>
      </c>
      <c r="DJ74" s="675">
        <v>0</v>
      </c>
      <c r="DK74" s="675">
        <v>3312</v>
      </c>
      <c r="DL74" s="675">
        <v>0</v>
      </c>
      <c r="DM74" s="675">
        <v>271529</v>
      </c>
      <c r="DN74" s="675">
        <v>876</v>
      </c>
      <c r="DO74" s="675">
        <v>0</v>
      </c>
      <c r="DP74" s="675">
        <v>0</v>
      </c>
      <c r="DQ74" s="675">
        <v>0</v>
      </c>
      <c r="DR74" s="675">
        <v>0</v>
      </c>
      <c r="DS74" s="675">
        <v>0</v>
      </c>
      <c r="DT74" s="675">
        <v>0</v>
      </c>
      <c r="DU74" s="675">
        <v>0</v>
      </c>
      <c r="DV74" s="675">
        <v>0</v>
      </c>
      <c r="DW74" s="675">
        <v>0</v>
      </c>
      <c r="DX74" s="675">
        <v>0</v>
      </c>
      <c r="DY74" s="675">
        <v>0</v>
      </c>
      <c r="DZ74" s="675">
        <v>0</v>
      </c>
      <c r="EA74" s="675">
        <v>0</v>
      </c>
      <c r="EB74" s="675">
        <v>0</v>
      </c>
      <c r="EC74" s="675">
        <v>10.27</v>
      </c>
      <c r="ED74" s="675">
        <v>72752</v>
      </c>
      <c r="EE74" s="675">
        <v>0</v>
      </c>
      <c r="EF74" s="675">
        <v>0</v>
      </c>
      <c r="EG74" s="675">
        <v>0</v>
      </c>
      <c r="EH74" s="675">
        <v>160966</v>
      </c>
      <c r="EI74" s="675">
        <v>0</v>
      </c>
      <c r="EJ74" s="675">
        <v>0</v>
      </c>
      <c r="EK74" s="675">
        <v>7.0170000000000003</v>
      </c>
      <c r="EL74" s="675">
        <v>0</v>
      </c>
      <c r="EM74" s="675">
        <v>0.74</v>
      </c>
      <c r="EN74" s="675">
        <v>0.57200000000000006</v>
      </c>
      <c r="EO74" s="675">
        <v>0</v>
      </c>
      <c r="EP74" s="675">
        <v>0</v>
      </c>
      <c r="EQ74" s="675">
        <v>8.3290000000000006</v>
      </c>
      <c r="ER74" s="675">
        <v>0</v>
      </c>
      <c r="ES74" s="675">
        <v>26.131</v>
      </c>
      <c r="ET74" s="675">
        <v>0</v>
      </c>
      <c r="EU74" s="675">
        <v>0</v>
      </c>
      <c r="EV74" s="675">
        <v>0</v>
      </c>
      <c r="EW74" s="675">
        <v>0</v>
      </c>
      <c r="EX74" s="675">
        <v>0</v>
      </c>
      <c r="EY74" s="675">
        <v>0</v>
      </c>
      <c r="EZ74" s="675">
        <v>3035349</v>
      </c>
      <c r="FA74" s="675">
        <v>0</v>
      </c>
      <c r="FB74" s="675">
        <v>3156703</v>
      </c>
      <c r="FC74" s="675">
        <v>0</v>
      </c>
      <c r="FD74" s="675">
        <v>0</v>
      </c>
      <c r="FE74" s="675">
        <v>316775</v>
      </c>
      <c r="FF74" s="675">
        <v>65518</v>
      </c>
      <c r="FG74" s="675">
        <v>6.3574999999999993E-2</v>
      </c>
      <c r="FH74" s="675">
        <v>2.6297999999999998E-2</v>
      </c>
      <c r="FI74" s="675">
        <v>0</v>
      </c>
      <c r="FJ74" s="675">
        <v>0</v>
      </c>
      <c r="FK74" s="675">
        <v>505.55</v>
      </c>
      <c r="FL74" s="675">
        <v>3592106</v>
      </c>
      <c r="FM74" s="675">
        <v>0</v>
      </c>
      <c r="FN74" s="675">
        <v>0</v>
      </c>
      <c r="FO74" s="675">
        <v>41883</v>
      </c>
      <c r="FP74" s="675">
        <v>0</v>
      </c>
      <c r="FQ74" s="675">
        <v>41883</v>
      </c>
      <c r="FR74" s="675">
        <v>41883</v>
      </c>
      <c r="FS74" s="675">
        <v>0</v>
      </c>
      <c r="FT74" s="675">
        <v>0</v>
      </c>
      <c r="FU74" s="675">
        <v>0</v>
      </c>
      <c r="FV74" s="675">
        <v>0</v>
      </c>
      <c r="FW74" s="675">
        <v>0</v>
      </c>
      <c r="FX74" s="675">
        <v>0</v>
      </c>
      <c r="FY74" s="675">
        <v>0</v>
      </c>
      <c r="FZ74" s="675">
        <v>0</v>
      </c>
      <c r="GA74" s="675">
        <v>0</v>
      </c>
      <c r="GB74" s="675">
        <v>358795</v>
      </c>
      <c r="GC74" s="675">
        <v>358795</v>
      </c>
      <c r="GD74" s="675">
        <v>36.81</v>
      </c>
      <c r="GE74" s="675">
        <v>0</v>
      </c>
      <c r="GF74" s="675">
        <v>0</v>
      </c>
      <c r="GG74" s="675">
        <v>0</v>
      </c>
      <c r="GH74" s="675">
        <v>0</v>
      </c>
      <c r="GI74" s="675">
        <v>0</v>
      </c>
      <c r="GJ74" s="675">
        <v>0</v>
      </c>
      <c r="GK74" s="675">
        <v>0</v>
      </c>
      <c r="GL74" s="675">
        <v>0</v>
      </c>
      <c r="GM74" s="675">
        <v>0</v>
      </c>
      <c r="GN74" s="675">
        <v>0</v>
      </c>
      <c r="GO74" s="675">
        <v>0</v>
      </c>
      <c r="GP74" s="675">
        <v>0</v>
      </c>
      <c r="GQ74" s="675">
        <v>0</v>
      </c>
      <c r="GR74" s="675">
        <v>0</v>
      </c>
      <c r="GS74" s="675">
        <v>0</v>
      </c>
      <c r="GT74" s="675">
        <v>0</v>
      </c>
      <c r="GU74" s="675">
        <v>0</v>
      </c>
      <c r="GV74" s="675">
        <v>0</v>
      </c>
      <c r="GW74" s="675">
        <v>0</v>
      </c>
      <c r="GX74" s="675">
        <v>0</v>
      </c>
      <c r="GY74" s="675">
        <v>0</v>
      </c>
      <c r="GZ74" s="675">
        <v>0</v>
      </c>
      <c r="HA74" s="675">
        <v>0</v>
      </c>
      <c r="HB74" s="675">
        <v>308877260</v>
      </c>
      <c r="HC74" s="675">
        <v>4.4138999999999998E-2</v>
      </c>
      <c r="HD74" s="675">
        <v>53110</v>
      </c>
      <c r="HE74" s="675">
        <v>0</v>
      </c>
      <c r="HF74" s="675">
        <v>282010</v>
      </c>
      <c r="HG74" s="675">
        <v>16016</v>
      </c>
      <c r="HH74" s="675">
        <v>84350</v>
      </c>
      <c r="HI74" s="675">
        <v>0</v>
      </c>
      <c r="HJ74" s="675">
        <v>2924</v>
      </c>
      <c r="HK74" s="675">
        <v>1017</v>
      </c>
      <c r="HL74" s="675">
        <v>503</v>
      </c>
      <c r="HM74" s="675">
        <v>10000</v>
      </c>
      <c r="HN74" s="675">
        <v>0</v>
      </c>
      <c r="HO74" s="675">
        <v>0</v>
      </c>
      <c r="HP74" s="675">
        <v>0</v>
      </c>
      <c r="HQ74" s="675">
        <v>0</v>
      </c>
      <c r="HR74" s="675">
        <v>0</v>
      </c>
      <c r="HS74" s="675">
        <v>3034473</v>
      </c>
      <c r="HT74" s="675">
        <v>65518</v>
      </c>
      <c r="HU74" s="675">
        <v>0</v>
      </c>
      <c r="HV74" s="675">
        <v>0</v>
      </c>
      <c r="HW74" s="675">
        <v>0</v>
      </c>
      <c r="HX74" s="675">
        <v>24</v>
      </c>
      <c r="HY74" s="675">
        <v>38</v>
      </c>
      <c r="HZ74" s="675">
        <v>57</v>
      </c>
      <c r="IA74" s="675">
        <v>83</v>
      </c>
      <c r="IB74" s="675">
        <v>116</v>
      </c>
      <c r="IC74" s="675">
        <v>318</v>
      </c>
      <c r="ID74" s="675">
        <v>0</v>
      </c>
      <c r="IE74" s="675">
        <v>0</v>
      </c>
      <c r="IF74" s="675">
        <v>0</v>
      </c>
      <c r="IG74" s="675">
        <v>26</v>
      </c>
      <c r="IH74" s="675">
        <v>136.93200000000002</v>
      </c>
      <c r="II74" s="675">
        <v>0</v>
      </c>
      <c r="IJ74" s="675">
        <v>71.528000000000006</v>
      </c>
      <c r="IK74" s="675">
        <v>0</v>
      </c>
      <c r="IL74" s="675">
        <v>2</v>
      </c>
      <c r="IM74" s="675">
        <v>0</v>
      </c>
      <c r="IN74" s="675">
        <v>0</v>
      </c>
      <c r="IO74" s="675">
        <v>2</v>
      </c>
      <c r="IP74" s="675">
        <v>0</v>
      </c>
      <c r="IQ74" s="675">
        <v>71.528000000000006</v>
      </c>
      <c r="IR74" s="675">
        <v>44061</v>
      </c>
      <c r="IS74" s="675">
        <v>0</v>
      </c>
      <c r="IT74" s="675">
        <v>10000</v>
      </c>
      <c r="IU74" s="675">
        <v>0</v>
      </c>
      <c r="IV74" s="675">
        <v>0</v>
      </c>
      <c r="IW74" s="675">
        <v>6160</v>
      </c>
      <c r="IX74" s="675">
        <v>0</v>
      </c>
      <c r="IY74" s="675">
        <v>0</v>
      </c>
      <c r="IZ74" s="675">
        <v>0</v>
      </c>
      <c r="JA74" s="675">
        <v>0</v>
      </c>
      <c r="JB74" s="675">
        <v>0</v>
      </c>
      <c r="JC74" s="675">
        <v>0</v>
      </c>
      <c r="JD74" s="675">
        <v>0</v>
      </c>
      <c r="JE74" s="675">
        <v>0</v>
      </c>
      <c r="JF74" s="675">
        <v>0</v>
      </c>
      <c r="JG74" s="675">
        <v>0</v>
      </c>
      <c r="JH74" s="675">
        <v>0</v>
      </c>
      <c r="JI74" s="675">
        <v>0</v>
      </c>
      <c r="JJ74" s="675">
        <v>0</v>
      </c>
      <c r="JK74" s="675">
        <v>0</v>
      </c>
      <c r="JL74" s="675">
        <v>0</v>
      </c>
      <c r="JM74" s="675">
        <v>0</v>
      </c>
      <c r="JN74" s="675">
        <v>32469</v>
      </c>
      <c r="JO74" s="675">
        <v>0.42</v>
      </c>
      <c r="JP74" s="675">
        <v>23.973000000000003</v>
      </c>
      <c r="JQ74" s="675">
        <v>12.417</v>
      </c>
      <c r="JR74" s="675">
        <v>3356</v>
      </c>
      <c r="JS74" s="675">
        <v>222868</v>
      </c>
      <c r="JT74" s="675">
        <v>132571</v>
      </c>
      <c r="JU74" s="675">
        <v>0</v>
      </c>
      <c r="JV74" s="675">
        <v>0</v>
      </c>
      <c r="JW74" s="675">
        <v>0</v>
      </c>
      <c r="JX74" s="675">
        <v>0</v>
      </c>
      <c r="JY74" s="675">
        <v>0</v>
      </c>
      <c r="JZ74" s="675">
        <v>0</v>
      </c>
      <c r="KA74" s="675">
        <v>0</v>
      </c>
      <c r="KB74" s="675">
        <v>0</v>
      </c>
      <c r="KC74" s="675">
        <v>0</v>
      </c>
      <c r="KD74" s="675">
        <v>0</v>
      </c>
      <c r="KE74" s="675">
        <v>7263</v>
      </c>
      <c r="KF74" s="675">
        <v>0</v>
      </c>
      <c r="KG74" s="675">
        <v>0</v>
      </c>
      <c r="KH74" s="675">
        <v>0</v>
      </c>
      <c r="KI74" s="675">
        <v>0</v>
      </c>
    </row>
    <row r="75" spans="1:295" ht="12.5" x14ac:dyDescent="0.25">
      <c r="A75" s="675">
        <v>35795</v>
      </c>
      <c r="B75" s="675">
        <v>57806</v>
      </c>
      <c r="C75" s="675">
        <v>7</v>
      </c>
      <c r="D75" s="675">
        <v>2022</v>
      </c>
      <c r="E75" s="675">
        <v>6160</v>
      </c>
      <c r="F75" s="675">
        <v>0</v>
      </c>
      <c r="G75" s="675">
        <v>972.12400000000002</v>
      </c>
      <c r="H75" s="675">
        <v>852.23500000000001</v>
      </c>
      <c r="I75" s="675">
        <v>852.23500000000001</v>
      </c>
      <c r="J75" s="675">
        <v>972.12400000000002</v>
      </c>
      <c r="K75" s="675">
        <v>0</v>
      </c>
      <c r="L75" s="675">
        <v>6160</v>
      </c>
      <c r="M75" s="675">
        <v>0</v>
      </c>
      <c r="N75" s="675">
        <v>0</v>
      </c>
      <c r="O75" s="675">
        <v>0</v>
      </c>
      <c r="P75" s="675">
        <v>1040.066</v>
      </c>
      <c r="Q75" s="675">
        <v>0</v>
      </c>
      <c r="R75" s="675">
        <v>418552</v>
      </c>
      <c r="S75" s="675">
        <v>402.428</v>
      </c>
      <c r="T75" s="675">
        <v>0</v>
      </c>
      <c r="U75" s="675">
        <v>222576</v>
      </c>
      <c r="V75" s="675">
        <v>223.89700000000002</v>
      </c>
      <c r="W75" s="675">
        <v>137920</v>
      </c>
      <c r="X75" s="675">
        <v>137920</v>
      </c>
      <c r="Y75" s="675">
        <v>0</v>
      </c>
      <c r="Z75" s="675">
        <v>0</v>
      </c>
      <c r="AA75" s="675">
        <v>0</v>
      </c>
      <c r="AB75" s="675">
        <v>0</v>
      </c>
      <c r="AC75" s="675">
        <v>0</v>
      </c>
      <c r="AD75" s="675" t="s">
        <v>316</v>
      </c>
      <c r="AE75" s="675">
        <v>0</v>
      </c>
      <c r="AF75" s="675">
        <v>0</v>
      </c>
      <c r="AG75" s="675">
        <v>0</v>
      </c>
      <c r="AH75" s="675">
        <v>0</v>
      </c>
      <c r="AI75" s="675">
        <v>0</v>
      </c>
      <c r="AJ75" s="675">
        <v>6160</v>
      </c>
      <c r="AK75" s="675" t="s">
        <v>671</v>
      </c>
      <c r="AL75" s="675" t="s">
        <v>326</v>
      </c>
      <c r="AM75" s="675">
        <v>0</v>
      </c>
      <c r="AN75" s="675">
        <v>0</v>
      </c>
      <c r="AO75" s="675">
        <v>0</v>
      </c>
      <c r="AP75" s="675">
        <v>0</v>
      </c>
      <c r="AQ75" s="675">
        <v>0</v>
      </c>
      <c r="AR75" s="675">
        <v>0</v>
      </c>
      <c r="AS75" s="675">
        <v>0</v>
      </c>
      <c r="AT75" s="675">
        <v>0</v>
      </c>
      <c r="AU75" s="675">
        <v>0</v>
      </c>
      <c r="AV75" s="675">
        <v>-89450</v>
      </c>
      <c r="AW75" s="675">
        <v>10505938</v>
      </c>
      <c r="AX75" s="675">
        <v>10336718</v>
      </c>
      <c r="AY75" s="675">
        <v>7082160</v>
      </c>
      <c r="AZ75" s="675">
        <v>418552</v>
      </c>
      <c r="BA75" s="675">
        <v>0</v>
      </c>
      <c r="BB75" s="675">
        <v>12074</v>
      </c>
      <c r="BC75" s="675">
        <v>11996</v>
      </c>
      <c r="BD75" s="675">
        <v>28</v>
      </c>
      <c r="BE75" s="675">
        <v>78</v>
      </c>
      <c r="BF75" s="675">
        <v>9575715</v>
      </c>
      <c r="BG75" s="675">
        <v>0</v>
      </c>
      <c r="BH75" s="675">
        <v>0</v>
      </c>
      <c r="BI75" s="675">
        <v>0</v>
      </c>
      <c r="BJ75" s="675">
        <v>12</v>
      </c>
      <c r="BK75" s="675">
        <v>0</v>
      </c>
      <c r="BL75" s="675">
        <v>0</v>
      </c>
      <c r="BM75" s="675">
        <v>0</v>
      </c>
      <c r="BN75" s="675">
        <v>0</v>
      </c>
      <c r="BO75" s="675">
        <v>0</v>
      </c>
      <c r="BP75" s="675">
        <v>0</v>
      </c>
      <c r="BQ75" s="675">
        <v>639</v>
      </c>
      <c r="BR75" s="675">
        <v>0</v>
      </c>
      <c r="BS75" s="675">
        <v>0</v>
      </c>
      <c r="BT75" s="675">
        <v>0</v>
      </c>
      <c r="BU75" s="675">
        <v>0</v>
      </c>
      <c r="BV75" s="675">
        <v>0</v>
      </c>
      <c r="BW75" s="675">
        <v>0</v>
      </c>
      <c r="BX75" s="675">
        <v>0</v>
      </c>
      <c r="BY75" s="675">
        <v>0</v>
      </c>
      <c r="BZ75" s="675">
        <v>0</v>
      </c>
      <c r="CA75" s="675">
        <v>0</v>
      </c>
      <c r="CB75" s="675">
        <v>0</v>
      </c>
      <c r="CC75" s="675">
        <v>0</v>
      </c>
      <c r="CD75" s="675">
        <v>0</v>
      </c>
      <c r="CE75" s="675">
        <v>0</v>
      </c>
      <c r="CF75" s="675">
        <v>0</v>
      </c>
      <c r="CG75" s="675">
        <v>0</v>
      </c>
      <c r="CH75" s="675">
        <v>171634</v>
      </c>
      <c r="CI75" s="675">
        <v>0</v>
      </c>
      <c r="CJ75" s="675">
        <v>4</v>
      </c>
      <c r="CK75" s="675">
        <v>0</v>
      </c>
      <c r="CL75" s="675">
        <v>0</v>
      </c>
      <c r="CM75" s="675">
        <v>0</v>
      </c>
      <c r="CN75" s="675">
        <v>0</v>
      </c>
      <c r="CO75" s="675">
        <v>1</v>
      </c>
      <c r="CP75" s="675">
        <v>0</v>
      </c>
      <c r="CQ75" s="675">
        <v>0</v>
      </c>
      <c r="CR75" s="675">
        <v>1096.539</v>
      </c>
      <c r="CS75" s="675">
        <v>0</v>
      </c>
      <c r="CT75" s="675">
        <v>0</v>
      </c>
      <c r="CU75" s="675">
        <v>0</v>
      </c>
      <c r="CV75" s="675">
        <v>0</v>
      </c>
      <c r="CW75" s="675">
        <v>0</v>
      </c>
      <c r="CX75" s="675">
        <v>0</v>
      </c>
      <c r="CY75" s="675">
        <v>0</v>
      </c>
      <c r="CZ75" s="675">
        <v>0</v>
      </c>
      <c r="DA75" s="675">
        <v>0</v>
      </c>
      <c r="DB75" s="675">
        <v>5249743</v>
      </c>
      <c r="DC75" s="675">
        <v>0</v>
      </c>
      <c r="DD75" s="675">
        <v>0</v>
      </c>
      <c r="DE75" s="675">
        <v>1524670</v>
      </c>
      <c r="DF75" s="675">
        <v>1524670</v>
      </c>
      <c r="DG75" s="675">
        <v>247.51300000000001</v>
      </c>
      <c r="DH75" s="675">
        <v>0</v>
      </c>
      <c r="DI75" s="675">
        <v>0</v>
      </c>
      <c r="DJ75" s="675">
        <v>0</v>
      </c>
      <c r="DK75" s="675">
        <v>1842</v>
      </c>
      <c r="DL75" s="675">
        <v>0</v>
      </c>
      <c r="DM75" s="675">
        <v>621030</v>
      </c>
      <c r="DN75" s="675">
        <v>2336</v>
      </c>
      <c r="DO75" s="675">
        <v>0</v>
      </c>
      <c r="DP75" s="675">
        <v>0</v>
      </c>
      <c r="DQ75" s="675">
        <v>0</v>
      </c>
      <c r="DR75" s="675">
        <v>0</v>
      </c>
      <c r="DS75" s="675">
        <v>0</v>
      </c>
      <c r="DT75" s="675">
        <v>0</v>
      </c>
      <c r="DU75" s="675">
        <v>0</v>
      </c>
      <c r="DV75" s="675">
        <v>0</v>
      </c>
      <c r="DW75" s="675">
        <v>0</v>
      </c>
      <c r="DX75" s="675">
        <v>0</v>
      </c>
      <c r="DY75" s="675">
        <v>0</v>
      </c>
      <c r="DZ75" s="675">
        <v>0</v>
      </c>
      <c r="EA75" s="675">
        <v>0</v>
      </c>
      <c r="EB75" s="675">
        <v>0</v>
      </c>
      <c r="EC75" s="675">
        <v>17.962</v>
      </c>
      <c r="ED75" s="675">
        <v>127242</v>
      </c>
      <c r="EE75" s="675">
        <v>0</v>
      </c>
      <c r="EF75" s="675">
        <v>0</v>
      </c>
      <c r="EG75" s="675">
        <v>0</v>
      </c>
      <c r="EH75" s="675">
        <v>496124</v>
      </c>
      <c r="EI75" s="675">
        <v>0</v>
      </c>
      <c r="EJ75" s="675">
        <v>0</v>
      </c>
      <c r="EK75" s="675">
        <v>23.591000000000001</v>
      </c>
      <c r="EL75" s="675">
        <v>0</v>
      </c>
      <c r="EM75" s="675">
        <v>0.85899999999999999</v>
      </c>
      <c r="EN75" s="675">
        <v>1.4380000000000002</v>
      </c>
      <c r="EO75" s="675">
        <v>0</v>
      </c>
      <c r="EP75" s="675">
        <v>0</v>
      </c>
      <c r="EQ75" s="675">
        <v>25.888000000000002</v>
      </c>
      <c r="ER75" s="675">
        <v>0</v>
      </c>
      <c r="ES75" s="675">
        <v>80.540000000000006</v>
      </c>
      <c r="ET75" s="675">
        <v>0</v>
      </c>
      <c r="EU75" s="675">
        <v>0</v>
      </c>
      <c r="EV75" s="675">
        <v>0</v>
      </c>
      <c r="EW75" s="675">
        <v>0</v>
      </c>
      <c r="EX75" s="675">
        <v>0</v>
      </c>
      <c r="EY75" s="675">
        <v>0</v>
      </c>
      <c r="EZ75" s="675">
        <v>9161213</v>
      </c>
      <c r="FA75" s="675">
        <v>0</v>
      </c>
      <c r="FB75" s="675">
        <v>9577351</v>
      </c>
      <c r="FC75" s="675">
        <v>0</v>
      </c>
      <c r="FD75" s="675">
        <v>0</v>
      </c>
      <c r="FE75" s="675">
        <v>974046</v>
      </c>
      <c r="FF75" s="675">
        <v>201459</v>
      </c>
      <c r="FG75" s="675">
        <v>6.3574999999999993E-2</v>
      </c>
      <c r="FH75" s="675">
        <v>2.6297999999999998E-2</v>
      </c>
      <c r="FI75" s="675">
        <v>0</v>
      </c>
      <c r="FJ75" s="675">
        <v>0</v>
      </c>
      <c r="FK75" s="675">
        <v>1554.5060000000001</v>
      </c>
      <c r="FL75" s="675">
        <v>10924490</v>
      </c>
      <c r="FM75" s="675">
        <v>0</v>
      </c>
      <c r="FN75" s="675">
        <v>0</v>
      </c>
      <c r="FO75" s="675">
        <v>0</v>
      </c>
      <c r="FP75" s="675">
        <v>0</v>
      </c>
      <c r="FQ75" s="675">
        <v>0</v>
      </c>
      <c r="FR75" s="675">
        <v>0</v>
      </c>
      <c r="FS75" s="675">
        <v>0</v>
      </c>
      <c r="FT75" s="675">
        <v>0</v>
      </c>
      <c r="FU75" s="675">
        <v>0</v>
      </c>
      <c r="FV75" s="675">
        <v>0</v>
      </c>
      <c r="FW75" s="675">
        <v>0</v>
      </c>
      <c r="FX75" s="675">
        <v>0</v>
      </c>
      <c r="FY75" s="675">
        <v>0</v>
      </c>
      <c r="FZ75" s="675">
        <v>0</v>
      </c>
      <c r="GA75" s="675">
        <v>0</v>
      </c>
      <c r="GB75" s="675">
        <v>889302</v>
      </c>
      <c r="GC75" s="675">
        <v>889302</v>
      </c>
      <c r="GD75" s="675">
        <v>94.001000000000005</v>
      </c>
      <c r="GE75" s="675">
        <v>0</v>
      </c>
      <c r="GF75" s="675">
        <v>0</v>
      </c>
      <c r="GG75" s="675">
        <v>0</v>
      </c>
      <c r="GH75" s="675">
        <v>0</v>
      </c>
      <c r="GI75" s="675">
        <v>0</v>
      </c>
      <c r="GJ75" s="675">
        <v>0</v>
      </c>
      <c r="GK75" s="675">
        <v>0</v>
      </c>
      <c r="GL75" s="675">
        <v>0</v>
      </c>
      <c r="GM75" s="675">
        <v>0</v>
      </c>
      <c r="GN75" s="675">
        <v>0</v>
      </c>
      <c r="GO75" s="675">
        <v>0</v>
      </c>
      <c r="GP75" s="675">
        <v>0</v>
      </c>
      <c r="GQ75" s="675">
        <v>0</v>
      </c>
      <c r="GR75" s="675">
        <v>0</v>
      </c>
      <c r="GS75" s="675">
        <v>0</v>
      </c>
      <c r="GT75" s="675">
        <v>0</v>
      </c>
      <c r="GU75" s="675">
        <v>0</v>
      </c>
      <c r="GV75" s="675">
        <v>0</v>
      </c>
      <c r="GW75" s="675">
        <v>0</v>
      </c>
      <c r="GX75" s="675">
        <v>0</v>
      </c>
      <c r="GY75" s="675">
        <v>0</v>
      </c>
      <c r="GZ75" s="675">
        <v>0</v>
      </c>
      <c r="HA75" s="675">
        <v>0</v>
      </c>
      <c r="HB75" s="675">
        <v>308877260</v>
      </c>
      <c r="HC75" s="675">
        <v>4.4138999999999998E-2</v>
      </c>
      <c r="HD75" s="675">
        <v>171634</v>
      </c>
      <c r="HE75" s="675">
        <v>0</v>
      </c>
      <c r="HF75" s="675">
        <v>940015</v>
      </c>
      <c r="HG75" s="675">
        <v>13552</v>
      </c>
      <c r="HH75" s="675">
        <v>175624</v>
      </c>
      <c r="HI75" s="675">
        <v>0</v>
      </c>
      <c r="HJ75" s="675">
        <v>9449</v>
      </c>
      <c r="HK75" s="675">
        <v>2070</v>
      </c>
      <c r="HL75" s="675">
        <v>1980</v>
      </c>
      <c r="HM75" s="675">
        <v>0</v>
      </c>
      <c r="HN75" s="675">
        <v>0</v>
      </c>
      <c r="HO75" s="675">
        <v>0</v>
      </c>
      <c r="HP75" s="675">
        <v>0</v>
      </c>
      <c r="HQ75" s="675">
        <v>0</v>
      </c>
      <c r="HR75" s="675">
        <v>0</v>
      </c>
      <c r="HS75" s="675">
        <v>9158799</v>
      </c>
      <c r="HT75" s="675">
        <v>201459</v>
      </c>
      <c r="HU75" s="675">
        <v>0</v>
      </c>
      <c r="HV75" s="675">
        <v>0</v>
      </c>
      <c r="HW75" s="675">
        <v>0</v>
      </c>
      <c r="HX75" s="675">
        <v>101</v>
      </c>
      <c r="HY75" s="675">
        <v>140</v>
      </c>
      <c r="HZ75" s="675">
        <v>143</v>
      </c>
      <c r="IA75" s="675">
        <v>319</v>
      </c>
      <c r="IB75" s="675">
        <v>262</v>
      </c>
      <c r="IC75" s="675">
        <v>965</v>
      </c>
      <c r="ID75" s="675">
        <v>0</v>
      </c>
      <c r="IE75" s="675">
        <v>0</v>
      </c>
      <c r="IF75" s="675">
        <v>0</v>
      </c>
      <c r="IG75" s="675">
        <v>22</v>
      </c>
      <c r="IH75" s="675">
        <v>285.10599999999999</v>
      </c>
      <c r="II75" s="675">
        <v>0</v>
      </c>
      <c r="IJ75" s="675">
        <v>223.89700000000002</v>
      </c>
      <c r="IK75" s="675">
        <v>0</v>
      </c>
      <c r="IL75" s="675">
        <v>0</v>
      </c>
      <c r="IM75" s="675">
        <v>0</v>
      </c>
      <c r="IN75" s="675">
        <v>0</v>
      </c>
      <c r="IO75" s="675">
        <v>0</v>
      </c>
      <c r="IP75" s="675">
        <v>0</v>
      </c>
      <c r="IQ75" s="675">
        <v>223.89700000000002</v>
      </c>
      <c r="IR75" s="675">
        <v>137920</v>
      </c>
      <c r="IS75" s="675">
        <v>0</v>
      </c>
      <c r="IT75" s="675">
        <v>0</v>
      </c>
      <c r="IU75" s="675">
        <v>0</v>
      </c>
      <c r="IV75" s="675">
        <v>0</v>
      </c>
      <c r="IW75" s="675">
        <v>6160</v>
      </c>
      <c r="IX75" s="675">
        <v>0</v>
      </c>
      <c r="IY75" s="675">
        <v>0</v>
      </c>
      <c r="IZ75" s="675">
        <v>0</v>
      </c>
      <c r="JA75" s="675">
        <v>0</v>
      </c>
      <c r="JB75" s="675">
        <v>0</v>
      </c>
      <c r="JC75" s="675">
        <v>0</v>
      </c>
      <c r="JD75" s="675">
        <v>0</v>
      </c>
      <c r="JE75" s="675">
        <v>0</v>
      </c>
      <c r="JF75" s="675">
        <v>0</v>
      </c>
      <c r="JG75" s="675">
        <v>0</v>
      </c>
      <c r="JH75" s="675">
        <v>0</v>
      </c>
      <c r="JI75" s="675">
        <v>0</v>
      </c>
      <c r="JJ75" s="675">
        <v>0</v>
      </c>
      <c r="JK75" s="675">
        <v>0</v>
      </c>
      <c r="JL75" s="675">
        <v>0</v>
      </c>
      <c r="JM75" s="675">
        <v>0</v>
      </c>
      <c r="JN75" s="675">
        <v>32469</v>
      </c>
      <c r="JO75" s="675">
        <v>8.4560000000000013</v>
      </c>
      <c r="JP75" s="675">
        <v>66.369</v>
      </c>
      <c r="JQ75" s="675">
        <v>19.176000000000002</v>
      </c>
      <c r="JR75" s="675">
        <v>67558</v>
      </c>
      <c r="JS75" s="675">
        <v>617009</v>
      </c>
      <c r="JT75" s="675">
        <v>204735</v>
      </c>
      <c r="JU75" s="675">
        <v>12074</v>
      </c>
      <c r="JV75" s="675">
        <v>0</v>
      </c>
      <c r="JW75" s="675">
        <v>0</v>
      </c>
      <c r="JX75" s="675">
        <v>0</v>
      </c>
      <c r="JY75" s="675">
        <v>0</v>
      </c>
      <c r="JZ75" s="675">
        <v>0</v>
      </c>
      <c r="KA75" s="675">
        <v>0</v>
      </c>
      <c r="KB75" s="675">
        <v>0</v>
      </c>
      <c r="KC75" s="675">
        <v>0</v>
      </c>
      <c r="KD75" s="675">
        <v>12074</v>
      </c>
      <c r="KE75" s="675">
        <v>7263</v>
      </c>
      <c r="KF75" s="675">
        <v>0</v>
      </c>
      <c r="KG75" s="675">
        <v>0</v>
      </c>
      <c r="KH75" s="675">
        <v>0</v>
      </c>
      <c r="KI75" s="675">
        <v>0</v>
      </c>
    </row>
    <row r="76" spans="1:295" ht="12.5" x14ac:dyDescent="0.25">
      <c r="A76" s="675">
        <v>35795</v>
      </c>
      <c r="B76" s="675">
        <v>71806</v>
      </c>
      <c r="C76" s="675">
        <v>7</v>
      </c>
      <c r="D76" s="675">
        <v>2022</v>
      </c>
      <c r="E76" s="675">
        <v>6160</v>
      </c>
      <c r="F76" s="675">
        <v>0</v>
      </c>
      <c r="G76" s="675">
        <v>4245.6190000000006</v>
      </c>
      <c r="H76" s="675">
        <v>3975.8190000000004</v>
      </c>
      <c r="I76" s="675">
        <v>3975.8190000000004</v>
      </c>
      <c r="J76" s="675">
        <v>4245.6190000000006</v>
      </c>
      <c r="K76" s="675">
        <v>0</v>
      </c>
      <c r="L76" s="675">
        <v>6160</v>
      </c>
      <c r="M76" s="675">
        <v>0</v>
      </c>
      <c r="N76" s="675">
        <v>0</v>
      </c>
      <c r="O76" s="675">
        <v>0</v>
      </c>
      <c r="P76" s="675">
        <v>3872.0680000000002</v>
      </c>
      <c r="Q76" s="675">
        <v>0</v>
      </c>
      <c r="R76" s="675">
        <v>1558229</v>
      </c>
      <c r="S76" s="675">
        <v>402.428</v>
      </c>
      <c r="T76" s="675">
        <v>0</v>
      </c>
      <c r="U76" s="675">
        <v>828630</v>
      </c>
      <c r="V76" s="675">
        <v>1046.4929999999999</v>
      </c>
      <c r="W76" s="675">
        <v>644637</v>
      </c>
      <c r="X76" s="675">
        <v>644637</v>
      </c>
      <c r="Y76" s="675">
        <v>0</v>
      </c>
      <c r="Z76" s="675">
        <v>0</v>
      </c>
      <c r="AA76" s="675">
        <v>0</v>
      </c>
      <c r="AB76" s="675">
        <v>0</v>
      </c>
      <c r="AC76" s="675">
        <v>0</v>
      </c>
      <c r="AD76" s="675" t="s">
        <v>316</v>
      </c>
      <c r="AE76" s="675">
        <v>0</v>
      </c>
      <c r="AF76" s="675">
        <v>0</v>
      </c>
      <c r="AG76" s="675">
        <v>0</v>
      </c>
      <c r="AH76" s="675">
        <v>0</v>
      </c>
      <c r="AI76" s="675">
        <v>0</v>
      </c>
      <c r="AJ76" s="675">
        <v>6160</v>
      </c>
      <c r="AK76" s="675" t="s">
        <v>671</v>
      </c>
      <c r="AL76" s="675" t="s">
        <v>900</v>
      </c>
      <c r="AM76" s="675">
        <v>0</v>
      </c>
      <c r="AN76" s="675">
        <v>0</v>
      </c>
      <c r="AO76" s="675">
        <v>0</v>
      </c>
      <c r="AP76" s="675">
        <v>0</v>
      </c>
      <c r="AQ76" s="675">
        <v>0</v>
      </c>
      <c r="AR76" s="675">
        <v>0</v>
      </c>
      <c r="AS76" s="675">
        <v>0</v>
      </c>
      <c r="AT76" s="675">
        <v>0</v>
      </c>
      <c r="AU76" s="675">
        <v>0</v>
      </c>
      <c r="AV76" s="675">
        <v>-81733</v>
      </c>
      <c r="AW76" s="675">
        <v>44895063</v>
      </c>
      <c r="AX76" s="675">
        <v>44154970</v>
      </c>
      <c r="AY76" s="675">
        <v>28961039</v>
      </c>
      <c r="AZ76" s="675">
        <v>1558229</v>
      </c>
      <c r="BA76" s="675">
        <v>0</v>
      </c>
      <c r="BB76" s="675">
        <v>87533</v>
      </c>
      <c r="BC76" s="675">
        <v>86967</v>
      </c>
      <c r="BD76" s="675">
        <v>203</v>
      </c>
      <c r="BE76" s="675">
        <v>566</v>
      </c>
      <c r="BF76" s="675">
        <v>40254532</v>
      </c>
      <c r="BG76" s="675">
        <v>0</v>
      </c>
      <c r="BH76" s="675">
        <v>0</v>
      </c>
      <c r="BI76" s="675">
        <v>0</v>
      </c>
      <c r="BJ76" s="675">
        <v>12</v>
      </c>
      <c r="BK76" s="675">
        <v>0</v>
      </c>
      <c r="BL76" s="675">
        <v>0</v>
      </c>
      <c r="BM76" s="675">
        <v>0</v>
      </c>
      <c r="BN76" s="675">
        <v>0</v>
      </c>
      <c r="BO76" s="675">
        <v>0</v>
      </c>
      <c r="BP76" s="675">
        <v>0</v>
      </c>
      <c r="BQ76" s="675">
        <v>158</v>
      </c>
      <c r="BR76" s="675">
        <v>0</v>
      </c>
      <c r="BS76" s="675">
        <v>0</v>
      </c>
      <c r="BT76" s="675">
        <v>0</v>
      </c>
      <c r="BU76" s="675">
        <v>0</v>
      </c>
      <c r="BV76" s="675">
        <v>0</v>
      </c>
      <c r="BW76" s="675">
        <v>0</v>
      </c>
      <c r="BX76" s="675">
        <v>0</v>
      </c>
      <c r="BY76" s="675">
        <v>0</v>
      </c>
      <c r="BZ76" s="675">
        <v>0</v>
      </c>
      <c r="CA76" s="675">
        <v>592.654</v>
      </c>
      <c r="CB76" s="675">
        <v>505399</v>
      </c>
      <c r="CC76" s="675">
        <v>0</v>
      </c>
      <c r="CD76" s="675">
        <v>0</v>
      </c>
      <c r="CE76" s="675">
        <v>0</v>
      </c>
      <c r="CF76" s="675">
        <v>0</v>
      </c>
      <c r="CG76" s="675">
        <v>0</v>
      </c>
      <c r="CH76" s="675">
        <v>749587</v>
      </c>
      <c r="CI76" s="675">
        <v>0</v>
      </c>
      <c r="CJ76" s="675">
        <v>4</v>
      </c>
      <c r="CK76" s="675">
        <v>0</v>
      </c>
      <c r="CL76" s="675">
        <v>0</v>
      </c>
      <c r="CM76" s="675">
        <v>0</v>
      </c>
      <c r="CN76" s="675">
        <v>0</v>
      </c>
      <c r="CO76" s="675">
        <v>1</v>
      </c>
      <c r="CP76" s="675">
        <v>0</v>
      </c>
      <c r="CQ76" s="675">
        <v>0</v>
      </c>
      <c r="CR76" s="675">
        <v>3905.0910000000003</v>
      </c>
      <c r="CS76" s="675">
        <v>0</v>
      </c>
      <c r="CT76" s="675">
        <v>0</v>
      </c>
      <c r="CU76" s="675">
        <v>0</v>
      </c>
      <c r="CV76" s="675">
        <v>0</v>
      </c>
      <c r="CW76" s="675">
        <v>0</v>
      </c>
      <c r="CX76" s="675">
        <v>0</v>
      </c>
      <c r="CY76" s="675">
        <v>0</v>
      </c>
      <c r="CZ76" s="675">
        <v>0</v>
      </c>
      <c r="DA76" s="675">
        <v>0</v>
      </c>
      <c r="DB76" s="675">
        <v>24360262</v>
      </c>
      <c r="DC76" s="675">
        <v>0</v>
      </c>
      <c r="DD76" s="675">
        <v>0</v>
      </c>
      <c r="DE76" s="675">
        <v>5042399</v>
      </c>
      <c r="DF76" s="675">
        <v>5042399</v>
      </c>
      <c r="DG76" s="675">
        <v>818.57500000000005</v>
      </c>
      <c r="DH76" s="675">
        <v>0</v>
      </c>
      <c r="DI76" s="675">
        <v>0</v>
      </c>
      <c r="DJ76" s="675">
        <v>0</v>
      </c>
      <c r="DK76" s="675">
        <v>0</v>
      </c>
      <c r="DL76" s="675">
        <v>0</v>
      </c>
      <c r="DM76" s="675">
        <v>2503800</v>
      </c>
      <c r="DN76" s="675">
        <v>8927</v>
      </c>
      <c r="DO76" s="675">
        <v>0</v>
      </c>
      <c r="DP76" s="675">
        <v>0</v>
      </c>
      <c r="DQ76" s="675">
        <v>0</v>
      </c>
      <c r="DR76" s="675">
        <v>0</v>
      </c>
      <c r="DS76" s="675">
        <v>0</v>
      </c>
      <c r="DT76" s="675">
        <v>0</v>
      </c>
      <c r="DU76" s="675">
        <v>0</v>
      </c>
      <c r="DV76" s="675">
        <v>0</v>
      </c>
      <c r="DW76" s="675">
        <v>0</v>
      </c>
      <c r="DX76" s="675">
        <v>0</v>
      </c>
      <c r="DY76" s="675">
        <v>0</v>
      </c>
      <c r="DZ76" s="675">
        <v>0</v>
      </c>
      <c r="EA76" s="675">
        <v>0</v>
      </c>
      <c r="EB76" s="675">
        <v>0</v>
      </c>
      <c r="EC76" s="675">
        <v>50.071000000000005</v>
      </c>
      <c r="ED76" s="675">
        <v>354701</v>
      </c>
      <c r="EE76" s="675">
        <v>0</v>
      </c>
      <c r="EF76" s="675">
        <v>0</v>
      </c>
      <c r="EG76" s="675">
        <v>0</v>
      </c>
      <c r="EH76" s="675">
        <v>2027357</v>
      </c>
      <c r="EI76" s="675">
        <v>0</v>
      </c>
      <c r="EJ76" s="675">
        <v>0</v>
      </c>
      <c r="EK76" s="675">
        <v>82.363</v>
      </c>
      <c r="EL76" s="675">
        <v>0</v>
      </c>
      <c r="EM76" s="675">
        <v>15.573</v>
      </c>
      <c r="EN76" s="675">
        <v>7.0620000000000003</v>
      </c>
      <c r="EO76" s="675">
        <v>0</v>
      </c>
      <c r="EP76" s="675">
        <v>0</v>
      </c>
      <c r="EQ76" s="675">
        <v>104.998</v>
      </c>
      <c r="ER76" s="675">
        <v>0</v>
      </c>
      <c r="ES76" s="675">
        <v>329.11799999999999</v>
      </c>
      <c r="ET76" s="675">
        <v>0</v>
      </c>
      <c r="EU76" s="675">
        <v>0</v>
      </c>
      <c r="EV76" s="675">
        <v>0</v>
      </c>
      <c r="EW76" s="675">
        <v>0</v>
      </c>
      <c r="EX76" s="675">
        <v>0</v>
      </c>
      <c r="EY76" s="675">
        <v>0</v>
      </c>
      <c r="EZ76" s="675">
        <v>39213365</v>
      </c>
      <c r="FA76" s="675">
        <v>0</v>
      </c>
      <c r="FB76" s="675">
        <v>40762100</v>
      </c>
      <c r="FC76" s="675">
        <v>0</v>
      </c>
      <c r="FD76" s="675">
        <v>0</v>
      </c>
      <c r="FE76" s="675">
        <v>4094710</v>
      </c>
      <c r="FF76" s="675">
        <v>846895</v>
      </c>
      <c r="FG76" s="675">
        <v>6.3574999999999993E-2</v>
      </c>
      <c r="FH76" s="675">
        <v>2.6297999999999998E-2</v>
      </c>
      <c r="FI76" s="675">
        <v>0</v>
      </c>
      <c r="FJ76" s="675">
        <v>0</v>
      </c>
      <c r="FK76" s="675">
        <v>6534.857</v>
      </c>
      <c r="FL76" s="675">
        <v>46453292</v>
      </c>
      <c r="FM76" s="675">
        <v>0</v>
      </c>
      <c r="FN76" s="675">
        <v>0</v>
      </c>
      <c r="FO76" s="675">
        <v>0</v>
      </c>
      <c r="FP76" s="675">
        <v>0</v>
      </c>
      <c r="FQ76" s="675">
        <v>0</v>
      </c>
      <c r="FR76" s="675">
        <v>0</v>
      </c>
      <c r="FS76" s="675">
        <v>0</v>
      </c>
      <c r="FT76" s="675">
        <v>0</v>
      </c>
      <c r="FU76" s="675">
        <v>0</v>
      </c>
      <c r="FV76" s="675">
        <v>0</v>
      </c>
      <c r="FW76" s="675">
        <v>0</v>
      </c>
      <c r="FX76" s="675">
        <v>0</v>
      </c>
      <c r="FY76" s="675">
        <v>0</v>
      </c>
      <c r="FZ76" s="675">
        <v>0</v>
      </c>
      <c r="GA76" s="675">
        <v>0</v>
      </c>
      <c r="GB76" s="675">
        <v>1583385</v>
      </c>
      <c r="GC76" s="675">
        <v>1583385</v>
      </c>
      <c r="GD76" s="675">
        <v>164.80200000000002</v>
      </c>
      <c r="GE76" s="675">
        <v>0</v>
      </c>
      <c r="GF76" s="675">
        <v>0</v>
      </c>
      <c r="GG76" s="675">
        <v>0</v>
      </c>
      <c r="GH76" s="675">
        <v>0</v>
      </c>
      <c r="GI76" s="675">
        <v>0</v>
      </c>
      <c r="GJ76" s="675">
        <v>0</v>
      </c>
      <c r="GK76" s="675">
        <v>0</v>
      </c>
      <c r="GL76" s="675">
        <v>0</v>
      </c>
      <c r="GM76" s="675">
        <v>0</v>
      </c>
      <c r="GN76" s="675">
        <v>0</v>
      </c>
      <c r="GO76" s="675">
        <v>0</v>
      </c>
      <c r="GP76" s="675">
        <v>0</v>
      </c>
      <c r="GQ76" s="675">
        <v>0</v>
      </c>
      <c r="GR76" s="675">
        <v>0</v>
      </c>
      <c r="GS76" s="675">
        <v>0</v>
      </c>
      <c r="GT76" s="675">
        <v>0</v>
      </c>
      <c r="GU76" s="675">
        <v>0</v>
      </c>
      <c r="GV76" s="675">
        <v>0</v>
      </c>
      <c r="GW76" s="675">
        <v>0</v>
      </c>
      <c r="GX76" s="675">
        <v>0</v>
      </c>
      <c r="GY76" s="675">
        <v>0</v>
      </c>
      <c r="GZ76" s="675">
        <v>0</v>
      </c>
      <c r="HA76" s="675">
        <v>0</v>
      </c>
      <c r="HB76" s="675">
        <v>308877260</v>
      </c>
      <c r="HC76" s="675">
        <v>4.4138999999999998E-2</v>
      </c>
      <c r="HD76" s="675">
        <v>749587</v>
      </c>
      <c r="HE76" s="675">
        <v>0</v>
      </c>
      <c r="HF76" s="675">
        <v>4385328</v>
      </c>
      <c r="HG76" s="675">
        <v>48664</v>
      </c>
      <c r="HH76" s="675">
        <v>894619</v>
      </c>
      <c r="HI76" s="675">
        <v>0</v>
      </c>
      <c r="HJ76" s="675">
        <v>41267</v>
      </c>
      <c r="HK76" s="675">
        <v>9576</v>
      </c>
      <c r="HL76" s="675">
        <v>2087</v>
      </c>
      <c r="HM76" s="675">
        <v>189000</v>
      </c>
      <c r="HN76" s="675">
        <v>365711</v>
      </c>
      <c r="HO76" s="675">
        <v>99000</v>
      </c>
      <c r="HP76" s="675">
        <v>0</v>
      </c>
      <c r="HQ76" s="675">
        <v>0</v>
      </c>
      <c r="HR76" s="675">
        <v>0</v>
      </c>
      <c r="HS76" s="675">
        <v>39203871</v>
      </c>
      <c r="HT76" s="675">
        <v>846895</v>
      </c>
      <c r="HU76" s="675">
        <v>0</v>
      </c>
      <c r="HV76" s="675">
        <v>0</v>
      </c>
      <c r="HW76" s="675">
        <v>0</v>
      </c>
      <c r="HX76" s="675">
        <v>522</v>
      </c>
      <c r="HY76" s="675">
        <v>724</v>
      </c>
      <c r="HZ76" s="675">
        <v>766</v>
      </c>
      <c r="IA76" s="675">
        <v>794</v>
      </c>
      <c r="IB76" s="675">
        <v>470</v>
      </c>
      <c r="IC76" s="675">
        <v>3276</v>
      </c>
      <c r="ID76" s="675">
        <v>0</v>
      </c>
      <c r="IE76" s="675">
        <v>0</v>
      </c>
      <c r="IF76" s="675">
        <v>0</v>
      </c>
      <c r="IG76" s="675">
        <v>79</v>
      </c>
      <c r="IH76" s="675">
        <v>1452.31</v>
      </c>
      <c r="II76" s="675">
        <v>0</v>
      </c>
      <c r="IJ76" s="675">
        <v>1046.4929999999999</v>
      </c>
      <c r="IK76" s="675">
        <v>0</v>
      </c>
      <c r="IL76" s="675">
        <v>32</v>
      </c>
      <c r="IM76" s="675">
        <v>9</v>
      </c>
      <c r="IN76" s="675">
        <v>1</v>
      </c>
      <c r="IO76" s="675">
        <v>42</v>
      </c>
      <c r="IP76" s="675">
        <v>0</v>
      </c>
      <c r="IQ76" s="675">
        <v>1046.4929999999999</v>
      </c>
      <c r="IR76" s="675">
        <v>644637</v>
      </c>
      <c r="IS76" s="675">
        <v>0</v>
      </c>
      <c r="IT76" s="675">
        <v>160000</v>
      </c>
      <c r="IU76" s="675">
        <v>27000</v>
      </c>
      <c r="IV76" s="675">
        <v>2000</v>
      </c>
      <c r="IW76" s="675">
        <v>6160</v>
      </c>
      <c r="IX76" s="675">
        <v>0</v>
      </c>
      <c r="IY76" s="675">
        <v>0</v>
      </c>
      <c r="IZ76" s="675">
        <v>0</v>
      </c>
      <c r="JA76" s="675">
        <v>0</v>
      </c>
      <c r="JB76" s="675">
        <v>1</v>
      </c>
      <c r="JC76" s="675">
        <v>19828</v>
      </c>
      <c r="JD76" s="675">
        <v>14</v>
      </c>
      <c r="JE76" s="675">
        <v>160278</v>
      </c>
      <c r="JF76" s="675">
        <v>31</v>
      </c>
      <c r="JG76" s="675">
        <v>161105</v>
      </c>
      <c r="JH76" s="675">
        <v>24500</v>
      </c>
      <c r="JI76" s="675">
        <v>0</v>
      </c>
      <c r="JJ76" s="675">
        <v>0</v>
      </c>
      <c r="JK76" s="675">
        <v>0</v>
      </c>
      <c r="JL76" s="675">
        <v>0</v>
      </c>
      <c r="JM76" s="675">
        <v>0</v>
      </c>
      <c r="JN76" s="675">
        <v>32469</v>
      </c>
      <c r="JO76" s="675">
        <v>21.961000000000002</v>
      </c>
      <c r="JP76" s="675">
        <v>84.876000000000005</v>
      </c>
      <c r="JQ76" s="675">
        <v>57.965000000000003</v>
      </c>
      <c r="JR76" s="675">
        <v>175453</v>
      </c>
      <c r="JS76" s="675">
        <v>789062</v>
      </c>
      <c r="JT76" s="675">
        <v>618870</v>
      </c>
      <c r="JU76" s="675">
        <v>87533</v>
      </c>
      <c r="JV76" s="675">
        <v>0</v>
      </c>
      <c r="JW76" s="675">
        <v>0</v>
      </c>
      <c r="JX76" s="675">
        <v>0</v>
      </c>
      <c r="JY76" s="675">
        <v>0</v>
      </c>
      <c r="JZ76" s="675">
        <v>0</v>
      </c>
      <c r="KA76" s="675">
        <v>0</v>
      </c>
      <c r="KB76" s="675">
        <v>0</v>
      </c>
      <c r="KC76" s="675">
        <v>0</v>
      </c>
      <c r="KD76" s="675">
        <v>87533</v>
      </c>
      <c r="KE76" s="675">
        <v>7263</v>
      </c>
      <c r="KF76" s="675">
        <v>0</v>
      </c>
      <c r="KG76" s="675">
        <v>0</v>
      </c>
      <c r="KH76" s="675">
        <v>0</v>
      </c>
      <c r="KI76" s="675">
        <v>0</v>
      </c>
    </row>
    <row r="77" spans="1:295" ht="12.5" x14ac:dyDescent="0.25">
      <c r="A77" s="675">
        <v>35795</v>
      </c>
      <c r="B77" s="675">
        <v>101806</v>
      </c>
      <c r="C77" s="675">
        <v>7</v>
      </c>
      <c r="D77" s="675">
        <v>2022</v>
      </c>
      <c r="E77" s="675">
        <v>6160</v>
      </c>
      <c r="F77" s="675">
        <v>0</v>
      </c>
      <c r="G77" s="675">
        <v>1462.2620000000002</v>
      </c>
      <c r="H77" s="675">
        <v>1338.675</v>
      </c>
      <c r="I77" s="675">
        <v>1338.675</v>
      </c>
      <c r="J77" s="675">
        <v>1462.2620000000002</v>
      </c>
      <c r="K77" s="675">
        <v>0</v>
      </c>
      <c r="L77" s="675">
        <v>6160</v>
      </c>
      <c r="M77" s="675">
        <v>0</v>
      </c>
      <c r="N77" s="675">
        <v>0</v>
      </c>
      <c r="O77" s="675">
        <v>0</v>
      </c>
      <c r="P77" s="675">
        <v>1255.23</v>
      </c>
      <c r="Q77" s="675">
        <v>0</v>
      </c>
      <c r="R77" s="675">
        <v>505140</v>
      </c>
      <c r="S77" s="675">
        <v>402.428</v>
      </c>
      <c r="T77" s="675">
        <v>0</v>
      </c>
      <c r="U77" s="675">
        <v>268619</v>
      </c>
      <c r="V77" s="675">
        <v>805.51200000000006</v>
      </c>
      <c r="W77" s="675">
        <v>496193</v>
      </c>
      <c r="X77" s="675">
        <v>496193</v>
      </c>
      <c r="Y77" s="675">
        <v>0</v>
      </c>
      <c r="Z77" s="675">
        <v>0</v>
      </c>
      <c r="AA77" s="675">
        <v>0</v>
      </c>
      <c r="AB77" s="675">
        <v>0</v>
      </c>
      <c r="AC77" s="675">
        <v>0</v>
      </c>
      <c r="AD77" s="675" t="s">
        <v>316</v>
      </c>
      <c r="AE77" s="675">
        <v>0</v>
      </c>
      <c r="AF77" s="675">
        <v>0</v>
      </c>
      <c r="AG77" s="675">
        <v>0</v>
      </c>
      <c r="AH77" s="675">
        <v>0</v>
      </c>
      <c r="AI77" s="675">
        <v>0</v>
      </c>
      <c r="AJ77" s="675">
        <v>6160</v>
      </c>
      <c r="AK77" s="675" t="s">
        <v>671</v>
      </c>
      <c r="AL77" s="675" t="s">
        <v>450</v>
      </c>
      <c r="AM77" s="675">
        <v>0</v>
      </c>
      <c r="AN77" s="675">
        <v>0</v>
      </c>
      <c r="AO77" s="675">
        <v>0</v>
      </c>
      <c r="AP77" s="675">
        <v>0</v>
      </c>
      <c r="AQ77" s="675">
        <v>0</v>
      </c>
      <c r="AR77" s="675">
        <v>0</v>
      </c>
      <c r="AS77" s="675">
        <v>0</v>
      </c>
      <c r="AT77" s="675">
        <v>0</v>
      </c>
      <c r="AU77" s="675">
        <v>0</v>
      </c>
      <c r="AV77" s="675">
        <v>-2509</v>
      </c>
      <c r="AW77" s="675">
        <v>16394720</v>
      </c>
      <c r="AX77" s="675">
        <v>16033188</v>
      </c>
      <c r="AY77" s="675">
        <v>10213175</v>
      </c>
      <c r="AZ77" s="675">
        <v>505140</v>
      </c>
      <c r="BA77" s="675">
        <v>0</v>
      </c>
      <c r="BB77" s="675">
        <v>28459</v>
      </c>
      <c r="BC77" s="675">
        <v>28275</v>
      </c>
      <c r="BD77" s="675">
        <v>66</v>
      </c>
      <c r="BE77" s="675">
        <v>184</v>
      </c>
      <c r="BF77" s="675">
        <v>14715077</v>
      </c>
      <c r="BG77" s="675">
        <v>0</v>
      </c>
      <c r="BH77" s="675">
        <v>0</v>
      </c>
      <c r="BI77" s="675">
        <v>0</v>
      </c>
      <c r="BJ77" s="675">
        <v>12</v>
      </c>
      <c r="BK77" s="675">
        <v>0</v>
      </c>
      <c r="BL77" s="675">
        <v>0</v>
      </c>
      <c r="BM77" s="675">
        <v>0</v>
      </c>
      <c r="BN77" s="675">
        <v>0</v>
      </c>
      <c r="BO77" s="675">
        <v>0</v>
      </c>
      <c r="BP77" s="675">
        <v>0</v>
      </c>
      <c r="BQ77" s="675">
        <v>564</v>
      </c>
      <c r="BR77" s="675">
        <v>0</v>
      </c>
      <c r="BS77" s="675">
        <v>0</v>
      </c>
      <c r="BT77" s="675">
        <v>0</v>
      </c>
      <c r="BU77" s="675">
        <v>0</v>
      </c>
      <c r="BV77" s="675">
        <v>0</v>
      </c>
      <c r="BW77" s="675">
        <v>0</v>
      </c>
      <c r="BX77" s="675">
        <v>0</v>
      </c>
      <c r="BY77" s="675">
        <v>0</v>
      </c>
      <c r="BZ77" s="675">
        <v>0</v>
      </c>
      <c r="CA77" s="675">
        <v>0</v>
      </c>
      <c r="CB77" s="675">
        <v>0</v>
      </c>
      <c r="CC77" s="675">
        <v>0</v>
      </c>
      <c r="CD77" s="675">
        <v>0</v>
      </c>
      <c r="CE77" s="675">
        <v>0</v>
      </c>
      <c r="CF77" s="675">
        <v>0</v>
      </c>
      <c r="CG77" s="675">
        <v>0</v>
      </c>
      <c r="CH77" s="675">
        <v>365036</v>
      </c>
      <c r="CI77" s="675">
        <v>0</v>
      </c>
      <c r="CJ77" s="675">
        <v>4</v>
      </c>
      <c r="CK77" s="675">
        <v>0</v>
      </c>
      <c r="CL77" s="675">
        <v>0</v>
      </c>
      <c r="CM77" s="675">
        <v>0</v>
      </c>
      <c r="CN77" s="675">
        <v>0</v>
      </c>
      <c r="CO77" s="675">
        <v>1</v>
      </c>
      <c r="CP77" s="675">
        <v>0</v>
      </c>
      <c r="CQ77" s="675">
        <v>0</v>
      </c>
      <c r="CR77" s="675">
        <v>1253.94</v>
      </c>
      <c r="CS77" s="675">
        <v>0</v>
      </c>
      <c r="CT77" s="675">
        <v>0</v>
      </c>
      <c r="CU77" s="675">
        <v>0</v>
      </c>
      <c r="CV77" s="675">
        <v>0</v>
      </c>
      <c r="CW77" s="675">
        <v>0</v>
      </c>
      <c r="CX77" s="675">
        <v>0</v>
      </c>
      <c r="CY77" s="675">
        <v>0</v>
      </c>
      <c r="CZ77" s="675">
        <v>0</v>
      </c>
      <c r="DA77" s="675">
        <v>0</v>
      </c>
      <c r="DB77" s="675">
        <v>8246200</v>
      </c>
      <c r="DC77" s="675">
        <v>0</v>
      </c>
      <c r="DD77" s="675">
        <v>0</v>
      </c>
      <c r="DE77" s="675">
        <v>2443892</v>
      </c>
      <c r="DF77" s="675">
        <v>2443892</v>
      </c>
      <c r="DG77" s="675">
        <v>396.738</v>
      </c>
      <c r="DH77" s="675">
        <v>0</v>
      </c>
      <c r="DI77" s="675">
        <v>0</v>
      </c>
      <c r="DJ77" s="675">
        <v>0</v>
      </c>
      <c r="DK77" s="675">
        <v>644</v>
      </c>
      <c r="DL77" s="675">
        <v>0</v>
      </c>
      <c r="DM77" s="675">
        <v>882480</v>
      </c>
      <c r="DN77" s="675">
        <v>3320</v>
      </c>
      <c r="DO77" s="675">
        <v>0</v>
      </c>
      <c r="DP77" s="675">
        <v>0</v>
      </c>
      <c r="DQ77" s="675">
        <v>0</v>
      </c>
      <c r="DR77" s="675">
        <v>0</v>
      </c>
      <c r="DS77" s="675">
        <v>0</v>
      </c>
      <c r="DT77" s="675">
        <v>0</v>
      </c>
      <c r="DU77" s="675">
        <v>0</v>
      </c>
      <c r="DV77" s="675">
        <v>0</v>
      </c>
      <c r="DW77" s="675">
        <v>0</v>
      </c>
      <c r="DX77" s="675">
        <v>0</v>
      </c>
      <c r="DY77" s="675">
        <v>0</v>
      </c>
      <c r="DZ77" s="675">
        <v>0</v>
      </c>
      <c r="EA77" s="675">
        <v>0</v>
      </c>
      <c r="EB77" s="675">
        <v>0</v>
      </c>
      <c r="EC77" s="675">
        <v>18.676000000000002</v>
      </c>
      <c r="ED77" s="675">
        <v>132300</v>
      </c>
      <c r="EE77" s="675">
        <v>0</v>
      </c>
      <c r="EF77" s="675">
        <v>0</v>
      </c>
      <c r="EG77" s="675">
        <v>0</v>
      </c>
      <c r="EH77" s="675">
        <v>753500</v>
      </c>
      <c r="EI77" s="675">
        <v>0</v>
      </c>
      <c r="EJ77" s="675">
        <v>0</v>
      </c>
      <c r="EK77" s="675">
        <v>31.147000000000002</v>
      </c>
      <c r="EL77" s="675">
        <v>0</v>
      </c>
      <c r="EM77" s="675">
        <v>4.9320000000000004</v>
      </c>
      <c r="EN77" s="675">
        <v>2.8170000000000002</v>
      </c>
      <c r="EO77" s="675">
        <v>0</v>
      </c>
      <c r="EP77" s="675">
        <v>0</v>
      </c>
      <c r="EQ77" s="675">
        <v>38.896000000000001</v>
      </c>
      <c r="ER77" s="675">
        <v>0</v>
      </c>
      <c r="ES77" s="675">
        <v>122.322</v>
      </c>
      <c r="ET77" s="675">
        <v>0</v>
      </c>
      <c r="EU77" s="675">
        <v>0</v>
      </c>
      <c r="EV77" s="675">
        <v>0</v>
      </c>
      <c r="EW77" s="675">
        <v>0</v>
      </c>
      <c r="EX77" s="675">
        <v>0</v>
      </c>
      <c r="EY77" s="675">
        <v>0</v>
      </c>
      <c r="EZ77" s="675">
        <v>14226781</v>
      </c>
      <c r="FA77" s="675">
        <v>0</v>
      </c>
      <c r="FB77" s="675">
        <v>14728417</v>
      </c>
      <c r="FC77" s="675">
        <v>0</v>
      </c>
      <c r="FD77" s="675">
        <v>0</v>
      </c>
      <c r="FE77" s="675">
        <v>1496824</v>
      </c>
      <c r="FF77" s="675">
        <v>309583</v>
      </c>
      <c r="FG77" s="675">
        <v>6.3574999999999993E-2</v>
      </c>
      <c r="FH77" s="675">
        <v>2.6297999999999998E-2</v>
      </c>
      <c r="FI77" s="675">
        <v>0</v>
      </c>
      <c r="FJ77" s="675">
        <v>0</v>
      </c>
      <c r="FK77" s="675">
        <v>2388.8220000000001</v>
      </c>
      <c r="FL77" s="675">
        <v>16899860</v>
      </c>
      <c r="FM77" s="675">
        <v>0</v>
      </c>
      <c r="FN77" s="675">
        <v>0</v>
      </c>
      <c r="FO77" s="675">
        <v>12549</v>
      </c>
      <c r="FP77" s="675">
        <v>0</v>
      </c>
      <c r="FQ77" s="675">
        <v>12549</v>
      </c>
      <c r="FR77" s="675">
        <v>12549</v>
      </c>
      <c r="FS77" s="675">
        <v>0</v>
      </c>
      <c r="FT77" s="675">
        <v>0</v>
      </c>
      <c r="FU77" s="675">
        <v>0</v>
      </c>
      <c r="FV77" s="675">
        <v>0</v>
      </c>
      <c r="FW77" s="675">
        <v>0</v>
      </c>
      <c r="FX77" s="675">
        <v>0</v>
      </c>
      <c r="FY77" s="675">
        <v>0</v>
      </c>
      <c r="FZ77" s="675">
        <v>0</v>
      </c>
      <c r="GA77" s="675">
        <v>0</v>
      </c>
      <c r="GB77" s="675">
        <v>786211</v>
      </c>
      <c r="GC77" s="675">
        <v>786211</v>
      </c>
      <c r="GD77" s="675">
        <v>84.691000000000003</v>
      </c>
      <c r="GE77" s="675">
        <v>0</v>
      </c>
      <c r="GF77" s="675">
        <v>0</v>
      </c>
      <c r="GG77" s="675">
        <v>0</v>
      </c>
      <c r="GH77" s="675">
        <v>0</v>
      </c>
      <c r="GI77" s="675">
        <v>0</v>
      </c>
      <c r="GJ77" s="675">
        <v>0</v>
      </c>
      <c r="GK77" s="675">
        <v>0</v>
      </c>
      <c r="GL77" s="675">
        <v>0</v>
      </c>
      <c r="GM77" s="675">
        <v>0</v>
      </c>
      <c r="GN77" s="675">
        <v>0</v>
      </c>
      <c r="GO77" s="675">
        <v>0</v>
      </c>
      <c r="GP77" s="675">
        <v>0</v>
      </c>
      <c r="GQ77" s="675">
        <v>0</v>
      </c>
      <c r="GR77" s="675">
        <v>0</v>
      </c>
      <c r="GS77" s="675">
        <v>0</v>
      </c>
      <c r="GT77" s="675">
        <v>0</v>
      </c>
      <c r="GU77" s="675">
        <v>0</v>
      </c>
      <c r="GV77" s="675">
        <v>0</v>
      </c>
      <c r="GW77" s="675">
        <v>0</v>
      </c>
      <c r="GX77" s="675">
        <v>0</v>
      </c>
      <c r="GY77" s="675">
        <v>0</v>
      </c>
      <c r="GZ77" s="675">
        <v>0</v>
      </c>
      <c r="HA77" s="675">
        <v>0</v>
      </c>
      <c r="HB77" s="675">
        <v>308877260</v>
      </c>
      <c r="HC77" s="675">
        <v>4.4138999999999998E-2</v>
      </c>
      <c r="HD77" s="675">
        <v>258170</v>
      </c>
      <c r="HE77" s="675">
        <v>0</v>
      </c>
      <c r="HF77" s="675">
        <v>1476559</v>
      </c>
      <c r="HG77" s="675">
        <v>1848</v>
      </c>
      <c r="HH77" s="675">
        <v>307702</v>
      </c>
      <c r="HI77" s="675">
        <v>0</v>
      </c>
      <c r="HJ77" s="675">
        <v>14213</v>
      </c>
      <c r="HK77" s="675">
        <v>3492</v>
      </c>
      <c r="HL77" s="675">
        <v>803</v>
      </c>
      <c r="HM77" s="675">
        <v>0</v>
      </c>
      <c r="HN77" s="675">
        <v>0</v>
      </c>
      <c r="HO77" s="675">
        <v>28000</v>
      </c>
      <c r="HP77" s="675">
        <v>0</v>
      </c>
      <c r="HQ77" s="675">
        <v>0</v>
      </c>
      <c r="HR77" s="675">
        <v>0</v>
      </c>
      <c r="HS77" s="675">
        <v>14223277</v>
      </c>
      <c r="HT77" s="675">
        <v>309583</v>
      </c>
      <c r="HU77" s="675">
        <v>0</v>
      </c>
      <c r="HV77" s="675">
        <v>0</v>
      </c>
      <c r="HW77" s="675">
        <v>0</v>
      </c>
      <c r="HX77" s="675">
        <v>42</v>
      </c>
      <c r="HY77" s="675">
        <v>113</v>
      </c>
      <c r="HZ77" s="675">
        <v>248</v>
      </c>
      <c r="IA77" s="675">
        <v>522</v>
      </c>
      <c r="IB77" s="675">
        <v>587</v>
      </c>
      <c r="IC77" s="675">
        <v>1512</v>
      </c>
      <c r="ID77" s="675">
        <v>0</v>
      </c>
      <c r="IE77" s="675">
        <v>0</v>
      </c>
      <c r="IF77" s="675">
        <v>0</v>
      </c>
      <c r="IG77" s="675">
        <v>3</v>
      </c>
      <c r="IH77" s="675">
        <v>499.51800000000003</v>
      </c>
      <c r="II77" s="675">
        <v>0</v>
      </c>
      <c r="IJ77" s="675">
        <v>805.51200000000006</v>
      </c>
      <c r="IK77" s="675">
        <v>0</v>
      </c>
      <c r="IL77" s="675">
        <v>0</v>
      </c>
      <c r="IM77" s="675">
        <v>0</v>
      </c>
      <c r="IN77" s="675">
        <v>0</v>
      </c>
      <c r="IO77" s="675">
        <v>0</v>
      </c>
      <c r="IP77" s="675">
        <v>0</v>
      </c>
      <c r="IQ77" s="675">
        <v>805.51200000000006</v>
      </c>
      <c r="IR77" s="675">
        <v>496193</v>
      </c>
      <c r="IS77" s="675">
        <v>0</v>
      </c>
      <c r="IT77" s="675">
        <v>0</v>
      </c>
      <c r="IU77" s="675">
        <v>0</v>
      </c>
      <c r="IV77" s="675">
        <v>0</v>
      </c>
      <c r="IW77" s="675">
        <v>6160</v>
      </c>
      <c r="IX77" s="675">
        <v>0</v>
      </c>
      <c r="IY77" s="675">
        <v>0</v>
      </c>
      <c r="IZ77" s="675">
        <v>0</v>
      </c>
      <c r="JA77" s="675">
        <v>0</v>
      </c>
      <c r="JB77" s="675">
        <v>0</v>
      </c>
      <c r="JC77" s="675">
        <v>0</v>
      </c>
      <c r="JD77" s="675">
        <v>0</v>
      </c>
      <c r="JE77" s="675">
        <v>0</v>
      </c>
      <c r="JF77" s="675">
        <v>0</v>
      </c>
      <c r="JG77" s="675">
        <v>0</v>
      </c>
      <c r="JH77" s="675">
        <v>0</v>
      </c>
      <c r="JI77" s="675">
        <v>0</v>
      </c>
      <c r="JJ77" s="675">
        <v>0</v>
      </c>
      <c r="JK77" s="675">
        <v>0</v>
      </c>
      <c r="JL77" s="675">
        <v>0</v>
      </c>
      <c r="JM77" s="675">
        <v>0</v>
      </c>
      <c r="JN77" s="675">
        <v>32469</v>
      </c>
      <c r="JO77" s="675">
        <v>26.528000000000002</v>
      </c>
      <c r="JP77" s="675">
        <v>33.85</v>
      </c>
      <c r="JQ77" s="675">
        <v>24.313000000000002</v>
      </c>
      <c r="JR77" s="675">
        <v>211940</v>
      </c>
      <c r="JS77" s="675">
        <v>314691</v>
      </c>
      <c r="JT77" s="675">
        <v>259580</v>
      </c>
      <c r="JU77" s="675">
        <v>28459</v>
      </c>
      <c r="JV77" s="675">
        <v>0</v>
      </c>
      <c r="JW77" s="675">
        <v>0</v>
      </c>
      <c r="JX77" s="675">
        <v>0</v>
      </c>
      <c r="JY77" s="675">
        <v>0</v>
      </c>
      <c r="JZ77" s="675">
        <v>0</v>
      </c>
      <c r="KA77" s="675">
        <v>0</v>
      </c>
      <c r="KB77" s="675">
        <v>0</v>
      </c>
      <c r="KC77" s="675">
        <v>0</v>
      </c>
      <c r="KD77" s="675">
        <v>28459</v>
      </c>
      <c r="KE77" s="675">
        <v>7263</v>
      </c>
      <c r="KF77" s="675">
        <v>106866</v>
      </c>
      <c r="KG77" s="675">
        <v>0</v>
      </c>
      <c r="KH77" s="675">
        <v>0</v>
      </c>
      <c r="KI77" s="675">
        <v>0</v>
      </c>
    </row>
    <row r="78" spans="1:295" ht="12.5" x14ac:dyDescent="0.25">
      <c r="A78" s="675">
        <v>35795</v>
      </c>
      <c r="B78" s="675">
        <v>152806</v>
      </c>
      <c r="C78" s="675">
        <v>7</v>
      </c>
      <c r="D78" s="675">
        <v>2022</v>
      </c>
      <c r="E78" s="675">
        <v>6160</v>
      </c>
      <c r="F78" s="675">
        <v>0</v>
      </c>
      <c r="G78" s="675">
        <v>183.92100000000002</v>
      </c>
      <c r="H78" s="675">
        <v>151.53200000000001</v>
      </c>
      <c r="I78" s="675">
        <v>151.53200000000001</v>
      </c>
      <c r="J78" s="675">
        <v>183.92100000000002</v>
      </c>
      <c r="K78" s="675">
        <v>0</v>
      </c>
      <c r="L78" s="675">
        <v>6160</v>
      </c>
      <c r="M78" s="675">
        <v>0</v>
      </c>
      <c r="N78" s="675">
        <v>0</v>
      </c>
      <c r="O78" s="675">
        <v>0</v>
      </c>
      <c r="P78" s="675">
        <v>137.048</v>
      </c>
      <c r="Q78" s="675">
        <v>0</v>
      </c>
      <c r="R78" s="675">
        <v>55152</v>
      </c>
      <c r="S78" s="675">
        <v>402.428</v>
      </c>
      <c r="T78" s="675">
        <v>0</v>
      </c>
      <c r="U78" s="675">
        <v>29328</v>
      </c>
      <c r="V78" s="675">
        <v>0</v>
      </c>
      <c r="W78" s="675">
        <v>0</v>
      </c>
      <c r="X78" s="675">
        <v>0</v>
      </c>
      <c r="Y78" s="675">
        <v>0</v>
      </c>
      <c r="Z78" s="675">
        <v>0</v>
      </c>
      <c r="AA78" s="675">
        <v>0</v>
      </c>
      <c r="AB78" s="675">
        <v>0</v>
      </c>
      <c r="AC78" s="675">
        <v>0</v>
      </c>
      <c r="AD78" s="675" t="s">
        <v>316</v>
      </c>
      <c r="AE78" s="675">
        <v>0</v>
      </c>
      <c r="AF78" s="675">
        <v>0</v>
      </c>
      <c r="AG78" s="675">
        <v>0</v>
      </c>
      <c r="AH78" s="675">
        <v>0</v>
      </c>
      <c r="AI78" s="675">
        <v>0</v>
      </c>
      <c r="AJ78" s="675">
        <v>6160</v>
      </c>
      <c r="AK78" s="675" t="s">
        <v>671</v>
      </c>
      <c r="AL78" s="675" t="s">
        <v>543</v>
      </c>
      <c r="AM78" s="675">
        <v>0</v>
      </c>
      <c r="AN78" s="675">
        <v>0</v>
      </c>
      <c r="AO78" s="675">
        <v>0</v>
      </c>
      <c r="AP78" s="675">
        <v>0</v>
      </c>
      <c r="AQ78" s="675">
        <v>0</v>
      </c>
      <c r="AR78" s="675">
        <v>0</v>
      </c>
      <c r="AS78" s="675">
        <v>0</v>
      </c>
      <c r="AT78" s="675">
        <v>0</v>
      </c>
      <c r="AU78" s="675">
        <v>0</v>
      </c>
      <c r="AV78" s="675">
        <v>-1420</v>
      </c>
      <c r="AW78" s="675">
        <v>2267648</v>
      </c>
      <c r="AX78" s="675">
        <v>2270206</v>
      </c>
      <c r="AY78" s="675">
        <v>1361100</v>
      </c>
      <c r="AZ78" s="675">
        <v>55152</v>
      </c>
      <c r="BA78" s="675">
        <v>0</v>
      </c>
      <c r="BB78" s="675">
        <v>0</v>
      </c>
      <c r="BC78" s="675">
        <v>0</v>
      </c>
      <c r="BD78" s="675">
        <v>0</v>
      </c>
      <c r="BE78" s="675">
        <v>0</v>
      </c>
      <c r="BF78" s="675">
        <v>2071111</v>
      </c>
      <c r="BG78" s="675">
        <v>0</v>
      </c>
      <c r="BH78" s="675">
        <v>0</v>
      </c>
      <c r="BI78" s="675">
        <v>0</v>
      </c>
      <c r="BJ78" s="675">
        <v>12</v>
      </c>
      <c r="BK78" s="675">
        <v>0</v>
      </c>
      <c r="BL78" s="675">
        <v>0</v>
      </c>
      <c r="BM78" s="675">
        <v>0</v>
      </c>
      <c r="BN78" s="675">
        <v>0</v>
      </c>
      <c r="BO78" s="675">
        <v>0</v>
      </c>
      <c r="BP78" s="675">
        <v>0</v>
      </c>
      <c r="BQ78" s="675">
        <v>747</v>
      </c>
      <c r="BR78" s="675">
        <v>0</v>
      </c>
      <c r="BS78" s="675">
        <v>0</v>
      </c>
      <c r="BT78" s="675">
        <v>0</v>
      </c>
      <c r="BU78" s="675">
        <v>0</v>
      </c>
      <c r="BV78" s="675">
        <v>0</v>
      </c>
      <c r="BW78" s="675">
        <v>0</v>
      </c>
      <c r="BX78" s="675">
        <v>0</v>
      </c>
      <c r="BY78" s="675">
        <v>0</v>
      </c>
      <c r="BZ78" s="675">
        <v>0</v>
      </c>
      <c r="CA78" s="675">
        <v>0</v>
      </c>
      <c r="CB78" s="675">
        <v>0</v>
      </c>
      <c r="CC78" s="675">
        <v>0</v>
      </c>
      <c r="CD78" s="675">
        <v>0</v>
      </c>
      <c r="CE78" s="675">
        <v>0</v>
      </c>
      <c r="CF78" s="675">
        <v>0</v>
      </c>
      <c r="CG78" s="675">
        <v>0</v>
      </c>
      <c r="CH78" s="675">
        <v>0</v>
      </c>
      <c r="CI78" s="675">
        <v>0</v>
      </c>
      <c r="CJ78" s="675">
        <v>4</v>
      </c>
      <c r="CK78" s="675">
        <v>0</v>
      </c>
      <c r="CL78" s="675">
        <v>0</v>
      </c>
      <c r="CM78" s="675">
        <v>0</v>
      </c>
      <c r="CN78" s="675">
        <v>0</v>
      </c>
      <c r="CO78" s="675">
        <v>1</v>
      </c>
      <c r="CP78" s="675">
        <v>0</v>
      </c>
      <c r="CQ78" s="675">
        <v>0</v>
      </c>
      <c r="CR78" s="675">
        <v>137.50900000000001</v>
      </c>
      <c r="CS78" s="675">
        <v>0</v>
      </c>
      <c r="CT78" s="675">
        <v>0</v>
      </c>
      <c r="CU78" s="675">
        <v>0</v>
      </c>
      <c r="CV78" s="675">
        <v>0</v>
      </c>
      <c r="CW78" s="675">
        <v>0</v>
      </c>
      <c r="CX78" s="675">
        <v>0</v>
      </c>
      <c r="CY78" s="675">
        <v>0</v>
      </c>
      <c r="CZ78" s="675">
        <v>0</v>
      </c>
      <c r="DA78" s="675">
        <v>0</v>
      </c>
      <c r="DB78" s="675">
        <v>933433</v>
      </c>
      <c r="DC78" s="675">
        <v>0</v>
      </c>
      <c r="DD78" s="675">
        <v>0</v>
      </c>
      <c r="DE78" s="675">
        <v>206975</v>
      </c>
      <c r="DF78" s="675">
        <v>206975</v>
      </c>
      <c r="DG78" s="675">
        <v>33.6</v>
      </c>
      <c r="DH78" s="675">
        <v>0</v>
      </c>
      <c r="DI78" s="675">
        <v>0</v>
      </c>
      <c r="DJ78" s="675">
        <v>0</v>
      </c>
      <c r="DK78" s="675">
        <v>3569</v>
      </c>
      <c r="DL78" s="675">
        <v>0</v>
      </c>
      <c r="DM78" s="675">
        <v>679979</v>
      </c>
      <c r="DN78" s="675">
        <v>2558</v>
      </c>
      <c r="DO78" s="675">
        <v>0</v>
      </c>
      <c r="DP78" s="675">
        <v>0</v>
      </c>
      <c r="DQ78" s="675">
        <v>0</v>
      </c>
      <c r="DR78" s="675">
        <v>0</v>
      </c>
      <c r="DS78" s="675">
        <v>0</v>
      </c>
      <c r="DT78" s="675">
        <v>0</v>
      </c>
      <c r="DU78" s="675">
        <v>0</v>
      </c>
      <c r="DV78" s="675">
        <v>0</v>
      </c>
      <c r="DW78" s="675">
        <v>0</v>
      </c>
      <c r="DX78" s="675">
        <v>0</v>
      </c>
      <c r="DY78" s="675">
        <v>0</v>
      </c>
      <c r="DZ78" s="675">
        <v>0</v>
      </c>
      <c r="EA78" s="675">
        <v>0</v>
      </c>
      <c r="EB78" s="675">
        <v>0</v>
      </c>
      <c r="EC78" s="675">
        <v>10.02</v>
      </c>
      <c r="ED78" s="675">
        <v>70981</v>
      </c>
      <c r="EE78" s="675">
        <v>0</v>
      </c>
      <c r="EF78" s="675">
        <v>0</v>
      </c>
      <c r="EG78" s="675">
        <v>0</v>
      </c>
      <c r="EH78" s="675">
        <v>611556</v>
      </c>
      <c r="EI78" s="675">
        <v>0</v>
      </c>
      <c r="EJ78" s="675">
        <v>0</v>
      </c>
      <c r="EK78" s="675">
        <v>31.333000000000002</v>
      </c>
      <c r="EL78" s="675">
        <v>0</v>
      </c>
      <c r="EM78" s="675">
        <v>0</v>
      </c>
      <c r="EN78" s="675">
        <v>1.056</v>
      </c>
      <c r="EO78" s="675">
        <v>0</v>
      </c>
      <c r="EP78" s="675">
        <v>0</v>
      </c>
      <c r="EQ78" s="675">
        <v>32.389000000000003</v>
      </c>
      <c r="ER78" s="675">
        <v>0</v>
      </c>
      <c r="ES78" s="675">
        <v>99.279000000000011</v>
      </c>
      <c r="ET78" s="675">
        <v>0</v>
      </c>
      <c r="EU78" s="675">
        <v>0</v>
      </c>
      <c r="EV78" s="675">
        <v>0</v>
      </c>
      <c r="EW78" s="675">
        <v>0</v>
      </c>
      <c r="EX78" s="675">
        <v>0</v>
      </c>
      <c r="EY78" s="675">
        <v>0</v>
      </c>
      <c r="EZ78" s="675">
        <v>2015959</v>
      </c>
      <c r="FA78" s="675">
        <v>0</v>
      </c>
      <c r="FB78" s="675">
        <v>2068553</v>
      </c>
      <c r="FC78" s="675">
        <v>0</v>
      </c>
      <c r="FD78" s="675">
        <v>0</v>
      </c>
      <c r="FE78" s="675">
        <v>210674</v>
      </c>
      <c r="FF78" s="675">
        <v>43573</v>
      </c>
      <c r="FG78" s="675">
        <v>6.3574999999999993E-2</v>
      </c>
      <c r="FH78" s="675">
        <v>2.6297999999999998E-2</v>
      </c>
      <c r="FI78" s="675">
        <v>0</v>
      </c>
      <c r="FJ78" s="675">
        <v>0</v>
      </c>
      <c r="FK78" s="675">
        <v>336.221</v>
      </c>
      <c r="FL78" s="675">
        <v>2322800</v>
      </c>
      <c r="FM78" s="675">
        <v>0</v>
      </c>
      <c r="FN78" s="675">
        <v>0</v>
      </c>
      <c r="FO78" s="675">
        <v>0</v>
      </c>
      <c r="FP78" s="675">
        <v>0</v>
      </c>
      <c r="FQ78" s="675">
        <v>0</v>
      </c>
      <c r="FR78" s="675">
        <v>0</v>
      </c>
      <c r="FS78" s="675">
        <v>0</v>
      </c>
      <c r="FT78" s="675">
        <v>0</v>
      </c>
      <c r="FU78" s="675">
        <v>0</v>
      </c>
      <c r="FV78" s="675">
        <v>0</v>
      </c>
      <c r="FW78" s="675">
        <v>0</v>
      </c>
      <c r="FX78" s="675">
        <v>0</v>
      </c>
      <c r="FY78" s="675">
        <v>0</v>
      </c>
      <c r="FZ78" s="675">
        <v>0</v>
      </c>
      <c r="GA78" s="675">
        <v>0</v>
      </c>
      <c r="GB78" s="675">
        <v>0</v>
      </c>
      <c r="GC78" s="675">
        <v>0</v>
      </c>
      <c r="GD78" s="675">
        <v>0</v>
      </c>
      <c r="GE78" s="675">
        <v>0</v>
      </c>
      <c r="GF78" s="675">
        <v>0</v>
      </c>
      <c r="GG78" s="675">
        <v>0</v>
      </c>
      <c r="GH78" s="675">
        <v>0</v>
      </c>
      <c r="GI78" s="675">
        <v>0</v>
      </c>
      <c r="GJ78" s="675">
        <v>0</v>
      </c>
      <c r="GK78" s="675">
        <v>0</v>
      </c>
      <c r="GL78" s="675">
        <v>0</v>
      </c>
      <c r="GM78" s="675">
        <v>0</v>
      </c>
      <c r="GN78" s="675">
        <v>0</v>
      </c>
      <c r="GO78" s="675">
        <v>0</v>
      </c>
      <c r="GP78" s="675">
        <v>0</v>
      </c>
      <c r="GQ78" s="675">
        <v>0</v>
      </c>
      <c r="GR78" s="675">
        <v>0</v>
      </c>
      <c r="GS78" s="675">
        <v>0</v>
      </c>
      <c r="GT78" s="675">
        <v>0</v>
      </c>
      <c r="GU78" s="675">
        <v>0</v>
      </c>
      <c r="GV78" s="675">
        <v>0</v>
      </c>
      <c r="GW78" s="675">
        <v>0</v>
      </c>
      <c r="GX78" s="675">
        <v>0</v>
      </c>
      <c r="GY78" s="675">
        <v>0</v>
      </c>
      <c r="GZ78" s="675">
        <v>0</v>
      </c>
      <c r="HA78" s="675">
        <v>0</v>
      </c>
      <c r="HB78" s="675">
        <v>0</v>
      </c>
      <c r="HC78" s="675">
        <v>4.4138999999999998E-2</v>
      </c>
      <c r="HD78" s="675">
        <v>0</v>
      </c>
      <c r="HE78" s="675">
        <v>0</v>
      </c>
      <c r="HF78" s="675">
        <v>167140</v>
      </c>
      <c r="HG78" s="675">
        <v>15400</v>
      </c>
      <c r="HH78" s="675">
        <v>51338</v>
      </c>
      <c r="HI78" s="675">
        <v>0</v>
      </c>
      <c r="HJ78" s="675">
        <v>1788</v>
      </c>
      <c r="HK78" s="675">
        <v>0</v>
      </c>
      <c r="HL78" s="675">
        <v>0</v>
      </c>
      <c r="HM78" s="675">
        <v>0</v>
      </c>
      <c r="HN78" s="675">
        <v>0</v>
      </c>
      <c r="HO78" s="675">
        <v>12500</v>
      </c>
      <c r="HP78" s="675">
        <v>0</v>
      </c>
      <c r="HQ78" s="675">
        <v>0</v>
      </c>
      <c r="HR78" s="675">
        <v>0</v>
      </c>
      <c r="HS78" s="675">
        <v>2013401</v>
      </c>
      <c r="HT78" s="675">
        <v>43573</v>
      </c>
      <c r="HU78" s="675">
        <v>0</v>
      </c>
      <c r="HV78" s="675">
        <v>0</v>
      </c>
      <c r="HW78" s="675">
        <v>0</v>
      </c>
      <c r="HX78" s="675">
        <v>33</v>
      </c>
      <c r="HY78" s="675">
        <v>20</v>
      </c>
      <c r="HZ78" s="675">
        <v>17</v>
      </c>
      <c r="IA78" s="675">
        <v>34</v>
      </c>
      <c r="IB78" s="675">
        <v>30</v>
      </c>
      <c r="IC78" s="675">
        <v>134</v>
      </c>
      <c r="ID78" s="675">
        <v>0</v>
      </c>
      <c r="IE78" s="675">
        <v>0</v>
      </c>
      <c r="IF78" s="675">
        <v>0</v>
      </c>
      <c r="IG78" s="675">
        <v>25</v>
      </c>
      <c r="IH78" s="675">
        <v>83.341000000000008</v>
      </c>
      <c r="II78" s="675">
        <v>0</v>
      </c>
      <c r="IJ78" s="675">
        <v>0</v>
      </c>
      <c r="IK78" s="675">
        <v>0</v>
      </c>
      <c r="IL78" s="675">
        <v>0</v>
      </c>
      <c r="IM78" s="675">
        <v>0</v>
      </c>
      <c r="IN78" s="675">
        <v>0</v>
      </c>
      <c r="IO78" s="675">
        <v>0</v>
      </c>
      <c r="IP78" s="675">
        <v>0</v>
      </c>
      <c r="IQ78" s="675">
        <v>0</v>
      </c>
      <c r="IR78" s="675">
        <v>0</v>
      </c>
      <c r="IS78" s="675">
        <v>0</v>
      </c>
      <c r="IT78" s="675">
        <v>0</v>
      </c>
      <c r="IU78" s="675">
        <v>0</v>
      </c>
      <c r="IV78" s="675">
        <v>0</v>
      </c>
      <c r="IW78" s="675">
        <v>6160</v>
      </c>
      <c r="IX78" s="675">
        <v>0</v>
      </c>
      <c r="IY78" s="675">
        <v>0</v>
      </c>
      <c r="IZ78" s="675">
        <v>0</v>
      </c>
      <c r="JA78" s="675">
        <v>0</v>
      </c>
      <c r="JB78" s="675">
        <v>0</v>
      </c>
      <c r="JC78" s="675">
        <v>0</v>
      </c>
      <c r="JD78" s="675">
        <v>0</v>
      </c>
      <c r="JE78" s="675">
        <v>0</v>
      </c>
      <c r="JF78" s="675">
        <v>0</v>
      </c>
      <c r="JG78" s="675">
        <v>0</v>
      </c>
      <c r="JH78" s="675">
        <v>0</v>
      </c>
      <c r="JI78" s="675">
        <v>0</v>
      </c>
      <c r="JJ78" s="675">
        <v>0</v>
      </c>
      <c r="JK78" s="675">
        <v>0</v>
      </c>
      <c r="JL78" s="675">
        <v>0</v>
      </c>
      <c r="JM78" s="675">
        <v>0</v>
      </c>
      <c r="JN78" s="675">
        <v>32469</v>
      </c>
      <c r="JO78" s="675">
        <v>0</v>
      </c>
      <c r="JP78" s="675">
        <v>0</v>
      </c>
      <c r="JQ78" s="675">
        <v>0</v>
      </c>
      <c r="JR78" s="675">
        <v>0</v>
      </c>
      <c r="JS78" s="675">
        <v>0</v>
      </c>
      <c r="JT78" s="675">
        <v>0</v>
      </c>
      <c r="JU78" s="675">
        <v>0</v>
      </c>
      <c r="JV78" s="675">
        <v>0</v>
      </c>
      <c r="JW78" s="675">
        <v>0</v>
      </c>
      <c r="JX78" s="675">
        <v>0</v>
      </c>
      <c r="JY78" s="675">
        <v>0</v>
      </c>
      <c r="JZ78" s="675">
        <v>0</v>
      </c>
      <c r="KA78" s="675">
        <v>0</v>
      </c>
      <c r="KB78" s="675">
        <v>0</v>
      </c>
      <c r="KC78" s="675">
        <v>0</v>
      </c>
      <c r="KD78" s="675">
        <v>0</v>
      </c>
      <c r="KE78" s="675">
        <v>7263</v>
      </c>
      <c r="KF78" s="675">
        <v>0</v>
      </c>
      <c r="KG78" s="675">
        <v>0</v>
      </c>
      <c r="KH78" s="675">
        <v>0</v>
      </c>
      <c r="KI78" s="675">
        <v>0</v>
      </c>
    </row>
    <row r="79" spans="1:295" ht="12.5" x14ac:dyDescent="0.25">
      <c r="A79" s="675">
        <v>35795</v>
      </c>
      <c r="B79" s="675">
        <v>227806</v>
      </c>
      <c r="C79" s="675">
        <v>7</v>
      </c>
      <c r="D79" s="675">
        <v>2022</v>
      </c>
      <c r="E79" s="675">
        <v>6160</v>
      </c>
      <c r="F79" s="675">
        <v>0</v>
      </c>
      <c r="G79" s="675">
        <v>501.05500000000001</v>
      </c>
      <c r="H79" s="675">
        <v>327.96300000000002</v>
      </c>
      <c r="I79" s="675">
        <v>327.96300000000002</v>
      </c>
      <c r="J79" s="675">
        <v>501.05500000000001</v>
      </c>
      <c r="K79" s="675">
        <v>0</v>
      </c>
      <c r="L79" s="675">
        <v>6160</v>
      </c>
      <c r="M79" s="675">
        <v>0</v>
      </c>
      <c r="N79" s="675">
        <v>0</v>
      </c>
      <c r="O79" s="675">
        <v>0</v>
      </c>
      <c r="P79" s="675">
        <v>585.65800000000002</v>
      </c>
      <c r="Q79" s="675">
        <v>0</v>
      </c>
      <c r="R79" s="675">
        <v>235685</v>
      </c>
      <c r="S79" s="675">
        <v>402.428</v>
      </c>
      <c r="T79" s="675">
        <v>0</v>
      </c>
      <c r="U79" s="675">
        <v>125330</v>
      </c>
      <c r="V79" s="675">
        <v>17.766999999999999</v>
      </c>
      <c r="W79" s="675">
        <v>10944</v>
      </c>
      <c r="X79" s="675">
        <v>10944</v>
      </c>
      <c r="Y79" s="675">
        <v>0</v>
      </c>
      <c r="Z79" s="675">
        <v>0</v>
      </c>
      <c r="AA79" s="675">
        <v>0</v>
      </c>
      <c r="AB79" s="675">
        <v>0</v>
      </c>
      <c r="AC79" s="675">
        <v>0</v>
      </c>
      <c r="AD79" s="675" t="s">
        <v>316</v>
      </c>
      <c r="AE79" s="675">
        <v>0</v>
      </c>
      <c r="AF79" s="675">
        <v>0</v>
      </c>
      <c r="AG79" s="675">
        <v>0</v>
      </c>
      <c r="AH79" s="675">
        <v>0</v>
      </c>
      <c r="AI79" s="675">
        <v>0</v>
      </c>
      <c r="AJ79" s="675">
        <v>6160</v>
      </c>
      <c r="AK79" s="675" t="s">
        <v>671</v>
      </c>
      <c r="AL79" s="675" t="s">
        <v>86</v>
      </c>
      <c r="AM79" s="675">
        <v>0</v>
      </c>
      <c r="AN79" s="675">
        <v>0</v>
      </c>
      <c r="AO79" s="675">
        <v>0</v>
      </c>
      <c r="AP79" s="675">
        <v>0</v>
      </c>
      <c r="AQ79" s="675">
        <v>0</v>
      </c>
      <c r="AR79" s="675">
        <v>0</v>
      </c>
      <c r="AS79" s="675">
        <v>0</v>
      </c>
      <c r="AT79" s="675">
        <v>0</v>
      </c>
      <c r="AU79" s="675">
        <v>0</v>
      </c>
      <c r="AV79" s="675">
        <v>-71368</v>
      </c>
      <c r="AW79" s="675">
        <v>8865753</v>
      </c>
      <c r="AX79" s="675">
        <v>8209250</v>
      </c>
      <c r="AY79" s="675">
        <v>5508924</v>
      </c>
      <c r="AZ79" s="675">
        <v>235685</v>
      </c>
      <c r="BA79" s="675">
        <v>0</v>
      </c>
      <c r="BB79" s="675">
        <v>1294</v>
      </c>
      <c r="BC79" s="675">
        <v>1286</v>
      </c>
      <c r="BD79" s="675">
        <v>3</v>
      </c>
      <c r="BE79" s="675">
        <v>8</v>
      </c>
      <c r="BF79" s="675">
        <v>7364857</v>
      </c>
      <c r="BG79" s="675">
        <v>0</v>
      </c>
      <c r="BH79" s="675">
        <v>0</v>
      </c>
      <c r="BI79" s="675">
        <v>0</v>
      </c>
      <c r="BJ79" s="675">
        <v>12</v>
      </c>
      <c r="BK79" s="675">
        <v>0</v>
      </c>
      <c r="BL79" s="675">
        <v>0</v>
      </c>
      <c r="BM79" s="675">
        <v>0</v>
      </c>
      <c r="BN79" s="675">
        <v>0</v>
      </c>
      <c r="BO79" s="675">
        <v>0</v>
      </c>
      <c r="BP79" s="675">
        <v>0</v>
      </c>
      <c r="BQ79" s="675">
        <v>719</v>
      </c>
      <c r="BR79" s="675">
        <v>0</v>
      </c>
      <c r="BS79" s="675">
        <v>0</v>
      </c>
      <c r="BT79" s="675">
        <v>0</v>
      </c>
      <c r="BU79" s="675">
        <v>0</v>
      </c>
      <c r="BV79" s="675">
        <v>0</v>
      </c>
      <c r="BW79" s="675">
        <v>0</v>
      </c>
      <c r="BX79" s="675">
        <v>0</v>
      </c>
      <c r="BY79" s="675">
        <v>0</v>
      </c>
      <c r="BZ79" s="675">
        <v>0</v>
      </c>
      <c r="CA79" s="675">
        <v>0</v>
      </c>
      <c r="CB79" s="675">
        <v>0</v>
      </c>
      <c r="CC79" s="675">
        <v>0</v>
      </c>
      <c r="CD79" s="675">
        <v>0</v>
      </c>
      <c r="CE79" s="675">
        <v>0</v>
      </c>
      <c r="CF79" s="675">
        <v>0</v>
      </c>
      <c r="CG79" s="675">
        <v>0</v>
      </c>
      <c r="CH79" s="675">
        <v>672823</v>
      </c>
      <c r="CI79" s="675">
        <v>0</v>
      </c>
      <c r="CJ79" s="675">
        <v>4</v>
      </c>
      <c r="CK79" s="675">
        <v>0</v>
      </c>
      <c r="CL79" s="675">
        <v>0</v>
      </c>
      <c r="CM79" s="675">
        <v>0</v>
      </c>
      <c r="CN79" s="675">
        <v>0</v>
      </c>
      <c r="CO79" s="675">
        <v>1</v>
      </c>
      <c r="CP79" s="675">
        <v>0.996</v>
      </c>
      <c r="CQ79" s="675">
        <v>0</v>
      </c>
      <c r="CR79" s="675">
        <v>559.94500000000005</v>
      </c>
      <c r="CS79" s="675">
        <v>0</v>
      </c>
      <c r="CT79" s="675">
        <v>0</v>
      </c>
      <c r="CU79" s="675">
        <v>0</v>
      </c>
      <c r="CV79" s="675">
        <v>0</v>
      </c>
      <c r="CW79" s="675">
        <v>0</v>
      </c>
      <c r="CX79" s="675">
        <v>0</v>
      </c>
      <c r="CY79" s="675">
        <v>0</v>
      </c>
      <c r="CZ79" s="675">
        <v>0</v>
      </c>
      <c r="DA79" s="675">
        <v>0</v>
      </c>
      <c r="DB79" s="675">
        <v>1529712</v>
      </c>
      <c r="DC79" s="675">
        <v>0</v>
      </c>
      <c r="DD79" s="675">
        <v>0</v>
      </c>
      <c r="DE79" s="675">
        <v>446136</v>
      </c>
      <c r="DF79" s="675">
        <v>581657</v>
      </c>
      <c r="DG79" s="675">
        <v>72.424999999999997</v>
      </c>
      <c r="DH79" s="675">
        <v>0</v>
      </c>
      <c r="DI79" s="675">
        <v>14786</v>
      </c>
      <c r="DJ79" s="675">
        <v>0</v>
      </c>
      <c r="DK79" s="675">
        <v>3134</v>
      </c>
      <c r="DL79" s="675">
        <v>0</v>
      </c>
      <c r="DM79" s="675">
        <v>4826643</v>
      </c>
      <c r="DN79" s="675">
        <v>16312</v>
      </c>
      <c r="DO79" s="675">
        <v>0</v>
      </c>
      <c r="DP79" s="675">
        <v>0</v>
      </c>
      <c r="DQ79" s="675">
        <v>0</v>
      </c>
      <c r="DR79" s="675">
        <v>0</v>
      </c>
      <c r="DS79" s="675">
        <v>0</v>
      </c>
      <c r="DT79" s="675">
        <v>0</v>
      </c>
      <c r="DU79" s="675">
        <v>0</v>
      </c>
      <c r="DV79" s="675">
        <v>0</v>
      </c>
      <c r="DW79" s="675">
        <v>0</v>
      </c>
      <c r="DX79" s="675">
        <v>0</v>
      </c>
      <c r="DY79" s="675">
        <v>0</v>
      </c>
      <c r="DZ79" s="675">
        <v>0</v>
      </c>
      <c r="EA79" s="675">
        <v>0</v>
      </c>
      <c r="EB79" s="675">
        <v>0</v>
      </c>
      <c r="EC79" s="675">
        <v>13.331000000000001</v>
      </c>
      <c r="ED79" s="675">
        <v>94436</v>
      </c>
      <c r="EE79" s="675">
        <v>0</v>
      </c>
      <c r="EF79" s="675">
        <v>0</v>
      </c>
      <c r="EG79" s="675">
        <v>0</v>
      </c>
      <c r="EH79" s="675">
        <v>101461</v>
      </c>
      <c r="EI79" s="675">
        <v>4156527</v>
      </c>
      <c r="EJ79" s="675">
        <v>168.691</v>
      </c>
      <c r="EK79" s="675">
        <v>2.7670000000000003</v>
      </c>
      <c r="EL79" s="675">
        <v>0</v>
      </c>
      <c r="EM79" s="675">
        <v>0</v>
      </c>
      <c r="EN79" s="675">
        <v>1.6340000000000001</v>
      </c>
      <c r="EO79" s="675">
        <v>0</v>
      </c>
      <c r="EP79" s="675">
        <v>0</v>
      </c>
      <c r="EQ79" s="675">
        <v>173.09200000000001</v>
      </c>
      <c r="ER79" s="675">
        <v>0</v>
      </c>
      <c r="ES79" s="675">
        <v>16.471</v>
      </c>
      <c r="ET79" s="675">
        <v>0</v>
      </c>
      <c r="EU79" s="675">
        <v>0</v>
      </c>
      <c r="EV79" s="675">
        <v>0</v>
      </c>
      <c r="EW79" s="675">
        <v>0</v>
      </c>
      <c r="EX79" s="675">
        <v>0</v>
      </c>
      <c r="EY79" s="675">
        <v>0</v>
      </c>
      <c r="EZ79" s="675">
        <v>7305148</v>
      </c>
      <c r="FA79" s="675">
        <v>0</v>
      </c>
      <c r="FB79" s="675">
        <v>7524513</v>
      </c>
      <c r="FC79" s="675">
        <v>0</v>
      </c>
      <c r="FD79" s="675">
        <v>0</v>
      </c>
      <c r="FE79" s="675">
        <v>749157</v>
      </c>
      <c r="FF79" s="675">
        <v>154945</v>
      </c>
      <c r="FG79" s="675">
        <v>6.3574999999999993E-2</v>
      </c>
      <c r="FH79" s="675">
        <v>2.6297999999999998E-2</v>
      </c>
      <c r="FI79" s="675">
        <v>0</v>
      </c>
      <c r="FJ79" s="675">
        <v>0</v>
      </c>
      <c r="FK79" s="675">
        <v>1195.5990000000002</v>
      </c>
      <c r="FL79" s="675">
        <v>9101438</v>
      </c>
      <c r="FM79" s="675">
        <v>0</v>
      </c>
      <c r="FN79" s="675">
        <v>0</v>
      </c>
      <c r="FO79" s="675">
        <v>0</v>
      </c>
      <c r="FP79" s="675">
        <v>0</v>
      </c>
      <c r="FQ79" s="675">
        <v>0</v>
      </c>
      <c r="FR79" s="675">
        <v>0</v>
      </c>
      <c r="FS79" s="675">
        <v>0</v>
      </c>
      <c r="FT79" s="675">
        <v>0</v>
      </c>
      <c r="FU79" s="675">
        <v>0</v>
      </c>
      <c r="FV79" s="675">
        <v>0</v>
      </c>
      <c r="FW79" s="675">
        <v>0</v>
      </c>
      <c r="FX79" s="675">
        <v>0</v>
      </c>
      <c r="FY79" s="675">
        <v>0</v>
      </c>
      <c r="FZ79" s="675">
        <v>0</v>
      </c>
      <c r="GA79" s="675">
        <v>0</v>
      </c>
      <c r="GB79" s="675">
        <v>0</v>
      </c>
      <c r="GC79" s="675">
        <v>0</v>
      </c>
      <c r="GD79" s="675">
        <v>0</v>
      </c>
      <c r="GE79" s="675">
        <v>0</v>
      </c>
      <c r="GF79" s="675">
        <v>0</v>
      </c>
      <c r="GG79" s="675">
        <v>0</v>
      </c>
      <c r="GH79" s="675">
        <v>0</v>
      </c>
      <c r="GI79" s="675">
        <v>0</v>
      </c>
      <c r="GJ79" s="675">
        <v>0</v>
      </c>
      <c r="GK79" s="675">
        <v>0</v>
      </c>
      <c r="GL79" s="675">
        <v>0</v>
      </c>
      <c r="GM79" s="675">
        <v>0</v>
      </c>
      <c r="GN79" s="675">
        <v>0</v>
      </c>
      <c r="GO79" s="675">
        <v>0</v>
      </c>
      <c r="GP79" s="675">
        <v>0</v>
      </c>
      <c r="GQ79" s="675">
        <v>0</v>
      </c>
      <c r="GR79" s="675">
        <v>0</v>
      </c>
      <c r="GS79" s="675">
        <v>0</v>
      </c>
      <c r="GT79" s="675">
        <v>0</v>
      </c>
      <c r="GU79" s="675">
        <v>0</v>
      </c>
      <c r="GV79" s="675">
        <v>0</v>
      </c>
      <c r="GW79" s="675">
        <v>0</v>
      </c>
      <c r="GX79" s="675">
        <v>0</v>
      </c>
      <c r="GY79" s="675">
        <v>0</v>
      </c>
      <c r="GZ79" s="675">
        <v>0</v>
      </c>
      <c r="HA79" s="675">
        <v>0</v>
      </c>
      <c r="HB79" s="675">
        <v>308877260</v>
      </c>
      <c r="HC79" s="675">
        <v>4.4138999999999998E-2</v>
      </c>
      <c r="HD79" s="675">
        <v>88464</v>
      </c>
      <c r="HE79" s="675">
        <v>0</v>
      </c>
      <c r="HF79" s="675">
        <v>361743</v>
      </c>
      <c r="HG79" s="675">
        <v>10266</v>
      </c>
      <c r="HH79" s="675">
        <v>8416</v>
      </c>
      <c r="HI79" s="675">
        <v>0</v>
      </c>
      <c r="HJ79" s="675">
        <v>4870</v>
      </c>
      <c r="HK79" s="675">
        <v>4050</v>
      </c>
      <c r="HL79" s="675">
        <v>278</v>
      </c>
      <c r="HM79" s="675">
        <v>13000</v>
      </c>
      <c r="HN79" s="675">
        <v>0</v>
      </c>
      <c r="HO79" s="675">
        <v>0</v>
      </c>
      <c r="HP79" s="675">
        <v>124660</v>
      </c>
      <c r="HQ79" s="675">
        <v>0</v>
      </c>
      <c r="HR79" s="675">
        <v>0</v>
      </c>
      <c r="HS79" s="675">
        <v>7288828</v>
      </c>
      <c r="HT79" s="675">
        <v>154945</v>
      </c>
      <c r="HU79" s="675">
        <v>0</v>
      </c>
      <c r="HV79" s="675">
        <v>0</v>
      </c>
      <c r="HW79" s="675">
        <v>0</v>
      </c>
      <c r="HX79" s="675">
        <v>8</v>
      </c>
      <c r="HY79" s="675">
        <v>5</v>
      </c>
      <c r="HZ79" s="675">
        <v>3</v>
      </c>
      <c r="IA79" s="675">
        <v>5</v>
      </c>
      <c r="IB79" s="675">
        <v>245</v>
      </c>
      <c r="IC79" s="675">
        <v>266</v>
      </c>
      <c r="ID79" s="675">
        <v>98</v>
      </c>
      <c r="IE79" s="675">
        <v>0</v>
      </c>
      <c r="IF79" s="675">
        <v>0</v>
      </c>
      <c r="IG79" s="675">
        <v>16.666</v>
      </c>
      <c r="IH79" s="675">
        <v>13.662000000000001</v>
      </c>
      <c r="II79" s="675">
        <v>453.30800000000005</v>
      </c>
      <c r="IJ79" s="675">
        <v>17.766999999999999</v>
      </c>
      <c r="IK79" s="675">
        <v>170.86700000000002</v>
      </c>
      <c r="IL79" s="675">
        <v>1</v>
      </c>
      <c r="IM79" s="675">
        <v>2</v>
      </c>
      <c r="IN79" s="675">
        <v>1</v>
      </c>
      <c r="IO79" s="675">
        <v>4</v>
      </c>
      <c r="IP79" s="675">
        <v>624.17500000000007</v>
      </c>
      <c r="IQ79" s="675">
        <v>17.766999999999999</v>
      </c>
      <c r="IR79" s="675">
        <v>10944</v>
      </c>
      <c r="IS79" s="675">
        <v>46988</v>
      </c>
      <c r="IT79" s="675">
        <v>5000</v>
      </c>
      <c r="IU79" s="675">
        <v>6000</v>
      </c>
      <c r="IV79" s="675">
        <v>2000</v>
      </c>
      <c r="IW79" s="675">
        <v>6160</v>
      </c>
      <c r="IX79" s="675">
        <v>0</v>
      </c>
      <c r="IY79" s="675">
        <v>0</v>
      </c>
      <c r="IZ79" s="675">
        <v>171648</v>
      </c>
      <c r="JA79" s="675">
        <v>120735</v>
      </c>
      <c r="JB79" s="675">
        <v>0</v>
      </c>
      <c r="JC79" s="675">
        <v>0</v>
      </c>
      <c r="JD79" s="675">
        <v>0</v>
      </c>
      <c r="JE79" s="675">
        <v>0</v>
      </c>
      <c r="JF79" s="675">
        <v>0</v>
      </c>
      <c r="JG79" s="675">
        <v>0</v>
      </c>
      <c r="JH79" s="675">
        <v>0</v>
      </c>
      <c r="JI79" s="675">
        <v>0</v>
      </c>
      <c r="JJ79" s="675">
        <v>0</v>
      </c>
      <c r="JK79" s="675">
        <v>0</v>
      </c>
      <c r="JL79" s="675">
        <v>0</v>
      </c>
      <c r="JM79" s="675">
        <v>0</v>
      </c>
      <c r="JN79" s="675">
        <v>32469</v>
      </c>
      <c r="JO79" s="675">
        <v>0</v>
      </c>
      <c r="JP79" s="675">
        <v>0</v>
      </c>
      <c r="JQ79" s="675">
        <v>0</v>
      </c>
      <c r="JR79" s="675">
        <v>0</v>
      </c>
      <c r="JS79" s="675">
        <v>0</v>
      </c>
      <c r="JT79" s="675">
        <v>0</v>
      </c>
      <c r="JU79" s="675">
        <v>1294</v>
      </c>
      <c r="JV79" s="675">
        <v>0</v>
      </c>
      <c r="JW79" s="675">
        <v>0</v>
      </c>
      <c r="JX79" s="675">
        <v>0</v>
      </c>
      <c r="JY79" s="675">
        <v>0</v>
      </c>
      <c r="JZ79" s="675">
        <v>0</v>
      </c>
      <c r="KA79" s="675">
        <v>0</v>
      </c>
      <c r="KB79" s="675">
        <v>0</v>
      </c>
      <c r="KC79" s="675">
        <v>0</v>
      </c>
      <c r="KD79" s="675">
        <v>1294</v>
      </c>
      <c r="KE79" s="675">
        <v>7263</v>
      </c>
      <c r="KF79" s="675">
        <v>584359</v>
      </c>
      <c r="KG79" s="675">
        <v>0</v>
      </c>
      <c r="KH79" s="675">
        <v>0</v>
      </c>
      <c r="KI79" s="675">
        <v>0</v>
      </c>
    </row>
    <row r="80" spans="1:295" ht="12.5" x14ac:dyDescent="0.25">
      <c r="A80" s="675">
        <v>35795</v>
      </c>
      <c r="B80" s="675">
        <v>15807</v>
      </c>
      <c r="C80" s="675">
        <v>7</v>
      </c>
      <c r="D80" s="675">
        <v>2022</v>
      </c>
      <c r="E80" s="675">
        <v>6160</v>
      </c>
      <c r="F80" s="675">
        <v>0</v>
      </c>
      <c r="G80" s="675">
        <v>671.28800000000001</v>
      </c>
      <c r="H80" s="675">
        <v>530.62900000000002</v>
      </c>
      <c r="I80" s="675">
        <v>530.62900000000002</v>
      </c>
      <c r="J80" s="675">
        <v>671.28800000000001</v>
      </c>
      <c r="K80" s="675">
        <v>0</v>
      </c>
      <c r="L80" s="675">
        <v>6160</v>
      </c>
      <c r="M80" s="675">
        <v>0</v>
      </c>
      <c r="N80" s="675">
        <v>0</v>
      </c>
      <c r="O80" s="675">
        <v>0</v>
      </c>
      <c r="P80" s="675">
        <v>741.60300000000007</v>
      </c>
      <c r="Q80" s="675">
        <v>0</v>
      </c>
      <c r="R80" s="675">
        <v>298442</v>
      </c>
      <c r="S80" s="675">
        <v>402.428</v>
      </c>
      <c r="T80" s="675">
        <v>0</v>
      </c>
      <c r="U80" s="675">
        <v>158703</v>
      </c>
      <c r="V80" s="675">
        <v>69.332000000000008</v>
      </c>
      <c r="W80" s="675">
        <v>42708</v>
      </c>
      <c r="X80" s="675">
        <v>42708</v>
      </c>
      <c r="Y80" s="675">
        <v>0</v>
      </c>
      <c r="Z80" s="675">
        <v>0</v>
      </c>
      <c r="AA80" s="675">
        <v>0</v>
      </c>
      <c r="AB80" s="675">
        <v>0</v>
      </c>
      <c r="AC80" s="675">
        <v>0</v>
      </c>
      <c r="AD80" s="675" t="s">
        <v>316</v>
      </c>
      <c r="AE80" s="675">
        <v>0</v>
      </c>
      <c r="AF80" s="675">
        <v>0</v>
      </c>
      <c r="AG80" s="675">
        <v>0</v>
      </c>
      <c r="AH80" s="675">
        <v>0</v>
      </c>
      <c r="AI80" s="675">
        <v>0</v>
      </c>
      <c r="AJ80" s="675">
        <v>6160</v>
      </c>
      <c r="AK80" s="675" t="s">
        <v>671</v>
      </c>
      <c r="AL80" s="675" t="s">
        <v>39</v>
      </c>
      <c r="AM80" s="675">
        <v>0</v>
      </c>
      <c r="AN80" s="675">
        <v>0</v>
      </c>
      <c r="AO80" s="675">
        <v>0</v>
      </c>
      <c r="AP80" s="675">
        <v>0</v>
      </c>
      <c r="AQ80" s="675">
        <v>0</v>
      </c>
      <c r="AR80" s="675">
        <v>0</v>
      </c>
      <c r="AS80" s="675">
        <v>0</v>
      </c>
      <c r="AT80" s="675">
        <v>0</v>
      </c>
      <c r="AU80" s="675">
        <v>0</v>
      </c>
      <c r="AV80" s="675">
        <v>-11370</v>
      </c>
      <c r="AW80" s="675">
        <v>7957928</v>
      </c>
      <c r="AX80" s="675">
        <v>7844002</v>
      </c>
      <c r="AY80" s="675">
        <v>5092041</v>
      </c>
      <c r="AZ80" s="675">
        <v>298442</v>
      </c>
      <c r="BA80" s="675">
        <v>0</v>
      </c>
      <c r="BB80" s="675">
        <v>14230</v>
      </c>
      <c r="BC80" s="675">
        <v>14138</v>
      </c>
      <c r="BD80" s="675">
        <v>33</v>
      </c>
      <c r="BE80" s="675">
        <v>92</v>
      </c>
      <c r="BF80" s="675">
        <v>7236540</v>
      </c>
      <c r="BG80" s="675">
        <v>0</v>
      </c>
      <c r="BH80" s="675">
        <v>0</v>
      </c>
      <c r="BI80" s="675">
        <v>0</v>
      </c>
      <c r="BJ80" s="675">
        <v>12</v>
      </c>
      <c r="BK80" s="675">
        <v>0</v>
      </c>
      <c r="BL80" s="675">
        <v>0</v>
      </c>
      <c r="BM80" s="675">
        <v>0</v>
      </c>
      <c r="BN80" s="675">
        <v>0</v>
      </c>
      <c r="BO80" s="675">
        <v>0</v>
      </c>
      <c r="BP80" s="675">
        <v>0</v>
      </c>
      <c r="BQ80" s="675">
        <v>688</v>
      </c>
      <c r="BR80" s="675">
        <v>0</v>
      </c>
      <c r="BS80" s="675">
        <v>0</v>
      </c>
      <c r="BT80" s="675">
        <v>0</v>
      </c>
      <c r="BU80" s="675">
        <v>0</v>
      </c>
      <c r="BV80" s="675">
        <v>0</v>
      </c>
      <c r="BW80" s="675">
        <v>0</v>
      </c>
      <c r="BX80" s="675">
        <v>0</v>
      </c>
      <c r="BY80" s="675">
        <v>0</v>
      </c>
      <c r="BZ80" s="675">
        <v>0</v>
      </c>
      <c r="CA80" s="675">
        <v>0</v>
      </c>
      <c r="CB80" s="675">
        <v>0</v>
      </c>
      <c r="CC80" s="675">
        <v>0</v>
      </c>
      <c r="CD80" s="675">
        <v>0</v>
      </c>
      <c r="CE80" s="675">
        <v>0</v>
      </c>
      <c r="CF80" s="675">
        <v>0</v>
      </c>
      <c r="CG80" s="675">
        <v>0</v>
      </c>
      <c r="CH80" s="675">
        <v>118520</v>
      </c>
      <c r="CI80" s="675">
        <v>0</v>
      </c>
      <c r="CJ80" s="675">
        <v>4</v>
      </c>
      <c r="CK80" s="675">
        <v>0</v>
      </c>
      <c r="CL80" s="675">
        <v>0</v>
      </c>
      <c r="CM80" s="675">
        <v>0</v>
      </c>
      <c r="CN80" s="675">
        <v>0</v>
      </c>
      <c r="CO80" s="675">
        <v>1</v>
      </c>
      <c r="CP80" s="675">
        <v>0</v>
      </c>
      <c r="CQ80" s="675">
        <v>0</v>
      </c>
      <c r="CR80" s="675">
        <v>741.34199999999998</v>
      </c>
      <c r="CS80" s="675">
        <v>0</v>
      </c>
      <c r="CT80" s="675">
        <v>0</v>
      </c>
      <c r="CU80" s="675">
        <v>0</v>
      </c>
      <c r="CV80" s="675">
        <v>0</v>
      </c>
      <c r="CW80" s="675">
        <v>0</v>
      </c>
      <c r="CX80" s="675">
        <v>0</v>
      </c>
      <c r="CY80" s="675">
        <v>0</v>
      </c>
      <c r="CZ80" s="675">
        <v>0</v>
      </c>
      <c r="DA80" s="675">
        <v>0</v>
      </c>
      <c r="DB80" s="675">
        <v>3268659</v>
      </c>
      <c r="DC80" s="675">
        <v>0</v>
      </c>
      <c r="DD80" s="675">
        <v>0</v>
      </c>
      <c r="DE80" s="675">
        <v>1022170</v>
      </c>
      <c r="DF80" s="675">
        <v>1022170</v>
      </c>
      <c r="DG80" s="675">
        <v>165.93800000000002</v>
      </c>
      <c r="DH80" s="675">
        <v>0</v>
      </c>
      <c r="DI80" s="675">
        <v>0</v>
      </c>
      <c r="DJ80" s="675">
        <v>0</v>
      </c>
      <c r="DK80" s="675">
        <v>2635</v>
      </c>
      <c r="DL80" s="675">
        <v>0</v>
      </c>
      <c r="DM80" s="675">
        <v>1196827</v>
      </c>
      <c r="DN80" s="675">
        <v>4502</v>
      </c>
      <c r="DO80" s="675">
        <v>0</v>
      </c>
      <c r="DP80" s="675">
        <v>0</v>
      </c>
      <c r="DQ80" s="675">
        <v>0</v>
      </c>
      <c r="DR80" s="675">
        <v>0</v>
      </c>
      <c r="DS80" s="675">
        <v>0</v>
      </c>
      <c r="DT80" s="675">
        <v>0</v>
      </c>
      <c r="DU80" s="675">
        <v>0</v>
      </c>
      <c r="DV80" s="675">
        <v>0</v>
      </c>
      <c r="DW80" s="675">
        <v>0</v>
      </c>
      <c r="DX80" s="675">
        <v>0</v>
      </c>
      <c r="DY80" s="675">
        <v>0</v>
      </c>
      <c r="DZ80" s="675">
        <v>0</v>
      </c>
      <c r="EA80" s="675">
        <v>0</v>
      </c>
      <c r="EB80" s="675">
        <v>0</v>
      </c>
      <c r="EC80" s="675">
        <v>54.832000000000001</v>
      </c>
      <c r="ED80" s="675">
        <v>388428</v>
      </c>
      <c r="EE80" s="675">
        <v>0</v>
      </c>
      <c r="EF80" s="675">
        <v>0</v>
      </c>
      <c r="EG80" s="675">
        <v>0</v>
      </c>
      <c r="EH80" s="675">
        <v>812901</v>
      </c>
      <c r="EI80" s="675">
        <v>0</v>
      </c>
      <c r="EJ80" s="675">
        <v>0</v>
      </c>
      <c r="EK80" s="675">
        <v>34.686</v>
      </c>
      <c r="EL80" s="675">
        <v>0</v>
      </c>
      <c r="EM80" s="675">
        <v>0.97900000000000009</v>
      </c>
      <c r="EN80" s="675">
        <v>4.9940000000000007</v>
      </c>
      <c r="EO80" s="675">
        <v>0</v>
      </c>
      <c r="EP80" s="675">
        <v>0</v>
      </c>
      <c r="EQ80" s="675">
        <v>40.658999999999999</v>
      </c>
      <c r="ER80" s="675">
        <v>0</v>
      </c>
      <c r="ES80" s="675">
        <v>131.965</v>
      </c>
      <c r="ET80" s="675">
        <v>0</v>
      </c>
      <c r="EU80" s="675">
        <v>0</v>
      </c>
      <c r="EV80" s="675">
        <v>0</v>
      </c>
      <c r="EW80" s="675">
        <v>0</v>
      </c>
      <c r="EX80" s="675">
        <v>0</v>
      </c>
      <c r="EY80" s="675">
        <v>0</v>
      </c>
      <c r="EZ80" s="675">
        <v>6955652</v>
      </c>
      <c r="FA80" s="675">
        <v>0</v>
      </c>
      <c r="FB80" s="675">
        <v>7249500</v>
      </c>
      <c r="FC80" s="675">
        <v>0</v>
      </c>
      <c r="FD80" s="675">
        <v>0</v>
      </c>
      <c r="FE80" s="675">
        <v>736104</v>
      </c>
      <c r="FF80" s="675">
        <v>152246</v>
      </c>
      <c r="FG80" s="675">
        <v>6.3574999999999993E-2</v>
      </c>
      <c r="FH80" s="675">
        <v>2.6297999999999998E-2</v>
      </c>
      <c r="FI80" s="675">
        <v>0</v>
      </c>
      <c r="FJ80" s="675">
        <v>0</v>
      </c>
      <c r="FK80" s="675">
        <v>1174.768</v>
      </c>
      <c r="FL80" s="675">
        <v>8256370</v>
      </c>
      <c r="FM80" s="675">
        <v>0</v>
      </c>
      <c r="FN80" s="675">
        <v>0</v>
      </c>
      <c r="FO80" s="675">
        <v>12672</v>
      </c>
      <c r="FP80" s="675">
        <v>0</v>
      </c>
      <c r="FQ80" s="675">
        <v>12672</v>
      </c>
      <c r="FR80" s="675">
        <v>12672</v>
      </c>
      <c r="FS80" s="675">
        <v>0</v>
      </c>
      <c r="FT80" s="675">
        <v>0</v>
      </c>
      <c r="FU80" s="675">
        <v>0</v>
      </c>
      <c r="FV80" s="675">
        <v>0</v>
      </c>
      <c r="FW80" s="675">
        <v>0</v>
      </c>
      <c r="FX80" s="675">
        <v>0</v>
      </c>
      <c r="FY80" s="675">
        <v>0</v>
      </c>
      <c r="FZ80" s="675">
        <v>0</v>
      </c>
      <c r="GA80" s="675">
        <v>0</v>
      </c>
      <c r="GB80" s="675">
        <v>938058</v>
      </c>
      <c r="GC80" s="675">
        <v>938058</v>
      </c>
      <c r="GD80" s="675">
        <v>100</v>
      </c>
      <c r="GE80" s="675">
        <v>0</v>
      </c>
      <c r="GF80" s="675">
        <v>0</v>
      </c>
      <c r="GG80" s="675">
        <v>0</v>
      </c>
      <c r="GH80" s="675">
        <v>0</v>
      </c>
      <c r="GI80" s="675">
        <v>0</v>
      </c>
      <c r="GJ80" s="675">
        <v>0</v>
      </c>
      <c r="GK80" s="675">
        <v>0</v>
      </c>
      <c r="GL80" s="675">
        <v>0</v>
      </c>
      <c r="GM80" s="675">
        <v>0</v>
      </c>
      <c r="GN80" s="675">
        <v>0</v>
      </c>
      <c r="GO80" s="675">
        <v>0</v>
      </c>
      <c r="GP80" s="675">
        <v>0</v>
      </c>
      <c r="GQ80" s="675">
        <v>0</v>
      </c>
      <c r="GR80" s="675">
        <v>0</v>
      </c>
      <c r="GS80" s="675">
        <v>0</v>
      </c>
      <c r="GT80" s="675">
        <v>0</v>
      </c>
      <c r="GU80" s="675">
        <v>0</v>
      </c>
      <c r="GV80" s="675">
        <v>0</v>
      </c>
      <c r="GW80" s="675">
        <v>0</v>
      </c>
      <c r="GX80" s="675">
        <v>0</v>
      </c>
      <c r="GY80" s="675">
        <v>0</v>
      </c>
      <c r="GZ80" s="675">
        <v>0</v>
      </c>
      <c r="HA80" s="675">
        <v>0</v>
      </c>
      <c r="HB80" s="675">
        <v>308877260</v>
      </c>
      <c r="HC80" s="675">
        <v>4.4138999999999998E-2</v>
      </c>
      <c r="HD80" s="675">
        <v>118520</v>
      </c>
      <c r="HE80" s="675">
        <v>0</v>
      </c>
      <c r="HF80" s="675">
        <v>585284</v>
      </c>
      <c r="HG80" s="675">
        <v>19096</v>
      </c>
      <c r="HH80" s="675">
        <v>135481</v>
      </c>
      <c r="HI80" s="675">
        <v>0</v>
      </c>
      <c r="HJ80" s="675">
        <v>6525</v>
      </c>
      <c r="HK80" s="675">
        <v>2817</v>
      </c>
      <c r="HL80" s="675">
        <v>2065</v>
      </c>
      <c r="HM80" s="675">
        <v>3000</v>
      </c>
      <c r="HN80" s="675">
        <v>0</v>
      </c>
      <c r="HO80" s="675">
        <v>0</v>
      </c>
      <c r="HP80" s="675">
        <v>0</v>
      </c>
      <c r="HQ80" s="675">
        <v>0</v>
      </c>
      <c r="HR80" s="675">
        <v>0</v>
      </c>
      <c r="HS80" s="675">
        <v>6951058</v>
      </c>
      <c r="HT80" s="675">
        <v>152246</v>
      </c>
      <c r="HU80" s="675">
        <v>0</v>
      </c>
      <c r="HV80" s="675">
        <v>0</v>
      </c>
      <c r="HW80" s="675">
        <v>0</v>
      </c>
      <c r="HX80" s="675">
        <v>94</v>
      </c>
      <c r="HY80" s="675">
        <v>95</v>
      </c>
      <c r="HZ80" s="675">
        <v>119</v>
      </c>
      <c r="IA80" s="675">
        <v>126</v>
      </c>
      <c r="IB80" s="675">
        <v>216</v>
      </c>
      <c r="IC80" s="675">
        <v>650</v>
      </c>
      <c r="ID80" s="675">
        <v>0</v>
      </c>
      <c r="IE80" s="675">
        <v>0</v>
      </c>
      <c r="IF80" s="675">
        <v>0</v>
      </c>
      <c r="IG80" s="675">
        <v>31</v>
      </c>
      <c r="IH80" s="675">
        <v>219.93700000000001</v>
      </c>
      <c r="II80" s="675">
        <v>0</v>
      </c>
      <c r="IJ80" s="675">
        <v>69.332000000000008</v>
      </c>
      <c r="IK80" s="675">
        <v>0</v>
      </c>
      <c r="IL80" s="675">
        <v>0</v>
      </c>
      <c r="IM80" s="675">
        <v>1</v>
      </c>
      <c r="IN80" s="675">
        <v>0</v>
      </c>
      <c r="IO80" s="675">
        <v>1</v>
      </c>
      <c r="IP80" s="675">
        <v>0</v>
      </c>
      <c r="IQ80" s="675">
        <v>69.332000000000008</v>
      </c>
      <c r="IR80" s="675">
        <v>42708</v>
      </c>
      <c r="IS80" s="675">
        <v>0</v>
      </c>
      <c r="IT80" s="675">
        <v>0</v>
      </c>
      <c r="IU80" s="675">
        <v>3000</v>
      </c>
      <c r="IV80" s="675">
        <v>0</v>
      </c>
      <c r="IW80" s="675">
        <v>6160</v>
      </c>
      <c r="IX80" s="675">
        <v>0</v>
      </c>
      <c r="IY80" s="675">
        <v>0</v>
      </c>
      <c r="IZ80" s="675">
        <v>0</v>
      </c>
      <c r="JA80" s="675">
        <v>0</v>
      </c>
      <c r="JB80" s="675">
        <v>0</v>
      </c>
      <c r="JC80" s="675">
        <v>0</v>
      </c>
      <c r="JD80" s="675">
        <v>0</v>
      </c>
      <c r="JE80" s="675">
        <v>0</v>
      </c>
      <c r="JF80" s="675">
        <v>0</v>
      </c>
      <c r="JG80" s="675">
        <v>0</v>
      </c>
      <c r="JH80" s="675">
        <v>0</v>
      </c>
      <c r="JI80" s="675">
        <v>0</v>
      </c>
      <c r="JJ80" s="675">
        <v>0</v>
      </c>
      <c r="JK80" s="675">
        <v>0</v>
      </c>
      <c r="JL80" s="675">
        <v>0</v>
      </c>
      <c r="JM80" s="675">
        <v>0</v>
      </c>
      <c r="JN80" s="675">
        <v>32469</v>
      </c>
      <c r="JO80" s="675">
        <v>10.247</v>
      </c>
      <c r="JP80" s="675">
        <v>73.962000000000003</v>
      </c>
      <c r="JQ80" s="675">
        <v>15.791</v>
      </c>
      <c r="JR80" s="675">
        <v>81866</v>
      </c>
      <c r="JS80" s="675">
        <v>687598</v>
      </c>
      <c r="JT80" s="675">
        <v>168594</v>
      </c>
      <c r="JU80" s="675">
        <v>14230</v>
      </c>
      <c r="JV80" s="675">
        <v>0</v>
      </c>
      <c r="JW80" s="675">
        <v>0</v>
      </c>
      <c r="JX80" s="675">
        <v>0</v>
      </c>
      <c r="JY80" s="675">
        <v>0</v>
      </c>
      <c r="JZ80" s="675">
        <v>0</v>
      </c>
      <c r="KA80" s="675">
        <v>0</v>
      </c>
      <c r="KB80" s="675">
        <v>0</v>
      </c>
      <c r="KC80" s="675">
        <v>0</v>
      </c>
      <c r="KD80" s="675">
        <v>14230</v>
      </c>
      <c r="KE80" s="675">
        <v>7263</v>
      </c>
      <c r="KF80" s="675">
        <v>0</v>
      </c>
      <c r="KG80" s="675">
        <v>0</v>
      </c>
      <c r="KH80" s="675">
        <v>0</v>
      </c>
      <c r="KI80" s="675">
        <v>0</v>
      </c>
    </row>
    <row r="81" spans="1:295" ht="12.5" x14ac:dyDescent="0.25">
      <c r="A81" s="675">
        <v>35795</v>
      </c>
      <c r="B81" s="675">
        <v>57807</v>
      </c>
      <c r="C81" s="675">
        <v>7</v>
      </c>
      <c r="D81" s="675">
        <v>2022</v>
      </c>
      <c r="E81" s="675">
        <v>6160</v>
      </c>
      <c r="F81" s="675">
        <v>0</v>
      </c>
      <c r="G81" s="675">
        <v>5227.4340000000002</v>
      </c>
      <c r="H81" s="675">
        <v>4636.1760000000004</v>
      </c>
      <c r="I81" s="675">
        <v>4636.1760000000004</v>
      </c>
      <c r="J81" s="675">
        <v>5227.4340000000002</v>
      </c>
      <c r="K81" s="675">
        <v>0</v>
      </c>
      <c r="L81" s="675">
        <v>6160</v>
      </c>
      <c r="M81" s="675">
        <v>0</v>
      </c>
      <c r="N81" s="675">
        <v>0</v>
      </c>
      <c r="O81" s="675">
        <v>0</v>
      </c>
      <c r="P81" s="675">
        <v>5249.4450000000006</v>
      </c>
      <c r="Q81" s="675">
        <v>0</v>
      </c>
      <c r="R81" s="675">
        <v>2112524</v>
      </c>
      <c r="S81" s="675">
        <v>402.428</v>
      </c>
      <c r="T81" s="675">
        <v>0</v>
      </c>
      <c r="U81" s="675">
        <v>1123388</v>
      </c>
      <c r="V81" s="675">
        <v>482.35200000000003</v>
      </c>
      <c r="W81" s="675">
        <v>297127</v>
      </c>
      <c r="X81" s="675">
        <v>297127</v>
      </c>
      <c r="Y81" s="675">
        <v>0</v>
      </c>
      <c r="Z81" s="675">
        <v>0</v>
      </c>
      <c r="AA81" s="675">
        <v>0</v>
      </c>
      <c r="AB81" s="675">
        <v>0</v>
      </c>
      <c r="AC81" s="675">
        <v>0</v>
      </c>
      <c r="AD81" s="675" t="s">
        <v>316</v>
      </c>
      <c r="AE81" s="675">
        <v>0</v>
      </c>
      <c r="AF81" s="675">
        <v>0</v>
      </c>
      <c r="AG81" s="675">
        <v>0</v>
      </c>
      <c r="AH81" s="675">
        <v>0</v>
      </c>
      <c r="AI81" s="675">
        <v>0</v>
      </c>
      <c r="AJ81" s="675">
        <v>6160</v>
      </c>
      <c r="AK81" s="675" t="s">
        <v>671</v>
      </c>
      <c r="AL81" s="675" t="s">
        <v>18</v>
      </c>
      <c r="AM81" s="675">
        <v>0</v>
      </c>
      <c r="AN81" s="675">
        <v>0</v>
      </c>
      <c r="AO81" s="675">
        <v>0</v>
      </c>
      <c r="AP81" s="675">
        <v>0</v>
      </c>
      <c r="AQ81" s="675">
        <v>0</v>
      </c>
      <c r="AR81" s="675">
        <v>0</v>
      </c>
      <c r="AS81" s="675">
        <v>0</v>
      </c>
      <c r="AT81" s="675">
        <v>0</v>
      </c>
      <c r="AU81" s="675">
        <v>0</v>
      </c>
      <c r="AV81" s="675">
        <v>0</v>
      </c>
      <c r="AW81" s="675">
        <v>54499801</v>
      </c>
      <c r="AX81" s="675">
        <v>53596138</v>
      </c>
      <c r="AY81" s="675">
        <v>35938631</v>
      </c>
      <c r="AZ81" s="675">
        <v>2112524</v>
      </c>
      <c r="BA81" s="675">
        <v>0</v>
      </c>
      <c r="BB81" s="675">
        <v>109524</v>
      </c>
      <c r="BC81" s="675">
        <v>108815</v>
      </c>
      <c r="BD81" s="675">
        <v>254</v>
      </c>
      <c r="BE81" s="675">
        <v>709</v>
      </c>
      <c r="BF81" s="675">
        <v>49568176</v>
      </c>
      <c r="BG81" s="675">
        <v>0</v>
      </c>
      <c r="BH81" s="675">
        <v>0</v>
      </c>
      <c r="BI81" s="675">
        <v>0</v>
      </c>
      <c r="BJ81" s="675">
        <v>12</v>
      </c>
      <c r="BK81" s="675">
        <v>0</v>
      </c>
      <c r="BL81" s="675">
        <v>0</v>
      </c>
      <c r="BM81" s="675">
        <v>0</v>
      </c>
      <c r="BN81" s="675">
        <v>0</v>
      </c>
      <c r="BO81" s="675">
        <v>0</v>
      </c>
      <c r="BP81" s="675">
        <v>0</v>
      </c>
      <c r="BQ81" s="675">
        <v>56</v>
      </c>
      <c r="BR81" s="675">
        <v>0</v>
      </c>
      <c r="BS81" s="675">
        <v>0</v>
      </c>
      <c r="BT81" s="675">
        <v>0</v>
      </c>
      <c r="BU81" s="675">
        <v>0</v>
      </c>
      <c r="BV81" s="675">
        <v>0</v>
      </c>
      <c r="BW81" s="675">
        <v>0</v>
      </c>
      <c r="BX81" s="675">
        <v>0</v>
      </c>
      <c r="BY81" s="675">
        <v>0</v>
      </c>
      <c r="BZ81" s="675">
        <v>0</v>
      </c>
      <c r="CA81" s="675">
        <v>0</v>
      </c>
      <c r="CB81" s="675">
        <v>0</v>
      </c>
      <c r="CC81" s="675">
        <v>0</v>
      </c>
      <c r="CD81" s="675">
        <v>0</v>
      </c>
      <c r="CE81" s="675">
        <v>0</v>
      </c>
      <c r="CF81" s="675">
        <v>0</v>
      </c>
      <c r="CG81" s="675">
        <v>0</v>
      </c>
      <c r="CH81" s="675">
        <v>922932</v>
      </c>
      <c r="CI81" s="675">
        <v>0</v>
      </c>
      <c r="CJ81" s="675">
        <v>4</v>
      </c>
      <c r="CK81" s="675">
        <v>0</v>
      </c>
      <c r="CL81" s="675">
        <v>0</v>
      </c>
      <c r="CM81" s="675">
        <v>0</v>
      </c>
      <c r="CN81" s="675">
        <v>0</v>
      </c>
      <c r="CO81" s="675">
        <v>1</v>
      </c>
      <c r="CP81" s="675">
        <v>0</v>
      </c>
      <c r="CQ81" s="675">
        <v>0</v>
      </c>
      <c r="CR81" s="675">
        <v>5245.9560000000001</v>
      </c>
      <c r="CS81" s="675">
        <v>0</v>
      </c>
      <c r="CT81" s="675">
        <v>0</v>
      </c>
      <c r="CU81" s="675">
        <v>0</v>
      </c>
      <c r="CV81" s="675">
        <v>0</v>
      </c>
      <c r="CW81" s="675">
        <v>0</v>
      </c>
      <c r="CX81" s="675">
        <v>0</v>
      </c>
      <c r="CY81" s="675">
        <v>0</v>
      </c>
      <c r="CZ81" s="675">
        <v>0</v>
      </c>
      <c r="DA81" s="675">
        <v>0</v>
      </c>
      <c r="DB81" s="675">
        <v>28558712</v>
      </c>
      <c r="DC81" s="675">
        <v>0</v>
      </c>
      <c r="DD81" s="675">
        <v>0</v>
      </c>
      <c r="DE81" s="675">
        <v>5598952</v>
      </c>
      <c r="DF81" s="675">
        <v>5598952</v>
      </c>
      <c r="DG81" s="675">
        <v>908.92500000000007</v>
      </c>
      <c r="DH81" s="675">
        <v>0</v>
      </c>
      <c r="DI81" s="675">
        <v>0</v>
      </c>
      <c r="DJ81" s="675">
        <v>0</v>
      </c>
      <c r="DK81" s="675">
        <v>0</v>
      </c>
      <c r="DL81" s="675">
        <v>0</v>
      </c>
      <c r="DM81" s="675">
        <v>4933933</v>
      </c>
      <c r="DN81" s="675">
        <v>18560</v>
      </c>
      <c r="DO81" s="675">
        <v>0</v>
      </c>
      <c r="DP81" s="675">
        <v>0</v>
      </c>
      <c r="DQ81" s="675">
        <v>0</v>
      </c>
      <c r="DR81" s="675">
        <v>0</v>
      </c>
      <c r="DS81" s="675">
        <v>0</v>
      </c>
      <c r="DT81" s="675">
        <v>0</v>
      </c>
      <c r="DU81" s="675">
        <v>0</v>
      </c>
      <c r="DV81" s="675">
        <v>0</v>
      </c>
      <c r="DW81" s="675">
        <v>0</v>
      </c>
      <c r="DX81" s="675">
        <v>0</v>
      </c>
      <c r="DY81" s="675">
        <v>0</v>
      </c>
      <c r="DZ81" s="675">
        <v>0</v>
      </c>
      <c r="EA81" s="675">
        <v>0</v>
      </c>
      <c r="EB81" s="675">
        <v>0</v>
      </c>
      <c r="EC81" s="675">
        <v>186.68600000000001</v>
      </c>
      <c r="ED81" s="675">
        <v>1322477</v>
      </c>
      <c r="EE81" s="675">
        <v>0</v>
      </c>
      <c r="EF81" s="675">
        <v>0</v>
      </c>
      <c r="EG81" s="675">
        <v>0</v>
      </c>
      <c r="EH81" s="675">
        <v>3630016</v>
      </c>
      <c r="EI81" s="675">
        <v>0</v>
      </c>
      <c r="EJ81" s="675">
        <v>0</v>
      </c>
      <c r="EK81" s="675">
        <v>141.797</v>
      </c>
      <c r="EL81" s="675">
        <v>0</v>
      </c>
      <c r="EM81" s="675">
        <v>37.005000000000003</v>
      </c>
      <c r="EN81" s="675">
        <v>10.577</v>
      </c>
      <c r="EO81" s="675">
        <v>0</v>
      </c>
      <c r="EP81" s="675">
        <v>0</v>
      </c>
      <c r="EQ81" s="675">
        <v>189.37900000000002</v>
      </c>
      <c r="ER81" s="675">
        <v>0</v>
      </c>
      <c r="ES81" s="675">
        <v>589.29100000000005</v>
      </c>
      <c r="ET81" s="675">
        <v>0</v>
      </c>
      <c r="EU81" s="675">
        <v>0</v>
      </c>
      <c r="EV81" s="675">
        <v>0</v>
      </c>
      <c r="EW81" s="675">
        <v>0</v>
      </c>
      <c r="EX81" s="675">
        <v>0</v>
      </c>
      <c r="EY81" s="675">
        <v>0</v>
      </c>
      <c r="EZ81" s="675">
        <v>47511200</v>
      </c>
      <c r="FA81" s="675">
        <v>0</v>
      </c>
      <c r="FB81" s="675">
        <v>49604455</v>
      </c>
      <c r="FC81" s="675">
        <v>0</v>
      </c>
      <c r="FD81" s="675">
        <v>0</v>
      </c>
      <c r="FE81" s="675">
        <v>5042098</v>
      </c>
      <c r="FF81" s="675">
        <v>1042840</v>
      </c>
      <c r="FG81" s="675">
        <v>6.3574999999999993E-2</v>
      </c>
      <c r="FH81" s="675">
        <v>2.6297999999999998E-2</v>
      </c>
      <c r="FI81" s="675">
        <v>0</v>
      </c>
      <c r="FJ81" s="675">
        <v>0</v>
      </c>
      <c r="FK81" s="675">
        <v>8046.8190000000004</v>
      </c>
      <c r="FL81" s="675">
        <v>56612325</v>
      </c>
      <c r="FM81" s="675">
        <v>0</v>
      </c>
      <c r="FN81" s="675">
        <v>0</v>
      </c>
      <c r="FO81" s="675">
        <v>27331</v>
      </c>
      <c r="FP81" s="675">
        <v>0</v>
      </c>
      <c r="FQ81" s="675">
        <v>27331</v>
      </c>
      <c r="FR81" s="675">
        <v>27331</v>
      </c>
      <c r="FS81" s="675">
        <v>0</v>
      </c>
      <c r="FT81" s="675">
        <v>0</v>
      </c>
      <c r="FU81" s="675">
        <v>0</v>
      </c>
      <c r="FV81" s="675">
        <v>0</v>
      </c>
      <c r="FW81" s="675">
        <v>0</v>
      </c>
      <c r="FX81" s="675">
        <v>0</v>
      </c>
      <c r="FY81" s="675">
        <v>0</v>
      </c>
      <c r="FZ81" s="675">
        <v>0</v>
      </c>
      <c r="GA81" s="675">
        <v>0</v>
      </c>
      <c r="GB81" s="675">
        <v>3830331</v>
      </c>
      <c r="GC81" s="675">
        <v>3830331</v>
      </c>
      <c r="GD81" s="675">
        <v>401.87900000000002</v>
      </c>
      <c r="GE81" s="675">
        <v>0</v>
      </c>
      <c r="GF81" s="675">
        <v>0</v>
      </c>
      <c r="GG81" s="675">
        <v>0</v>
      </c>
      <c r="GH81" s="675">
        <v>0</v>
      </c>
      <c r="GI81" s="675">
        <v>0</v>
      </c>
      <c r="GJ81" s="675">
        <v>0</v>
      </c>
      <c r="GK81" s="675">
        <v>0</v>
      </c>
      <c r="GL81" s="675">
        <v>0</v>
      </c>
      <c r="GM81" s="675">
        <v>0</v>
      </c>
      <c r="GN81" s="675">
        <v>0</v>
      </c>
      <c r="GO81" s="675">
        <v>0</v>
      </c>
      <c r="GP81" s="675">
        <v>0</v>
      </c>
      <c r="GQ81" s="675">
        <v>0</v>
      </c>
      <c r="GR81" s="675">
        <v>0</v>
      </c>
      <c r="GS81" s="675">
        <v>0</v>
      </c>
      <c r="GT81" s="675">
        <v>0</v>
      </c>
      <c r="GU81" s="675">
        <v>0</v>
      </c>
      <c r="GV81" s="675">
        <v>0</v>
      </c>
      <c r="GW81" s="675">
        <v>0</v>
      </c>
      <c r="GX81" s="675">
        <v>0</v>
      </c>
      <c r="GY81" s="675">
        <v>0</v>
      </c>
      <c r="GZ81" s="675">
        <v>0</v>
      </c>
      <c r="HA81" s="675">
        <v>0</v>
      </c>
      <c r="HB81" s="675">
        <v>308877260</v>
      </c>
      <c r="HC81" s="675">
        <v>4.4138999999999998E-2</v>
      </c>
      <c r="HD81" s="675">
        <v>922932</v>
      </c>
      <c r="HE81" s="675">
        <v>0</v>
      </c>
      <c r="HF81" s="675">
        <v>5113702</v>
      </c>
      <c r="HG81" s="675">
        <v>134287</v>
      </c>
      <c r="HH81" s="675">
        <v>768835</v>
      </c>
      <c r="HI81" s="675">
        <v>0</v>
      </c>
      <c r="HJ81" s="675">
        <v>50811</v>
      </c>
      <c r="HK81" s="675">
        <v>16821</v>
      </c>
      <c r="HL81" s="675">
        <v>11396</v>
      </c>
      <c r="HM81" s="675">
        <v>147000</v>
      </c>
      <c r="HN81" s="675">
        <v>6402</v>
      </c>
      <c r="HO81" s="675">
        <v>0</v>
      </c>
      <c r="HP81" s="675">
        <v>0</v>
      </c>
      <c r="HQ81" s="675">
        <v>0</v>
      </c>
      <c r="HR81" s="675">
        <v>0</v>
      </c>
      <c r="HS81" s="675">
        <v>47491931</v>
      </c>
      <c r="HT81" s="675">
        <v>1042840</v>
      </c>
      <c r="HU81" s="675">
        <v>0</v>
      </c>
      <c r="HV81" s="675">
        <v>0</v>
      </c>
      <c r="HW81" s="675">
        <v>0</v>
      </c>
      <c r="HX81" s="675">
        <v>695</v>
      </c>
      <c r="HY81" s="675">
        <v>835</v>
      </c>
      <c r="HZ81" s="675">
        <v>562</v>
      </c>
      <c r="IA81" s="675">
        <v>715</v>
      </c>
      <c r="IB81" s="675">
        <v>822</v>
      </c>
      <c r="IC81" s="675">
        <v>3629</v>
      </c>
      <c r="ID81" s="675">
        <v>0</v>
      </c>
      <c r="IE81" s="675">
        <v>0</v>
      </c>
      <c r="IF81" s="675">
        <v>0</v>
      </c>
      <c r="IG81" s="675">
        <v>218</v>
      </c>
      <c r="IH81" s="675">
        <v>1248.115</v>
      </c>
      <c r="II81" s="675">
        <v>0</v>
      </c>
      <c r="IJ81" s="675">
        <v>482.35200000000003</v>
      </c>
      <c r="IK81" s="675">
        <v>0</v>
      </c>
      <c r="IL81" s="675">
        <v>14</v>
      </c>
      <c r="IM81" s="675">
        <v>25</v>
      </c>
      <c r="IN81" s="675">
        <v>1</v>
      </c>
      <c r="IO81" s="675">
        <v>40</v>
      </c>
      <c r="IP81" s="675">
        <v>0</v>
      </c>
      <c r="IQ81" s="675">
        <v>482.35200000000003</v>
      </c>
      <c r="IR81" s="675">
        <v>297127</v>
      </c>
      <c r="IS81" s="675">
        <v>0</v>
      </c>
      <c r="IT81" s="675">
        <v>70000</v>
      </c>
      <c r="IU81" s="675">
        <v>75000</v>
      </c>
      <c r="IV81" s="675">
        <v>2000</v>
      </c>
      <c r="IW81" s="675">
        <v>6160</v>
      </c>
      <c r="IX81" s="675">
        <v>0</v>
      </c>
      <c r="IY81" s="675">
        <v>0</v>
      </c>
      <c r="IZ81" s="675">
        <v>0</v>
      </c>
      <c r="JA81" s="675">
        <v>0</v>
      </c>
      <c r="JB81" s="675">
        <v>0</v>
      </c>
      <c r="JC81" s="675">
        <v>0</v>
      </c>
      <c r="JD81" s="675">
        <v>0</v>
      </c>
      <c r="JE81" s="675">
        <v>0</v>
      </c>
      <c r="JF81" s="675">
        <v>1</v>
      </c>
      <c r="JG81" s="675">
        <v>6402</v>
      </c>
      <c r="JH81" s="675">
        <v>0</v>
      </c>
      <c r="JI81" s="675">
        <v>0</v>
      </c>
      <c r="JJ81" s="675">
        <v>0</v>
      </c>
      <c r="JK81" s="675">
        <v>0</v>
      </c>
      <c r="JL81" s="675">
        <v>0</v>
      </c>
      <c r="JM81" s="675">
        <v>0</v>
      </c>
      <c r="JN81" s="675">
        <v>32469</v>
      </c>
      <c r="JO81" s="675">
        <v>37.630000000000003</v>
      </c>
      <c r="JP81" s="675">
        <v>260.33199999999999</v>
      </c>
      <c r="JQ81" s="675">
        <v>103.917</v>
      </c>
      <c r="JR81" s="675">
        <v>300637</v>
      </c>
      <c r="JS81" s="675">
        <v>2420213</v>
      </c>
      <c r="JT81" s="675">
        <v>1109481</v>
      </c>
      <c r="JU81" s="675">
        <v>109524</v>
      </c>
      <c r="JV81" s="675">
        <v>0</v>
      </c>
      <c r="JW81" s="675">
        <v>0</v>
      </c>
      <c r="JX81" s="675">
        <v>0</v>
      </c>
      <c r="JY81" s="675">
        <v>0</v>
      </c>
      <c r="JZ81" s="675">
        <v>0</v>
      </c>
      <c r="KA81" s="675">
        <v>0</v>
      </c>
      <c r="KB81" s="675">
        <v>0</v>
      </c>
      <c r="KC81" s="675">
        <v>0</v>
      </c>
      <c r="KD81" s="675">
        <v>109524</v>
      </c>
      <c r="KE81" s="675">
        <v>7263</v>
      </c>
      <c r="KF81" s="675">
        <v>0</v>
      </c>
      <c r="KG81" s="675">
        <v>0</v>
      </c>
      <c r="KH81" s="675">
        <v>0</v>
      </c>
      <c r="KI81" s="675">
        <v>0</v>
      </c>
    </row>
    <row r="82" spans="1:295" ht="12.5" x14ac:dyDescent="0.25">
      <c r="A82" s="675">
        <v>35795</v>
      </c>
      <c r="B82" s="675">
        <v>71807</v>
      </c>
      <c r="C82" s="675">
        <v>7</v>
      </c>
      <c r="D82" s="675">
        <v>2022</v>
      </c>
      <c r="E82" s="675">
        <v>6160</v>
      </c>
      <c r="F82" s="675">
        <v>0</v>
      </c>
      <c r="G82" s="675">
        <v>165.40700000000001</v>
      </c>
      <c r="H82" s="675">
        <v>162.834</v>
      </c>
      <c r="I82" s="675">
        <v>162.834</v>
      </c>
      <c r="J82" s="675">
        <v>165.40700000000001</v>
      </c>
      <c r="K82" s="675">
        <v>0</v>
      </c>
      <c r="L82" s="675">
        <v>6160</v>
      </c>
      <c r="M82" s="675">
        <v>0</v>
      </c>
      <c r="N82" s="675">
        <v>0</v>
      </c>
      <c r="O82" s="675">
        <v>0</v>
      </c>
      <c r="P82" s="675">
        <v>157.751</v>
      </c>
      <c r="Q82" s="675">
        <v>0</v>
      </c>
      <c r="R82" s="675">
        <v>63483</v>
      </c>
      <c r="S82" s="675">
        <v>402.428</v>
      </c>
      <c r="T82" s="675">
        <v>0</v>
      </c>
      <c r="U82" s="675">
        <v>33759</v>
      </c>
      <c r="V82" s="675">
        <v>141.46800000000002</v>
      </c>
      <c r="W82" s="675">
        <v>218265</v>
      </c>
      <c r="X82" s="675">
        <v>218265</v>
      </c>
      <c r="Y82" s="675">
        <v>0</v>
      </c>
      <c r="Z82" s="675">
        <v>0</v>
      </c>
      <c r="AA82" s="675">
        <v>0</v>
      </c>
      <c r="AB82" s="675">
        <v>0</v>
      </c>
      <c r="AC82" s="675">
        <v>0</v>
      </c>
      <c r="AD82" s="675" t="s">
        <v>316</v>
      </c>
      <c r="AE82" s="675">
        <v>0</v>
      </c>
      <c r="AF82" s="675">
        <v>0</v>
      </c>
      <c r="AG82" s="675">
        <v>0</v>
      </c>
      <c r="AH82" s="675">
        <v>0</v>
      </c>
      <c r="AI82" s="675">
        <v>0</v>
      </c>
      <c r="AJ82" s="675">
        <v>6160</v>
      </c>
      <c r="AK82" s="675" t="s">
        <v>671</v>
      </c>
      <c r="AL82" s="675" t="s">
        <v>64</v>
      </c>
      <c r="AM82" s="675">
        <v>0</v>
      </c>
      <c r="AN82" s="675">
        <v>0</v>
      </c>
      <c r="AO82" s="675">
        <v>0</v>
      </c>
      <c r="AP82" s="675">
        <v>0</v>
      </c>
      <c r="AQ82" s="675">
        <v>0</v>
      </c>
      <c r="AR82" s="675">
        <v>0</v>
      </c>
      <c r="AS82" s="675">
        <v>0</v>
      </c>
      <c r="AT82" s="675">
        <v>0</v>
      </c>
      <c r="AU82" s="675">
        <v>0</v>
      </c>
      <c r="AV82" s="675">
        <v>0</v>
      </c>
      <c r="AW82" s="675">
        <v>2042804</v>
      </c>
      <c r="AX82" s="675">
        <v>2042995</v>
      </c>
      <c r="AY82" s="675">
        <v>1265257</v>
      </c>
      <c r="AZ82" s="675">
        <v>63483</v>
      </c>
      <c r="BA82" s="675">
        <v>0</v>
      </c>
      <c r="BB82" s="675">
        <v>0</v>
      </c>
      <c r="BC82" s="675">
        <v>0</v>
      </c>
      <c r="BD82" s="675">
        <v>0</v>
      </c>
      <c r="BE82" s="675">
        <v>0</v>
      </c>
      <c r="BF82" s="675">
        <v>1876162</v>
      </c>
      <c r="BG82" s="675">
        <v>0</v>
      </c>
      <c r="BH82" s="675">
        <v>0</v>
      </c>
      <c r="BI82" s="675">
        <v>0</v>
      </c>
      <c r="BJ82" s="675">
        <v>12</v>
      </c>
      <c r="BK82" s="675">
        <v>0</v>
      </c>
      <c r="BL82" s="675">
        <v>0</v>
      </c>
      <c r="BM82" s="675">
        <v>0</v>
      </c>
      <c r="BN82" s="675">
        <v>0</v>
      </c>
      <c r="BO82" s="675">
        <v>0</v>
      </c>
      <c r="BP82" s="675">
        <v>0</v>
      </c>
      <c r="BQ82" s="675">
        <v>745</v>
      </c>
      <c r="BR82" s="675">
        <v>0</v>
      </c>
      <c r="BS82" s="675">
        <v>0</v>
      </c>
      <c r="BT82" s="675">
        <v>0</v>
      </c>
      <c r="BU82" s="675">
        <v>0</v>
      </c>
      <c r="BV82" s="675">
        <v>0</v>
      </c>
      <c r="BW82" s="675">
        <v>0</v>
      </c>
      <c r="BX82" s="675">
        <v>0</v>
      </c>
      <c r="BY82" s="675">
        <v>0</v>
      </c>
      <c r="BZ82" s="675">
        <v>0</v>
      </c>
      <c r="CA82" s="675">
        <v>0</v>
      </c>
      <c r="CB82" s="675">
        <v>0</v>
      </c>
      <c r="CC82" s="675">
        <v>0</v>
      </c>
      <c r="CD82" s="675">
        <v>0</v>
      </c>
      <c r="CE82" s="675">
        <v>0</v>
      </c>
      <c r="CF82" s="675">
        <v>0</v>
      </c>
      <c r="CG82" s="675">
        <v>0</v>
      </c>
      <c r="CH82" s="675">
        <v>0</v>
      </c>
      <c r="CI82" s="675">
        <v>0</v>
      </c>
      <c r="CJ82" s="675">
        <v>4</v>
      </c>
      <c r="CK82" s="675">
        <v>0</v>
      </c>
      <c r="CL82" s="675">
        <v>0</v>
      </c>
      <c r="CM82" s="675">
        <v>0</v>
      </c>
      <c r="CN82" s="675">
        <v>0</v>
      </c>
      <c r="CO82" s="675">
        <v>1</v>
      </c>
      <c r="CP82" s="675">
        <v>0</v>
      </c>
      <c r="CQ82" s="675">
        <v>0</v>
      </c>
      <c r="CR82" s="675">
        <v>173.60900000000001</v>
      </c>
      <c r="CS82" s="675">
        <v>0</v>
      </c>
      <c r="CT82" s="675">
        <v>0</v>
      </c>
      <c r="CU82" s="675">
        <v>0</v>
      </c>
      <c r="CV82" s="675">
        <v>0</v>
      </c>
      <c r="CW82" s="675">
        <v>0</v>
      </c>
      <c r="CX82" s="675">
        <v>0</v>
      </c>
      <c r="CY82" s="675">
        <v>0</v>
      </c>
      <c r="CZ82" s="675">
        <v>0</v>
      </c>
      <c r="DA82" s="675">
        <v>0</v>
      </c>
      <c r="DB82" s="675">
        <v>1003053</v>
      </c>
      <c r="DC82" s="675">
        <v>0</v>
      </c>
      <c r="DD82" s="675">
        <v>0</v>
      </c>
      <c r="DE82" s="675">
        <v>304688</v>
      </c>
      <c r="DF82" s="675">
        <v>304688</v>
      </c>
      <c r="DG82" s="675">
        <v>49.463000000000001</v>
      </c>
      <c r="DH82" s="675">
        <v>0</v>
      </c>
      <c r="DI82" s="675">
        <v>0</v>
      </c>
      <c r="DJ82" s="675">
        <v>0</v>
      </c>
      <c r="DK82" s="675">
        <v>3541</v>
      </c>
      <c r="DL82" s="675">
        <v>0</v>
      </c>
      <c r="DM82" s="675">
        <v>50820</v>
      </c>
      <c r="DN82" s="675">
        <v>191</v>
      </c>
      <c r="DO82" s="675">
        <v>0</v>
      </c>
      <c r="DP82" s="675">
        <v>0</v>
      </c>
      <c r="DQ82" s="675">
        <v>0</v>
      </c>
      <c r="DR82" s="675">
        <v>0</v>
      </c>
      <c r="DS82" s="675">
        <v>0</v>
      </c>
      <c r="DT82" s="675">
        <v>0</v>
      </c>
      <c r="DU82" s="675">
        <v>0</v>
      </c>
      <c r="DV82" s="675">
        <v>0</v>
      </c>
      <c r="DW82" s="675">
        <v>0</v>
      </c>
      <c r="DX82" s="675">
        <v>0</v>
      </c>
      <c r="DY82" s="675">
        <v>0</v>
      </c>
      <c r="DZ82" s="675">
        <v>0</v>
      </c>
      <c r="EA82" s="675">
        <v>0</v>
      </c>
      <c r="EB82" s="675">
        <v>0</v>
      </c>
      <c r="EC82" s="675">
        <v>0</v>
      </c>
      <c r="ED82" s="675">
        <v>0</v>
      </c>
      <c r="EE82" s="675">
        <v>0</v>
      </c>
      <c r="EF82" s="675">
        <v>0</v>
      </c>
      <c r="EG82" s="675">
        <v>0</v>
      </c>
      <c r="EH82" s="675">
        <v>51011</v>
      </c>
      <c r="EI82" s="675">
        <v>0</v>
      </c>
      <c r="EJ82" s="675">
        <v>0</v>
      </c>
      <c r="EK82" s="675">
        <v>2.2920000000000003</v>
      </c>
      <c r="EL82" s="675">
        <v>0</v>
      </c>
      <c r="EM82" s="675">
        <v>0</v>
      </c>
      <c r="EN82" s="675">
        <v>0.28100000000000003</v>
      </c>
      <c r="EO82" s="675">
        <v>0</v>
      </c>
      <c r="EP82" s="675">
        <v>0</v>
      </c>
      <c r="EQ82" s="675">
        <v>2.573</v>
      </c>
      <c r="ER82" s="675">
        <v>0</v>
      </c>
      <c r="ES82" s="675">
        <v>8.2810000000000006</v>
      </c>
      <c r="ET82" s="675">
        <v>0</v>
      </c>
      <c r="EU82" s="675">
        <v>0</v>
      </c>
      <c r="EV82" s="675">
        <v>0</v>
      </c>
      <c r="EW82" s="675">
        <v>0</v>
      </c>
      <c r="EX82" s="675">
        <v>0</v>
      </c>
      <c r="EY82" s="675">
        <v>0</v>
      </c>
      <c r="EZ82" s="675">
        <v>1812679</v>
      </c>
      <c r="FA82" s="675">
        <v>0</v>
      </c>
      <c r="FB82" s="675">
        <v>1875971</v>
      </c>
      <c r="FC82" s="675">
        <v>0</v>
      </c>
      <c r="FD82" s="675">
        <v>0</v>
      </c>
      <c r="FE82" s="675">
        <v>190844</v>
      </c>
      <c r="FF82" s="675">
        <v>39472</v>
      </c>
      <c r="FG82" s="675">
        <v>6.3574999999999993E-2</v>
      </c>
      <c r="FH82" s="675">
        <v>2.6297999999999998E-2</v>
      </c>
      <c r="FI82" s="675">
        <v>0</v>
      </c>
      <c r="FJ82" s="675">
        <v>0</v>
      </c>
      <c r="FK82" s="675">
        <v>304.57300000000004</v>
      </c>
      <c r="FL82" s="675">
        <v>2106287</v>
      </c>
      <c r="FM82" s="675">
        <v>0</v>
      </c>
      <c r="FN82" s="675">
        <v>0</v>
      </c>
      <c r="FO82" s="675">
        <v>0</v>
      </c>
      <c r="FP82" s="675">
        <v>0</v>
      </c>
      <c r="FQ82" s="675">
        <v>0</v>
      </c>
      <c r="FR82" s="675">
        <v>0</v>
      </c>
      <c r="FS82" s="675">
        <v>0</v>
      </c>
      <c r="FT82" s="675">
        <v>0</v>
      </c>
      <c r="FU82" s="675">
        <v>0</v>
      </c>
      <c r="FV82" s="675">
        <v>0</v>
      </c>
      <c r="FW82" s="675">
        <v>0</v>
      </c>
      <c r="FX82" s="675">
        <v>0</v>
      </c>
      <c r="FY82" s="675">
        <v>0</v>
      </c>
      <c r="FZ82" s="675">
        <v>0</v>
      </c>
      <c r="GA82" s="675">
        <v>0</v>
      </c>
      <c r="GB82" s="675">
        <v>0</v>
      </c>
      <c r="GC82" s="675">
        <v>0</v>
      </c>
      <c r="GD82" s="675">
        <v>0</v>
      </c>
      <c r="GE82" s="675">
        <v>0</v>
      </c>
      <c r="GF82" s="675">
        <v>0</v>
      </c>
      <c r="GG82" s="675">
        <v>0</v>
      </c>
      <c r="GH82" s="675">
        <v>0</v>
      </c>
      <c r="GI82" s="675">
        <v>0</v>
      </c>
      <c r="GJ82" s="675">
        <v>0</v>
      </c>
      <c r="GK82" s="675">
        <v>0</v>
      </c>
      <c r="GL82" s="675">
        <v>0</v>
      </c>
      <c r="GM82" s="675">
        <v>0</v>
      </c>
      <c r="GN82" s="675">
        <v>0</v>
      </c>
      <c r="GO82" s="675">
        <v>0</v>
      </c>
      <c r="GP82" s="675">
        <v>0</v>
      </c>
      <c r="GQ82" s="675">
        <v>0</v>
      </c>
      <c r="GR82" s="675">
        <v>0</v>
      </c>
      <c r="GS82" s="675">
        <v>0</v>
      </c>
      <c r="GT82" s="675">
        <v>0</v>
      </c>
      <c r="GU82" s="675">
        <v>0</v>
      </c>
      <c r="GV82" s="675">
        <v>0</v>
      </c>
      <c r="GW82" s="675">
        <v>0</v>
      </c>
      <c r="GX82" s="675">
        <v>0</v>
      </c>
      <c r="GY82" s="675">
        <v>0</v>
      </c>
      <c r="GZ82" s="675">
        <v>0</v>
      </c>
      <c r="HA82" s="675">
        <v>0</v>
      </c>
      <c r="HB82" s="675">
        <v>0</v>
      </c>
      <c r="HC82" s="675">
        <v>4.4138999999999998E-2</v>
      </c>
      <c r="HD82" s="675">
        <v>0</v>
      </c>
      <c r="HE82" s="675">
        <v>0</v>
      </c>
      <c r="HF82" s="675">
        <v>179606</v>
      </c>
      <c r="HG82" s="675">
        <v>0</v>
      </c>
      <c r="HH82" s="675">
        <v>117931</v>
      </c>
      <c r="HI82" s="675">
        <v>0</v>
      </c>
      <c r="HJ82" s="675">
        <v>1608</v>
      </c>
      <c r="HK82" s="675">
        <v>0</v>
      </c>
      <c r="HL82" s="675">
        <v>0</v>
      </c>
      <c r="HM82" s="675">
        <v>0</v>
      </c>
      <c r="HN82" s="675">
        <v>0</v>
      </c>
      <c r="HO82" s="675">
        <v>0</v>
      </c>
      <c r="HP82" s="675">
        <v>0</v>
      </c>
      <c r="HQ82" s="675">
        <v>0</v>
      </c>
      <c r="HR82" s="675">
        <v>0</v>
      </c>
      <c r="HS82" s="675">
        <v>1812488</v>
      </c>
      <c r="HT82" s="675">
        <v>39472</v>
      </c>
      <c r="HU82" s="675">
        <v>0</v>
      </c>
      <c r="HV82" s="675">
        <v>0</v>
      </c>
      <c r="HW82" s="675">
        <v>0</v>
      </c>
      <c r="HX82" s="675">
        <v>2</v>
      </c>
      <c r="HY82" s="675">
        <v>3</v>
      </c>
      <c r="HZ82" s="675">
        <v>5</v>
      </c>
      <c r="IA82" s="675">
        <v>108</v>
      </c>
      <c r="IB82" s="675">
        <v>68</v>
      </c>
      <c r="IC82" s="675">
        <v>186</v>
      </c>
      <c r="ID82" s="675">
        <v>0</v>
      </c>
      <c r="IE82" s="675">
        <v>141.90600000000001</v>
      </c>
      <c r="IF82" s="675">
        <v>0</v>
      </c>
      <c r="IG82" s="675">
        <v>0</v>
      </c>
      <c r="IH82" s="675">
        <v>191.447</v>
      </c>
      <c r="II82" s="675">
        <v>0</v>
      </c>
      <c r="IJ82" s="675">
        <v>283.37400000000002</v>
      </c>
      <c r="IK82" s="675">
        <v>0</v>
      </c>
      <c r="IL82" s="675">
        <v>0</v>
      </c>
      <c r="IM82" s="675">
        <v>0</v>
      </c>
      <c r="IN82" s="675">
        <v>0</v>
      </c>
      <c r="IO82" s="675">
        <v>0</v>
      </c>
      <c r="IP82" s="675">
        <v>0</v>
      </c>
      <c r="IQ82" s="675">
        <v>141.46800000000002</v>
      </c>
      <c r="IR82" s="675">
        <v>87144</v>
      </c>
      <c r="IS82" s="675">
        <v>0</v>
      </c>
      <c r="IT82" s="675">
        <v>0</v>
      </c>
      <c r="IU82" s="675">
        <v>0</v>
      </c>
      <c r="IV82" s="675">
        <v>0</v>
      </c>
      <c r="IW82" s="675">
        <v>6160</v>
      </c>
      <c r="IX82" s="675">
        <v>131121</v>
      </c>
      <c r="IY82" s="675">
        <v>0</v>
      </c>
      <c r="IZ82" s="675">
        <v>0</v>
      </c>
      <c r="JA82" s="675">
        <v>0</v>
      </c>
      <c r="JB82" s="675">
        <v>0</v>
      </c>
      <c r="JC82" s="675">
        <v>0</v>
      </c>
      <c r="JD82" s="675">
        <v>0</v>
      </c>
      <c r="JE82" s="675">
        <v>0</v>
      </c>
      <c r="JF82" s="675">
        <v>0</v>
      </c>
      <c r="JG82" s="675">
        <v>0</v>
      </c>
      <c r="JH82" s="675">
        <v>0</v>
      </c>
      <c r="JI82" s="675">
        <v>0</v>
      </c>
      <c r="JJ82" s="675">
        <v>0</v>
      </c>
      <c r="JK82" s="675">
        <v>0</v>
      </c>
      <c r="JL82" s="675">
        <v>0</v>
      </c>
      <c r="JM82" s="675">
        <v>0</v>
      </c>
      <c r="JN82" s="675">
        <v>32469</v>
      </c>
      <c r="JO82" s="675">
        <v>0</v>
      </c>
      <c r="JP82" s="675">
        <v>0</v>
      </c>
      <c r="JQ82" s="675">
        <v>0</v>
      </c>
      <c r="JR82" s="675">
        <v>0</v>
      </c>
      <c r="JS82" s="675">
        <v>0</v>
      </c>
      <c r="JT82" s="675">
        <v>0</v>
      </c>
      <c r="JU82" s="675">
        <v>0</v>
      </c>
      <c r="JV82" s="675">
        <v>0</v>
      </c>
      <c r="JW82" s="675">
        <v>0</v>
      </c>
      <c r="JX82" s="675">
        <v>0</v>
      </c>
      <c r="JY82" s="675">
        <v>0</v>
      </c>
      <c r="JZ82" s="675">
        <v>0</v>
      </c>
      <c r="KA82" s="675">
        <v>0</v>
      </c>
      <c r="KB82" s="675">
        <v>0</v>
      </c>
      <c r="KC82" s="675">
        <v>0</v>
      </c>
      <c r="KD82" s="675">
        <v>0</v>
      </c>
      <c r="KE82" s="675">
        <v>7263</v>
      </c>
      <c r="KF82" s="675">
        <v>0</v>
      </c>
      <c r="KG82" s="675">
        <v>0</v>
      </c>
      <c r="KH82" s="675">
        <v>0</v>
      </c>
      <c r="KI82" s="675">
        <v>0</v>
      </c>
    </row>
    <row r="83" spans="1:295" ht="12.5" x14ac:dyDescent="0.25">
      <c r="A83" s="675">
        <v>35795</v>
      </c>
      <c r="B83" s="675">
        <v>108807</v>
      </c>
      <c r="C83" s="675">
        <v>7</v>
      </c>
      <c r="D83" s="675">
        <v>2022</v>
      </c>
      <c r="E83" s="675">
        <v>6160</v>
      </c>
      <c r="F83" s="675">
        <v>0</v>
      </c>
      <c r="G83" s="675">
        <v>62778.858999999997</v>
      </c>
      <c r="H83" s="675">
        <v>61297.400999999998</v>
      </c>
      <c r="I83" s="675">
        <v>61297.400999999998</v>
      </c>
      <c r="J83" s="675">
        <v>62778.858999999997</v>
      </c>
      <c r="K83" s="675">
        <v>0</v>
      </c>
      <c r="L83" s="675">
        <v>6160</v>
      </c>
      <c r="M83" s="675">
        <v>0</v>
      </c>
      <c r="N83" s="675">
        <v>0</v>
      </c>
      <c r="O83" s="675">
        <v>0</v>
      </c>
      <c r="P83" s="675">
        <v>57474.510999999999</v>
      </c>
      <c r="Q83" s="675">
        <v>0</v>
      </c>
      <c r="R83" s="675">
        <v>23129353</v>
      </c>
      <c r="S83" s="675">
        <v>402.428</v>
      </c>
      <c r="T83" s="675">
        <v>0</v>
      </c>
      <c r="U83" s="675">
        <v>12299622</v>
      </c>
      <c r="V83" s="675">
        <v>20523.075000000001</v>
      </c>
      <c r="W83" s="675">
        <v>12652380</v>
      </c>
      <c r="X83" s="675">
        <v>12652380</v>
      </c>
      <c r="Y83" s="675">
        <v>0</v>
      </c>
      <c r="Z83" s="675">
        <v>0</v>
      </c>
      <c r="AA83" s="675">
        <v>0</v>
      </c>
      <c r="AB83" s="675">
        <v>0</v>
      </c>
      <c r="AC83" s="675">
        <v>0</v>
      </c>
      <c r="AD83" s="675" t="s">
        <v>316</v>
      </c>
      <c r="AE83" s="675">
        <v>0</v>
      </c>
      <c r="AF83" s="675">
        <v>0</v>
      </c>
      <c r="AG83" s="675">
        <v>0</v>
      </c>
      <c r="AH83" s="675">
        <v>0</v>
      </c>
      <c r="AI83" s="675">
        <v>0</v>
      </c>
      <c r="AJ83" s="675">
        <v>6160</v>
      </c>
      <c r="AK83" s="675" t="s">
        <v>671</v>
      </c>
      <c r="AL83" s="675" t="s">
        <v>96</v>
      </c>
      <c r="AM83" s="675">
        <v>0</v>
      </c>
      <c r="AN83" s="675">
        <v>0</v>
      </c>
      <c r="AO83" s="675">
        <v>0</v>
      </c>
      <c r="AP83" s="675">
        <v>0</v>
      </c>
      <c r="AQ83" s="675">
        <v>0</v>
      </c>
      <c r="AR83" s="675">
        <v>0</v>
      </c>
      <c r="AS83" s="675">
        <v>0</v>
      </c>
      <c r="AT83" s="675">
        <v>0</v>
      </c>
      <c r="AU83" s="675">
        <v>0</v>
      </c>
      <c r="AV83" s="675">
        <v>-127499</v>
      </c>
      <c r="AW83" s="675">
        <v>679436413</v>
      </c>
      <c r="AX83" s="675">
        <v>661860825</v>
      </c>
      <c r="AY83" s="675">
        <v>428957697</v>
      </c>
      <c r="AZ83" s="675">
        <v>23129353</v>
      </c>
      <c r="BA83" s="675">
        <v>0</v>
      </c>
      <c r="BB83" s="675">
        <v>0</v>
      </c>
      <c r="BC83" s="675">
        <v>0</v>
      </c>
      <c r="BD83" s="675">
        <v>0</v>
      </c>
      <c r="BE83" s="675">
        <v>0</v>
      </c>
      <c r="BF83" s="675">
        <v>604604460</v>
      </c>
      <c r="BG83" s="675">
        <v>0</v>
      </c>
      <c r="BH83" s="675">
        <v>0</v>
      </c>
      <c r="BI83" s="675">
        <v>0</v>
      </c>
      <c r="BJ83" s="675">
        <v>12</v>
      </c>
      <c r="BK83" s="675">
        <v>0</v>
      </c>
      <c r="BL83" s="675">
        <v>0</v>
      </c>
      <c r="BM83" s="675">
        <v>0</v>
      </c>
      <c r="BN83" s="675">
        <v>0</v>
      </c>
      <c r="BO83" s="675">
        <v>0</v>
      </c>
      <c r="BP83" s="675">
        <v>0</v>
      </c>
      <c r="BQ83" s="675">
        <v>0</v>
      </c>
      <c r="BR83" s="675">
        <v>0</v>
      </c>
      <c r="BS83" s="675">
        <v>0</v>
      </c>
      <c r="BT83" s="675">
        <v>0</v>
      </c>
      <c r="BU83" s="675">
        <v>0</v>
      </c>
      <c r="BV83" s="675">
        <v>0</v>
      </c>
      <c r="BW83" s="675">
        <v>0</v>
      </c>
      <c r="BX83" s="675">
        <v>0</v>
      </c>
      <c r="BY83" s="675">
        <v>0</v>
      </c>
      <c r="BZ83" s="675">
        <v>0</v>
      </c>
      <c r="CA83" s="675">
        <v>5412.0910000000003</v>
      </c>
      <c r="CB83" s="675">
        <v>4615276</v>
      </c>
      <c r="CC83" s="675">
        <v>0</v>
      </c>
      <c r="CD83" s="675">
        <v>0</v>
      </c>
      <c r="CE83" s="675">
        <v>0</v>
      </c>
      <c r="CF83" s="675">
        <v>0</v>
      </c>
      <c r="CG83" s="675">
        <v>0</v>
      </c>
      <c r="CH83" s="675">
        <v>17702293</v>
      </c>
      <c r="CI83" s="675">
        <v>0</v>
      </c>
      <c r="CJ83" s="675">
        <v>4</v>
      </c>
      <c r="CK83" s="675">
        <v>0</v>
      </c>
      <c r="CL83" s="675">
        <v>0</v>
      </c>
      <c r="CM83" s="675">
        <v>0</v>
      </c>
      <c r="CN83" s="675">
        <v>0</v>
      </c>
      <c r="CO83" s="675">
        <v>1</v>
      </c>
      <c r="CP83" s="675">
        <v>1.08</v>
      </c>
      <c r="CQ83" s="675">
        <v>0</v>
      </c>
      <c r="CR83" s="675">
        <v>58257.523000000001</v>
      </c>
      <c r="CS83" s="675">
        <v>0</v>
      </c>
      <c r="CT83" s="675">
        <v>0</v>
      </c>
      <c r="CU83" s="675">
        <v>0</v>
      </c>
      <c r="CV83" s="675">
        <v>0</v>
      </c>
      <c r="CW83" s="675">
        <v>0</v>
      </c>
      <c r="CX83" s="675">
        <v>0</v>
      </c>
      <c r="CY83" s="675">
        <v>0</v>
      </c>
      <c r="CZ83" s="675">
        <v>0</v>
      </c>
      <c r="DA83" s="675">
        <v>0</v>
      </c>
      <c r="DB83" s="675">
        <v>377590239</v>
      </c>
      <c r="DC83" s="675">
        <v>0</v>
      </c>
      <c r="DD83" s="675">
        <v>0</v>
      </c>
      <c r="DE83" s="675">
        <v>88172830</v>
      </c>
      <c r="DF83" s="675">
        <v>88188863</v>
      </c>
      <c r="DG83" s="675">
        <v>14313.838</v>
      </c>
      <c r="DH83" s="675">
        <v>0</v>
      </c>
      <c r="DI83" s="675">
        <v>16033</v>
      </c>
      <c r="DJ83" s="675">
        <v>0</v>
      </c>
      <c r="DK83" s="675">
        <v>0</v>
      </c>
      <c r="DL83" s="675">
        <v>0</v>
      </c>
      <c r="DM83" s="675">
        <v>33682042</v>
      </c>
      <c r="DN83" s="675">
        <v>126705</v>
      </c>
      <c r="DO83" s="675">
        <v>0</v>
      </c>
      <c r="DP83" s="675">
        <v>0</v>
      </c>
      <c r="DQ83" s="675">
        <v>0</v>
      </c>
      <c r="DR83" s="675">
        <v>0</v>
      </c>
      <c r="DS83" s="675">
        <v>0</v>
      </c>
      <c r="DT83" s="675">
        <v>0</v>
      </c>
      <c r="DU83" s="675">
        <v>0</v>
      </c>
      <c r="DV83" s="675">
        <v>0</v>
      </c>
      <c r="DW83" s="675">
        <v>0</v>
      </c>
      <c r="DX83" s="675">
        <v>0</v>
      </c>
      <c r="DY83" s="675">
        <v>0</v>
      </c>
      <c r="DZ83" s="675">
        <v>0</v>
      </c>
      <c r="EA83" s="675">
        <v>3.87</v>
      </c>
      <c r="EB83" s="675">
        <v>0</v>
      </c>
      <c r="EC83" s="675">
        <v>1534.49</v>
      </c>
      <c r="ED83" s="675">
        <v>10870277</v>
      </c>
      <c r="EE83" s="675">
        <v>0</v>
      </c>
      <c r="EF83" s="675">
        <v>0</v>
      </c>
      <c r="EG83" s="675">
        <v>0</v>
      </c>
      <c r="EH83" s="675">
        <v>22938470</v>
      </c>
      <c r="EI83" s="675">
        <v>0</v>
      </c>
      <c r="EJ83" s="675">
        <v>0</v>
      </c>
      <c r="EK83" s="675">
        <v>556.85300000000007</v>
      </c>
      <c r="EL83" s="675">
        <v>12.968</v>
      </c>
      <c r="EM83" s="675">
        <v>492.82300000000004</v>
      </c>
      <c r="EN83" s="675">
        <v>106.93600000000001</v>
      </c>
      <c r="EO83" s="675">
        <v>0</v>
      </c>
      <c r="EP83" s="675">
        <v>0</v>
      </c>
      <c r="EQ83" s="675">
        <v>1169.498</v>
      </c>
      <c r="ER83" s="675">
        <v>9.016</v>
      </c>
      <c r="ES83" s="675">
        <v>3723.7950000000001</v>
      </c>
      <c r="ET83" s="675">
        <v>0</v>
      </c>
      <c r="EU83" s="675">
        <v>0</v>
      </c>
      <c r="EV83" s="675">
        <v>0</v>
      </c>
      <c r="EW83" s="675">
        <v>0</v>
      </c>
      <c r="EX83" s="675">
        <v>0</v>
      </c>
      <c r="EY83" s="675">
        <v>0</v>
      </c>
      <c r="EZ83" s="675">
        <v>587640205</v>
      </c>
      <c r="FA83" s="675">
        <v>0</v>
      </c>
      <c r="FB83" s="675">
        <v>610642853</v>
      </c>
      <c r="FC83" s="675">
        <v>0</v>
      </c>
      <c r="FD83" s="675">
        <v>0</v>
      </c>
      <c r="FE83" s="675">
        <v>61500651</v>
      </c>
      <c r="FF83" s="675">
        <v>12719969</v>
      </c>
      <c r="FG83" s="675">
        <v>6.3574999999999993E-2</v>
      </c>
      <c r="FH83" s="675">
        <v>2.6297999999999998E-2</v>
      </c>
      <c r="FI83" s="675">
        <v>0</v>
      </c>
      <c r="FJ83" s="675">
        <v>0</v>
      </c>
      <c r="FK83" s="675">
        <v>98150.53</v>
      </c>
      <c r="FL83" s="675">
        <v>702565766</v>
      </c>
      <c r="FM83" s="675">
        <v>0</v>
      </c>
      <c r="FN83" s="675">
        <v>0</v>
      </c>
      <c r="FO83" s="675">
        <v>1113661</v>
      </c>
      <c r="FP83" s="675">
        <v>325434</v>
      </c>
      <c r="FQ83" s="675">
        <v>1439095</v>
      </c>
      <c r="FR83" s="675">
        <v>1113661</v>
      </c>
      <c r="FS83" s="675">
        <v>0</v>
      </c>
      <c r="FT83" s="675">
        <v>0</v>
      </c>
      <c r="FU83" s="675">
        <v>0</v>
      </c>
      <c r="FV83" s="675">
        <v>0</v>
      </c>
      <c r="FW83" s="675">
        <v>0</v>
      </c>
      <c r="FX83" s="675">
        <v>0</v>
      </c>
      <c r="FY83" s="675">
        <v>0</v>
      </c>
      <c r="FZ83" s="675">
        <v>0</v>
      </c>
      <c r="GA83" s="675">
        <v>0</v>
      </c>
      <c r="GB83" s="675">
        <v>2498411</v>
      </c>
      <c r="GC83" s="675">
        <v>2498411</v>
      </c>
      <c r="GD83" s="675">
        <v>311.95999999999998</v>
      </c>
      <c r="GE83" s="675">
        <v>0</v>
      </c>
      <c r="GF83" s="675">
        <v>0</v>
      </c>
      <c r="GG83" s="675">
        <v>0</v>
      </c>
      <c r="GH83" s="675">
        <v>0</v>
      </c>
      <c r="GI83" s="675">
        <v>0</v>
      </c>
      <c r="GJ83" s="675">
        <v>0</v>
      </c>
      <c r="GK83" s="675">
        <v>0</v>
      </c>
      <c r="GL83" s="675">
        <v>0</v>
      </c>
      <c r="GM83" s="675">
        <v>0</v>
      </c>
      <c r="GN83" s="675">
        <v>0</v>
      </c>
      <c r="GO83" s="675">
        <v>0</v>
      </c>
      <c r="GP83" s="675">
        <v>0</v>
      </c>
      <c r="GQ83" s="675">
        <v>0</v>
      </c>
      <c r="GR83" s="675">
        <v>0</v>
      </c>
      <c r="GS83" s="675">
        <v>0</v>
      </c>
      <c r="GT83" s="675">
        <v>0</v>
      </c>
      <c r="GU83" s="675">
        <v>0</v>
      </c>
      <c r="GV83" s="675">
        <v>0</v>
      </c>
      <c r="GW83" s="675">
        <v>0</v>
      </c>
      <c r="GX83" s="675">
        <v>0</v>
      </c>
      <c r="GY83" s="675">
        <v>0</v>
      </c>
      <c r="GZ83" s="675">
        <v>0</v>
      </c>
      <c r="HA83" s="675">
        <v>0</v>
      </c>
      <c r="HB83" s="675">
        <v>308877260</v>
      </c>
      <c r="HC83" s="675">
        <v>4.4138999999999998E-2</v>
      </c>
      <c r="HD83" s="675">
        <v>11083953</v>
      </c>
      <c r="HE83" s="675">
        <v>0</v>
      </c>
      <c r="HF83" s="675">
        <v>67611033</v>
      </c>
      <c r="HG83" s="675">
        <v>298759</v>
      </c>
      <c r="HH83" s="675">
        <v>19303817</v>
      </c>
      <c r="HI83" s="675">
        <v>0</v>
      </c>
      <c r="HJ83" s="675">
        <v>610211</v>
      </c>
      <c r="HK83" s="675">
        <v>110727</v>
      </c>
      <c r="HL83" s="675">
        <v>0</v>
      </c>
      <c r="HM83" s="675">
        <v>2042000</v>
      </c>
      <c r="HN83" s="675">
        <v>0</v>
      </c>
      <c r="HO83" s="675">
        <v>0</v>
      </c>
      <c r="HP83" s="675">
        <v>0</v>
      </c>
      <c r="HQ83" s="675">
        <v>0</v>
      </c>
      <c r="HR83" s="675">
        <v>0</v>
      </c>
      <c r="HS83" s="675">
        <v>587513500</v>
      </c>
      <c r="HT83" s="675">
        <v>12719969</v>
      </c>
      <c r="HU83" s="675">
        <v>0</v>
      </c>
      <c r="HV83" s="675">
        <v>0</v>
      </c>
      <c r="HW83" s="675">
        <v>0</v>
      </c>
      <c r="HX83" s="675">
        <v>7543</v>
      </c>
      <c r="HY83" s="675">
        <v>9779</v>
      </c>
      <c r="HZ83" s="675">
        <v>13662</v>
      </c>
      <c r="IA83" s="675">
        <v>14008</v>
      </c>
      <c r="IB83" s="675">
        <v>11642</v>
      </c>
      <c r="IC83" s="675">
        <v>56634</v>
      </c>
      <c r="ID83" s="675">
        <v>0</v>
      </c>
      <c r="IE83" s="675">
        <v>11.065000000000001</v>
      </c>
      <c r="IF83" s="675">
        <v>0</v>
      </c>
      <c r="IG83" s="675">
        <v>485</v>
      </c>
      <c r="IH83" s="675">
        <v>31337.510000000002</v>
      </c>
      <c r="II83" s="675">
        <v>0</v>
      </c>
      <c r="IJ83" s="675">
        <v>20534.14</v>
      </c>
      <c r="IK83" s="675">
        <v>0</v>
      </c>
      <c r="IL83" s="675">
        <v>376</v>
      </c>
      <c r="IM83" s="675">
        <v>44</v>
      </c>
      <c r="IN83" s="675">
        <v>15</v>
      </c>
      <c r="IO83" s="675">
        <v>435</v>
      </c>
      <c r="IP83" s="675">
        <v>0</v>
      </c>
      <c r="IQ83" s="675">
        <v>20523.075000000001</v>
      </c>
      <c r="IR83" s="675">
        <v>12642156</v>
      </c>
      <c r="IS83" s="675">
        <v>0</v>
      </c>
      <c r="IT83" s="675">
        <v>1880000</v>
      </c>
      <c r="IU83" s="675">
        <v>132000</v>
      </c>
      <c r="IV83" s="675">
        <v>30000</v>
      </c>
      <c r="IW83" s="675">
        <v>6160</v>
      </c>
      <c r="IX83" s="675">
        <v>10224</v>
      </c>
      <c r="IY83" s="675">
        <v>0</v>
      </c>
      <c r="IZ83" s="675">
        <v>0</v>
      </c>
      <c r="JA83" s="675">
        <v>0</v>
      </c>
      <c r="JB83" s="675">
        <v>0</v>
      </c>
      <c r="JC83" s="675">
        <v>0</v>
      </c>
      <c r="JD83" s="675">
        <v>0</v>
      </c>
      <c r="JE83" s="675">
        <v>0</v>
      </c>
      <c r="JF83" s="675">
        <v>0</v>
      </c>
      <c r="JG83" s="675">
        <v>0</v>
      </c>
      <c r="JH83" s="675">
        <v>0</v>
      </c>
      <c r="JI83" s="675">
        <v>0</v>
      </c>
      <c r="JJ83" s="675">
        <v>0</v>
      </c>
      <c r="JK83" s="675">
        <v>0</v>
      </c>
      <c r="JL83" s="675">
        <v>0</v>
      </c>
      <c r="JM83" s="675">
        <v>0</v>
      </c>
      <c r="JN83" s="675">
        <v>32469</v>
      </c>
      <c r="JO83" s="675">
        <v>307.31800000000004</v>
      </c>
      <c r="JP83" s="675">
        <v>4.6420000000000003</v>
      </c>
      <c r="JQ83" s="675">
        <v>0</v>
      </c>
      <c r="JR83" s="675">
        <v>2455256</v>
      </c>
      <c r="JS83" s="675">
        <v>43155</v>
      </c>
      <c r="JT83" s="675">
        <v>0</v>
      </c>
      <c r="JU83" s="675">
        <v>0</v>
      </c>
      <c r="JV83" s="675">
        <v>0</v>
      </c>
      <c r="JW83" s="675">
        <v>0</v>
      </c>
      <c r="JX83" s="675">
        <v>0</v>
      </c>
      <c r="JY83" s="675">
        <v>0</v>
      </c>
      <c r="JZ83" s="675">
        <v>0</v>
      </c>
      <c r="KA83" s="675">
        <v>0</v>
      </c>
      <c r="KB83" s="675">
        <v>0</v>
      </c>
      <c r="KC83" s="675">
        <v>0</v>
      </c>
      <c r="KD83" s="675">
        <v>0</v>
      </c>
      <c r="KE83" s="675">
        <v>7263</v>
      </c>
      <c r="KF83" s="675">
        <v>6618340</v>
      </c>
      <c r="KG83" s="675">
        <v>0</v>
      </c>
      <c r="KH83" s="675">
        <v>0</v>
      </c>
      <c r="KI83" s="675">
        <v>0</v>
      </c>
    </row>
    <row r="84" spans="1:295" ht="12.5" x14ac:dyDescent="0.25">
      <c r="A84" s="675">
        <v>35795</v>
      </c>
      <c r="B84" s="675">
        <v>123807</v>
      </c>
      <c r="C84" s="675">
        <v>7</v>
      </c>
      <c r="D84" s="675">
        <v>2022</v>
      </c>
      <c r="E84" s="675">
        <v>6160</v>
      </c>
      <c r="F84" s="675">
        <v>0</v>
      </c>
      <c r="G84" s="675">
        <v>1969.202</v>
      </c>
      <c r="H84" s="675">
        <v>1652.7050000000002</v>
      </c>
      <c r="I84" s="675">
        <v>1652.7050000000002</v>
      </c>
      <c r="J84" s="675">
        <v>1969.202</v>
      </c>
      <c r="K84" s="675">
        <v>0</v>
      </c>
      <c r="L84" s="675">
        <v>6160</v>
      </c>
      <c r="M84" s="675">
        <v>0</v>
      </c>
      <c r="N84" s="675">
        <v>0</v>
      </c>
      <c r="O84" s="675">
        <v>0</v>
      </c>
      <c r="P84" s="675">
        <v>1998.9340000000002</v>
      </c>
      <c r="Q84" s="675">
        <v>0</v>
      </c>
      <c r="R84" s="675">
        <v>804427</v>
      </c>
      <c r="S84" s="675">
        <v>402.428</v>
      </c>
      <c r="T84" s="675">
        <v>0</v>
      </c>
      <c r="U84" s="675">
        <v>427775</v>
      </c>
      <c r="V84" s="675">
        <v>876.37200000000007</v>
      </c>
      <c r="W84" s="675">
        <v>539843</v>
      </c>
      <c r="X84" s="675">
        <v>539843</v>
      </c>
      <c r="Y84" s="675">
        <v>0</v>
      </c>
      <c r="Z84" s="675">
        <v>0</v>
      </c>
      <c r="AA84" s="675">
        <v>0</v>
      </c>
      <c r="AB84" s="675">
        <v>0</v>
      </c>
      <c r="AC84" s="675">
        <v>0</v>
      </c>
      <c r="AD84" s="675" t="s">
        <v>316</v>
      </c>
      <c r="AE84" s="675">
        <v>0</v>
      </c>
      <c r="AF84" s="675">
        <v>0</v>
      </c>
      <c r="AG84" s="675">
        <v>0</v>
      </c>
      <c r="AH84" s="675">
        <v>0</v>
      </c>
      <c r="AI84" s="675">
        <v>0</v>
      </c>
      <c r="AJ84" s="675">
        <v>6160</v>
      </c>
      <c r="AK84" s="675" t="s">
        <v>671</v>
      </c>
      <c r="AL84" s="675" t="s">
        <v>357</v>
      </c>
      <c r="AM84" s="675">
        <v>0</v>
      </c>
      <c r="AN84" s="675">
        <v>0</v>
      </c>
      <c r="AO84" s="675">
        <v>0</v>
      </c>
      <c r="AP84" s="675">
        <v>0</v>
      </c>
      <c r="AQ84" s="675">
        <v>0</v>
      </c>
      <c r="AR84" s="675">
        <v>0</v>
      </c>
      <c r="AS84" s="675">
        <v>0</v>
      </c>
      <c r="AT84" s="675">
        <v>0</v>
      </c>
      <c r="AU84" s="675">
        <v>0</v>
      </c>
      <c r="AV84" s="675">
        <v>0</v>
      </c>
      <c r="AW84" s="675">
        <v>21887569</v>
      </c>
      <c r="AX84" s="675">
        <v>21542404</v>
      </c>
      <c r="AY84" s="675">
        <v>15275723</v>
      </c>
      <c r="AZ84" s="675">
        <v>804427</v>
      </c>
      <c r="BA84" s="675">
        <v>0</v>
      </c>
      <c r="BB84" s="675">
        <v>0</v>
      </c>
      <c r="BC84" s="675">
        <v>0</v>
      </c>
      <c r="BD84" s="675">
        <v>0</v>
      </c>
      <c r="BE84" s="675">
        <v>0</v>
      </c>
      <c r="BF84" s="675">
        <v>19862180</v>
      </c>
      <c r="BG84" s="675">
        <v>0</v>
      </c>
      <c r="BH84" s="675">
        <v>0</v>
      </c>
      <c r="BI84" s="675">
        <v>0</v>
      </c>
      <c r="BJ84" s="675">
        <v>12</v>
      </c>
      <c r="BK84" s="675">
        <v>0</v>
      </c>
      <c r="BL84" s="675">
        <v>0</v>
      </c>
      <c r="BM84" s="675">
        <v>0</v>
      </c>
      <c r="BN84" s="675">
        <v>0</v>
      </c>
      <c r="BO84" s="675">
        <v>0</v>
      </c>
      <c r="BP84" s="675">
        <v>0</v>
      </c>
      <c r="BQ84" s="675">
        <v>515</v>
      </c>
      <c r="BR84" s="675">
        <v>0</v>
      </c>
      <c r="BS84" s="675">
        <v>0</v>
      </c>
      <c r="BT84" s="675">
        <v>0</v>
      </c>
      <c r="BU84" s="675">
        <v>0</v>
      </c>
      <c r="BV84" s="675">
        <v>0</v>
      </c>
      <c r="BW84" s="675">
        <v>0</v>
      </c>
      <c r="BX84" s="675">
        <v>0</v>
      </c>
      <c r="BY84" s="675">
        <v>0</v>
      </c>
      <c r="BZ84" s="675">
        <v>0</v>
      </c>
      <c r="CA84" s="675">
        <v>0</v>
      </c>
      <c r="CB84" s="675">
        <v>0</v>
      </c>
      <c r="CC84" s="675">
        <v>0</v>
      </c>
      <c r="CD84" s="675">
        <v>0</v>
      </c>
      <c r="CE84" s="675">
        <v>0</v>
      </c>
      <c r="CF84" s="675">
        <v>0</v>
      </c>
      <c r="CG84" s="675">
        <v>0</v>
      </c>
      <c r="CH84" s="675">
        <v>347673</v>
      </c>
      <c r="CI84" s="675">
        <v>0</v>
      </c>
      <c r="CJ84" s="675">
        <v>4</v>
      </c>
      <c r="CK84" s="675">
        <v>0</v>
      </c>
      <c r="CL84" s="675">
        <v>0</v>
      </c>
      <c r="CM84" s="675">
        <v>0</v>
      </c>
      <c r="CN84" s="675">
        <v>0</v>
      </c>
      <c r="CO84" s="675">
        <v>1</v>
      </c>
      <c r="CP84" s="675">
        <v>0</v>
      </c>
      <c r="CQ84" s="675">
        <v>0</v>
      </c>
      <c r="CR84" s="675">
        <v>2064.0700000000002</v>
      </c>
      <c r="CS84" s="675">
        <v>0</v>
      </c>
      <c r="CT84" s="675">
        <v>0</v>
      </c>
      <c r="CU84" s="675">
        <v>0</v>
      </c>
      <c r="CV84" s="675">
        <v>0</v>
      </c>
      <c r="CW84" s="675">
        <v>0</v>
      </c>
      <c r="CX84" s="675">
        <v>0</v>
      </c>
      <c r="CY84" s="675">
        <v>0</v>
      </c>
      <c r="CZ84" s="675">
        <v>0</v>
      </c>
      <c r="DA84" s="675">
        <v>0</v>
      </c>
      <c r="DB84" s="675">
        <v>10180616</v>
      </c>
      <c r="DC84" s="675">
        <v>0</v>
      </c>
      <c r="DD84" s="675">
        <v>0</v>
      </c>
      <c r="DE84" s="675">
        <v>3242455</v>
      </c>
      <c r="DF84" s="675">
        <v>3242455</v>
      </c>
      <c r="DG84" s="675">
        <v>526.375</v>
      </c>
      <c r="DH84" s="675">
        <v>0</v>
      </c>
      <c r="DI84" s="675">
        <v>0</v>
      </c>
      <c r="DJ84" s="675">
        <v>0</v>
      </c>
      <c r="DK84" s="675">
        <v>0</v>
      </c>
      <c r="DL84" s="675">
        <v>0</v>
      </c>
      <c r="DM84" s="675">
        <v>666785</v>
      </c>
      <c r="DN84" s="675">
        <v>2508</v>
      </c>
      <c r="DO84" s="675">
        <v>0</v>
      </c>
      <c r="DP84" s="675">
        <v>0</v>
      </c>
      <c r="DQ84" s="675">
        <v>0</v>
      </c>
      <c r="DR84" s="675">
        <v>0</v>
      </c>
      <c r="DS84" s="675">
        <v>0</v>
      </c>
      <c r="DT84" s="675">
        <v>0</v>
      </c>
      <c r="DU84" s="675">
        <v>0</v>
      </c>
      <c r="DV84" s="675">
        <v>0</v>
      </c>
      <c r="DW84" s="675">
        <v>0</v>
      </c>
      <c r="DX84" s="675">
        <v>0</v>
      </c>
      <c r="DY84" s="675">
        <v>0</v>
      </c>
      <c r="DZ84" s="675">
        <v>0</v>
      </c>
      <c r="EA84" s="675">
        <v>0</v>
      </c>
      <c r="EB84" s="675">
        <v>0</v>
      </c>
      <c r="EC84" s="675">
        <v>4.4260000000000002</v>
      </c>
      <c r="ED84" s="675">
        <v>31354</v>
      </c>
      <c r="EE84" s="675">
        <v>0</v>
      </c>
      <c r="EF84" s="675">
        <v>0</v>
      </c>
      <c r="EG84" s="675">
        <v>0</v>
      </c>
      <c r="EH84" s="675">
        <v>637939</v>
      </c>
      <c r="EI84" s="675">
        <v>0</v>
      </c>
      <c r="EJ84" s="675">
        <v>0</v>
      </c>
      <c r="EK84" s="675">
        <v>25.883000000000003</v>
      </c>
      <c r="EL84" s="675">
        <v>0</v>
      </c>
      <c r="EM84" s="675">
        <v>5.9460000000000006</v>
      </c>
      <c r="EN84" s="675">
        <v>1.615</v>
      </c>
      <c r="EO84" s="675">
        <v>0</v>
      </c>
      <c r="EP84" s="675">
        <v>0</v>
      </c>
      <c r="EQ84" s="675">
        <v>33.444000000000003</v>
      </c>
      <c r="ER84" s="675">
        <v>0</v>
      </c>
      <c r="ES84" s="675">
        <v>103.56200000000001</v>
      </c>
      <c r="ET84" s="675">
        <v>0</v>
      </c>
      <c r="EU84" s="675">
        <v>0</v>
      </c>
      <c r="EV84" s="675">
        <v>0</v>
      </c>
      <c r="EW84" s="675">
        <v>0</v>
      </c>
      <c r="EX84" s="675">
        <v>0</v>
      </c>
      <c r="EY84" s="675">
        <v>0</v>
      </c>
      <c r="EZ84" s="675">
        <v>19104144</v>
      </c>
      <c r="FA84" s="675">
        <v>0</v>
      </c>
      <c r="FB84" s="675">
        <v>19906063</v>
      </c>
      <c r="FC84" s="675">
        <v>0</v>
      </c>
      <c r="FD84" s="675">
        <v>0</v>
      </c>
      <c r="FE84" s="675">
        <v>2020390</v>
      </c>
      <c r="FF84" s="675">
        <v>417870</v>
      </c>
      <c r="FG84" s="675">
        <v>6.3574999999999993E-2</v>
      </c>
      <c r="FH84" s="675">
        <v>2.6297999999999998E-2</v>
      </c>
      <c r="FI84" s="675">
        <v>0</v>
      </c>
      <c r="FJ84" s="675">
        <v>0</v>
      </c>
      <c r="FK84" s="675">
        <v>3224.395</v>
      </c>
      <c r="FL84" s="675">
        <v>22691996</v>
      </c>
      <c r="FM84" s="675">
        <v>0</v>
      </c>
      <c r="FN84" s="675">
        <v>0</v>
      </c>
      <c r="FO84" s="675">
        <v>21694</v>
      </c>
      <c r="FP84" s="675">
        <v>16441</v>
      </c>
      <c r="FQ84" s="675">
        <v>38135</v>
      </c>
      <c r="FR84" s="675">
        <v>21694</v>
      </c>
      <c r="FS84" s="675">
        <v>0</v>
      </c>
      <c r="FT84" s="675">
        <v>0</v>
      </c>
      <c r="FU84" s="675">
        <v>0</v>
      </c>
      <c r="FV84" s="675">
        <v>0</v>
      </c>
      <c r="FW84" s="675">
        <v>0</v>
      </c>
      <c r="FX84" s="675">
        <v>0</v>
      </c>
      <c r="FY84" s="675">
        <v>0</v>
      </c>
      <c r="FZ84" s="675">
        <v>0</v>
      </c>
      <c r="GA84" s="675">
        <v>0</v>
      </c>
      <c r="GB84" s="675">
        <v>2708649</v>
      </c>
      <c r="GC84" s="675">
        <v>2708649</v>
      </c>
      <c r="GD84" s="675">
        <v>283.053</v>
      </c>
      <c r="GE84" s="675">
        <v>0</v>
      </c>
      <c r="GF84" s="675">
        <v>0</v>
      </c>
      <c r="GG84" s="675">
        <v>0</v>
      </c>
      <c r="GH84" s="675">
        <v>0</v>
      </c>
      <c r="GI84" s="675">
        <v>0</v>
      </c>
      <c r="GJ84" s="675">
        <v>0</v>
      </c>
      <c r="GK84" s="675">
        <v>0</v>
      </c>
      <c r="GL84" s="675">
        <v>0</v>
      </c>
      <c r="GM84" s="675">
        <v>0</v>
      </c>
      <c r="GN84" s="675">
        <v>0</v>
      </c>
      <c r="GO84" s="675">
        <v>0</v>
      </c>
      <c r="GP84" s="675">
        <v>0</v>
      </c>
      <c r="GQ84" s="675">
        <v>0</v>
      </c>
      <c r="GR84" s="675">
        <v>0</v>
      </c>
      <c r="GS84" s="675">
        <v>0</v>
      </c>
      <c r="GT84" s="675">
        <v>0</v>
      </c>
      <c r="GU84" s="675">
        <v>0</v>
      </c>
      <c r="GV84" s="675">
        <v>0</v>
      </c>
      <c r="GW84" s="675">
        <v>0</v>
      </c>
      <c r="GX84" s="675">
        <v>0</v>
      </c>
      <c r="GY84" s="675">
        <v>0</v>
      </c>
      <c r="GZ84" s="675">
        <v>0</v>
      </c>
      <c r="HA84" s="675">
        <v>0</v>
      </c>
      <c r="HB84" s="675">
        <v>308877260</v>
      </c>
      <c r="HC84" s="675">
        <v>4.4138999999999998E-2</v>
      </c>
      <c r="HD84" s="675">
        <v>347673</v>
      </c>
      <c r="HE84" s="675">
        <v>0</v>
      </c>
      <c r="HF84" s="675">
        <v>1822934</v>
      </c>
      <c r="HG84" s="675">
        <v>14784</v>
      </c>
      <c r="HH84" s="675">
        <v>655465</v>
      </c>
      <c r="HI84" s="675">
        <v>0</v>
      </c>
      <c r="HJ84" s="675">
        <v>19141</v>
      </c>
      <c r="HK84" s="675">
        <v>5688</v>
      </c>
      <c r="HL84" s="675">
        <v>2568</v>
      </c>
      <c r="HM84" s="675">
        <v>9000</v>
      </c>
      <c r="HN84" s="675">
        <v>0</v>
      </c>
      <c r="HO84" s="675">
        <v>0</v>
      </c>
      <c r="HP84" s="675">
        <v>0</v>
      </c>
      <c r="HQ84" s="675">
        <v>0</v>
      </c>
      <c r="HR84" s="675">
        <v>0</v>
      </c>
      <c r="HS84" s="675">
        <v>19101636</v>
      </c>
      <c r="HT84" s="675">
        <v>417870</v>
      </c>
      <c r="HU84" s="675">
        <v>0</v>
      </c>
      <c r="HV84" s="675">
        <v>0</v>
      </c>
      <c r="HW84" s="675">
        <v>0</v>
      </c>
      <c r="HX84" s="675">
        <v>208</v>
      </c>
      <c r="HY84" s="675">
        <v>209</v>
      </c>
      <c r="HZ84" s="675">
        <v>533</v>
      </c>
      <c r="IA84" s="675">
        <v>905</v>
      </c>
      <c r="IB84" s="675">
        <v>215</v>
      </c>
      <c r="IC84" s="675">
        <v>2070</v>
      </c>
      <c r="ID84" s="675">
        <v>0</v>
      </c>
      <c r="IE84" s="675">
        <v>0</v>
      </c>
      <c r="IF84" s="675">
        <v>0</v>
      </c>
      <c r="IG84" s="675">
        <v>24</v>
      </c>
      <c r="IH84" s="675">
        <v>1064.0720000000001</v>
      </c>
      <c r="II84" s="675">
        <v>0</v>
      </c>
      <c r="IJ84" s="675">
        <v>876.37200000000007</v>
      </c>
      <c r="IK84" s="675">
        <v>0</v>
      </c>
      <c r="IL84" s="675">
        <v>0</v>
      </c>
      <c r="IM84" s="675">
        <v>3</v>
      </c>
      <c r="IN84" s="675">
        <v>0</v>
      </c>
      <c r="IO84" s="675">
        <v>3</v>
      </c>
      <c r="IP84" s="675">
        <v>0</v>
      </c>
      <c r="IQ84" s="675">
        <v>876.37200000000007</v>
      </c>
      <c r="IR84" s="675">
        <v>539843</v>
      </c>
      <c r="IS84" s="675">
        <v>0</v>
      </c>
      <c r="IT84" s="675">
        <v>0</v>
      </c>
      <c r="IU84" s="675">
        <v>9000</v>
      </c>
      <c r="IV84" s="675">
        <v>0</v>
      </c>
      <c r="IW84" s="675">
        <v>6160</v>
      </c>
      <c r="IX84" s="675">
        <v>0</v>
      </c>
      <c r="IY84" s="675">
        <v>0</v>
      </c>
      <c r="IZ84" s="675">
        <v>0</v>
      </c>
      <c r="JA84" s="675">
        <v>0</v>
      </c>
      <c r="JB84" s="675">
        <v>0</v>
      </c>
      <c r="JC84" s="675">
        <v>0</v>
      </c>
      <c r="JD84" s="675">
        <v>0</v>
      </c>
      <c r="JE84" s="675">
        <v>0</v>
      </c>
      <c r="JF84" s="675">
        <v>0</v>
      </c>
      <c r="JG84" s="675">
        <v>0</v>
      </c>
      <c r="JH84" s="675">
        <v>0</v>
      </c>
      <c r="JI84" s="675">
        <v>0</v>
      </c>
      <c r="JJ84" s="675">
        <v>0</v>
      </c>
      <c r="JK84" s="675">
        <v>0</v>
      </c>
      <c r="JL84" s="675">
        <v>0</v>
      </c>
      <c r="JM84" s="675">
        <v>0</v>
      </c>
      <c r="JN84" s="675">
        <v>32469</v>
      </c>
      <c r="JO84" s="675">
        <v>14.452</v>
      </c>
      <c r="JP84" s="675">
        <v>198.96100000000001</v>
      </c>
      <c r="JQ84" s="675">
        <v>69.64</v>
      </c>
      <c r="JR84" s="675">
        <v>115461</v>
      </c>
      <c r="JS84" s="675">
        <v>1849669</v>
      </c>
      <c r="JT84" s="675">
        <v>743519</v>
      </c>
      <c r="JU84" s="675">
        <v>0</v>
      </c>
      <c r="JV84" s="675">
        <v>0</v>
      </c>
      <c r="JW84" s="675">
        <v>0</v>
      </c>
      <c r="JX84" s="675">
        <v>0</v>
      </c>
      <c r="JY84" s="675">
        <v>0</v>
      </c>
      <c r="JZ84" s="675">
        <v>0</v>
      </c>
      <c r="KA84" s="675">
        <v>0</v>
      </c>
      <c r="KB84" s="675">
        <v>0</v>
      </c>
      <c r="KC84" s="675">
        <v>0</v>
      </c>
      <c r="KD84" s="675">
        <v>0</v>
      </c>
      <c r="KE84" s="675">
        <v>7263</v>
      </c>
      <c r="KF84" s="675">
        <v>0</v>
      </c>
      <c r="KG84" s="675">
        <v>0</v>
      </c>
      <c r="KH84" s="675">
        <v>0</v>
      </c>
      <c r="KI84" s="675">
        <v>0</v>
      </c>
    </row>
    <row r="85" spans="1:295" ht="12.5" x14ac:dyDescent="0.25">
      <c r="A85" s="675">
        <v>35795</v>
      </c>
      <c r="B85" s="675">
        <v>161807</v>
      </c>
      <c r="C85" s="675">
        <v>7</v>
      </c>
      <c r="D85" s="675">
        <v>2022</v>
      </c>
      <c r="E85" s="675">
        <v>6160</v>
      </c>
      <c r="F85" s="675">
        <v>0</v>
      </c>
      <c r="G85" s="675">
        <v>9193.4880000000012</v>
      </c>
      <c r="H85" s="675">
        <v>8288.4120000000003</v>
      </c>
      <c r="I85" s="675">
        <v>8288.4120000000003</v>
      </c>
      <c r="J85" s="675">
        <v>9193.4880000000012</v>
      </c>
      <c r="K85" s="675">
        <v>0</v>
      </c>
      <c r="L85" s="675">
        <v>6160</v>
      </c>
      <c r="M85" s="675">
        <v>0</v>
      </c>
      <c r="N85" s="675">
        <v>0</v>
      </c>
      <c r="O85" s="675">
        <v>0</v>
      </c>
      <c r="P85" s="675">
        <v>9435.7610000000004</v>
      </c>
      <c r="Q85" s="675">
        <v>0</v>
      </c>
      <c r="R85" s="675">
        <v>3797214</v>
      </c>
      <c r="S85" s="675">
        <v>402.428</v>
      </c>
      <c r="T85" s="675">
        <v>0</v>
      </c>
      <c r="U85" s="675">
        <v>2019263</v>
      </c>
      <c r="V85" s="675">
        <v>2618.1750000000002</v>
      </c>
      <c r="W85" s="675">
        <v>1612788</v>
      </c>
      <c r="X85" s="675">
        <v>1612788</v>
      </c>
      <c r="Y85" s="675">
        <v>0</v>
      </c>
      <c r="Z85" s="675">
        <v>0</v>
      </c>
      <c r="AA85" s="675">
        <v>0</v>
      </c>
      <c r="AB85" s="675">
        <v>0</v>
      </c>
      <c r="AC85" s="675">
        <v>0</v>
      </c>
      <c r="AD85" s="675" t="s">
        <v>316</v>
      </c>
      <c r="AE85" s="675">
        <v>0</v>
      </c>
      <c r="AF85" s="675">
        <v>0</v>
      </c>
      <c r="AG85" s="675">
        <v>0</v>
      </c>
      <c r="AH85" s="675">
        <v>0</v>
      </c>
      <c r="AI85" s="675">
        <v>0</v>
      </c>
      <c r="AJ85" s="675">
        <v>6160</v>
      </c>
      <c r="AK85" s="675" t="s">
        <v>671</v>
      </c>
      <c r="AL85" s="675" t="s">
        <v>901</v>
      </c>
      <c r="AM85" s="675">
        <v>0</v>
      </c>
      <c r="AN85" s="675">
        <v>0</v>
      </c>
      <c r="AO85" s="675">
        <v>0</v>
      </c>
      <c r="AP85" s="675">
        <v>0</v>
      </c>
      <c r="AQ85" s="675">
        <v>0</v>
      </c>
      <c r="AR85" s="675">
        <v>0</v>
      </c>
      <c r="AS85" s="675">
        <v>0</v>
      </c>
      <c r="AT85" s="675">
        <v>0</v>
      </c>
      <c r="AU85" s="675">
        <v>0</v>
      </c>
      <c r="AV85" s="675">
        <v>-73302</v>
      </c>
      <c r="AW85" s="675">
        <v>97981793</v>
      </c>
      <c r="AX85" s="675">
        <v>96387446</v>
      </c>
      <c r="AY85" s="675">
        <v>64522232</v>
      </c>
      <c r="AZ85" s="675">
        <v>3797214</v>
      </c>
      <c r="BA85" s="675">
        <v>0</v>
      </c>
      <c r="BB85" s="675">
        <v>193177</v>
      </c>
      <c r="BC85" s="675">
        <v>191927</v>
      </c>
      <c r="BD85" s="675">
        <v>448</v>
      </c>
      <c r="BE85" s="675">
        <v>1250</v>
      </c>
      <c r="BF85" s="675">
        <v>89185370</v>
      </c>
      <c r="BG85" s="675">
        <v>0</v>
      </c>
      <c r="BH85" s="675">
        <v>0</v>
      </c>
      <c r="BI85" s="675">
        <v>0</v>
      </c>
      <c r="BJ85" s="675">
        <v>12</v>
      </c>
      <c r="BK85" s="675">
        <v>0</v>
      </c>
      <c r="BL85" s="675">
        <v>0</v>
      </c>
      <c r="BM85" s="675">
        <v>0</v>
      </c>
      <c r="BN85" s="675">
        <v>0</v>
      </c>
      <c r="BO85" s="675">
        <v>0</v>
      </c>
      <c r="BP85" s="675">
        <v>0</v>
      </c>
      <c r="BQ85" s="675">
        <v>0</v>
      </c>
      <c r="BR85" s="675">
        <v>0</v>
      </c>
      <c r="BS85" s="675">
        <v>0</v>
      </c>
      <c r="BT85" s="675">
        <v>0</v>
      </c>
      <c r="BU85" s="675">
        <v>0</v>
      </c>
      <c r="BV85" s="675">
        <v>0</v>
      </c>
      <c r="BW85" s="675">
        <v>0</v>
      </c>
      <c r="BX85" s="675">
        <v>0</v>
      </c>
      <c r="BY85" s="675">
        <v>0</v>
      </c>
      <c r="BZ85" s="675">
        <v>0</v>
      </c>
      <c r="CA85" s="675">
        <v>0</v>
      </c>
      <c r="CB85" s="675">
        <v>0</v>
      </c>
      <c r="CC85" s="675">
        <v>0</v>
      </c>
      <c r="CD85" s="675">
        <v>0</v>
      </c>
      <c r="CE85" s="675">
        <v>0</v>
      </c>
      <c r="CF85" s="675">
        <v>0</v>
      </c>
      <c r="CG85" s="675">
        <v>0</v>
      </c>
      <c r="CH85" s="675">
        <v>1623161</v>
      </c>
      <c r="CI85" s="675">
        <v>0</v>
      </c>
      <c r="CJ85" s="675">
        <v>4</v>
      </c>
      <c r="CK85" s="675">
        <v>0</v>
      </c>
      <c r="CL85" s="675">
        <v>0</v>
      </c>
      <c r="CM85" s="675">
        <v>0</v>
      </c>
      <c r="CN85" s="675">
        <v>0</v>
      </c>
      <c r="CO85" s="675">
        <v>1</v>
      </c>
      <c r="CP85" s="675">
        <v>0</v>
      </c>
      <c r="CQ85" s="675">
        <v>0</v>
      </c>
      <c r="CR85" s="675">
        <v>9538.2240000000002</v>
      </c>
      <c r="CS85" s="675">
        <v>0</v>
      </c>
      <c r="CT85" s="675">
        <v>0</v>
      </c>
      <c r="CU85" s="675">
        <v>0</v>
      </c>
      <c r="CV85" s="675">
        <v>0</v>
      </c>
      <c r="CW85" s="675">
        <v>0</v>
      </c>
      <c r="CX85" s="675">
        <v>0</v>
      </c>
      <c r="CY85" s="675">
        <v>0</v>
      </c>
      <c r="CZ85" s="675">
        <v>0</v>
      </c>
      <c r="DA85" s="675">
        <v>0</v>
      </c>
      <c r="DB85" s="675">
        <v>51056381</v>
      </c>
      <c r="DC85" s="675">
        <v>0</v>
      </c>
      <c r="DD85" s="675">
        <v>0</v>
      </c>
      <c r="DE85" s="675">
        <v>10125761</v>
      </c>
      <c r="DF85" s="675">
        <v>10125761</v>
      </c>
      <c r="DG85" s="675">
        <v>1643.8</v>
      </c>
      <c r="DH85" s="675">
        <v>0</v>
      </c>
      <c r="DI85" s="675">
        <v>0</v>
      </c>
      <c r="DJ85" s="675">
        <v>0</v>
      </c>
      <c r="DK85" s="675">
        <v>0</v>
      </c>
      <c r="DL85" s="675">
        <v>0</v>
      </c>
      <c r="DM85" s="675">
        <v>7327447</v>
      </c>
      <c r="DN85" s="675">
        <v>27564</v>
      </c>
      <c r="DO85" s="675">
        <v>0</v>
      </c>
      <c r="DP85" s="675">
        <v>0</v>
      </c>
      <c r="DQ85" s="675">
        <v>0</v>
      </c>
      <c r="DR85" s="675">
        <v>0</v>
      </c>
      <c r="DS85" s="675">
        <v>0</v>
      </c>
      <c r="DT85" s="675">
        <v>0</v>
      </c>
      <c r="DU85" s="675">
        <v>0</v>
      </c>
      <c r="DV85" s="675">
        <v>0</v>
      </c>
      <c r="DW85" s="675">
        <v>0</v>
      </c>
      <c r="DX85" s="675">
        <v>0</v>
      </c>
      <c r="DY85" s="675">
        <v>0</v>
      </c>
      <c r="DZ85" s="675">
        <v>0</v>
      </c>
      <c r="EA85" s="675">
        <v>3.6000000000000004E-2</v>
      </c>
      <c r="EB85" s="675">
        <v>0</v>
      </c>
      <c r="EC85" s="675">
        <v>144.065</v>
      </c>
      <c r="ED85" s="675">
        <v>1020552</v>
      </c>
      <c r="EE85" s="675">
        <v>0</v>
      </c>
      <c r="EF85" s="675">
        <v>0</v>
      </c>
      <c r="EG85" s="675">
        <v>0</v>
      </c>
      <c r="EH85" s="675">
        <v>6334459</v>
      </c>
      <c r="EI85" s="675">
        <v>0</v>
      </c>
      <c r="EJ85" s="675">
        <v>0</v>
      </c>
      <c r="EK85" s="675">
        <v>279.81</v>
      </c>
      <c r="EL85" s="675">
        <v>0</v>
      </c>
      <c r="EM85" s="675">
        <v>33.977000000000004</v>
      </c>
      <c r="EN85" s="675">
        <v>17.035</v>
      </c>
      <c r="EO85" s="675">
        <v>0</v>
      </c>
      <c r="EP85" s="675">
        <v>0</v>
      </c>
      <c r="EQ85" s="675">
        <v>331.55799999999999</v>
      </c>
      <c r="ER85" s="675">
        <v>0.70000000000000007</v>
      </c>
      <c r="ES85" s="675">
        <v>1028.326</v>
      </c>
      <c r="ET85" s="675">
        <v>0</v>
      </c>
      <c r="EU85" s="675">
        <v>0</v>
      </c>
      <c r="EV85" s="675">
        <v>0</v>
      </c>
      <c r="EW85" s="675">
        <v>0</v>
      </c>
      <c r="EX85" s="675">
        <v>0</v>
      </c>
      <c r="EY85" s="675">
        <v>0</v>
      </c>
      <c r="EZ85" s="675">
        <v>85439142</v>
      </c>
      <c r="FA85" s="675">
        <v>0</v>
      </c>
      <c r="FB85" s="675">
        <v>89207542</v>
      </c>
      <c r="FC85" s="675">
        <v>0</v>
      </c>
      <c r="FD85" s="675">
        <v>0</v>
      </c>
      <c r="FE85" s="675">
        <v>9071978</v>
      </c>
      <c r="FF85" s="675">
        <v>1876326</v>
      </c>
      <c r="FG85" s="675">
        <v>6.3574999999999993E-2</v>
      </c>
      <c r="FH85" s="675">
        <v>2.6297999999999998E-2</v>
      </c>
      <c r="FI85" s="675">
        <v>0</v>
      </c>
      <c r="FJ85" s="675">
        <v>0</v>
      </c>
      <c r="FK85" s="675">
        <v>14478.212</v>
      </c>
      <c r="FL85" s="675">
        <v>101779007</v>
      </c>
      <c r="FM85" s="675">
        <v>0</v>
      </c>
      <c r="FN85" s="675">
        <v>0</v>
      </c>
      <c r="FO85" s="675">
        <v>0</v>
      </c>
      <c r="FP85" s="675">
        <v>0</v>
      </c>
      <c r="FQ85" s="675">
        <v>0</v>
      </c>
      <c r="FR85" s="675">
        <v>0</v>
      </c>
      <c r="FS85" s="675">
        <v>0</v>
      </c>
      <c r="FT85" s="675">
        <v>0</v>
      </c>
      <c r="FU85" s="675">
        <v>0</v>
      </c>
      <c r="FV85" s="675">
        <v>0</v>
      </c>
      <c r="FW85" s="675">
        <v>0</v>
      </c>
      <c r="FX85" s="675">
        <v>0</v>
      </c>
      <c r="FY85" s="675">
        <v>0</v>
      </c>
      <c r="FZ85" s="675">
        <v>0</v>
      </c>
      <c r="GA85" s="675">
        <v>0</v>
      </c>
      <c r="GB85" s="675">
        <v>5593440</v>
      </c>
      <c r="GC85" s="675">
        <v>5593440</v>
      </c>
      <c r="GD85" s="675">
        <v>573.51800000000003</v>
      </c>
      <c r="GE85" s="675">
        <v>0</v>
      </c>
      <c r="GF85" s="675">
        <v>0</v>
      </c>
      <c r="GG85" s="675">
        <v>0</v>
      </c>
      <c r="GH85" s="675">
        <v>0</v>
      </c>
      <c r="GI85" s="675">
        <v>0</v>
      </c>
      <c r="GJ85" s="675">
        <v>0</v>
      </c>
      <c r="GK85" s="675">
        <v>0</v>
      </c>
      <c r="GL85" s="675">
        <v>0</v>
      </c>
      <c r="GM85" s="675">
        <v>0</v>
      </c>
      <c r="GN85" s="675">
        <v>0</v>
      </c>
      <c r="GO85" s="675">
        <v>0</v>
      </c>
      <c r="GP85" s="675">
        <v>0</v>
      </c>
      <c r="GQ85" s="675">
        <v>0</v>
      </c>
      <c r="GR85" s="675">
        <v>0</v>
      </c>
      <c r="GS85" s="675">
        <v>0</v>
      </c>
      <c r="GT85" s="675">
        <v>0</v>
      </c>
      <c r="GU85" s="675">
        <v>0</v>
      </c>
      <c r="GV85" s="675">
        <v>0</v>
      </c>
      <c r="GW85" s="675">
        <v>0</v>
      </c>
      <c r="GX85" s="675">
        <v>0</v>
      </c>
      <c r="GY85" s="675">
        <v>0</v>
      </c>
      <c r="GZ85" s="675">
        <v>0</v>
      </c>
      <c r="HA85" s="675">
        <v>0</v>
      </c>
      <c r="HB85" s="675">
        <v>308877260</v>
      </c>
      <c r="HC85" s="675">
        <v>4.4138999999999998E-2</v>
      </c>
      <c r="HD85" s="675">
        <v>1623161</v>
      </c>
      <c r="HE85" s="675">
        <v>0</v>
      </c>
      <c r="HF85" s="675">
        <v>9142118</v>
      </c>
      <c r="HG85" s="675">
        <v>159543</v>
      </c>
      <c r="HH85" s="675">
        <v>1580051</v>
      </c>
      <c r="HI85" s="675">
        <v>0</v>
      </c>
      <c r="HJ85" s="675">
        <v>89361</v>
      </c>
      <c r="HK85" s="675">
        <v>31662</v>
      </c>
      <c r="HL85" s="675">
        <v>19324</v>
      </c>
      <c r="HM85" s="675">
        <v>941000</v>
      </c>
      <c r="HN85" s="675">
        <v>1336739</v>
      </c>
      <c r="HO85" s="675">
        <v>0</v>
      </c>
      <c r="HP85" s="675">
        <v>0</v>
      </c>
      <c r="HQ85" s="675">
        <v>0</v>
      </c>
      <c r="HR85" s="675">
        <v>0</v>
      </c>
      <c r="HS85" s="675">
        <v>85410328</v>
      </c>
      <c r="HT85" s="675">
        <v>1876326</v>
      </c>
      <c r="HU85" s="675">
        <v>0</v>
      </c>
      <c r="HV85" s="675">
        <v>0</v>
      </c>
      <c r="HW85" s="675">
        <v>0</v>
      </c>
      <c r="HX85" s="675">
        <v>1266</v>
      </c>
      <c r="HY85" s="675">
        <v>1371</v>
      </c>
      <c r="HZ85" s="675">
        <v>1025</v>
      </c>
      <c r="IA85" s="675">
        <v>1765</v>
      </c>
      <c r="IB85" s="675">
        <v>1141</v>
      </c>
      <c r="IC85" s="675">
        <v>6568</v>
      </c>
      <c r="ID85" s="675">
        <v>0</v>
      </c>
      <c r="IE85" s="675">
        <v>0</v>
      </c>
      <c r="IF85" s="675">
        <v>0</v>
      </c>
      <c r="IG85" s="675">
        <v>259</v>
      </c>
      <c r="IH85" s="675">
        <v>2565.029</v>
      </c>
      <c r="II85" s="675">
        <v>0</v>
      </c>
      <c r="IJ85" s="675">
        <v>2618.1750000000002</v>
      </c>
      <c r="IK85" s="675">
        <v>0</v>
      </c>
      <c r="IL85" s="675">
        <v>131</v>
      </c>
      <c r="IM85" s="675">
        <v>94</v>
      </c>
      <c r="IN85" s="675">
        <v>2</v>
      </c>
      <c r="IO85" s="675">
        <v>227</v>
      </c>
      <c r="IP85" s="675">
        <v>0</v>
      </c>
      <c r="IQ85" s="675">
        <v>2618.1750000000002</v>
      </c>
      <c r="IR85" s="675">
        <v>1612788</v>
      </c>
      <c r="IS85" s="675">
        <v>0</v>
      </c>
      <c r="IT85" s="675">
        <v>655000</v>
      </c>
      <c r="IU85" s="675">
        <v>282000</v>
      </c>
      <c r="IV85" s="675">
        <v>4000</v>
      </c>
      <c r="IW85" s="675">
        <v>6160</v>
      </c>
      <c r="IX85" s="675">
        <v>0</v>
      </c>
      <c r="IY85" s="675">
        <v>0</v>
      </c>
      <c r="IZ85" s="675">
        <v>0</v>
      </c>
      <c r="JA85" s="675">
        <v>0</v>
      </c>
      <c r="JB85" s="675">
        <v>20</v>
      </c>
      <c r="JC85" s="675">
        <v>373384</v>
      </c>
      <c r="JD85" s="675">
        <v>64</v>
      </c>
      <c r="JE85" s="675">
        <v>621868</v>
      </c>
      <c r="JF85" s="675">
        <v>61</v>
      </c>
      <c r="JG85" s="675">
        <v>302987</v>
      </c>
      <c r="JH85" s="675">
        <v>38500</v>
      </c>
      <c r="JI85" s="675">
        <v>0</v>
      </c>
      <c r="JJ85" s="675">
        <v>0</v>
      </c>
      <c r="JK85" s="675">
        <v>0</v>
      </c>
      <c r="JL85" s="675">
        <v>0</v>
      </c>
      <c r="JM85" s="675">
        <v>0</v>
      </c>
      <c r="JN85" s="675">
        <v>32469</v>
      </c>
      <c r="JO85" s="675">
        <v>45.24</v>
      </c>
      <c r="JP85" s="675">
        <v>295.80600000000004</v>
      </c>
      <c r="JQ85" s="675">
        <v>232.471</v>
      </c>
      <c r="JR85" s="675">
        <v>361436</v>
      </c>
      <c r="JS85" s="675">
        <v>2750002</v>
      </c>
      <c r="JT85" s="675">
        <v>2482002</v>
      </c>
      <c r="JU85" s="675">
        <v>193177</v>
      </c>
      <c r="JV85" s="675">
        <v>0</v>
      </c>
      <c r="JW85" s="675">
        <v>0</v>
      </c>
      <c r="JX85" s="675">
        <v>0</v>
      </c>
      <c r="JY85" s="675">
        <v>0</v>
      </c>
      <c r="JZ85" s="675">
        <v>0</v>
      </c>
      <c r="KA85" s="675">
        <v>0</v>
      </c>
      <c r="KB85" s="675">
        <v>0</v>
      </c>
      <c r="KC85" s="675">
        <v>0</v>
      </c>
      <c r="KD85" s="675">
        <v>193177</v>
      </c>
      <c r="KE85" s="675">
        <v>7263</v>
      </c>
      <c r="KF85" s="675">
        <v>0</v>
      </c>
      <c r="KG85" s="675">
        <v>0</v>
      </c>
      <c r="KH85" s="675">
        <v>0</v>
      </c>
      <c r="KI85" s="675">
        <v>0</v>
      </c>
    </row>
    <row r="86" spans="1:295" ht="12.5" x14ac:dyDescent="0.25">
      <c r="A86" s="675">
        <v>35795</v>
      </c>
      <c r="B86" s="675">
        <v>178807</v>
      </c>
      <c r="C86" s="675">
        <v>7</v>
      </c>
      <c r="D86" s="675">
        <v>2022</v>
      </c>
      <c r="E86" s="675">
        <v>6160</v>
      </c>
      <c r="F86" s="675">
        <v>0</v>
      </c>
      <c r="G86" s="675">
        <v>113.02200000000001</v>
      </c>
      <c r="H86" s="675">
        <v>110.59</v>
      </c>
      <c r="I86" s="675">
        <v>110.59</v>
      </c>
      <c r="J86" s="675">
        <v>113.02200000000001</v>
      </c>
      <c r="K86" s="675">
        <v>0</v>
      </c>
      <c r="L86" s="675">
        <v>6160</v>
      </c>
      <c r="M86" s="675">
        <v>0</v>
      </c>
      <c r="N86" s="675">
        <v>0</v>
      </c>
      <c r="O86" s="675">
        <v>0</v>
      </c>
      <c r="P86" s="675">
        <v>109.02800000000001</v>
      </c>
      <c r="Q86" s="675">
        <v>0</v>
      </c>
      <c r="R86" s="675">
        <v>43876</v>
      </c>
      <c r="S86" s="675">
        <v>402.428</v>
      </c>
      <c r="T86" s="675">
        <v>0</v>
      </c>
      <c r="U86" s="675">
        <v>23332</v>
      </c>
      <c r="V86" s="675">
        <v>4.5419999999999998</v>
      </c>
      <c r="W86" s="675">
        <v>2798</v>
      </c>
      <c r="X86" s="675">
        <v>2798</v>
      </c>
      <c r="Y86" s="675">
        <v>0</v>
      </c>
      <c r="Z86" s="675">
        <v>0</v>
      </c>
      <c r="AA86" s="675">
        <v>0</v>
      </c>
      <c r="AB86" s="675">
        <v>0</v>
      </c>
      <c r="AC86" s="675">
        <v>0</v>
      </c>
      <c r="AD86" s="675" t="s">
        <v>316</v>
      </c>
      <c r="AE86" s="675">
        <v>0</v>
      </c>
      <c r="AF86" s="675">
        <v>0</v>
      </c>
      <c r="AG86" s="675">
        <v>0</v>
      </c>
      <c r="AH86" s="675">
        <v>0</v>
      </c>
      <c r="AI86" s="675">
        <v>0</v>
      </c>
      <c r="AJ86" s="675">
        <v>6160</v>
      </c>
      <c r="AK86" s="675" t="s">
        <v>671</v>
      </c>
      <c r="AL86" s="675" t="s">
        <v>69</v>
      </c>
      <c r="AM86" s="675">
        <v>0</v>
      </c>
      <c r="AN86" s="675">
        <v>0</v>
      </c>
      <c r="AO86" s="675">
        <v>0</v>
      </c>
      <c r="AP86" s="675">
        <v>0</v>
      </c>
      <c r="AQ86" s="675">
        <v>0</v>
      </c>
      <c r="AR86" s="675">
        <v>0</v>
      </c>
      <c r="AS86" s="675">
        <v>0</v>
      </c>
      <c r="AT86" s="675">
        <v>0</v>
      </c>
      <c r="AU86" s="675">
        <v>0</v>
      </c>
      <c r="AV86" s="675">
        <v>-732</v>
      </c>
      <c r="AW86" s="675">
        <v>990431</v>
      </c>
      <c r="AX86" s="675">
        <v>970656</v>
      </c>
      <c r="AY86" s="675">
        <v>659013</v>
      </c>
      <c r="AZ86" s="675">
        <v>43876</v>
      </c>
      <c r="BA86" s="675">
        <v>0</v>
      </c>
      <c r="BB86" s="675">
        <v>0</v>
      </c>
      <c r="BC86" s="675">
        <v>0</v>
      </c>
      <c r="BD86" s="675">
        <v>0</v>
      </c>
      <c r="BE86" s="675">
        <v>0</v>
      </c>
      <c r="BF86" s="675">
        <v>903606</v>
      </c>
      <c r="BG86" s="675">
        <v>0</v>
      </c>
      <c r="BH86" s="675">
        <v>0</v>
      </c>
      <c r="BI86" s="675">
        <v>0</v>
      </c>
      <c r="BJ86" s="675">
        <v>12</v>
      </c>
      <c r="BK86" s="675">
        <v>0</v>
      </c>
      <c r="BL86" s="675">
        <v>0</v>
      </c>
      <c r="BM86" s="675">
        <v>0</v>
      </c>
      <c r="BN86" s="675">
        <v>0</v>
      </c>
      <c r="BO86" s="675">
        <v>0</v>
      </c>
      <c r="BP86" s="675">
        <v>0</v>
      </c>
      <c r="BQ86" s="675">
        <v>753</v>
      </c>
      <c r="BR86" s="675">
        <v>0</v>
      </c>
      <c r="BS86" s="675">
        <v>0</v>
      </c>
      <c r="BT86" s="675">
        <v>0</v>
      </c>
      <c r="BU86" s="675">
        <v>0</v>
      </c>
      <c r="BV86" s="675">
        <v>0</v>
      </c>
      <c r="BW86" s="675">
        <v>0</v>
      </c>
      <c r="BX86" s="675">
        <v>0</v>
      </c>
      <c r="BY86" s="675">
        <v>0</v>
      </c>
      <c r="BZ86" s="675">
        <v>0</v>
      </c>
      <c r="CA86" s="675">
        <v>0</v>
      </c>
      <c r="CB86" s="675">
        <v>0</v>
      </c>
      <c r="CC86" s="675">
        <v>0</v>
      </c>
      <c r="CD86" s="675">
        <v>0</v>
      </c>
      <c r="CE86" s="675">
        <v>0</v>
      </c>
      <c r="CF86" s="675">
        <v>0</v>
      </c>
      <c r="CG86" s="675">
        <v>0</v>
      </c>
      <c r="CH86" s="675">
        <v>19955</v>
      </c>
      <c r="CI86" s="675">
        <v>0</v>
      </c>
      <c r="CJ86" s="675">
        <v>4</v>
      </c>
      <c r="CK86" s="675">
        <v>0</v>
      </c>
      <c r="CL86" s="675">
        <v>0</v>
      </c>
      <c r="CM86" s="675">
        <v>0</v>
      </c>
      <c r="CN86" s="675">
        <v>0</v>
      </c>
      <c r="CO86" s="675">
        <v>1</v>
      </c>
      <c r="CP86" s="675">
        <v>0</v>
      </c>
      <c r="CQ86" s="675">
        <v>0</v>
      </c>
      <c r="CR86" s="675">
        <v>126.53</v>
      </c>
      <c r="CS86" s="675">
        <v>0</v>
      </c>
      <c r="CT86" s="675">
        <v>0</v>
      </c>
      <c r="CU86" s="675">
        <v>0</v>
      </c>
      <c r="CV86" s="675">
        <v>0</v>
      </c>
      <c r="CW86" s="675">
        <v>0</v>
      </c>
      <c r="CX86" s="675">
        <v>0</v>
      </c>
      <c r="CY86" s="675">
        <v>0</v>
      </c>
      <c r="CZ86" s="675">
        <v>0</v>
      </c>
      <c r="DA86" s="675">
        <v>0</v>
      </c>
      <c r="DB86" s="675">
        <v>636651</v>
      </c>
      <c r="DC86" s="675">
        <v>0</v>
      </c>
      <c r="DD86" s="675">
        <v>0</v>
      </c>
      <c r="DE86" s="675">
        <v>36729</v>
      </c>
      <c r="DF86" s="675">
        <v>36729</v>
      </c>
      <c r="DG86" s="675">
        <v>5.9630000000000001</v>
      </c>
      <c r="DH86" s="675">
        <v>0</v>
      </c>
      <c r="DI86" s="675">
        <v>0</v>
      </c>
      <c r="DJ86" s="675">
        <v>0</v>
      </c>
      <c r="DK86" s="675">
        <v>3670</v>
      </c>
      <c r="DL86" s="675">
        <v>0</v>
      </c>
      <c r="DM86" s="675">
        <v>92337</v>
      </c>
      <c r="DN86" s="675">
        <v>180</v>
      </c>
      <c r="DO86" s="675">
        <v>0</v>
      </c>
      <c r="DP86" s="675">
        <v>0</v>
      </c>
      <c r="DQ86" s="675">
        <v>0</v>
      </c>
      <c r="DR86" s="675">
        <v>0</v>
      </c>
      <c r="DS86" s="675">
        <v>0</v>
      </c>
      <c r="DT86" s="675">
        <v>0</v>
      </c>
      <c r="DU86" s="675">
        <v>0</v>
      </c>
      <c r="DV86" s="675">
        <v>0</v>
      </c>
      <c r="DW86" s="675">
        <v>0</v>
      </c>
      <c r="DX86" s="675">
        <v>0</v>
      </c>
      <c r="DY86" s="675">
        <v>0</v>
      </c>
      <c r="DZ86" s="675">
        <v>0</v>
      </c>
      <c r="EA86" s="675">
        <v>0</v>
      </c>
      <c r="EB86" s="675">
        <v>0</v>
      </c>
      <c r="EC86" s="675">
        <v>0</v>
      </c>
      <c r="ED86" s="675">
        <v>0</v>
      </c>
      <c r="EE86" s="675">
        <v>0</v>
      </c>
      <c r="EF86" s="675">
        <v>0</v>
      </c>
      <c r="EG86" s="675">
        <v>0</v>
      </c>
      <c r="EH86" s="675">
        <v>47937</v>
      </c>
      <c r="EI86" s="675">
        <v>0</v>
      </c>
      <c r="EJ86" s="675">
        <v>0</v>
      </c>
      <c r="EK86" s="675">
        <v>2.1890000000000001</v>
      </c>
      <c r="EL86" s="675">
        <v>0</v>
      </c>
      <c r="EM86" s="675">
        <v>0</v>
      </c>
      <c r="EN86" s="675">
        <v>0.24300000000000002</v>
      </c>
      <c r="EO86" s="675">
        <v>0</v>
      </c>
      <c r="EP86" s="675">
        <v>0</v>
      </c>
      <c r="EQ86" s="675">
        <v>2.4319999999999999</v>
      </c>
      <c r="ER86" s="675">
        <v>0</v>
      </c>
      <c r="ES86" s="675">
        <v>7.782</v>
      </c>
      <c r="ET86" s="675">
        <v>0</v>
      </c>
      <c r="EU86" s="675">
        <v>0</v>
      </c>
      <c r="EV86" s="675">
        <v>0</v>
      </c>
      <c r="EW86" s="675">
        <v>0</v>
      </c>
      <c r="EX86" s="675">
        <v>0</v>
      </c>
      <c r="EY86" s="675">
        <v>0</v>
      </c>
      <c r="EZ86" s="675">
        <v>859730</v>
      </c>
      <c r="FA86" s="675">
        <v>0</v>
      </c>
      <c r="FB86" s="675">
        <v>903426</v>
      </c>
      <c r="FC86" s="675">
        <v>0</v>
      </c>
      <c r="FD86" s="675">
        <v>0</v>
      </c>
      <c r="FE86" s="675">
        <v>91915</v>
      </c>
      <c r="FF86" s="675">
        <v>19011</v>
      </c>
      <c r="FG86" s="675">
        <v>6.3574999999999993E-2</v>
      </c>
      <c r="FH86" s="675">
        <v>2.6297999999999998E-2</v>
      </c>
      <c r="FI86" s="675">
        <v>0</v>
      </c>
      <c r="FJ86" s="675">
        <v>0</v>
      </c>
      <c r="FK86" s="675">
        <v>146.69</v>
      </c>
      <c r="FL86" s="675">
        <v>1034307</v>
      </c>
      <c r="FM86" s="675">
        <v>0</v>
      </c>
      <c r="FN86" s="675">
        <v>0</v>
      </c>
      <c r="FO86" s="675">
        <v>0</v>
      </c>
      <c r="FP86" s="675">
        <v>0</v>
      </c>
      <c r="FQ86" s="675">
        <v>0</v>
      </c>
      <c r="FR86" s="675">
        <v>0</v>
      </c>
      <c r="FS86" s="675">
        <v>0</v>
      </c>
      <c r="FT86" s="675">
        <v>0</v>
      </c>
      <c r="FU86" s="675">
        <v>0</v>
      </c>
      <c r="FV86" s="675">
        <v>0</v>
      </c>
      <c r="FW86" s="675">
        <v>0</v>
      </c>
      <c r="FX86" s="675">
        <v>0</v>
      </c>
      <c r="FY86" s="675">
        <v>0</v>
      </c>
      <c r="FZ86" s="675">
        <v>0</v>
      </c>
      <c r="GA86" s="675">
        <v>0</v>
      </c>
      <c r="GB86" s="675">
        <v>0</v>
      </c>
      <c r="GC86" s="675">
        <v>0</v>
      </c>
      <c r="GD86" s="675">
        <v>0</v>
      </c>
      <c r="GE86" s="675">
        <v>0</v>
      </c>
      <c r="GF86" s="675">
        <v>0</v>
      </c>
      <c r="GG86" s="675">
        <v>0</v>
      </c>
      <c r="GH86" s="675">
        <v>0</v>
      </c>
      <c r="GI86" s="675">
        <v>0</v>
      </c>
      <c r="GJ86" s="675">
        <v>0</v>
      </c>
      <c r="GK86" s="675">
        <v>0</v>
      </c>
      <c r="GL86" s="675">
        <v>0</v>
      </c>
      <c r="GM86" s="675">
        <v>0</v>
      </c>
      <c r="GN86" s="675">
        <v>0</v>
      </c>
      <c r="GO86" s="675">
        <v>0</v>
      </c>
      <c r="GP86" s="675">
        <v>0</v>
      </c>
      <c r="GQ86" s="675">
        <v>0</v>
      </c>
      <c r="GR86" s="675">
        <v>0</v>
      </c>
      <c r="GS86" s="675">
        <v>0</v>
      </c>
      <c r="GT86" s="675">
        <v>0</v>
      </c>
      <c r="GU86" s="675">
        <v>0</v>
      </c>
      <c r="GV86" s="675">
        <v>0</v>
      </c>
      <c r="GW86" s="675">
        <v>0</v>
      </c>
      <c r="GX86" s="675">
        <v>0</v>
      </c>
      <c r="GY86" s="675">
        <v>0</v>
      </c>
      <c r="GZ86" s="675">
        <v>0</v>
      </c>
      <c r="HA86" s="675">
        <v>0</v>
      </c>
      <c r="HB86" s="675">
        <v>308877260</v>
      </c>
      <c r="HC86" s="675">
        <v>4.4138999999999998E-2</v>
      </c>
      <c r="HD86" s="675">
        <v>19955</v>
      </c>
      <c r="HE86" s="675">
        <v>0</v>
      </c>
      <c r="HF86" s="675">
        <v>121981</v>
      </c>
      <c r="HG86" s="675">
        <v>3080</v>
      </c>
      <c r="HH86" s="675">
        <v>8751</v>
      </c>
      <c r="HI86" s="675">
        <v>0</v>
      </c>
      <c r="HJ86" s="675">
        <v>1099</v>
      </c>
      <c r="HK86" s="675">
        <v>0</v>
      </c>
      <c r="HL86" s="675">
        <v>0</v>
      </c>
      <c r="HM86" s="675">
        <v>0</v>
      </c>
      <c r="HN86" s="675">
        <v>0</v>
      </c>
      <c r="HO86" s="675">
        <v>0</v>
      </c>
      <c r="HP86" s="675">
        <v>0</v>
      </c>
      <c r="HQ86" s="675">
        <v>0</v>
      </c>
      <c r="HR86" s="675">
        <v>0</v>
      </c>
      <c r="HS86" s="675">
        <v>859550</v>
      </c>
      <c r="HT86" s="675">
        <v>19011</v>
      </c>
      <c r="HU86" s="675">
        <v>0</v>
      </c>
      <c r="HV86" s="675">
        <v>0</v>
      </c>
      <c r="HW86" s="675">
        <v>0</v>
      </c>
      <c r="HX86" s="675">
        <v>3</v>
      </c>
      <c r="HY86" s="675">
        <v>10</v>
      </c>
      <c r="HZ86" s="675">
        <v>2</v>
      </c>
      <c r="IA86" s="675">
        <v>5</v>
      </c>
      <c r="IB86" s="675">
        <v>4</v>
      </c>
      <c r="IC86" s="675">
        <v>24</v>
      </c>
      <c r="ID86" s="675">
        <v>0</v>
      </c>
      <c r="IE86" s="675">
        <v>0</v>
      </c>
      <c r="IF86" s="675">
        <v>0</v>
      </c>
      <c r="IG86" s="675">
        <v>5</v>
      </c>
      <c r="IH86" s="675">
        <v>14.206000000000001</v>
      </c>
      <c r="II86" s="675">
        <v>0</v>
      </c>
      <c r="IJ86" s="675">
        <v>4.5419999999999998</v>
      </c>
      <c r="IK86" s="675">
        <v>0</v>
      </c>
      <c r="IL86" s="675">
        <v>0</v>
      </c>
      <c r="IM86" s="675">
        <v>0</v>
      </c>
      <c r="IN86" s="675">
        <v>0</v>
      </c>
      <c r="IO86" s="675">
        <v>0</v>
      </c>
      <c r="IP86" s="675">
        <v>0</v>
      </c>
      <c r="IQ86" s="675">
        <v>4.5419999999999998</v>
      </c>
      <c r="IR86" s="675">
        <v>2798</v>
      </c>
      <c r="IS86" s="675">
        <v>0</v>
      </c>
      <c r="IT86" s="675">
        <v>0</v>
      </c>
      <c r="IU86" s="675">
        <v>0</v>
      </c>
      <c r="IV86" s="675">
        <v>0</v>
      </c>
      <c r="IW86" s="675">
        <v>6160</v>
      </c>
      <c r="IX86" s="675">
        <v>0</v>
      </c>
      <c r="IY86" s="675">
        <v>0</v>
      </c>
      <c r="IZ86" s="675">
        <v>0</v>
      </c>
      <c r="JA86" s="675">
        <v>0</v>
      </c>
      <c r="JB86" s="675">
        <v>0</v>
      </c>
      <c r="JC86" s="675">
        <v>0</v>
      </c>
      <c r="JD86" s="675">
        <v>0</v>
      </c>
      <c r="JE86" s="675">
        <v>0</v>
      </c>
      <c r="JF86" s="675">
        <v>0</v>
      </c>
      <c r="JG86" s="675">
        <v>0</v>
      </c>
      <c r="JH86" s="675">
        <v>0</v>
      </c>
      <c r="JI86" s="675">
        <v>0</v>
      </c>
      <c r="JJ86" s="675">
        <v>0</v>
      </c>
      <c r="JK86" s="675">
        <v>0</v>
      </c>
      <c r="JL86" s="675">
        <v>0</v>
      </c>
      <c r="JM86" s="675">
        <v>0</v>
      </c>
      <c r="JN86" s="675">
        <v>32469</v>
      </c>
      <c r="JO86" s="675">
        <v>0</v>
      </c>
      <c r="JP86" s="675">
        <v>0</v>
      </c>
      <c r="JQ86" s="675">
        <v>0</v>
      </c>
      <c r="JR86" s="675">
        <v>0</v>
      </c>
      <c r="JS86" s="675">
        <v>0</v>
      </c>
      <c r="JT86" s="675">
        <v>0</v>
      </c>
      <c r="JU86" s="675">
        <v>0</v>
      </c>
      <c r="JV86" s="675">
        <v>0</v>
      </c>
      <c r="JW86" s="675">
        <v>0</v>
      </c>
      <c r="JX86" s="675">
        <v>0</v>
      </c>
      <c r="JY86" s="675">
        <v>0</v>
      </c>
      <c r="JZ86" s="675">
        <v>0</v>
      </c>
      <c r="KA86" s="675">
        <v>0</v>
      </c>
      <c r="KB86" s="675">
        <v>0</v>
      </c>
      <c r="KC86" s="675">
        <v>0</v>
      </c>
      <c r="KD86" s="675">
        <v>0</v>
      </c>
      <c r="KE86" s="675">
        <v>7263</v>
      </c>
      <c r="KF86" s="675">
        <v>0</v>
      </c>
      <c r="KG86" s="675">
        <v>0</v>
      </c>
      <c r="KH86" s="675">
        <v>0</v>
      </c>
      <c r="KI86" s="675">
        <v>0</v>
      </c>
    </row>
    <row r="87" spans="1:295" ht="12.5" x14ac:dyDescent="0.25">
      <c r="A87" s="675">
        <v>35795</v>
      </c>
      <c r="B87" s="675">
        <v>15808</v>
      </c>
      <c r="C87" s="675">
        <v>7</v>
      </c>
      <c r="D87" s="675">
        <v>2022</v>
      </c>
      <c r="E87" s="675">
        <v>6160</v>
      </c>
      <c r="F87" s="675">
        <v>0</v>
      </c>
      <c r="G87" s="675">
        <v>577.81200000000001</v>
      </c>
      <c r="H87" s="675">
        <v>507.26</v>
      </c>
      <c r="I87" s="675">
        <v>507.26</v>
      </c>
      <c r="J87" s="675">
        <v>577.81200000000001</v>
      </c>
      <c r="K87" s="675">
        <v>0</v>
      </c>
      <c r="L87" s="675">
        <v>6160</v>
      </c>
      <c r="M87" s="675">
        <v>0</v>
      </c>
      <c r="N87" s="675">
        <v>0</v>
      </c>
      <c r="O87" s="675">
        <v>0</v>
      </c>
      <c r="P87" s="675">
        <v>525.74700000000007</v>
      </c>
      <c r="Q87" s="675">
        <v>0</v>
      </c>
      <c r="R87" s="675">
        <v>211575</v>
      </c>
      <c r="S87" s="675">
        <v>402.428</v>
      </c>
      <c r="T87" s="675">
        <v>0</v>
      </c>
      <c r="U87" s="675">
        <v>112510</v>
      </c>
      <c r="V87" s="675">
        <v>11.705</v>
      </c>
      <c r="W87" s="675">
        <v>7210</v>
      </c>
      <c r="X87" s="675">
        <v>7210</v>
      </c>
      <c r="Y87" s="675">
        <v>0</v>
      </c>
      <c r="Z87" s="675">
        <v>0</v>
      </c>
      <c r="AA87" s="675">
        <v>0</v>
      </c>
      <c r="AB87" s="675">
        <v>0</v>
      </c>
      <c r="AC87" s="675">
        <v>0</v>
      </c>
      <c r="AD87" s="675" t="s">
        <v>316</v>
      </c>
      <c r="AE87" s="675">
        <v>0</v>
      </c>
      <c r="AF87" s="675">
        <v>0</v>
      </c>
      <c r="AG87" s="675">
        <v>0</v>
      </c>
      <c r="AH87" s="675">
        <v>0</v>
      </c>
      <c r="AI87" s="675">
        <v>0</v>
      </c>
      <c r="AJ87" s="675">
        <v>6160</v>
      </c>
      <c r="AK87" s="675" t="s">
        <v>671</v>
      </c>
      <c r="AL87" s="675" t="s">
        <v>444</v>
      </c>
      <c r="AM87" s="675">
        <v>0</v>
      </c>
      <c r="AN87" s="675">
        <v>0</v>
      </c>
      <c r="AO87" s="675">
        <v>0</v>
      </c>
      <c r="AP87" s="675">
        <v>0</v>
      </c>
      <c r="AQ87" s="675">
        <v>0</v>
      </c>
      <c r="AR87" s="675">
        <v>0</v>
      </c>
      <c r="AS87" s="675">
        <v>0</v>
      </c>
      <c r="AT87" s="675">
        <v>0</v>
      </c>
      <c r="AU87" s="675">
        <v>0</v>
      </c>
      <c r="AV87" s="675">
        <v>-1647</v>
      </c>
      <c r="AW87" s="675">
        <v>6636642</v>
      </c>
      <c r="AX87" s="675">
        <v>6357589</v>
      </c>
      <c r="AY87" s="675">
        <v>4436603</v>
      </c>
      <c r="AZ87" s="675">
        <v>211575</v>
      </c>
      <c r="BA87" s="675">
        <v>0</v>
      </c>
      <c r="BB87" s="675">
        <v>0</v>
      </c>
      <c r="BC87" s="675">
        <v>0</v>
      </c>
      <c r="BD87" s="675">
        <v>0</v>
      </c>
      <c r="BE87" s="675">
        <v>0</v>
      </c>
      <c r="BF87" s="675">
        <v>5731033</v>
      </c>
      <c r="BG87" s="675">
        <v>0</v>
      </c>
      <c r="BH87" s="675">
        <v>0</v>
      </c>
      <c r="BI87" s="675">
        <v>0</v>
      </c>
      <c r="BJ87" s="675">
        <v>12</v>
      </c>
      <c r="BK87" s="675">
        <v>0</v>
      </c>
      <c r="BL87" s="675">
        <v>0</v>
      </c>
      <c r="BM87" s="675">
        <v>0</v>
      </c>
      <c r="BN87" s="675">
        <v>0</v>
      </c>
      <c r="BO87" s="675">
        <v>0</v>
      </c>
      <c r="BP87" s="675">
        <v>0</v>
      </c>
      <c r="BQ87" s="675">
        <v>692</v>
      </c>
      <c r="BR87" s="675">
        <v>0</v>
      </c>
      <c r="BS87" s="675">
        <v>0</v>
      </c>
      <c r="BT87" s="675">
        <v>0</v>
      </c>
      <c r="BU87" s="675">
        <v>0</v>
      </c>
      <c r="BV87" s="675">
        <v>0</v>
      </c>
      <c r="BW87" s="675">
        <v>0</v>
      </c>
      <c r="BX87" s="675">
        <v>0</v>
      </c>
      <c r="BY87" s="675">
        <v>0</v>
      </c>
      <c r="BZ87" s="675">
        <v>0</v>
      </c>
      <c r="CA87" s="675">
        <v>0</v>
      </c>
      <c r="CB87" s="675">
        <v>0</v>
      </c>
      <c r="CC87" s="675">
        <v>0</v>
      </c>
      <c r="CD87" s="675">
        <v>0</v>
      </c>
      <c r="CE87" s="675">
        <v>0</v>
      </c>
      <c r="CF87" s="675">
        <v>0</v>
      </c>
      <c r="CG87" s="675">
        <v>0</v>
      </c>
      <c r="CH87" s="675">
        <v>283116</v>
      </c>
      <c r="CI87" s="675">
        <v>0</v>
      </c>
      <c r="CJ87" s="675">
        <v>4</v>
      </c>
      <c r="CK87" s="675">
        <v>0</v>
      </c>
      <c r="CL87" s="675">
        <v>0</v>
      </c>
      <c r="CM87" s="675">
        <v>0</v>
      </c>
      <c r="CN87" s="675">
        <v>0</v>
      </c>
      <c r="CO87" s="675">
        <v>1</v>
      </c>
      <c r="CP87" s="675">
        <v>0</v>
      </c>
      <c r="CQ87" s="675">
        <v>0</v>
      </c>
      <c r="CR87" s="675">
        <v>562.26400000000001</v>
      </c>
      <c r="CS87" s="675">
        <v>0</v>
      </c>
      <c r="CT87" s="675">
        <v>0</v>
      </c>
      <c r="CU87" s="675">
        <v>0</v>
      </c>
      <c r="CV87" s="675">
        <v>0</v>
      </c>
      <c r="CW87" s="675">
        <v>0</v>
      </c>
      <c r="CX87" s="675">
        <v>0</v>
      </c>
      <c r="CY87" s="675">
        <v>0</v>
      </c>
      <c r="CZ87" s="675">
        <v>0</v>
      </c>
      <c r="DA87" s="675">
        <v>0</v>
      </c>
      <c r="DB87" s="675">
        <v>181858</v>
      </c>
      <c r="DC87" s="675">
        <v>0</v>
      </c>
      <c r="DD87" s="675">
        <v>0</v>
      </c>
      <c r="DE87" s="675">
        <v>582733</v>
      </c>
      <c r="DF87" s="675">
        <v>582733</v>
      </c>
      <c r="DG87" s="675">
        <v>94.600000000000009</v>
      </c>
      <c r="DH87" s="675">
        <v>0</v>
      </c>
      <c r="DI87" s="675">
        <v>0</v>
      </c>
      <c r="DJ87" s="675">
        <v>0</v>
      </c>
      <c r="DK87" s="675">
        <v>2693</v>
      </c>
      <c r="DL87" s="675">
        <v>0</v>
      </c>
      <c r="DM87" s="675">
        <v>4023042</v>
      </c>
      <c r="DN87" s="675">
        <v>4063</v>
      </c>
      <c r="DO87" s="675">
        <v>0</v>
      </c>
      <c r="DP87" s="675">
        <v>0</v>
      </c>
      <c r="DQ87" s="675">
        <v>0</v>
      </c>
      <c r="DR87" s="675">
        <v>0</v>
      </c>
      <c r="DS87" s="675">
        <v>0</v>
      </c>
      <c r="DT87" s="675">
        <v>0</v>
      </c>
      <c r="DU87" s="675">
        <v>0</v>
      </c>
      <c r="DV87" s="675">
        <v>0</v>
      </c>
      <c r="DW87" s="675">
        <v>0</v>
      </c>
      <c r="DX87" s="675">
        <v>0</v>
      </c>
      <c r="DY87" s="675">
        <v>0</v>
      </c>
      <c r="DZ87" s="675">
        <v>0</v>
      </c>
      <c r="EA87" s="675">
        <v>5.5E-2</v>
      </c>
      <c r="EB87" s="675">
        <v>0</v>
      </c>
      <c r="EC87" s="675">
        <v>27.829000000000001</v>
      </c>
      <c r="ED87" s="675">
        <v>197140</v>
      </c>
      <c r="EE87" s="675">
        <v>0</v>
      </c>
      <c r="EF87" s="675">
        <v>0</v>
      </c>
      <c r="EG87" s="675">
        <v>0</v>
      </c>
      <c r="EH87" s="675">
        <v>217379</v>
      </c>
      <c r="EI87" s="675">
        <v>669737</v>
      </c>
      <c r="EJ87" s="675">
        <v>27.181000000000001</v>
      </c>
      <c r="EK87" s="675">
        <v>9.843</v>
      </c>
      <c r="EL87" s="675">
        <v>0</v>
      </c>
      <c r="EM87" s="675">
        <v>0</v>
      </c>
      <c r="EN87" s="675">
        <v>1.097</v>
      </c>
      <c r="EO87" s="675">
        <v>0</v>
      </c>
      <c r="EP87" s="675">
        <v>0</v>
      </c>
      <c r="EQ87" s="675">
        <v>38.176000000000002</v>
      </c>
      <c r="ER87" s="675">
        <v>0</v>
      </c>
      <c r="ES87" s="675">
        <v>35.289000000000001</v>
      </c>
      <c r="ET87" s="675">
        <v>0</v>
      </c>
      <c r="EU87" s="675">
        <v>0</v>
      </c>
      <c r="EV87" s="675">
        <v>0</v>
      </c>
      <c r="EW87" s="675">
        <v>0</v>
      </c>
      <c r="EX87" s="675">
        <v>0</v>
      </c>
      <c r="EY87" s="675">
        <v>0</v>
      </c>
      <c r="EZ87" s="675">
        <v>5654054</v>
      </c>
      <c r="FA87" s="675">
        <v>0</v>
      </c>
      <c r="FB87" s="675">
        <v>5861566</v>
      </c>
      <c r="FC87" s="675">
        <v>0</v>
      </c>
      <c r="FD87" s="675">
        <v>0</v>
      </c>
      <c r="FE87" s="675">
        <v>582963</v>
      </c>
      <c r="FF87" s="675">
        <v>120572</v>
      </c>
      <c r="FG87" s="675">
        <v>6.3574999999999993E-2</v>
      </c>
      <c r="FH87" s="675">
        <v>2.6297999999999998E-2</v>
      </c>
      <c r="FI87" s="675">
        <v>0</v>
      </c>
      <c r="FJ87" s="675">
        <v>0</v>
      </c>
      <c r="FK87" s="675">
        <v>930.36700000000008</v>
      </c>
      <c r="FL87" s="675">
        <v>6848217</v>
      </c>
      <c r="FM87" s="675">
        <v>0</v>
      </c>
      <c r="FN87" s="675">
        <v>0</v>
      </c>
      <c r="FO87" s="675">
        <v>0</v>
      </c>
      <c r="FP87" s="675">
        <v>0</v>
      </c>
      <c r="FQ87" s="675">
        <v>0</v>
      </c>
      <c r="FR87" s="675">
        <v>0</v>
      </c>
      <c r="FS87" s="675">
        <v>0</v>
      </c>
      <c r="FT87" s="675">
        <v>0</v>
      </c>
      <c r="FU87" s="675">
        <v>0</v>
      </c>
      <c r="FV87" s="675">
        <v>0</v>
      </c>
      <c r="FW87" s="675">
        <v>0</v>
      </c>
      <c r="FX87" s="675">
        <v>0</v>
      </c>
      <c r="FY87" s="675">
        <v>0</v>
      </c>
      <c r="FZ87" s="675">
        <v>0</v>
      </c>
      <c r="GA87" s="675">
        <v>0</v>
      </c>
      <c r="GB87" s="675">
        <v>318409</v>
      </c>
      <c r="GC87" s="675">
        <v>318409</v>
      </c>
      <c r="GD87" s="675">
        <v>32.376000000000005</v>
      </c>
      <c r="GE87" s="675">
        <v>0</v>
      </c>
      <c r="GF87" s="675">
        <v>0</v>
      </c>
      <c r="GG87" s="675">
        <v>0</v>
      </c>
      <c r="GH87" s="675">
        <v>0</v>
      </c>
      <c r="GI87" s="675">
        <v>0</v>
      </c>
      <c r="GJ87" s="675">
        <v>0</v>
      </c>
      <c r="GK87" s="675">
        <v>0</v>
      </c>
      <c r="GL87" s="675">
        <v>0</v>
      </c>
      <c r="GM87" s="675">
        <v>0</v>
      </c>
      <c r="GN87" s="675">
        <v>0</v>
      </c>
      <c r="GO87" s="675">
        <v>0</v>
      </c>
      <c r="GP87" s="675">
        <v>0</v>
      </c>
      <c r="GQ87" s="675">
        <v>0</v>
      </c>
      <c r="GR87" s="675">
        <v>0</v>
      </c>
      <c r="GS87" s="675">
        <v>0</v>
      </c>
      <c r="GT87" s="675">
        <v>0</v>
      </c>
      <c r="GU87" s="675">
        <v>0</v>
      </c>
      <c r="GV87" s="675">
        <v>0</v>
      </c>
      <c r="GW87" s="675">
        <v>0</v>
      </c>
      <c r="GX87" s="675">
        <v>0</v>
      </c>
      <c r="GY87" s="675">
        <v>0</v>
      </c>
      <c r="GZ87" s="675">
        <v>0</v>
      </c>
      <c r="HA87" s="675">
        <v>0</v>
      </c>
      <c r="HB87" s="675">
        <v>308877260</v>
      </c>
      <c r="HC87" s="675">
        <v>4.4138999999999998E-2</v>
      </c>
      <c r="HD87" s="675">
        <v>102016</v>
      </c>
      <c r="HE87" s="675">
        <v>0</v>
      </c>
      <c r="HF87" s="675">
        <v>559508</v>
      </c>
      <c r="HG87" s="675">
        <v>7058</v>
      </c>
      <c r="HH87" s="675">
        <v>41536</v>
      </c>
      <c r="HI87" s="675">
        <v>0</v>
      </c>
      <c r="HJ87" s="675">
        <v>5616</v>
      </c>
      <c r="HK87" s="675">
        <v>2790</v>
      </c>
      <c r="HL87" s="675">
        <v>43</v>
      </c>
      <c r="HM87" s="675">
        <v>0</v>
      </c>
      <c r="HN87" s="675">
        <v>0</v>
      </c>
      <c r="HO87" s="675">
        <v>0</v>
      </c>
      <c r="HP87" s="675">
        <v>108086</v>
      </c>
      <c r="HQ87" s="675">
        <v>0</v>
      </c>
      <c r="HR87" s="675">
        <v>0</v>
      </c>
      <c r="HS87" s="675">
        <v>5649991</v>
      </c>
      <c r="HT87" s="675">
        <v>120572</v>
      </c>
      <c r="HU87" s="675">
        <v>181100</v>
      </c>
      <c r="HV87" s="675">
        <v>0</v>
      </c>
      <c r="HW87" s="675">
        <v>0</v>
      </c>
      <c r="HX87" s="675">
        <v>119</v>
      </c>
      <c r="HY87" s="675">
        <v>59</v>
      </c>
      <c r="HZ87" s="675">
        <v>95</v>
      </c>
      <c r="IA87" s="675">
        <v>15</v>
      </c>
      <c r="IB87" s="675">
        <v>95</v>
      </c>
      <c r="IC87" s="675">
        <v>383</v>
      </c>
      <c r="ID87" s="675">
        <v>0</v>
      </c>
      <c r="IE87" s="675">
        <v>0</v>
      </c>
      <c r="IF87" s="675">
        <v>0</v>
      </c>
      <c r="IG87" s="675">
        <v>11.458</v>
      </c>
      <c r="IH87" s="675">
        <v>67.429000000000002</v>
      </c>
      <c r="II87" s="675">
        <v>393.03900000000004</v>
      </c>
      <c r="IJ87" s="675">
        <v>11.705</v>
      </c>
      <c r="IK87" s="675">
        <v>86.100000000000009</v>
      </c>
      <c r="IL87" s="675">
        <v>0</v>
      </c>
      <c r="IM87" s="675">
        <v>0</v>
      </c>
      <c r="IN87" s="675">
        <v>0</v>
      </c>
      <c r="IO87" s="675">
        <v>0</v>
      </c>
      <c r="IP87" s="675">
        <v>479.13900000000001</v>
      </c>
      <c r="IQ87" s="675">
        <v>11.705</v>
      </c>
      <c r="IR87" s="675">
        <v>7210</v>
      </c>
      <c r="IS87" s="675">
        <v>23678</v>
      </c>
      <c r="IT87" s="675">
        <v>0</v>
      </c>
      <c r="IU87" s="675">
        <v>0</v>
      </c>
      <c r="IV87" s="675">
        <v>0</v>
      </c>
      <c r="IW87" s="675">
        <v>6160</v>
      </c>
      <c r="IX87" s="675">
        <v>0</v>
      </c>
      <c r="IY87" s="675">
        <v>0</v>
      </c>
      <c r="IZ87" s="675">
        <v>131763</v>
      </c>
      <c r="JA87" s="675">
        <v>0</v>
      </c>
      <c r="JB87" s="675">
        <v>0</v>
      </c>
      <c r="JC87" s="675">
        <v>0</v>
      </c>
      <c r="JD87" s="675">
        <v>0</v>
      </c>
      <c r="JE87" s="675">
        <v>0</v>
      </c>
      <c r="JF87" s="675">
        <v>0</v>
      </c>
      <c r="JG87" s="675">
        <v>0</v>
      </c>
      <c r="JH87" s="675">
        <v>0</v>
      </c>
      <c r="JI87" s="675">
        <v>0</v>
      </c>
      <c r="JJ87" s="675">
        <v>0</v>
      </c>
      <c r="JK87" s="675">
        <v>0</v>
      </c>
      <c r="JL87" s="675">
        <v>0</v>
      </c>
      <c r="JM87" s="675">
        <v>0</v>
      </c>
      <c r="JN87" s="675">
        <v>32469</v>
      </c>
      <c r="JO87" s="675">
        <v>0</v>
      </c>
      <c r="JP87" s="675">
        <v>19.752000000000002</v>
      </c>
      <c r="JQ87" s="675">
        <v>12.624000000000001</v>
      </c>
      <c r="JR87" s="675">
        <v>0</v>
      </c>
      <c r="JS87" s="675">
        <v>183627</v>
      </c>
      <c r="JT87" s="675">
        <v>134782</v>
      </c>
      <c r="JU87" s="675">
        <v>0</v>
      </c>
      <c r="JV87" s="675">
        <v>181100</v>
      </c>
      <c r="JW87" s="675">
        <v>0</v>
      </c>
      <c r="JX87" s="675">
        <v>0</v>
      </c>
      <c r="JY87" s="675">
        <v>0</v>
      </c>
      <c r="JZ87" s="675">
        <v>0</v>
      </c>
      <c r="KA87" s="675">
        <v>0</v>
      </c>
      <c r="KB87" s="675">
        <v>0</v>
      </c>
      <c r="KC87" s="675">
        <v>0</v>
      </c>
      <c r="KD87" s="675">
        <v>0</v>
      </c>
      <c r="KE87" s="675">
        <v>7263</v>
      </c>
      <c r="KF87" s="675">
        <v>0</v>
      </c>
      <c r="KG87" s="675">
        <v>0</v>
      </c>
      <c r="KH87" s="675">
        <v>0</v>
      </c>
      <c r="KI87" s="675">
        <v>0</v>
      </c>
    </row>
    <row r="88" spans="1:295" ht="12.5" x14ac:dyDescent="0.25">
      <c r="A88" s="675">
        <v>35795</v>
      </c>
      <c r="B88" s="675">
        <v>57808</v>
      </c>
      <c r="C88" s="675">
        <v>7</v>
      </c>
      <c r="D88" s="675">
        <v>2022</v>
      </c>
      <c r="E88" s="675">
        <v>6160</v>
      </c>
      <c r="F88" s="675">
        <v>0</v>
      </c>
      <c r="G88" s="675">
        <v>1793.076</v>
      </c>
      <c r="H88" s="675">
        <v>1768.4960000000001</v>
      </c>
      <c r="I88" s="675">
        <v>1768.4960000000001</v>
      </c>
      <c r="J88" s="675">
        <v>1793.076</v>
      </c>
      <c r="K88" s="675">
        <v>0</v>
      </c>
      <c r="L88" s="675">
        <v>6160</v>
      </c>
      <c r="M88" s="675">
        <v>0</v>
      </c>
      <c r="N88" s="675">
        <v>0</v>
      </c>
      <c r="O88" s="675">
        <v>0</v>
      </c>
      <c r="P88" s="675">
        <v>2105.4680000000003</v>
      </c>
      <c r="Q88" s="675">
        <v>0</v>
      </c>
      <c r="R88" s="675">
        <v>847299</v>
      </c>
      <c r="S88" s="675">
        <v>402.428</v>
      </c>
      <c r="T88" s="675">
        <v>0</v>
      </c>
      <c r="U88" s="675">
        <v>450572</v>
      </c>
      <c r="V88" s="675">
        <v>777.70699999999999</v>
      </c>
      <c r="W88" s="675">
        <v>479065</v>
      </c>
      <c r="X88" s="675">
        <v>479065</v>
      </c>
      <c r="Y88" s="675">
        <v>0</v>
      </c>
      <c r="Z88" s="675">
        <v>0</v>
      </c>
      <c r="AA88" s="675">
        <v>0</v>
      </c>
      <c r="AB88" s="675">
        <v>0</v>
      </c>
      <c r="AC88" s="675">
        <v>0</v>
      </c>
      <c r="AD88" s="675" t="s">
        <v>316</v>
      </c>
      <c r="AE88" s="675">
        <v>0</v>
      </c>
      <c r="AF88" s="675">
        <v>0</v>
      </c>
      <c r="AG88" s="675">
        <v>0</v>
      </c>
      <c r="AH88" s="675">
        <v>0</v>
      </c>
      <c r="AI88" s="675">
        <v>0</v>
      </c>
      <c r="AJ88" s="675">
        <v>6160</v>
      </c>
      <c r="AK88" s="675" t="s">
        <v>671</v>
      </c>
      <c r="AL88" s="675" t="s">
        <v>43</v>
      </c>
      <c r="AM88" s="675">
        <v>0</v>
      </c>
      <c r="AN88" s="675">
        <v>0</v>
      </c>
      <c r="AO88" s="675">
        <v>0</v>
      </c>
      <c r="AP88" s="675">
        <v>0</v>
      </c>
      <c r="AQ88" s="675">
        <v>0</v>
      </c>
      <c r="AR88" s="675">
        <v>0</v>
      </c>
      <c r="AS88" s="675">
        <v>0</v>
      </c>
      <c r="AT88" s="675">
        <v>0</v>
      </c>
      <c r="AU88" s="675">
        <v>0</v>
      </c>
      <c r="AV88" s="675">
        <v>-419797</v>
      </c>
      <c r="AW88" s="675">
        <v>16535981</v>
      </c>
      <c r="AX88" s="675">
        <v>16221048</v>
      </c>
      <c r="AY88" s="675">
        <v>11186509</v>
      </c>
      <c r="AZ88" s="675">
        <v>847299</v>
      </c>
      <c r="BA88" s="675">
        <v>0</v>
      </c>
      <c r="BB88" s="675">
        <v>37945</v>
      </c>
      <c r="BC88" s="675">
        <v>37699</v>
      </c>
      <c r="BD88" s="675">
        <v>88</v>
      </c>
      <c r="BE88" s="675">
        <v>246</v>
      </c>
      <c r="BF88" s="675">
        <v>15159624</v>
      </c>
      <c r="BG88" s="675">
        <v>0</v>
      </c>
      <c r="BH88" s="675">
        <v>0</v>
      </c>
      <c r="BI88" s="675">
        <v>0</v>
      </c>
      <c r="BJ88" s="675">
        <v>12</v>
      </c>
      <c r="BK88" s="675">
        <v>0</v>
      </c>
      <c r="BL88" s="675">
        <v>0</v>
      </c>
      <c r="BM88" s="675">
        <v>0</v>
      </c>
      <c r="BN88" s="675">
        <v>0</v>
      </c>
      <c r="BO88" s="675">
        <v>0</v>
      </c>
      <c r="BP88" s="675">
        <v>0</v>
      </c>
      <c r="BQ88" s="675">
        <v>498</v>
      </c>
      <c r="BR88" s="675">
        <v>0</v>
      </c>
      <c r="BS88" s="675">
        <v>0</v>
      </c>
      <c r="BT88" s="675">
        <v>0</v>
      </c>
      <c r="BU88" s="675">
        <v>0</v>
      </c>
      <c r="BV88" s="675">
        <v>0</v>
      </c>
      <c r="BW88" s="675">
        <v>0</v>
      </c>
      <c r="BX88" s="675">
        <v>0</v>
      </c>
      <c r="BY88" s="675">
        <v>0</v>
      </c>
      <c r="BZ88" s="675">
        <v>0</v>
      </c>
      <c r="CA88" s="675">
        <v>0</v>
      </c>
      <c r="CB88" s="675">
        <v>0</v>
      </c>
      <c r="CC88" s="675">
        <v>0</v>
      </c>
      <c r="CD88" s="675">
        <v>0</v>
      </c>
      <c r="CE88" s="675">
        <v>0</v>
      </c>
      <c r="CF88" s="675">
        <v>0</v>
      </c>
      <c r="CG88" s="675">
        <v>0</v>
      </c>
      <c r="CH88" s="675">
        <v>316577</v>
      </c>
      <c r="CI88" s="675">
        <v>0</v>
      </c>
      <c r="CJ88" s="675">
        <v>4</v>
      </c>
      <c r="CK88" s="675">
        <v>0</v>
      </c>
      <c r="CL88" s="675">
        <v>0</v>
      </c>
      <c r="CM88" s="675">
        <v>0</v>
      </c>
      <c r="CN88" s="675">
        <v>0</v>
      </c>
      <c r="CO88" s="675">
        <v>1</v>
      </c>
      <c r="CP88" s="675">
        <v>0</v>
      </c>
      <c r="CQ88" s="675">
        <v>0</v>
      </c>
      <c r="CR88" s="675">
        <v>2158.06</v>
      </c>
      <c r="CS88" s="675">
        <v>0</v>
      </c>
      <c r="CT88" s="675">
        <v>0</v>
      </c>
      <c r="CU88" s="675">
        <v>0</v>
      </c>
      <c r="CV88" s="675">
        <v>0</v>
      </c>
      <c r="CW88" s="675">
        <v>0</v>
      </c>
      <c r="CX88" s="675">
        <v>0</v>
      </c>
      <c r="CY88" s="675">
        <v>0</v>
      </c>
      <c r="CZ88" s="675">
        <v>0</v>
      </c>
      <c r="DA88" s="675">
        <v>0</v>
      </c>
      <c r="DB88" s="675">
        <v>10893885</v>
      </c>
      <c r="DC88" s="675">
        <v>0</v>
      </c>
      <c r="DD88" s="675">
        <v>0</v>
      </c>
      <c r="DE88" s="675">
        <v>985287</v>
      </c>
      <c r="DF88" s="675">
        <v>985287</v>
      </c>
      <c r="DG88" s="675">
        <v>159.95000000000002</v>
      </c>
      <c r="DH88" s="675">
        <v>0</v>
      </c>
      <c r="DI88" s="675">
        <v>0</v>
      </c>
      <c r="DJ88" s="675">
        <v>0</v>
      </c>
      <c r="DK88" s="675">
        <v>0</v>
      </c>
      <c r="DL88" s="675">
        <v>0</v>
      </c>
      <c r="DM88" s="675">
        <v>371648</v>
      </c>
      <c r="DN88" s="675">
        <v>1398</v>
      </c>
      <c r="DO88" s="675">
        <v>0</v>
      </c>
      <c r="DP88" s="675">
        <v>0</v>
      </c>
      <c r="DQ88" s="675">
        <v>0</v>
      </c>
      <c r="DR88" s="675">
        <v>0</v>
      </c>
      <c r="DS88" s="675">
        <v>0</v>
      </c>
      <c r="DT88" s="675">
        <v>0</v>
      </c>
      <c r="DU88" s="675">
        <v>0</v>
      </c>
      <c r="DV88" s="675">
        <v>0</v>
      </c>
      <c r="DW88" s="675">
        <v>0</v>
      </c>
      <c r="DX88" s="675">
        <v>0</v>
      </c>
      <c r="DY88" s="675">
        <v>0</v>
      </c>
      <c r="DZ88" s="675">
        <v>0</v>
      </c>
      <c r="EA88" s="675">
        <v>0</v>
      </c>
      <c r="EB88" s="675">
        <v>0</v>
      </c>
      <c r="EC88" s="675">
        <v>8.8520000000000003</v>
      </c>
      <c r="ED88" s="675">
        <v>62707</v>
      </c>
      <c r="EE88" s="675">
        <v>0</v>
      </c>
      <c r="EF88" s="675">
        <v>0</v>
      </c>
      <c r="EG88" s="675">
        <v>0</v>
      </c>
      <c r="EH88" s="675">
        <v>310339</v>
      </c>
      <c r="EI88" s="675">
        <v>0</v>
      </c>
      <c r="EJ88" s="675">
        <v>0</v>
      </c>
      <c r="EK88" s="675">
        <v>13.98</v>
      </c>
      <c r="EL88" s="675">
        <v>0</v>
      </c>
      <c r="EM88" s="675">
        <v>0.04</v>
      </c>
      <c r="EN88" s="675">
        <v>1.6640000000000001</v>
      </c>
      <c r="EO88" s="675">
        <v>0</v>
      </c>
      <c r="EP88" s="675">
        <v>0</v>
      </c>
      <c r="EQ88" s="675">
        <v>15.684000000000001</v>
      </c>
      <c r="ER88" s="675">
        <v>0</v>
      </c>
      <c r="ES88" s="675">
        <v>50.38</v>
      </c>
      <c r="ET88" s="675">
        <v>0</v>
      </c>
      <c r="EU88" s="675">
        <v>0</v>
      </c>
      <c r="EV88" s="675">
        <v>0</v>
      </c>
      <c r="EW88" s="675">
        <v>0</v>
      </c>
      <c r="EX88" s="675">
        <v>0</v>
      </c>
      <c r="EY88" s="675">
        <v>0</v>
      </c>
      <c r="EZ88" s="675">
        <v>14360068</v>
      </c>
      <c r="FA88" s="675">
        <v>0</v>
      </c>
      <c r="FB88" s="675">
        <v>15205723</v>
      </c>
      <c r="FC88" s="675">
        <v>0</v>
      </c>
      <c r="FD88" s="675">
        <v>0</v>
      </c>
      <c r="FE88" s="675">
        <v>1542044</v>
      </c>
      <c r="FF88" s="675">
        <v>318936</v>
      </c>
      <c r="FG88" s="675">
        <v>6.3574999999999993E-2</v>
      </c>
      <c r="FH88" s="675">
        <v>2.6297999999999998E-2</v>
      </c>
      <c r="FI88" s="675">
        <v>0</v>
      </c>
      <c r="FJ88" s="675">
        <v>0</v>
      </c>
      <c r="FK88" s="675">
        <v>2460.989</v>
      </c>
      <c r="FL88" s="675">
        <v>17383280</v>
      </c>
      <c r="FM88" s="675">
        <v>0</v>
      </c>
      <c r="FN88" s="675">
        <v>0</v>
      </c>
      <c r="FO88" s="675">
        <v>44880</v>
      </c>
      <c r="FP88" s="675">
        <v>0</v>
      </c>
      <c r="FQ88" s="675">
        <v>44880</v>
      </c>
      <c r="FR88" s="675">
        <v>44880</v>
      </c>
      <c r="FS88" s="675">
        <v>0</v>
      </c>
      <c r="FT88" s="675">
        <v>0</v>
      </c>
      <c r="FU88" s="675">
        <v>0</v>
      </c>
      <c r="FV88" s="675">
        <v>0</v>
      </c>
      <c r="FW88" s="675">
        <v>0</v>
      </c>
      <c r="FX88" s="675">
        <v>0</v>
      </c>
      <c r="FY88" s="675">
        <v>0</v>
      </c>
      <c r="FZ88" s="675">
        <v>0</v>
      </c>
      <c r="GA88" s="675">
        <v>0</v>
      </c>
      <c r="GB88" s="675">
        <v>71073</v>
      </c>
      <c r="GC88" s="675">
        <v>71073</v>
      </c>
      <c r="GD88" s="675">
        <v>8.8960000000000008</v>
      </c>
      <c r="GE88" s="675">
        <v>0</v>
      </c>
      <c r="GF88" s="675">
        <v>0</v>
      </c>
      <c r="GG88" s="675">
        <v>0</v>
      </c>
      <c r="GH88" s="675">
        <v>0</v>
      </c>
      <c r="GI88" s="675">
        <v>0</v>
      </c>
      <c r="GJ88" s="675">
        <v>0</v>
      </c>
      <c r="GK88" s="675">
        <v>0</v>
      </c>
      <c r="GL88" s="675">
        <v>0</v>
      </c>
      <c r="GM88" s="675">
        <v>0</v>
      </c>
      <c r="GN88" s="675">
        <v>0</v>
      </c>
      <c r="GO88" s="675">
        <v>0</v>
      </c>
      <c r="GP88" s="675">
        <v>0</v>
      </c>
      <c r="GQ88" s="675">
        <v>0</v>
      </c>
      <c r="GR88" s="675">
        <v>0</v>
      </c>
      <c r="GS88" s="675">
        <v>0</v>
      </c>
      <c r="GT88" s="675">
        <v>0</v>
      </c>
      <c r="GU88" s="675">
        <v>0</v>
      </c>
      <c r="GV88" s="675">
        <v>0</v>
      </c>
      <c r="GW88" s="675">
        <v>0</v>
      </c>
      <c r="GX88" s="675">
        <v>0</v>
      </c>
      <c r="GY88" s="675">
        <v>0</v>
      </c>
      <c r="GZ88" s="675">
        <v>0</v>
      </c>
      <c r="HA88" s="675">
        <v>0</v>
      </c>
      <c r="HB88" s="675">
        <v>308877260</v>
      </c>
      <c r="HC88" s="675">
        <v>4.4138999999999998E-2</v>
      </c>
      <c r="HD88" s="675">
        <v>316577</v>
      </c>
      <c r="HE88" s="675">
        <v>0</v>
      </c>
      <c r="HF88" s="675">
        <v>1950651</v>
      </c>
      <c r="HG88" s="675">
        <v>3080</v>
      </c>
      <c r="HH88" s="675">
        <v>343163</v>
      </c>
      <c r="HI88" s="675">
        <v>0</v>
      </c>
      <c r="HJ88" s="675">
        <v>17429</v>
      </c>
      <c r="HK88" s="675">
        <v>2178</v>
      </c>
      <c r="HL88" s="675">
        <v>685</v>
      </c>
      <c r="HM88" s="675">
        <v>5000</v>
      </c>
      <c r="HN88" s="675">
        <v>0</v>
      </c>
      <c r="HO88" s="675">
        <v>0</v>
      </c>
      <c r="HP88" s="675">
        <v>0</v>
      </c>
      <c r="HQ88" s="675">
        <v>0</v>
      </c>
      <c r="HR88" s="675">
        <v>0</v>
      </c>
      <c r="HS88" s="675">
        <v>14358424</v>
      </c>
      <c r="HT88" s="675">
        <v>318936</v>
      </c>
      <c r="HU88" s="675">
        <v>0</v>
      </c>
      <c r="HV88" s="675">
        <v>0</v>
      </c>
      <c r="HW88" s="675">
        <v>0</v>
      </c>
      <c r="HX88" s="675">
        <v>64</v>
      </c>
      <c r="HY88" s="675">
        <v>99</v>
      </c>
      <c r="HZ88" s="675">
        <v>136</v>
      </c>
      <c r="IA88" s="675">
        <v>151</v>
      </c>
      <c r="IB88" s="675">
        <v>176</v>
      </c>
      <c r="IC88" s="675">
        <v>626</v>
      </c>
      <c r="ID88" s="675">
        <v>0</v>
      </c>
      <c r="IE88" s="675">
        <v>0</v>
      </c>
      <c r="IF88" s="675">
        <v>0</v>
      </c>
      <c r="IG88" s="675">
        <v>5</v>
      </c>
      <c r="IH88" s="675">
        <v>557.08500000000004</v>
      </c>
      <c r="II88" s="675">
        <v>0</v>
      </c>
      <c r="IJ88" s="675">
        <v>777.70699999999999</v>
      </c>
      <c r="IK88" s="675">
        <v>0</v>
      </c>
      <c r="IL88" s="675">
        <v>1</v>
      </c>
      <c r="IM88" s="675">
        <v>0</v>
      </c>
      <c r="IN88" s="675">
        <v>0</v>
      </c>
      <c r="IO88" s="675">
        <v>1</v>
      </c>
      <c r="IP88" s="675">
        <v>0</v>
      </c>
      <c r="IQ88" s="675">
        <v>777.70699999999999</v>
      </c>
      <c r="IR88" s="675">
        <v>479065</v>
      </c>
      <c r="IS88" s="675">
        <v>0</v>
      </c>
      <c r="IT88" s="675">
        <v>5000</v>
      </c>
      <c r="IU88" s="675">
        <v>0</v>
      </c>
      <c r="IV88" s="675">
        <v>0</v>
      </c>
      <c r="IW88" s="675">
        <v>6160</v>
      </c>
      <c r="IX88" s="675">
        <v>0</v>
      </c>
      <c r="IY88" s="675">
        <v>0</v>
      </c>
      <c r="IZ88" s="675">
        <v>0</v>
      </c>
      <c r="JA88" s="675">
        <v>0</v>
      </c>
      <c r="JB88" s="675">
        <v>0</v>
      </c>
      <c r="JC88" s="675">
        <v>0</v>
      </c>
      <c r="JD88" s="675">
        <v>0</v>
      </c>
      <c r="JE88" s="675">
        <v>0</v>
      </c>
      <c r="JF88" s="675">
        <v>0</v>
      </c>
      <c r="JG88" s="675">
        <v>0</v>
      </c>
      <c r="JH88" s="675">
        <v>0</v>
      </c>
      <c r="JI88" s="675">
        <v>0</v>
      </c>
      <c r="JJ88" s="675">
        <v>0</v>
      </c>
      <c r="JK88" s="675">
        <v>0</v>
      </c>
      <c r="JL88" s="675">
        <v>0</v>
      </c>
      <c r="JM88" s="675">
        <v>0</v>
      </c>
      <c r="JN88" s="675">
        <v>32469</v>
      </c>
      <c r="JO88" s="675">
        <v>8.8960000000000008</v>
      </c>
      <c r="JP88" s="675">
        <v>0</v>
      </c>
      <c r="JQ88" s="675">
        <v>0</v>
      </c>
      <c r="JR88" s="675">
        <v>71073</v>
      </c>
      <c r="JS88" s="675">
        <v>0</v>
      </c>
      <c r="JT88" s="675">
        <v>0</v>
      </c>
      <c r="JU88" s="675">
        <v>37945</v>
      </c>
      <c r="JV88" s="675">
        <v>0</v>
      </c>
      <c r="JW88" s="675">
        <v>0</v>
      </c>
      <c r="JX88" s="675">
        <v>0</v>
      </c>
      <c r="JY88" s="675">
        <v>0</v>
      </c>
      <c r="JZ88" s="675">
        <v>0</v>
      </c>
      <c r="KA88" s="675">
        <v>0</v>
      </c>
      <c r="KB88" s="675">
        <v>0</v>
      </c>
      <c r="KC88" s="675">
        <v>0</v>
      </c>
      <c r="KD88" s="675">
        <v>37945</v>
      </c>
      <c r="KE88" s="675">
        <v>7263</v>
      </c>
      <c r="KF88" s="675">
        <v>0</v>
      </c>
      <c r="KG88" s="675">
        <v>0</v>
      </c>
      <c r="KH88" s="675">
        <v>0</v>
      </c>
      <c r="KI88" s="675">
        <v>0</v>
      </c>
    </row>
    <row r="89" spans="1:295" ht="12.5" x14ac:dyDescent="0.25">
      <c r="A89" s="675">
        <v>35795</v>
      </c>
      <c r="B89" s="675">
        <v>108808</v>
      </c>
      <c r="C89" s="675">
        <v>7</v>
      </c>
      <c r="D89" s="675">
        <v>2022</v>
      </c>
      <c r="E89" s="675">
        <v>6160</v>
      </c>
      <c r="F89" s="675">
        <v>0</v>
      </c>
      <c r="G89" s="675">
        <v>4787.79</v>
      </c>
      <c r="H89" s="675">
        <v>4417.0860000000002</v>
      </c>
      <c r="I89" s="675">
        <v>4417.0860000000002</v>
      </c>
      <c r="J89" s="675">
        <v>4787.79</v>
      </c>
      <c r="K89" s="675">
        <v>0</v>
      </c>
      <c r="L89" s="675">
        <v>6160</v>
      </c>
      <c r="M89" s="675">
        <v>0</v>
      </c>
      <c r="N89" s="675">
        <v>0</v>
      </c>
      <c r="O89" s="675">
        <v>0</v>
      </c>
      <c r="P89" s="675">
        <v>4430.2809999999999</v>
      </c>
      <c r="Q89" s="675">
        <v>0</v>
      </c>
      <c r="R89" s="675">
        <v>1782869</v>
      </c>
      <c r="S89" s="675">
        <v>402.428</v>
      </c>
      <c r="T89" s="675">
        <v>0</v>
      </c>
      <c r="U89" s="675">
        <v>948088</v>
      </c>
      <c r="V89" s="675">
        <v>1278.6680000000001</v>
      </c>
      <c r="W89" s="675">
        <v>1440646</v>
      </c>
      <c r="X89" s="675">
        <v>1440646</v>
      </c>
      <c r="Y89" s="675">
        <v>0</v>
      </c>
      <c r="Z89" s="675">
        <v>0</v>
      </c>
      <c r="AA89" s="675">
        <v>0</v>
      </c>
      <c r="AB89" s="675">
        <v>0</v>
      </c>
      <c r="AC89" s="675">
        <v>0</v>
      </c>
      <c r="AD89" s="675" t="s">
        <v>316</v>
      </c>
      <c r="AE89" s="675">
        <v>0</v>
      </c>
      <c r="AF89" s="675">
        <v>0</v>
      </c>
      <c r="AG89" s="675">
        <v>0</v>
      </c>
      <c r="AH89" s="675">
        <v>0</v>
      </c>
      <c r="AI89" s="675">
        <v>0</v>
      </c>
      <c r="AJ89" s="675">
        <v>6160</v>
      </c>
      <c r="AK89" s="675" t="s">
        <v>671</v>
      </c>
      <c r="AL89" s="675" t="s">
        <v>89</v>
      </c>
      <c r="AM89" s="675">
        <v>0</v>
      </c>
      <c r="AN89" s="675">
        <v>0</v>
      </c>
      <c r="AO89" s="675">
        <v>0</v>
      </c>
      <c r="AP89" s="675">
        <v>0</v>
      </c>
      <c r="AQ89" s="675">
        <v>0</v>
      </c>
      <c r="AR89" s="675">
        <v>0</v>
      </c>
      <c r="AS89" s="675">
        <v>0</v>
      </c>
      <c r="AT89" s="675">
        <v>0</v>
      </c>
      <c r="AU89" s="675">
        <v>0</v>
      </c>
      <c r="AV89" s="675">
        <v>0</v>
      </c>
      <c r="AW89" s="675">
        <v>51812304</v>
      </c>
      <c r="AX89" s="675">
        <v>50975439</v>
      </c>
      <c r="AY89" s="675">
        <v>34002189</v>
      </c>
      <c r="AZ89" s="675">
        <v>1782869</v>
      </c>
      <c r="BA89" s="675">
        <v>0</v>
      </c>
      <c r="BB89" s="675">
        <v>99607</v>
      </c>
      <c r="BC89" s="675">
        <v>98963</v>
      </c>
      <c r="BD89" s="675">
        <v>231</v>
      </c>
      <c r="BE89" s="675">
        <v>644</v>
      </c>
      <c r="BF89" s="675">
        <v>46569962</v>
      </c>
      <c r="BG89" s="675">
        <v>0</v>
      </c>
      <c r="BH89" s="675">
        <v>0</v>
      </c>
      <c r="BI89" s="675">
        <v>0</v>
      </c>
      <c r="BJ89" s="675">
        <v>12</v>
      </c>
      <c r="BK89" s="675">
        <v>0</v>
      </c>
      <c r="BL89" s="675">
        <v>0</v>
      </c>
      <c r="BM89" s="675">
        <v>0</v>
      </c>
      <c r="BN89" s="675">
        <v>0</v>
      </c>
      <c r="BO89" s="675">
        <v>0</v>
      </c>
      <c r="BP89" s="675">
        <v>0</v>
      </c>
      <c r="BQ89" s="675">
        <v>90</v>
      </c>
      <c r="BR89" s="675">
        <v>0</v>
      </c>
      <c r="BS89" s="675">
        <v>0</v>
      </c>
      <c r="BT89" s="675">
        <v>0</v>
      </c>
      <c r="BU89" s="675">
        <v>0</v>
      </c>
      <c r="BV89" s="675">
        <v>0</v>
      </c>
      <c r="BW89" s="675">
        <v>0</v>
      </c>
      <c r="BX89" s="675">
        <v>0</v>
      </c>
      <c r="BY89" s="675">
        <v>0</v>
      </c>
      <c r="BZ89" s="675">
        <v>0</v>
      </c>
      <c r="CA89" s="675">
        <v>515.07799999999997</v>
      </c>
      <c r="CB89" s="675">
        <v>439244</v>
      </c>
      <c r="CC89" s="675">
        <v>0</v>
      </c>
      <c r="CD89" s="675">
        <v>0</v>
      </c>
      <c r="CE89" s="675">
        <v>0</v>
      </c>
      <c r="CF89" s="675">
        <v>0</v>
      </c>
      <c r="CG89" s="675">
        <v>0</v>
      </c>
      <c r="CH89" s="675">
        <v>845311</v>
      </c>
      <c r="CI89" s="675">
        <v>0</v>
      </c>
      <c r="CJ89" s="675">
        <v>4</v>
      </c>
      <c r="CK89" s="675">
        <v>0</v>
      </c>
      <c r="CL89" s="675">
        <v>0</v>
      </c>
      <c r="CM89" s="675">
        <v>0</v>
      </c>
      <c r="CN89" s="675">
        <v>0</v>
      </c>
      <c r="CO89" s="675">
        <v>1</v>
      </c>
      <c r="CP89" s="675">
        <v>0</v>
      </c>
      <c r="CQ89" s="675">
        <v>0</v>
      </c>
      <c r="CR89" s="675">
        <v>4557.42</v>
      </c>
      <c r="CS89" s="675">
        <v>0</v>
      </c>
      <c r="CT89" s="675">
        <v>0</v>
      </c>
      <c r="CU89" s="675">
        <v>0</v>
      </c>
      <c r="CV89" s="675">
        <v>0</v>
      </c>
      <c r="CW89" s="675">
        <v>0</v>
      </c>
      <c r="CX89" s="675">
        <v>0</v>
      </c>
      <c r="CY89" s="675">
        <v>0</v>
      </c>
      <c r="CZ89" s="675">
        <v>0</v>
      </c>
      <c r="DA89" s="675">
        <v>0</v>
      </c>
      <c r="DB89" s="675">
        <v>27209124</v>
      </c>
      <c r="DC89" s="675">
        <v>0</v>
      </c>
      <c r="DD89" s="675">
        <v>0</v>
      </c>
      <c r="DE89" s="675">
        <v>6333298</v>
      </c>
      <c r="DF89" s="675">
        <v>6333298</v>
      </c>
      <c r="DG89" s="675">
        <v>1028.1380000000001</v>
      </c>
      <c r="DH89" s="675">
        <v>0</v>
      </c>
      <c r="DI89" s="675">
        <v>0</v>
      </c>
      <c r="DJ89" s="675">
        <v>0</v>
      </c>
      <c r="DK89" s="675">
        <v>0</v>
      </c>
      <c r="DL89" s="675">
        <v>0</v>
      </c>
      <c r="DM89" s="675">
        <v>2073939</v>
      </c>
      <c r="DN89" s="675">
        <v>7802</v>
      </c>
      <c r="DO89" s="675">
        <v>0</v>
      </c>
      <c r="DP89" s="675">
        <v>0</v>
      </c>
      <c r="DQ89" s="675">
        <v>0</v>
      </c>
      <c r="DR89" s="675">
        <v>0</v>
      </c>
      <c r="DS89" s="675">
        <v>0</v>
      </c>
      <c r="DT89" s="675">
        <v>0</v>
      </c>
      <c r="DU89" s="675">
        <v>0</v>
      </c>
      <c r="DV89" s="675">
        <v>0</v>
      </c>
      <c r="DW89" s="675">
        <v>0</v>
      </c>
      <c r="DX89" s="675">
        <v>0</v>
      </c>
      <c r="DY89" s="675">
        <v>0</v>
      </c>
      <c r="DZ89" s="675">
        <v>0</v>
      </c>
      <c r="EA89" s="675">
        <v>1E-3</v>
      </c>
      <c r="EB89" s="675">
        <v>0</v>
      </c>
      <c r="EC89" s="675">
        <v>23.723000000000003</v>
      </c>
      <c r="ED89" s="675">
        <v>168053</v>
      </c>
      <c r="EE89" s="675">
        <v>0</v>
      </c>
      <c r="EF89" s="675">
        <v>0</v>
      </c>
      <c r="EG89" s="675">
        <v>0</v>
      </c>
      <c r="EH89" s="675">
        <v>1913688</v>
      </c>
      <c r="EI89" s="675">
        <v>0</v>
      </c>
      <c r="EJ89" s="675">
        <v>0</v>
      </c>
      <c r="EK89" s="675">
        <v>80.106000000000009</v>
      </c>
      <c r="EL89" s="675">
        <v>0</v>
      </c>
      <c r="EM89" s="675">
        <v>12.484</v>
      </c>
      <c r="EN89" s="675">
        <v>6.5780000000000003</v>
      </c>
      <c r="EO89" s="675">
        <v>0</v>
      </c>
      <c r="EP89" s="675">
        <v>0</v>
      </c>
      <c r="EQ89" s="675">
        <v>99.169000000000011</v>
      </c>
      <c r="ER89" s="675">
        <v>0</v>
      </c>
      <c r="ES89" s="675">
        <v>310.66500000000002</v>
      </c>
      <c r="ET89" s="675">
        <v>0</v>
      </c>
      <c r="EU89" s="675">
        <v>0</v>
      </c>
      <c r="EV89" s="675">
        <v>0</v>
      </c>
      <c r="EW89" s="675">
        <v>0</v>
      </c>
      <c r="EX89" s="675">
        <v>0</v>
      </c>
      <c r="EY89" s="675">
        <v>0</v>
      </c>
      <c r="EZ89" s="675">
        <v>45258558</v>
      </c>
      <c r="FA89" s="675">
        <v>0</v>
      </c>
      <c r="FB89" s="675">
        <v>47032981</v>
      </c>
      <c r="FC89" s="675">
        <v>0</v>
      </c>
      <c r="FD89" s="675">
        <v>0</v>
      </c>
      <c r="FE89" s="675">
        <v>4737119</v>
      </c>
      <c r="FF89" s="675">
        <v>979762</v>
      </c>
      <c r="FG89" s="675">
        <v>6.3574999999999993E-2</v>
      </c>
      <c r="FH89" s="675">
        <v>2.6297999999999998E-2</v>
      </c>
      <c r="FI89" s="675">
        <v>0</v>
      </c>
      <c r="FJ89" s="675">
        <v>0</v>
      </c>
      <c r="FK89" s="675">
        <v>7560.0940000000001</v>
      </c>
      <c r="FL89" s="675">
        <v>53595173</v>
      </c>
      <c r="FM89" s="675">
        <v>0</v>
      </c>
      <c r="FN89" s="675">
        <v>0</v>
      </c>
      <c r="FO89" s="675">
        <v>9922</v>
      </c>
      <c r="FP89" s="675">
        <v>0</v>
      </c>
      <c r="FQ89" s="675">
        <v>15622</v>
      </c>
      <c r="FR89" s="675">
        <v>9922</v>
      </c>
      <c r="FS89" s="675">
        <v>5700</v>
      </c>
      <c r="FT89" s="675">
        <v>0</v>
      </c>
      <c r="FU89" s="675">
        <v>0</v>
      </c>
      <c r="FV89" s="675">
        <v>0</v>
      </c>
      <c r="FW89" s="675">
        <v>0</v>
      </c>
      <c r="FX89" s="675">
        <v>0</v>
      </c>
      <c r="FY89" s="675">
        <v>0</v>
      </c>
      <c r="FZ89" s="675">
        <v>0</v>
      </c>
      <c r="GA89" s="675">
        <v>0</v>
      </c>
      <c r="GB89" s="675">
        <v>2668206</v>
      </c>
      <c r="GC89" s="675">
        <v>2668206</v>
      </c>
      <c r="GD89" s="675">
        <v>271.53500000000003</v>
      </c>
      <c r="GE89" s="675">
        <v>0</v>
      </c>
      <c r="GF89" s="675">
        <v>0</v>
      </c>
      <c r="GG89" s="675">
        <v>0</v>
      </c>
      <c r="GH89" s="675">
        <v>0</v>
      </c>
      <c r="GI89" s="675">
        <v>0</v>
      </c>
      <c r="GJ89" s="675">
        <v>0</v>
      </c>
      <c r="GK89" s="675">
        <v>0</v>
      </c>
      <c r="GL89" s="675">
        <v>0</v>
      </c>
      <c r="GM89" s="675">
        <v>0</v>
      </c>
      <c r="GN89" s="675">
        <v>0</v>
      </c>
      <c r="GO89" s="675">
        <v>0</v>
      </c>
      <c r="GP89" s="675">
        <v>0</v>
      </c>
      <c r="GQ89" s="675">
        <v>0</v>
      </c>
      <c r="GR89" s="675">
        <v>0</v>
      </c>
      <c r="GS89" s="675">
        <v>0</v>
      </c>
      <c r="GT89" s="675">
        <v>0</v>
      </c>
      <c r="GU89" s="675">
        <v>0</v>
      </c>
      <c r="GV89" s="675">
        <v>0</v>
      </c>
      <c r="GW89" s="675">
        <v>0</v>
      </c>
      <c r="GX89" s="675">
        <v>0</v>
      </c>
      <c r="GY89" s="675">
        <v>0</v>
      </c>
      <c r="GZ89" s="675">
        <v>0</v>
      </c>
      <c r="HA89" s="675">
        <v>0</v>
      </c>
      <c r="HB89" s="675">
        <v>308877260</v>
      </c>
      <c r="HC89" s="675">
        <v>4.4138999999999998E-2</v>
      </c>
      <c r="HD89" s="675">
        <v>845311</v>
      </c>
      <c r="HE89" s="675">
        <v>0</v>
      </c>
      <c r="HF89" s="675">
        <v>4872046</v>
      </c>
      <c r="HG89" s="675">
        <v>47432</v>
      </c>
      <c r="HH89" s="675">
        <v>1356925</v>
      </c>
      <c r="HI89" s="675">
        <v>0</v>
      </c>
      <c r="HJ89" s="675">
        <v>46537</v>
      </c>
      <c r="HK89" s="675">
        <v>9837</v>
      </c>
      <c r="HL89" s="675">
        <v>6762</v>
      </c>
      <c r="HM89" s="675">
        <v>391000</v>
      </c>
      <c r="HN89" s="675">
        <v>0</v>
      </c>
      <c r="HO89" s="675">
        <v>23400</v>
      </c>
      <c r="HP89" s="675">
        <v>0</v>
      </c>
      <c r="HQ89" s="675">
        <v>0</v>
      </c>
      <c r="HR89" s="675">
        <v>0</v>
      </c>
      <c r="HS89" s="675">
        <v>45250112</v>
      </c>
      <c r="HT89" s="675">
        <v>979762</v>
      </c>
      <c r="HU89" s="675">
        <v>0</v>
      </c>
      <c r="HV89" s="675">
        <v>0</v>
      </c>
      <c r="HW89" s="675">
        <v>0</v>
      </c>
      <c r="HX89" s="675">
        <v>322</v>
      </c>
      <c r="HY89" s="675">
        <v>957</v>
      </c>
      <c r="HZ89" s="675">
        <v>1256</v>
      </c>
      <c r="IA89" s="675">
        <v>1058</v>
      </c>
      <c r="IB89" s="675">
        <v>497</v>
      </c>
      <c r="IC89" s="675">
        <v>4090</v>
      </c>
      <c r="ID89" s="675">
        <v>0</v>
      </c>
      <c r="IE89" s="675">
        <v>687.09900000000005</v>
      </c>
      <c r="IF89" s="675">
        <v>58.808</v>
      </c>
      <c r="IG89" s="675">
        <v>77</v>
      </c>
      <c r="IH89" s="675">
        <v>2202.8110000000001</v>
      </c>
      <c r="II89" s="675">
        <v>0</v>
      </c>
      <c r="IJ89" s="675">
        <v>2024.575</v>
      </c>
      <c r="IK89" s="675">
        <v>0</v>
      </c>
      <c r="IL89" s="675">
        <v>70</v>
      </c>
      <c r="IM89" s="675">
        <v>13</v>
      </c>
      <c r="IN89" s="675">
        <v>1</v>
      </c>
      <c r="IO89" s="675">
        <v>84</v>
      </c>
      <c r="IP89" s="675">
        <v>0</v>
      </c>
      <c r="IQ89" s="675">
        <v>1278.6680000000001</v>
      </c>
      <c r="IR89" s="675">
        <v>787656</v>
      </c>
      <c r="IS89" s="675">
        <v>0</v>
      </c>
      <c r="IT89" s="675">
        <v>350000</v>
      </c>
      <c r="IU89" s="675">
        <v>39000</v>
      </c>
      <c r="IV89" s="675">
        <v>2000</v>
      </c>
      <c r="IW89" s="675">
        <v>6160</v>
      </c>
      <c r="IX89" s="675">
        <v>634877</v>
      </c>
      <c r="IY89" s="675">
        <v>18113</v>
      </c>
      <c r="IZ89" s="675">
        <v>0</v>
      </c>
      <c r="JA89" s="675">
        <v>0</v>
      </c>
      <c r="JB89" s="675">
        <v>0</v>
      </c>
      <c r="JC89" s="675">
        <v>0</v>
      </c>
      <c r="JD89" s="675">
        <v>0</v>
      </c>
      <c r="JE89" s="675">
        <v>0</v>
      </c>
      <c r="JF89" s="675">
        <v>0</v>
      </c>
      <c r="JG89" s="675">
        <v>0</v>
      </c>
      <c r="JH89" s="675">
        <v>0</v>
      </c>
      <c r="JI89" s="675">
        <v>0</v>
      </c>
      <c r="JJ89" s="675">
        <v>0</v>
      </c>
      <c r="JK89" s="675">
        <v>0</v>
      </c>
      <c r="JL89" s="675">
        <v>0</v>
      </c>
      <c r="JM89" s="675">
        <v>0</v>
      </c>
      <c r="JN89" s="675">
        <v>32469</v>
      </c>
      <c r="JO89" s="675">
        <v>0.52300000000000002</v>
      </c>
      <c r="JP89" s="675">
        <v>166.28</v>
      </c>
      <c r="JQ89" s="675">
        <v>104.732</v>
      </c>
      <c r="JR89" s="675">
        <v>4178</v>
      </c>
      <c r="JS89" s="675">
        <v>1545845</v>
      </c>
      <c r="JT89" s="675">
        <v>1118183</v>
      </c>
      <c r="JU89" s="675">
        <v>99607</v>
      </c>
      <c r="JV89" s="675">
        <v>0</v>
      </c>
      <c r="JW89" s="675">
        <v>0</v>
      </c>
      <c r="JX89" s="675">
        <v>0</v>
      </c>
      <c r="JY89" s="675">
        <v>0</v>
      </c>
      <c r="JZ89" s="675">
        <v>0</v>
      </c>
      <c r="KA89" s="675">
        <v>0</v>
      </c>
      <c r="KB89" s="675">
        <v>0</v>
      </c>
      <c r="KC89" s="675">
        <v>0</v>
      </c>
      <c r="KD89" s="675">
        <v>99607</v>
      </c>
      <c r="KE89" s="675">
        <v>7263</v>
      </c>
      <c r="KF89" s="675">
        <v>0</v>
      </c>
      <c r="KG89" s="675">
        <v>0</v>
      </c>
      <c r="KH89" s="675">
        <v>0</v>
      </c>
      <c r="KI89" s="675">
        <v>0</v>
      </c>
    </row>
    <row r="90" spans="1:295" ht="12.5" x14ac:dyDescent="0.25">
      <c r="A90" s="675">
        <v>35795</v>
      </c>
      <c r="B90" s="675">
        <v>178808</v>
      </c>
      <c r="C90" s="675">
        <v>7</v>
      </c>
      <c r="D90" s="675">
        <v>2022</v>
      </c>
      <c r="E90" s="675">
        <v>6160</v>
      </c>
      <c r="F90" s="675">
        <v>0</v>
      </c>
      <c r="G90" s="675">
        <v>475.60900000000004</v>
      </c>
      <c r="H90" s="675">
        <v>468.24299999999999</v>
      </c>
      <c r="I90" s="675">
        <v>468.24299999999999</v>
      </c>
      <c r="J90" s="675">
        <v>475.60900000000004</v>
      </c>
      <c r="K90" s="675">
        <v>0</v>
      </c>
      <c r="L90" s="675">
        <v>6160</v>
      </c>
      <c r="M90" s="675">
        <v>0</v>
      </c>
      <c r="N90" s="675">
        <v>0</v>
      </c>
      <c r="O90" s="675">
        <v>0</v>
      </c>
      <c r="P90" s="675">
        <v>482.363</v>
      </c>
      <c r="Q90" s="675">
        <v>0</v>
      </c>
      <c r="R90" s="675">
        <v>194116</v>
      </c>
      <c r="S90" s="675">
        <v>402.428</v>
      </c>
      <c r="T90" s="675">
        <v>0</v>
      </c>
      <c r="U90" s="675">
        <v>103226</v>
      </c>
      <c r="V90" s="675">
        <v>3.6270000000000002</v>
      </c>
      <c r="W90" s="675">
        <v>2234</v>
      </c>
      <c r="X90" s="675">
        <v>2234</v>
      </c>
      <c r="Y90" s="675">
        <v>0</v>
      </c>
      <c r="Z90" s="675">
        <v>0</v>
      </c>
      <c r="AA90" s="675">
        <v>0</v>
      </c>
      <c r="AB90" s="675">
        <v>0</v>
      </c>
      <c r="AC90" s="675">
        <v>0</v>
      </c>
      <c r="AD90" s="675" t="s">
        <v>316</v>
      </c>
      <c r="AE90" s="675">
        <v>0</v>
      </c>
      <c r="AF90" s="675">
        <v>0</v>
      </c>
      <c r="AG90" s="675">
        <v>0</v>
      </c>
      <c r="AH90" s="675">
        <v>0</v>
      </c>
      <c r="AI90" s="675">
        <v>0</v>
      </c>
      <c r="AJ90" s="675">
        <v>6160</v>
      </c>
      <c r="AK90" s="675" t="s">
        <v>671</v>
      </c>
      <c r="AL90" s="675" t="s">
        <v>100</v>
      </c>
      <c r="AM90" s="675">
        <v>0</v>
      </c>
      <c r="AN90" s="675">
        <v>0</v>
      </c>
      <c r="AO90" s="675">
        <v>0</v>
      </c>
      <c r="AP90" s="675">
        <v>0</v>
      </c>
      <c r="AQ90" s="675">
        <v>0</v>
      </c>
      <c r="AR90" s="675">
        <v>0</v>
      </c>
      <c r="AS90" s="675">
        <v>0</v>
      </c>
      <c r="AT90" s="675">
        <v>0</v>
      </c>
      <c r="AU90" s="675">
        <v>0</v>
      </c>
      <c r="AV90" s="675">
        <v>-46881</v>
      </c>
      <c r="AW90" s="675">
        <v>4006999</v>
      </c>
      <c r="AX90" s="675">
        <v>3923907</v>
      </c>
      <c r="AY90" s="675">
        <v>2620412</v>
      </c>
      <c r="AZ90" s="675">
        <v>194116</v>
      </c>
      <c r="BA90" s="675">
        <v>0</v>
      </c>
      <c r="BB90" s="675">
        <v>9918</v>
      </c>
      <c r="BC90" s="675">
        <v>9854</v>
      </c>
      <c r="BD90" s="675">
        <v>23</v>
      </c>
      <c r="BE90" s="675">
        <v>64</v>
      </c>
      <c r="BF90" s="675">
        <v>3667772</v>
      </c>
      <c r="BG90" s="675">
        <v>0</v>
      </c>
      <c r="BH90" s="675">
        <v>0</v>
      </c>
      <c r="BI90" s="675">
        <v>0</v>
      </c>
      <c r="BJ90" s="675">
        <v>12</v>
      </c>
      <c r="BK90" s="675">
        <v>0</v>
      </c>
      <c r="BL90" s="675">
        <v>0</v>
      </c>
      <c r="BM90" s="675">
        <v>0</v>
      </c>
      <c r="BN90" s="675">
        <v>0</v>
      </c>
      <c r="BO90" s="675">
        <v>0</v>
      </c>
      <c r="BP90" s="675">
        <v>0</v>
      </c>
      <c r="BQ90" s="675">
        <v>698</v>
      </c>
      <c r="BR90" s="675">
        <v>0</v>
      </c>
      <c r="BS90" s="675">
        <v>0</v>
      </c>
      <c r="BT90" s="675">
        <v>0</v>
      </c>
      <c r="BU90" s="675">
        <v>0</v>
      </c>
      <c r="BV90" s="675">
        <v>0</v>
      </c>
      <c r="BW90" s="675">
        <v>0</v>
      </c>
      <c r="BX90" s="675">
        <v>0</v>
      </c>
      <c r="BY90" s="675">
        <v>0</v>
      </c>
      <c r="BZ90" s="675">
        <v>0</v>
      </c>
      <c r="CA90" s="675">
        <v>0</v>
      </c>
      <c r="CB90" s="675">
        <v>0</v>
      </c>
      <c r="CC90" s="675">
        <v>0</v>
      </c>
      <c r="CD90" s="675">
        <v>0</v>
      </c>
      <c r="CE90" s="675">
        <v>0</v>
      </c>
      <c r="CF90" s="675">
        <v>0</v>
      </c>
      <c r="CG90" s="675">
        <v>0</v>
      </c>
      <c r="CH90" s="675">
        <v>83971</v>
      </c>
      <c r="CI90" s="675">
        <v>0</v>
      </c>
      <c r="CJ90" s="675">
        <v>4</v>
      </c>
      <c r="CK90" s="675">
        <v>0</v>
      </c>
      <c r="CL90" s="675">
        <v>0</v>
      </c>
      <c r="CM90" s="675">
        <v>0</v>
      </c>
      <c r="CN90" s="675">
        <v>0</v>
      </c>
      <c r="CO90" s="675">
        <v>1</v>
      </c>
      <c r="CP90" s="675">
        <v>0</v>
      </c>
      <c r="CQ90" s="675">
        <v>0</v>
      </c>
      <c r="CR90" s="675">
        <v>480.54200000000003</v>
      </c>
      <c r="CS90" s="675">
        <v>0</v>
      </c>
      <c r="CT90" s="675">
        <v>0</v>
      </c>
      <c r="CU90" s="675">
        <v>0</v>
      </c>
      <c r="CV90" s="675">
        <v>0</v>
      </c>
      <c r="CW90" s="675">
        <v>0</v>
      </c>
      <c r="CX90" s="675">
        <v>0</v>
      </c>
      <c r="CY90" s="675">
        <v>0</v>
      </c>
      <c r="CZ90" s="675">
        <v>0</v>
      </c>
      <c r="DA90" s="675">
        <v>0</v>
      </c>
      <c r="DB90" s="675">
        <v>2855421</v>
      </c>
      <c r="DC90" s="675">
        <v>0</v>
      </c>
      <c r="DD90" s="675">
        <v>0</v>
      </c>
      <c r="DE90" s="675">
        <v>9856</v>
      </c>
      <c r="DF90" s="675">
        <v>9856</v>
      </c>
      <c r="DG90" s="675">
        <v>1.6</v>
      </c>
      <c r="DH90" s="675">
        <v>0</v>
      </c>
      <c r="DI90" s="675">
        <v>0</v>
      </c>
      <c r="DJ90" s="675">
        <v>0</v>
      </c>
      <c r="DK90" s="675">
        <v>2789</v>
      </c>
      <c r="DL90" s="675">
        <v>0</v>
      </c>
      <c r="DM90" s="675">
        <v>245558</v>
      </c>
      <c r="DN90" s="675">
        <v>815</v>
      </c>
      <c r="DO90" s="675">
        <v>0</v>
      </c>
      <c r="DP90" s="675">
        <v>0</v>
      </c>
      <c r="DQ90" s="675">
        <v>0</v>
      </c>
      <c r="DR90" s="675">
        <v>0</v>
      </c>
      <c r="DS90" s="675">
        <v>0</v>
      </c>
      <c r="DT90" s="675">
        <v>0</v>
      </c>
      <c r="DU90" s="675">
        <v>0</v>
      </c>
      <c r="DV90" s="675">
        <v>0</v>
      </c>
      <c r="DW90" s="675">
        <v>0</v>
      </c>
      <c r="DX90" s="675">
        <v>0</v>
      </c>
      <c r="DY90" s="675">
        <v>0</v>
      </c>
      <c r="DZ90" s="675">
        <v>0</v>
      </c>
      <c r="EA90" s="675">
        <v>0</v>
      </c>
      <c r="EB90" s="675">
        <v>0</v>
      </c>
      <c r="EC90" s="675">
        <v>9.782</v>
      </c>
      <c r="ED90" s="675">
        <v>69295</v>
      </c>
      <c r="EE90" s="675">
        <v>0</v>
      </c>
      <c r="EF90" s="675">
        <v>0</v>
      </c>
      <c r="EG90" s="675">
        <v>0</v>
      </c>
      <c r="EH90" s="675">
        <v>148135</v>
      </c>
      <c r="EI90" s="675">
        <v>0</v>
      </c>
      <c r="EJ90" s="675">
        <v>0</v>
      </c>
      <c r="EK90" s="675">
        <v>6.391</v>
      </c>
      <c r="EL90" s="675">
        <v>0</v>
      </c>
      <c r="EM90" s="675">
        <v>0</v>
      </c>
      <c r="EN90" s="675">
        <v>0.97500000000000009</v>
      </c>
      <c r="EO90" s="675">
        <v>0</v>
      </c>
      <c r="EP90" s="675">
        <v>0</v>
      </c>
      <c r="EQ90" s="675">
        <v>7.3660000000000005</v>
      </c>
      <c r="ER90" s="675">
        <v>0</v>
      </c>
      <c r="ES90" s="675">
        <v>24.048000000000002</v>
      </c>
      <c r="ET90" s="675">
        <v>0</v>
      </c>
      <c r="EU90" s="675">
        <v>0</v>
      </c>
      <c r="EV90" s="675">
        <v>0</v>
      </c>
      <c r="EW90" s="675">
        <v>0</v>
      </c>
      <c r="EX90" s="675">
        <v>0</v>
      </c>
      <c r="EY90" s="675">
        <v>0</v>
      </c>
      <c r="EZ90" s="675">
        <v>3473656</v>
      </c>
      <c r="FA90" s="675">
        <v>0</v>
      </c>
      <c r="FB90" s="675">
        <v>3666893</v>
      </c>
      <c r="FC90" s="675">
        <v>0</v>
      </c>
      <c r="FD90" s="675">
        <v>0</v>
      </c>
      <c r="FE90" s="675">
        <v>373087</v>
      </c>
      <c r="FF90" s="675">
        <v>77164</v>
      </c>
      <c r="FG90" s="675">
        <v>6.3574999999999993E-2</v>
      </c>
      <c r="FH90" s="675">
        <v>2.6297999999999998E-2</v>
      </c>
      <c r="FI90" s="675">
        <v>0</v>
      </c>
      <c r="FJ90" s="675">
        <v>0</v>
      </c>
      <c r="FK90" s="675">
        <v>595.41999999999996</v>
      </c>
      <c r="FL90" s="675">
        <v>4201115</v>
      </c>
      <c r="FM90" s="675">
        <v>0</v>
      </c>
      <c r="FN90" s="675">
        <v>0</v>
      </c>
      <c r="FO90" s="675">
        <v>0</v>
      </c>
      <c r="FP90" s="675">
        <v>0</v>
      </c>
      <c r="FQ90" s="675">
        <v>0</v>
      </c>
      <c r="FR90" s="675">
        <v>0</v>
      </c>
      <c r="FS90" s="675">
        <v>0</v>
      </c>
      <c r="FT90" s="675">
        <v>0</v>
      </c>
      <c r="FU90" s="675">
        <v>0</v>
      </c>
      <c r="FV90" s="675">
        <v>0</v>
      </c>
      <c r="FW90" s="675">
        <v>0</v>
      </c>
      <c r="FX90" s="675">
        <v>0</v>
      </c>
      <c r="FY90" s="675">
        <v>0</v>
      </c>
      <c r="FZ90" s="675">
        <v>0</v>
      </c>
      <c r="GA90" s="675">
        <v>0</v>
      </c>
      <c r="GB90" s="675">
        <v>0</v>
      </c>
      <c r="GC90" s="675">
        <v>0</v>
      </c>
      <c r="GD90" s="675">
        <v>0</v>
      </c>
      <c r="GE90" s="675">
        <v>0</v>
      </c>
      <c r="GF90" s="675">
        <v>0</v>
      </c>
      <c r="GG90" s="675">
        <v>0</v>
      </c>
      <c r="GH90" s="675">
        <v>0</v>
      </c>
      <c r="GI90" s="675">
        <v>0</v>
      </c>
      <c r="GJ90" s="675">
        <v>0</v>
      </c>
      <c r="GK90" s="675">
        <v>0</v>
      </c>
      <c r="GL90" s="675">
        <v>0</v>
      </c>
      <c r="GM90" s="675">
        <v>0</v>
      </c>
      <c r="GN90" s="675">
        <v>0</v>
      </c>
      <c r="GO90" s="675">
        <v>0</v>
      </c>
      <c r="GP90" s="675">
        <v>0</v>
      </c>
      <c r="GQ90" s="675">
        <v>0</v>
      </c>
      <c r="GR90" s="675">
        <v>0</v>
      </c>
      <c r="GS90" s="675">
        <v>0</v>
      </c>
      <c r="GT90" s="675">
        <v>0</v>
      </c>
      <c r="GU90" s="675">
        <v>0</v>
      </c>
      <c r="GV90" s="675">
        <v>0</v>
      </c>
      <c r="GW90" s="675">
        <v>0</v>
      </c>
      <c r="GX90" s="675">
        <v>0</v>
      </c>
      <c r="GY90" s="675">
        <v>0</v>
      </c>
      <c r="GZ90" s="675">
        <v>0</v>
      </c>
      <c r="HA90" s="675">
        <v>0</v>
      </c>
      <c r="HB90" s="675">
        <v>308877260</v>
      </c>
      <c r="HC90" s="675">
        <v>4.4138999999999998E-2</v>
      </c>
      <c r="HD90" s="675">
        <v>83971</v>
      </c>
      <c r="HE90" s="675">
        <v>0</v>
      </c>
      <c r="HF90" s="675">
        <v>516472</v>
      </c>
      <c r="HG90" s="675">
        <v>21815</v>
      </c>
      <c r="HH90" s="675">
        <v>1060</v>
      </c>
      <c r="HI90" s="675">
        <v>0</v>
      </c>
      <c r="HJ90" s="675">
        <v>4623</v>
      </c>
      <c r="HK90" s="675">
        <v>0</v>
      </c>
      <c r="HL90" s="675">
        <v>0</v>
      </c>
      <c r="HM90" s="675">
        <v>0</v>
      </c>
      <c r="HN90" s="675">
        <v>0</v>
      </c>
      <c r="HO90" s="675">
        <v>0</v>
      </c>
      <c r="HP90" s="675">
        <v>0</v>
      </c>
      <c r="HQ90" s="675">
        <v>0</v>
      </c>
      <c r="HR90" s="675">
        <v>0</v>
      </c>
      <c r="HS90" s="675">
        <v>3472777</v>
      </c>
      <c r="HT90" s="675">
        <v>77164</v>
      </c>
      <c r="HU90" s="675">
        <v>0</v>
      </c>
      <c r="HV90" s="675">
        <v>0</v>
      </c>
      <c r="HW90" s="675">
        <v>0</v>
      </c>
      <c r="HX90" s="675">
        <v>5</v>
      </c>
      <c r="HY90" s="675">
        <v>2</v>
      </c>
      <c r="HZ90" s="675">
        <v>0</v>
      </c>
      <c r="IA90" s="675">
        <v>0</v>
      </c>
      <c r="IB90" s="675">
        <v>0</v>
      </c>
      <c r="IC90" s="675">
        <v>6</v>
      </c>
      <c r="ID90" s="675">
        <v>0</v>
      </c>
      <c r="IE90" s="675">
        <v>0</v>
      </c>
      <c r="IF90" s="675">
        <v>0</v>
      </c>
      <c r="IG90" s="675">
        <v>35.414000000000001</v>
      </c>
      <c r="IH90" s="675">
        <v>1.72</v>
      </c>
      <c r="II90" s="675">
        <v>0</v>
      </c>
      <c r="IJ90" s="675">
        <v>3.6270000000000002</v>
      </c>
      <c r="IK90" s="675">
        <v>0</v>
      </c>
      <c r="IL90" s="675">
        <v>0</v>
      </c>
      <c r="IM90" s="675">
        <v>0</v>
      </c>
      <c r="IN90" s="675">
        <v>0</v>
      </c>
      <c r="IO90" s="675">
        <v>0</v>
      </c>
      <c r="IP90" s="675">
        <v>0</v>
      </c>
      <c r="IQ90" s="675">
        <v>3.6270000000000002</v>
      </c>
      <c r="IR90" s="675">
        <v>2234</v>
      </c>
      <c r="IS90" s="675">
        <v>0</v>
      </c>
      <c r="IT90" s="675">
        <v>0</v>
      </c>
      <c r="IU90" s="675">
        <v>0</v>
      </c>
      <c r="IV90" s="675">
        <v>0</v>
      </c>
      <c r="IW90" s="675">
        <v>6160</v>
      </c>
      <c r="IX90" s="675">
        <v>0</v>
      </c>
      <c r="IY90" s="675">
        <v>0</v>
      </c>
      <c r="IZ90" s="675">
        <v>0</v>
      </c>
      <c r="JA90" s="675">
        <v>0</v>
      </c>
      <c r="JB90" s="675">
        <v>0</v>
      </c>
      <c r="JC90" s="675">
        <v>0</v>
      </c>
      <c r="JD90" s="675">
        <v>0</v>
      </c>
      <c r="JE90" s="675">
        <v>0</v>
      </c>
      <c r="JF90" s="675">
        <v>0</v>
      </c>
      <c r="JG90" s="675">
        <v>0</v>
      </c>
      <c r="JH90" s="675">
        <v>0</v>
      </c>
      <c r="JI90" s="675">
        <v>0</v>
      </c>
      <c r="JJ90" s="675">
        <v>0</v>
      </c>
      <c r="JK90" s="675">
        <v>0</v>
      </c>
      <c r="JL90" s="675">
        <v>0</v>
      </c>
      <c r="JM90" s="675">
        <v>0</v>
      </c>
      <c r="JN90" s="675">
        <v>32469</v>
      </c>
      <c r="JO90" s="675">
        <v>0</v>
      </c>
      <c r="JP90" s="675">
        <v>0</v>
      </c>
      <c r="JQ90" s="675">
        <v>0</v>
      </c>
      <c r="JR90" s="675">
        <v>0</v>
      </c>
      <c r="JS90" s="675">
        <v>0</v>
      </c>
      <c r="JT90" s="675">
        <v>0</v>
      </c>
      <c r="JU90" s="675">
        <v>9918</v>
      </c>
      <c r="JV90" s="675">
        <v>0</v>
      </c>
      <c r="JW90" s="675">
        <v>0</v>
      </c>
      <c r="JX90" s="675">
        <v>0</v>
      </c>
      <c r="JY90" s="675">
        <v>0</v>
      </c>
      <c r="JZ90" s="675">
        <v>0</v>
      </c>
      <c r="KA90" s="675">
        <v>0</v>
      </c>
      <c r="KB90" s="675">
        <v>0</v>
      </c>
      <c r="KC90" s="675">
        <v>0</v>
      </c>
      <c r="KD90" s="675">
        <v>9918</v>
      </c>
      <c r="KE90" s="675">
        <v>7263</v>
      </c>
      <c r="KF90" s="675">
        <v>0</v>
      </c>
      <c r="KG90" s="675">
        <v>0</v>
      </c>
      <c r="KH90" s="675">
        <v>0</v>
      </c>
      <c r="KI90" s="675">
        <v>0</v>
      </c>
    </row>
    <row r="91" spans="1:295" ht="12.5" x14ac:dyDescent="0.25">
      <c r="A91" s="675">
        <v>35795</v>
      </c>
      <c r="B91" s="675">
        <v>15809</v>
      </c>
      <c r="C91" s="675">
        <v>7</v>
      </c>
      <c r="D91" s="675">
        <v>2022</v>
      </c>
      <c r="E91" s="675">
        <v>6160</v>
      </c>
      <c r="F91" s="675">
        <v>0</v>
      </c>
      <c r="G91" s="675">
        <v>203.46200000000002</v>
      </c>
      <c r="H91" s="675">
        <v>197.42600000000002</v>
      </c>
      <c r="I91" s="675">
        <v>197.42600000000002</v>
      </c>
      <c r="J91" s="675">
        <v>203.46200000000002</v>
      </c>
      <c r="K91" s="675">
        <v>0</v>
      </c>
      <c r="L91" s="675">
        <v>6160</v>
      </c>
      <c r="M91" s="675">
        <v>0</v>
      </c>
      <c r="N91" s="675">
        <v>0</v>
      </c>
      <c r="O91" s="675">
        <v>0</v>
      </c>
      <c r="P91" s="675">
        <v>215.19500000000002</v>
      </c>
      <c r="Q91" s="675">
        <v>0</v>
      </c>
      <c r="R91" s="675">
        <v>86600</v>
      </c>
      <c r="S91" s="675">
        <v>402.428</v>
      </c>
      <c r="T91" s="675">
        <v>0</v>
      </c>
      <c r="U91" s="675">
        <v>46052</v>
      </c>
      <c r="V91" s="675">
        <v>39.258000000000003</v>
      </c>
      <c r="W91" s="675">
        <v>24183</v>
      </c>
      <c r="X91" s="675">
        <v>24183</v>
      </c>
      <c r="Y91" s="675">
        <v>0</v>
      </c>
      <c r="Z91" s="675">
        <v>0</v>
      </c>
      <c r="AA91" s="675">
        <v>0</v>
      </c>
      <c r="AB91" s="675">
        <v>0</v>
      </c>
      <c r="AC91" s="675">
        <v>0</v>
      </c>
      <c r="AD91" s="675" t="s">
        <v>316</v>
      </c>
      <c r="AE91" s="675">
        <v>0</v>
      </c>
      <c r="AF91" s="675">
        <v>0</v>
      </c>
      <c r="AG91" s="675">
        <v>0</v>
      </c>
      <c r="AH91" s="675">
        <v>0</v>
      </c>
      <c r="AI91" s="675">
        <v>0</v>
      </c>
      <c r="AJ91" s="675">
        <v>6160</v>
      </c>
      <c r="AK91" s="675" t="s">
        <v>671</v>
      </c>
      <c r="AL91" s="675" t="s">
        <v>38</v>
      </c>
      <c r="AM91" s="675">
        <v>0</v>
      </c>
      <c r="AN91" s="675">
        <v>0</v>
      </c>
      <c r="AO91" s="675">
        <v>0</v>
      </c>
      <c r="AP91" s="675">
        <v>0</v>
      </c>
      <c r="AQ91" s="675">
        <v>0</v>
      </c>
      <c r="AR91" s="675">
        <v>0</v>
      </c>
      <c r="AS91" s="675">
        <v>0</v>
      </c>
      <c r="AT91" s="675">
        <v>0</v>
      </c>
      <c r="AU91" s="675">
        <v>0</v>
      </c>
      <c r="AV91" s="675">
        <v>-39727</v>
      </c>
      <c r="AW91" s="675">
        <v>2269139</v>
      </c>
      <c r="AX91" s="675">
        <v>2233686</v>
      </c>
      <c r="AY91" s="675">
        <v>1701526</v>
      </c>
      <c r="AZ91" s="675">
        <v>86600</v>
      </c>
      <c r="BA91" s="675">
        <v>0</v>
      </c>
      <c r="BB91" s="675">
        <v>0</v>
      </c>
      <c r="BC91" s="675">
        <v>0</v>
      </c>
      <c r="BD91" s="675">
        <v>0</v>
      </c>
      <c r="BE91" s="675">
        <v>0</v>
      </c>
      <c r="BF91" s="675">
        <v>2066593</v>
      </c>
      <c r="BG91" s="675">
        <v>0</v>
      </c>
      <c r="BH91" s="675">
        <v>0</v>
      </c>
      <c r="BI91" s="675">
        <v>0</v>
      </c>
      <c r="BJ91" s="675">
        <v>12</v>
      </c>
      <c r="BK91" s="675">
        <v>0</v>
      </c>
      <c r="BL91" s="675">
        <v>0</v>
      </c>
      <c r="BM91" s="675">
        <v>0</v>
      </c>
      <c r="BN91" s="675">
        <v>0</v>
      </c>
      <c r="BO91" s="675">
        <v>0</v>
      </c>
      <c r="BP91" s="675">
        <v>0</v>
      </c>
      <c r="BQ91" s="675">
        <v>740</v>
      </c>
      <c r="BR91" s="675">
        <v>0</v>
      </c>
      <c r="BS91" s="675">
        <v>0</v>
      </c>
      <c r="BT91" s="675">
        <v>0</v>
      </c>
      <c r="BU91" s="675">
        <v>0</v>
      </c>
      <c r="BV91" s="675">
        <v>0</v>
      </c>
      <c r="BW91" s="675">
        <v>0</v>
      </c>
      <c r="BX91" s="675">
        <v>0</v>
      </c>
      <c r="BY91" s="675">
        <v>0</v>
      </c>
      <c r="BZ91" s="675">
        <v>0</v>
      </c>
      <c r="CA91" s="675">
        <v>0</v>
      </c>
      <c r="CB91" s="675">
        <v>0</v>
      </c>
      <c r="CC91" s="675">
        <v>0</v>
      </c>
      <c r="CD91" s="675">
        <v>0</v>
      </c>
      <c r="CE91" s="675">
        <v>0</v>
      </c>
      <c r="CF91" s="675">
        <v>0</v>
      </c>
      <c r="CG91" s="675">
        <v>0</v>
      </c>
      <c r="CH91" s="675">
        <v>35922</v>
      </c>
      <c r="CI91" s="675">
        <v>0</v>
      </c>
      <c r="CJ91" s="675">
        <v>4</v>
      </c>
      <c r="CK91" s="675">
        <v>0</v>
      </c>
      <c r="CL91" s="675">
        <v>0</v>
      </c>
      <c r="CM91" s="675">
        <v>0</v>
      </c>
      <c r="CN91" s="675">
        <v>0</v>
      </c>
      <c r="CO91" s="675">
        <v>1</v>
      </c>
      <c r="CP91" s="675">
        <v>0</v>
      </c>
      <c r="CQ91" s="675">
        <v>0</v>
      </c>
      <c r="CR91" s="675">
        <v>220.05800000000002</v>
      </c>
      <c r="CS91" s="675">
        <v>0</v>
      </c>
      <c r="CT91" s="675">
        <v>0</v>
      </c>
      <c r="CU91" s="675">
        <v>0</v>
      </c>
      <c r="CV91" s="675">
        <v>0</v>
      </c>
      <c r="CW91" s="675">
        <v>0</v>
      </c>
      <c r="CX91" s="675">
        <v>0</v>
      </c>
      <c r="CY91" s="675">
        <v>0</v>
      </c>
      <c r="CZ91" s="675">
        <v>0</v>
      </c>
      <c r="DA91" s="675">
        <v>0</v>
      </c>
      <c r="DB91" s="675">
        <v>1085693</v>
      </c>
      <c r="DC91" s="675">
        <v>0</v>
      </c>
      <c r="DD91" s="675">
        <v>0</v>
      </c>
      <c r="DE91" s="675">
        <v>411948</v>
      </c>
      <c r="DF91" s="675">
        <v>411948</v>
      </c>
      <c r="DG91" s="675">
        <v>66.875</v>
      </c>
      <c r="DH91" s="675">
        <v>0</v>
      </c>
      <c r="DI91" s="675">
        <v>0</v>
      </c>
      <c r="DJ91" s="675">
        <v>0</v>
      </c>
      <c r="DK91" s="675">
        <v>3456</v>
      </c>
      <c r="DL91" s="675">
        <v>0</v>
      </c>
      <c r="DM91" s="675">
        <v>255106</v>
      </c>
      <c r="DN91" s="675">
        <v>469</v>
      </c>
      <c r="DO91" s="675">
        <v>0</v>
      </c>
      <c r="DP91" s="675">
        <v>0</v>
      </c>
      <c r="DQ91" s="675">
        <v>0</v>
      </c>
      <c r="DR91" s="675">
        <v>0</v>
      </c>
      <c r="DS91" s="675">
        <v>0</v>
      </c>
      <c r="DT91" s="675">
        <v>0</v>
      </c>
      <c r="DU91" s="675">
        <v>0</v>
      </c>
      <c r="DV91" s="675">
        <v>0</v>
      </c>
      <c r="DW91" s="675">
        <v>0</v>
      </c>
      <c r="DX91" s="675">
        <v>0</v>
      </c>
      <c r="DY91" s="675">
        <v>0</v>
      </c>
      <c r="DZ91" s="675">
        <v>0</v>
      </c>
      <c r="EA91" s="675">
        <v>0</v>
      </c>
      <c r="EB91" s="675">
        <v>0</v>
      </c>
      <c r="EC91" s="675">
        <v>1.288</v>
      </c>
      <c r="ED91" s="675">
        <v>9124</v>
      </c>
      <c r="EE91" s="675">
        <v>0</v>
      </c>
      <c r="EF91" s="675">
        <v>0</v>
      </c>
      <c r="EG91" s="675">
        <v>0</v>
      </c>
      <c r="EH91" s="675">
        <v>116005</v>
      </c>
      <c r="EI91" s="675">
        <v>0</v>
      </c>
      <c r="EJ91" s="675">
        <v>0</v>
      </c>
      <c r="EK91" s="675">
        <v>5.5590000000000002</v>
      </c>
      <c r="EL91" s="675">
        <v>0</v>
      </c>
      <c r="EM91" s="675">
        <v>0.115</v>
      </c>
      <c r="EN91" s="675">
        <v>0.36200000000000004</v>
      </c>
      <c r="EO91" s="675">
        <v>0</v>
      </c>
      <c r="EP91" s="675">
        <v>0</v>
      </c>
      <c r="EQ91" s="675">
        <v>6.0360000000000005</v>
      </c>
      <c r="ER91" s="675">
        <v>0</v>
      </c>
      <c r="ES91" s="675">
        <v>18.832000000000001</v>
      </c>
      <c r="ET91" s="675">
        <v>0</v>
      </c>
      <c r="EU91" s="675">
        <v>0</v>
      </c>
      <c r="EV91" s="675">
        <v>0</v>
      </c>
      <c r="EW91" s="675">
        <v>0</v>
      </c>
      <c r="EX91" s="675">
        <v>0</v>
      </c>
      <c r="EY91" s="675">
        <v>0</v>
      </c>
      <c r="EZ91" s="675">
        <v>1979993</v>
      </c>
      <c r="FA91" s="675">
        <v>0</v>
      </c>
      <c r="FB91" s="675">
        <v>2066124</v>
      </c>
      <c r="FC91" s="675">
        <v>0</v>
      </c>
      <c r="FD91" s="675">
        <v>0</v>
      </c>
      <c r="FE91" s="675">
        <v>210215</v>
      </c>
      <c r="FF91" s="675">
        <v>43478</v>
      </c>
      <c r="FG91" s="675">
        <v>6.3574999999999993E-2</v>
      </c>
      <c r="FH91" s="675">
        <v>2.6297999999999998E-2</v>
      </c>
      <c r="FI91" s="675">
        <v>0</v>
      </c>
      <c r="FJ91" s="675">
        <v>0</v>
      </c>
      <c r="FK91" s="675">
        <v>335.48700000000002</v>
      </c>
      <c r="FL91" s="675">
        <v>2355739</v>
      </c>
      <c r="FM91" s="675">
        <v>0</v>
      </c>
      <c r="FN91" s="675">
        <v>0</v>
      </c>
      <c r="FO91" s="675">
        <v>0</v>
      </c>
      <c r="FP91" s="675">
        <v>0</v>
      </c>
      <c r="FQ91" s="675">
        <v>0</v>
      </c>
      <c r="FR91" s="675">
        <v>0</v>
      </c>
      <c r="FS91" s="675">
        <v>0</v>
      </c>
      <c r="FT91" s="675">
        <v>0</v>
      </c>
      <c r="FU91" s="675">
        <v>0</v>
      </c>
      <c r="FV91" s="675">
        <v>0</v>
      </c>
      <c r="FW91" s="675">
        <v>0</v>
      </c>
      <c r="FX91" s="675">
        <v>0</v>
      </c>
      <c r="FY91" s="675">
        <v>0</v>
      </c>
      <c r="FZ91" s="675">
        <v>0</v>
      </c>
      <c r="GA91" s="675">
        <v>0</v>
      </c>
      <c r="GB91" s="675">
        <v>0</v>
      </c>
      <c r="GC91" s="675">
        <v>0</v>
      </c>
      <c r="GD91" s="675">
        <v>0</v>
      </c>
      <c r="GE91" s="675">
        <v>0</v>
      </c>
      <c r="GF91" s="675">
        <v>0</v>
      </c>
      <c r="GG91" s="675">
        <v>0</v>
      </c>
      <c r="GH91" s="675">
        <v>0</v>
      </c>
      <c r="GI91" s="675">
        <v>0</v>
      </c>
      <c r="GJ91" s="675">
        <v>0</v>
      </c>
      <c r="GK91" s="675">
        <v>0</v>
      </c>
      <c r="GL91" s="675">
        <v>0</v>
      </c>
      <c r="GM91" s="675">
        <v>0</v>
      </c>
      <c r="GN91" s="675">
        <v>0</v>
      </c>
      <c r="GO91" s="675">
        <v>0</v>
      </c>
      <c r="GP91" s="675">
        <v>0</v>
      </c>
      <c r="GQ91" s="675">
        <v>0</v>
      </c>
      <c r="GR91" s="675">
        <v>0</v>
      </c>
      <c r="GS91" s="675">
        <v>0</v>
      </c>
      <c r="GT91" s="675">
        <v>0</v>
      </c>
      <c r="GU91" s="675">
        <v>0</v>
      </c>
      <c r="GV91" s="675">
        <v>0</v>
      </c>
      <c r="GW91" s="675">
        <v>0</v>
      </c>
      <c r="GX91" s="675">
        <v>0</v>
      </c>
      <c r="GY91" s="675">
        <v>0</v>
      </c>
      <c r="GZ91" s="675">
        <v>0</v>
      </c>
      <c r="HA91" s="675">
        <v>0</v>
      </c>
      <c r="HB91" s="675">
        <v>308877260</v>
      </c>
      <c r="HC91" s="675">
        <v>4.4138999999999998E-2</v>
      </c>
      <c r="HD91" s="675">
        <v>35922</v>
      </c>
      <c r="HE91" s="675">
        <v>0</v>
      </c>
      <c r="HF91" s="675">
        <v>217761</v>
      </c>
      <c r="HG91" s="675">
        <v>11088</v>
      </c>
      <c r="HH91" s="675">
        <v>58367</v>
      </c>
      <c r="HI91" s="675">
        <v>0</v>
      </c>
      <c r="HJ91" s="675">
        <v>1978</v>
      </c>
      <c r="HK91" s="675">
        <v>0</v>
      </c>
      <c r="HL91" s="675">
        <v>0</v>
      </c>
      <c r="HM91" s="675">
        <v>0</v>
      </c>
      <c r="HN91" s="675">
        <v>0</v>
      </c>
      <c r="HO91" s="675">
        <v>0</v>
      </c>
      <c r="HP91" s="675">
        <v>0</v>
      </c>
      <c r="HQ91" s="675">
        <v>0</v>
      </c>
      <c r="HR91" s="675">
        <v>0</v>
      </c>
      <c r="HS91" s="675">
        <v>1979524</v>
      </c>
      <c r="HT91" s="675">
        <v>43478</v>
      </c>
      <c r="HU91" s="675">
        <v>0</v>
      </c>
      <c r="HV91" s="675">
        <v>0</v>
      </c>
      <c r="HW91" s="675">
        <v>0</v>
      </c>
      <c r="HX91" s="675">
        <v>9</v>
      </c>
      <c r="HY91" s="675">
        <v>11</v>
      </c>
      <c r="HZ91" s="675">
        <v>38</v>
      </c>
      <c r="IA91" s="675">
        <v>71</v>
      </c>
      <c r="IB91" s="675">
        <v>124</v>
      </c>
      <c r="IC91" s="675">
        <v>253</v>
      </c>
      <c r="ID91" s="675">
        <v>0</v>
      </c>
      <c r="IE91" s="675">
        <v>0</v>
      </c>
      <c r="IF91" s="675">
        <v>0</v>
      </c>
      <c r="IG91" s="675">
        <v>18</v>
      </c>
      <c r="IH91" s="675">
        <v>94.75200000000001</v>
      </c>
      <c r="II91" s="675">
        <v>0</v>
      </c>
      <c r="IJ91" s="675">
        <v>39.258000000000003</v>
      </c>
      <c r="IK91" s="675">
        <v>0</v>
      </c>
      <c r="IL91" s="675">
        <v>0</v>
      </c>
      <c r="IM91" s="675">
        <v>0</v>
      </c>
      <c r="IN91" s="675">
        <v>0</v>
      </c>
      <c r="IO91" s="675">
        <v>0</v>
      </c>
      <c r="IP91" s="675">
        <v>0</v>
      </c>
      <c r="IQ91" s="675">
        <v>39.258000000000003</v>
      </c>
      <c r="IR91" s="675">
        <v>24183</v>
      </c>
      <c r="IS91" s="675">
        <v>0</v>
      </c>
      <c r="IT91" s="675">
        <v>0</v>
      </c>
      <c r="IU91" s="675">
        <v>0</v>
      </c>
      <c r="IV91" s="675">
        <v>0</v>
      </c>
      <c r="IW91" s="675">
        <v>6160</v>
      </c>
      <c r="IX91" s="675">
        <v>0</v>
      </c>
      <c r="IY91" s="675">
        <v>0</v>
      </c>
      <c r="IZ91" s="675">
        <v>0</v>
      </c>
      <c r="JA91" s="675">
        <v>0</v>
      </c>
      <c r="JB91" s="675">
        <v>0</v>
      </c>
      <c r="JC91" s="675">
        <v>0</v>
      </c>
      <c r="JD91" s="675">
        <v>0</v>
      </c>
      <c r="JE91" s="675">
        <v>0</v>
      </c>
      <c r="JF91" s="675">
        <v>0</v>
      </c>
      <c r="JG91" s="675">
        <v>0</v>
      </c>
      <c r="JH91" s="675">
        <v>0</v>
      </c>
      <c r="JI91" s="675">
        <v>0</v>
      </c>
      <c r="JJ91" s="675">
        <v>0</v>
      </c>
      <c r="JK91" s="675">
        <v>0</v>
      </c>
      <c r="JL91" s="675">
        <v>0</v>
      </c>
      <c r="JM91" s="675">
        <v>0</v>
      </c>
      <c r="JN91" s="675">
        <v>34493</v>
      </c>
      <c r="JO91" s="675">
        <v>0</v>
      </c>
      <c r="JP91" s="675">
        <v>0</v>
      </c>
      <c r="JQ91" s="675">
        <v>0</v>
      </c>
      <c r="JR91" s="675">
        <v>0</v>
      </c>
      <c r="JS91" s="675">
        <v>0</v>
      </c>
      <c r="JT91" s="675">
        <v>0</v>
      </c>
      <c r="JU91" s="675">
        <v>0</v>
      </c>
      <c r="JV91" s="675">
        <v>0</v>
      </c>
      <c r="JW91" s="675">
        <v>0</v>
      </c>
      <c r="JX91" s="675">
        <v>0</v>
      </c>
      <c r="JY91" s="675">
        <v>0</v>
      </c>
      <c r="JZ91" s="675">
        <v>0</v>
      </c>
      <c r="KA91" s="675">
        <v>0</v>
      </c>
      <c r="KB91" s="675">
        <v>0</v>
      </c>
      <c r="KC91" s="675">
        <v>0</v>
      </c>
      <c r="KD91" s="675">
        <v>0</v>
      </c>
      <c r="KE91" s="675">
        <v>7263</v>
      </c>
      <c r="KF91" s="675">
        <v>0</v>
      </c>
      <c r="KG91" s="675">
        <v>0</v>
      </c>
      <c r="KH91" s="675">
        <v>0</v>
      </c>
      <c r="KI91" s="675">
        <v>0</v>
      </c>
    </row>
    <row r="92" spans="1:295" ht="12.5" x14ac:dyDescent="0.25">
      <c r="A92" s="675">
        <v>35795</v>
      </c>
      <c r="B92" s="675">
        <v>57809</v>
      </c>
      <c r="C92" s="675">
        <v>7</v>
      </c>
      <c r="D92" s="675">
        <v>2022</v>
      </c>
      <c r="E92" s="675">
        <v>6160</v>
      </c>
      <c r="F92" s="675">
        <v>0</v>
      </c>
      <c r="G92" s="675">
        <v>87.927999999999997</v>
      </c>
      <c r="H92" s="675">
        <v>87.905000000000001</v>
      </c>
      <c r="I92" s="675">
        <v>87.905000000000001</v>
      </c>
      <c r="J92" s="675">
        <v>87.927999999999997</v>
      </c>
      <c r="K92" s="675">
        <v>0</v>
      </c>
      <c r="L92" s="675">
        <v>6160</v>
      </c>
      <c r="M92" s="675">
        <v>0</v>
      </c>
      <c r="N92" s="675">
        <v>0</v>
      </c>
      <c r="O92" s="675">
        <v>0</v>
      </c>
      <c r="P92" s="675">
        <v>87.222000000000008</v>
      </c>
      <c r="Q92" s="675">
        <v>0</v>
      </c>
      <c r="R92" s="675">
        <v>35101</v>
      </c>
      <c r="S92" s="675">
        <v>402.428</v>
      </c>
      <c r="T92" s="675">
        <v>0</v>
      </c>
      <c r="U92" s="675">
        <v>18667</v>
      </c>
      <c r="V92" s="675">
        <v>8.2569999999999997</v>
      </c>
      <c r="W92" s="675">
        <v>5086</v>
      </c>
      <c r="X92" s="675">
        <v>5086</v>
      </c>
      <c r="Y92" s="675">
        <v>0</v>
      </c>
      <c r="Z92" s="675">
        <v>0</v>
      </c>
      <c r="AA92" s="675">
        <v>0</v>
      </c>
      <c r="AB92" s="675">
        <v>0</v>
      </c>
      <c r="AC92" s="675">
        <v>0</v>
      </c>
      <c r="AD92" s="675" t="s">
        <v>316</v>
      </c>
      <c r="AE92" s="675">
        <v>0</v>
      </c>
      <c r="AF92" s="675">
        <v>0</v>
      </c>
      <c r="AG92" s="675">
        <v>0</v>
      </c>
      <c r="AH92" s="675">
        <v>0</v>
      </c>
      <c r="AI92" s="675">
        <v>0</v>
      </c>
      <c r="AJ92" s="675">
        <v>6160</v>
      </c>
      <c r="AK92" s="675" t="s">
        <v>671</v>
      </c>
      <c r="AL92" s="675" t="s">
        <v>327</v>
      </c>
      <c r="AM92" s="675">
        <v>0</v>
      </c>
      <c r="AN92" s="675">
        <v>0</v>
      </c>
      <c r="AO92" s="675">
        <v>0</v>
      </c>
      <c r="AP92" s="675">
        <v>0</v>
      </c>
      <c r="AQ92" s="675">
        <v>0</v>
      </c>
      <c r="AR92" s="675">
        <v>0</v>
      </c>
      <c r="AS92" s="675">
        <v>0</v>
      </c>
      <c r="AT92" s="675">
        <v>0</v>
      </c>
      <c r="AU92" s="675">
        <v>0</v>
      </c>
      <c r="AV92" s="675">
        <v>-64782</v>
      </c>
      <c r="AW92" s="675">
        <v>989282</v>
      </c>
      <c r="AX92" s="675">
        <v>967057</v>
      </c>
      <c r="AY92" s="675">
        <v>651906</v>
      </c>
      <c r="AZ92" s="675">
        <v>35101</v>
      </c>
      <c r="BA92" s="675">
        <v>0</v>
      </c>
      <c r="BB92" s="675">
        <v>0</v>
      </c>
      <c r="BC92" s="675">
        <v>0</v>
      </c>
      <c r="BD92" s="675">
        <v>0</v>
      </c>
      <c r="BE92" s="675">
        <v>0</v>
      </c>
      <c r="BF92" s="675">
        <v>892585</v>
      </c>
      <c r="BG92" s="675">
        <v>0</v>
      </c>
      <c r="BH92" s="675">
        <v>0</v>
      </c>
      <c r="BI92" s="675">
        <v>0</v>
      </c>
      <c r="BJ92" s="675">
        <v>12</v>
      </c>
      <c r="BK92" s="675">
        <v>0</v>
      </c>
      <c r="BL92" s="675">
        <v>0</v>
      </c>
      <c r="BM92" s="675">
        <v>0</v>
      </c>
      <c r="BN92" s="675">
        <v>0</v>
      </c>
      <c r="BO92" s="675">
        <v>0</v>
      </c>
      <c r="BP92" s="675">
        <v>0</v>
      </c>
      <c r="BQ92" s="675">
        <v>756</v>
      </c>
      <c r="BR92" s="675">
        <v>0</v>
      </c>
      <c r="BS92" s="675">
        <v>0</v>
      </c>
      <c r="BT92" s="675">
        <v>0</v>
      </c>
      <c r="BU92" s="675">
        <v>0</v>
      </c>
      <c r="BV92" s="675">
        <v>0</v>
      </c>
      <c r="BW92" s="675">
        <v>0</v>
      </c>
      <c r="BX92" s="675">
        <v>0</v>
      </c>
      <c r="BY92" s="675">
        <v>0</v>
      </c>
      <c r="BZ92" s="675">
        <v>0</v>
      </c>
      <c r="CA92" s="675">
        <v>0</v>
      </c>
      <c r="CB92" s="675">
        <v>0</v>
      </c>
      <c r="CC92" s="675">
        <v>0</v>
      </c>
      <c r="CD92" s="675">
        <v>0</v>
      </c>
      <c r="CE92" s="675">
        <v>0</v>
      </c>
      <c r="CF92" s="675">
        <v>0</v>
      </c>
      <c r="CG92" s="675">
        <v>0</v>
      </c>
      <c r="CH92" s="675">
        <v>22228</v>
      </c>
      <c r="CI92" s="675">
        <v>0</v>
      </c>
      <c r="CJ92" s="675">
        <v>4</v>
      </c>
      <c r="CK92" s="675">
        <v>0</v>
      </c>
      <c r="CL92" s="675">
        <v>0</v>
      </c>
      <c r="CM92" s="675">
        <v>0</v>
      </c>
      <c r="CN92" s="675">
        <v>0</v>
      </c>
      <c r="CO92" s="675">
        <v>1</v>
      </c>
      <c r="CP92" s="675">
        <v>0</v>
      </c>
      <c r="CQ92" s="675">
        <v>0</v>
      </c>
      <c r="CR92" s="675">
        <v>88.972999999999999</v>
      </c>
      <c r="CS92" s="675">
        <v>0</v>
      </c>
      <c r="CT92" s="675">
        <v>0</v>
      </c>
      <c r="CU92" s="675">
        <v>0</v>
      </c>
      <c r="CV92" s="675">
        <v>0</v>
      </c>
      <c r="CW92" s="675">
        <v>0</v>
      </c>
      <c r="CX92" s="675">
        <v>0</v>
      </c>
      <c r="CY92" s="675">
        <v>0</v>
      </c>
      <c r="CZ92" s="675">
        <v>0</v>
      </c>
      <c r="DA92" s="675">
        <v>0</v>
      </c>
      <c r="DB92" s="675">
        <v>522867</v>
      </c>
      <c r="DC92" s="675">
        <v>0</v>
      </c>
      <c r="DD92" s="675">
        <v>0</v>
      </c>
      <c r="DE92" s="675">
        <v>196811</v>
      </c>
      <c r="DF92" s="675">
        <v>196811</v>
      </c>
      <c r="DG92" s="675">
        <v>31.95</v>
      </c>
      <c r="DH92" s="675">
        <v>0</v>
      </c>
      <c r="DI92" s="675">
        <v>0</v>
      </c>
      <c r="DJ92" s="675">
        <v>0</v>
      </c>
      <c r="DK92" s="675">
        <v>3726</v>
      </c>
      <c r="DL92" s="675">
        <v>0</v>
      </c>
      <c r="DM92" s="675">
        <v>19330</v>
      </c>
      <c r="DN92" s="675">
        <v>3</v>
      </c>
      <c r="DO92" s="675">
        <v>0</v>
      </c>
      <c r="DP92" s="675">
        <v>0</v>
      </c>
      <c r="DQ92" s="675">
        <v>0</v>
      </c>
      <c r="DR92" s="675">
        <v>0</v>
      </c>
      <c r="DS92" s="675">
        <v>0</v>
      </c>
      <c r="DT92" s="675">
        <v>0</v>
      </c>
      <c r="DU92" s="675">
        <v>0</v>
      </c>
      <c r="DV92" s="675">
        <v>0</v>
      </c>
      <c r="DW92" s="675">
        <v>0</v>
      </c>
      <c r="DX92" s="675">
        <v>0</v>
      </c>
      <c r="DY92" s="675">
        <v>0</v>
      </c>
      <c r="DZ92" s="675">
        <v>0</v>
      </c>
      <c r="EA92" s="675">
        <v>0</v>
      </c>
      <c r="EB92" s="675">
        <v>0</v>
      </c>
      <c r="EC92" s="675">
        <v>0</v>
      </c>
      <c r="ED92" s="675">
        <v>0</v>
      </c>
      <c r="EE92" s="675">
        <v>0</v>
      </c>
      <c r="EF92" s="675">
        <v>0</v>
      </c>
      <c r="EG92" s="675">
        <v>0</v>
      </c>
      <c r="EH92" s="675">
        <v>708</v>
      </c>
      <c r="EI92" s="675">
        <v>0</v>
      </c>
      <c r="EJ92" s="675">
        <v>0</v>
      </c>
      <c r="EK92" s="675">
        <v>0</v>
      </c>
      <c r="EL92" s="675">
        <v>0</v>
      </c>
      <c r="EM92" s="675">
        <v>0</v>
      </c>
      <c r="EN92" s="675">
        <v>2.3E-2</v>
      </c>
      <c r="EO92" s="675">
        <v>0</v>
      </c>
      <c r="EP92" s="675">
        <v>0</v>
      </c>
      <c r="EQ92" s="675">
        <v>2.3E-2</v>
      </c>
      <c r="ER92" s="675">
        <v>0</v>
      </c>
      <c r="ES92" s="675">
        <v>0.115</v>
      </c>
      <c r="ET92" s="675">
        <v>0</v>
      </c>
      <c r="EU92" s="675">
        <v>0</v>
      </c>
      <c r="EV92" s="675">
        <v>0</v>
      </c>
      <c r="EW92" s="675">
        <v>0</v>
      </c>
      <c r="EX92" s="675">
        <v>0</v>
      </c>
      <c r="EY92" s="675">
        <v>0</v>
      </c>
      <c r="EZ92" s="675">
        <v>857484</v>
      </c>
      <c r="FA92" s="675">
        <v>0</v>
      </c>
      <c r="FB92" s="675">
        <v>892582</v>
      </c>
      <c r="FC92" s="675">
        <v>0</v>
      </c>
      <c r="FD92" s="675">
        <v>0</v>
      </c>
      <c r="FE92" s="675">
        <v>90794</v>
      </c>
      <c r="FF92" s="675">
        <v>18779</v>
      </c>
      <c r="FG92" s="675">
        <v>6.3574999999999993E-2</v>
      </c>
      <c r="FH92" s="675">
        <v>2.6297999999999998E-2</v>
      </c>
      <c r="FI92" s="675">
        <v>0</v>
      </c>
      <c r="FJ92" s="675">
        <v>0</v>
      </c>
      <c r="FK92" s="675">
        <v>144.90100000000001</v>
      </c>
      <c r="FL92" s="675">
        <v>1024383</v>
      </c>
      <c r="FM92" s="675">
        <v>0</v>
      </c>
      <c r="FN92" s="675">
        <v>0</v>
      </c>
      <c r="FO92" s="675">
        <v>0</v>
      </c>
      <c r="FP92" s="675">
        <v>0</v>
      </c>
      <c r="FQ92" s="675">
        <v>0</v>
      </c>
      <c r="FR92" s="675">
        <v>0</v>
      </c>
      <c r="FS92" s="675">
        <v>0</v>
      </c>
      <c r="FT92" s="675">
        <v>0</v>
      </c>
      <c r="FU92" s="675">
        <v>0</v>
      </c>
      <c r="FV92" s="675">
        <v>0</v>
      </c>
      <c r="FW92" s="675">
        <v>0</v>
      </c>
      <c r="FX92" s="675">
        <v>0</v>
      </c>
      <c r="FY92" s="675">
        <v>0</v>
      </c>
      <c r="FZ92" s="675">
        <v>0</v>
      </c>
      <c r="GA92" s="675">
        <v>0</v>
      </c>
      <c r="GB92" s="675">
        <v>0</v>
      </c>
      <c r="GC92" s="675">
        <v>0</v>
      </c>
      <c r="GD92" s="675">
        <v>0</v>
      </c>
      <c r="GE92" s="675">
        <v>0</v>
      </c>
      <c r="GF92" s="675">
        <v>0</v>
      </c>
      <c r="GG92" s="675">
        <v>0</v>
      </c>
      <c r="GH92" s="675">
        <v>0</v>
      </c>
      <c r="GI92" s="675">
        <v>0</v>
      </c>
      <c r="GJ92" s="675">
        <v>0</v>
      </c>
      <c r="GK92" s="675">
        <v>0</v>
      </c>
      <c r="GL92" s="675">
        <v>0</v>
      </c>
      <c r="GM92" s="675">
        <v>0</v>
      </c>
      <c r="GN92" s="675">
        <v>0</v>
      </c>
      <c r="GO92" s="675">
        <v>0</v>
      </c>
      <c r="GP92" s="675">
        <v>0</v>
      </c>
      <c r="GQ92" s="675">
        <v>0</v>
      </c>
      <c r="GR92" s="675">
        <v>0</v>
      </c>
      <c r="GS92" s="675">
        <v>0</v>
      </c>
      <c r="GT92" s="675">
        <v>0</v>
      </c>
      <c r="GU92" s="675">
        <v>0</v>
      </c>
      <c r="GV92" s="675">
        <v>0</v>
      </c>
      <c r="GW92" s="675">
        <v>0</v>
      </c>
      <c r="GX92" s="675">
        <v>0</v>
      </c>
      <c r="GY92" s="675">
        <v>0</v>
      </c>
      <c r="GZ92" s="675">
        <v>0</v>
      </c>
      <c r="HA92" s="675">
        <v>0</v>
      </c>
      <c r="HB92" s="675">
        <v>308877260</v>
      </c>
      <c r="HC92" s="675">
        <v>4.4138999999999998E-2</v>
      </c>
      <c r="HD92" s="675">
        <v>15524</v>
      </c>
      <c r="HE92" s="675">
        <v>0</v>
      </c>
      <c r="HF92" s="675">
        <v>96959</v>
      </c>
      <c r="HG92" s="675">
        <v>642</v>
      </c>
      <c r="HH92" s="675">
        <v>42832</v>
      </c>
      <c r="HI92" s="675">
        <v>0</v>
      </c>
      <c r="HJ92" s="675">
        <v>855</v>
      </c>
      <c r="HK92" s="675">
        <v>0</v>
      </c>
      <c r="HL92" s="675">
        <v>0</v>
      </c>
      <c r="HM92" s="675">
        <v>0</v>
      </c>
      <c r="HN92" s="675">
        <v>0</v>
      </c>
      <c r="HO92" s="675">
        <v>7200</v>
      </c>
      <c r="HP92" s="675">
        <v>0</v>
      </c>
      <c r="HQ92" s="675">
        <v>0</v>
      </c>
      <c r="HR92" s="675">
        <v>0</v>
      </c>
      <c r="HS92" s="675">
        <v>857481</v>
      </c>
      <c r="HT92" s="675">
        <v>18779</v>
      </c>
      <c r="HU92" s="675">
        <v>0</v>
      </c>
      <c r="HV92" s="675">
        <v>0</v>
      </c>
      <c r="HW92" s="675">
        <v>0</v>
      </c>
      <c r="HX92" s="675">
        <v>8</v>
      </c>
      <c r="HY92" s="675">
        <v>7</v>
      </c>
      <c r="HZ92" s="675">
        <v>18</v>
      </c>
      <c r="IA92" s="675">
        <v>39</v>
      </c>
      <c r="IB92" s="675">
        <v>50</v>
      </c>
      <c r="IC92" s="675">
        <v>122</v>
      </c>
      <c r="ID92" s="675">
        <v>0</v>
      </c>
      <c r="IE92" s="675">
        <v>0</v>
      </c>
      <c r="IF92" s="675">
        <v>0</v>
      </c>
      <c r="IG92" s="675">
        <v>1.042</v>
      </c>
      <c r="IH92" s="675">
        <v>69.531999999999996</v>
      </c>
      <c r="II92" s="675">
        <v>0</v>
      </c>
      <c r="IJ92" s="675">
        <v>8.2569999999999997</v>
      </c>
      <c r="IK92" s="675">
        <v>0</v>
      </c>
      <c r="IL92" s="675">
        <v>0</v>
      </c>
      <c r="IM92" s="675">
        <v>0</v>
      </c>
      <c r="IN92" s="675">
        <v>0</v>
      </c>
      <c r="IO92" s="675">
        <v>0</v>
      </c>
      <c r="IP92" s="675">
        <v>0</v>
      </c>
      <c r="IQ92" s="675">
        <v>8.2569999999999997</v>
      </c>
      <c r="IR92" s="675">
        <v>5086</v>
      </c>
      <c r="IS92" s="675">
        <v>0</v>
      </c>
      <c r="IT92" s="675">
        <v>0</v>
      </c>
      <c r="IU92" s="675">
        <v>0</v>
      </c>
      <c r="IV92" s="675">
        <v>0</v>
      </c>
      <c r="IW92" s="675">
        <v>6160</v>
      </c>
      <c r="IX92" s="675">
        <v>0</v>
      </c>
      <c r="IY92" s="675">
        <v>0</v>
      </c>
      <c r="IZ92" s="675">
        <v>0</v>
      </c>
      <c r="JA92" s="675">
        <v>0</v>
      </c>
      <c r="JB92" s="675">
        <v>0</v>
      </c>
      <c r="JC92" s="675">
        <v>0</v>
      </c>
      <c r="JD92" s="675">
        <v>0</v>
      </c>
      <c r="JE92" s="675">
        <v>0</v>
      </c>
      <c r="JF92" s="675">
        <v>0</v>
      </c>
      <c r="JG92" s="675">
        <v>0</v>
      </c>
      <c r="JH92" s="675">
        <v>0</v>
      </c>
      <c r="JI92" s="675">
        <v>0</v>
      </c>
      <c r="JJ92" s="675">
        <v>0</v>
      </c>
      <c r="JK92" s="675">
        <v>0</v>
      </c>
      <c r="JL92" s="675">
        <v>0</v>
      </c>
      <c r="JM92" s="675">
        <v>0</v>
      </c>
      <c r="JN92" s="675">
        <v>32469</v>
      </c>
      <c r="JO92" s="675">
        <v>0</v>
      </c>
      <c r="JP92" s="675">
        <v>0</v>
      </c>
      <c r="JQ92" s="675">
        <v>0</v>
      </c>
      <c r="JR92" s="675">
        <v>0</v>
      </c>
      <c r="JS92" s="675">
        <v>0</v>
      </c>
      <c r="JT92" s="675">
        <v>0</v>
      </c>
      <c r="JU92" s="675">
        <v>0</v>
      </c>
      <c r="JV92" s="675">
        <v>0</v>
      </c>
      <c r="JW92" s="675">
        <v>0</v>
      </c>
      <c r="JX92" s="675">
        <v>0</v>
      </c>
      <c r="JY92" s="675">
        <v>0</v>
      </c>
      <c r="JZ92" s="675">
        <v>0</v>
      </c>
      <c r="KA92" s="675">
        <v>0</v>
      </c>
      <c r="KB92" s="675">
        <v>0</v>
      </c>
      <c r="KC92" s="675">
        <v>0</v>
      </c>
      <c r="KD92" s="675">
        <v>0</v>
      </c>
      <c r="KE92" s="675">
        <v>7263</v>
      </c>
      <c r="KF92" s="675">
        <v>6704</v>
      </c>
      <c r="KG92" s="675">
        <v>0</v>
      </c>
      <c r="KH92" s="675">
        <v>0</v>
      </c>
      <c r="KI92" s="675">
        <v>0</v>
      </c>
    </row>
    <row r="93" spans="1:295" ht="12.5" x14ac:dyDescent="0.25">
      <c r="A93" s="675">
        <v>35795</v>
      </c>
      <c r="B93" s="675">
        <v>71809</v>
      </c>
      <c r="C93" s="675">
        <v>7</v>
      </c>
      <c r="D93" s="675">
        <v>2022</v>
      </c>
      <c r="E93" s="675">
        <v>6160</v>
      </c>
      <c r="F93" s="675">
        <v>0</v>
      </c>
      <c r="G93" s="675">
        <v>313.51400000000001</v>
      </c>
      <c r="H93" s="675">
        <v>312.66800000000001</v>
      </c>
      <c r="I93" s="675">
        <v>312.66800000000001</v>
      </c>
      <c r="J93" s="675">
        <v>313.51400000000001</v>
      </c>
      <c r="K93" s="675">
        <v>0</v>
      </c>
      <c r="L93" s="675">
        <v>6160</v>
      </c>
      <c r="M93" s="675">
        <v>0</v>
      </c>
      <c r="N93" s="675">
        <v>0</v>
      </c>
      <c r="O93" s="675">
        <v>0</v>
      </c>
      <c r="P93" s="675">
        <v>227.08700000000002</v>
      </c>
      <c r="Q93" s="675">
        <v>0</v>
      </c>
      <c r="R93" s="675">
        <v>91386</v>
      </c>
      <c r="S93" s="675">
        <v>402.428</v>
      </c>
      <c r="T93" s="675">
        <v>0</v>
      </c>
      <c r="U93" s="675">
        <v>48597</v>
      </c>
      <c r="V93" s="675">
        <v>97.02</v>
      </c>
      <c r="W93" s="675">
        <v>59764</v>
      </c>
      <c r="X93" s="675">
        <v>59764</v>
      </c>
      <c r="Y93" s="675">
        <v>0</v>
      </c>
      <c r="Z93" s="675">
        <v>0</v>
      </c>
      <c r="AA93" s="675">
        <v>0</v>
      </c>
      <c r="AB93" s="675">
        <v>0</v>
      </c>
      <c r="AC93" s="675">
        <v>0</v>
      </c>
      <c r="AD93" s="675" t="s">
        <v>316</v>
      </c>
      <c r="AE93" s="675">
        <v>0</v>
      </c>
      <c r="AF93" s="675">
        <v>0</v>
      </c>
      <c r="AG93" s="675">
        <v>0</v>
      </c>
      <c r="AH93" s="675">
        <v>0</v>
      </c>
      <c r="AI93" s="675">
        <v>0</v>
      </c>
      <c r="AJ93" s="675">
        <v>6160</v>
      </c>
      <c r="AK93" s="675" t="s">
        <v>671</v>
      </c>
      <c r="AL93" s="675" t="s">
        <v>340</v>
      </c>
      <c r="AM93" s="675">
        <v>0</v>
      </c>
      <c r="AN93" s="675">
        <v>0</v>
      </c>
      <c r="AO93" s="675">
        <v>0</v>
      </c>
      <c r="AP93" s="675">
        <v>0</v>
      </c>
      <c r="AQ93" s="675">
        <v>0</v>
      </c>
      <c r="AR93" s="675">
        <v>0</v>
      </c>
      <c r="AS93" s="675">
        <v>0</v>
      </c>
      <c r="AT93" s="675">
        <v>0</v>
      </c>
      <c r="AU93" s="675">
        <v>0</v>
      </c>
      <c r="AV93" s="675">
        <v>0</v>
      </c>
      <c r="AW93" s="675">
        <v>3041317</v>
      </c>
      <c r="AX93" s="675">
        <v>2986099</v>
      </c>
      <c r="AY93" s="675">
        <v>1739205</v>
      </c>
      <c r="AZ93" s="675">
        <v>91386</v>
      </c>
      <c r="BA93" s="675">
        <v>0</v>
      </c>
      <c r="BB93" s="675">
        <v>0</v>
      </c>
      <c r="BC93" s="675">
        <v>0</v>
      </c>
      <c r="BD93" s="675">
        <v>0</v>
      </c>
      <c r="BE93" s="675">
        <v>0</v>
      </c>
      <c r="BF93" s="675">
        <v>2741002</v>
      </c>
      <c r="BG93" s="675">
        <v>0</v>
      </c>
      <c r="BH93" s="675">
        <v>0</v>
      </c>
      <c r="BI93" s="675">
        <v>0</v>
      </c>
      <c r="BJ93" s="675">
        <v>12</v>
      </c>
      <c r="BK93" s="675">
        <v>0</v>
      </c>
      <c r="BL93" s="675">
        <v>0</v>
      </c>
      <c r="BM93" s="675">
        <v>0</v>
      </c>
      <c r="BN93" s="675">
        <v>0</v>
      </c>
      <c r="BO93" s="675">
        <v>0</v>
      </c>
      <c r="BP93" s="675">
        <v>0</v>
      </c>
      <c r="BQ93" s="675">
        <v>722</v>
      </c>
      <c r="BR93" s="675">
        <v>0</v>
      </c>
      <c r="BS93" s="675">
        <v>0</v>
      </c>
      <c r="BT93" s="675">
        <v>0</v>
      </c>
      <c r="BU93" s="675">
        <v>0</v>
      </c>
      <c r="BV93" s="675">
        <v>0</v>
      </c>
      <c r="BW93" s="675">
        <v>0</v>
      </c>
      <c r="BX93" s="675">
        <v>0</v>
      </c>
      <c r="BY93" s="675">
        <v>0</v>
      </c>
      <c r="BZ93" s="675">
        <v>0</v>
      </c>
      <c r="CA93" s="675">
        <v>0</v>
      </c>
      <c r="CB93" s="675">
        <v>0</v>
      </c>
      <c r="CC93" s="675">
        <v>0</v>
      </c>
      <c r="CD93" s="675">
        <v>0</v>
      </c>
      <c r="CE93" s="675">
        <v>0</v>
      </c>
      <c r="CF93" s="675">
        <v>0</v>
      </c>
      <c r="CG93" s="675">
        <v>0</v>
      </c>
      <c r="CH93" s="675">
        <v>55353</v>
      </c>
      <c r="CI93" s="675">
        <v>0</v>
      </c>
      <c r="CJ93" s="675">
        <v>4</v>
      </c>
      <c r="CK93" s="675">
        <v>0</v>
      </c>
      <c r="CL93" s="675">
        <v>0</v>
      </c>
      <c r="CM93" s="675">
        <v>0</v>
      </c>
      <c r="CN93" s="675">
        <v>0</v>
      </c>
      <c r="CO93" s="675">
        <v>1</v>
      </c>
      <c r="CP93" s="675">
        <v>0</v>
      </c>
      <c r="CQ93" s="675">
        <v>0</v>
      </c>
      <c r="CR93" s="675">
        <v>236.167</v>
      </c>
      <c r="CS93" s="675">
        <v>0</v>
      </c>
      <c r="CT93" s="675">
        <v>0</v>
      </c>
      <c r="CU93" s="675">
        <v>0</v>
      </c>
      <c r="CV93" s="675">
        <v>0</v>
      </c>
      <c r="CW93" s="675">
        <v>0</v>
      </c>
      <c r="CX93" s="675">
        <v>0</v>
      </c>
      <c r="CY93" s="675">
        <v>0</v>
      </c>
      <c r="CZ93" s="675">
        <v>0</v>
      </c>
      <c r="DA93" s="675">
        <v>0</v>
      </c>
      <c r="DB93" s="675">
        <v>1900902</v>
      </c>
      <c r="DC93" s="675">
        <v>0</v>
      </c>
      <c r="DD93" s="675">
        <v>0</v>
      </c>
      <c r="DE93" s="675">
        <v>287363</v>
      </c>
      <c r="DF93" s="675">
        <v>287363</v>
      </c>
      <c r="DG93" s="675">
        <v>46.65</v>
      </c>
      <c r="DH93" s="675">
        <v>0</v>
      </c>
      <c r="DI93" s="675">
        <v>0</v>
      </c>
      <c r="DJ93" s="675">
        <v>0</v>
      </c>
      <c r="DK93" s="675">
        <v>3172</v>
      </c>
      <c r="DL93" s="675">
        <v>0</v>
      </c>
      <c r="DM93" s="675">
        <v>61108</v>
      </c>
      <c r="DN93" s="675">
        <v>135</v>
      </c>
      <c r="DO93" s="675">
        <v>0</v>
      </c>
      <c r="DP93" s="675">
        <v>0</v>
      </c>
      <c r="DQ93" s="675">
        <v>0</v>
      </c>
      <c r="DR93" s="675">
        <v>0</v>
      </c>
      <c r="DS93" s="675">
        <v>0</v>
      </c>
      <c r="DT93" s="675">
        <v>0</v>
      </c>
      <c r="DU93" s="675">
        <v>0</v>
      </c>
      <c r="DV93" s="675">
        <v>0</v>
      </c>
      <c r="DW93" s="675">
        <v>0</v>
      </c>
      <c r="DX93" s="675">
        <v>0</v>
      </c>
      <c r="DY93" s="675">
        <v>0</v>
      </c>
      <c r="DZ93" s="675">
        <v>0</v>
      </c>
      <c r="EA93" s="675">
        <v>0</v>
      </c>
      <c r="EB93" s="675">
        <v>0</v>
      </c>
      <c r="EC93" s="675">
        <v>2.29</v>
      </c>
      <c r="ED93" s="675">
        <v>16222</v>
      </c>
      <c r="EE93" s="675">
        <v>0</v>
      </c>
      <c r="EF93" s="675">
        <v>0</v>
      </c>
      <c r="EG93" s="675">
        <v>0</v>
      </c>
      <c r="EH93" s="675">
        <v>19897</v>
      </c>
      <c r="EI93" s="675">
        <v>0</v>
      </c>
      <c r="EJ93" s="675">
        <v>0</v>
      </c>
      <c r="EK93" s="675">
        <v>0.5</v>
      </c>
      <c r="EL93" s="675">
        <v>0</v>
      </c>
      <c r="EM93" s="675">
        <v>0</v>
      </c>
      <c r="EN93" s="675">
        <v>0.34600000000000003</v>
      </c>
      <c r="EO93" s="675">
        <v>0</v>
      </c>
      <c r="EP93" s="675">
        <v>0</v>
      </c>
      <c r="EQ93" s="675">
        <v>0.84600000000000009</v>
      </c>
      <c r="ER93" s="675">
        <v>0</v>
      </c>
      <c r="ES93" s="675">
        <v>3.23</v>
      </c>
      <c r="ET93" s="675">
        <v>0</v>
      </c>
      <c r="EU93" s="675">
        <v>0</v>
      </c>
      <c r="EV93" s="675">
        <v>0</v>
      </c>
      <c r="EW93" s="675">
        <v>0</v>
      </c>
      <c r="EX93" s="675">
        <v>0</v>
      </c>
      <c r="EY93" s="675">
        <v>0</v>
      </c>
      <c r="EZ93" s="675">
        <v>2649616</v>
      </c>
      <c r="FA93" s="675">
        <v>0</v>
      </c>
      <c r="FB93" s="675">
        <v>2740867</v>
      </c>
      <c r="FC93" s="675">
        <v>0</v>
      </c>
      <c r="FD93" s="675">
        <v>0</v>
      </c>
      <c r="FE93" s="675">
        <v>278816</v>
      </c>
      <c r="FF93" s="675">
        <v>57667</v>
      </c>
      <c r="FG93" s="675">
        <v>6.3574999999999993E-2</v>
      </c>
      <c r="FH93" s="675">
        <v>2.6297999999999998E-2</v>
      </c>
      <c r="FI93" s="675">
        <v>0</v>
      </c>
      <c r="FJ93" s="675">
        <v>0</v>
      </c>
      <c r="FK93" s="675">
        <v>444.97</v>
      </c>
      <c r="FL93" s="675">
        <v>3132703</v>
      </c>
      <c r="FM93" s="675">
        <v>0</v>
      </c>
      <c r="FN93" s="675">
        <v>0</v>
      </c>
      <c r="FO93" s="675">
        <v>0</v>
      </c>
      <c r="FP93" s="675">
        <v>0</v>
      </c>
      <c r="FQ93" s="675">
        <v>0</v>
      </c>
      <c r="FR93" s="675">
        <v>0</v>
      </c>
      <c r="FS93" s="675">
        <v>0</v>
      </c>
      <c r="FT93" s="675">
        <v>0</v>
      </c>
      <c r="FU93" s="675">
        <v>0</v>
      </c>
      <c r="FV93" s="675">
        <v>0</v>
      </c>
      <c r="FW93" s="675">
        <v>0</v>
      </c>
      <c r="FX93" s="675">
        <v>0</v>
      </c>
      <c r="FY93" s="675">
        <v>0</v>
      </c>
      <c r="FZ93" s="675">
        <v>0</v>
      </c>
      <c r="GA93" s="675">
        <v>0</v>
      </c>
      <c r="GB93" s="675">
        <v>0</v>
      </c>
      <c r="GC93" s="675">
        <v>0</v>
      </c>
      <c r="GD93" s="675">
        <v>0</v>
      </c>
      <c r="GE93" s="675">
        <v>0</v>
      </c>
      <c r="GF93" s="675">
        <v>0</v>
      </c>
      <c r="GG93" s="675">
        <v>0</v>
      </c>
      <c r="GH93" s="675">
        <v>0</v>
      </c>
      <c r="GI93" s="675">
        <v>0</v>
      </c>
      <c r="GJ93" s="675">
        <v>0</v>
      </c>
      <c r="GK93" s="675">
        <v>0</v>
      </c>
      <c r="GL93" s="675">
        <v>0</v>
      </c>
      <c r="GM93" s="675">
        <v>0</v>
      </c>
      <c r="GN93" s="675">
        <v>0</v>
      </c>
      <c r="GO93" s="675">
        <v>0</v>
      </c>
      <c r="GP93" s="675">
        <v>0</v>
      </c>
      <c r="GQ93" s="675">
        <v>0</v>
      </c>
      <c r="GR93" s="675">
        <v>0</v>
      </c>
      <c r="GS93" s="675">
        <v>0</v>
      </c>
      <c r="GT93" s="675">
        <v>0</v>
      </c>
      <c r="GU93" s="675">
        <v>0</v>
      </c>
      <c r="GV93" s="675">
        <v>0</v>
      </c>
      <c r="GW93" s="675">
        <v>0</v>
      </c>
      <c r="GX93" s="675">
        <v>0</v>
      </c>
      <c r="GY93" s="675">
        <v>0</v>
      </c>
      <c r="GZ93" s="675">
        <v>0</v>
      </c>
      <c r="HA93" s="675">
        <v>0</v>
      </c>
      <c r="HB93" s="675">
        <v>308877260</v>
      </c>
      <c r="HC93" s="675">
        <v>4.4138999999999998E-2</v>
      </c>
      <c r="HD93" s="675">
        <v>55353</v>
      </c>
      <c r="HE93" s="675">
        <v>0</v>
      </c>
      <c r="HF93" s="675">
        <v>344873</v>
      </c>
      <c r="HG93" s="675">
        <v>616</v>
      </c>
      <c r="HH93" s="675">
        <v>74194</v>
      </c>
      <c r="HI93" s="675">
        <v>0</v>
      </c>
      <c r="HJ93" s="675">
        <v>3047</v>
      </c>
      <c r="HK93" s="675">
        <v>0</v>
      </c>
      <c r="HL93" s="675">
        <v>0</v>
      </c>
      <c r="HM93" s="675">
        <v>0</v>
      </c>
      <c r="HN93" s="675">
        <v>0</v>
      </c>
      <c r="HO93" s="675">
        <v>9000</v>
      </c>
      <c r="HP93" s="675">
        <v>0</v>
      </c>
      <c r="HQ93" s="675">
        <v>0</v>
      </c>
      <c r="HR93" s="675">
        <v>0</v>
      </c>
      <c r="HS93" s="675">
        <v>2649481</v>
      </c>
      <c r="HT93" s="675">
        <v>57667</v>
      </c>
      <c r="HU93" s="675">
        <v>0</v>
      </c>
      <c r="HV93" s="675">
        <v>0</v>
      </c>
      <c r="HW93" s="675">
        <v>0</v>
      </c>
      <c r="HX93" s="675">
        <v>48</v>
      </c>
      <c r="HY93" s="675">
        <v>57</v>
      </c>
      <c r="HZ93" s="675">
        <v>66</v>
      </c>
      <c r="IA93" s="675">
        <v>19</v>
      </c>
      <c r="IB93" s="675">
        <v>3</v>
      </c>
      <c r="IC93" s="675">
        <v>193</v>
      </c>
      <c r="ID93" s="675">
        <v>0</v>
      </c>
      <c r="IE93" s="675">
        <v>0</v>
      </c>
      <c r="IF93" s="675">
        <v>0</v>
      </c>
      <c r="IG93" s="675">
        <v>1</v>
      </c>
      <c r="IH93" s="675">
        <v>120.44600000000001</v>
      </c>
      <c r="II93" s="675">
        <v>0</v>
      </c>
      <c r="IJ93" s="675">
        <v>97.02</v>
      </c>
      <c r="IK93" s="675">
        <v>0</v>
      </c>
      <c r="IL93" s="675">
        <v>0</v>
      </c>
      <c r="IM93" s="675">
        <v>0</v>
      </c>
      <c r="IN93" s="675">
        <v>0</v>
      </c>
      <c r="IO93" s="675">
        <v>0</v>
      </c>
      <c r="IP93" s="675">
        <v>0</v>
      </c>
      <c r="IQ93" s="675">
        <v>97.02</v>
      </c>
      <c r="IR93" s="675">
        <v>59764</v>
      </c>
      <c r="IS93" s="675">
        <v>0</v>
      </c>
      <c r="IT93" s="675">
        <v>0</v>
      </c>
      <c r="IU93" s="675">
        <v>0</v>
      </c>
      <c r="IV93" s="675">
        <v>0</v>
      </c>
      <c r="IW93" s="675">
        <v>6160</v>
      </c>
      <c r="IX93" s="675">
        <v>0</v>
      </c>
      <c r="IY93" s="675">
        <v>0</v>
      </c>
      <c r="IZ93" s="675">
        <v>0</v>
      </c>
      <c r="JA93" s="675">
        <v>0</v>
      </c>
      <c r="JB93" s="675">
        <v>0</v>
      </c>
      <c r="JC93" s="675">
        <v>0</v>
      </c>
      <c r="JD93" s="675">
        <v>0</v>
      </c>
      <c r="JE93" s="675">
        <v>0</v>
      </c>
      <c r="JF93" s="675">
        <v>0</v>
      </c>
      <c r="JG93" s="675">
        <v>0</v>
      </c>
      <c r="JH93" s="675">
        <v>0</v>
      </c>
      <c r="JI93" s="675">
        <v>0</v>
      </c>
      <c r="JJ93" s="675">
        <v>0</v>
      </c>
      <c r="JK93" s="675">
        <v>0</v>
      </c>
      <c r="JL93" s="675">
        <v>0</v>
      </c>
      <c r="JM93" s="675">
        <v>0</v>
      </c>
      <c r="JN93" s="675">
        <v>32469</v>
      </c>
      <c r="JO93" s="675">
        <v>0</v>
      </c>
      <c r="JP93" s="675">
        <v>0</v>
      </c>
      <c r="JQ93" s="675">
        <v>0</v>
      </c>
      <c r="JR93" s="675">
        <v>0</v>
      </c>
      <c r="JS93" s="675">
        <v>0</v>
      </c>
      <c r="JT93" s="675">
        <v>0</v>
      </c>
      <c r="JU93" s="675">
        <v>0</v>
      </c>
      <c r="JV93" s="675">
        <v>0</v>
      </c>
      <c r="JW93" s="675">
        <v>0</v>
      </c>
      <c r="JX93" s="675">
        <v>0</v>
      </c>
      <c r="JY93" s="675">
        <v>0</v>
      </c>
      <c r="JZ93" s="675">
        <v>0</v>
      </c>
      <c r="KA93" s="675">
        <v>0</v>
      </c>
      <c r="KB93" s="675">
        <v>0</v>
      </c>
      <c r="KC93" s="675">
        <v>0</v>
      </c>
      <c r="KD93" s="675">
        <v>0</v>
      </c>
      <c r="KE93" s="675">
        <v>7263</v>
      </c>
      <c r="KF93" s="675">
        <v>0</v>
      </c>
      <c r="KG93" s="675">
        <v>0</v>
      </c>
      <c r="KH93" s="675">
        <v>0</v>
      </c>
      <c r="KI93" s="675">
        <v>0</v>
      </c>
    </row>
    <row r="94" spans="1:295" ht="12.5" x14ac:dyDescent="0.25">
      <c r="A94" s="675">
        <v>35795</v>
      </c>
      <c r="B94" s="675">
        <v>108809</v>
      </c>
      <c r="C94" s="675">
        <v>7</v>
      </c>
      <c r="D94" s="675">
        <v>2022</v>
      </c>
      <c r="E94" s="675">
        <v>6160</v>
      </c>
      <c r="F94" s="675">
        <v>0</v>
      </c>
      <c r="G94" s="675">
        <v>267.40199999999999</v>
      </c>
      <c r="H94" s="675">
        <v>250.10300000000001</v>
      </c>
      <c r="I94" s="675">
        <v>250.10300000000001</v>
      </c>
      <c r="J94" s="675">
        <v>267.40199999999999</v>
      </c>
      <c r="K94" s="675">
        <v>0</v>
      </c>
      <c r="L94" s="675">
        <v>6160</v>
      </c>
      <c r="M94" s="675">
        <v>0</v>
      </c>
      <c r="N94" s="675">
        <v>0</v>
      </c>
      <c r="O94" s="675">
        <v>0</v>
      </c>
      <c r="P94" s="675">
        <v>268.26300000000003</v>
      </c>
      <c r="Q94" s="675">
        <v>0</v>
      </c>
      <c r="R94" s="675">
        <v>107957</v>
      </c>
      <c r="S94" s="675">
        <v>402.428</v>
      </c>
      <c r="T94" s="675">
        <v>0</v>
      </c>
      <c r="U94" s="675">
        <v>57408</v>
      </c>
      <c r="V94" s="675">
        <v>101.31500000000001</v>
      </c>
      <c r="W94" s="675">
        <v>99846</v>
      </c>
      <c r="X94" s="675">
        <v>99846</v>
      </c>
      <c r="Y94" s="675">
        <v>0</v>
      </c>
      <c r="Z94" s="675">
        <v>0</v>
      </c>
      <c r="AA94" s="675">
        <v>0</v>
      </c>
      <c r="AB94" s="675">
        <v>0</v>
      </c>
      <c r="AC94" s="675">
        <v>0</v>
      </c>
      <c r="AD94" s="675" t="s">
        <v>316</v>
      </c>
      <c r="AE94" s="675">
        <v>0</v>
      </c>
      <c r="AF94" s="675">
        <v>0</v>
      </c>
      <c r="AG94" s="675">
        <v>0</v>
      </c>
      <c r="AH94" s="675">
        <v>0</v>
      </c>
      <c r="AI94" s="675">
        <v>0</v>
      </c>
      <c r="AJ94" s="675">
        <v>6160</v>
      </c>
      <c r="AK94" s="675" t="s">
        <v>671</v>
      </c>
      <c r="AL94" s="675" t="s">
        <v>118</v>
      </c>
      <c r="AM94" s="675">
        <v>0</v>
      </c>
      <c r="AN94" s="675">
        <v>0</v>
      </c>
      <c r="AO94" s="675">
        <v>0</v>
      </c>
      <c r="AP94" s="675">
        <v>0</v>
      </c>
      <c r="AQ94" s="675">
        <v>0</v>
      </c>
      <c r="AR94" s="675">
        <v>0</v>
      </c>
      <c r="AS94" s="675">
        <v>0</v>
      </c>
      <c r="AT94" s="675">
        <v>0</v>
      </c>
      <c r="AU94" s="675">
        <v>0</v>
      </c>
      <c r="AV94" s="675">
        <v>-1638</v>
      </c>
      <c r="AW94" s="675">
        <v>3058989</v>
      </c>
      <c r="AX94" s="675">
        <v>3013081</v>
      </c>
      <c r="AY94" s="675">
        <v>2036966</v>
      </c>
      <c r="AZ94" s="675">
        <v>107957</v>
      </c>
      <c r="BA94" s="675">
        <v>0</v>
      </c>
      <c r="BB94" s="675">
        <v>5174</v>
      </c>
      <c r="BC94" s="675">
        <v>5141</v>
      </c>
      <c r="BD94" s="675">
        <v>12</v>
      </c>
      <c r="BE94" s="675">
        <v>33</v>
      </c>
      <c r="BF94" s="675">
        <v>2779793</v>
      </c>
      <c r="BG94" s="675">
        <v>0</v>
      </c>
      <c r="BH94" s="675">
        <v>0</v>
      </c>
      <c r="BI94" s="675">
        <v>0</v>
      </c>
      <c r="BJ94" s="675">
        <v>12</v>
      </c>
      <c r="BK94" s="675">
        <v>0</v>
      </c>
      <c r="BL94" s="675">
        <v>0</v>
      </c>
      <c r="BM94" s="675">
        <v>0</v>
      </c>
      <c r="BN94" s="675">
        <v>0</v>
      </c>
      <c r="BO94" s="675">
        <v>0</v>
      </c>
      <c r="BP94" s="675">
        <v>0</v>
      </c>
      <c r="BQ94" s="675">
        <v>731</v>
      </c>
      <c r="BR94" s="675">
        <v>0</v>
      </c>
      <c r="BS94" s="675">
        <v>0</v>
      </c>
      <c r="BT94" s="675">
        <v>0</v>
      </c>
      <c r="BU94" s="675">
        <v>0</v>
      </c>
      <c r="BV94" s="675">
        <v>0</v>
      </c>
      <c r="BW94" s="675">
        <v>0</v>
      </c>
      <c r="BX94" s="675">
        <v>0</v>
      </c>
      <c r="BY94" s="675">
        <v>0</v>
      </c>
      <c r="BZ94" s="675">
        <v>0</v>
      </c>
      <c r="CA94" s="675">
        <v>0</v>
      </c>
      <c r="CB94" s="675">
        <v>0</v>
      </c>
      <c r="CC94" s="675">
        <v>0</v>
      </c>
      <c r="CD94" s="675">
        <v>0</v>
      </c>
      <c r="CE94" s="675">
        <v>0</v>
      </c>
      <c r="CF94" s="675">
        <v>0</v>
      </c>
      <c r="CG94" s="675">
        <v>0</v>
      </c>
      <c r="CH94" s="675">
        <v>47211</v>
      </c>
      <c r="CI94" s="675">
        <v>0</v>
      </c>
      <c r="CJ94" s="675">
        <v>4</v>
      </c>
      <c r="CK94" s="675">
        <v>0</v>
      </c>
      <c r="CL94" s="675">
        <v>0</v>
      </c>
      <c r="CM94" s="675">
        <v>0</v>
      </c>
      <c r="CN94" s="675">
        <v>0</v>
      </c>
      <c r="CO94" s="675">
        <v>1</v>
      </c>
      <c r="CP94" s="675">
        <v>0</v>
      </c>
      <c r="CQ94" s="675">
        <v>0</v>
      </c>
      <c r="CR94" s="675">
        <v>276.637</v>
      </c>
      <c r="CS94" s="675">
        <v>0</v>
      </c>
      <c r="CT94" s="675">
        <v>0</v>
      </c>
      <c r="CU94" s="675">
        <v>0</v>
      </c>
      <c r="CV94" s="675">
        <v>0</v>
      </c>
      <c r="CW94" s="675">
        <v>0</v>
      </c>
      <c r="CX94" s="675">
        <v>0</v>
      </c>
      <c r="CY94" s="675">
        <v>0</v>
      </c>
      <c r="CZ94" s="675">
        <v>0</v>
      </c>
      <c r="DA94" s="675">
        <v>0</v>
      </c>
      <c r="DB94" s="675">
        <v>1540627</v>
      </c>
      <c r="DC94" s="675">
        <v>0</v>
      </c>
      <c r="DD94" s="675">
        <v>0</v>
      </c>
      <c r="DE94" s="675">
        <v>405326</v>
      </c>
      <c r="DF94" s="675">
        <v>405326</v>
      </c>
      <c r="DG94" s="675">
        <v>65.8</v>
      </c>
      <c r="DH94" s="675">
        <v>0</v>
      </c>
      <c r="DI94" s="675">
        <v>0</v>
      </c>
      <c r="DJ94" s="675">
        <v>0</v>
      </c>
      <c r="DK94" s="675">
        <v>3326</v>
      </c>
      <c r="DL94" s="675">
        <v>0</v>
      </c>
      <c r="DM94" s="675">
        <v>337387</v>
      </c>
      <c r="DN94" s="675">
        <v>1269</v>
      </c>
      <c r="DO94" s="675">
        <v>0</v>
      </c>
      <c r="DP94" s="675">
        <v>0</v>
      </c>
      <c r="DQ94" s="675">
        <v>0</v>
      </c>
      <c r="DR94" s="675">
        <v>0</v>
      </c>
      <c r="DS94" s="675">
        <v>0</v>
      </c>
      <c r="DT94" s="675">
        <v>0</v>
      </c>
      <c r="DU94" s="675">
        <v>0</v>
      </c>
      <c r="DV94" s="675">
        <v>0</v>
      </c>
      <c r="DW94" s="675">
        <v>0</v>
      </c>
      <c r="DX94" s="675">
        <v>0</v>
      </c>
      <c r="DY94" s="675">
        <v>0</v>
      </c>
      <c r="DZ94" s="675">
        <v>0</v>
      </c>
      <c r="EA94" s="675">
        <v>8.8000000000000009E-2</v>
      </c>
      <c r="EB94" s="675">
        <v>0</v>
      </c>
      <c r="EC94" s="675">
        <v>0.99299999999999999</v>
      </c>
      <c r="ED94" s="675">
        <v>7034</v>
      </c>
      <c r="EE94" s="675">
        <v>0</v>
      </c>
      <c r="EF94" s="675">
        <v>0</v>
      </c>
      <c r="EG94" s="675">
        <v>0</v>
      </c>
      <c r="EH94" s="675">
        <v>331622</v>
      </c>
      <c r="EI94" s="675">
        <v>0</v>
      </c>
      <c r="EJ94" s="675">
        <v>0</v>
      </c>
      <c r="EK94" s="675">
        <v>16.330000000000002</v>
      </c>
      <c r="EL94" s="675">
        <v>0</v>
      </c>
      <c r="EM94" s="675">
        <v>0</v>
      </c>
      <c r="EN94" s="675">
        <v>0.88100000000000001</v>
      </c>
      <c r="EO94" s="675">
        <v>0</v>
      </c>
      <c r="EP94" s="675">
        <v>0</v>
      </c>
      <c r="EQ94" s="675">
        <v>17.298999999999999</v>
      </c>
      <c r="ER94" s="675">
        <v>0</v>
      </c>
      <c r="ES94" s="675">
        <v>53.835000000000001</v>
      </c>
      <c r="ET94" s="675">
        <v>0</v>
      </c>
      <c r="EU94" s="675">
        <v>0</v>
      </c>
      <c r="EV94" s="675">
        <v>0</v>
      </c>
      <c r="EW94" s="675">
        <v>0</v>
      </c>
      <c r="EX94" s="675">
        <v>0</v>
      </c>
      <c r="EY94" s="675">
        <v>0</v>
      </c>
      <c r="EZ94" s="675">
        <v>2671836</v>
      </c>
      <c r="FA94" s="675">
        <v>0</v>
      </c>
      <c r="FB94" s="675">
        <v>2778490</v>
      </c>
      <c r="FC94" s="675">
        <v>0</v>
      </c>
      <c r="FD94" s="675">
        <v>0</v>
      </c>
      <c r="FE94" s="675">
        <v>282762</v>
      </c>
      <c r="FF94" s="675">
        <v>58483</v>
      </c>
      <c r="FG94" s="675">
        <v>6.3574999999999993E-2</v>
      </c>
      <c r="FH94" s="675">
        <v>2.6297999999999998E-2</v>
      </c>
      <c r="FI94" s="675">
        <v>0</v>
      </c>
      <c r="FJ94" s="675">
        <v>0</v>
      </c>
      <c r="FK94" s="675">
        <v>451.267</v>
      </c>
      <c r="FL94" s="675">
        <v>3166946</v>
      </c>
      <c r="FM94" s="675">
        <v>0</v>
      </c>
      <c r="FN94" s="675">
        <v>0</v>
      </c>
      <c r="FO94" s="675">
        <v>0</v>
      </c>
      <c r="FP94" s="675">
        <v>0</v>
      </c>
      <c r="FQ94" s="675">
        <v>0</v>
      </c>
      <c r="FR94" s="675">
        <v>0</v>
      </c>
      <c r="FS94" s="675">
        <v>0</v>
      </c>
      <c r="FT94" s="675">
        <v>0</v>
      </c>
      <c r="FU94" s="675">
        <v>0</v>
      </c>
      <c r="FV94" s="675">
        <v>0</v>
      </c>
      <c r="FW94" s="675">
        <v>0</v>
      </c>
      <c r="FX94" s="675">
        <v>0</v>
      </c>
      <c r="FY94" s="675">
        <v>0</v>
      </c>
      <c r="FZ94" s="675">
        <v>0</v>
      </c>
      <c r="GA94" s="675">
        <v>0</v>
      </c>
      <c r="GB94" s="675">
        <v>0</v>
      </c>
      <c r="GC94" s="675">
        <v>0</v>
      </c>
      <c r="GD94" s="675">
        <v>0</v>
      </c>
      <c r="GE94" s="675">
        <v>0</v>
      </c>
      <c r="GF94" s="675">
        <v>0</v>
      </c>
      <c r="GG94" s="675">
        <v>0</v>
      </c>
      <c r="GH94" s="675">
        <v>0</v>
      </c>
      <c r="GI94" s="675">
        <v>0</v>
      </c>
      <c r="GJ94" s="675">
        <v>0</v>
      </c>
      <c r="GK94" s="675">
        <v>0</v>
      </c>
      <c r="GL94" s="675">
        <v>0</v>
      </c>
      <c r="GM94" s="675">
        <v>0</v>
      </c>
      <c r="GN94" s="675">
        <v>0</v>
      </c>
      <c r="GO94" s="675">
        <v>0</v>
      </c>
      <c r="GP94" s="675">
        <v>0</v>
      </c>
      <c r="GQ94" s="675">
        <v>0</v>
      </c>
      <c r="GR94" s="675">
        <v>0</v>
      </c>
      <c r="GS94" s="675">
        <v>0</v>
      </c>
      <c r="GT94" s="675">
        <v>0</v>
      </c>
      <c r="GU94" s="675">
        <v>0</v>
      </c>
      <c r="GV94" s="675">
        <v>0</v>
      </c>
      <c r="GW94" s="675">
        <v>0</v>
      </c>
      <c r="GX94" s="675">
        <v>0</v>
      </c>
      <c r="GY94" s="675">
        <v>0</v>
      </c>
      <c r="GZ94" s="675">
        <v>0</v>
      </c>
      <c r="HA94" s="675">
        <v>0</v>
      </c>
      <c r="HB94" s="675">
        <v>308877260</v>
      </c>
      <c r="HC94" s="675">
        <v>4.4138999999999998E-2</v>
      </c>
      <c r="HD94" s="675">
        <v>47211</v>
      </c>
      <c r="HE94" s="675">
        <v>0</v>
      </c>
      <c r="HF94" s="675">
        <v>275864</v>
      </c>
      <c r="HG94" s="675">
        <v>1848</v>
      </c>
      <c r="HH94" s="675">
        <v>109853</v>
      </c>
      <c r="HI94" s="675">
        <v>0</v>
      </c>
      <c r="HJ94" s="675">
        <v>2599</v>
      </c>
      <c r="HK94" s="675">
        <v>0</v>
      </c>
      <c r="HL94" s="675">
        <v>0</v>
      </c>
      <c r="HM94" s="675">
        <v>0</v>
      </c>
      <c r="HN94" s="675">
        <v>0</v>
      </c>
      <c r="HO94" s="675">
        <v>0</v>
      </c>
      <c r="HP94" s="675">
        <v>0</v>
      </c>
      <c r="HQ94" s="675">
        <v>0</v>
      </c>
      <c r="HR94" s="675">
        <v>0</v>
      </c>
      <c r="HS94" s="675">
        <v>2670533</v>
      </c>
      <c r="HT94" s="675">
        <v>58483</v>
      </c>
      <c r="HU94" s="675">
        <v>0</v>
      </c>
      <c r="HV94" s="675">
        <v>0</v>
      </c>
      <c r="HW94" s="675">
        <v>0</v>
      </c>
      <c r="HX94" s="675">
        <v>12</v>
      </c>
      <c r="HY94" s="675">
        <v>19</v>
      </c>
      <c r="HZ94" s="675">
        <v>136</v>
      </c>
      <c r="IA94" s="675">
        <v>35</v>
      </c>
      <c r="IB94" s="675">
        <v>56</v>
      </c>
      <c r="IC94" s="675">
        <v>258</v>
      </c>
      <c r="ID94" s="675">
        <v>0</v>
      </c>
      <c r="IE94" s="675">
        <v>31.867000000000001</v>
      </c>
      <c r="IF94" s="675">
        <v>25.944000000000003</v>
      </c>
      <c r="IG94" s="675">
        <v>3</v>
      </c>
      <c r="IH94" s="675">
        <v>178.334</v>
      </c>
      <c r="II94" s="675">
        <v>0</v>
      </c>
      <c r="IJ94" s="675">
        <v>159.126</v>
      </c>
      <c r="IK94" s="675">
        <v>0</v>
      </c>
      <c r="IL94" s="675">
        <v>0</v>
      </c>
      <c r="IM94" s="675">
        <v>0</v>
      </c>
      <c r="IN94" s="675">
        <v>0</v>
      </c>
      <c r="IO94" s="675">
        <v>0</v>
      </c>
      <c r="IP94" s="675">
        <v>0</v>
      </c>
      <c r="IQ94" s="675">
        <v>101.31500000000001</v>
      </c>
      <c r="IR94" s="675">
        <v>62410</v>
      </c>
      <c r="IS94" s="675">
        <v>0</v>
      </c>
      <c r="IT94" s="675">
        <v>0</v>
      </c>
      <c r="IU94" s="675">
        <v>0</v>
      </c>
      <c r="IV94" s="675">
        <v>0</v>
      </c>
      <c r="IW94" s="675">
        <v>6160</v>
      </c>
      <c r="IX94" s="675">
        <v>29445</v>
      </c>
      <c r="IY94" s="675">
        <v>7991</v>
      </c>
      <c r="IZ94" s="675">
        <v>0</v>
      </c>
      <c r="JA94" s="675">
        <v>0</v>
      </c>
      <c r="JB94" s="675">
        <v>0</v>
      </c>
      <c r="JC94" s="675">
        <v>0</v>
      </c>
      <c r="JD94" s="675">
        <v>0</v>
      </c>
      <c r="JE94" s="675">
        <v>0</v>
      </c>
      <c r="JF94" s="675">
        <v>0</v>
      </c>
      <c r="JG94" s="675">
        <v>0</v>
      </c>
      <c r="JH94" s="675">
        <v>0</v>
      </c>
      <c r="JI94" s="675">
        <v>0</v>
      </c>
      <c r="JJ94" s="675">
        <v>0</v>
      </c>
      <c r="JK94" s="675">
        <v>0</v>
      </c>
      <c r="JL94" s="675">
        <v>0</v>
      </c>
      <c r="JM94" s="675">
        <v>0</v>
      </c>
      <c r="JN94" s="675">
        <v>32469</v>
      </c>
      <c r="JO94" s="675">
        <v>0</v>
      </c>
      <c r="JP94" s="675">
        <v>0</v>
      </c>
      <c r="JQ94" s="675">
        <v>0</v>
      </c>
      <c r="JR94" s="675">
        <v>0</v>
      </c>
      <c r="JS94" s="675">
        <v>0</v>
      </c>
      <c r="JT94" s="675">
        <v>0</v>
      </c>
      <c r="JU94" s="675">
        <v>5174</v>
      </c>
      <c r="JV94" s="675">
        <v>0</v>
      </c>
      <c r="JW94" s="675">
        <v>0</v>
      </c>
      <c r="JX94" s="675">
        <v>0</v>
      </c>
      <c r="JY94" s="675">
        <v>0</v>
      </c>
      <c r="JZ94" s="675">
        <v>0</v>
      </c>
      <c r="KA94" s="675">
        <v>0</v>
      </c>
      <c r="KB94" s="675">
        <v>0</v>
      </c>
      <c r="KC94" s="675">
        <v>0</v>
      </c>
      <c r="KD94" s="675">
        <v>5174</v>
      </c>
      <c r="KE94" s="675">
        <v>7263</v>
      </c>
      <c r="KF94" s="675">
        <v>0</v>
      </c>
      <c r="KG94" s="675">
        <v>0</v>
      </c>
      <c r="KH94" s="675">
        <v>0</v>
      </c>
      <c r="KI94" s="675">
        <v>0</v>
      </c>
    </row>
    <row r="95" spans="1:295" ht="12.5" x14ac:dyDescent="0.25">
      <c r="A95" s="675">
        <v>35795</v>
      </c>
      <c r="B95" s="675">
        <v>220809</v>
      </c>
      <c r="C95" s="675">
        <v>7</v>
      </c>
      <c r="D95" s="675">
        <v>2022</v>
      </c>
      <c r="E95" s="675">
        <v>6160</v>
      </c>
      <c r="F95" s="675">
        <v>0</v>
      </c>
      <c r="G95" s="675">
        <v>621.45600000000002</v>
      </c>
      <c r="H95" s="675">
        <v>565.76100000000008</v>
      </c>
      <c r="I95" s="675">
        <v>565.76100000000008</v>
      </c>
      <c r="J95" s="675">
        <v>621.45600000000002</v>
      </c>
      <c r="K95" s="675">
        <v>0</v>
      </c>
      <c r="L95" s="675">
        <v>6160</v>
      </c>
      <c r="M95" s="675">
        <v>0</v>
      </c>
      <c r="N95" s="675">
        <v>0</v>
      </c>
      <c r="O95" s="675">
        <v>0</v>
      </c>
      <c r="P95" s="675">
        <v>608.03</v>
      </c>
      <c r="Q95" s="675">
        <v>0</v>
      </c>
      <c r="R95" s="675">
        <v>244688</v>
      </c>
      <c r="S95" s="675">
        <v>402.428</v>
      </c>
      <c r="T95" s="675">
        <v>0</v>
      </c>
      <c r="U95" s="675">
        <v>130119</v>
      </c>
      <c r="V95" s="675">
        <v>28.838000000000001</v>
      </c>
      <c r="W95" s="675">
        <v>17764</v>
      </c>
      <c r="X95" s="675">
        <v>17764</v>
      </c>
      <c r="Y95" s="675">
        <v>0</v>
      </c>
      <c r="Z95" s="675">
        <v>0</v>
      </c>
      <c r="AA95" s="675">
        <v>0</v>
      </c>
      <c r="AB95" s="675">
        <v>0</v>
      </c>
      <c r="AC95" s="675">
        <v>0</v>
      </c>
      <c r="AD95" s="675" t="s">
        <v>316</v>
      </c>
      <c r="AE95" s="675">
        <v>0</v>
      </c>
      <c r="AF95" s="675">
        <v>0</v>
      </c>
      <c r="AG95" s="675">
        <v>0</v>
      </c>
      <c r="AH95" s="675">
        <v>0</v>
      </c>
      <c r="AI95" s="675">
        <v>0</v>
      </c>
      <c r="AJ95" s="675">
        <v>6160</v>
      </c>
      <c r="AK95" s="675" t="s">
        <v>671</v>
      </c>
      <c r="AL95" s="675" t="s">
        <v>78</v>
      </c>
      <c r="AM95" s="675">
        <v>0</v>
      </c>
      <c r="AN95" s="675">
        <v>0</v>
      </c>
      <c r="AO95" s="675">
        <v>0</v>
      </c>
      <c r="AP95" s="675">
        <v>0</v>
      </c>
      <c r="AQ95" s="675">
        <v>0</v>
      </c>
      <c r="AR95" s="675">
        <v>0</v>
      </c>
      <c r="AS95" s="675">
        <v>0</v>
      </c>
      <c r="AT95" s="675">
        <v>0</v>
      </c>
      <c r="AU95" s="675">
        <v>0</v>
      </c>
      <c r="AV95" s="675">
        <v>-27573</v>
      </c>
      <c r="AW95" s="675">
        <v>5505239</v>
      </c>
      <c r="AX95" s="675">
        <v>5396615</v>
      </c>
      <c r="AY95" s="675">
        <v>3678069</v>
      </c>
      <c r="AZ95" s="675">
        <v>244688</v>
      </c>
      <c r="BA95" s="675">
        <v>0</v>
      </c>
      <c r="BB95" s="675">
        <v>0</v>
      </c>
      <c r="BC95" s="675">
        <v>0</v>
      </c>
      <c r="BD95" s="675">
        <v>0</v>
      </c>
      <c r="BE95" s="675">
        <v>0</v>
      </c>
      <c r="BF95" s="675">
        <v>5022611</v>
      </c>
      <c r="BG95" s="675">
        <v>0</v>
      </c>
      <c r="BH95" s="675">
        <v>0</v>
      </c>
      <c r="BI95" s="675">
        <v>0</v>
      </c>
      <c r="BJ95" s="675">
        <v>12</v>
      </c>
      <c r="BK95" s="675">
        <v>0</v>
      </c>
      <c r="BL95" s="675">
        <v>0</v>
      </c>
      <c r="BM95" s="675">
        <v>0</v>
      </c>
      <c r="BN95" s="675">
        <v>0</v>
      </c>
      <c r="BO95" s="675">
        <v>0</v>
      </c>
      <c r="BP95" s="675">
        <v>0</v>
      </c>
      <c r="BQ95" s="675">
        <v>683</v>
      </c>
      <c r="BR95" s="675">
        <v>0</v>
      </c>
      <c r="BS95" s="675">
        <v>0</v>
      </c>
      <c r="BT95" s="675">
        <v>0</v>
      </c>
      <c r="BU95" s="675">
        <v>0</v>
      </c>
      <c r="BV95" s="675">
        <v>0</v>
      </c>
      <c r="BW95" s="675">
        <v>0</v>
      </c>
      <c r="BX95" s="675">
        <v>0</v>
      </c>
      <c r="BY95" s="675">
        <v>0</v>
      </c>
      <c r="BZ95" s="675">
        <v>0</v>
      </c>
      <c r="CA95" s="675">
        <v>0</v>
      </c>
      <c r="CB95" s="675">
        <v>0</v>
      </c>
      <c r="CC95" s="675">
        <v>0</v>
      </c>
      <c r="CD95" s="675">
        <v>0</v>
      </c>
      <c r="CE95" s="675">
        <v>0</v>
      </c>
      <c r="CF95" s="675">
        <v>0</v>
      </c>
      <c r="CG95" s="675">
        <v>0</v>
      </c>
      <c r="CH95" s="675">
        <v>109721</v>
      </c>
      <c r="CI95" s="675">
        <v>0</v>
      </c>
      <c r="CJ95" s="675">
        <v>4</v>
      </c>
      <c r="CK95" s="675">
        <v>0</v>
      </c>
      <c r="CL95" s="675">
        <v>0</v>
      </c>
      <c r="CM95" s="675">
        <v>0</v>
      </c>
      <c r="CN95" s="675">
        <v>0</v>
      </c>
      <c r="CO95" s="675">
        <v>1</v>
      </c>
      <c r="CP95" s="675">
        <v>0</v>
      </c>
      <c r="CQ95" s="675">
        <v>0</v>
      </c>
      <c r="CR95" s="675">
        <v>604.92600000000004</v>
      </c>
      <c r="CS95" s="675">
        <v>0</v>
      </c>
      <c r="CT95" s="675">
        <v>0</v>
      </c>
      <c r="CU95" s="675">
        <v>0</v>
      </c>
      <c r="CV95" s="675">
        <v>0</v>
      </c>
      <c r="CW95" s="675">
        <v>0</v>
      </c>
      <c r="CX95" s="675">
        <v>0</v>
      </c>
      <c r="CY95" s="675">
        <v>0</v>
      </c>
      <c r="CZ95" s="675">
        <v>0</v>
      </c>
      <c r="DA95" s="675">
        <v>0</v>
      </c>
      <c r="DB95" s="675">
        <v>3485072</v>
      </c>
      <c r="DC95" s="675">
        <v>0</v>
      </c>
      <c r="DD95" s="675">
        <v>0</v>
      </c>
      <c r="DE95" s="675">
        <v>148147</v>
      </c>
      <c r="DF95" s="675">
        <v>148147</v>
      </c>
      <c r="DG95" s="675">
        <v>24.05</v>
      </c>
      <c r="DH95" s="675">
        <v>0</v>
      </c>
      <c r="DI95" s="675">
        <v>0</v>
      </c>
      <c r="DJ95" s="675">
        <v>0</v>
      </c>
      <c r="DK95" s="675">
        <v>2548</v>
      </c>
      <c r="DL95" s="675">
        <v>0</v>
      </c>
      <c r="DM95" s="675">
        <v>291596</v>
      </c>
      <c r="DN95" s="675">
        <v>1097</v>
      </c>
      <c r="DO95" s="675">
        <v>0</v>
      </c>
      <c r="DP95" s="675">
        <v>0</v>
      </c>
      <c r="DQ95" s="675">
        <v>0</v>
      </c>
      <c r="DR95" s="675">
        <v>0</v>
      </c>
      <c r="DS95" s="675">
        <v>0</v>
      </c>
      <c r="DT95" s="675">
        <v>0</v>
      </c>
      <c r="DU95" s="675">
        <v>0</v>
      </c>
      <c r="DV95" s="675">
        <v>0</v>
      </c>
      <c r="DW95" s="675">
        <v>0</v>
      </c>
      <c r="DX95" s="675">
        <v>0</v>
      </c>
      <c r="DY95" s="675">
        <v>0</v>
      </c>
      <c r="DZ95" s="675">
        <v>0</v>
      </c>
      <c r="EA95" s="675">
        <v>0</v>
      </c>
      <c r="EB95" s="675">
        <v>0</v>
      </c>
      <c r="EC95" s="675">
        <v>6.202</v>
      </c>
      <c r="ED95" s="675">
        <v>43935</v>
      </c>
      <c r="EE95" s="675">
        <v>0</v>
      </c>
      <c r="EF95" s="675">
        <v>0</v>
      </c>
      <c r="EG95" s="675">
        <v>0</v>
      </c>
      <c r="EH95" s="675">
        <v>248758</v>
      </c>
      <c r="EI95" s="675">
        <v>0</v>
      </c>
      <c r="EJ95" s="675">
        <v>0</v>
      </c>
      <c r="EK95" s="675">
        <v>11.932</v>
      </c>
      <c r="EL95" s="675">
        <v>0</v>
      </c>
      <c r="EM95" s="675">
        <v>0.83400000000000007</v>
      </c>
      <c r="EN95" s="675">
        <v>0.41700000000000004</v>
      </c>
      <c r="EO95" s="675">
        <v>0</v>
      </c>
      <c r="EP95" s="675">
        <v>0</v>
      </c>
      <c r="EQ95" s="675">
        <v>13.183</v>
      </c>
      <c r="ER95" s="675">
        <v>0</v>
      </c>
      <c r="ES95" s="675">
        <v>40.383000000000003</v>
      </c>
      <c r="ET95" s="675">
        <v>0</v>
      </c>
      <c r="EU95" s="675">
        <v>0</v>
      </c>
      <c r="EV95" s="675">
        <v>0</v>
      </c>
      <c r="EW95" s="675">
        <v>0</v>
      </c>
      <c r="EX95" s="675">
        <v>0</v>
      </c>
      <c r="EY95" s="675">
        <v>0</v>
      </c>
      <c r="EZ95" s="675">
        <v>4780044</v>
      </c>
      <c r="FA95" s="675">
        <v>0</v>
      </c>
      <c r="FB95" s="675">
        <v>5023635</v>
      </c>
      <c r="FC95" s="675">
        <v>0</v>
      </c>
      <c r="FD95" s="675">
        <v>0</v>
      </c>
      <c r="FE95" s="675">
        <v>510903</v>
      </c>
      <c r="FF95" s="675">
        <v>105668</v>
      </c>
      <c r="FG95" s="675">
        <v>6.3574999999999993E-2</v>
      </c>
      <c r="FH95" s="675">
        <v>2.6297999999999998E-2</v>
      </c>
      <c r="FI95" s="675">
        <v>0</v>
      </c>
      <c r="FJ95" s="675">
        <v>0</v>
      </c>
      <c r="FK95" s="675">
        <v>815.36300000000006</v>
      </c>
      <c r="FL95" s="675">
        <v>5749927</v>
      </c>
      <c r="FM95" s="675">
        <v>0</v>
      </c>
      <c r="FN95" s="675">
        <v>0</v>
      </c>
      <c r="FO95" s="675">
        <v>0</v>
      </c>
      <c r="FP95" s="675">
        <v>0</v>
      </c>
      <c r="FQ95" s="675">
        <v>0</v>
      </c>
      <c r="FR95" s="675">
        <v>0</v>
      </c>
      <c r="FS95" s="675">
        <v>0</v>
      </c>
      <c r="FT95" s="675">
        <v>0</v>
      </c>
      <c r="FU95" s="675">
        <v>0</v>
      </c>
      <c r="FV95" s="675">
        <v>0</v>
      </c>
      <c r="FW95" s="675">
        <v>0</v>
      </c>
      <c r="FX95" s="675">
        <v>0</v>
      </c>
      <c r="FY95" s="675">
        <v>0</v>
      </c>
      <c r="FZ95" s="675">
        <v>0</v>
      </c>
      <c r="GA95" s="675">
        <v>0</v>
      </c>
      <c r="GB95" s="675">
        <v>358686</v>
      </c>
      <c r="GC95" s="675">
        <v>358686</v>
      </c>
      <c r="GD95" s="675">
        <v>42.512</v>
      </c>
      <c r="GE95" s="675">
        <v>0</v>
      </c>
      <c r="GF95" s="675">
        <v>0</v>
      </c>
      <c r="GG95" s="675">
        <v>0</v>
      </c>
      <c r="GH95" s="675">
        <v>0</v>
      </c>
      <c r="GI95" s="675">
        <v>0</v>
      </c>
      <c r="GJ95" s="675">
        <v>0</v>
      </c>
      <c r="GK95" s="675">
        <v>0</v>
      </c>
      <c r="GL95" s="675">
        <v>0</v>
      </c>
      <c r="GM95" s="675">
        <v>0</v>
      </c>
      <c r="GN95" s="675">
        <v>0</v>
      </c>
      <c r="GO95" s="675">
        <v>0</v>
      </c>
      <c r="GP95" s="675">
        <v>0</v>
      </c>
      <c r="GQ95" s="675">
        <v>0</v>
      </c>
      <c r="GR95" s="675">
        <v>0</v>
      </c>
      <c r="GS95" s="675">
        <v>0</v>
      </c>
      <c r="GT95" s="675">
        <v>0</v>
      </c>
      <c r="GU95" s="675">
        <v>0</v>
      </c>
      <c r="GV95" s="675">
        <v>0</v>
      </c>
      <c r="GW95" s="675">
        <v>0</v>
      </c>
      <c r="GX95" s="675">
        <v>0</v>
      </c>
      <c r="GY95" s="675">
        <v>0</v>
      </c>
      <c r="GZ95" s="675">
        <v>0</v>
      </c>
      <c r="HA95" s="675">
        <v>0</v>
      </c>
      <c r="HB95" s="675">
        <v>308877260</v>
      </c>
      <c r="HC95" s="675">
        <v>4.4138999999999998E-2</v>
      </c>
      <c r="HD95" s="675">
        <v>109721</v>
      </c>
      <c r="HE95" s="675">
        <v>0</v>
      </c>
      <c r="HF95" s="675">
        <v>624034</v>
      </c>
      <c r="HG95" s="675">
        <v>10472</v>
      </c>
      <c r="HH95" s="675">
        <v>2702</v>
      </c>
      <c r="HI95" s="675">
        <v>0</v>
      </c>
      <c r="HJ95" s="675">
        <v>6041</v>
      </c>
      <c r="HK95" s="675">
        <v>2025</v>
      </c>
      <c r="HL95" s="675">
        <v>96</v>
      </c>
      <c r="HM95" s="675">
        <v>77000</v>
      </c>
      <c r="HN95" s="675">
        <v>0</v>
      </c>
      <c r="HO95" s="675">
        <v>0</v>
      </c>
      <c r="HP95" s="675">
        <v>0</v>
      </c>
      <c r="HQ95" s="675">
        <v>0</v>
      </c>
      <c r="HR95" s="675">
        <v>0</v>
      </c>
      <c r="HS95" s="675">
        <v>4778947</v>
      </c>
      <c r="HT95" s="675">
        <v>105668</v>
      </c>
      <c r="HU95" s="675">
        <v>0</v>
      </c>
      <c r="HV95" s="675">
        <v>0</v>
      </c>
      <c r="HW95" s="675">
        <v>0</v>
      </c>
      <c r="HX95" s="675">
        <v>33</v>
      </c>
      <c r="HY95" s="675">
        <v>13</v>
      </c>
      <c r="HZ95" s="675">
        <v>25</v>
      </c>
      <c r="IA95" s="675">
        <v>11</v>
      </c>
      <c r="IB95" s="675">
        <v>16</v>
      </c>
      <c r="IC95" s="675">
        <v>98</v>
      </c>
      <c r="ID95" s="675">
        <v>0</v>
      </c>
      <c r="IE95" s="675">
        <v>0</v>
      </c>
      <c r="IF95" s="675">
        <v>0</v>
      </c>
      <c r="IG95" s="675">
        <v>17</v>
      </c>
      <c r="IH95" s="675">
        <v>4.3860000000000001</v>
      </c>
      <c r="II95" s="675">
        <v>0</v>
      </c>
      <c r="IJ95" s="675">
        <v>28.838000000000001</v>
      </c>
      <c r="IK95" s="675">
        <v>0</v>
      </c>
      <c r="IL95" s="675">
        <v>4</v>
      </c>
      <c r="IM95" s="675">
        <v>19</v>
      </c>
      <c r="IN95" s="675">
        <v>0</v>
      </c>
      <c r="IO95" s="675">
        <v>23</v>
      </c>
      <c r="IP95" s="675">
        <v>0</v>
      </c>
      <c r="IQ95" s="675">
        <v>28.838000000000001</v>
      </c>
      <c r="IR95" s="675">
        <v>17764</v>
      </c>
      <c r="IS95" s="675">
        <v>0</v>
      </c>
      <c r="IT95" s="675">
        <v>20000</v>
      </c>
      <c r="IU95" s="675">
        <v>57000</v>
      </c>
      <c r="IV95" s="675">
        <v>0</v>
      </c>
      <c r="IW95" s="675">
        <v>6160</v>
      </c>
      <c r="IX95" s="675">
        <v>0</v>
      </c>
      <c r="IY95" s="675">
        <v>0</v>
      </c>
      <c r="IZ95" s="675">
        <v>0</v>
      </c>
      <c r="JA95" s="675">
        <v>0</v>
      </c>
      <c r="JB95" s="675">
        <v>0</v>
      </c>
      <c r="JC95" s="675">
        <v>0</v>
      </c>
      <c r="JD95" s="675">
        <v>0</v>
      </c>
      <c r="JE95" s="675">
        <v>0</v>
      </c>
      <c r="JF95" s="675">
        <v>0</v>
      </c>
      <c r="JG95" s="675">
        <v>0</v>
      </c>
      <c r="JH95" s="675">
        <v>0</v>
      </c>
      <c r="JI95" s="675">
        <v>0</v>
      </c>
      <c r="JJ95" s="675">
        <v>0</v>
      </c>
      <c r="JK95" s="675">
        <v>0</v>
      </c>
      <c r="JL95" s="675">
        <v>0</v>
      </c>
      <c r="JM95" s="675">
        <v>0</v>
      </c>
      <c r="JN95" s="675">
        <v>32469</v>
      </c>
      <c r="JO95" s="675">
        <v>29.707000000000001</v>
      </c>
      <c r="JP95" s="675">
        <v>11.135</v>
      </c>
      <c r="JQ95" s="675">
        <v>1.67</v>
      </c>
      <c r="JR95" s="675">
        <v>237338</v>
      </c>
      <c r="JS95" s="675">
        <v>103518</v>
      </c>
      <c r="JT95" s="675">
        <v>17830</v>
      </c>
      <c r="JU95" s="675">
        <v>0</v>
      </c>
      <c r="JV95" s="675">
        <v>0</v>
      </c>
      <c r="JW95" s="675">
        <v>0</v>
      </c>
      <c r="JX95" s="675">
        <v>0</v>
      </c>
      <c r="JY95" s="675">
        <v>0</v>
      </c>
      <c r="JZ95" s="675">
        <v>0</v>
      </c>
      <c r="KA95" s="675">
        <v>0</v>
      </c>
      <c r="KB95" s="675">
        <v>0</v>
      </c>
      <c r="KC95" s="675">
        <v>0</v>
      </c>
      <c r="KD95" s="675">
        <v>0</v>
      </c>
      <c r="KE95" s="675">
        <v>7263</v>
      </c>
      <c r="KF95" s="675">
        <v>0</v>
      </c>
      <c r="KG95" s="675">
        <v>0</v>
      </c>
      <c r="KH95" s="675">
        <v>0</v>
      </c>
      <c r="KI95" s="675">
        <v>0</v>
      </c>
    </row>
    <row r="96" spans="1:295" ht="12.5" x14ac:dyDescent="0.25">
      <c r="A96" s="675">
        <v>35795</v>
      </c>
      <c r="B96" s="675">
        <v>57810</v>
      </c>
      <c r="C96" s="675">
        <v>7</v>
      </c>
      <c r="D96" s="675">
        <v>2022</v>
      </c>
      <c r="E96" s="675">
        <v>6160</v>
      </c>
      <c r="F96" s="675">
        <v>0</v>
      </c>
      <c r="G96" s="675">
        <v>185.54</v>
      </c>
      <c r="H96" s="675">
        <v>184.56300000000002</v>
      </c>
      <c r="I96" s="675">
        <v>184.56300000000002</v>
      </c>
      <c r="J96" s="675">
        <v>185.54</v>
      </c>
      <c r="K96" s="675">
        <v>0</v>
      </c>
      <c r="L96" s="675">
        <v>6160</v>
      </c>
      <c r="M96" s="675">
        <v>0</v>
      </c>
      <c r="N96" s="675">
        <v>0</v>
      </c>
      <c r="O96" s="675">
        <v>0</v>
      </c>
      <c r="P96" s="675">
        <v>260.23</v>
      </c>
      <c r="Q96" s="675">
        <v>0</v>
      </c>
      <c r="R96" s="675">
        <v>104724</v>
      </c>
      <c r="S96" s="675">
        <v>402.428</v>
      </c>
      <c r="T96" s="675">
        <v>0</v>
      </c>
      <c r="U96" s="675">
        <v>55689</v>
      </c>
      <c r="V96" s="675">
        <v>15.08</v>
      </c>
      <c r="W96" s="675">
        <v>9289</v>
      </c>
      <c r="X96" s="675">
        <v>9289</v>
      </c>
      <c r="Y96" s="675">
        <v>0</v>
      </c>
      <c r="Z96" s="675">
        <v>0</v>
      </c>
      <c r="AA96" s="675">
        <v>0</v>
      </c>
      <c r="AB96" s="675">
        <v>0</v>
      </c>
      <c r="AC96" s="675">
        <v>0</v>
      </c>
      <c r="AD96" s="675" t="s">
        <v>316</v>
      </c>
      <c r="AE96" s="675">
        <v>0</v>
      </c>
      <c r="AF96" s="675">
        <v>0</v>
      </c>
      <c r="AG96" s="675">
        <v>0</v>
      </c>
      <c r="AH96" s="675">
        <v>0</v>
      </c>
      <c r="AI96" s="675">
        <v>0</v>
      </c>
      <c r="AJ96" s="675">
        <v>6160</v>
      </c>
      <c r="AK96" s="675" t="s">
        <v>671</v>
      </c>
      <c r="AL96" s="675" t="s">
        <v>20</v>
      </c>
      <c r="AM96" s="675">
        <v>0</v>
      </c>
      <c r="AN96" s="675">
        <v>0</v>
      </c>
      <c r="AO96" s="675">
        <v>0</v>
      </c>
      <c r="AP96" s="675">
        <v>0</v>
      </c>
      <c r="AQ96" s="675">
        <v>0</v>
      </c>
      <c r="AR96" s="675">
        <v>0</v>
      </c>
      <c r="AS96" s="675">
        <v>0</v>
      </c>
      <c r="AT96" s="675">
        <v>0</v>
      </c>
      <c r="AU96" s="675">
        <v>0</v>
      </c>
      <c r="AV96" s="675">
        <v>0</v>
      </c>
      <c r="AW96" s="675">
        <v>1972411</v>
      </c>
      <c r="AX96" s="675">
        <v>1939755</v>
      </c>
      <c r="AY96" s="675">
        <v>1565443</v>
      </c>
      <c r="AZ96" s="675">
        <v>104724</v>
      </c>
      <c r="BA96" s="675">
        <v>0</v>
      </c>
      <c r="BB96" s="675">
        <v>0</v>
      </c>
      <c r="BC96" s="675">
        <v>0</v>
      </c>
      <c r="BD96" s="675">
        <v>0</v>
      </c>
      <c r="BE96" s="675">
        <v>0</v>
      </c>
      <c r="BF96" s="675">
        <v>1820942</v>
      </c>
      <c r="BG96" s="675">
        <v>0</v>
      </c>
      <c r="BH96" s="675">
        <v>0</v>
      </c>
      <c r="BI96" s="675">
        <v>0</v>
      </c>
      <c r="BJ96" s="675">
        <v>12</v>
      </c>
      <c r="BK96" s="675">
        <v>0</v>
      </c>
      <c r="BL96" s="675">
        <v>0</v>
      </c>
      <c r="BM96" s="675">
        <v>0</v>
      </c>
      <c r="BN96" s="675">
        <v>0</v>
      </c>
      <c r="BO96" s="675">
        <v>0</v>
      </c>
      <c r="BP96" s="675">
        <v>0</v>
      </c>
      <c r="BQ96" s="675">
        <v>742</v>
      </c>
      <c r="BR96" s="675">
        <v>0</v>
      </c>
      <c r="BS96" s="675">
        <v>0</v>
      </c>
      <c r="BT96" s="675">
        <v>0</v>
      </c>
      <c r="BU96" s="675">
        <v>0</v>
      </c>
      <c r="BV96" s="675">
        <v>0</v>
      </c>
      <c r="BW96" s="675">
        <v>0</v>
      </c>
      <c r="BX96" s="675">
        <v>0</v>
      </c>
      <c r="BY96" s="675">
        <v>0</v>
      </c>
      <c r="BZ96" s="675">
        <v>0</v>
      </c>
      <c r="CA96" s="675">
        <v>0</v>
      </c>
      <c r="CB96" s="675">
        <v>0</v>
      </c>
      <c r="CC96" s="675">
        <v>0</v>
      </c>
      <c r="CD96" s="675">
        <v>0</v>
      </c>
      <c r="CE96" s="675">
        <v>0</v>
      </c>
      <c r="CF96" s="675">
        <v>0</v>
      </c>
      <c r="CG96" s="675">
        <v>0</v>
      </c>
      <c r="CH96" s="675">
        <v>32758</v>
      </c>
      <c r="CI96" s="675">
        <v>0</v>
      </c>
      <c r="CJ96" s="675">
        <v>4</v>
      </c>
      <c r="CK96" s="675">
        <v>0</v>
      </c>
      <c r="CL96" s="675">
        <v>0</v>
      </c>
      <c r="CM96" s="675">
        <v>0</v>
      </c>
      <c r="CN96" s="675">
        <v>0</v>
      </c>
      <c r="CO96" s="675">
        <v>1</v>
      </c>
      <c r="CP96" s="675">
        <v>0</v>
      </c>
      <c r="CQ96" s="675">
        <v>0</v>
      </c>
      <c r="CR96" s="675">
        <v>293.99299999999999</v>
      </c>
      <c r="CS96" s="675">
        <v>0</v>
      </c>
      <c r="CT96" s="675">
        <v>0</v>
      </c>
      <c r="CU96" s="675">
        <v>0</v>
      </c>
      <c r="CV96" s="675">
        <v>0</v>
      </c>
      <c r="CW96" s="675">
        <v>0</v>
      </c>
      <c r="CX96" s="675">
        <v>0</v>
      </c>
      <c r="CY96" s="675">
        <v>0</v>
      </c>
      <c r="CZ96" s="675">
        <v>0</v>
      </c>
      <c r="DA96" s="675">
        <v>0</v>
      </c>
      <c r="DB96" s="675">
        <v>990300</v>
      </c>
      <c r="DC96" s="675">
        <v>0</v>
      </c>
      <c r="DD96" s="675">
        <v>0</v>
      </c>
      <c r="DE96" s="675">
        <v>392082</v>
      </c>
      <c r="DF96" s="675">
        <v>392082</v>
      </c>
      <c r="DG96" s="675">
        <v>63.65</v>
      </c>
      <c r="DH96" s="675">
        <v>0</v>
      </c>
      <c r="DI96" s="675">
        <v>0</v>
      </c>
      <c r="DJ96" s="675">
        <v>0</v>
      </c>
      <c r="DK96" s="675">
        <v>3488</v>
      </c>
      <c r="DL96" s="675">
        <v>0</v>
      </c>
      <c r="DM96" s="675">
        <v>173771</v>
      </c>
      <c r="DN96" s="675">
        <v>102</v>
      </c>
      <c r="DO96" s="675">
        <v>0</v>
      </c>
      <c r="DP96" s="675">
        <v>0</v>
      </c>
      <c r="DQ96" s="675">
        <v>0</v>
      </c>
      <c r="DR96" s="675">
        <v>0</v>
      </c>
      <c r="DS96" s="675">
        <v>0</v>
      </c>
      <c r="DT96" s="675">
        <v>0</v>
      </c>
      <c r="DU96" s="675">
        <v>0</v>
      </c>
      <c r="DV96" s="675">
        <v>0</v>
      </c>
      <c r="DW96" s="675">
        <v>0</v>
      </c>
      <c r="DX96" s="675">
        <v>0</v>
      </c>
      <c r="DY96" s="675">
        <v>0</v>
      </c>
      <c r="DZ96" s="675">
        <v>0</v>
      </c>
      <c r="EA96" s="675">
        <v>0</v>
      </c>
      <c r="EB96" s="675">
        <v>0</v>
      </c>
      <c r="EC96" s="675">
        <v>0.93400000000000005</v>
      </c>
      <c r="ED96" s="675">
        <v>6616</v>
      </c>
      <c r="EE96" s="675">
        <v>0</v>
      </c>
      <c r="EF96" s="675">
        <v>0</v>
      </c>
      <c r="EG96" s="675">
        <v>0</v>
      </c>
      <c r="EH96" s="675">
        <v>20654</v>
      </c>
      <c r="EI96" s="675">
        <v>0</v>
      </c>
      <c r="EJ96" s="675">
        <v>0</v>
      </c>
      <c r="EK96" s="675">
        <v>0.36899999999999999</v>
      </c>
      <c r="EL96" s="675">
        <v>0</v>
      </c>
      <c r="EM96" s="675">
        <v>0.39700000000000002</v>
      </c>
      <c r="EN96" s="675">
        <v>0.21100000000000002</v>
      </c>
      <c r="EO96" s="675">
        <v>0</v>
      </c>
      <c r="EP96" s="675">
        <v>0</v>
      </c>
      <c r="EQ96" s="675">
        <v>0.97700000000000009</v>
      </c>
      <c r="ER96" s="675">
        <v>0</v>
      </c>
      <c r="ES96" s="675">
        <v>3.3530000000000002</v>
      </c>
      <c r="ET96" s="675">
        <v>0</v>
      </c>
      <c r="EU96" s="675">
        <v>0</v>
      </c>
      <c r="EV96" s="675">
        <v>0</v>
      </c>
      <c r="EW96" s="675">
        <v>0</v>
      </c>
      <c r="EX96" s="675">
        <v>0</v>
      </c>
      <c r="EY96" s="675">
        <v>0</v>
      </c>
      <c r="EZ96" s="675">
        <v>1716218</v>
      </c>
      <c r="FA96" s="675">
        <v>0</v>
      </c>
      <c r="FB96" s="675">
        <v>1820840</v>
      </c>
      <c r="FC96" s="675">
        <v>0</v>
      </c>
      <c r="FD96" s="675">
        <v>0</v>
      </c>
      <c r="FE96" s="675">
        <v>185227</v>
      </c>
      <c r="FF96" s="675">
        <v>38310</v>
      </c>
      <c r="FG96" s="675">
        <v>6.3574999999999993E-2</v>
      </c>
      <c r="FH96" s="675">
        <v>2.6297999999999998E-2</v>
      </c>
      <c r="FI96" s="675">
        <v>0</v>
      </c>
      <c r="FJ96" s="675">
        <v>0</v>
      </c>
      <c r="FK96" s="675">
        <v>295.60900000000004</v>
      </c>
      <c r="FL96" s="675">
        <v>2077135</v>
      </c>
      <c r="FM96" s="675">
        <v>0</v>
      </c>
      <c r="FN96" s="675">
        <v>0</v>
      </c>
      <c r="FO96" s="675">
        <v>0</v>
      </c>
      <c r="FP96" s="675">
        <v>0</v>
      </c>
      <c r="FQ96" s="675">
        <v>0</v>
      </c>
      <c r="FR96" s="675">
        <v>0</v>
      </c>
      <c r="FS96" s="675">
        <v>0</v>
      </c>
      <c r="FT96" s="675">
        <v>0</v>
      </c>
      <c r="FU96" s="675">
        <v>0</v>
      </c>
      <c r="FV96" s="675">
        <v>0</v>
      </c>
      <c r="FW96" s="675">
        <v>0</v>
      </c>
      <c r="FX96" s="675">
        <v>0</v>
      </c>
      <c r="FY96" s="675">
        <v>0</v>
      </c>
      <c r="FZ96" s="675">
        <v>0</v>
      </c>
      <c r="GA96" s="675">
        <v>0</v>
      </c>
      <c r="GB96" s="675">
        <v>0</v>
      </c>
      <c r="GC96" s="675">
        <v>0</v>
      </c>
      <c r="GD96" s="675">
        <v>0</v>
      </c>
      <c r="GE96" s="675">
        <v>0</v>
      </c>
      <c r="GF96" s="675">
        <v>0</v>
      </c>
      <c r="GG96" s="675">
        <v>0</v>
      </c>
      <c r="GH96" s="675">
        <v>0</v>
      </c>
      <c r="GI96" s="675">
        <v>0</v>
      </c>
      <c r="GJ96" s="675">
        <v>0</v>
      </c>
      <c r="GK96" s="675">
        <v>0</v>
      </c>
      <c r="GL96" s="675">
        <v>0</v>
      </c>
      <c r="GM96" s="675">
        <v>0</v>
      </c>
      <c r="GN96" s="675">
        <v>0</v>
      </c>
      <c r="GO96" s="675">
        <v>0</v>
      </c>
      <c r="GP96" s="675">
        <v>0</v>
      </c>
      <c r="GQ96" s="675">
        <v>0</v>
      </c>
      <c r="GR96" s="675">
        <v>0</v>
      </c>
      <c r="GS96" s="675">
        <v>0</v>
      </c>
      <c r="GT96" s="675">
        <v>0</v>
      </c>
      <c r="GU96" s="675">
        <v>0</v>
      </c>
      <c r="GV96" s="675">
        <v>0</v>
      </c>
      <c r="GW96" s="675">
        <v>0</v>
      </c>
      <c r="GX96" s="675">
        <v>0</v>
      </c>
      <c r="GY96" s="675">
        <v>0</v>
      </c>
      <c r="GZ96" s="675">
        <v>0</v>
      </c>
      <c r="HA96" s="675">
        <v>0</v>
      </c>
      <c r="HB96" s="675">
        <v>308877260</v>
      </c>
      <c r="HC96" s="675">
        <v>4.4138999999999998E-2</v>
      </c>
      <c r="HD96" s="675">
        <v>32758</v>
      </c>
      <c r="HE96" s="675">
        <v>0</v>
      </c>
      <c r="HF96" s="675">
        <v>203573</v>
      </c>
      <c r="HG96" s="675">
        <v>616</v>
      </c>
      <c r="HH96" s="675">
        <v>49406</v>
      </c>
      <c r="HI96" s="675">
        <v>0</v>
      </c>
      <c r="HJ96" s="675">
        <v>1803</v>
      </c>
      <c r="HK96" s="675">
        <v>0</v>
      </c>
      <c r="HL96" s="675">
        <v>0</v>
      </c>
      <c r="HM96" s="675">
        <v>0</v>
      </c>
      <c r="HN96" s="675">
        <v>0</v>
      </c>
      <c r="HO96" s="675">
        <v>0</v>
      </c>
      <c r="HP96" s="675">
        <v>0</v>
      </c>
      <c r="HQ96" s="675">
        <v>0</v>
      </c>
      <c r="HR96" s="675">
        <v>0</v>
      </c>
      <c r="HS96" s="675">
        <v>1716116</v>
      </c>
      <c r="HT96" s="675">
        <v>38310</v>
      </c>
      <c r="HU96" s="675">
        <v>0</v>
      </c>
      <c r="HV96" s="675">
        <v>0</v>
      </c>
      <c r="HW96" s="675">
        <v>0</v>
      </c>
      <c r="HX96" s="675">
        <v>23</v>
      </c>
      <c r="HY96" s="675">
        <v>16</v>
      </c>
      <c r="HZ96" s="675">
        <v>27</v>
      </c>
      <c r="IA96" s="675">
        <v>60</v>
      </c>
      <c r="IB96" s="675">
        <v>117</v>
      </c>
      <c r="IC96" s="675">
        <v>243</v>
      </c>
      <c r="ID96" s="675">
        <v>0</v>
      </c>
      <c r="IE96" s="675">
        <v>0</v>
      </c>
      <c r="IF96" s="675">
        <v>0</v>
      </c>
      <c r="IG96" s="675">
        <v>1</v>
      </c>
      <c r="IH96" s="675">
        <v>80.204999999999998</v>
      </c>
      <c r="II96" s="675">
        <v>0</v>
      </c>
      <c r="IJ96" s="675">
        <v>15.08</v>
      </c>
      <c r="IK96" s="675">
        <v>0</v>
      </c>
      <c r="IL96" s="675">
        <v>0</v>
      </c>
      <c r="IM96" s="675">
        <v>0</v>
      </c>
      <c r="IN96" s="675">
        <v>0</v>
      </c>
      <c r="IO96" s="675">
        <v>0</v>
      </c>
      <c r="IP96" s="675">
        <v>0</v>
      </c>
      <c r="IQ96" s="675">
        <v>15.08</v>
      </c>
      <c r="IR96" s="675">
        <v>9289</v>
      </c>
      <c r="IS96" s="675">
        <v>0</v>
      </c>
      <c r="IT96" s="675">
        <v>0</v>
      </c>
      <c r="IU96" s="675">
        <v>0</v>
      </c>
      <c r="IV96" s="675">
        <v>0</v>
      </c>
      <c r="IW96" s="675">
        <v>6160</v>
      </c>
      <c r="IX96" s="675">
        <v>0</v>
      </c>
      <c r="IY96" s="675">
        <v>0</v>
      </c>
      <c r="IZ96" s="675">
        <v>0</v>
      </c>
      <c r="JA96" s="675">
        <v>0</v>
      </c>
      <c r="JB96" s="675">
        <v>0</v>
      </c>
      <c r="JC96" s="675">
        <v>0</v>
      </c>
      <c r="JD96" s="675">
        <v>0</v>
      </c>
      <c r="JE96" s="675">
        <v>0</v>
      </c>
      <c r="JF96" s="675">
        <v>0</v>
      </c>
      <c r="JG96" s="675">
        <v>0</v>
      </c>
      <c r="JH96" s="675">
        <v>0</v>
      </c>
      <c r="JI96" s="675">
        <v>0</v>
      </c>
      <c r="JJ96" s="675">
        <v>0</v>
      </c>
      <c r="JK96" s="675">
        <v>0</v>
      </c>
      <c r="JL96" s="675">
        <v>0</v>
      </c>
      <c r="JM96" s="675">
        <v>0</v>
      </c>
      <c r="JN96" s="675">
        <v>32469</v>
      </c>
      <c r="JO96" s="675">
        <v>0</v>
      </c>
      <c r="JP96" s="675">
        <v>0</v>
      </c>
      <c r="JQ96" s="675">
        <v>0</v>
      </c>
      <c r="JR96" s="675">
        <v>0</v>
      </c>
      <c r="JS96" s="675">
        <v>0</v>
      </c>
      <c r="JT96" s="675">
        <v>0</v>
      </c>
      <c r="JU96" s="675">
        <v>0</v>
      </c>
      <c r="JV96" s="675">
        <v>0</v>
      </c>
      <c r="JW96" s="675">
        <v>0</v>
      </c>
      <c r="JX96" s="675">
        <v>0</v>
      </c>
      <c r="JY96" s="675">
        <v>0</v>
      </c>
      <c r="JZ96" s="675">
        <v>0</v>
      </c>
      <c r="KA96" s="675">
        <v>0</v>
      </c>
      <c r="KB96" s="675">
        <v>0</v>
      </c>
      <c r="KC96" s="675">
        <v>0</v>
      </c>
      <c r="KD96" s="675">
        <v>0</v>
      </c>
      <c r="KE96" s="675">
        <v>7263</v>
      </c>
      <c r="KF96" s="675">
        <v>0</v>
      </c>
      <c r="KG96" s="675">
        <v>0</v>
      </c>
      <c r="KH96" s="675">
        <v>0</v>
      </c>
      <c r="KI96" s="675">
        <v>0</v>
      </c>
    </row>
    <row r="97" spans="1:295" ht="12.5" x14ac:dyDescent="0.25">
      <c r="A97" s="675">
        <v>35795</v>
      </c>
      <c r="B97" s="675">
        <v>71810</v>
      </c>
      <c r="C97" s="675">
        <v>7</v>
      </c>
      <c r="D97" s="675">
        <v>2022</v>
      </c>
      <c r="E97" s="675">
        <v>6160</v>
      </c>
      <c r="F97" s="675">
        <v>0</v>
      </c>
      <c r="G97" s="675">
        <v>250.71100000000001</v>
      </c>
      <c r="H97" s="675">
        <v>244.452</v>
      </c>
      <c r="I97" s="675">
        <v>244.452</v>
      </c>
      <c r="J97" s="675">
        <v>250.71100000000001</v>
      </c>
      <c r="K97" s="675">
        <v>0</v>
      </c>
      <c r="L97" s="675">
        <v>6160</v>
      </c>
      <c r="M97" s="675">
        <v>0</v>
      </c>
      <c r="N97" s="675">
        <v>0</v>
      </c>
      <c r="O97" s="675">
        <v>0</v>
      </c>
      <c r="P97" s="675">
        <v>199.155</v>
      </c>
      <c r="Q97" s="675">
        <v>0</v>
      </c>
      <c r="R97" s="675">
        <v>80146</v>
      </c>
      <c r="S97" s="675">
        <v>402.428</v>
      </c>
      <c r="T97" s="675">
        <v>0</v>
      </c>
      <c r="U97" s="675">
        <v>42620</v>
      </c>
      <c r="V97" s="675">
        <v>168.55700000000002</v>
      </c>
      <c r="W97" s="675">
        <v>103831</v>
      </c>
      <c r="X97" s="675">
        <v>103831</v>
      </c>
      <c r="Y97" s="675">
        <v>0</v>
      </c>
      <c r="Z97" s="675">
        <v>0</v>
      </c>
      <c r="AA97" s="675">
        <v>0</v>
      </c>
      <c r="AB97" s="675">
        <v>0</v>
      </c>
      <c r="AC97" s="675">
        <v>0</v>
      </c>
      <c r="AD97" s="675" t="s">
        <v>316</v>
      </c>
      <c r="AE97" s="675">
        <v>0</v>
      </c>
      <c r="AF97" s="675">
        <v>0</v>
      </c>
      <c r="AG97" s="675">
        <v>0</v>
      </c>
      <c r="AH97" s="675">
        <v>0</v>
      </c>
      <c r="AI97" s="675">
        <v>0</v>
      </c>
      <c r="AJ97" s="675">
        <v>6160</v>
      </c>
      <c r="AK97" s="675" t="s">
        <v>671</v>
      </c>
      <c r="AL97" s="675" t="s">
        <v>341</v>
      </c>
      <c r="AM97" s="675">
        <v>0</v>
      </c>
      <c r="AN97" s="675">
        <v>0</v>
      </c>
      <c r="AO97" s="675">
        <v>0</v>
      </c>
      <c r="AP97" s="675">
        <v>0</v>
      </c>
      <c r="AQ97" s="675">
        <v>0</v>
      </c>
      <c r="AR97" s="675">
        <v>0</v>
      </c>
      <c r="AS97" s="675">
        <v>0</v>
      </c>
      <c r="AT97" s="675">
        <v>0</v>
      </c>
      <c r="AU97" s="675">
        <v>0</v>
      </c>
      <c r="AV97" s="675">
        <v>-5650</v>
      </c>
      <c r="AW97" s="675">
        <v>2879903</v>
      </c>
      <c r="AX97" s="675">
        <v>2836358</v>
      </c>
      <c r="AY97" s="675">
        <v>2264678</v>
      </c>
      <c r="AZ97" s="675">
        <v>80146</v>
      </c>
      <c r="BA97" s="675">
        <v>0</v>
      </c>
      <c r="BB97" s="675">
        <v>5174</v>
      </c>
      <c r="BC97" s="675">
        <v>5141</v>
      </c>
      <c r="BD97" s="675">
        <v>12</v>
      </c>
      <c r="BE97" s="675">
        <v>33</v>
      </c>
      <c r="BF97" s="675">
        <v>2522131</v>
      </c>
      <c r="BG97" s="675">
        <v>0</v>
      </c>
      <c r="BH97" s="675">
        <v>0</v>
      </c>
      <c r="BI97" s="675">
        <v>0</v>
      </c>
      <c r="BJ97" s="675">
        <v>12</v>
      </c>
      <c r="BK97" s="675">
        <v>0</v>
      </c>
      <c r="BL97" s="675">
        <v>0</v>
      </c>
      <c r="BM97" s="675">
        <v>0</v>
      </c>
      <c r="BN97" s="675">
        <v>0</v>
      </c>
      <c r="BO97" s="675">
        <v>0</v>
      </c>
      <c r="BP97" s="675">
        <v>0</v>
      </c>
      <c r="BQ97" s="675">
        <v>732</v>
      </c>
      <c r="BR97" s="675">
        <v>0</v>
      </c>
      <c r="BS97" s="675">
        <v>0</v>
      </c>
      <c r="BT97" s="675">
        <v>0</v>
      </c>
      <c r="BU97" s="675">
        <v>0</v>
      </c>
      <c r="BV97" s="675">
        <v>0</v>
      </c>
      <c r="BW97" s="675">
        <v>0</v>
      </c>
      <c r="BX97" s="675">
        <v>0</v>
      </c>
      <c r="BY97" s="675">
        <v>0</v>
      </c>
      <c r="BZ97" s="675">
        <v>0</v>
      </c>
      <c r="CA97" s="675">
        <v>89.632000000000005</v>
      </c>
      <c r="CB97" s="675">
        <v>76436</v>
      </c>
      <c r="CC97" s="675">
        <v>0</v>
      </c>
      <c r="CD97" s="675">
        <v>0</v>
      </c>
      <c r="CE97" s="675">
        <v>0</v>
      </c>
      <c r="CF97" s="675">
        <v>0</v>
      </c>
      <c r="CG97" s="675">
        <v>0</v>
      </c>
      <c r="CH97" s="675">
        <v>44264</v>
      </c>
      <c r="CI97" s="675">
        <v>0</v>
      </c>
      <c r="CJ97" s="675">
        <v>5</v>
      </c>
      <c r="CK97" s="675">
        <v>0</v>
      </c>
      <c r="CL97" s="675">
        <v>0</v>
      </c>
      <c r="CM97" s="675">
        <v>0</v>
      </c>
      <c r="CN97" s="675">
        <v>0</v>
      </c>
      <c r="CO97" s="675">
        <v>1</v>
      </c>
      <c r="CP97" s="675">
        <v>0</v>
      </c>
      <c r="CQ97" s="675">
        <v>0</v>
      </c>
      <c r="CR97" s="675">
        <v>195.64700000000002</v>
      </c>
      <c r="CS97" s="675">
        <v>0</v>
      </c>
      <c r="CT97" s="675">
        <v>0</v>
      </c>
      <c r="CU97" s="675">
        <v>0</v>
      </c>
      <c r="CV97" s="675">
        <v>0</v>
      </c>
      <c r="CW97" s="675">
        <v>0</v>
      </c>
      <c r="CX97" s="675">
        <v>0</v>
      </c>
      <c r="CY97" s="675">
        <v>0</v>
      </c>
      <c r="CZ97" s="675">
        <v>0</v>
      </c>
      <c r="DA97" s="675">
        <v>0</v>
      </c>
      <c r="DB97" s="675">
        <v>1505817</v>
      </c>
      <c r="DC97" s="675">
        <v>0</v>
      </c>
      <c r="DD97" s="675">
        <v>0</v>
      </c>
      <c r="DE97" s="675">
        <v>372678</v>
      </c>
      <c r="DF97" s="675">
        <v>372678</v>
      </c>
      <c r="DG97" s="675">
        <v>60.5</v>
      </c>
      <c r="DH97" s="675">
        <v>0</v>
      </c>
      <c r="DI97" s="675">
        <v>0</v>
      </c>
      <c r="DJ97" s="675">
        <v>0</v>
      </c>
      <c r="DK97" s="675">
        <v>3340</v>
      </c>
      <c r="DL97" s="675">
        <v>0</v>
      </c>
      <c r="DM97" s="675">
        <v>182231</v>
      </c>
      <c r="DN97" s="675">
        <v>686</v>
      </c>
      <c r="DO97" s="675">
        <v>0</v>
      </c>
      <c r="DP97" s="675">
        <v>0</v>
      </c>
      <c r="DQ97" s="675">
        <v>0</v>
      </c>
      <c r="DR97" s="675">
        <v>0</v>
      </c>
      <c r="DS97" s="675">
        <v>0</v>
      </c>
      <c r="DT97" s="675">
        <v>0</v>
      </c>
      <c r="DU97" s="675">
        <v>0</v>
      </c>
      <c r="DV97" s="675">
        <v>0</v>
      </c>
      <c r="DW97" s="675">
        <v>0</v>
      </c>
      <c r="DX97" s="675">
        <v>0</v>
      </c>
      <c r="DY97" s="675">
        <v>0</v>
      </c>
      <c r="DZ97" s="675">
        <v>0</v>
      </c>
      <c r="EA97" s="675">
        <v>0</v>
      </c>
      <c r="EB97" s="675">
        <v>0</v>
      </c>
      <c r="EC97" s="675">
        <v>21.816000000000003</v>
      </c>
      <c r="ED97" s="675">
        <v>154544</v>
      </c>
      <c r="EE97" s="675">
        <v>0</v>
      </c>
      <c r="EF97" s="675">
        <v>0</v>
      </c>
      <c r="EG97" s="675">
        <v>0</v>
      </c>
      <c r="EH97" s="675">
        <v>28373</v>
      </c>
      <c r="EI97" s="675">
        <v>0</v>
      </c>
      <c r="EJ97" s="675">
        <v>0</v>
      </c>
      <c r="EK97" s="675">
        <v>0.36699999999999999</v>
      </c>
      <c r="EL97" s="675">
        <v>0</v>
      </c>
      <c r="EM97" s="675">
        <v>0.59</v>
      </c>
      <c r="EN97" s="675">
        <v>0.34700000000000003</v>
      </c>
      <c r="EO97" s="675">
        <v>0</v>
      </c>
      <c r="EP97" s="675">
        <v>0</v>
      </c>
      <c r="EQ97" s="675">
        <v>1.304</v>
      </c>
      <c r="ER97" s="675">
        <v>0</v>
      </c>
      <c r="ES97" s="675">
        <v>4.6059999999999999</v>
      </c>
      <c r="ET97" s="675">
        <v>0</v>
      </c>
      <c r="EU97" s="675">
        <v>0</v>
      </c>
      <c r="EV97" s="675">
        <v>0</v>
      </c>
      <c r="EW97" s="675">
        <v>0</v>
      </c>
      <c r="EX97" s="675">
        <v>0</v>
      </c>
      <c r="EY97" s="675">
        <v>0</v>
      </c>
      <c r="EZ97" s="675">
        <v>2526743</v>
      </c>
      <c r="FA97" s="675">
        <v>0</v>
      </c>
      <c r="FB97" s="675">
        <v>2606170</v>
      </c>
      <c r="FC97" s="675">
        <v>0</v>
      </c>
      <c r="FD97" s="675">
        <v>0</v>
      </c>
      <c r="FE97" s="675">
        <v>256553</v>
      </c>
      <c r="FF97" s="675">
        <v>53062</v>
      </c>
      <c r="FG97" s="675">
        <v>6.3574999999999993E-2</v>
      </c>
      <c r="FH97" s="675">
        <v>2.6297999999999998E-2</v>
      </c>
      <c r="FI97" s="675">
        <v>0</v>
      </c>
      <c r="FJ97" s="675">
        <v>0</v>
      </c>
      <c r="FK97" s="675">
        <v>409.43900000000002</v>
      </c>
      <c r="FL97" s="675">
        <v>2960049</v>
      </c>
      <c r="FM97" s="675">
        <v>0</v>
      </c>
      <c r="FN97" s="675">
        <v>0</v>
      </c>
      <c r="FO97" s="675">
        <v>8322</v>
      </c>
      <c r="FP97" s="675">
        <v>0</v>
      </c>
      <c r="FQ97" s="675">
        <v>8322</v>
      </c>
      <c r="FR97" s="675">
        <v>8322</v>
      </c>
      <c r="FS97" s="675">
        <v>0</v>
      </c>
      <c r="FT97" s="675">
        <v>0</v>
      </c>
      <c r="FU97" s="675">
        <v>0</v>
      </c>
      <c r="FV97" s="675">
        <v>0</v>
      </c>
      <c r="FW97" s="675">
        <v>0</v>
      </c>
      <c r="FX97" s="675">
        <v>0</v>
      </c>
      <c r="FY97" s="675">
        <v>0</v>
      </c>
      <c r="FZ97" s="675">
        <v>0</v>
      </c>
      <c r="GA97" s="675">
        <v>0</v>
      </c>
      <c r="GB97" s="675">
        <v>42870</v>
      </c>
      <c r="GC97" s="675">
        <v>42870</v>
      </c>
      <c r="GD97" s="675">
        <v>4.9550000000000001</v>
      </c>
      <c r="GE97" s="675">
        <v>0</v>
      </c>
      <c r="GF97" s="675">
        <v>0</v>
      </c>
      <c r="GG97" s="675">
        <v>0</v>
      </c>
      <c r="GH97" s="675">
        <v>0</v>
      </c>
      <c r="GI97" s="675">
        <v>0</v>
      </c>
      <c r="GJ97" s="675">
        <v>0</v>
      </c>
      <c r="GK97" s="675">
        <v>0</v>
      </c>
      <c r="GL97" s="675">
        <v>0</v>
      </c>
      <c r="GM97" s="675">
        <v>0</v>
      </c>
      <c r="GN97" s="675">
        <v>0</v>
      </c>
      <c r="GO97" s="675">
        <v>0</v>
      </c>
      <c r="GP97" s="675">
        <v>0</v>
      </c>
      <c r="GQ97" s="675">
        <v>0</v>
      </c>
      <c r="GR97" s="675">
        <v>0</v>
      </c>
      <c r="GS97" s="675">
        <v>0</v>
      </c>
      <c r="GT97" s="675">
        <v>0</v>
      </c>
      <c r="GU97" s="675">
        <v>0</v>
      </c>
      <c r="GV97" s="675">
        <v>0</v>
      </c>
      <c r="GW97" s="675">
        <v>0</v>
      </c>
      <c r="GX97" s="675">
        <v>0</v>
      </c>
      <c r="GY97" s="675">
        <v>0</v>
      </c>
      <c r="GZ97" s="675">
        <v>0</v>
      </c>
      <c r="HA97" s="675">
        <v>0</v>
      </c>
      <c r="HB97" s="675">
        <v>308877260</v>
      </c>
      <c r="HC97" s="675">
        <v>4.4138999999999998E-2</v>
      </c>
      <c r="HD97" s="675">
        <v>44264</v>
      </c>
      <c r="HE97" s="675">
        <v>0</v>
      </c>
      <c r="HF97" s="675">
        <v>269631</v>
      </c>
      <c r="HG97" s="675">
        <v>6776</v>
      </c>
      <c r="HH97" s="675">
        <v>0</v>
      </c>
      <c r="HI97" s="675">
        <v>0</v>
      </c>
      <c r="HJ97" s="675">
        <v>2437</v>
      </c>
      <c r="HK97" s="675">
        <v>0</v>
      </c>
      <c r="HL97" s="675">
        <v>0</v>
      </c>
      <c r="HM97" s="675">
        <v>0</v>
      </c>
      <c r="HN97" s="675">
        <v>0</v>
      </c>
      <c r="HO97" s="675">
        <v>30000</v>
      </c>
      <c r="HP97" s="675">
        <v>0</v>
      </c>
      <c r="HQ97" s="675">
        <v>0</v>
      </c>
      <c r="HR97" s="675">
        <v>0</v>
      </c>
      <c r="HS97" s="675">
        <v>2526024</v>
      </c>
      <c r="HT97" s="675">
        <v>53062</v>
      </c>
      <c r="HU97" s="675">
        <v>0</v>
      </c>
      <c r="HV97" s="675">
        <v>0</v>
      </c>
      <c r="HW97" s="675">
        <v>0</v>
      </c>
      <c r="HX97" s="675">
        <v>21</v>
      </c>
      <c r="HY97" s="675">
        <v>15</v>
      </c>
      <c r="HZ97" s="675">
        <v>20</v>
      </c>
      <c r="IA97" s="675">
        <v>51</v>
      </c>
      <c r="IB97" s="675">
        <v>123</v>
      </c>
      <c r="IC97" s="675">
        <v>230</v>
      </c>
      <c r="ID97" s="675">
        <v>0</v>
      </c>
      <c r="IE97" s="675">
        <v>0</v>
      </c>
      <c r="IF97" s="675">
        <v>0</v>
      </c>
      <c r="IG97" s="675">
        <v>11</v>
      </c>
      <c r="IH97" s="675">
        <v>0</v>
      </c>
      <c r="II97" s="675">
        <v>0</v>
      </c>
      <c r="IJ97" s="675">
        <v>168.55700000000002</v>
      </c>
      <c r="IK97" s="675">
        <v>0</v>
      </c>
      <c r="IL97" s="675">
        <v>0</v>
      </c>
      <c r="IM97" s="675">
        <v>0</v>
      </c>
      <c r="IN97" s="675">
        <v>0</v>
      </c>
      <c r="IO97" s="675">
        <v>0</v>
      </c>
      <c r="IP97" s="675">
        <v>0</v>
      </c>
      <c r="IQ97" s="675">
        <v>168.55700000000002</v>
      </c>
      <c r="IR97" s="675">
        <v>103831</v>
      </c>
      <c r="IS97" s="675">
        <v>0</v>
      </c>
      <c r="IT97" s="675">
        <v>0</v>
      </c>
      <c r="IU97" s="675">
        <v>0</v>
      </c>
      <c r="IV97" s="675">
        <v>0</v>
      </c>
      <c r="IW97" s="675">
        <v>6160</v>
      </c>
      <c r="IX97" s="675">
        <v>0</v>
      </c>
      <c r="IY97" s="675">
        <v>0</v>
      </c>
      <c r="IZ97" s="675">
        <v>0</v>
      </c>
      <c r="JA97" s="675">
        <v>0</v>
      </c>
      <c r="JB97" s="675">
        <v>0</v>
      </c>
      <c r="JC97" s="675">
        <v>0</v>
      </c>
      <c r="JD97" s="675">
        <v>0</v>
      </c>
      <c r="JE97" s="675">
        <v>0</v>
      </c>
      <c r="JF97" s="675">
        <v>0</v>
      </c>
      <c r="JG97" s="675">
        <v>0</v>
      </c>
      <c r="JH97" s="675">
        <v>0</v>
      </c>
      <c r="JI97" s="675">
        <v>0</v>
      </c>
      <c r="JJ97" s="675">
        <v>0</v>
      </c>
      <c r="JK97" s="675">
        <v>0</v>
      </c>
      <c r="JL97" s="675">
        <v>0</v>
      </c>
      <c r="JM97" s="675">
        <v>0</v>
      </c>
      <c r="JN97" s="675">
        <v>32469</v>
      </c>
      <c r="JO97" s="675">
        <v>2.444</v>
      </c>
      <c r="JP97" s="675">
        <v>2.5110000000000001</v>
      </c>
      <c r="JQ97" s="675">
        <v>0</v>
      </c>
      <c r="JR97" s="675">
        <v>19526</v>
      </c>
      <c r="JS97" s="675">
        <v>23344</v>
      </c>
      <c r="JT97" s="675">
        <v>0</v>
      </c>
      <c r="JU97" s="675">
        <v>5174</v>
      </c>
      <c r="JV97" s="675">
        <v>0</v>
      </c>
      <c r="JW97" s="675">
        <v>0</v>
      </c>
      <c r="JX97" s="675">
        <v>0</v>
      </c>
      <c r="JY97" s="675">
        <v>0</v>
      </c>
      <c r="JZ97" s="675">
        <v>0</v>
      </c>
      <c r="KA97" s="675">
        <v>0</v>
      </c>
      <c r="KB97" s="675">
        <v>0</v>
      </c>
      <c r="KC97" s="675">
        <v>0</v>
      </c>
      <c r="KD97" s="675">
        <v>5174</v>
      </c>
      <c r="KE97" s="675">
        <v>7263</v>
      </c>
      <c r="KF97" s="675">
        <v>0</v>
      </c>
      <c r="KG97" s="675">
        <v>0</v>
      </c>
      <c r="KH97" s="675">
        <v>0</v>
      </c>
      <c r="KI97" s="675">
        <v>0</v>
      </c>
    </row>
    <row r="98" spans="1:295" ht="12.5" x14ac:dyDescent="0.25">
      <c r="A98" s="675">
        <v>35795</v>
      </c>
      <c r="B98" s="675">
        <v>101810</v>
      </c>
      <c r="C98" s="675">
        <v>7</v>
      </c>
      <c r="D98" s="675">
        <v>2022</v>
      </c>
      <c r="E98" s="675">
        <v>6160</v>
      </c>
      <c r="F98" s="675">
        <v>0</v>
      </c>
      <c r="G98" s="675">
        <v>811.07500000000005</v>
      </c>
      <c r="H98" s="675">
        <v>809.85599999999999</v>
      </c>
      <c r="I98" s="675">
        <v>809.85599999999999</v>
      </c>
      <c r="J98" s="675">
        <v>811.07500000000005</v>
      </c>
      <c r="K98" s="675">
        <v>0</v>
      </c>
      <c r="L98" s="675">
        <v>6160</v>
      </c>
      <c r="M98" s="675">
        <v>0</v>
      </c>
      <c r="N98" s="675">
        <v>0</v>
      </c>
      <c r="O98" s="675">
        <v>0</v>
      </c>
      <c r="P98" s="675">
        <v>754.99599999999998</v>
      </c>
      <c r="Q98" s="675">
        <v>0</v>
      </c>
      <c r="R98" s="675">
        <v>303832</v>
      </c>
      <c r="S98" s="675">
        <v>402.428</v>
      </c>
      <c r="T98" s="675">
        <v>0</v>
      </c>
      <c r="U98" s="675">
        <v>161571</v>
      </c>
      <c r="V98" s="675">
        <v>484.899</v>
      </c>
      <c r="W98" s="675">
        <v>298696</v>
      </c>
      <c r="X98" s="675">
        <v>298696</v>
      </c>
      <c r="Y98" s="675">
        <v>0</v>
      </c>
      <c r="Z98" s="675">
        <v>0</v>
      </c>
      <c r="AA98" s="675">
        <v>0</v>
      </c>
      <c r="AB98" s="675">
        <v>0</v>
      </c>
      <c r="AC98" s="675">
        <v>0</v>
      </c>
      <c r="AD98" s="675" t="s">
        <v>316</v>
      </c>
      <c r="AE98" s="675">
        <v>0</v>
      </c>
      <c r="AF98" s="675">
        <v>0</v>
      </c>
      <c r="AG98" s="675">
        <v>0</v>
      </c>
      <c r="AH98" s="675">
        <v>0</v>
      </c>
      <c r="AI98" s="675">
        <v>0</v>
      </c>
      <c r="AJ98" s="675">
        <v>6160</v>
      </c>
      <c r="AK98" s="675" t="s">
        <v>671</v>
      </c>
      <c r="AL98" s="675" t="s">
        <v>344</v>
      </c>
      <c r="AM98" s="675">
        <v>0</v>
      </c>
      <c r="AN98" s="675">
        <v>0</v>
      </c>
      <c r="AO98" s="675">
        <v>0</v>
      </c>
      <c r="AP98" s="675">
        <v>0</v>
      </c>
      <c r="AQ98" s="675">
        <v>0</v>
      </c>
      <c r="AR98" s="675">
        <v>0</v>
      </c>
      <c r="AS98" s="675">
        <v>0</v>
      </c>
      <c r="AT98" s="675">
        <v>0</v>
      </c>
      <c r="AU98" s="675">
        <v>0</v>
      </c>
      <c r="AV98" s="675">
        <v>-43920</v>
      </c>
      <c r="AW98" s="675">
        <v>8954175</v>
      </c>
      <c r="AX98" s="675">
        <v>8409855</v>
      </c>
      <c r="AY98" s="675">
        <v>5829925</v>
      </c>
      <c r="AZ98" s="675">
        <v>303832</v>
      </c>
      <c r="BA98" s="675">
        <v>0</v>
      </c>
      <c r="BB98" s="675">
        <v>0</v>
      </c>
      <c r="BC98" s="675">
        <v>0</v>
      </c>
      <c r="BD98" s="675">
        <v>0</v>
      </c>
      <c r="BE98" s="675">
        <v>0</v>
      </c>
      <c r="BF98" s="675">
        <v>7760959</v>
      </c>
      <c r="BG98" s="675">
        <v>0</v>
      </c>
      <c r="BH98" s="675">
        <v>0</v>
      </c>
      <c r="BI98" s="675">
        <v>0</v>
      </c>
      <c r="BJ98" s="675">
        <v>12</v>
      </c>
      <c r="BK98" s="675">
        <v>0</v>
      </c>
      <c r="BL98" s="675">
        <v>0</v>
      </c>
      <c r="BM98" s="675">
        <v>0</v>
      </c>
      <c r="BN98" s="675">
        <v>0</v>
      </c>
      <c r="BO98" s="675">
        <v>0</v>
      </c>
      <c r="BP98" s="675">
        <v>0</v>
      </c>
      <c r="BQ98" s="675">
        <v>645</v>
      </c>
      <c r="BR98" s="675">
        <v>0</v>
      </c>
      <c r="BS98" s="675">
        <v>0</v>
      </c>
      <c r="BT98" s="675">
        <v>0</v>
      </c>
      <c r="BU98" s="675">
        <v>0</v>
      </c>
      <c r="BV98" s="675">
        <v>0</v>
      </c>
      <c r="BW98" s="675">
        <v>0</v>
      </c>
      <c r="BX98" s="675">
        <v>0</v>
      </c>
      <c r="BY98" s="675">
        <v>0</v>
      </c>
      <c r="BZ98" s="675">
        <v>0</v>
      </c>
      <c r="CA98" s="675">
        <v>0</v>
      </c>
      <c r="CB98" s="675">
        <v>0</v>
      </c>
      <c r="CC98" s="675">
        <v>0</v>
      </c>
      <c r="CD98" s="675">
        <v>0</v>
      </c>
      <c r="CE98" s="675">
        <v>0</v>
      </c>
      <c r="CF98" s="675">
        <v>0</v>
      </c>
      <c r="CG98" s="675">
        <v>0</v>
      </c>
      <c r="CH98" s="675">
        <v>544784</v>
      </c>
      <c r="CI98" s="675">
        <v>0</v>
      </c>
      <c r="CJ98" s="675">
        <v>4</v>
      </c>
      <c r="CK98" s="675">
        <v>0</v>
      </c>
      <c r="CL98" s="675">
        <v>0</v>
      </c>
      <c r="CM98" s="675">
        <v>0</v>
      </c>
      <c r="CN98" s="675">
        <v>0</v>
      </c>
      <c r="CO98" s="675">
        <v>1</v>
      </c>
      <c r="CP98" s="675">
        <v>0</v>
      </c>
      <c r="CQ98" s="675">
        <v>0</v>
      </c>
      <c r="CR98" s="675">
        <v>764.10599999999999</v>
      </c>
      <c r="CS98" s="675">
        <v>0</v>
      </c>
      <c r="CT98" s="675">
        <v>0</v>
      </c>
      <c r="CU98" s="675">
        <v>0</v>
      </c>
      <c r="CV98" s="675">
        <v>0</v>
      </c>
      <c r="CW98" s="675">
        <v>0</v>
      </c>
      <c r="CX98" s="675">
        <v>0</v>
      </c>
      <c r="CY98" s="675">
        <v>0</v>
      </c>
      <c r="CZ98" s="675">
        <v>0</v>
      </c>
      <c r="DA98" s="675">
        <v>0</v>
      </c>
      <c r="DB98" s="675">
        <v>4988690</v>
      </c>
      <c r="DC98" s="675">
        <v>0</v>
      </c>
      <c r="DD98" s="675">
        <v>0</v>
      </c>
      <c r="DE98" s="675">
        <v>1179019</v>
      </c>
      <c r="DF98" s="675">
        <v>1179019</v>
      </c>
      <c r="DG98" s="675">
        <v>191.4</v>
      </c>
      <c r="DH98" s="675">
        <v>0</v>
      </c>
      <c r="DI98" s="675">
        <v>0</v>
      </c>
      <c r="DJ98" s="675">
        <v>0</v>
      </c>
      <c r="DK98" s="675">
        <v>1947</v>
      </c>
      <c r="DL98" s="675">
        <v>0</v>
      </c>
      <c r="DM98" s="675">
        <v>123213</v>
      </c>
      <c r="DN98" s="675">
        <v>464</v>
      </c>
      <c r="DO98" s="675">
        <v>0</v>
      </c>
      <c r="DP98" s="675">
        <v>0</v>
      </c>
      <c r="DQ98" s="675">
        <v>0</v>
      </c>
      <c r="DR98" s="675">
        <v>0</v>
      </c>
      <c r="DS98" s="675">
        <v>0</v>
      </c>
      <c r="DT98" s="675">
        <v>0</v>
      </c>
      <c r="DU98" s="675">
        <v>0</v>
      </c>
      <c r="DV98" s="675">
        <v>0</v>
      </c>
      <c r="DW98" s="675">
        <v>0</v>
      </c>
      <c r="DX98" s="675">
        <v>0</v>
      </c>
      <c r="DY98" s="675">
        <v>0</v>
      </c>
      <c r="DZ98" s="675">
        <v>0</v>
      </c>
      <c r="EA98" s="675">
        <v>0</v>
      </c>
      <c r="EB98" s="675">
        <v>0</v>
      </c>
      <c r="EC98" s="675">
        <v>13.604000000000001</v>
      </c>
      <c r="ED98" s="675">
        <v>96370</v>
      </c>
      <c r="EE98" s="675">
        <v>0</v>
      </c>
      <c r="EF98" s="675">
        <v>0</v>
      </c>
      <c r="EG98" s="675">
        <v>0</v>
      </c>
      <c r="EH98" s="675">
        <v>27307</v>
      </c>
      <c r="EI98" s="675">
        <v>0</v>
      </c>
      <c r="EJ98" s="675">
        <v>0</v>
      </c>
      <c r="EK98" s="675">
        <v>0.83100000000000007</v>
      </c>
      <c r="EL98" s="675">
        <v>0</v>
      </c>
      <c r="EM98" s="675">
        <v>0</v>
      </c>
      <c r="EN98" s="675">
        <v>0.38800000000000001</v>
      </c>
      <c r="EO98" s="675">
        <v>0</v>
      </c>
      <c r="EP98" s="675">
        <v>0</v>
      </c>
      <c r="EQ98" s="675">
        <v>1.2190000000000001</v>
      </c>
      <c r="ER98" s="675">
        <v>0</v>
      </c>
      <c r="ES98" s="675">
        <v>4.4329999999999998</v>
      </c>
      <c r="ET98" s="675">
        <v>0</v>
      </c>
      <c r="EU98" s="675">
        <v>0</v>
      </c>
      <c r="EV98" s="675">
        <v>0</v>
      </c>
      <c r="EW98" s="675">
        <v>0</v>
      </c>
      <c r="EX98" s="675">
        <v>0</v>
      </c>
      <c r="EY98" s="675">
        <v>0</v>
      </c>
      <c r="EZ98" s="675">
        <v>7457127</v>
      </c>
      <c r="FA98" s="675">
        <v>0</v>
      </c>
      <c r="FB98" s="675">
        <v>7760495</v>
      </c>
      <c r="FC98" s="675">
        <v>0</v>
      </c>
      <c r="FD98" s="675">
        <v>0</v>
      </c>
      <c r="FE98" s="675">
        <v>789449</v>
      </c>
      <c r="FF98" s="675">
        <v>163279</v>
      </c>
      <c r="FG98" s="675">
        <v>6.3574999999999993E-2</v>
      </c>
      <c r="FH98" s="675">
        <v>2.6297999999999998E-2</v>
      </c>
      <c r="FI98" s="675">
        <v>0</v>
      </c>
      <c r="FJ98" s="675">
        <v>0</v>
      </c>
      <c r="FK98" s="675">
        <v>1259.902</v>
      </c>
      <c r="FL98" s="675">
        <v>9258007</v>
      </c>
      <c r="FM98" s="675">
        <v>0</v>
      </c>
      <c r="FN98" s="675">
        <v>0</v>
      </c>
      <c r="FO98" s="675">
        <v>0</v>
      </c>
      <c r="FP98" s="675">
        <v>0</v>
      </c>
      <c r="FQ98" s="675">
        <v>0</v>
      </c>
      <c r="FR98" s="675">
        <v>0</v>
      </c>
      <c r="FS98" s="675">
        <v>0</v>
      </c>
      <c r="FT98" s="675">
        <v>0</v>
      </c>
      <c r="FU98" s="675">
        <v>0</v>
      </c>
      <c r="FV98" s="675">
        <v>0</v>
      </c>
      <c r="FW98" s="675">
        <v>0</v>
      </c>
      <c r="FX98" s="675">
        <v>0</v>
      </c>
      <c r="FY98" s="675">
        <v>0</v>
      </c>
      <c r="FZ98" s="675">
        <v>0</v>
      </c>
      <c r="GA98" s="675">
        <v>0</v>
      </c>
      <c r="GB98" s="675">
        <v>0</v>
      </c>
      <c r="GC98" s="675">
        <v>0</v>
      </c>
      <c r="GD98" s="675">
        <v>0</v>
      </c>
      <c r="GE98" s="675">
        <v>0</v>
      </c>
      <c r="GF98" s="675">
        <v>0</v>
      </c>
      <c r="GG98" s="675">
        <v>0</v>
      </c>
      <c r="GH98" s="675">
        <v>0</v>
      </c>
      <c r="GI98" s="675">
        <v>0</v>
      </c>
      <c r="GJ98" s="675">
        <v>0</v>
      </c>
      <c r="GK98" s="675">
        <v>0</v>
      </c>
      <c r="GL98" s="675">
        <v>0</v>
      </c>
      <c r="GM98" s="675">
        <v>0</v>
      </c>
      <c r="GN98" s="675">
        <v>0</v>
      </c>
      <c r="GO98" s="675">
        <v>0</v>
      </c>
      <c r="GP98" s="675">
        <v>0</v>
      </c>
      <c r="GQ98" s="675">
        <v>0</v>
      </c>
      <c r="GR98" s="675">
        <v>0</v>
      </c>
      <c r="GS98" s="675">
        <v>0</v>
      </c>
      <c r="GT98" s="675">
        <v>0</v>
      </c>
      <c r="GU98" s="675">
        <v>0</v>
      </c>
      <c r="GV98" s="675">
        <v>0</v>
      </c>
      <c r="GW98" s="675">
        <v>0</v>
      </c>
      <c r="GX98" s="675">
        <v>0</v>
      </c>
      <c r="GY98" s="675">
        <v>0</v>
      </c>
      <c r="GZ98" s="675">
        <v>0</v>
      </c>
      <c r="HA98" s="675">
        <v>0</v>
      </c>
      <c r="HB98" s="675">
        <v>308877260</v>
      </c>
      <c r="HC98" s="675">
        <v>4.4138999999999998E-2</v>
      </c>
      <c r="HD98" s="675">
        <v>143200</v>
      </c>
      <c r="HE98" s="675">
        <v>0</v>
      </c>
      <c r="HF98" s="675">
        <v>893271</v>
      </c>
      <c r="HG98" s="675">
        <v>0</v>
      </c>
      <c r="HH98" s="675">
        <v>269722</v>
      </c>
      <c r="HI98" s="675">
        <v>0</v>
      </c>
      <c r="HJ98" s="675">
        <v>7884</v>
      </c>
      <c r="HK98" s="675">
        <v>0</v>
      </c>
      <c r="HL98" s="675">
        <v>0</v>
      </c>
      <c r="HM98" s="675">
        <v>0</v>
      </c>
      <c r="HN98" s="675">
        <v>0</v>
      </c>
      <c r="HO98" s="675">
        <v>0</v>
      </c>
      <c r="HP98" s="675">
        <v>0</v>
      </c>
      <c r="HQ98" s="675">
        <v>0</v>
      </c>
      <c r="HR98" s="675">
        <v>0</v>
      </c>
      <c r="HS98" s="675">
        <v>7456663</v>
      </c>
      <c r="HT98" s="675">
        <v>163279</v>
      </c>
      <c r="HU98" s="675">
        <v>0</v>
      </c>
      <c r="HV98" s="675">
        <v>0</v>
      </c>
      <c r="HW98" s="675">
        <v>0</v>
      </c>
      <c r="HX98" s="675">
        <v>34</v>
      </c>
      <c r="HY98" s="675">
        <v>31</v>
      </c>
      <c r="HZ98" s="675">
        <v>70</v>
      </c>
      <c r="IA98" s="675">
        <v>181</v>
      </c>
      <c r="IB98" s="675">
        <v>405</v>
      </c>
      <c r="IC98" s="675">
        <v>721</v>
      </c>
      <c r="ID98" s="675">
        <v>0</v>
      </c>
      <c r="IE98" s="675">
        <v>0</v>
      </c>
      <c r="IF98" s="675">
        <v>0</v>
      </c>
      <c r="IG98" s="675">
        <v>0</v>
      </c>
      <c r="IH98" s="675">
        <v>437.86200000000002</v>
      </c>
      <c r="II98" s="675">
        <v>0</v>
      </c>
      <c r="IJ98" s="675">
        <v>484.899</v>
      </c>
      <c r="IK98" s="675">
        <v>0</v>
      </c>
      <c r="IL98" s="675">
        <v>0</v>
      </c>
      <c r="IM98" s="675">
        <v>0</v>
      </c>
      <c r="IN98" s="675">
        <v>0</v>
      </c>
      <c r="IO98" s="675">
        <v>0</v>
      </c>
      <c r="IP98" s="675">
        <v>0</v>
      </c>
      <c r="IQ98" s="675">
        <v>484.899</v>
      </c>
      <c r="IR98" s="675">
        <v>298696</v>
      </c>
      <c r="IS98" s="675">
        <v>0</v>
      </c>
      <c r="IT98" s="675">
        <v>0</v>
      </c>
      <c r="IU98" s="675">
        <v>0</v>
      </c>
      <c r="IV98" s="675">
        <v>0</v>
      </c>
      <c r="IW98" s="675">
        <v>6160</v>
      </c>
      <c r="IX98" s="675">
        <v>0</v>
      </c>
      <c r="IY98" s="675">
        <v>0</v>
      </c>
      <c r="IZ98" s="675">
        <v>0</v>
      </c>
      <c r="JA98" s="675">
        <v>0</v>
      </c>
      <c r="JB98" s="675">
        <v>0</v>
      </c>
      <c r="JC98" s="675">
        <v>0</v>
      </c>
      <c r="JD98" s="675">
        <v>0</v>
      </c>
      <c r="JE98" s="675">
        <v>0</v>
      </c>
      <c r="JF98" s="675">
        <v>0</v>
      </c>
      <c r="JG98" s="675">
        <v>0</v>
      </c>
      <c r="JH98" s="675">
        <v>0</v>
      </c>
      <c r="JI98" s="675">
        <v>0</v>
      </c>
      <c r="JJ98" s="675">
        <v>0</v>
      </c>
      <c r="JK98" s="675">
        <v>0</v>
      </c>
      <c r="JL98" s="675">
        <v>0</v>
      </c>
      <c r="JM98" s="675">
        <v>0</v>
      </c>
      <c r="JN98" s="675">
        <v>32469</v>
      </c>
      <c r="JO98" s="675">
        <v>0</v>
      </c>
      <c r="JP98" s="675">
        <v>0</v>
      </c>
      <c r="JQ98" s="675">
        <v>0</v>
      </c>
      <c r="JR98" s="675">
        <v>0</v>
      </c>
      <c r="JS98" s="675">
        <v>0</v>
      </c>
      <c r="JT98" s="675">
        <v>0</v>
      </c>
      <c r="JU98" s="675">
        <v>0</v>
      </c>
      <c r="JV98" s="675">
        <v>0</v>
      </c>
      <c r="JW98" s="675">
        <v>0</v>
      </c>
      <c r="JX98" s="675">
        <v>0</v>
      </c>
      <c r="JY98" s="675">
        <v>0</v>
      </c>
      <c r="JZ98" s="675">
        <v>0</v>
      </c>
      <c r="KA98" s="675">
        <v>0</v>
      </c>
      <c r="KB98" s="675">
        <v>0</v>
      </c>
      <c r="KC98" s="675">
        <v>0</v>
      </c>
      <c r="KD98" s="675">
        <v>0</v>
      </c>
      <c r="KE98" s="675">
        <v>7263</v>
      </c>
      <c r="KF98" s="675">
        <v>401584</v>
      </c>
      <c r="KG98" s="675">
        <v>0</v>
      </c>
      <c r="KH98" s="675">
        <v>0</v>
      </c>
      <c r="KI98" s="675">
        <v>0</v>
      </c>
    </row>
    <row r="99" spans="1:295" ht="12.5" x14ac:dyDescent="0.25">
      <c r="A99" s="675">
        <v>35795</v>
      </c>
      <c r="B99" s="675">
        <v>220810</v>
      </c>
      <c r="C99" s="675">
        <v>7</v>
      </c>
      <c r="D99" s="675">
        <v>2022</v>
      </c>
      <c r="E99" s="675">
        <v>6160</v>
      </c>
      <c r="F99" s="675">
        <v>0</v>
      </c>
      <c r="G99" s="675">
        <v>841.798</v>
      </c>
      <c r="H99" s="675">
        <v>777.31600000000003</v>
      </c>
      <c r="I99" s="675">
        <v>777.31600000000003</v>
      </c>
      <c r="J99" s="675">
        <v>841.798</v>
      </c>
      <c r="K99" s="675">
        <v>0</v>
      </c>
      <c r="L99" s="675">
        <v>6160</v>
      </c>
      <c r="M99" s="675">
        <v>0</v>
      </c>
      <c r="N99" s="675">
        <v>0</v>
      </c>
      <c r="O99" s="675">
        <v>0</v>
      </c>
      <c r="P99" s="675">
        <v>835.32500000000005</v>
      </c>
      <c r="Q99" s="675">
        <v>0</v>
      </c>
      <c r="R99" s="675">
        <v>336158</v>
      </c>
      <c r="S99" s="675">
        <v>402.428</v>
      </c>
      <c r="T99" s="675">
        <v>0</v>
      </c>
      <c r="U99" s="675">
        <v>178761</v>
      </c>
      <c r="V99" s="675">
        <v>16.257000000000001</v>
      </c>
      <c r="W99" s="675">
        <v>10014</v>
      </c>
      <c r="X99" s="675">
        <v>10014</v>
      </c>
      <c r="Y99" s="675">
        <v>0</v>
      </c>
      <c r="Z99" s="675">
        <v>0</v>
      </c>
      <c r="AA99" s="675">
        <v>0</v>
      </c>
      <c r="AB99" s="675">
        <v>0</v>
      </c>
      <c r="AC99" s="675">
        <v>0</v>
      </c>
      <c r="AD99" s="675" t="s">
        <v>316</v>
      </c>
      <c r="AE99" s="675">
        <v>0</v>
      </c>
      <c r="AF99" s="675">
        <v>0</v>
      </c>
      <c r="AG99" s="675">
        <v>0</v>
      </c>
      <c r="AH99" s="675">
        <v>0</v>
      </c>
      <c r="AI99" s="675">
        <v>0</v>
      </c>
      <c r="AJ99" s="675">
        <v>6160</v>
      </c>
      <c r="AK99" s="675" t="s">
        <v>671</v>
      </c>
      <c r="AL99" s="675" t="s">
        <v>0</v>
      </c>
      <c r="AM99" s="675">
        <v>0</v>
      </c>
      <c r="AN99" s="675">
        <v>0</v>
      </c>
      <c r="AO99" s="675">
        <v>0</v>
      </c>
      <c r="AP99" s="675">
        <v>0</v>
      </c>
      <c r="AQ99" s="675">
        <v>0</v>
      </c>
      <c r="AR99" s="675">
        <v>0</v>
      </c>
      <c r="AS99" s="675">
        <v>0</v>
      </c>
      <c r="AT99" s="675">
        <v>0</v>
      </c>
      <c r="AU99" s="675">
        <v>0</v>
      </c>
      <c r="AV99" s="675">
        <v>-1936</v>
      </c>
      <c r="AW99" s="675">
        <v>7204780</v>
      </c>
      <c r="AX99" s="675">
        <v>7057170</v>
      </c>
      <c r="AY99" s="675">
        <v>4800950</v>
      </c>
      <c r="AZ99" s="675">
        <v>336158</v>
      </c>
      <c r="BA99" s="675">
        <v>0</v>
      </c>
      <c r="BB99" s="675">
        <v>0</v>
      </c>
      <c r="BC99" s="675">
        <v>0</v>
      </c>
      <c r="BD99" s="675">
        <v>0</v>
      </c>
      <c r="BE99" s="675">
        <v>0</v>
      </c>
      <c r="BF99" s="675">
        <v>6581815</v>
      </c>
      <c r="BG99" s="675">
        <v>0</v>
      </c>
      <c r="BH99" s="675">
        <v>0</v>
      </c>
      <c r="BI99" s="675">
        <v>0</v>
      </c>
      <c r="BJ99" s="675">
        <v>12</v>
      </c>
      <c r="BK99" s="675">
        <v>0</v>
      </c>
      <c r="BL99" s="675">
        <v>0</v>
      </c>
      <c r="BM99" s="675">
        <v>0</v>
      </c>
      <c r="BN99" s="675">
        <v>0</v>
      </c>
      <c r="BO99" s="675">
        <v>0</v>
      </c>
      <c r="BP99" s="675">
        <v>0</v>
      </c>
      <c r="BQ99" s="675">
        <v>650</v>
      </c>
      <c r="BR99" s="675">
        <v>0</v>
      </c>
      <c r="BS99" s="675">
        <v>0</v>
      </c>
      <c r="BT99" s="675">
        <v>0</v>
      </c>
      <c r="BU99" s="675">
        <v>0</v>
      </c>
      <c r="BV99" s="675">
        <v>0</v>
      </c>
      <c r="BW99" s="675">
        <v>0</v>
      </c>
      <c r="BX99" s="675">
        <v>0</v>
      </c>
      <c r="BY99" s="675">
        <v>0</v>
      </c>
      <c r="BZ99" s="675">
        <v>0</v>
      </c>
      <c r="CA99" s="675">
        <v>0</v>
      </c>
      <c r="CB99" s="675">
        <v>0</v>
      </c>
      <c r="CC99" s="675">
        <v>0</v>
      </c>
      <c r="CD99" s="675">
        <v>0</v>
      </c>
      <c r="CE99" s="675">
        <v>0</v>
      </c>
      <c r="CF99" s="675">
        <v>0</v>
      </c>
      <c r="CG99" s="675">
        <v>0</v>
      </c>
      <c r="CH99" s="675">
        <v>148624</v>
      </c>
      <c r="CI99" s="675">
        <v>0</v>
      </c>
      <c r="CJ99" s="675">
        <v>4</v>
      </c>
      <c r="CK99" s="675">
        <v>0</v>
      </c>
      <c r="CL99" s="675">
        <v>0</v>
      </c>
      <c r="CM99" s="675">
        <v>0</v>
      </c>
      <c r="CN99" s="675">
        <v>0</v>
      </c>
      <c r="CO99" s="675">
        <v>1</v>
      </c>
      <c r="CP99" s="675">
        <v>0</v>
      </c>
      <c r="CQ99" s="675">
        <v>0</v>
      </c>
      <c r="CR99" s="675">
        <v>893.70300000000009</v>
      </c>
      <c r="CS99" s="675">
        <v>0</v>
      </c>
      <c r="CT99" s="675">
        <v>0</v>
      </c>
      <c r="CU99" s="675">
        <v>0</v>
      </c>
      <c r="CV99" s="675">
        <v>0</v>
      </c>
      <c r="CW99" s="675">
        <v>0</v>
      </c>
      <c r="CX99" s="675">
        <v>0</v>
      </c>
      <c r="CY99" s="675">
        <v>0</v>
      </c>
      <c r="CZ99" s="675">
        <v>0</v>
      </c>
      <c r="DA99" s="675">
        <v>0</v>
      </c>
      <c r="DB99" s="675">
        <v>4778242</v>
      </c>
      <c r="DC99" s="675">
        <v>0</v>
      </c>
      <c r="DD99" s="675">
        <v>0</v>
      </c>
      <c r="DE99" s="675">
        <v>32956</v>
      </c>
      <c r="DF99" s="675">
        <v>32956</v>
      </c>
      <c r="DG99" s="675">
        <v>5.3500000000000005</v>
      </c>
      <c r="DH99" s="675">
        <v>0</v>
      </c>
      <c r="DI99" s="675">
        <v>0</v>
      </c>
      <c r="DJ99" s="675">
        <v>0</v>
      </c>
      <c r="DK99" s="675">
        <v>2027</v>
      </c>
      <c r="DL99" s="675">
        <v>0</v>
      </c>
      <c r="DM99" s="675">
        <v>279635</v>
      </c>
      <c r="DN99" s="675">
        <v>1014</v>
      </c>
      <c r="DO99" s="675">
        <v>0</v>
      </c>
      <c r="DP99" s="675">
        <v>0</v>
      </c>
      <c r="DQ99" s="675">
        <v>0</v>
      </c>
      <c r="DR99" s="675">
        <v>0</v>
      </c>
      <c r="DS99" s="675">
        <v>0</v>
      </c>
      <c r="DT99" s="675">
        <v>0</v>
      </c>
      <c r="DU99" s="675">
        <v>0</v>
      </c>
      <c r="DV99" s="675">
        <v>0</v>
      </c>
      <c r="DW99" s="675">
        <v>0</v>
      </c>
      <c r="DX99" s="675">
        <v>0</v>
      </c>
      <c r="DY99" s="675">
        <v>0</v>
      </c>
      <c r="DZ99" s="675">
        <v>0</v>
      </c>
      <c r="EA99" s="675">
        <v>0</v>
      </c>
      <c r="EB99" s="675">
        <v>0</v>
      </c>
      <c r="EC99" s="675">
        <v>2.4830000000000001</v>
      </c>
      <c r="ED99" s="675">
        <v>17589</v>
      </c>
      <c r="EE99" s="675">
        <v>0</v>
      </c>
      <c r="EF99" s="675">
        <v>0</v>
      </c>
      <c r="EG99" s="675">
        <v>0</v>
      </c>
      <c r="EH99" s="675">
        <v>253058</v>
      </c>
      <c r="EI99" s="675">
        <v>0</v>
      </c>
      <c r="EJ99" s="675">
        <v>0</v>
      </c>
      <c r="EK99" s="675">
        <v>11.482000000000001</v>
      </c>
      <c r="EL99" s="675">
        <v>0</v>
      </c>
      <c r="EM99" s="675">
        <v>0</v>
      </c>
      <c r="EN99" s="675">
        <v>1.327</v>
      </c>
      <c r="EO99" s="675">
        <v>0</v>
      </c>
      <c r="EP99" s="675">
        <v>0</v>
      </c>
      <c r="EQ99" s="675">
        <v>12.809000000000001</v>
      </c>
      <c r="ER99" s="675">
        <v>0</v>
      </c>
      <c r="ES99" s="675">
        <v>41.081000000000003</v>
      </c>
      <c r="ET99" s="675">
        <v>0</v>
      </c>
      <c r="EU99" s="675">
        <v>0</v>
      </c>
      <c r="EV99" s="675">
        <v>0</v>
      </c>
      <c r="EW99" s="675">
        <v>0</v>
      </c>
      <c r="EX99" s="675">
        <v>0</v>
      </c>
      <c r="EY99" s="675">
        <v>0</v>
      </c>
      <c r="EZ99" s="675">
        <v>6249194</v>
      </c>
      <c r="FA99" s="675">
        <v>0</v>
      </c>
      <c r="FB99" s="675">
        <v>6584338</v>
      </c>
      <c r="FC99" s="675">
        <v>0</v>
      </c>
      <c r="FD99" s="675">
        <v>0</v>
      </c>
      <c r="FE99" s="675">
        <v>669505</v>
      </c>
      <c r="FF99" s="675">
        <v>138471</v>
      </c>
      <c r="FG99" s="675">
        <v>6.3574999999999993E-2</v>
      </c>
      <c r="FH99" s="675">
        <v>2.6297999999999998E-2</v>
      </c>
      <c r="FI99" s="675">
        <v>0</v>
      </c>
      <c r="FJ99" s="675">
        <v>0</v>
      </c>
      <c r="FK99" s="675">
        <v>1068.481</v>
      </c>
      <c r="FL99" s="675">
        <v>7540938</v>
      </c>
      <c r="FM99" s="675">
        <v>0</v>
      </c>
      <c r="FN99" s="675">
        <v>0</v>
      </c>
      <c r="FO99" s="675">
        <v>0</v>
      </c>
      <c r="FP99" s="675">
        <v>0</v>
      </c>
      <c r="FQ99" s="675">
        <v>0</v>
      </c>
      <c r="FR99" s="675">
        <v>0</v>
      </c>
      <c r="FS99" s="675">
        <v>0</v>
      </c>
      <c r="FT99" s="675">
        <v>0</v>
      </c>
      <c r="FU99" s="675">
        <v>0</v>
      </c>
      <c r="FV99" s="675">
        <v>0</v>
      </c>
      <c r="FW99" s="675">
        <v>0</v>
      </c>
      <c r="FX99" s="675">
        <v>0</v>
      </c>
      <c r="FY99" s="675">
        <v>0</v>
      </c>
      <c r="FZ99" s="675">
        <v>0</v>
      </c>
      <c r="GA99" s="675">
        <v>0</v>
      </c>
      <c r="GB99" s="675">
        <v>473553</v>
      </c>
      <c r="GC99" s="675">
        <v>473553</v>
      </c>
      <c r="GD99" s="675">
        <v>51.673000000000002</v>
      </c>
      <c r="GE99" s="675">
        <v>0</v>
      </c>
      <c r="GF99" s="675">
        <v>0</v>
      </c>
      <c r="GG99" s="675">
        <v>0</v>
      </c>
      <c r="GH99" s="675">
        <v>0</v>
      </c>
      <c r="GI99" s="675">
        <v>0</v>
      </c>
      <c r="GJ99" s="675">
        <v>0</v>
      </c>
      <c r="GK99" s="675">
        <v>0</v>
      </c>
      <c r="GL99" s="675">
        <v>0</v>
      </c>
      <c r="GM99" s="675">
        <v>0</v>
      </c>
      <c r="GN99" s="675">
        <v>0</v>
      </c>
      <c r="GO99" s="675">
        <v>0</v>
      </c>
      <c r="GP99" s="675">
        <v>0</v>
      </c>
      <c r="GQ99" s="675">
        <v>0</v>
      </c>
      <c r="GR99" s="675">
        <v>0</v>
      </c>
      <c r="GS99" s="675">
        <v>0</v>
      </c>
      <c r="GT99" s="675">
        <v>0</v>
      </c>
      <c r="GU99" s="675">
        <v>0</v>
      </c>
      <c r="GV99" s="675">
        <v>0</v>
      </c>
      <c r="GW99" s="675">
        <v>0</v>
      </c>
      <c r="GX99" s="675">
        <v>0</v>
      </c>
      <c r="GY99" s="675">
        <v>0</v>
      </c>
      <c r="GZ99" s="675">
        <v>0</v>
      </c>
      <c r="HA99" s="675">
        <v>0</v>
      </c>
      <c r="HB99" s="675">
        <v>308877260</v>
      </c>
      <c r="HC99" s="675">
        <v>4.4138999999999998E-2</v>
      </c>
      <c r="HD99" s="675">
        <v>148624</v>
      </c>
      <c r="HE99" s="675">
        <v>0</v>
      </c>
      <c r="HF99" s="675">
        <v>857380</v>
      </c>
      <c r="HG99" s="675">
        <v>26488</v>
      </c>
      <c r="HH99" s="675">
        <v>7351</v>
      </c>
      <c r="HI99" s="675">
        <v>0</v>
      </c>
      <c r="HJ99" s="675">
        <v>8182</v>
      </c>
      <c r="HK99" s="675">
        <v>3537</v>
      </c>
      <c r="HL99" s="675">
        <v>0</v>
      </c>
      <c r="HM99" s="675">
        <v>107000</v>
      </c>
      <c r="HN99" s="675">
        <v>0</v>
      </c>
      <c r="HO99" s="675">
        <v>0</v>
      </c>
      <c r="HP99" s="675">
        <v>0</v>
      </c>
      <c r="HQ99" s="675">
        <v>0</v>
      </c>
      <c r="HR99" s="675">
        <v>0</v>
      </c>
      <c r="HS99" s="675">
        <v>6248180</v>
      </c>
      <c r="HT99" s="675">
        <v>138471</v>
      </c>
      <c r="HU99" s="675">
        <v>0</v>
      </c>
      <c r="HV99" s="675">
        <v>0</v>
      </c>
      <c r="HW99" s="675">
        <v>0</v>
      </c>
      <c r="HX99" s="675">
        <v>14</v>
      </c>
      <c r="HY99" s="675">
        <v>6</v>
      </c>
      <c r="HZ99" s="675">
        <v>1</v>
      </c>
      <c r="IA99" s="675">
        <v>2</v>
      </c>
      <c r="IB99" s="675">
        <v>0</v>
      </c>
      <c r="IC99" s="675">
        <v>23</v>
      </c>
      <c r="ID99" s="675">
        <v>0</v>
      </c>
      <c r="IE99" s="675">
        <v>0</v>
      </c>
      <c r="IF99" s="675">
        <v>0</v>
      </c>
      <c r="IG99" s="675">
        <v>43</v>
      </c>
      <c r="IH99" s="675">
        <v>11.934000000000001</v>
      </c>
      <c r="II99" s="675">
        <v>0</v>
      </c>
      <c r="IJ99" s="675">
        <v>16.257000000000001</v>
      </c>
      <c r="IK99" s="675">
        <v>0</v>
      </c>
      <c r="IL99" s="675">
        <v>1</v>
      </c>
      <c r="IM99" s="675">
        <v>34</v>
      </c>
      <c r="IN99" s="675">
        <v>0</v>
      </c>
      <c r="IO99" s="675">
        <v>35</v>
      </c>
      <c r="IP99" s="675">
        <v>0</v>
      </c>
      <c r="IQ99" s="675">
        <v>16.257000000000001</v>
      </c>
      <c r="IR99" s="675">
        <v>10014</v>
      </c>
      <c r="IS99" s="675">
        <v>0</v>
      </c>
      <c r="IT99" s="675">
        <v>5000</v>
      </c>
      <c r="IU99" s="675">
        <v>102000</v>
      </c>
      <c r="IV99" s="675">
        <v>0</v>
      </c>
      <c r="IW99" s="675">
        <v>6160</v>
      </c>
      <c r="IX99" s="675">
        <v>0</v>
      </c>
      <c r="IY99" s="675">
        <v>0</v>
      </c>
      <c r="IZ99" s="675">
        <v>0</v>
      </c>
      <c r="JA99" s="675">
        <v>0</v>
      </c>
      <c r="JB99" s="675">
        <v>0</v>
      </c>
      <c r="JC99" s="675">
        <v>0</v>
      </c>
      <c r="JD99" s="675">
        <v>0</v>
      </c>
      <c r="JE99" s="675">
        <v>0</v>
      </c>
      <c r="JF99" s="675">
        <v>0</v>
      </c>
      <c r="JG99" s="675">
        <v>0</v>
      </c>
      <c r="JH99" s="675">
        <v>0</v>
      </c>
      <c r="JI99" s="675">
        <v>0</v>
      </c>
      <c r="JJ99" s="675">
        <v>0</v>
      </c>
      <c r="JK99" s="675">
        <v>0</v>
      </c>
      <c r="JL99" s="675">
        <v>0</v>
      </c>
      <c r="JM99" s="675">
        <v>0</v>
      </c>
      <c r="JN99" s="675">
        <v>32469</v>
      </c>
      <c r="JO99" s="675">
        <v>15.654</v>
      </c>
      <c r="JP99" s="675">
        <v>26.14</v>
      </c>
      <c r="JQ99" s="675">
        <v>9.8790000000000013</v>
      </c>
      <c r="JR99" s="675">
        <v>125065</v>
      </c>
      <c r="JS99" s="675">
        <v>243014</v>
      </c>
      <c r="JT99" s="675">
        <v>105474</v>
      </c>
      <c r="JU99" s="675">
        <v>0</v>
      </c>
      <c r="JV99" s="675">
        <v>0</v>
      </c>
      <c r="JW99" s="675">
        <v>0</v>
      </c>
      <c r="JX99" s="675">
        <v>0</v>
      </c>
      <c r="JY99" s="675">
        <v>0</v>
      </c>
      <c r="JZ99" s="675">
        <v>0</v>
      </c>
      <c r="KA99" s="675">
        <v>0</v>
      </c>
      <c r="KB99" s="675">
        <v>0</v>
      </c>
      <c r="KC99" s="675">
        <v>0</v>
      </c>
      <c r="KD99" s="675">
        <v>0</v>
      </c>
      <c r="KE99" s="675">
        <v>7263</v>
      </c>
      <c r="KF99" s="675">
        <v>0</v>
      </c>
      <c r="KG99" s="675">
        <v>0</v>
      </c>
      <c r="KH99" s="675">
        <v>0</v>
      </c>
      <c r="KI99" s="675">
        <v>0</v>
      </c>
    </row>
    <row r="100" spans="1:295" ht="12.5" x14ac:dyDescent="0.25">
      <c r="A100" s="675">
        <v>35795</v>
      </c>
      <c r="B100" s="675">
        <v>101811</v>
      </c>
      <c r="C100" s="675">
        <v>7</v>
      </c>
      <c r="D100" s="675">
        <v>2022</v>
      </c>
      <c r="E100" s="675">
        <v>6160</v>
      </c>
      <c r="F100" s="675">
        <v>0</v>
      </c>
      <c r="G100" s="675">
        <v>184.13500000000002</v>
      </c>
      <c r="H100" s="675">
        <v>156.364</v>
      </c>
      <c r="I100" s="675">
        <v>156.364</v>
      </c>
      <c r="J100" s="675">
        <v>184.13500000000002</v>
      </c>
      <c r="K100" s="675">
        <v>0</v>
      </c>
      <c r="L100" s="675">
        <v>6160</v>
      </c>
      <c r="M100" s="675">
        <v>0</v>
      </c>
      <c r="N100" s="675">
        <v>0</v>
      </c>
      <c r="O100" s="675">
        <v>0</v>
      </c>
      <c r="P100" s="675">
        <v>176.00300000000001</v>
      </c>
      <c r="Q100" s="675">
        <v>0</v>
      </c>
      <c r="R100" s="675">
        <v>70829</v>
      </c>
      <c r="S100" s="675">
        <v>402.428</v>
      </c>
      <c r="T100" s="675">
        <v>0</v>
      </c>
      <c r="U100" s="675">
        <v>37665</v>
      </c>
      <c r="V100" s="675">
        <v>22.32</v>
      </c>
      <c r="W100" s="675">
        <v>13749</v>
      </c>
      <c r="X100" s="675">
        <v>13749</v>
      </c>
      <c r="Y100" s="675">
        <v>0</v>
      </c>
      <c r="Z100" s="675">
        <v>0</v>
      </c>
      <c r="AA100" s="675">
        <v>0</v>
      </c>
      <c r="AB100" s="675">
        <v>0</v>
      </c>
      <c r="AC100" s="675">
        <v>0</v>
      </c>
      <c r="AD100" s="675" t="s">
        <v>316</v>
      </c>
      <c r="AE100" s="675">
        <v>0</v>
      </c>
      <c r="AF100" s="675">
        <v>0</v>
      </c>
      <c r="AG100" s="675">
        <v>0</v>
      </c>
      <c r="AH100" s="675">
        <v>0</v>
      </c>
      <c r="AI100" s="675">
        <v>0</v>
      </c>
      <c r="AJ100" s="675">
        <v>6160</v>
      </c>
      <c r="AK100" s="675" t="s">
        <v>671</v>
      </c>
      <c r="AL100" s="675" t="s">
        <v>345</v>
      </c>
      <c r="AM100" s="675">
        <v>0</v>
      </c>
      <c r="AN100" s="675">
        <v>0</v>
      </c>
      <c r="AO100" s="675">
        <v>0</v>
      </c>
      <c r="AP100" s="675">
        <v>0</v>
      </c>
      <c r="AQ100" s="675">
        <v>0</v>
      </c>
      <c r="AR100" s="675">
        <v>0</v>
      </c>
      <c r="AS100" s="675">
        <v>0</v>
      </c>
      <c r="AT100" s="675">
        <v>0</v>
      </c>
      <c r="AU100" s="675">
        <v>0</v>
      </c>
      <c r="AV100" s="675">
        <v>-1015</v>
      </c>
      <c r="AW100" s="675">
        <v>2536716</v>
      </c>
      <c r="AX100" s="675">
        <v>2472623</v>
      </c>
      <c r="AY100" s="675">
        <v>1785185</v>
      </c>
      <c r="AZ100" s="675">
        <v>70829</v>
      </c>
      <c r="BA100" s="675">
        <v>0</v>
      </c>
      <c r="BB100" s="675">
        <v>0</v>
      </c>
      <c r="BC100" s="675">
        <v>0</v>
      </c>
      <c r="BD100" s="675">
        <v>0</v>
      </c>
      <c r="BE100" s="675">
        <v>0</v>
      </c>
      <c r="BF100" s="675">
        <v>2203076</v>
      </c>
      <c r="BG100" s="675">
        <v>0</v>
      </c>
      <c r="BH100" s="675">
        <v>0</v>
      </c>
      <c r="BI100" s="675">
        <v>0</v>
      </c>
      <c r="BJ100" s="675">
        <v>12</v>
      </c>
      <c r="BK100" s="675">
        <v>0</v>
      </c>
      <c r="BL100" s="675">
        <v>0</v>
      </c>
      <c r="BM100" s="675">
        <v>0</v>
      </c>
      <c r="BN100" s="675">
        <v>0</v>
      </c>
      <c r="BO100" s="675">
        <v>0</v>
      </c>
      <c r="BP100" s="675">
        <v>0</v>
      </c>
      <c r="BQ100" s="675">
        <v>746</v>
      </c>
      <c r="BR100" s="675">
        <v>0</v>
      </c>
      <c r="BS100" s="675">
        <v>0</v>
      </c>
      <c r="BT100" s="675">
        <v>0</v>
      </c>
      <c r="BU100" s="675">
        <v>0</v>
      </c>
      <c r="BV100" s="675">
        <v>0</v>
      </c>
      <c r="BW100" s="675">
        <v>0</v>
      </c>
      <c r="BX100" s="675">
        <v>0</v>
      </c>
      <c r="BY100" s="675">
        <v>0</v>
      </c>
      <c r="BZ100" s="675">
        <v>0</v>
      </c>
      <c r="CA100" s="675">
        <v>0</v>
      </c>
      <c r="CB100" s="675">
        <v>0</v>
      </c>
      <c r="CC100" s="675">
        <v>0</v>
      </c>
      <c r="CD100" s="675">
        <v>0</v>
      </c>
      <c r="CE100" s="675">
        <v>0</v>
      </c>
      <c r="CF100" s="675">
        <v>0</v>
      </c>
      <c r="CG100" s="675">
        <v>0</v>
      </c>
      <c r="CH100" s="675">
        <v>66745</v>
      </c>
      <c r="CI100" s="675">
        <v>0</v>
      </c>
      <c r="CJ100" s="675">
        <v>4</v>
      </c>
      <c r="CK100" s="675">
        <v>0</v>
      </c>
      <c r="CL100" s="675">
        <v>0</v>
      </c>
      <c r="CM100" s="675">
        <v>0</v>
      </c>
      <c r="CN100" s="675">
        <v>0</v>
      </c>
      <c r="CO100" s="675">
        <v>1</v>
      </c>
      <c r="CP100" s="675">
        <v>0</v>
      </c>
      <c r="CQ100" s="675">
        <v>0</v>
      </c>
      <c r="CR100" s="675">
        <v>171.31400000000002</v>
      </c>
      <c r="CS100" s="675">
        <v>0</v>
      </c>
      <c r="CT100" s="675">
        <v>0</v>
      </c>
      <c r="CU100" s="675">
        <v>0</v>
      </c>
      <c r="CV100" s="675">
        <v>0</v>
      </c>
      <c r="CW100" s="675">
        <v>0</v>
      </c>
      <c r="CX100" s="675">
        <v>0</v>
      </c>
      <c r="CY100" s="675">
        <v>0</v>
      </c>
      <c r="CZ100" s="675">
        <v>0</v>
      </c>
      <c r="DA100" s="675">
        <v>0</v>
      </c>
      <c r="DB100" s="675">
        <v>651278</v>
      </c>
      <c r="DC100" s="675">
        <v>0</v>
      </c>
      <c r="DD100" s="675">
        <v>0</v>
      </c>
      <c r="DE100" s="675">
        <v>342879</v>
      </c>
      <c r="DF100" s="675">
        <v>342879</v>
      </c>
      <c r="DG100" s="675">
        <v>55.663000000000004</v>
      </c>
      <c r="DH100" s="675">
        <v>0</v>
      </c>
      <c r="DI100" s="675">
        <v>0</v>
      </c>
      <c r="DJ100" s="675">
        <v>0</v>
      </c>
      <c r="DK100" s="675">
        <v>3557</v>
      </c>
      <c r="DL100" s="675">
        <v>0</v>
      </c>
      <c r="DM100" s="675">
        <v>1016720</v>
      </c>
      <c r="DN100" s="675">
        <v>2651</v>
      </c>
      <c r="DO100" s="675">
        <v>0</v>
      </c>
      <c r="DP100" s="675">
        <v>0</v>
      </c>
      <c r="DQ100" s="675">
        <v>0</v>
      </c>
      <c r="DR100" s="675">
        <v>0</v>
      </c>
      <c r="DS100" s="675">
        <v>0</v>
      </c>
      <c r="DT100" s="675">
        <v>0</v>
      </c>
      <c r="DU100" s="675">
        <v>0</v>
      </c>
      <c r="DV100" s="675">
        <v>0</v>
      </c>
      <c r="DW100" s="675">
        <v>0</v>
      </c>
      <c r="DX100" s="675">
        <v>0</v>
      </c>
      <c r="DY100" s="675">
        <v>0</v>
      </c>
      <c r="DZ100" s="675">
        <v>0</v>
      </c>
      <c r="EA100" s="675">
        <v>0</v>
      </c>
      <c r="EB100" s="675">
        <v>0</v>
      </c>
      <c r="EC100" s="675">
        <v>3.9240000000000004</v>
      </c>
      <c r="ED100" s="675">
        <v>27797</v>
      </c>
      <c r="EE100" s="675">
        <v>0</v>
      </c>
      <c r="EF100" s="675">
        <v>0</v>
      </c>
      <c r="EG100" s="675">
        <v>0</v>
      </c>
      <c r="EH100" s="675">
        <v>13860</v>
      </c>
      <c r="EI100" s="675">
        <v>665794</v>
      </c>
      <c r="EJ100" s="675">
        <v>27.021000000000001</v>
      </c>
      <c r="EK100" s="675">
        <v>0.75</v>
      </c>
      <c r="EL100" s="675">
        <v>0</v>
      </c>
      <c r="EM100" s="675">
        <v>0</v>
      </c>
      <c r="EN100" s="675">
        <v>0</v>
      </c>
      <c r="EO100" s="675">
        <v>0</v>
      </c>
      <c r="EP100" s="675">
        <v>0</v>
      </c>
      <c r="EQ100" s="675">
        <v>27.771000000000001</v>
      </c>
      <c r="ER100" s="675">
        <v>0</v>
      </c>
      <c r="ES100" s="675">
        <v>2.25</v>
      </c>
      <c r="ET100" s="675">
        <v>0</v>
      </c>
      <c r="EU100" s="675">
        <v>0</v>
      </c>
      <c r="EV100" s="675">
        <v>0</v>
      </c>
      <c r="EW100" s="675">
        <v>0</v>
      </c>
      <c r="EX100" s="675">
        <v>0</v>
      </c>
      <c r="EY100" s="675">
        <v>0</v>
      </c>
      <c r="EZ100" s="675">
        <v>2202176</v>
      </c>
      <c r="FA100" s="675">
        <v>0</v>
      </c>
      <c r="FB100" s="675">
        <v>2270353</v>
      </c>
      <c r="FC100" s="675">
        <v>0</v>
      </c>
      <c r="FD100" s="675">
        <v>0</v>
      </c>
      <c r="FE100" s="675">
        <v>224098</v>
      </c>
      <c r="FF100" s="675">
        <v>46349</v>
      </c>
      <c r="FG100" s="675">
        <v>6.3574999999999993E-2</v>
      </c>
      <c r="FH100" s="675">
        <v>2.6297999999999998E-2</v>
      </c>
      <c r="FI100" s="675">
        <v>0</v>
      </c>
      <c r="FJ100" s="675">
        <v>0</v>
      </c>
      <c r="FK100" s="675">
        <v>357.64400000000001</v>
      </c>
      <c r="FL100" s="675">
        <v>2607545</v>
      </c>
      <c r="FM100" s="675">
        <v>0</v>
      </c>
      <c r="FN100" s="675">
        <v>0</v>
      </c>
      <c r="FO100" s="675">
        <v>0</v>
      </c>
      <c r="FP100" s="675">
        <v>0</v>
      </c>
      <c r="FQ100" s="675">
        <v>0</v>
      </c>
      <c r="FR100" s="675">
        <v>0</v>
      </c>
      <c r="FS100" s="675">
        <v>0</v>
      </c>
      <c r="FT100" s="675">
        <v>0</v>
      </c>
      <c r="FU100" s="675">
        <v>0</v>
      </c>
      <c r="FV100" s="675">
        <v>0</v>
      </c>
      <c r="FW100" s="675">
        <v>0</v>
      </c>
      <c r="FX100" s="675">
        <v>0</v>
      </c>
      <c r="FY100" s="675">
        <v>0</v>
      </c>
      <c r="FZ100" s="675">
        <v>0</v>
      </c>
      <c r="GA100" s="675">
        <v>0</v>
      </c>
      <c r="GB100" s="675">
        <v>0</v>
      </c>
      <c r="GC100" s="675">
        <v>0</v>
      </c>
      <c r="GD100" s="675">
        <v>0</v>
      </c>
      <c r="GE100" s="675">
        <v>0</v>
      </c>
      <c r="GF100" s="675">
        <v>0</v>
      </c>
      <c r="GG100" s="675">
        <v>0</v>
      </c>
      <c r="GH100" s="675">
        <v>0</v>
      </c>
      <c r="GI100" s="675">
        <v>0</v>
      </c>
      <c r="GJ100" s="675">
        <v>0</v>
      </c>
      <c r="GK100" s="675">
        <v>0</v>
      </c>
      <c r="GL100" s="675">
        <v>0</v>
      </c>
      <c r="GM100" s="675">
        <v>0</v>
      </c>
      <c r="GN100" s="675">
        <v>0</v>
      </c>
      <c r="GO100" s="675">
        <v>0</v>
      </c>
      <c r="GP100" s="675">
        <v>0</v>
      </c>
      <c r="GQ100" s="675">
        <v>0</v>
      </c>
      <c r="GR100" s="675">
        <v>0</v>
      </c>
      <c r="GS100" s="675">
        <v>0</v>
      </c>
      <c r="GT100" s="675">
        <v>0</v>
      </c>
      <c r="GU100" s="675">
        <v>0</v>
      </c>
      <c r="GV100" s="675">
        <v>0</v>
      </c>
      <c r="GW100" s="675">
        <v>0</v>
      </c>
      <c r="GX100" s="675">
        <v>0</v>
      </c>
      <c r="GY100" s="675">
        <v>0</v>
      </c>
      <c r="GZ100" s="675">
        <v>0</v>
      </c>
      <c r="HA100" s="675">
        <v>0</v>
      </c>
      <c r="HB100" s="675">
        <v>308877260</v>
      </c>
      <c r="HC100" s="675">
        <v>4.4138999999999998E-2</v>
      </c>
      <c r="HD100" s="675">
        <v>32510</v>
      </c>
      <c r="HE100" s="675">
        <v>0</v>
      </c>
      <c r="HF100" s="675">
        <v>172469</v>
      </c>
      <c r="HG100" s="675">
        <v>1540</v>
      </c>
      <c r="HH100" s="675">
        <v>0</v>
      </c>
      <c r="HI100" s="675">
        <v>0</v>
      </c>
      <c r="HJ100" s="675">
        <v>1790</v>
      </c>
      <c r="HK100" s="675">
        <v>1944</v>
      </c>
      <c r="HL100" s="675">
        <v>0</v>
      </c>
      <c r="HM100" s="675">
        <v>0</v>
      </c>
      <c r="HN100" s="675">
        <v>0</v>
      </c>
      <c r="HO100" s="675">
        <v>0</v>
      </c>
      <c r="HP100" s="675">
        <v>54780</v>
      </c>
      <c r="HQ100" s="675">
        <v>0</v>
      </c>
      <c r="HR100" s="675">
        <v>0</v>
      </c>
      <c r="HS100" s="675">
        <v>2199524</v>
      </c>
      <c r="HT100" s="675">
        <v>46349</v>
      </c>
      <c r="HU100" s="675">
        <v>0</v>
      </c>
      <c r="HV100" s="675">
        <v>0</v>
      </c>
      <c r="HW100" s="675">
        <v>0</v>
      </c>
      <c r="HX100" s="675">
        <v>34</v>
      </c>
      <c r="HY100" s="675">
        <v>24</v>
      </c>
      <c r="HZ100" s="675">
        <v>37</v>
      </c>
      <c r="IA100" s="675">
        <v>39</v>
      </c>
      <c r="IB100" s="675">
        <v>83</v>
      </c>
      <c r="IC100" s="675">
        <v>217</v>
      </c>
      <c r="ID100" s="675">
        <v>0</v>
      </c>
      <c r="IE100" s="675">
        <v>0</v>
      </c>
      <c r="IF100" s="675">
        <v>0</v>
      </c>
      <c r="IG100" s="675">
        <v>2.5</v>
      </c>
      <c r="IH100" s="675">
        <v>0</v>
      </c>
      <c r="II100" s="675">
        <v>199.20000000000002</v>
      </c>
      <c r="IJ100" s="675">
        <v>22.32</v>
      </c>
      <c r="IK100" s="675">
        <v>48.017000000000003</v>
      </c>
      <c r="IL100" s="675">
        <v>0</v>
      </c>
      <c r="IM100" s="675">
        <v>0</v>
      </c>
      <c r="IN100" s="675">
        <v>0</v>
      </c>
      <c r="IO100" s="675">
        <v>0</v>
      </c>
      <c r="IP100" s="675">
        <v>247.21700000000001</v>
      </c>
      <c r="IQ100" s="675">
        <v>22.32</v>
      </c>
      <c r="IR100" s="675">
        <v>13749</v>
      </c>
      <c r="IS100" s="675">
        <v>13205</v>
      </c>
      <c r="IT100" s="675">
        <v>0</v>
      </c>
      <c r="IU100" s="675">
        <v>0</v>
      </c>
      <c r="IV100" s="675">
        <v>0</v>
      </c>
      <c r="IW100" s="675">
        <v>6160</v>
      </c>
      <c r="IX100" s="675">
        <v>0</v>
      </c>
      <c r="IY100" s="675">
        <v>0</v>
      </c>
      <c r="IZ100" s="675">
        <v>67985</v>
      </c>
      <c r="JA100" s="675">
        <v>0</v>
      </c>
      <c r="JB100" s="675">
        <v>0</v>
      </c>
      <c r="JC100" s="675">
        <v>0</v>
      </c>
      <c r="JD100" s="675">
        <v>0</v>
      </c>
      <c r="JE100" s="675">
        <v>0</v>
      </c>
      <c r="JF100" s="675">
        <v>0</v>
      </c>
      <c r="JG100" s="675">
        <v>0</v>
      </c>
      <c r="JH100" s="675">
        <v>0</v>
      </c>
      <c r="JI100" s="675">
        <v>0</v>
      </c>
      <c r="JJ100" s="675">
        <v>0</v>
      </c>
      <c r="JK100" s="675">
        <v>0</v>
      </c>
      <c r="JL100" s="675">
        <v>0</v>
      </c>
      <c r="JM100" s="675">
        <v>0</v>
      </c>
      <c r="JN100" s="675">
        <v>32469</v>
      </c>
      <c r="JO100" s="675">
        <v>0</v>
      </c>
      <c r="JP100" s="675">
        <v>0</v>
      </c>
      <c r="JQ100" s="675">
        <v>0</v>
      </c>
      <c r="JR100" s="675">
        <v>0</v>
      </c>
      <c r="JS100" s="675">
        <v>0</v>
      </c>
      <c r="JT100" s="675">
        <v>0</v>
      </c>
      <c r="JU100" s="675">
        <v>0</v>
      </c>
      <c r="JV100" s="675">
        <v>0</v>
      </c>
      <c r="JW100" s="675">
        <v>0</v>
      </c>
      <c r="JX100" s="675">
        <v>0</v>
      </c>
      <c r="JY100" s="675">
        <v>0</v>
      </c>
      <c r="JZ100" s="675">
        <v>0</v>
      </c>
      <c r="KA100" s="675">
        <v>0</v>
      </c>
      <c r="KB100" s="675">
        <v>0</v>
      </c>
      <c r="KC100" s="675">
        <v>0</v>
      </c>
      <c r="KD100" s="675">
        <v>0</v>
      </c>
      <c r="KE100" s="675">
        <v>7263</v>
      </c>
      <c r="KF100" s="675">
        <v>34235</v>
      </c>
      <c r="KG100" s="675">
        <v>0</v>
      </c>
      <c r="KH100" s="675">
        <v>0</v>
      </c>
      <c r="KI100" s="675">
        <v>0</v>
      </c>
    </row>
    <row r="101" spans="1:295" ht="12.5" x14ac:dyDescent="0.25">
      <c r="A101" s="675">
        <v>35795</v>
      </c>
      <c r="B101" s="675">
        <v>220811</v>
      </c>
      <c r="C101" s="675">
        <v>7</v>
      </c>
      <c r="D101" s="675">
        <v>2022</v>
      </c>
      <c r="E101" s="675">
        <v>6160</v>
      </c>
      <c r="F101" s="675">
        <v>0</v>
      </c>
      <c r="G101" s="675">
        <v>155.16300000000001</v>
      </c>
      <c r="H101" s="675">
        <v>153.29</v>
      </c>
      <c r="I101" s="675">
        <v>153.29</v>
      </c>
      <c r="J101" s="675">
        <v>155.16300000000001</v>
      </c>
      <c r="K101" s="675">
        <v>0</v>
      </c>
      <c r="L101" s="675">
        <v>6160</v>
      </c>
      <c r="M101" s="675">
        <v>0</v>
      </c>
      <c r="N101" s="675">
        <v>0</v>
      </c>
      <c r="O101" s="675">
        <v>0</v>
      </c>
      <c r="P101" s="675">
        <v>185.80200000000002</v>
      </c>
      <c r="Q101" s="675">
        <v>0</v>
      </c>
      <c r="R101" s="675">
        <v>74772</v>
      </c>
      <c r="S101" s="675">
        <v>402.428</v>
      </c>
      <c r="T101" s="675">
        <v>0</v>
      </c>
      <c r="U101" s="675">
        <v>39762</v>
      </c>
      <c r="V101" s="675">
        <v>51.935000000000002</v>
      </c>
      <c r="W101" s="675">
        <v>31992</v>
      </c>
      <c r="X101" s="675">
        <v>31992</v>
      </c>
      <c r="Y101" s="675">
        <v>0</v>
      </c>
      <c r="Z101" s="675">
        <v>0</v>
      </c>
      <c r="AA101" s="675">
        <v>0</v>
      </c>
      <c r="AB101" s="675">
        <v>0</v>
      </c>
      <c r="AC101" s="675">
        <v>0</v>
      </c>
      <c r="AD101" s="675" t="s">
        <v>316</v>
      </c>
      <c r="AE101" s="675">
        <v>0</v>
      </c>
      <c r="AF101" s="675">
        <v>0</v>
      </c>
      <c r="AG101" s="675">
        <v>0</v>
      </c>
      <c r="AH101" s="675">
        <v>0</v>
      </c>
      <c r="AI101" s="675">
        <v>0</v>
      </c>
      <c r="AJ101" s="675">
        <v>6160</v>
      </c>
      <c r="AK101" s="675" t="s">
        <v>671</v>
      </c>
      <c r="AL101" s="675" t="s">
        <v>63</v>
      </c>
      <c r="AM101" s="675">
        <v>0</v>
      </c>
      <c r="AN101" s="675">
        <v>0</v>
      </c>
      <c r="AO101" s="675">
        <v>0</v>
      </c>
      <c r="AP101" s="675">
        <v>0</v>
      </c>
      <c r="AQ101" s="675">
        <v>0</v>
      </c>
      <c r="AR101" s="675">
        <v>0</v>
      </c>
      <c r="AS101" s="675">
        <v>0</v>
      </c>
      <c r="AT101" s="675">
        <v>0</v>
      </c>
      <c r="AU101" s="675">
        <v>0</v>
      </c>
      <c r="AV101" s="675">
        <v>-38077</v>
      </c>
      <c r="AW101" s="675">
        <v>1628659</v>
      </c>
      <c r="AX101" s="675">
        <v>1601428</v>
      </c>
      <c r="AY101" s="675">
        <v>1181172</v>
      </c>
      <c r="AZ101" s="675">
        <v>74772</v>
      </c>
      <c r="BA101" s="675">
        <v>0</v>
      </c>
      <c r="BB101" s="675">
        <v>3345</v>
      </c>
      <c r="BC101" s="675">
        <v>3323</v>
      </c>
      <c r="BD101" s="675">
        <v>7.758</v>
      </c>
      <c r="BE101" s="675">
        <v>22</v>
      </c>
      <c r="BF101" s="675">
        <v>1492929</v>
      </c>
      <c r="BG101" s="675">
        <v>0</v>
      </c>
      <c r="BH101" s="675">
        <v>0</v>
      </c>
      <c r="BI101" s="675">
        <v>0</v>
      </c>
      <c r="BJ101" s="675">
        <v>12</v>
      </c>
      <c r="BK101" s="675">
        <v>0</v>
      </c>
      <c r="BL101" s="675">
        <v>0</v>
      </c>
      <c r="BM101" s="675">
        <v>0</v>
      </c>
      <c r="BN101" s="675">
        <v>0</v>
      </c>
      <c r="BO101" s="675">
        <v>0</v>
      </c>
      <c r="BP101" s="675">
        <v>0</v>
      </c>
      <c r="BQ101" s="675">
        <v>746</v>
      </c>
      <c r="BR101" s="675">
        <v>0</v>
      </c>
      <c r="BS101" s="675">
        <v>0</v>
      </c>
      <c r="BT101" s="675">
        <v>0</v>
      </c>
      <c r="BU101" s="675">
        <v>0</v>
      </c>
      <c r="BV101" s="675">
        <v>0</v>
      </c>
      <c r="BW101" s="675">
        <v>0</v>
      </c>
      <c r="BX101" s="675">
        <v>0</v>
      </c>
      <c r="BY101" s="675">
        <v>0</v>
      </c>
      <c r="BZ101" s="675">
        <v>0</v>
      </c>
      <c r="CA101" s="675">
        <v>0</v>
      </c>
      <c r="CB101" s="675">
        <v>0</v>
      </c>
      <c r="CC101" s="675">
        <v>0</v>
      </c>
      <c r="CD101" s="675">
        <v>0</v>
      </c>
      <c r="CE101" s="675">
        <v>0</v>
      </c>
      <c r="CF101" s="675">
        <v>0</v>
      </c>
      <c r="CG101" s="675">
        <v>0</v>
      </c>
      <c r="CH101" s="675">
        <v>27395</v>
      </c>
      <c r="CI101" s="675">
        <v>0</v>
      </c>
      <c r="CJ101" s="675">
        <v>4</v>
      </c>
      <c r="CK101" s="675">
        <v>0</v>
      </c>
      <c r="CL101" s="675">
        <v>0</v>
      </c>
      <c r="CM101" s="675">
        <v>0</v>
      </c>
      <c r="CN101" s="675">
        <v>0</v>
      </c>
      <c r="CO101" s="675">
        <v>1</v>
      </c>
      <c r="CP101" s="675">
        <v>0</v>
      </c>
      <c r="CQ101" s="675">
        <v>0</v>
      </c>
      <c r="CR101" s="675">
        <v>198.64400000000001</v>
      </c>
      <c r="CS101" s="675">
        <v>0</v>
      </c>
      <c r="CT101" s="675">
        <v>0</v>
      </c>
      <c r="CU101" s="675">
        <v>0</v>
      </c>
      <c r="CV101" s="675">
        <v>0</v>
      </c>
      <c r="CW101" s="675">
        <v>0</v>
      </c>
      <c r="CX101" s="675">
        <v>0</v>
      </c>
      <c r="CY101" s="675">
        <v>0</v>
      </c>
      <c r="CZ101" s="675">
        <v>0</v>
      </c>
      <c r="DA101" s="675">
        <v>0</v>
      </c>
      <c r="DB101" s="675">
        <v>910909</v>
      </c>
      <c r="DC101" s="675">
        <v>0</v>
      </c>
      <c r="DD101" s="675">
        <v>0</v>
      </c>
      <c r="DE101" s="675">
        <v>229921</v>
      </c>
      <c r="DF101" s="675">
        <v>229921</v>
      </c>
      <c r="DG101" s="675">
        <v>37.325000000000003</v>
      </c>
      <c r="DH101" s="675">
        <v>0</v>
      </c>
      <c r="DI101" s="675">
        <v>0</v>
      </c>
      <c r="DJ101" s="675">
        <v>0</v>
      </c>
      <c r="DK101" s="675">
        <v>3565</v>
      </c>
      <c r="DL101" s="675">
        <v>0</v>
      </c>
      <c r="DM101" s="675">
        <v>71150</v>
      </c>
      <c r="DN101" s="675">
        <v>142</v>
      </c>
      <c r="DO101" s="675">
        <v>0</v>
      </c>
      <c r="DP101" s="675">
        <v>0</v>
      </c>
      <c r="DQ101" s="675">
        <v>0</v>
      </c>
      <c r="DR101" s="675">
        <v>0</v>
      </c>
      <c r="DS101" s="675">
        <v>0</v>
      </c>
      <c r="DT101" s="675">
        <v>0</v>
      </c>
      <c r="DU101" s="675">
        <v>0</v>
      </c>
      <c r="DV101" s="675">
        <v>0</v>
      </c>
      <c r="DW101" s="675">
        <v>0</v>
      </c>
      <c r="DX101" s="675">
        <v>0</v>
      </c>
      <c r="DY101" s="675">
        <v>0</v>
      </c>
      <c r="DZ101" s="675">
        <v>0</v>
      </c>
      <c r="EA101" s="675">
        <v>0</v>
      </c>
      <c r="EB101" s="675">
        <v>0</v>
      </c>
      <c r="EC101" s="675">
        <v>0</v>
      </c>
      <c r="ED101" s="675">
        <v>0</v>
      </c>
      <c r="EE101" s="675">
        <v>0</v>
      </c>
      <c r="EF101" s="675">
        <v>0</v>
      </c>
      <c r="EG101" s="675">
        <v>0</v>
      </c>
      <c r="EH101" s="675">
        <v>37939</v>
      </c>
      <c r="EI101" s="675">
        <v>0</v>
      </c>
      <c r="EJ101" s="675">
        <v>0</v>
      </c>
      <c r="EK101" s="675">
        <v>1.2590000000000001</v>
      </c>
      <c r="EL101" s="675">
        <v>0.317</v>
      </c>
      <c r="EM101" s="675">
        <v>0.34400000000000003</v>
      </c>
      <c r="EN101" s="675">
        <v>0.27</v>
      </c>
      <c r="EO101" s="675">
        <v>0</v>
      </c>
      <c r="EP101" s="675">
        <v>0</v>
      </c>
      <c r="EQ101" s="675">
        <v>1.873</v>
      </c>
      <c r="ER101" s="675">
        <v>0</v>
      </c>
      <c r="ES101" s="675">
        <v>6.1590000000000007</v>
      </c>
      <c r="ET101" s="675">
        <v>0</v>
      </c>
      <c r="EU101" s="675">
        <v>0</v>
      </c>
      <c r="EV101" s="675">
        <v>0</v>
      </c>
      <c r="EW101" s="675">
        <v>0</v>
      </c>
      <c r="EX101" s="675">
        <v>0</v>
      </c>
      <c r="EY101" s="675">
        <v>0</v>
      </c>
      <c r="EZ101" s="675">
        <v>1418157</v>
      </c>
      <c r="FA101" s="675">
        <v>0</v>
      </c>
      <c r="FB101" s="675">
        <v>1492765</v>
      </c>
      <c r="FC101" s="675">
        <v>0</v>
      </c>
      <c r="FD101" s="675">
        <v>0</v>
      </c>
      <c r="FE101" s="675">
        <v>151862</v>
      </c>
      <c r="FF101" s="675">
        <v>31409</v>
      </c>
      <c r="FG101" s="675">
        <v>6.3574999999999993E-2</v>
      </c>
      <c r="FH101" s="675">
        <v>2.6297999999999998E-2</v>
      </c>
      <c r="FI101" s="675">
        <v>0</v>
      </c>
      <c r="FJ101" s="675">
        <v>0</v>
      </c>
      <c r="FK101" s="675">
        <v>242.36</v>
      </c>
      <c r="FL101" s="675">
        <v>1703431</v>
      </c>
      <c r="FM101" s="675">
        <v>0</v>
      </c>
      <c r="FN101" s="675">
        <v>0</v>
      </c>
      <c r="FO101" s="675">
        <v>0</v>
      </c>
      <c r="FP101" s="675">
        <v>0</v>
      </c>
      <c r="FQ101" s="675">
        <v>0</v>
      </c>
      <c r="FR101" s="675">
        <v>0</v>
      </c>
      <c r="FS101" s="675">
        <v>0</v>
      </c>
      <c r="FT101" s="675">
        <v>0</v>
      </c>
      <c r="FU101" s="675">
        <v>0</v>
      </c>
      <c r="FV101" s="675">
        <v>0</v>
      </c>
      <c r="FW101" s="675">
        <v>0</v>
      </c>
      <c r="FX101" s="675">
        <v>0</v>
      </c>
      <c r="FY101" s="675">
        <v>0</v>
      </c>
      <c r="FZ101" s="675">
        <v>0</v>
      </c>
      <c r="GA101" s="675">
        <v>0</v>
      </c>
      <c r="GB101" s="675">
        <v>0</v>
      </c>
      <c r="GC101" s="675">
        <v>0</v>
      </c>
      <c r="GD101" s="675">
        <v>0</v>
      </c>
      <c r="GE101" s="675">
        <v>0</v>
      </c>
      <c r="GF101" s="675">
        <v>0</v>
      </c>
      <c r="GG101" s="675">
        <v>0</v>
      </c>
      <c r="GH101" s="675">
        <v>0</v>
      </c>
      <c r="GI101" s="675">
        <v>0</v>
      </c>
      <c r="GJ101" s="675">
        <v>0</v>
      </c>
      <c r="GK101" s="675">
        <v>0</v>
      </c>
      <c r="GL101" s="675">
        <v>0</v>
      </c>
      <c r="GM101" s="675">
        <v>0</v>
      </c>
      <c r="GN101" s="675">
        <v>0</v>
      </c>
      <c r="GO101" s="675">
        <v>0</v>
      </c>
      <c r="GP101" s="675">
        <v>0</v>
      </c>
      <c r="GQ101" s="675">
        <v>0</v>
      </c>
      <c r="GR101" s="675">
        <v>0</v>
      </c>
      <c r="GS101" s="675">
        <v>0</v>
      </c>
      <c r="GT101" s="675">
        <v>0</v>
      </c>
      <c r="GU101" s="675">
        <v>0</v>
      </c>
      <c r="GV101" s="675">
        <v>0</v>
      </c>
      <c r="GW101" s="675">
        <v>0</v>
      </c>
      <c r="GX101" s="675">
        <v>0</v>
      </c>
      <c r="GY101" s="675">
        <v>0</v>
      </c>
      <c r="GZ101" s="675">
        <v>0</v>
      </c>
      <c r="HA101" s="675">
        <v>0</v>
      </c>
      <c r="HB101" s="675">
        <v>308877260</v>
      </c>
      <c r="HC101" s="675">
        <v>4.4138999999999998E-2</v>
      </c>
      <c r="HD101" s="675">
        <v>27395</v>
      </c>
      <c r="HE101" s="675">
        <v>0</v>
      </c>
      <c r="HF101" s="675">
        <v>169079</v>
      </c>
      <c r="HG101" s="675">
        <v>0</v>
      </c>
      <c r="HH101" s="675">
        <v>74883</v>
      </c>
      <c r="HI101" s="675">
        <v>0</v>
      </c>
      <c r="HJ101" s="675">
        <v>1508</v>
      </c>
      <c r="HK101" s="675">
        <v>0</v>
      </c>
      <c r="HL101" s="675">
        <v>0</v>
      </c>
      <c r="HM101" s="675">
        <v>0</v>
      </c>
      <c r="HN101" s="675">
        <v>0</v>
      </c>
      <c r="HO101" s="675">
        <v>0</v>
      </c>
      <c r="HP101" s="675">
        <v>0</v>
      </c>
      <c r="HQ101" s="675">
        <v>0</v>
      </c>
      <c r="HR101" s="675">
        <v>0</v>
      </c>
      <c r="HS101" s="675">
        <v>1417993</v>
      </c>
      <c r="HT101" s="675">
        <v>31409</v>
      </c>
      <c r="HU101" s="675">
        <v>0</v>
      </c>
      <c r="HV101" s="675">
        <v>0</v>
      </c>
      <c r="HW101" s="675">
        <v>0</v>
      </c>
      <c r="HX101" s="675">
        <v>16</v>
      </c>
      <c r="HY101" s="675">
        <v>22</v>
      </c>
      <c r="HZ101" s="675">
        <v>31</v>
      </c>
      <c r="IA101" s="675">
        <v>34</v>
      </c>
      <c r="IB101" s="675">
        <v>43</v>
      </c>
      <c r="IC101" s="675">
        <v>146</v>
      </c>
      <c r="ID101" s="675">
        <v>0</v>
      </c>
      <c r="IE101" s="675">
        <v>0</v>
      </c>
      <c r="IF101" s="675">
        <v>0</v>
      </c>
      <c r="IG101" s="675">
        <v>0</v>
      </c>
      <c r="IH101" s="675">
        <v>121.56400000000001</v>
      </c>
      <c r="II101" s="675">
        <v>0</v>
      </c>
      <c r="IJ101" s="675">
        <v>51.935000000000002</v>
      </c>
      <c r="IK101" s="675">
        <v>0</v>
      </c>
      <c r="IL101" s="675">
        <v>0</v>
      </c>
      <c r="IM101" s="675">
        <v>0</v>
      </c>
      <c r="IN101" s="675">
        <v>0</v>
      </c>
      <c r="IO101" s="675">
        <v>0</v>
      </c>
      <c r="IP101" s="675">
        <v>0</v>
      </c>
      <c r="IQ101" s="675">
        <v>51.935000000000002</v>
      </c>
      <c r="IR101" s="675">
        <v>31992</v>
      </c>
      <c r="IS101" s="675">
        <v>0</v>
      </c>
      <c r="IT101" s="675">
        <v>0</v>
      </c>
      <c r="IU101" s="675">
        <v>0</v>
      </c>
      <c r="IV101" s="675">
        <v>0</v>
      </c>
      <c r="IW101" s="675">
        <v>6160</v>
      </c>
      <c r="IX101" s="675">
        <v>0</v>
      </c>
      <c r="IY101" s="675">
        <v>0</v>
      </c>
      <c r="IZ101" s="675">
        <v>0</v>
      </c>
      <c r="JA101" s="675">
        <v>0</v>
      </c>
      <c r="JB101" s="675">
        <v>0</v>
      </c>
      <c r="JC101" s="675">
        <v>0</v>
      </c>
      <c r="JD101" s="675">
        <v>0</v>
      </c>
      <c r="JE101" s="675">
        <v>0</v>
      </c>
      <c r="JF101" s="675">
        <v>0</v>
      </c>
      <c r="JG101" s="675">
        <v>0</v>
      </c>
      <c r="JH101" s="675">
        <v>0</v>
      </c>
      <c r="JI101" s="675">
        <v>0</v>
      </c>
      <c r="JJ101" s="675">
        <v>0</v>
      </c>
      <c r="JK101" s="675">
        <v>0</v>
      </c>
      <c r="JL101" s="675">
        <v>0</v>
      </c>
      <c r="JM101" s="675">
        <v>0</v>
      </c>
      <c r="JN101" s="675">
        <v>32469</v>
      </c>
      <c r="JO101" s="675">
        <v>0</v>
      </c>
      <c r="JP101" s="675">
        <v>0</v>
      </c>
      <c r="JQ101" s="675">
        <v>0</v>
      </c>
      <c r="JR101" s="675">
        <v>0</v>
      </c>
      <c r="JS101" s="675">
        <v>0</v>
      </c>
      <c r="JT101" s="675">
        <v>0</v>
      </c>
      <c r="JU101" s="675">
        <v>3345</v>
      </c>
      <c r="JV101" s="675">
        <v>0</v>
      </c>
      <c r="JW101" s="675">
        <v>0</v>
      </c>
      <c r="JX101" s="675">
        <v>0</v>
      </c>
      <c r="JY101" s="675">
        <v>0</v>
      </c>
      <c r="JZ101" s="675">
        <v>0</v>
      </c>
      <c r="KA101" s="675">
        <v>0</v>
      </c>
      <c r="KB101" s="675">
        <v>0</v>
      </c>
      <c r="KC101" s="675">
        <v>0</v>
      </c>
      <c r="KD101" s="675">
        <v>3450</v>
      </c>
      <c r="KE101" s="675">
        <v>7263</v>
      </c>
      <c r="KF101" s="675">
        <v>0</v>
      </c>
      <c r="KG101" s="675">
        <v>0</v>
      </c>
      <c r="KH101" s="675">
        <v>0</v>
      </c>
      <c r="KI101" s="675">
        <v>0</v>
      </c>
    </row>
    <row r="102" spans="1:295" ht="12.5" x14ac:dyDescent="0.25">
      <c r="A102" s="675">
        <v>35795</v>
      </c>
      <c r="B102" s="675">
        <v>57813</v>
      </c>
      <c r="C102" s="675">
        <v>7</v>
      </c>
      <c r="D102" s="675">
        <v>2022</v>
      </c>
      <c r="E102" s="675">
        <v>6160</v>
      </c>
      <c r="F102" s="675">
        <v>0</v>
      </c>
      <c r="G102" s="675">
        <v>3620.5460000000003</v>
      </c>
      <c r="H102" s="675">
        <v>3502.4410000000003</v>
      </c>
      <c r="I102" s="675">
        <v>3502.4410000000003</v>
      </c>
      <c r="J102" s="675">
        <v>3620.5460000000003</v>
      </c>
      <c r="K102" s="675">
        <v>0</v>
      </c>
      <c r="L102" s="675">
        <v>6160</v>
      </c>
      <c r="M102" s="675">
        <v>0</v>
      </c>
      <c r="N102" s="675">
        <v>0</v>
      </c>
      <c r="O102" s="675">
        <v>0</v>
      </c>
      <c r="P102" s="675">
        <v>3629.3870000000002</v>
      </c>
      <c r="Q102" s="675">
        <v>0</v>
      </c>
      <c r="R102" s="675">
        <v>1460567</v>
      </c>
      <c r="S102" s="675">
        <v>402.428</v>
      </c>
      <c r="T102" s="675">
        <v>0</v>
      </c>
      <c r="U102" s="675">
        <v>776692</v>
      </c>
      <c r="V102" s="675">
        <v>2018.2</v>
      </c>
      <c r="W102" s="675">
        <v>1243205</v>
      </c>
      <c r="X102" s="675">
        <v>1243205</v>
      </c>
      <c r="Y102" s="675">
        <v>0</v>
      </c>
      <c r="Z102" s="675">
        <v>0</v>
      </c>
      <c r="AA102" s="675">
        <v>0</v>
      </c>
      <c r="AB102" s="675">
        <v>0</v>
      </c>
      <c r="AC102" s="675">
        <v>0</v>
      </c>
      <c r="AD102" s="675" t="s">
        <v>316</v>
      </c>
      <c r="AE102" s="675">
        <v>0</v>
      </c>
      <c r="AF102" s="675">
        <v>0</v>
      </c>
      <c r="AG102" s="675">
        <v>0</v>
      </c>
      <c r="AH102" s="675">
        <v>0</v>
      </c>
      <c r="AI102" s="675">
        <v>0</v>
      </c>
      <c r="AJ102" s="675">
        <v>6160</v>
      </c>
      <c r="AK102" s="675" t="s">
        <v>671</v>
      </c>
      <c r="AL102" s="675" t="s">
        <v>21</v>
      </c>
      <c r="AM102" s="675">
        <v>0</v>
      </c>
      <c r="AN102" s="675">
        <v>0</v>
      </c>
      <c r="AO102" s="675">
        <v>0</v>
      </c>
      <c r="AP102" s="675">
        <v>0</v>
      </c>
      <c r="AQ102" s="675">
        <v>0</v>
      </c>
      <c r="AR102" s="675">
        <v>0</v>
      </c>
      <c r="AS102" s="675">
        <v>0</v>
      </c>
      <c r="AT102" s="675">
        <v>0</v>
      </c>
      <c r="AU102" s="675">
        <v>0</v>
      </c>
      <c r="AV102" s="675">
        <v>-75327</v>
      </c>
      <c r="AW102" s="675">
        <v>41152525</v>
      </c>
      <c r="AX102" s="675">
        <v>40523567</v>
      </c>
      <c r="AY102" s="675">
        <v>27319921</v>
      </c>
      <c r="AZ102" s="675">
        <v>1460567</v>
      </c>
      <c r="BA102" s="675">
        <v>0</v>
      </c>
      <c r="BB102" s="675">
        <v>0</v>
      </c>
      <c r="BC102" s="675">
        <v>0</v>
      </c>
      <c r="BD102" s="675">
        <v>0</v>
      </c>
      <c r="BE102" s="675">
        <v>0</v>
      </c>
      <c r="BF102" s="675">
        <v>37287651</v>
      </c>
      <c r="BG102" s="675">
        <v>0</v>
      </c>
      <c r="BH102" s="675">
        <v>0</v>
      </c>
      <c r="BI102" s="675">
        <v>0</v>
      </c>
      <c r="BJ102" s="675">
        <v>12</v>
      </c>
      <c r="BK102" s="675">
        <v>0</v>
      </c>
      <c r="BL102" s="675">
        <v>0</v>
      </c>
      <c r="BM102" s="675">
        <v>0</v>
      </c>
      <c r="BN102" s="675">
        <v>0</v>
      </c>
      <c r="BO102" s="675">
        <v>0</v>
      </c>
      <c r="BP102" s="675">
        <v>0</v>
      </c>
      <c r="BQ102" s="675">
        <v>231</v>
      </c>
      <c r="BR102" s="675">
        <v>0</v>
      </c>
      <c r="BS102" s="675">
        <v>0</v>
      </c>
      <c r="BT102" s="675">
        <v>0</v>
      </c>
      <c r="BU102" s="675">
        <v>0</v>
      </c>
      <c r="BV102" s="675">
        <v>0</v>
      </c>
      <c r="BW102" s="675">
        <v>0</v>
      </c>
      <c r="BX102" s="675">
        <v>0</v>
      </c>
      <c r="BY102" s="675">
        <v>0</v>
      </c>
      <c r="BZ102" s="675">
        <v>0</v>
      </c>
      <c r="CA102" s="675">
        <v>139.65</v>
      </c>
      <c r="CB102" s="675">
        <v>119090</v>
      </c>
      <c r="CC102" s="675">
        <v>0</v>
      </c>
      <c r="CD102" s="675">
        <v>0</v>
      </c>
      <c r="CE102" s="675">
        <v>0</v>
      </c>
      <c r="CF102" s="675">
        <v>0</v>
      </c>
      <c r="CG102" s="675">
        <v>0</v>
      </c>
      <c r="CH102" s="675">
        <v>639227</v>
      </c>
      <c r="CI102" s="675">
        <v>0</v>
      </c>
      <c r="CJ102" s="675">
        <v>4</v>
      </c>
      <c r="CK102" s="675">
        <v>0</v>
      </c>
      <c r="CL102" s="675">
        <v>0</v>
      </c>
      <c r="CM102" s="675">
        <v>0</v>
      </c>
      <c r="CN102" s="675">
        <v>0</v>
      </c>
      <c r="CO102" s="675">
        <v>1</v>
      </c>
      <c r="CP102" s="675">
        <v>0</v>
      </c>
      <c r="CQ102" s="675">
        <v>0</v>
      </c>
      <c r="CR102" s="675">
        <v>3625.81</v>
      </c>
      <c r="CS102" s="675">
        <v>0</v>
      </c>
      <c r="CT102" s="675">
        <v>0</v>
      </c>
      <c r="CU102" s="675">
        <v>0</v>
      </c>
      <c r="CV102" s="675">
        <v>0</v>
      </c>
      <c r="CW102" s="675">
        <v>0</v>
      </c>
      <c r="CX102" s="675">
        <v>0</v>
      </c>
      <c r="CY102" s="675">
        <v>0</v>
      </c>
      <c r="CZ102" s="675">
        <v>0</v>
      </c>
      <c r="DA102" s="675">
        <v>0</v>
      </c>
      <c r="DB102" s="675">
        <v>21574936</v>
      </c>
      <c r="DC102" s="675">
        <v>0</v>
      </c>
      <c r="DD102" s="675">
        <v>0</v>
      </c>
      <c r="DE102" s="675">
        <v>6187229</v>
      </c>
      <c r="DF102" s="675">
        <v>6187229</v>
      </c>
      <c r="DG102" s="675">
        <v>1004.4250000000001</v>
      </c>
      <c r="DH102" s="675">
        <v>0</v>
      </c>
      <c r="DI102" s="675">
        <v>0</v>
      </c>
      <c r="DJ102" s="675">
        <v>0</v>
      </c>
      <c r="DK102" s="675">
        <v>0</v>
      </c>
      <c r="DL102" s="675">
        <v>0</v>
      </c>
      <c r="DM102" s="675">
        <v>2729685</v>
      </c>
      <c r="DN102" s="675">
        <v>10269</v>
      </c>
      <c r="DO102" s="675">
        <v>0</v>
      </c>
      <c r="DP102" s="675">
        <v>0</v>
      </c>
      <c r="DQ102" s="675">
        <v>0</v>
      </c>
      <c r="DR102" s="675">
        <v>0</v>
      </c>
      <c r="DS102" s="675">
        <v>0</v>
      </c>
      <c r="DT102" s="675">
        <v>0</v>
      </c>
      <c r="DU102" s="675">
        <v>0</v>
      </c>
      <c r="DV102" s="675">
        <v>0</v>
      </c>
      <c r="DW102" s="675">
        <v>0</v>
      </c>
      <c r="DX102" s="675">
        <v>0</v>
      </c>
      <c r="DY102" s="675">
        <v>0</v>
      </c>
      <c r="DZ102" s="675">
        <v>0</v>
      </c>
      <c r="EA102" s="675">
        <v>0.112</v>
      </c>
      <c r="EB102" s="675">
        <v>0</v>
      </c>
      <c r="EC102" s="675">
        <v>59.865000000000002</v>
      </c>
      <c r="ED102" s="675">
        <v>424082</v>
      </c>
      <c r="EE102" s="675">
        <v>0</v>
      </c>
      <c r="EF102" s="675">
        <v>0</v>
      </c>
      <c r="EG102" s="675">
        <v>0</v>
      </c>
      <c r="EH102" s="675">
        <v>2315872</v>
      </c>
      <c r="EI102" s="675">
        <v>0</v>
      </c>
      <c r="EJ102" s="675">
        <v>0</v>
      </c>
      <c r="EK102" s="675">
        <v>78.231000000000009</v>
      </c>
      <c r="EL102" s="675">
        <v>0.48200000000000004</v>
      </c>
      <c r="EM102" s="675">
        <v>29.054000000000002</v>
      </c>
      <c r="EN102" s="675">
        <v>10.708</v>
      </c>
      <c r="EO102" s="675">
        <v>0</v>
      </c>
      <c r="EP102" s="675">
        <v>0</v>
      </c>
      <c r="EQ102" s="675">
        <v>118.105</v>
      </c>
      <c r="ER102" s="675">
        <v>0</v>
      </c>
      <c r="ES102" s="675">
        <v>375.95500000000004</v>
      </c>
      <c r="ET102" s="675">
        <v>0</v>
      </c>
      <c r="EU102" s="675">
        <v>0</v>
      </c>
      <c r="EV102" s="675">
        <v>0</v>
      </c>
      <c r="EW102" s="675">
        <v>0</v>
      </c>
      <c r="EX102" s="675">
        <v>0</v>
      </c>
      <c r="EY102" s="675">
        <v>0</v>
      </c>
      <c r="EZ102" s="675">
        <v>35946174</v>
      </c>
      <c r="FA102" s="675">
        <v>0</v>
      </c>
      <c r="FB102" s="675">
        <v>37396472</v>
      </c>
      <c r="FC102" s="675">
        <v>0</v>
      </c>
      <c r="FD102" s="675">
        <v>0</v>
      </c>
      <c r="FE102" s="675">
        <v>3792917</v>
      </c>
      <c r="FF102" s="675">
        <v>784476</v>
      </c>
      <c r="FG102" s="675">
        <v>6.3574999999999993E-2</v>
      </c>
      <c r="FH102" s="675">
        <v>2.6297999999999998E-2</v>
      </c>
      <c r="FI102" s="675">
        <v>0</v>
      </c>
      <c r="FJ102" s="675">
        <v>0</v>
      </c>
      <c r="FK102" s="675">
        <v>6053.2179999999998</v>
      </c>
      <c r="FL102" s="675">
        <v>42613092</v>
      </c>
      <c r="FM102" s="675">
        <v>0</v>
      </c>
      <c r="FN102" s="675">
        <v>0</v>
      </c>
      <c r="FO102" s="675">
        <v>0</v>
      </c>
      <c r="FP102" s="675">
        <v>0</v>
      </c>
      <c r="FQ102" s="675">
        <v>0</v>
      </c>
      <c r="FR102" s="675">
        <v>0</v>
      </c>
      <c r="FS102" s="675">
        <v>0</v>
      </c>
      <c r="FT102" s="675">
        <v>0</v>
      </c>
      <c r="FU102" s="675">
        <v>0</v>
      </c>
      <c r="FV102" s="675">
        <v>0</v>
      </c>
      <c r="FW102" s="675">
        <v>0</v>
      </c>
      <c r="FX102" s="675">
        <v>0</v>
      </c>
      <c r="FY102" s="675">
        <v>0</v>
      </c>
      <c r="FZ102" s="675">
        <v>0</v>
      </c>
      <c r="GA102" s="675">
        <v>0</v>
      </c>
      <c r="GB102" s="675">
        <v>0</v>
      </c>
      <c r="GC102" s="675">
        <v>0</v>
      </c>
      <c r="GD102" s="675">
        <v>0</v>
      </c>
      <c r="GE102" s="675">
        <v>0</v>
      </c>
      <c r="GF102" s="675">
        <v>0</v>
      </c>
      <c r="GG102" s="675">
        <v>0</v>
      </c>
      <c r="GH102" s="675">
        <v>0</v>
      </c>
      <c r="GI102" s="675">
        <v>0</v>
      </c>
      <c r="GJ102" s="675">
        <v>0</v>
      </c>
      <c r="GK102" s="675">
        <v>0</v>
      </c>
      <c r="GL102" s="675">
        <v>0</v>
      </c>
      <c r="GM102" s="675">
        <v>0</v>
      </c>
      <c r="GN102" s="675">
        <v>0</v>
      </c>
      <c r="GO102" s="675">
        <v>0</v>
      </c>
      <c r="GP102" s="675">
        <v>0</v>
      </c>
      <c r="GQ102" s="675">
        <v>0</v>
      </c>
      <c r="GR102" s="675">
        <v>0</v>
      </c>
      <c r="GS102" s="675">
        <v>0</v>
      </c>
      <c r="GT102" s="675">
        <v>0</v>
      </c>
      <c r="GU102" s="675">
        <v>0</v>
      </c>
      <c r="GV102" s="675">
        <v>0</v>
      </c>
      <c r="GW102" s="675">
        <v>0</v>
      </c>
      <c r="GX102" s="675">
        <v>0</v>
      </c>
      <c r="GY102" s="675">
        <v>0</v>
      </c>
      <c r="GZ102" s="675">
        <v>0</v>
      </c>
      <c r="HA102" s="675">
        <v>0</v>
      </c>
      <c r="HB102" s="675">
        <v>308877260</v>
      </c>
      <c r="HC102" s="675">
        <v>4.4138999999999998E-2</v>
      </c>
      <c r="HD102" s="675">
        <v>639227</v>
      </c>
      <c r="HE102" s="675">
        <v>0</v>
      </c>
      <c r="HF102" s="675">
        <v>3863192</v>
      </c>
      <c r="HG102" s="675">
        <v>75768</v>
      </c>
      <c r="HH102" s="675">
        <v>1553844</v>
      </c>
      <c r="HI102" s="675">
        <v>0</v>
      </c>
      <c r="HJ102" s="675">
        <v>35192</v>
      </c>
      <c r="HK102" s="675">
        <v>0</v>
      </c>
      <c r="HL102" s="675">
        <v>0</v>
      </c>
      <c r="HM102" s="675">
        <v>0</v>
      </c>
      <c r="HN102" s="675">
        <v>14331</v>
      </c>
      <c r="HO102" s="675">
        <v>0</v>
      </c>
      <c r="HP102" s="675">
        <v>0</v>
      </c>
      <c r="HQ102" s="675">
        <v>0</v>
      </c>
      <c r="HR102" s="675">
        <v>0</v>
      </c>
      <c r="HS102" s="675">
        <v>35935905</v>
      </c>
      <c r="HT102" s="675">
        <v>784476</v>
      </c>
      <c r="HU102" s="675">
        <v>0</v>
      </c>
      <c r="HV102" s="675">
        <v>0</v>
      </c>
      <c r="HW102" s="675">
        <v>0</v>
      </c>
      <c r="HX102" s="675">
        <v>241</v>
      </c>
      <c r="HY102" s="675">
        <v>252</v>
      </c>
      <c r="HZ102" s="675">
        <v>566</v>
      </c>
      <c r="IA102" s="675">
        <v>1120</v>
      </c>
      <c r="IB102" s="675">
        <v>1654</v>
      </c>
      <c r="IC102" s="675">
        <v>3833</v>
      </c>
      <c r="ID102" s="675">
        <v>0</v>
      </c>
      <c r="IE102" s="675">
        <v>0</v>
      </c>
      <c r="IF102" s="675">
        <v>0</v>
      </c>
      <c r="IG102" s="675">
        <v>123</v>
      </c>
      <c r="IH102" s="675">
        <v>2522.4850000000001</v>
      </c>
      <c r="II102" s="675">
        <v>0</v>
      </c>
      <c r="IJ102" s="675">
        <v>2018.2</v>
      </c>
      <c r="IK102" s="675">
        <v>0</v>
      </c>
      <c r="IL102" s="675">
        <v>0</v>
      </c>
      <c r="IM102" s="675">
        <v>0</v>
      </c>
      <c r="IN102" s="675">
        <v>0</v>
      </c>
      <c r="IO102" s="675">
        <v>0</v>
      </c>
      <c r="IP102" s="675">
        <v>0</v>
      </c>
      <c r="IQ102" s="675">
        <v>2018.2</v>
      </c>
      <c r="IR102" s="675">
        <v>1243205</v>
      </c>
      <c r="IS102" s="675">
        <v>0</v>
      </c>
      <c r="IT102" s="675">
        <v>0</v>
      </c>
      <c r="IU102" s="675">
        <v>0</v>
      </c>
      <c r="IV102" s="675">
        <v>0</v>
      </c>
      <c r="IW102" s="675">
        <v>6160</v>
      </c>
      <c r="IX102" s="675">
        <v>0</v>
      </c>
      <c r="IY102" s="675">
        <v>0</v>
      </c>
      <c r="IZ102" s="675">
        <v>0</v>
      </c>
      <c r="JA102" s="675">
        <v>0</v>
      </c>
      <c r="JB102" s="675">
        <v>0</v>
      </c>
      <c r="JC102" s="675">
        <v>0</v>
      </c>
      <c r="JD102" s="675">
        <v>0</v>
      </c>
      <c r="JE102" s="675">
        <v>0</v>
      </c>
      <c r="JF102" s="675">
        <v>2</v>
      </c>
      <c r="JG102" s="675">
        <v>14331</v>
      </c>
      <c r="JH102" s="675">
        <v>0</v>
      </c>
      <c r="JI102" s="675">
        <v>0</v>
      </c>
      <c r="JJ102" s="675">
        <v>0</v>
      </c>
      <c r="JK102" s="675">
        <v>0</v>
      </c>
      <c r="JL102" s="675">
        <v>0</v>
      </c>
      <c r="JM102" s="675">
        <v>0</v>
      </c>
      <c r="JN102" s="675">
        <v>32469</v>
      </c>
      <c r="JO102" s="675">
        <v>0</v>
      </c>
      <c r="JP102" s="675">
        <v>0</v>
      </c>
      <c r="JQ102" s="675">
        <v>0</v>
      </c>
      <c r="JR102" s="675">
        <v>0</v>
      </c>
      <c r="JS102" s="675">
        <v>0</v>
      </c>
      <c r="JT102" s="675">
        <v>0</v>
      </c>
      <c r="JU102" s="675">
        <v>0</v>
      </c>
      <c r="JV102" s="675">
        <v>0</v>
      </c>
      <c r="JW102" s="675">
        <v>0</v>
      </c>
      <c r="JX102" s="675">
        <v>0</v>
      </c>
      <c r="JY102" s="675">
        <v>0</v>
      </c>
      <c r="JZ102" s="675">
        <v>0</v>
      </c>
      <c r="KA102" s="675">
        <v>0</v>
      </c>
      <c r="KB102" s="675">
        <v>0</v>
      </c>
      <c r="KC102" s="675">
        <v>0</v>
      </c>
      <c r="KD102" s="675">
        <v>0</v>
      </c>
      <c r="KE102" s="675">
        <v>7263</v>
      </c>
      <c r="KF102" s="675">
        <v>0</v>
      </c>
      <c r="KG102" s="675">
        <v>0</v>
      </c>
      <c r="KH102" s="675">
        <v>0</v>
      </c>
      <c r="KI102" s="675">
        <v>0</v>
      </c>
    </row>
    <row r="103" spans="1:295" ht="12.5" x14ac:dyDescent="0.25">
      <c r="A103" s="675">
        <v>35795</v>
      </c>
      <c r="B103" s="675">
        <v>15814</v>
      </c>
      <c r="C103" s="675">
        <v>7</v>
      </c>
      <c r="D103" s="675">
        <v>2022</v>
      </c>
      <c r="E103" s="675">
        <v>6160</v>
      </c>
      <c r="F103" s="675">
        <v>0</v>
      </c>
      <c r="G103" s="675">
        <v>66.540999999999997</v>
      </c>
      <c r="H103" s="675">
        <v>66.2</v>
      </c>
      <c r="I103" s="675">
        <v>66.2</v>
      </c>
      <c r="J103" s="675">
        <v>66.540999999999997</v>
      </c>
      <c r="K103" s="675">
        <v>0</v>
      </c>
      <c r="L103" s="675">
        <v>6160</v>
      </c>
      <c r="M103" s="675">
        <v>0</v>
      </c>
      <c r="N103" s="675">
        <v>0</v>
      </c>
      <c r="O103" s="675">
        <v>0</v>
      </c>
      <c r="P103" s="675">
        <v>85.838000000000008</v>
      </c>
      <c r="Q103" s="675">
        <v>0</v>
      </c>
      <c r="R103" s="675">
        <v>34544</v>
      </c>
      <c r="S103" s="675">
        <v>402.428</v>
      </c>
      <c r="T103" s="675">
        <v>0</v>
      </c>
      <c r="U103" s="675">
        <v>18370</v>
      </c>
      <c r="V103" s="675">
        <v>1.462</v>
      </c>
      <c r="W103" s="675">
        <v>901</v>
      </c>
      <c r="X103" s="675">
        <v>901</v>
      </c>
      <c r="Y103" s="675">
        <v>0</v>
      </c>
      <c r="Z103" s="675">
        <v>0</v>
      </c>
      <c r="AA103" s="675">
        <v>0</v>
      </c>
      <c r="AB103" s="675">
        <v>0</v>
      </c>
      <c r="AC103" s="675">
        <v>0</v>
      </c>
      <c r="AD103" s="675" t="s">
        <v>316</v>
      </c>
      <c r="AE103" s="675">
        <v>0</v>
      </c>
      <c r="AF103" s="675">
        <v>0</v>
      </c>
      <c r="AG103" s="675">
        <v>0</v>
      </c>
      <c r="AH103" s="675">
        <v>0</v>
      </c>
      <c r="AI103" s="675">
        <v>0</v>
      </c>
      <c r="AJ103" s="675">
        <v>6160</v>
      </c>
      <c r="AK103" s="675" t="s">
        <v>671</v>
      </c>
      <c r="AL103" s="675" t="s">
        <v>40</v>
      </c>
      <c r="AM103" s="675">
        <v>0</v>
      </c>
      <c r="AN103" s="675">
        <v>0</v>
      </c>
      <c r="AO103" s="675">
        <v>0</v>
      </c>
      <c r="AP103" s="675">
        <v>0</v>
      </c>
      <c r="AQ103" s="675">
        <v>0</v>
      </c>
      <c r="AR103" s="675">
        <v>0</v>
      </c>
      <c r="AS103" s="675">
        <v>0</v>
      </c>
      <c r="AT103" s="675">
        <v>0</v>
      </c>
      <c r="AU103" s="675">
        <v>0</v>
      </c>
      <c r="AV103" s="675">
        <v>-7325</v>
      </c>
      <c r="AW103" s="675">
        <v>811872</v>
      </c>
      <c r="AX103" s="675">
        <v>800522</v>
      </c>
      <c r="AY103" s="675">
        <v>498978</v>
      </c>
      <c r="AZ103" s="675">
        <v>34544</v>
      </c>
      <c r="BA103" s="675">
        <v>0</v>
      </c>
      <c r="BB103" s="675">
        <v>0</v>
      </c>
      <c r="BC103" s="675">
        <v>0</v>
      </c>
      <c r="BD103" s="675">
        <v>0</v>
      </c>
      <c r="BE103" s="675">
        <v>0</v>
      </c>
      <c r="BF103" s="675">
        <v>736178</v>
      </c>
      <c r="BG103" s="675">
        <v>0</v>
      </c>
      <c r="BH103" s="675">
        <v>0</v>
      </c>
      <c r="BI103" s="675">
        <v>0</v>
      </c>
      <c r="BJ103" s="675">
        <v>12</v>
      </c>
      <c r="BK103" s="675">
        <v>0</v>
      </c>
      <c r="BL103" s="675">
        <v>0</v>
      </c>
      <c r="BM103" s="675">
        <v>0</v>
      </c>
      <c r="BN103" s="675">
        <v>0</v>
      </c>
      <c r="BO103" s="675">
        <v>0</v>
      </c>
      <c r="BP103" s="675">
        <v>0</v>
      </c>
      <c r="BQ103" s="675">
        <v>760</v>
      </c>
      <c r="BR103" s="675">
        <v>0</v>
      </c>
      <c r="BS103" s="675">
        <v>0</v>
      </c>
      <c r="BT103" s="675">
        <v>0</v>
      </c>
      <c r="BU103" s="675">
        <v>0</v>
      </c>
      <c r="BV103" s="675">
        <v>0</v>
      </c>
      <c r="BW103" s="675">
        <v>0</v>
      </c>
      <c r="BX103" s="675">
        <v>0</v>
      </c>
      <c r="BY103" s="675">
        <v>0</v>
      </c>
      <c r="BZ103" s="675">
        <v>0</v>
      </c>
      <c r="CA103" s="675">
        <v>0</v>
      </c>
      <c r="CB103" s="675">
        <v>0</v>
      </c>
      <c r="CC103" s="675">
        <v>0</v>
      </c>
      <c r="CD103" s="675">
        <v>0</v>
      </c>
      <c r="CE103" s="675">
        <v>0</v>
      </c>
      <c r="CF103" s="675">
        <v>0</v>
      </c>
      <c r="CG103" s="675">
        <v>0</v>
      </c>
      <c r="CH103" s="675">
        <v>11748</v>
      </c>
      <c r="CI103" s="675">
        <v>0</v>
      </c>
      <c r="CJ103" s="675">
        <v>4</v>
      </c>
      <c r="CK103" s="675">
        <v>0</v>
      </c>
      <c r="CL103" s="675">
        <v>0</v>
      </c>
      <c r="CM103" s="675">
        <v>0</v>
      </c>
      <c r="CN103" s="675">
        <v>0</v>
      </c>
      <c r="CO103" s="675">
        <v>1</v>
      </c>
      <c r="CP103" s="675">
        <v>0.28500000000000003</v>
      </c>
      <c r="CQ103" s="675">
        <v>0</v>
      </c>
      <c r="CR103" s="675">
        <v>100.471</v>
      </c>
      <c r="CS103" s="675">
        <v>0</v>
      </c>
      <c r="CT103" s="675">
        <v>0</v>
      </c>
      <c r="CU103" s="675">
        <v>0</v>
      </c>
      <c r="CV103" s="675">
        <v>0</v>
      </c>
      <c r="CW103" s="675">
        <v>0</v>
      </c>
      <c r="CX103" s="675">
        <v>0</v>
      </c>
      <c r="CY103" s="675">
        <v>0</v>
      </c>
      <c r="CZ103" s="675">
        <v>0</v>
      </c>
      <c r="DA103" s="675">
        <v>0</v>
      </c>
      <c r="DB103" s="675">
        <v>399446</v>
      </c>
      <c r="DC103" s="675">
        <v>0</v>
      </c>
      <c r="DD103" s="675">
        <v>0</v>
      </c>
      <c r="DE103" s="675">
        <v>135673</v>
      </c>
      <c r="DF103" s="675">
        <v>139904</v>
      </c>
      <c r="DG103" s="675">
        <v>22.025000000000002</v>
      </c>
      <c r="DH103" s="675">
        <v>0</v>
      </c>
      <c r="DI103" s="675">
        <v>4231</v>
      </c>
      <c r="DJ103" s="675">
        <v>0</v>
      </c>
      <c r="DK103" s="675">
        <v>3779</v>
      </c>
      <c r="DL103" s="675">
        <v>0</v>
      </c>
      <c r="DM103" s="675">
        <v>114195</v>
      </c>
      <c r="DN103" s="675">
        <v>398</v>
      </c>
      <c r="DO103" s="675">
        <v>0</v>
      </c>
      <c r="DP103" s="675">
        <v>0</v>
      </c>
      <c r="DQ103" s="675">
        <v>0</v>
      </c>
      <c r="DR103" s="675">
        <v>0</v>
      </c>
      <c r="DS103" s="675">
        <v>0</v>
      </c>
      <c r="DT103" s="675">
        <v>0</v>
      </c>
      <c r="DU103" s="675">
        <v>0</v>
      </c>
      <c r="DV103" s="675">
        <v>0</v>
      </c>
      <c r="DW103" s="675">
        <v>0</v>
      </c>
      <c r="DX103" s="675">
        <v>0</v>
      </c>
      <c r="DY103" s="675">
        <v>0</v>
      </c>
      <c r="DZ103" s="675">
        <v>0</v>
      </c>
      <c r="EA103" s="675">
        <v>0</v>
      </c>
      <c r="EB103" s="675">
        <v>0</v>
      </c>
      <c r="EC103" s="675">
        <v>14.968</v>
      </c>
      <c r="ED103" s="675">
        <v>106033</v>
      </c>
      <c r="EE103" s="675">
        <v>0</v>
      </c>
      <c r="EF103" s="675">
        <v>0</v>
      </c>
      <c r="EG103" s="675">
        <v>0</v>
      </c>
      <c r="EH103" s="675">
        <v>216</v>
      </c>
      <c r="EI103" s="675">
        <v>0</v>
      </c>
      <c r="EJ103" s="675">
        <v>0</v>
      </c>
      <c r="EK103" s="675">
        <v>0</v>
      </c>
      <c r="EL103" s="675">
        <v>0</v>
      </c>
      <c r="EM103" s="675">
        <v>0</v>
      </c>
      <c r="EN103" s="675">
        <v>7.0000000000000001E-3</v>
      </c>
      <c r="EO103" s="675">
        <v>0</v>
      </c>
      <c r="EP103" s="675">
        <v>0</v>
      </c>
      <c r="EQ103" s="675">
        <v>7.0000000000000001E-3</v>
      </c>
      <c r="ER103" s="675">
        <v>0</v>
      </c>
      <c r="ES103" s="675">
        <v>3.5000000000000003E-2</v>
      </c>
      <c r="ET103" s="675">
        <v>0</v>
      </c>
      <c r="EU103" s="675">
        <v>0</v>
      </c>
      <c r="EV103" s="675">
        <v>0</v>
      </c>
      <c r="EW103" s="675">
        <v>0</v>
      </c>
      <c r="EX103" s="675">
        <v>0</v>
      </c>
      <c r="EY103" s="675">
        <v>0</v>
      </c>
      <c r="EZ103" s="675">
        <v>710150</v>
      </c>
      <c r="FA103" s="675">
        <v>0</v>
      </c>
      <c r="FB103" s="675">
        <v>744296</v>
      </c>
      <c r="FC103" s="675">
        <v>0</v>
      </c>
      <c r="FD103" s="675">
        <v>0</v>
      </c>
      <c r="FE103" s="675">
        <v>74884</v>
      </c>
      <c r="FF103" s="675">
        <v>15488</v>
      </c>
      <c r="FG103" s="675">
        <v>6.3574999999999993E-2</v>
      </c>
      <c r="FH103" s="675">
        <v>2.6297999999999998E-2</v>
      </c>
      <c r="FI103" s="675">
        <v>0</v>
      </c>
      <c r="FJ103" s="675">
        <v>0</v>
      </c>
      <c r="FK103" s="675">
        <v>119.51</v>
      </c>
      <c r="FL103" s="675">
        <v>846416</v>
      </c>
      <c r="FM103" s="675">
        <v>0</v>
      </c>
      <c r="FN103" s="675">
        <v>0</v>
      </c>
      <c r="FO103" s="675">
        <v>7049</v>
      </c>
      <c r="FP103" s="675">
        <v>0</v>
      </c>
      <c r="FQ103" s="675">
        <v>7049</v>
      </c>
      <c r="FR103" s="675">
        <v>7049</v>
      </c>
      <c r="FS103" s="675">
        <v>0</v>
      </c>
      <c r="FT103" s="675">
        <v>0</v>
      </c>
      <c r="FU103" s="675">
        <v>0</v>
      </c>
      <c r="FV103" s="675">
        <v>0</v>
      </c>
      <c r="FW103" s="675">
        <v>0</v>
      </c>
      <c r="FX103" s="675">
        <v>0</v>
      </c>
      <c r="FY103" s="675">
        <v>0</v>
      </c>
      <c r="FZ103" s="675">
        <v>0</v>
      </c>
      <c r="GA103" s="675">
        <v>0</v>
      </c>
      <c r="GB103" s="675">
        <v>2668</v>
      </c>
      <c r="GC103" s="675">
        <v>2668</v>
      </c>
      <c r="GD103" s="675">
        <v>0.33400000000000002</v>
      </c>
      <c r="GE103" s="675">
        <v>0</v>
      </c>
      <c r="GF103" s="675">
        <v>0</v>
      </c>
      <c r="GG103" s="675">
        <v>0</v>
      </c>
      <c r="GH103" s="675">
        <v>0</v>
      </c>
      <c r="GI103" s="675">
        <v>0</v>
      </c>
      <c r="GJ103" s="675">
        <v>0</v>
      </c>
      <c r="GK103" s="675">
        <v>0</v>
      </c>
      <c r="GL103" s="675">
        <v>0</v>
      </c>
      <c r="GM103" s="675">
        <v>0</v>
      </c>
      <c r="GN103" s="675">
        <v>0</v>
      </c>
      <c r="GO103" s="675">
        <v>0</v>
      </c>
      <c r="GP103" s="675">
        <v>0</v>
      </c>
      <c r="GQ103" s="675">
        <v>0</v>
      </c>
      <c r="GR103" s="675">
        <v>0</v>
      </c>
      <c r="GS103" s="675">
        <v>0</v>
      </c>
      <c r="GT103" s="675">
        <v>0</v>
      </c>
      <c r="GU103" s="675">
        <v>0</v>
      </c>
      <c r="GV103" s="675">
        <v>0</v>
      </c>
      <c r="GW103" s="675">
        <v>0</v>
      </c>
      <c r="GX103" s="675">
        <v>0</v>
      </c>
      <c r="GY103" s="675">
        <v>0</v>
      </c>
      <c r="GZ103" s="675">
        <v>0</v>
      </c>
      <c r="HA103" s="675">
        <v>0</v>
      </c>
      <c r="HB103" s="675">
        <v>308877260</v>
      </c>
      <c r="HC103" s="675">
        <v>4.4138999999999998E-2</v>
      </c>
      <c r="HD103" s="675">
        <v>11748</v>
      </c>
      <c r="HE103" s="675">
        <v>0</v>
      </c>
      <c r="HF103" s="675">
        <v>73019</v>
      </c>
      <c r="HG103" s="675">
        <v>0</v>
      </c>
      <c r="HH103" s="675">
        <v>0</v>
      </c>
      <c r="HI103" s="675">
        <v>0</v>
      </c>
      <c r="HJ103" s="675">
        <v>647</v>
      </c>
      <c r="HK103" s="675">
        <v>1467</v>
      </c>
      <c r="HL103" s="675">
        <v>0</v>
      </c>
      <c r="HM103" s="675">
        <v>5000</v>
      </c>
      <c r="HN103" s="675">
        <v>0</v>
      </c>
      <c r="HO103" s="675">
        <v>0</v>
      </c>
      <c r="HP103" s="675">
        <v>0</v>
      </c>
      <c r="HQ103" s="675">
        <v>0</v>
      </c>
      <c r="HR103" s="675">
        <v>0</v>
      </c>
      <c r="HS103" s="675">
        <v>709752</v>
      </c>
      <c r="HT103" s="675">
        <v>15488</v>
      </c>
      <c r="HU103" s="675">
        <v>0</v>
      </c>
      <c r="HV103" s="675">
        <v>0</v>
      </c>
      <c r="HW103" s="675">
        <v>0</v>
      </c>
      <c r="HX103" s="675">
        <v>3</v>
      </c>
      <c r="HY103" s="675">
        <v>9</v>
      </c>
      <c r="HZ103" s="675">
        <v>13</v>
      </c>
      <c r="IA103" s="675">
        <v>21</v>
      </c>
      <c r="IB103" s="675">
        <v>38</v>
      </c>
      <c r="IC103" s="675">
        <v>84</v>
      </c>
      <c r="ID103" s="675">
        <v>0</v>
      </c>
      <c r="IE103" s="675">
        <v>0</v>
      </c>
      <c r="IF103" s="675">
        <v>0</v>
      </c>
      <c r="IG103" s="675">
        <v>0</v>
      </c>
      <c r="IH103" s="675">
        <v>0</v>
      </c>
      <c r="II103" s="675">
        <v>0</v>
      </c>
      <c r="IJ103" s="675">
        <v>1.462</v>
      </c>
      <c r="IK103" s="675">
        <v>0</v>
      </c>
      <c r="IL103" s="675">
        <v>0</v>
      </c>
      <c r="IM103" s="675">
        <v>1</v>
      </c>
      <c r="IN103" s="675">
        <v>1</v>
      </c>
      <c r="IO103" s="675">
        <v>2</v>
      </c>
      <c r="IP103" s="675">
        <v>0</v>
      </c>
      <c r="IQ103" s="675">
        <v>1.462</v>
      </c>
      <c r="IR103" s="675">
        <v>901</v>
      </c>
      <c r="IS103" s="675">
        <v>0</v>
      </c>
      <c r="IT103" s="675">
        <v>0</v>
      </c>
      <c r="IU103" s="675">
        <v>3000</v>
      </c>
      <c r="IV103" s="675">
        <v>2000</v>
      </c>
      <c r="IW103" s="675">
        <v>6160</v>
      </c>
      <c r="IX103" s="675">
        <v>0</v>
      </c>
      <c r="IY103" s="675">
        <v>0</v>
      </c>
      <c r="IZ103" s="675">
        <v>0</v>
      </c>
      <c r="JA103" s="675">
        <v>0</v>
      </c>
      <c r="JB103" s="675">
        <v>0</v>
      </c>
      <c r="JC103" s="675">
        <v>0</v>
      </c>
      <c r="JD103" s="675">
        <v>0</v>
      </c>
      <c r="JE103" s="675">
        <v>0</v>
      </c>
      <c r="JF103" s="675">
        <v>0</v>
      </c>
      <c r="JG103" s="675">
        <v>0</v>
      </c>
      <c r="JH103" s="675">
        <v>0</v>
      </c>
      <c r="JI103" s="675">
        <v>0</v>
      </c>
      <c r="JJ103" s="675">
        <v>0</v>
      </c>
      <c r="JK103" s="675">
        <v>0</v>
      </c>
      <c r="JL103" s="675">
        <v>0</v>
      </c>
      <c r="JM103" s="675">
        <v>0</v>
      </c>
      <c r="JN103" s="675">
        <v>32469</v>
      </c>
      <c r="JO103" s="675">
        <v>0.33400000000000002</v>
      </c>
      <c r="JP103" s="675">
        <v>0</v>
      </c>
      <c r="JQ103" s="675">
        <v>0</v>
      </c>
      <c r="JR103" s="675">
        <v>2668</v>
      </c>
      <c r="JS103" s="675">
        <v>0</v>
      </c>
      <c r="JT103" s="675">
        <v>0</v>
      </c>
      <c r="JU103" s="675">
        <v>0</v>
      </c>
      <c r="JV103" s="675">
        <v>0</v>
      </c>
      <c r="JW103" s="675">
        <v>0</v>
      </c>
      <c r="JX103" s="675">
        <v>0</v>
      </c>
      <c r="JY103" s="675">
        <v>0</v>
      </c>
      <c r="JZ103" s="675">
        <v>0</v>
      </c>
      <c r="KA103" s="675">
        <v>0</v>
      </c>
      <c r="KB103" s="675">
        <v>0</v>
      </c>
      <c r="KC103" s="675">
        <v>0</v>
      </c>
      <c r="KD103" s="675">
        <v>0</v>
      </c>
      <c r="KE103" s="675">
        <v>7263</v>
      </c>
      <c r="KF103" s="675">
        <v>0</v>
      </c>
      <c r="KG103" s="675">
        <v>0</v>
      </c>
      <c r="KH103" s="675">
        <v>0</v>
      </c>
      <c r="KI103" s="675">
        <v>0</v>
      </c>
    </row>
    <row r="104" spans="1:295" ht="12.5" x14ac:dyDescent="0.25">
      <c r="A104" s="675">
        <v>35795</v>
      </c>
      <c r="B104" s="675">
        <v>57814</v>
      </c>
      <c r="C104" s="675">
        <v>7</v>
      </c>
      <c r="D104" s="675">
        <v>2022</v>
      </c>
      <c r="E104" s="675">
        <v>6160</v>
      </c>
      <c r="F104" s="675">
        <v>0</v>
      </c>
      <c r="G104" s="675">
        <v>265.67500000000001</v>
      </c>
      <c r="H104" s="675">
        <v>185.268</v>
      </c>
      <c r="I104" s="675">
        <v>185.268</v>
      </c>
      <c r="J104" s="675">
        <v>265.67500000000001</v>
      </c>
      <c r="K104" s="675">
        <v>0</v>
      </c>
      <c r="L104" s="675">
        <v>6160</v>
      </c>
      <c r="M104" s="675">
        <v>0</v>
      </c>
      <c r="N104" s="675">
        <v>0</v>
      </c>
      <c r="O104" s="675">
        <v>0</v>
      </c>
      <c r="P104" s="675">
        <v>277.31100000000004</v>
      </c>
      <c r="Q104" s="675">
        <v>0</v>
      </c>
      <c r="R104" s="675">
        <v>111598</v>
      </c>
      <c r="S104" s="675">
        <v>402.428</v>
      </c>
      <c r="T104" s="675">
        <v>0</v>
      </c>
      <c r="U104" s="675">
        <v>59346</v>
      </c>
      <c r="V104" s="675">
        <v>53.035000000000004</v>
      </c>
      <c r="W104" s="675">
        <v>32669</v>
      </c>
      <c r="X104" s="675">
        <v>32669</v>
      </c>
      <c r="Y104" s="675">
        <v>0</v>
      </c>
      <c r="Z104" s="675">
        <v>0</v>
      </c>
      <c r="AA104" s="675">
        <v>0</v>
      </c>
      <c r="AB104" s="675">
        <v>0</v>
      </c>
      <c r="AC104" s="675">
        <v>0</v>
      </c>
      <c r="AD104" s="675" t="s">
        <v>316</v>
      </c>
      <c r="AE104" s="675">
        <v>0</v>
      </c>
      <c r="AF104" s="675">
        <v>0</v>
      </c>
      <c r="AG104" s="675">
        <v>0</v>
      </c>
      <c r="AH104" s="675">
        <v>0</v>
      </c>
      <c r="AI104" s="675">
        <v>0</v>
      </c>
      <c r="AJ104" s="675">
        <v>6160</v>
      </c>
      <c r="AK104" s="675" t="s">
        <v>671</v>
      </c>
      <c r="AL104" s="675" t="s">
        <v>328</v>
      </c>
      <c r="AM104" s="675">
        <v>0</v>
      </c>
      <c r="AN104" s="675">
        <v>0</v>
      </c>
      <c r="AO104" s="675">
        <v>0</v>
      </c>
      <c r="AP104" s="675">
        <v>0</v>
      </c>
      <c r="AQ104" s="675">
        <v>0</v>
      </c>
      <c r="AR104" s="675">
        <v>0</v>
      </c>
      <c r="AS104" s="675">
        <v>0</v>
      </c>
      <c r="AT104" s="675">
        <v>0</v>
      </c>
      <c r="AU104" s="675">
        <v>0</v>
      </c>
      <c r="AV104" s="675">
        <v>-1538</v>
      </c>
      <c r="AW104" s="675">
        <v>4198240</v>
      </c>
      <c r="AX104" s="675">
        <v>4157570</v>
      </c>
      <c r="AY104" s="675">
        <v>3003755</v>
      </c>
      <c r="AZ104" s="675">
        <v>111598</v>
      </c>
      <c r="BA104" s="675">
        <v>0</v>
      </c>
      <c r="BB104" s="675">
        <v>0</v>
      </c>
      <c r="BC104" s="675">
        <v>0</v>
      </c>
      <c r="BD104" s="675">
        <v>0</v>
      </c>
      <c r="BE104" s="675">
        <v>0</v>
      </c>
      <c r="BF104" s="675">
        <v>3666177</v>
      </c>
      <c r="BG104" s="675">
        <v>0</v>
      </c>
      <c r="BH104" s="675">
        <v>0</v>
      </c>
      <c r="BI104" s="675">
        <v>0</v>
      </c>
      <c r="BJ104" s="675">
        <v>12</v>
      </c>
      <c r="BK104" s="675">
        <v>0</v>
      </c>
      <c r="BL104" s="675">
        <v>0</v>
      </c>
      <c r="BM104" s="675">
        <v>0</v>
      </c>
      <c r="BN104" s="675">
        <v>0</v>
      </c>
      <c r="BO104" s="675">
        <v>0</v>
      </c>
      <c r="BP104" s="675">
        <v>0</v>
      </c>
      <c r="BQ104" s="675">
        <v>741</v>
      </c>
      <c r="BR104" s="675">
        <v>0</v>
      </c>
      <c r="BS104" s="675">
        <v>0</v>
      </c>
      <c r="BT104" s="675">
        <v>0</v>
      </c>
      <c r="BU104" s="675">
        <v>0</v>
      </c>
      <c r="BV104" s="675">
        <v>0</v>
      </c>
      <c r="BW104" s="675">
        <v>0</v>
      </c>
      <c r="BX104" s="675">
        <v>0</v>
      </c>
      <c r="BY104" s="675">
        <v>0</v>
      </c>
      <c r="BZ104" s="675">
        <v>0</v>
      </c>
      <c r="CA104" s="675">
        <v>0</v>
      </c>
      <c r="CB104" s="675">
        <v>0</v>
      </c>
      <c r="CC104" s="675">
        <v>0</v>
      </c>
      <c r="CD104" s="675">
        <v>0</v>
      </c>
      <c r="CE104" s="675">
        <v>0</v>
      </c>
      <c r="CF104" s="675">
        <v>0</v>
      </c>
      <c r="CG104" s="675">
        <v>0</v>
      </c>
      <c r="CH104" s="675">
        <v>46906</v>
      </c>
      <c r="CI104" s="675">
        <v>0</v>
      </c>
      <c r="CJ104" s="675">
        <v>4</v>
      </c>
      <c r="CK104" s="675">
        <v>0</v>
      </c>
      <c r="CL104" s="675">
        <v>0</v>
      </c>
      <c r="CM104" s="675">
        <v>0</v>
      </c>
      <c r="CN104" s="675">
        <v>0</v>
      </c>
      <c r="CO104" s="675">
        <v>1</v>
      </c>
      <c r="CP104" s="675">
        <v>0</v>
      </c>
      <c r="CQ104" s="675">
        <v>0</v>
      </c>
      <c r="CR104" s="675">
        <v>247.26600000000002</v>
      </c>
      <c r="CS104" s="675">
        <v>0</v>
      </c>
      <c r="CT104" s="675">
        <v>0</v>
      </c>
      <c r="CU104" s="675">
        <v>0</v>
      </c>
      <c r="CV104" s="675">
        <v>0</v>
      </c>
      <c r="CW104" s="675">
        <v>0</v>
      </c>
      <c r="CX104" s="675">
        <v>0</v>
      </c>
      <c r="CY104" s="675">
        <v>0</v>
      </c>
      <c r="CZ104" s="675">
        <v>0</v>
      </c>
      <c r="DA104" s="675">
        <v>0</v>
      </c>
      <c r="DB104" s="675">
        <v>523185</v>
      </c>
      <c r="DC104" s="675">
        <v>0</v>
      </c>
      <c r="DD104" s="675">
        <v>0</v>
      </c>
      <c r="DE104" s="675">
        <v>502346</v>
      </c>
      <c r="DF104" s="675">
        <v>502346</v>
      </c>
      <c r="DG104" s="675">
        <v>81.55</v>
      </c>
      <c r="DH104" s="675">
        <v>0</v>
      </c>
      <c r="DI104" s="675">
        <v>0</v>
      </c>
      <c r="DJ104" s="675">
        <v>0</v>
      </c>
      <c r="DK104" s="675">
        <v>3486</v>
      </c>
      <c r="DL104" s="675">
        <v>0</v>
      </c>
      <c r="DM104" s="675">
        <v>2275732</v>
      </c>
      <c r="DN104" s="675">
        <v>6236</v>
      </c>
      <c r="DO104" s="675">
        <v>0</v>
      </c>
      <c r="DP104" s="675">
        <v>0</v>
      </c>
      <c r="DQ104" s="675">
        <v>0</v>
      </c>
      <c r="DR104" s="675">
        <v>0</v>
      </c>
      <c r="DS104" s="675">
        <v>0</v>
      </c>
      <c r="DT104" s="675">
        <v>0</v>
      </c>
      <c r="DU104" s="675">
        <v>0</v>
      </c>
      <c r="DV104" s="675">
        <v>0</v>
      </c>
      <c r="DW104" s="675">
        <v>0</v>
      </c>
      <c r="DX104" s="675">
        <v>0</v>
      </c>
      <c r="DY104" s="675">
        <v>0</v>
      </c>
      <c r="DZ104" s="675">
        <v>0</v>
      </c>
      <c r="EA104" s="675">
        <v>0</v>
      </c>
      <c r="EB104" s="675">
        <v>0</v>
      </c>
      <c r="EC104" s="675">
        <v>0.31900000000000001</v>
      </c>
      <c r="ED104" s="675">
        <v>2260</v>
      </c>
      <c r="EE104" s="675">
        <v>0</v>
      </c>
      <c r="EF104" s="675">
        <v>0</v>
      </c>
      <c r="EG104" s="675">
        <v>0</v>
      </c>
      <c r="EH104" s="675">
        <v>5452</v>
      </c>
      <c r="EI104" s="675">
        <v>1656195</v>
      </c>
      <c r="EJ104" s="675">
        <v>67.216000000000008</v>
      </c>
      <c r="EK104" s="675">
        <v>0</v>
      </c>
      <c r="EL104" s="675">
        <v>0</v>
      </c>
      <c r="EM104" s="675">
        <v>0</v>
      </c>
      <c r="EN104" s="675">
        <v>0.17700000000000002</v>
      </c>
      <c r="EO104" s="675">
        <v>0</v>
      </c>
      <c r="EP104" s="675">
        <v>0</v>
      </c>
      <c r="EQ104" s="675">
        <v>67.393000000000001</v>
      </c>
      <c r="ER104" s="675">
        <v>0</v>
      </c>
      <c r="ES104" s="675">
        <v>0.88500000000000001</v>
      </c>
      <c r="ET104" s="675">
        <v>0</v>
      </c>
      <c r="EU104" s="675">
        <v>0</v>
      </c>
      <c r="EV104" s="675">
        <v>0</v>
      </c>
      <c r="EW104" s="675">
        <v>0</v>
      </c>
      <c r="EX104" s="675">
        <v>0</v>
      </c>
      <c r="EY104" s="675">
        <v>0</v>
      </c>
      <c r="EZ104" s="675">
        <v>3707514</v>
      </c>
      <c r="FA104" s="675">
        <v>0</v>
      </c>
      <c r="FB104" s="675">
        <v>3812876</v>
      </c>
      <c r="FC104" s="675">
        <v>0</v>
      </c>
      <c r="FD104" s="675">
        <v>0</v>
      </c>
      <c r="FE104" s="675">
        <v>372925</v>
      </c>
      <c r="FF104" s="675">
        <v>77131</v>
      </c>
      <c r="FG104" s="675">
        <v>6.3574999999999993E-2</v>
      </c>
      <c r="FH104" s="675">
        <v>2.6297999999999998E-2</v>
      </c>
      <c r="FI104" s="675">
        <v>0</v>
      </c>
      <c r="FJ104" s="675">
        <v>0</v>
      </c>
      <c r="FK104" s="675">
        <v>595.16100000000006</v>
      </c>
      <c r="FL104" s="675">
        <v>4309838</v>
      </c>
      <c r="FM104" s="675">
        <v>0</v>
      </c>
      <c r="FN104" s="675">
        <v>0</v>
      </c>
      <c r="FO104" s="675">
        <v>896</v>
      </c>
      <c r="FP104" s="675">
        <v>0</v>
      </c>
      <c r="FQ104" s="675">
        <v>896</v>
      </c>
      <c r="FR104" s="675">
        <v>896</v>
      </c>
      <c r="FS104" s="675">
        <v>0</v>
      </c>
      <c r="FT104" s="675">
        <v>0</v>
      </c>
      <c r="FU104" s="675">
        <v>0</v>
      </c>
      <c r="FV104" s="675">
        <v>0</v>
      </c>
      <c r="FW104" s="675">
        <v>0</v>
      </c>
      <c r="FX104" s="675">
        <v>0</v>
      </c>
      <c r="FY104" s="675">
        <v>0</v>
      </c>
      <c r="FZ104" s="675">
        <v>0</v>
      </c>
      <c r="GA104" s="675">
        <v>0</v>
      </c>
      <c r="GB104" s="675">
        <v>119076</v>
      </c>
      <c r="GC104" s="675">
        <v>119076</v>
      </c>
      <c r="GD104" s="675">
        <v>13.014000000000001</v>
      </c>
      <c r="GE104" s="675">
        <v>0</v>
      </c>
      <c r="GF104" s="675">
        <v>0</v>
      </c>
      <c r="GG104" s="675">
        <v>0</v>
      </c>
      <c r="GH104" s="675">
        <v>0</v>
      </c>
      <c r="GI104" s="675">
        <v>0</v>
      </c>
      <c r="GJ104" s="675">
        <v>0</v>
      </c>
      <c r="GK104" s="675">
        <v>0</v>
      </c>
      <c r="GL104" s="675">
        <v>0</v>
      </c>
      <c r="GM104" s="675">
        <v>0</v>
      </c>
      <c r="GN104" s="675">
        <v>0</v>
      </c>
      <c r="GO104" s="675">
        <v>0</v>
      </c>
      <c r="GP104" s="675">
        <v>0</v>
      </c>
      <c r="GQ104" s="675">
        <v>0</v>
      </c>
      <c r="GR104" s="675">
        <v>0</v>
      </c>
      <c r="GS104" s="675">
        <v>0</v>
      </c>
      <c r="GT104" s="675">
        <v>0</v>
      </c>
      <c r="GU104" s="675">
        <v>0</v>
      </c>
      <c r="GV104" s="675">
        <v>0</v>
      </c>
      <c r="GW104" s="675">
        <v>0</v>
      </c>
      <c r="GX104" s="675">
        <v>0</v>
      </c>
      <c r="GY104" s="675">
        <v>0</v>
      </c>
      <c r="GZ104" s="675">
        <v>0</v>
      </c>
      <c r="HA104" s="675">
        <v>0</v>
      </c>
      <c r="HB104" s="675">
        <v>308877260</v>
      </c>
      <c r="HC104" s="675">
        <v>4.4138999999999998E-2</v>
      </c>
      <c r="HD104" s="675">
        <v>46906</v>
      </c>
      <c r="HE104" s="675">
        <v>0</v>
      </c>
      <c r="HF104" s="675">
        <v>204351</v>
      </c>
      <c r="HG104" s="675">
        <v>0</v>
      </c>
      <c r="HH104" s="675">
        <v>0</v>
      </c>
      <c r="HI104" s="675">
        <v>0</v>
      </c>
      <c r="HJ104" s="675">
        <v>2582</v>
      </c>
      <c r="HK104" s="675">
        <v>2961</v>
      </c>
      <c r="HL104" s="675">
        <v>0</v>
      </c>
      <c r="HM104" s="675">
        <v>0</v>
      </c>
      <c r="HN104" s="675">
        <v>0</v>
      </c>
      <c r="HO104" s="675">
        <v>0</v>
      </c>
      <c r="HP104" s="675">
        <v>127565</v>
      </c>
      <c r="HQ104" s="675">
        <v>0</v>
      </c>
      <c r="HR104" s="675">
        <v>0</v>
      </c>
      <c r="HS104" s="675">
        <v>3701278</v>
      </c>
      <c r="HT104" s="675">
        <v>77131</v>
      </c>
      <c r="HU104" s="675">
        <v>0</v>
      </c>
      <c r="HV104" s="675">
        <v>0</v>
      </c>
      <c r="HW104" s="675">
        <v>0</v>
      </c>
      <c r="HX104" s="675">
        <v>0</v>
      </c>
      <c r="HY104" s="675">
        <v>0</v>
      </c>
      <c r="HZ104" s="675">
        <v>2</v>
      </c>
      <c r="IA104" s="675">
        <v>6</v>
      </c>
      <c r="IB104" s="675">
        <v>289</v>
      </c>
      <c r="IC104" s="675">
        <v>297</v>
      </c>
      <c r="ID104" s="675">
        <v>0</v>
      </c>
      <c r="IE104" s="675">
        <v>0</v>
      </c>
      <c r="IF104" s="675">
        <v>0</v>
      </c>
      <c r="IG104" s="675">
        <v>0</v>
      </c>
      <c r="IH104" s="675">
        <v>0</v>
      </c>
      <c r="II104" s="675">
        <v>463.87400000000002</v>
      </c>
      <c r="IJ104" s="675">
        <v>53.035000000000004</v>
      </c>
      <c r="IK104" s="675">
        <v>78.227000000000004</v>
      </c>
      <c r="IL104" s="675">
        <v>0</v>
      </c>
      <c r="IM104" s="675">
        <v>0</v>
      </c>
      <c r="IN104" s="675">
        <v>0</v>
      </c>
      <c r="IO104" s="675">
        <v>0</v>
      </c>
      <c r="IP104" s="675">
        <v>542.101</v>
      </c>
      <c r="IQ104" s="675">
        <v>53.035000000000004</v>
      </c>
      <c r="IR104" s="675">
        <v>32669</v>
      </c>
      <c r="IS104" s="675">
        <v>21512</v>
      </c>
      <c r="IT104" s="675">
        <v>0</v>
      </c>
      <c r="IU104" s="675">
        <v>0</v>
      </c>
      <c r="IV104" s="675">
        <v>0</v>
      </c>
      <c r="IW104" s="675">
        <v>6160</v>
      </c>
      <c r="IX104" s="675">
        <v>0</v>
      </c>
      <c r="IY104" s="675">
        <v>0</v>
      </c>
      <c r="IZ104" s="675">
        <v>149078</v>
      </c>
      <c r="JA104" s="675">
        <v>0</v>
      </c>
      <c r="JB104" s="675">
        <v>0</v>
      </c>
      <c r="JC104" s="675">
        <v>0</v>
      </c>
      <c r="JD104" s="675">
        <v>0</v>
      </c>
      <c r="JE104" s="675">
        <v>0</v>
      </c>
      <c r="JF104" s="675">
        <v>0</v>
      </c>
      <c r="JG104" s="675">
        <v>0</v>
      </c>
      <c r="JH104" s="675">
        <v>0</v>
      </c>
      <c r="JI104" s="675">
        <v>0</v>
      </c>
      <c r="JJ104" s="675">
        <v>0</v>
      </c>
      <c r="JK104" s="675">
        <v>0</v>
      </c>
      <c r="JL104" s="675">
        <v>0</v>
      </c>
      <c r="JM104" s="675">
        <v>0</v>
      </c>
      <c r="JN104" s="675">
        <v>32469</v>
      </c>
      <c r="JO104" s="675">
        <v>1.512</v>
      </c>
      <c r="JP104" s="675">
        <v>11.446</v>
      </c>
      <c r="JQ104" s="675">
        <v>5.5E-2</v>
      </c>
      <c r="JR104" s="675">
        <v>12080</v>
      </c>
      <c r="JS104" s="675">
        <v>106409</v>
      </c>
      <c r="JT104" s="675">
        <v>587</v>
      </c>
      <c r="JU104" s="675">
        <v>0</v>
      </c>
      <c r="JV104" s="675">
        <v>0</v>
      </c>
      <c r="JW104" s="675">
        <v>0</v>
      </c>
      <c r="JX104" s="675">
        <v>0</v>
      </c>
      <c r="JY104" s="675">
        <v>0</v>
      </c>
      <c r="JZ104" s="675">
        <v>0</v>
      </c>
      <c r="KA104" s="675">
        <v>0</v>
      </c>
      <c r="KB104" s="675">
        <v>0</v>
      </c>
      <c r="KC104" s="675">
        <v>0</v>
      </c>
      <c r="KD104" s="675">
        <v>0</v>
      </c>
      <c r="KE104" s="675">
        <v>7263</v>
      </c>
      <c r="KF104" s="675">
        <v>0</v>
      </c>
      <c r="KG104" s="675">
        <v>0</v>
      </c>
      <c r="KH104" s="675">
        <v>0</v>
      </c>
      <c r="KI104" s="675">
        <v>0</v>
      </c>
    </row>
    <row r="105" spans="1:295" ht="12.5" x14ac:dyDescent="0.25">
      <c r="A105" s="675">
        <v>35795</v>
      </c>
      <c r="B105" s="675">
        <v>101814</v>
      </c>
      <c r="C105" s="675">
        <v>7</v>
      </c>
      <c r="D105" s="675">
        <v>2022</v>
      </c>
      <c r="E105" s="675">
        <v>6160</v>
      </c>
      <c r="F105" s="675">
        <v>0</v>
      </c>
      <c r="G105" s="675">
        <v>1004.6610000000001</v>
      </c>
      <c r="H105" s="675">
        <v>998.947</v>
      </c>
      <c r="I105" s="675">
        <v>998.947</v>
      </c>
      <c r="J105" s="675">
        <v>1004.6610000000001</v>
      </c>
      <c r="K105" s="675">
        <v>0</v>
      </c>
      <c r="L105" s="675">
        <v>6160</v>
      </c>
      <c r="M105" s="675">
        <v>0</v>
      </c>
      <c r="N105" s="675">
        <v>0</v>
      </c>
      <c r="O105" s="675">
        <v>0</v>
      </c>
      <c r="P105" s="675">
        <v>1185.624</v>
      </c>
      <c r="Q105" s="675">
        <v>0</v>
      </c>
      <c r="R105" s="675">
        <v>477128</v>
      </c>
      <c r="S105" s="675">
        <v>402.428</v>
      </c>
      <c r="T105" s="675">
        <v>0</v>
      </c>
      <c r="U105" s="675">
        <v>253725</v>
      </c>
      <c r="V105" s="675">
        <v>492.77000000000004</v>
      </c>
      <c r="W105" s="675">
        <v>303545</v>
      </c>
      <c r="X105" s="675">
        <v>303545</v>
      </c>
      <c r="Y105" s="675">
        <v>0</v>
      </c>
      <c r="Z105" s="675">
        <v>0</v>
      </c>
      <c r="AA105" s="675">
        <v>0</v>
      </c>
      <c r="AB105" s="675">
        <v>0</v>
      </c>
      <c r="AC105" s="675">
        <v>0</v>
      </c>
      <c r="AD105" s="675" t="s">
        <v>316</v>
      </c>
      <c r="AE105" s="675">
        <v>0</v>
      </c>
      <c r="AF105" s="675">
        <v>0</v>
      </c>
      <c r="AG105" s="675">
        <v>0</v>
      </c>
      <c r="AH105" s="675">
        <v>0</v>
      </c>
      <c r="AI105" s="675">
        <v>0</v>
      </c>
      <c r="AJ105" s="675">
        <v>6160</v>
      </c>
      <c r="AK105" s="675" t="s">
        <v>671</v>
      </c>
      <c r="AL105" s="675" t="s">
        <v>346</v>
      </c>
      <c r="AM105" s="675">
        <v>0</v>
      </c>
      <c r="AN105" s="675">
        <v>0</v>
      </c>
      <c r="AO105" s="675">
        <v>0</v>
      </c>
      <c r="AP105" s="675">
        <v>0</v>
      </c>
      <c r="AQ105" s="675">
        <v>0</v>
      </c>
      <c r="AR105" s="675">
        <v>0</v>
      </c>
      <c r="AS105" s="675">
        <v>0</v>
      </c>
      <c r="AT105" s="675">
        <v>0</v>
      </c>
      <c r="AU105" s="675">
        <v>0</v>
      </c>
      <c r="AV105" s="675">
        <v>-271124</v>
      </c>
      <c r="AW105" s="675">
        <v>10885259</v>
      </c>
      <c r="AX105" s="675">
        <v>10886282</v>
      </c>
      <c r="AY105" s="675">
        <v>7360632</v>
      </c>
      <c r="AZ105" s="675">
        <v>477128</v>
      </c>
      <c r="BA105" s="675">
        <v>0</v>
      </c>
      <c r="BB105" s="675">
        <v>0</v>
      </c>
      <c r="BC105" s="675">
        <v>0</v>
      </c>
      <c r="BD105" s="675">
        <v>0</v>
      </c>
      <c r="BE105" s="675">
        <v>0</v>
      </c>
      <c r="BF105" s="675">
        <v>10066719</v>
      </c>
      <c r="BG105" s="675">
        <v>0</v>
      </c>
      <c r="BH105" s="675">
        <v>0</v>
      </c>
      <c r="BI105" s="675">
        <v>0</v>
      </c>
      <c r="BJ105" s="675">
        <v>12</v>
      </c>
      <c r="BK105" s="675">
        <v>0</v>
      </c>
      <c r="BL105" s="675">
        <v>0</v>
      </c>
      <c r="BM105" s="675">
        <v>0</v>
      </c>
      <c r="BN105" s="675">
        <v>0</v>
      </c>
      <c r="BO105" s="675">
        <v>0</v>
      </c>
      <c r="BP105" s="675">
        <v>0</v>
      </c>
      <c r="BQ105" s="675">
        <v>616</v>
      </c>
      <c r="BR105" s="675">
        <v>0</v>
      </c>
      <c r="BS105" s="675">
        <v>0</v>
      </c>
      <c r="BT105" s="675">
        <v>0</v>
      </c>
      <c r="BU105" s="675">
        <v>0</v>
      </c>
      <c r="BV105" s="675">
        <v>0</v>
      </c>
      <c r="BW105" s="675">
        <v>0</v>
      </c>
      <c r="BX105" s="675">
        <v>0</v>
      </c>
      <c r="BY105" s="675">
        <v>0</v>
      </c>
      <c r="BZ105" s="675">
        <v>0</v>
      </c>
      <c r="CA105" s="675">
        <v>0</v>
      </c>
      <c r="CB105" s="675">
        <v>0</v>
      </c>
      <c r="CC105" s="675">
        <v>0</v>
      </c>
      <c r="CD105" s="675">
        <v>0</v>
      </c>
      <c r="CE105" s="675">
        <v>0</v>
      </c>
      <c r="CF105" s="675">
        <v>0</v>
      </c>
      <c r="CG105" s="675">
        <v>0</v>
      </c>
      <c r="CH105" s="675">
        <v>0</v>
      </c>
      <c r="CI105" s="675">
        <v>0</v>
      </c>
      <c r="CJ105" s="675">
        <v>4</v>
      </c>
      <c r="CK105" s="675">
        <v>0</v>
      </c>
      <c r="CL105" s="675">
        <v>0</v>
      </c>
      <c r="CM105" s="675">
        <v>0</v>
      </c>
      <c r="CN105" s="675">
        <v>0</v>
      </c>
      <c r="CO105" s="675">
        <v>1</v>
      </c>
      <c r="CP105" s="675">
        <v>0</v>
      </c>
      <c r="CQ105" s="675">
        <v>0</v>
      </c>
      <c r="CR105" s="675">
        <v>1148.9090000000001</v>
      </c>
      <c r="CS105" s="675">
        <v>0</v>
      </c>
      <c r="CT105" s="675">
        <v>0</v>
      </c>
      <c r="CU105" s="675">
        <v>0</v>
      </c>
      <c r="CV105" s="675">
        <v>0</v>
      </c>
      <c r="CW105" s="675">
        <v>0</v>
      </c>
      <c r="CX105" s="675">
        <v>0</v>
      </c>
      <c r="CY105" s="675">
        <v>0</v>
      </c>
      <c r="CZ105" s="675">
        <v>0</v>
      </c>
      <c r="DA105" s="675">
        <v>0</v>
      </c>
      <c r="DB105" s="675">
        <v>5988336</v>
      </c>
      <c r="DC105" s="675">
        <v>0</v>
      </c>
      <c r="DD105" s="675">
        <v>0</v>
      </c>
      <c r="DE105" s="675">
        <v>1810878</v>
      </c>
      <c r="DF105" s="675">
        <v>1810878</v>
      </c>
      <c r="DG105" s="675">
        <v>293.97500000000002</v>
      </c>
      <c r="DH105" s="675">
        <v>0</v>
      </c>
      <c r="DI105" s="675">
        <v>0</v>
      </c>
      <c r="DJ105" s="675">
        <v>0</v>
      </c>
      <c r="DK105" s="675">
        <v>1481</v>
      </c>
      <c r="DL105" s="675">
        <v>0</v>
      </c>
      <c r="DM105" s="675">
        <v>437102</v>
      </c>
      <c r="DN105" s="675">
        <v>1023</v>
      </c>
      <c r="DO105" s="675">
        <v>0</v>
      </c>
      <c r="DP105" s="675">
        <v>0</v>
      </c>
      <c r="DQ105" s="675">
        <v>0</v>
      </c>
      <c r="DR105" s="675">
        <v>0</v>
      </c>
      <c r="DS105" s="675">
        <v>0</v>
      </c>
      <c r="DT105" s="675">
        <v>0</v>
      </c>
      <c r="DU105" s="675">
        <v>0</v>
      </c>
      <c r="DV105" s="675">
        <v>0</v>
      </c>
      <c r="DW105" s="675">
        <v>0</v>
      </c>
      <c r="DX105" s="675">
        <v>0</v>
      </c>
      <c r="DY105" s="675">
        <v>0</v>
      </c>
      <c r="DZ105" s="675">
        <v>0</v>
      </c>
      <c r="EA105" s="675">
        <v>0</v>
      </c>
      <c r="EB105" s="675">
        <v>0</v>
      </c>
      <c r="EC105" s="675">
        <v>22.663</v>
      </c>
      <c r="ED105" s="675">
        <v>160544</v>
      </c>
      <c r="EE105" s="675">
        <v>0</v>
      </c>
      <c r="EF105" s="675">
        <v>0</v>
      </c>
      <c r="EG105" s="675">
        <v>0</v>
      </c>
      <c r="EH105" s="675">
        <v>112432</v>
      </c>
      <c r="EI105" s="675">
        <v>0</v>
      </c>
      <c r="EJ105" s="675">
        <v>0</v>
      </c>
      <c r="EK105" s="675">
        <v>5.1589999999999998</v>
      </c>
      <c r="EL105" s="675">
        <v>0</v>
      </c>
      <c r="EM105" s="675">
        <v>0</v>
      </c>
      <c r="EN105" s="675">
        <v>0.55500000000000005</v>
      </c>
      <c r="EO105" s="675">
        <v>0</v>
      </c>
      <c r="EP105" s="675">
        <v>0</v>
      </c>
      <c r="EQ105" s="675">
        <v>5.7140000000000004</v>
      </c>
      <c r="ER105" s="675">
        <v>0</v>
      </c>
      <c r="ES105" s="675">
        <v>18.252000000000002</v>
      </c>
      <c r="ET105" s="675">
        <v>0</v>
      </c>
      <c r="EU105" s="675">
        <v>0</v>
      </c>
      <c r="EV105" s="675">
        <v>0</v>
      </c>
      <c r="EW105" s="675">
        <v>0</v>
      </c>
      <c r="EX105" s="675">
        <v>0</v>
      </c>
      <c r="EY105" s="675">
        <v>0</v>
      </c>
      <c r="EZ105" s="675">
        <v>9650502</v>
      </c>
      <c r="FA105" s="675">
        <v>0</v>
      </c>
      <c r="FB105" s="675">
        <v>10126607</v>
      </c>
      <c r="FC105" s="675">
        <v>0</v>
      </c>
      <c r="FD105" s="675">
        <v>0</v>
      </c>
      <c r="FE105" s="675">
        <v>1023991</v>
      </c>
      <c r="FF105" s="675">
        <v>211789</v>
      </c>
      <c r="FG105" s="675">
        <v>6.3574999999999993E-2</v>
      </c>
      <c r="FH105" s="675">
        <v>2.6297999999999998E-2</v>
      </c>
      <c r="FI105" s="675">
        <v>0</v>
      </c>
      <c r="FJ105" s="675">
        <v>0</v>
      </c>
      <c r="FK105" s="675">
        <v>1634.2150000000001</v>
      </c>
      <c r="FL105" s="675">
        <v>11362387</v>
      </c>
      <c r="FM105" s="675">
        <v>0</v>
      </c>
      <c r="FN105" s="675">
        <v>0</v>
      </c>
      <c r="FO105" s="675">
        <v>60911</v>
      </c>
      <c r="FP105" s="675">
        <v>0</v>
      </c>
      <c r="FQ105" s="675">
        <v>60911</v>
      </c>
      <c r="FR105" s="675">
        <v>60911</v>
      </c>
      <c r="FS105" s="675">
        <v>0</v>
      </c>
      <c r="FT105" s="675">
        <v>0</v>
      </c>
      <c r="FU105" s="675">
        <v>0</v>
      </c>
      <c r="FV105" s="675">
        <v>0</v>
      </c>
      <c r="FW105" s="675">
        <v>0</v>
      </c>
      <c r="FX105" s="675">
        <v>0</v>
      </c>
      <c r="FY105" s="675">
        <v>0</v>
      </c>
      <c r="FZ105" s="675">
        <v>0</v>
      </c>
      <c r="GA105" s="675">
        <v>0</v>
      </c>
      <c r="GB105" s="675">
        <v>0</v>
      </c>
      <c r="GC105" s="675">
        <v>0</v>
      </c>
      <c r="GD105" s="675">
        <v>0</v>
      </c>
      <c r="GE105" s="675">
        <v>0</v>
      </c>
      <c r="GF105" s="675">
        <v>0</v>
      </c>
      <c r="GG105" s="675">
        <v>0</v>
      </c>
      <c r="GH105" s="675">
        <v>0</v>
      </c>
      <c r="GI105" s="675">
        <v>0</v>
      </c>
      <c r="GJ105" s="675">
        <v>0</v>
      </c>
      <c r="GK105" s="675">
        <v>0</v>
      </c>
      <c r="GL105" s="675">
        <v>0</v>
      </c>
      <c r="GM105" s="675">
        <v>0</v>
      </c>
      <c r="GN105" s="675">
        <v>0</v>
      </c>
      <c r="GO105" s="675">
        <v>0</v>
      </c>
      <c r="GP105" s="675">
        <v>0</v>
      </c>
      <c r="GQ105" s="675">
        <v>0</v>
      </c>
      <c r="GR105" s="675">
        <v>0</v>
      </c>
      <c r="GS105" s="675">
        <v>0</v>
      </c>
      <c r="GT105" s="675">
        <v>0</v>
      </c>
      <c r="GU105" s="675">
        <v>0</v>
      </c>
      <c r="GV105" s="675">
        <v>0</v>
      </c>
      <c r="GW105" s="675">
        <v>0</v>
      </c>
      <c r="GX105" s="675">
        <v>0</v>
      </c>
      <c r="GY105" s="675">
        <v>0</v>
      </c>
      <c r="GZ105" s="675">
        <v>0</v>
      </c>
      <c r="HA105" s="675">
        <v>0</v>
      </c>
      <c r="HB105" s="675">
        <v>0</v>
      </c>
      <c r="HC105" s="675">
        <v>4.4138999999999998E-2</v>
      </c>
      <c r="HD105" s="675">
        <v>0</v>
      </c>
      <c r="HE105" s="675">
        <v>0</v>
      </c>
      <c r="HF105" s="675">
        <v>1101839</v>
      </c>
      <c r="HG105" s="675">
        <v>616</v>
      </c>
      <c r="HH105" s="675">
        <v>413615</v>
      </c>
      <c r="HI105" s="675">
        <v>0</v>
      </c>
      <c r="HJ105" s="675">
        <v>9765</v>
      </c>
      <c r="HK105" s="675">
        <v>0</v>
      </c>
      <c r="HL105" s="675">
        <v>0</v>
      </c>
      <c r="HM105" s="675">
        <v>0</v>
      </c>
      <c r="HN105" s="675">
        <v>0</v>
      </c>
      <c r="HO105" s="675">
        <v>0</v>
      </c>
      <c r="HP105" s="675">
        <v>0</v>
      </c>
      <c r="HQ105" s="675">
        <v>0</v>
      </c>
      <c r="HR105" s="675">
        <v>0</v>
      </c>
      <c r="HS105" s="675">
        <v>9649479</v>
      </c>
      <c r="HT105" s="675">
        <v>211789</v>
      </c>
      <c r="HU105" s="675">
        <v>0</v>
      </c>
      <c r="HV105" s="675">
        <v>0</v>
      </c>
      <c r="HW105" s="675">
        <v>0</v>
      </c>
      <c r="HX105" s="675">
        <v>62</v>
      </c>
      <c r="HY105" s="675">
        <v>80</v>
      </c>
      <c r="HZ105" s="675">
        <v>211</v>
      </c>
      <c r="IA105" s="675">
        <v>256</v>
      </c>
      <c r="IB105" s="675">
        <v>513</v>
      </c>
      <c r="IC105" s="675">
        <v>1122</v>
      </c>
      <c r="ID105" s="675">
        <v>0</v>
      </c>
      <c r="IE105" s="675">
        <v>0</v>
      </c>
      <c r="IF105" s="675">
        <v>0</v>
      </c>
      <c r="IG105" s="675">
        <v>1</v>
      </c>
      <c r="IH105" s="675">
        <v>671.45600000000002</v>
      </c>
      <c r="II105" s="675">
        <v>0</v>
      </c>
      <c r="IJ105" s="675">
        <v>492.77000000000004</v>
      </c>
      <c r="IK105" s="675">
        <v>0</v>
      </c>
      <c r="IL105" s="675">
        <v>0</v>
      </c>
      <c r="IM105" s="675">
        <v>0</v>
      </c>
      <c r="IN105" s="675">
        <v>0</v>
      </c>
      <c r="IO105" s="675">
        <v>0</v>
      </c>
      <c r="IP105" s="675">
        <v>0</v>
      </c>
      <c r="IQ105" s="675">
        <v>492.77000000000004</v>
      </c>
      <c r="IR105" s="675">
        <v>303545</v>
      </c>
      <c r="IS105" s="675">
        <v>0</v>
      </c>
      <c r="IT105" s="675">
        <v>0</v>
      </c>
      <c r="IU105" s="675">
        <v>0</v>
      </c>
      <c r="IV105" s="675">
        <v>0</v>
      </c>
      <c r="IW105" s="675">
        <v>6160</v>
      </c>
      <c r="IX105" s="675">
        <v>0</v>
      </c>
      <c r="IY105" s="675">
        <v>0</v>
      </c>
      <c r="IZ105" s="675">
        <v>0</v>
      </c>
      <c r="JA105" s="675">
        <v>0</v>
      </c>
      <c r="JB105" s="675">
        <v>0</v>
      </c>
      <c r="JC105" s="675">
        <v>0</v>
      </c>
      <c r="JD105" s="675">
        <v>0</v>
      </c>
      <c r="JE105" s="675">
        <v>0</v>
      </c>
      <c r="JF105" s="675">
        <v>0</v>
      </c>
      <c r="JG105" s="675">
        <v>0</v>
      </c>
      <c r="JH105" s="675">
        <v>0</v>
      </c>
      <c r="JI105" s="675">
        <v>0</v>
      </c>
      <c r="JJ105" s="675">
        <v>0</v>
      </c>
      <c r="JK105" s="675">
        <v>0</v>
      </c>
      <c r="JL105" s="675">
        <v>0</v>
      </c>
      <c r="JM105" s="675">
        <v>0</v>
      </c>
      <c r="JN105" s="675">
        <v>32469</v>
      </c>
      <c r="JO105" s="675">
        <v>0</v>
      </c>
      <c r="JP105" s="675">
        <v>0</v>
      </c>
      <c r="JQ105" s="675">
        <v>0</v>
      </c>
      <c r="JR105" s="675">
        <v>0</v>
      </c>
      <c r="JS105" s="675">
        <v>0</v>
      </c>
      <c r="JT105" s="675">
        <v>0</v>
      </c>
      <c r="JU105" s="675">
        <v>0</v>
      </c>
      <c r="JV105" s="675">
        <v>0</v>
      </c>
      <c r="JW105" s="675">
        <v>0</v>
      </c>
      <c r="JX105" s="675">
        <v>0</v>
      </c>
      <c r="JY105" s="675">
        <v>0</v>
      </c>
      <c r="JZ105" s="675">
        <v>0</v>
      </c>
      <c r="KA105" s="675">
        <v>0</v>
      </c>
      <c r="KB105" s="675">
        <v>0</v>
      </c>
      <c r="KC105" s="675">
        <v>0</v>
      </c>
      <c r="KD105" s="675">
        <v>0</v>
      </c>
      <c r="KE105" s="675">
        <v>7263</v>
      </c>
      <c r="KF105" s="675">
        <v>0</v>
      </c>
      <c r="KG105" s="675">
        <v>0</v>
      </c>
      <c r="KH105" s="675">
        <v>0</v>
      </c>
      <c r="KI105" s="675">
        <v>0</v>
      </c>
    </row>
    <row r="106" spans="1:295" ht="12.5" x14ac:dyDescent="0.25">
      <c r="A106" s="675">
        <v>35795</v>
      </c>
      <c r="B106" s="675">
        <v>220814</v>
      </c>
      <c r="C106" s="675">
        <v>7</v>
      </c>
      <c r="D106" s="675">
        <v>2022</v>
      </c>
      <c r="E106" s="675">
        <v>6160</v>
      </c>
      <c r="F106" s="675">
        <v>0</v>
      </c>
      <c r="G106" s="675">
        <v>276.03000000000003</v>
      </c>
      <c r="H106" s="675">
        <v>269.88499999999999</v>
      </c>
      <c r="I106" s="675">
        <v>269.88499999999999</v>
      </c>
      <c r="J106" s="675">
        <v>276.03000000000003</v>
      </c>
      <c r="K106" s="675">
        <v>0</v>
      </c>
      <c r="L106" s="675">
        <v>6160</v>
      </c>
      <c r="M106" s="675">
        <v>0</v>
      </c>
      <c r="N106" s="675">
        <v>0</v>
      </c>
      <c r="O106" s="675">
        <v>0</v>
      </c>
      <c r="P106" s="675">
        <v>272.05200000000002</v>
      </c>
      <c r="Q106" s="675">
        <v>0</v>
      </c>
      <c r="R106" s="675">
        <v>109481</v>
      </c>
      <c r="S106" s="675">
        <v>402.428</v>
      </c>
      <c r="T106" s="675">
        <v>0</v>
      </c>
      <c r="U106" s="675">
        <v>58220</v>
      </c>
      <c r="V106" s="675">
        <v>30.398</v>
      </c>
      <c r="W106" s="675">
        <v>18725</v>
      </c>
      <c r="X106" s="675">
        <v>18725</v>
      </c>
      <c r="Y106" s="675">
        <v>0</v>
      </c>
      <c r="Z106" s="675">
        <v>0</v>
      </c>
      <c r="AA106" s="675">
        <v>0</v>
      </c>
      <c r="AB106" s="675">
        <v>0</v>
      </c>
      <c r="AC106" s="675">
        <v>0</v>
      </c>
      <c r="AD106" s="675" t="s">
        <v>316</v>
      </c>
      <c r="AE106" s="675">
        <v>0</v>
      </c>
      <c r="AF106" s="675">
        <v>0</v>
      </c>
      <c r="AG106" s="675">
        <v>0</v>
      </c>
      <c r="AH106" s="675">
        <v>0</v>
      </c>
      <c r="AI106" s="675">
        <v>0</v>
      </c>
      <c r="AJ106" s="675">
        <v>6160</v>
      </c>
      <c r="AK106" s="675" t="s">
        <v>671</v>
      </c>
      <c r="AL106" s="675" t="s">
        <v>362</v>
      </c>
      <c r="AM106" s="675">
        <v>0</v>
      </c>
      <c r="AN106" s="675">
        <v>0</v>
      </c>
      <c r="AO106" s="675">
        <v>0</v>
      </c>
      <c r="AP106" s="675">
        <v>0</v>
      </c>
      <c r="AQ106" s="675">
        <v>0</v>
      </c>
      <c r="AR106" s="675">
        <v>0</v>
      </c>
      <c r="AS106" s="675">
        <v>0</v>
      </c>
      <c r="AT106" s="675">
        <v>0</v>
      </c>
      <c r="AU106" s="675">
        <v>0</v>
      </c>
      <c r="AV106" s="675">
        <v>0</v>
      </c>
      <c r="AW106" s="675">
        <v>2467399</v>
      </c>
      <c r="AX106" s="675">
        <v>2419102</v>
      </c>
      <c r="AY106" s="675">
        <v>1678936</v>
      </c>
      <c r="AZ106" s="675">
        <v>109481</v>
      </c>
      <c r="BA106" s="675">
        <v>0</v>
      </c>
      <c r="BB106" s="675">
        <v>0</v>
      </c>
      <c r="BC106" s="675">
        <v>0</v>
      </c>
      <c r="BD106" s="675">
        <v>0</v>
      </c>
      <c r="BE106" s="675">
        <v>0</v>
      </c>
      <c r="BF106" s="675">
        <v>2252116</v>
      </c>
      <c r="BG106" s="675">
        <v>0</v>
      </c>
      <c r="BH106" s="675">
        <v>0</v>
      </c>
      <c r="BI106" s="675">
        <v>0</v>
      </c>
      <c r="BJ106" s="675">
        <v>12</v>
      </c>
      <c r="BK106" s="675">
        <v>0</v>
      </c>
      <c r="BL106" s="675">
        <v>0</v>
      </c>
      <c r="BM106" s="675">
        <v>0</v>
      </c>
      <c r="BN106" s="675">
        <v>0</v>
      </c>
      <c r="BO106" s="675">
        <v>0</v>
      </c>
      <c r="BP106" s="675">
        <v>0</v>
      </c>
      <c r="BQ106" s="675">
        <v>728</v>
      </c>
      <c r="BR106" s="675">
        <v>0</v>
      </c>
      <c r="BS106" s="675">
        <v>0</v>
      </c>
      <c r="BT106" s="675">
        <v>0</v>
      </c>
      <c r="BU106" s="675">
        <v>0</v>
      </c>
      <c r="BV106" s="675">
        <v>0</v>
      </c>
      <c r="BW106" s="675">
        <v>0</v>
      </c>
      <c r="BX106" s="675">
        <v>0</v>
      </c>
      <c r="BY106" s="675">
        <v>0</v>
      </c>
      <c r="BZ106" s="675">
        <v>0</v>
      </c>
      <c r="CA106" s="675">
        <v>0</v>
      </c>
      <c r="CB106" s="675">
        <v>0</v>
      </c>
      <c r="CC106" s="675">
        <v>0</v>
      </c>
      <c r="CD106" s="675">
        <v>0</v>
      </c>
      <c r="CE106" s="675">
        <v>0</v>
      </c>
      <c r="CF106" s="675">
        <v>0</v>
      </c>
      <c r="CG106" s="675">
        <v>0</v>
      </c>
      <c r="CH106" s="675">
        <v>48735</v>
      </c>
      <c r="CI106" s="675">
        <v>0</v>
      </c>
      <c r="CJ106" s="675">
        <v>4</v>
      </c>
      <c r="CK106" s="675">
        <v>0</v>
      </c>
      <c r="CL106" s="675">
        <v>0</v>
      </c>
      <c r="CM106" s="675">
        <v>0</v>
      </c>
      <c r="CN106" s="675">
        <v>0</v>
      </c>
      <c r="CO106" s="675">
        <v>1</v>
      </c>
      <c r="CP106" s="675">
        <v>0</v>
      </c>
      <c r="CQ106" s="675">
        <v>0</v>
      </c>
      <c r="CR106" s="675">
        <v>294.78000000000003</v>
      </c>
      <c r="CS106" s="675">
        <v>0</v>
      </c>
      <c r="CT106" s="675">
        <v>0</v>
      </c>
      <c r="CU106" s="675">
        <v>0</v>
      </c>
      <c r="CV106" s="675">
        <v>0</v>
      </c>
      <c r="CW106" s="675">
        <v>0</v>
      </c>
      <c r="CX106" s="675">
        <v>0</v>
      </c>
      <c r="CY106" s="675">
        <v>0</v>
      </c>
      <c r="CZ106" s="675">
        <v>0</v>
      </c>
      <c r="DA106" s="675">
        <v>0</v>
      </c>
      <c r="DB106" s="675">
        <v>1586493</v>
      </c>
      <c r="DC106" s="675">
        <v>0</v>
      </c>
      <c r="DD106" s="675">
        <v>0</v>
      </c>
      <c r="DE106" s="675">
        <v>104104</v>
      </c>
      <c r="DF106" s="675">
        <v>104104</v>
      </c>
      <c r="DG106" s="675">
        <v>16.899999999999999</v>
      </c>
      <c r="DH106" s="675">
        <v>0</v>
      </c>
      <c r="DI106" s="675">
        <v>0</v>
      </c>
      <c r="DJ106" s="675">
        <v>0</v>
      </c>
      <c r="DK106" s="675">
        <v>3277</v>
      </c>
      <c r="DL106" s="675">
        <v>0</v>
      </c>
      <c r="DM106" s="675">
        <v>192525</v>
      </c>
      <c r="DN106" s="675">
        <v>438</v>
      </c>
      <c r="DO106" s="675">
        <v>0</v>
      </c>
      <c r="DP106" s="675">
        <v>0</v>
      </c>
      <c r="DQ106" s="675">
        <v>0</v>
      </c>
      <c r="DR106" s="675">
        <v>0</v>
      </c>
      <c r="DS106" s="675">
        <v>0</v>
      </c>
      <c r="DT106" s="675">
        <v>0</v>
      </c>
      <c r="DU106" s="675">
        <v>0</v>
      </c>
      <c r="DV106" s="675">
        <v>0</v>
      </c>
      <c r="DW106" s="675">
        <v>0</v>
      </c>
      <c r="DX106" s="675">
        <v>0</v>
      </c>
      <c r="DY106" s="675">
        <v>0</v>
      </c>
      <c r="DZ106" s="675">
        <v>0</v>
      </c>
      <c r="EA106" s="675">
        <v>0</v>
      </c>
      <c r="EB106" s="675">
        <v>0</v>
      </c>
      <c r="EC106" s="675">
        <v>0</v>
      </c>
      <c r="ED106" s="675">
        <v>0</v>
      </c>
      <c r="EE106" s="675">
        <v>0</v>
      </c>
      <c r="EF106" s="675">
        <v>0</v>
      </c>
      <c r="EG106" s="675">
        <v>0</v>
      </c>
      <c r="EH106" s="675">
        <v>116972</v>
      </c>
      <c r="EI106" s="675">
        <v>0</v>
      </c>
      <c r="EJ106" s="675">
        <v>0</v>
      </c>
      <c r="EK106" s="675">
        <v>5.8680000000000003</v>
      </c>
      <c r="EL106" s="675">
        <v>0</v>
      </c>
      <c r="EM106" s="675">
        <v>0</v>
      </c>
      <c r="EN106" s="675">
        <v>0.27700000000000002</v>
      </c>
      <c r="EO106" s="675">
        <v>0</v>
      </c>
      <c r="EP106" s="675">
        <v>0</v>
      </c>
      <c r="EQ106" s="675">
        <v>6.1450000000000005</v>
      </c>
      <c r="ER106" s="675">
        <v>0</v>
      </c>
      <c r="ES106" s="675">
        <v>18.989000000000001</v>
      </c>
      <c r="ET106" s="675">
        <v>0</v>
      </c>
      <c r="EU106" s="675">
        <v>0</v>
      </c>
      <c r="EV106" s="675">
        <v>0</v>
      </c>
      <c r="EW106" s="675">
        <v>0</v>
      </c>
      <c r="EX106" s="675">
        <v>0</v>
      </c>
      <c r="EY106" s="675">
        <v>0</v>
      </c>
      <c r="EZ106" s="675">
        <v>2142635</v>
      </c>
      <c r="FA106" s="675">
        <v>0</v>
      </c>
      <c r="FB106" s="675">
        <v>2251678</v>
      </c>
      <c r="FC106" s="675">
        <v>0</v>
      </c>
      <c r="FD106" s="675">
        <v>0</v>
      </c>
      <c r="FE106" s="675">
        <v>229086</v>
      </c>
      <c r="FF106" s="675">
        <v>47381</v>
      </c>
      <c r="FG106" s="675">
        <v>6.3574999999999993E-2</v>
      </c>
      <c r="FH106" s="675">
        <v>2.6297999999999998E-2</v>
      </c>
      <c r="FI106" s="675">
        <v>0</v>
      </c>
      <c r="FJ106" s="675">
        <v>0</v>
      </c>
      <c r="FK106" s="675">
        <v>365.60500000000002</v>
      </c>
      <c r="FL106" s="675">
        <v>2576880</v>
      </c>
      <c r="FM106" s="675">
        <v>0</v>
      </c>
      <c r="FN106" s="675">
        <v>0</v>
      </c>
      <c r="FO106" s="675">
        <v>0</v>
      </c>
      <c r="FP106" s="675">
        <v>0</v>
      </c>
      <c r="FQ106" s="675">
        <v>0</v>
      </c>
      <c r="FR106" s="675">
        <v>0</v>
      </c>
      <c r="FS106" s="675">
        <v>0</v>
      </c>
      <c r="FT106" s="675">
        <v>0</v>
      </c>
      <c r="FU106" s="675">
        <v>0</v>
      </c>
      <c r="FV106" s="675">
        <v>0</v>
      </c>
      <c r="FW106" s="675">
        <v>0</v>
      </c>
      <c r="FX106" s="675">
        <v>0</v>
      </c>
      <c r="FY106" s="675">
        <v>0</v>
      </c>
      <c r="FZ106" s="675">
        <v>0</v>
      </c>
      <c r="GA106" s="675">
        <v>0</v>
      </c>
      <c r="GB106" s="675">
        <v>0</v>
      </c>
      <c r="GC106" s="675">
        <v>0</v>
      </c>
      <c r="GD106" s="675">
        <v>0</v>
      </c>
      <c r="GE106" s="675">
        <v>0</v>
      </c>
      <c r="GF106" s="675">
        <v>0</v>
      </c>
      <c r="GG106" s="675">
        <v>0</v>
      </c>
      <c r="GH106" s="675">
        <v>0</v>
      </c>
      <c r="GI106" s="675">
        <v>0</v>
      </c>
      <c r="GJ106" s="675">
        <v>0</v>
      </c>
      <c r="GK106" s="675">
        <v>0</v>
      </c>
      <c r="GL106" s="675">
        <v>0</v>
      </c>
      <c r="GM106" s="675">
        <v>0</v>
      </c>
      <c r="GN106" s="675">
        <v>0</v>
      </c>
      <c r="GO106" s="675">
        <v>0</v>
      </c>
      <c r="GP106" s="675">
        <v>0</v>
      </c>
      <c r="GQ106" s="675">
        <v>0</v>
      </c>
      <c r="GR106" s="675">
        <v>0</v>
      </c>
      <c r="GS106" s="675">
        <v>0</v>
      </c>
      <c r="GT106" s="675">
        <v>0</v>
      </c>
      <c r="GU106" s="675">
        <v>0</v>
      </c>
      <c r="GV106" s="675">
        <v>0</v>
      </c>
      <c r="GW106" s="675">
        <v>0</v>
      </c>
      <c r="GX106" s="675">
        <v>0</v>
      </c>
      <c r="GY106" s="675">
        <v>0</v>
      </c>
      <c r="GZ106" s="675">
        <v>0</v>
      </c>
      <c r="HA106" s="675">
        <v>0</v>
      </c>
      <c r="HB106" s="675">
        <v>308877260</v>
      </c>
      <c r="HC106" s="675">
        <v>4.4138999999999998E-2</v>
      </c>
      <c r="HD106" s="675">
        <v>48735</v>
      </c>
      <c r="HE106" s="675">
        <v>0</v>
      </c>
      <c r="HF106" s="675">
        <v>297683</v>
      </c>
      <c r="HG106" s="675">
        <v>8624</v>
      </c>
      <c r="HH106" s="675">
        <v>40841</v>
      </c>
      <c r="HI106" s="675">
        <v>0</v>
      </c>
      <c r="HJ106" s="675">
        <v>2683</v>
      </c>
      <c r="HK106" s="675">
        <v>0</v>
      </c>
      <c r="HL106" s="675">
        <v>0</v>
      </c>
      <c r="HM106" s="675">
        <v>0</v>
      </c>
      <c r="HN106" s="675">
        <v>0</v>
      </c>
      <c r="HO106" s="675">
        <v>0</v>
      </c>
      <c r="HP106" s="675">
        <v>0</v>
      </c>
      <c r="HQ106" s="675">
        <v>0</v>
      </c>
      <c r="HR106" s="675">
        <v>0</v>
      </c>
      <c r="HS106" s="675">
        <v>2142197</v>
      </c>
      <c r="HT106" s="675">
        <v>47381</v>
      </c>
      <c r="HU106" s="675">
        <v>0</v>
      </c>
      <c r="HV106" s="675">
        <v>0</v>
      </c>
      <c r="HW106" s="675">
        <v>0</v>
      </c>
      <c r="HX106" s="675">
        <v>18</v>
      </c>
      <c r="HY106" s="675">
        <v>15</v>
      </c>
      <c r="HZ106" s="675">
        <v>19</v>
      </c>
      <c r="IA106" s="675">
        <v>11</v>
      </c>
      <c r="IB106" s="675">
        <v>6</v>
      </c>
      <c r="IC106" s="675">
        <v>69</v>
      </c>
      <c r="ID106" s="675">
        <v>0</v>
      </c>
      <c r="IE106" s="675">
        <v>0</v>
      </c>
      <c r="IF106" s="675">
        <v>0</v>
      </c>
      <c r="IG106" s="675">
        <v>14</v>
      </c>
      <c r="IH106" s="675">
        <v>66.3</v>
      </c>
      <c r="II106" s="675">
        <v>0</v>
      </c>
      <c r="IJ106" s="675">
        <v>30.398</v>
      </c>
      <c r="IK106" s="675">
        <v>0</v>
      </c>
      <c r="IL106" s="675">
        <v>0</v>
      </c>
      <c r="IM106" s="675">
        <v>0</v>
      </c>
      <c r="IN106" s="675">
        <v>0</v>
      </c>
      <c r="IO106" s="675">
        <v>0</v>
      </c>
      <c r="IP106" s="675">
        <v>0</v>
      </c>
      <c r="IQ106" s="675">
        <v>30.398</v>
      </c>
      <c r="IR106" s="675">
        <v>18725</v>
      </c>
      <c r="IS106" s="675">
        <v>0</v>
      </c>
      <c r="IT106" s="675">
        <v>0</v>
      </c>
      <c r="IU106" s="675">
        <v>0</v>
      </c>
      <c r="IV106" s="675">
        <v>0</v>
      </c>
      <c r="IW106" s="675">
        <v>6160</v>
      </c>
      <c r="IX106" s="675">
        <v>0</v>
      </c>
      <c r="IY106" s="675">
        <v>0</v>
      </c>
      <c r="IZ106" s="675">
        <v>0</v>
      </c>
      <c r="JA106" s="675">
        <v>0</v>
      </c>
      <c r="JB106" s="675">
        <v>0</v>
      </c>
      <c r="JC106" s="675">
        <v>0</v>
      </c>
      <c r="JD106" s="675">
        <v>0</v>
      </c>
      <c r="JE106" s="675">
        <v>0</v>
      </c>
      <c r="JF106" s="675">
        <v>0</v>
      </c>
      <c r="JG106" s="675">
        <v>0</v>
      </c>
      <c r="JH106" s="675">
        <v>0</v>
      </c>
      <c r="JI106" s="675">
        <v>0</v>
      </c>
      <c r="JJ106" s="675">
        <v>0</v>
      </c>
      <c r="JK106" s="675">
        <v>0</v>
      </c>
      <c r="JL106" s="675">
        <v>0</v>
      </c>
      <c r="JM106" s="675">
        <v>0</v>
      </c>
      <c r="JN106" s="675">
        <v>32469</v>
      </c>
      <c r="JO106" s="675">
        <v>0</v>
      </c>
      <c r="JP106" s="675">
        <v>0</v>
      </c>
      <c r="JQ106" s="675">
        <v>0</v>
      </c>
      <c r="JR106" s="675">
        <v>0</v>
      </c>
      <c r="JS106" s="675">
        <v>0</v>
      </c>
      <c r="JT106" s="675">
        <v>0</v>
      </c>
      <c r="JU106" s="675">
        <v>0</v>
      </c>
      <c r="JV106" s="675">
        <v>0</v>
      </c>
      <c r="JW106" s="675">
        <v>0</v>
      </c>
      <c r="JX106" s="675">
        <v>0</v>
      </c>
      <c r="JY106" s="675">
        <v>0</v>
      </c>
      <c r="JZ106" s="675">
        <v>0</v>
      </c>
      <c r="KA106" s="675">
        <v>0</v>
      </c>
      <c r="KB106" s="675">
        <v>0</v>
      </c>
      <c r="KC106" s="675">
        <v>0</v>
      </c>
      <c r="KD106" s="675">
        <v>0</v>
      </c>
      <c r="KE106" s="675">
        <v>7263</v>
      </c>
      <c r="KF106" s="675">
        <v>0</v>
      </c>
      <c r="KG106" s="675">
        <v>0</v>
      </c>
      <c r="KH106" s="675">
        <v>0</v>
      </c>
      <c r="KI106" s="675">
        <v>0</v>
      </c>
    </row>
    <row r="107" spans="1:295" ht="12.5" x14ac:dyDescent="0.25">
      <c r="A107" s="675">
        <v>35795</v>
      </c>
      <c r="B107" s="675">
        <v>227814</v>
      </c>
      <c r="C107" s="675">
        <v>7</v>
      </c>
      <c r="D107" s="675">
        <v>2022</v>
      </c>
      <c r="E107" s="675">
        <v>6160</v>
      </c>
      <c r="F107" s="675">
        <v>0</v>
      </c>
      <c r="G107" s="675">
        <v>325.13</v>
      </c>
      <c r="H107" s="675">
        <v>323.39699999999999</v>
      </c>
      <c r="I107" s="675">
        <v>323.39699999999999</v>
      </c>
      <c r="J107" s="675">
        <v>325.13</v>
      </c>
      <c r="K107" s="675">
        <v>0</v>
      </c>
      <c r="L107" s="675">
        <v>6160</v>
      </c>
      <c r="M107" s="675">
        <v>0</v>
      </c>
      <c r="N107" s="675">
        <v>0</v>
      </c>
      <c r="O107" s="675">
        <v>0</v>
      </c>
      <c r="P107" s="675">
        <v>341.983</v>
      </c>
      <c r="Q107" s="675">
        <v>0</v>
      </c>
      <c r="R107" s="675">
        <v>137624</v>
      </c>
      <c r="S107" s="675">
        <v>402.428</v>
      </c>
      <c r="T107" s="675">
        <v>0</v>
      </c>
      <c r="U107" s="675">
        <v>73184</v>
      </c>
      <c r="V107" s="675">
        <v>39.71</v>
      </c>
      <c r="W107" s="675">
        <v>24461</v>
      </c>
      <c r="X107" s="675">
        <v>24461</v>
      </c>
      <c r="Y107" s="675">
        <v>0</v>
      </c>
      <c r="Z107" s="675">
        <v>0</v>
      </c>
      <c r="AA107" s="675">
        <v>0</v>
      </c>
      <c r="AB107" s="675">
        <v>0</v>
      </c>
      <c r="AC107" s="675">
        <v>0</v>
      </c>
      <c r="AD107" s="675" t="s">
        <v>316</v>
      </c>
      <c r="AE107" s="675">
        <v>0</v>
      </c>
      <c r="AF107" s="675">
        <v>0</v>
      </c>
      <c r="AG107" s="675">
        <v>0</v>
      </c>
      <c r="AH107" s="675">
        <v>0</v>
      </c>
      <c r="AI107" s="675">
        <v>0</v>
      </c>
      <c r="AJ107" s="675">
        <v>6160</v>
      </c>
      <c r="AK107" s="675" t="s">
        <v>671</v>
      </c>
      <c r="AL107" s="675" t="s">
        <v>93</v>
      </c>
      <c r="AM107" s="675">
        <v>0</v>
      </c>
      <c r="AN107" s="675">
        <v>0</v>
      </c>
      <c r="AO107" s="675">
        <v>0</v>
      </c>
      <c r="AP107" s="675">
        <v>0</v>
      </c>
      <c r="AQ107" s="675">
        <v>0</v>
      </c>
      <c r="AR107" s="675">
        <v>0</v>
      </c>
      <c r="AS107" s="675">
        <v>0</v>
      </c>
      <c r="AT107" s="675">
        <v>0</v>
      </c>
      <c r="AU107" s="675">
        <v>0</v>
      </c>
      <c r="AV107" s="675">
        <v>-34825</v>
      </c>
      <c r="AW107" s="675">
        <v>2745905</v>
      </c>
      <c r="AX107" s="675">
        <v>2688638</v>
      </c>
      <c r="AY107" s="675">
        <v>1916560</v>
      </c>
      <c r="AZ107" s="675">
        <v>137624</v>
      </c>
      <c r="BA107" s="675">
        <v>0</v>
      </c>
      <c r="BB107" s="675">
        <v>0</v>
      </c>
      <c r="BC107" s="675">
        <v>0</v>
      </c>
      <c r="BD107" s="675">
        <v>0</v>
      </c>
      <c r="BE107" s="675">
        <v>0</v>
      </c>
      <c r="BF107" s="675">
        <v>2515771</v>
      </c>
      <c r="BG107" s="675">
        <v>0</v>
      </c>
      <c r="BH107" s="675">
        <v>0</v>
      </c>
      <c r="BI107" s="675">
        <v>0</v>
      </c>
      <c r="BJ107" s="675">
        <v>12</v>
      </c>
      <c r="BK107" s="675">
        <v>0</v>
      </c>
      <c r="BL107" s="675">
        <v>0</v>
      </c>
      <c r="BM107" s="675">
        <v>0</v>
      </c>
      <c r="BN107" s="675">
        <v>0</v>
      </c>
      <c r="BO107" s="675">
        <v>0</v>
      </c>
      <c r="BP107" s="675">
        <v>0</v>
      </c>
      <c r="BQ107" s="675">
        <v>720</v>
      </c>
      <c r="BR107" s="675">
        <v>0</v>
      </c>
      <c r="BS107" s="675">
        <v>0</v>
      </c>
      <c r="BT107" s="675">
        <v>0</v>
      </c>
      <c r="BU107" s="675">
        <v>0</v>
      </c>
      <c r="BV107" s="675">
        <v>0</v>
      </c>
      <c r="BW107" s="675">
        <v>0</v>
      </c>
      <c r="BX107" s="675">
        <v>0</v>
      </c>
      <c r="BY107" s="675">
        <v>0</v>
      </c>
      <c r="BZ107" s="675">
        <v>0</v>
      </c>
      <c r="CA107" s="675">
        <v>0</v>
      </c>
      <c r="CB107" s="675">
        <v>0</v>
      </c>
      <c r="CC107" s="675">
        <v>0</v>
      </c>
      <c r="CD107" s="675">
        <v>0</v>
      </c>
      <c r="CE107" s="675">
        <v>0</v>
      </c>
      <c r="CF107" s="675">
        <v>0</v>
      </c>
      <c r="CG107" s="675">
        <v>0</v>
      </c>
      <c r="CH107" s="675">
        <v>57403</v>
      </c>
      <c r="CI107" s="675">
        <v>0</v>
      </c>
      <c r="CJ107" s="675">
        <v>4</v>
      </c>
      <c r="CK107" s="675">
        <v>0</v>
      </c>
      <c r="CL107" s="675">
        <v>0</v>
      </c>
      <c r="CM107" s="675">
        <v>0</v>
      </c>
      <c r="CN107" s="675">
        <v>0</v>
      </c>
      <c r="CO107" s="675">
        <v>1</v>
      </c>
      <c r="CP107" s="675">
        <v>0</v>
      </c>
      <c r="CQ107" s="675">
        <v>0</v>
      </c>
      <c r="CR107" s="675">
        <v>349.673</v>
      </c>
      <c r="CS107" s="675">
        <v>0</v>
      </c>
      <c r="CT107" s="675">
        <v>0</v>
      </c>
      <c r="CU107" s="675">
        <v>0</v>
      </c>
      <c r="CV107" s="675">
        <v>0</v>
      </c>
      <c r="CW107" s="675">
        <v>0</v>
      </c>
      <c r="CX107" s="675">
        <v>0</v>
      </c>
      <c r="CY107" s="675">
        <v>0</v>
      </c>
      <c r="CZ107" s="675">
        <v>0</v>
      </c>
      <c r="DA107" s="675">
        <v>0</v>
      </c>
      <c r="DB107" s="675">
        <v>1992116</v>
      </c>
      <c r="DC107" s="675">
        <v>0</v>
      </c>
      <c r="DD107" s="675">
        <v>0</v>
      </c>
      <c r="DE107" s="675">
        <v>36190</v>
      </c>
      <c r="DF107" s="675">
        <v>36190</v>
      </c>
      <c r="DG107" s="675">
        <v>5.875</v>
      </c>
      <c r="DH107" s="675">
        <v>0</v>
      </c>
      <c r="DI107" s="675">
        <v>0</v>
      </c>
      <c r="DJ107" s="675">
        <v>0</v>
      </c>
      <c r="DK107" s="675">
        <v>3146</v>
      </c>
      <c r="DL107" s="675">
        <v>0</v>
      </c>
      <c r="DM107" s="675">
        <v>36061</v>
      </c>
      <c r="DN107" s="675">
        <v>136</v>
      </c>
      <c r="DO107" s="675">
        <v>0</v>
      </c>
      <c r="DP107" s="675">
        <v>0</v>
      </c>
      <c r="DQ107" s="675">
        <v>0</v>
      </c>
      <c r="DR107" s="675">
        <v>0</v>
      </c>
      <c r="DS107" s="675">
        <v>0</v>
      </c>
      <c r="DT107" s="675">
        <v>0</v>
      </c>
      <c r="DU107" s="675">
        <v>0</v>
      </c>
      <c r="DV107" s="675">
        <v>0</v>
      </c>
      <c r="DW107" s="675">
        <v>0</v>
      </c>
      <c r="DX107" s="675">
        <v>0</v>
      </c>
      <c r="DY107" s="675">
        <v>0</v>
      </c>
      <c r="DZ107" s="675">
        <v>0</v>
      </c>
      <c r="EA107" s="675">
        <v>0</v>
      </c>
      <c r="EB107" s="675">
        <v>0</v>
      </c>
      <c r="EC107" s="675">
        <v>4.6269999999999998</v>
      </c>
      <c r="ED107" s="675">
        <v>32778</v>
      </c>
      <c r="EE107" s="675">
        <v>0</v>
      </c>
      <c r="EF107" s="675">
        <v>0</v>
      </c>
      <c r="EG107" s="675">
        <v>0</v>
      </c>
      <c r="EH107" s="675">
        <v>3419</v>
      </c>
      <c r="EI107" s="675">
        <v>0</v>
      </c>
      <c r="EJ107" s="675">
        <v>0</v>
      </c>
      <c r="EK107" s="675">
        <v>0</v>
      </c>
      <c r="EL107" s="675">
        <v>0</v>
      </c>
      <c r="EM107" s="675">
        <v>0</v>
      </c>
      <c r="EN107" s="675">
        <v>0.111</v>
      </c>
      <c r="EO107" s="675">
        <v>0</v>
      </c>
      <c r="EP107" s="675">
        <v>0</v>
      </c>
      <c r="EQ107" s="675">
        <v>0.111</v>
      </c>
      <c r="ER107" s="675">
        <v>0</v>
      </c>
      <c r="ES107" s="675">
        <v>0.55500000000000005</v>
      </c>
      <c r="ET107" s="675">
        <v>0</v>
      </c>
      <c r="EU107" s="675">
        <v>0</v>
      </c>
      <c r="EV107" s="675">
        <v>0</v>
      </c>
      <c r="EW107" s="675">
        <v>0</v>
      </c>
      <c r="EX107" s="675">
        <v>0</v>
      </c>
      <c r="EY107" s="675">
        <v>0</v>
      </c>
      <c r="EZ107" s="675">
        <v>2379805</v>
      </c>
      <c r="FA107" s="675">
        <v>0</v>
      </c>
      <c r="FB107" s="675">
        <v>2517293</v>
      </c>
      <c r="FC107" s="675">
        <v>0</v>
      </c>
      <c r="FD107" s="675">
        <v>0</v>
      </c>
      <c r="FE107" s="675">
        <v>255905</v>
      </c>
      <c r="FF107" s="675">
        <v>52928</v>
      </c>
      <c r="FG107" s="675">
        <v>6.3574999999999993E-2</v>
      </c>
      <c r="FH107" s="675">
        <v>2.6297999999999998E-2</v>
      </c>
      <c r="FI107" s="675">
        <v>0</v>
      </c>
      <c r="FJ107" s="675">
        <v>0</v>
      </c>
      <c r="FK107" s="675">
        <v>408.40600000000001</v>
      </c>
      <c r="FL107" s="675">
        <v>2883529</v>
      </c>
      <c r="FM107" s="675">
        <v>0</v>
      </c>
      <c r="FN107" s="675">
        <v>0</v>
      </c>
      <c r="FO107" s="675">
        <v>0</v>
      </c>
      <c r="FP107" s="675">
        <v>0</v>
      </c>
      <c r="FQ107" s="675">
        <v>0</v>
      </c>
      <c r="FR107" s="675">
        <v>0</v>
      </c>
      <c r="FS107" s="675">
        <v>0</v>
      </c>
      <c r="FT107" s="675">
        <v>0</v>
      </c>
      <c r="FU107" s="675">
        <v>0</v>
      </c>
      <c r="FV107" s="675">
        <v>0</v>
      </c>
      <c r="FW107" s="675">
        <v>0</v>
      </c>
      <c r="FX107" s="675">
        <v>0</v>
      </c>
      <c r="FY107" s="675">
        <v>0</v>
      </c>
      <c r="FZ107" s="675">
        <v>0</v>
      </c>
      <c r="GA107" s="675">
        <v>0</v>
      </c>
      <c r="GB107" s="675">
        <v>15079</v>
      </c>
      <c r="GC107" s="675">
        <v>15079</v>
      </c>
      <c r="GD107" s="675">
        <v>1.6220000000000001</v>
      </c>
      <c r="GE107" s="675">
        <v>0</v>
      </c>
      <c r="GF107" s="675">
        <v>0</v>
      </c>
      <c r="GG107" s="675">
        <v>0</v>
      </c>
      <c r="GH107" s="675">
        <v>0</v>
      </c>
      <c r="GI107" s="675">
        <v>0</v>
      </c>
      <c r="GJ107" s="675">
        <v>0</v>
      </c>
      <c r="GK107" s="675">
        <v>0</v>
      </c>
      <c r="GL107" s="675">
        <v>0</v>
      </c>
      <c r="GM107" s="675">
        <v>0</v>
      </c>
      <c r="GN107" s="675">
        <v>0</v>
      </c>
      <c r="GO107" s="675">
        <v>0</v>
      </c>
      <c r="GP107" s="675">
        <v>0</v>
      </c>
      <c r="GQ107" s="675">
        <v>0</v>
      </c>
      <c r="GR107" s="675">
        <v>0</v>
      </c>
      <c r="GS107" s="675">
        <v>0</v>
      </c>
      <c r="GT107" s="675">
        <v>0</v>
      </c>
      <c r="GU107" s="675">
        <v>0</v>
      </c>
      <c r="GV107" s="675">
        <v>0</v>
      </c>
      <c r="GW107" s="675">
        <v>0</v>
      </c>
      <c r="GX107" s="675">
        <v>0</v>
      </c>
      <c r="GY107" s="675">
        <v>0</v>
      </c>
      <c r="GZ107" s="675">
        <v>0</v>
      </c>
      <c r="HA107" s="675">
        <v>0</v>
      </c>
      <c r="HB107" s="675">
        <v>308877260</v>
      </c>
      <c r="HC107" s="675">
        <v>4.4138999999999998E-2</v>
      </c>
      <c r="HD107" s="675">
        <v>57403</v>
      </c>
      <c r="HE107" s="675">
        <v>0</v>
      </c>
      <c r="HF107" s="675">
        <v>356707</v>
      </c>
      <c r="HG107" s="675">
        <v>616</v>
      </c>
      <c r="HH107" s="675">
        <v>12245</v>
      </c>
      <c r="HI107" s="675">
        <v>0</v>
      </c>
      <c r="HJ107" s="675">
        <v>3160</v>
      </c>
      <c r="HK107" s="675">
        <v>1251</v>
      </c>
      <c r="HL107" s="675">
        <v>407</v>
      </c>
      <c r="HM107" s="675">
        <v>39000</v>
      </c>
      <c r="HN107" s="675">
        <v>0</v>
      </c>
      <c r="HO107" s="675">
        <v>0</v>
      </c>
      <c r="HP107" s="675">
        <v>0</v>
      </c>
      <c r="HQ107" s="675">
        <v>0</v>
      </c>
      <c r="HR107" s="675">
        <v>0</v>
      </c>
      <c r="HS107" s="675">
        <v>2379669</v>
      </c>
      <c r="HT107" s="675">
        <v>52928</v>
      </c>
      <c r="HU107" s="675">
        <v>0</v>
      </c>
      <c r="HV107" s="675">
        <v>0</v>
      </c>
      <c r="HW107" s="675">
        <v>0</v>
      </c>
      <c r="HX107" s="675">
        <v>8</v>
      </c>
      <c r="HY107" s="675">
        <v>3</v>
      </c>
      <c r="HZ107" s="675">
        <v>7</v>
      </c>
      <c r="IA107" s="675">
        <v>3</v>
      </c>
      <c r="IB107" s="675">
        <v>3</v>
      </c>
      <c r="IC107" s="675">
        <v>24</v>
      </c>
      <c r="ID107" s="675">
        <v>0</v>
      </c>
      <c r="IE107" s="675">
        <v>0</v>
      </c>
      <c r="IF107" s="675">
        <v>0</v>
      </c>
      <c r="IG107" s="675">
        <v>1</v>
      </c>
      <c r="IH107" s="675">
        <v>19.878</v>
      </c>
      <c r="II107" s="675">
        <v>0</v>
      </c>
      <c r="IJ107" s="675">
        <v>39.71</v>
      </c>
      <c r="IK107" s="675">
        <v>0</v>
      </c>
      <c r="IL107" s="675">
        <v>0</v>
      </c>
      <c r="IM107" s="675">
        <v>13</v>
      </c>
      <c r="IN107" s="675">
        <v>0</v>
      </c>
      <c r="IO107" s="675">
        <v>13</v>
      </c>
      <c r="IP107" s="675">
        <v>0</v>
      </c>
      <c r="IQ107" s="675">
        <v>39.71</v>
      </c>
      <c r="IR107" s="675">
        <v>24461</v>
      </c>
      <c r="IS107" s="675">
        <v>0</v>
      </c>
      <c r="IT107" s="675">
        <v>0</v>
      </c>
      <c r="IU107" s="675">
        <v>39000</v>
      </c>
      <c r="IV107" s="675">
        <v>0</v>
      </c>
      <c r="IW107" s="675">
        <v>6160</v>
      </c>
      <c r="IX107" s="675">
        <v>0</v>
      </c>
      <c r="IY107" s="675">
        <v>0</v>
      </c>
      <c r="IZ107" s="675">
        <v>0</v>
      </c>
      <c r="JA107" s="675">
        <v>0</v>
      </c>
      <c r="JB107" s="675">
        <v>0</v>
      </c>
      <c r="JC107" s="675">
        <v>0</v>
      </c>
      <c r="JD107" s="675">
        <v>0</v>
      </c>
      <c r="JE107" s="675">
        <v>0</v>
      </c>
      <c r="JF107" s="675">
        <v>0</v>
      </c>
      <c r="JG107" s="675">
        <v>0</v>
      </c>
      <c r="JH107" s="675">
        <v>0</v>
      </c>
      <c r="JI107" s="675">
        <v>0</v>
      </c>
      <c r="JJ107" s="675">
        <v>0</v>
      </c>
      <c r="JK107" s="675">
        <v>0</v>
      </c>
      <c r="JL107" s="675">
        <v>0</v>
      </c>
      <c r="JM107" s="675">
        <v>0</v>
      </c>
      <c r="JN107" s="675">
        <v>32469</v>
      </c>
      <c r="JO107" s="675">
        <v>0</v>
      </c>
      <c r="JP107" s="675">
        <v>1.6220000000000001</v>
      </c>
      <c r="JQ107" s="675">
        <v>0</v>
      </c>
      <c r="JR107" s="675">
        <v>0</v>
      </c>
      <c r="JS107" s="675">
        <v>15079</v>
      </c>
      <c r="JT107" s="675">
        <v>0</v>
      </c>
      <c r="JU107" s="675">
        <v>0</v>
      </c>
      <c r="JV107" s="675">
        <v>0</v>
      </c>
      <c r="JW107" s="675">
        <v>0</v>
      </c>
      <c r="JX107" s="675">
        <v>0</v>
      </c>
      <c r="JY107" s="675">
        <v>0</v>
      </c>
      <c r="JZ107" s="675">
        <v>0</v>
      </c>
      <c r="KA107" s="675">
        <v>0</v>
      </c>
      <c r="KB107" s="675">
        <v>0</v>
      </c>
      <c r="KC107" s="675">
        <v>0</v>
      </c>
      <c r="KD107" s="675">
        <v>0</v>
      </c>
      <c r="KE107" s="675">
        <v>7263</v>
      </c>
      <c r="KF107" s="675">
        <v>0</v>
      </c>
      <c r="KG107" s="675">
        <v>0</v>
      </c>
      <c r="KH107" s="675">
        <v>0</v>
      </c>
      <c r="KI107" s="675">
        <v>0</v>
      </c>
    </row>
    <row r="108" spans="1:295" ht="12.5" x14ac:dyDescent="0.25">
      <c r="A108" s="675">
        <v>35795</v>
      </c>
      <c r="B108" s="675">
        <v>15815</v>
      </c>
      <c r="C108" s="675">
        <v>7</v>
      </c>
      <c r="D108" s="675">
        <v>2022</v>
      </c>
      <c r="E108" s="675">
        <v>6160</v>
      </c>
      <c r="F108" s="675">
        <v>0</v>
      </c>
      <c r="G108" s="675">
        <v>522.67700000000002</v>
      </c>
      <c r="H108" s="675">
        <v>446.33600000000001</v>
      </c>
      <c r="I108" s="675">
        <v>446.33600000000001</v>
      </c>
      <c r="J108" s="675">
        <v>522.67700000000002</v>
      </c>
      <c r="K108" s="675">
        <v>0</v>
      </c>
      <c r="L108" s="675">
        <v>6160</v>
      </c>
      <c r="M108" s="675">
        <v>0</v>
      </c>
      <c r="N108" s="675">
        <v>0</v>
      </c>
      <c r="O108" s="675">
        <v>0</v>
      </c>
      <c r="P108" s="675">
        <v>567.39600000000007</v>
      </c>
      <c r="Q108" s="675">
        <v>0</v>
      </c>
      <c r="R108" s="675">
        <v>228336</v>
      </c>
      <c r="S108" s="675">
        <v>402.428</v>
      </c>
      <c r="T108" s="675">
        <v>0</v>
      </c>
      <c r="U108" s="675">
        <v>121424</v>
      </c>
      <c r="V108" s="675">
        <v>263.97899999999998</v>
      </c>
      <c r="W108" s="675">
        <v>162610</v>
      </c>
      <c r="X108" s="675">
        <v>162610</v>
      </c>
      <c r="Y108" s="675">
        <v>0</v>
      </c>
      <c r="Z108" s="675">
        <v>0</v>
      </c>
      <c r="AA108" s="675">
        <v>0</v>
      </c>
      <c r="AB108" s="675">
        <v>0</v>
      </c>
      <c r="AC108" s="675">
        <v>0</v>
      </c>
      <c r="AD108" s="675" t="s">
        <v>316</v>
      </c>
      <c r="AE108" s="675">
        <v>0</v>
      </c>
      <c r="AF108" s="675">
        <v>0</v>
      </c>
      <c r="AG108" s="675">
        <v>0</v>
      </c>
      <c r="AH108" s="675">
        <v>0</v>
      </c>
      <c r="AI108" s="675">
        <v>0</v>
      </c>
      <c r="AJ108" s="675">
        <v>6160</v>
      </c>
      <c r="AK108" s="675" t="s">
        <v>671</v>
      </c>
      <c r="AL108" s="675" t="s">
        <v>391</v>
      </c>
      <c r="AM108" s="675">
        <v>0</v>
      </c>
      <c r="AN108" s="675">
        <v>0</v>
      </c>
      <c r="AO108" s="675">
        <v>0</v>
      </c>
      <c r="AP108" s="675">
        <v>0</v>
      </c>
      <c r="AQ108" s="675">
        <v>0</v>
      </c>
      <c r="AR108" s="675">
        <v>0</v>
      </c>
      <c r="AS108" s="675">
        <v>0</v>
      </c>
      <c r="AT108" s="675">
        <v>0</v>
      </c>
      <c r="AU108" s="675">
        <v>0</v>
      </c>
      <c r="AV108" s="675">
        <v>0</v>
      </c>
      <c r="AW108" s="675">
        <v>5584553</v>
      </c>
      <c r="AX108" s="675">
        <v>5493647</v>
      </c>
      <c r="AY108" s="675">
        <v>3810231</v>
      </c>
      <c r="AZ108" s="675">
        <v>228336</v>
      </c>
      <c r="BA108" s="675">
        <v>0</v>
      </c>
      <c r="BB108" s="675">
        <v>4312</v>
      </c>
      <c r="BC108" s="675">
        <v>4284</v>
      </c>
      <c r="BD108" s="675">
        <v>10</v>
      </c>
      <c r="BE108" s="675">
        <v>28</v>
      </c>
      <c r="BF108" s="675">
        <v>5091437</v>
      </c>
      <c r="BG108" s="675">
        <v>0</v>
      </c>
      <c r="BH108" s="675">
        <v>0</v>
      </c>
      <c r="BI108" s="675">
        <v>0</v>
      </c>
      <c r="BJ108" s="675">
        <v>12</v>
      </c>
      <c r="BK108" s="675">
        <v>0</v>
      </c>
      <c r="BL108" s="675">
        <v>0</v>
      </c>
      <c r="BM108" s="675">
        <v>0</v>
      </c>
      <c r="BN108" s="675">
        <v>0</v>
      </c>
      <c r="BO108" s="675">
        <v>0</v>
      </c>
      <c r="BP108" s="675">
        <v>0</v>
      </c>
      <c r="BQ108" s="675">
        <v>701</v>
      </c>
      <c r="BR108" s="675">
        <v>0</v>
      </c>
      <c r="BS108" s="675">
        <v>0</v>
      </c>
      <c r="BT108" s="675">
        <v>0</v>
      </c>
      <c r="BU108" s="675">
        <v>0</v>
      </c>
      <c r="BV108" s="675">
        <v>0</v>
      </c>
      <c r="BW108" s="675">
        <v>0</v>
      </c>
      <c r="BX108" s="675">
        <v>0</v>
      </c>
      <c r="BY108" s="675">
        <v>0</v>
      </c>
      <c r="BZ108" s="675">
        <v>0</v>
      </c>
      <c r="CA108" s="675">
        <v>0</v>
      </c>
      <c r="CB108" s="675">
        <v>0</v>
      </c>
      <c r="CC108" s="675">
        <v>0</v>
      </c>
      <c r="CD108" s="675">
        <v>0</v>
      </c>
      <c r="CE108" s="675">
        <v>0</v>
      </c>
      <c r="CF108" s="675">
        <v>0</v>
      </c>
      <c r="CG108" s="675">
        <v>0</v>
      </c>
      <c r="CH108" s="675">
        <v>92281</v>
      </c>
      <c r="CI108" s="675">
        <v>0</v>
      </c>
      <c r="CJ108" s="675">
        <v>4</v>
      </c>
      <c r="CK108" s="675">
        <v>0</v>
      </c>
      <c r="CL108" s="675">
        <v>0</v>
      </c>
      <c r="CM108" s="675">
        <v>0</v>
      </c>
      <c r="CN108" s="675">
        <v>0</v>
      </c>
      <c r="CO108" s="675">
        <v>1</v>
      </c>
      <c r="CP108" s="675">
        <v>0</v>
      </c>
      <c r="CQ108" s="675">
        <v>0</v>
      </c>
      <c r="CR108" s="675">
        <v>631.42200000000003</v>
      </c>
      <c r="CS108" s="675">
        <v>0</v>
      </c>
      <c r="CT108" s="675">
        <v>0</v>
      </c>
      <c r="CU108" s="675">
        <v>0</v>
      </c>
      <c r="CV108" s="675">
        <v>0</v>
      </c>
      <c r="CW108" s="675">
        <v>0</v>
      </c>
      <c r="CX108" s="675">
        <v>0</v>
      </c>
      <c r="CY108" s="675">
        <v>0</v>
      </c>
      <c r="CZ108" s="675">
        <v>0</v>
      </c>
      <c r="DA108" s="675">
        <v>0</v>
      </c>
      <c r="DB108" s="675">
        <v>2749417</v>
      </c>
      <c r="DC108" s="675">
        <v>0</v>
      </c>
      <c r="DD108" s="675">
        <v>0</v>
      </c>
      <c r="DE108" s="675">
        <v>696308</v>
      </c>
      <c r="DF108" s="675">
        <v>696308</v>
      </c>
      <c r="DG108" s="675">
        <v>113.03800000000001</v>
      </c>
      <c r="DH108" s="675">
        <v>0</v>
      </c>
      <c r="DI108" s="675">
        <v>0</v>
      </c>
      <c r="DJ108" s="675">
        <v>0</v>
      </c>
      <c r="DK108" s="675">
        <v>2843</v>
      </c>
      <c r="DL108" s="675">
        <v>0</v>
      </c>
      <c r="DM108" s="675">
        <v>358029</v>
      </c>
      <c r="DN108" s="675">
        <v>1347</v>
      </c>
      <c r="DO108" s="675">
        <v>0</v>
      </c>
      <c r="DP108" s="675">
        <v>0</v>
      </c>
      <c r="DQ108" s="675">
        <v>0</v>
      </c>
      <c r="DR108" s="675">
        <v>0</v>
      </c>
      <c r="DS108" s="675">
        <v>0</v>
      </c>
      <c r="DT108" s="675">
        <v>0</v>
      </c>
      <c r="DU108" s="675">
        <v>0</v>
      </c>
      <c r="DV108" s="675">
        <v>0</v>
      </c>
      <c r="DW108" s="675">
        <v>0</v>
      </c>
      <c r="DX108" s="675">
        <v>0</v>
      </c>
      <c r="DY108" s="675">
        <v>0</v>
      </c>
      <c r="DZ108" s="675">
        <v>0</v>
      </c>
      <c r="EA108" s="675">
        <v>0</v>
      </c>
      <c r="EB108" s="675">
        <v>0</v>
      </c>
      <c r="EC108" s="675">
        <v>21.437000000000001</v>
      </c>
      <c r="ED108" s="675">
        <v>151859</v>
      </c>
      <c r="EE108" s="675">
        <v>0</v>
      </c>
      <c r="EF108" s="675">
        <v>0</v>
      </c>
      <c r="EG108" s="675">
        <v>0</v>
      </c>
      <c r="EH108" s="675">
        <v>207517</v>
      </c>
      <c r="EI108" s="675">
        <v>0</v>
      </c>
      <c r="EJ108" s="675">
        <v>0</v>
      </c>
      <c r="EK108" s="675">
        <v>8.58</v>
      </c>
      <c r="EL108" s="675">
        <v>0</v>
      </c>
      <c r="EM108" s="675">
        <v>1.4610000000000001</v>
      </c>
      <c r="EN108" s="675">
        <v>0.71300000000000008</v>
      </c>
      <c r="EO108" s="675">
        <v>0</v>
      </c>
      <c r="EP108" s="675">
        <v>0</v>
      </c>
      <c r="EQ108" s="675">
        <v>10.754000000000001</v>
      </c>
      <c r="ER108" s="675">
        <v>0</v>
      </c>
      <c r="ES108" s="675">
        <v>33.688000000000002</v>
      </c>
      <c r="ET108" s="675">
        <v>0</v>
      </c>
      <c r="EU108" s="675">
        <v>0</v>
      </c>
      <c r="EV108" s="675">
        <v>0</v>
      </c>
      <c r="EW108" s="675">
        <v>0</v>
      </c>
      <c r="EX108" s="675">
        <v>0</v>
      </c>
      <c r="EY108" s="675">
        <v>0</v>
      </c>
      <c r="EZ108" s="675">
        <v>4868628</v>
      </c>
      <c r="FA108" s="675">
        <v>0</v>
      </c>
      <c r="FB108" s="675">
        <v>5095589</v>
      </c>
      <c r="FC108" s="675">
        <v>0</v>
      </c>
      <c r="FD108" s="675">
        <v>0</v>
      </c>
      <c r="FE108" s="675">
        <v>517903</v>
      </c>
      <c r="FF108" s="675">
        <v>107116</v>
      </c>
      <c r="FG108" s="675">
        <v>6.3574999999999993E-2</v>
      </c>
      <c r="FH108" s="675">
        <v>2.6297999999999998E-2</v>
      </c>
      <c r="FI108" s="675">
        <v>0</v>
      </c>
      <c r="FJ108" s="675">
        <v>0</v>
      </c>
      <c r="FK108" s="675">
        <v>826.53600000000006</v>
      </c>
      <c r="FL108" s="675">
        <v>5812889</v>
      </c>
      <c r="FM108" s="675">
        <v>0</v>
      </c>
      <c r="FN108" s="675">
        <v>0</v>
      </c>
      <c r="FO108" s="675">
        <v>0</v>
      </c>
      <c r="FP108" s="675">
        <v>0</v>
      </c>
      <c r="FQ108" s="675">
        <v>1944</v>
      </c>
      <c r="FR108" s="675">
        <v>0</v>
      </c>
      <c r="FS108" s="675">
        <v>1944</v>
      </c>
      <c r="FT108" s="675">
        <v>0</v>
      </c>
      <c r="FU108" s="675">
        <v>0</v>
      </c>
      <c r="FV108" s="675">
        <v>0</v>
      </c>
      <c r="FW108" s="675">
        <v>0</v>
      </c>
      <c r="FX108" s="675">
        <v>0</v>
      </c>
      <c r="FY108" s="675">
        <v>0</v>
      </c>
      <c r="FZ108" s="675">
        <v>0</v>
      </c>
      <c r="GA108" s="675">
        <v>0</v>
      </c>
      <c r="GB108" s="675">
        <v>589990</v>
      </c>
      <c r="GC108" s="675">
        <v>589990</v>
      </c>
      <c r="GD108" s="675">
        <v>65.587000000000003</v>
      </c>
      <c r="GE108" s="675">
        <v>0</v>
      </c>
      <c r="GF108" s="675">
        <v>0</v>
      </c>
      <c r="GG108" s="675">
        <v>0</v>
      </c>
      <c r="GH108" s="675">
        <v>0</v>
      </c>
      <c r="GI108" s="675">
        <v>0</v>
      </c>
      <c r="GJ108" s="675">
        <v>0</v>
      </c>
      <c r="GK108" s="675">
        <v>0</v>
      </c>
      <c r="GL108" s="675">
        <v>0</v>
      </c>
      <c r="GM108" s="675">
        <v>0</v>
      </c>
      <c r="GN108" s="675">
        <v>0</v>
      </c>
      <c r="GO108" s="675">
        <v>0</v>
      </c>
      <c r="GP108" s="675">
        <v>0</v>
      </c>
      <c r="GQ108" s="675">
        <v>0</v>
      </c>
      <c r="GR108" s="675">
        <v>0</v>
      </c>
      <c r="GS108" s="675">
        <v>0</v>
      </c>
      <c r="GT108" s="675">
        <v>0</v>
      </c>
      <c r="GU108" s="675">
        <v>0</v>
      </c>
      <c r="GV108" s="675">
        <v>0</v>
      </c>
      <c r="GW108" s="675">
        <v>0</v>
      </c>
      <c r="GX108" s="675">
        <v>0</v>
      </c>
      <c r="GY108" s="675">
        <v>0</v>
      </c>
      <c r="GZ108" s="675">
        <v>0</v>
      </c>
      <c r="HA108" s="675">
        <v>0</v>
      </c>
      <c r="HB108" s="675">
        <v>308877260</v>
      </c>
      <c r="HC108" s="675">
        <v>4.4138999999999998E-2</v>
      </c>
      <c r="HD108" s="675">
        <v>92281</v>
      </c>
      <c r="HE108" s="675">
        <v>0</v>
      </c>
      <c r="HF108" s="675">
        <v>492309</v>
      </c>
      <c r="HG108" s="675">
        <v>3208</v>
      </c>
      <c r="HH108" s="675">
        <v>28827</v>
      </c>
      <c r="HI108" s="675">
        <v>0</v>
      </c>
      <c r="HJ108" s="675">
        <v>5080</v>
      </c>
      <c r="HK108" s="675">
        <v>2160</v>
      </c>
      <c r="HL108" s="675">
        <v>1423</v>
      </c>
      <c r="HM108" s="675">
        <v>0</v>
      </c>
      <c r="HN108" s="675">
        <v>0</v>
      </c>
      <c r="HO108" s="675">
        <v>0</v>
      </c>
      <c r="HP108" s="675">
        <v>0</v>
      </c>
      <c r="HQ108" s="675">
        <v>0</v>
      </c>
      <c r="HR108" s="675">
        <v>0</v>
      </c>
      <c r="HS108" s="675">
        <v>4867253</v>
      </c>
      <c r="HT108" s="675">
        <v>107116</v>
      </c>
      <c r="HU108" s="675">
        <v>0</v>
      </c>
      <c r="HV108" s="675">
        <v>0</v>
      </c>
      <c r="HW108" s="675">
        <v>0</v>
      </c>
      <c r="HX108" s="675">
        <v>102</v>
      </c>
      <c r="HY108" s="675">
        <v>93</v>
      </c>
      <c r="HZ108" s="675">
        <v>111</v>
      </c>
      <c r="IA108" s="675">
        <v>102</v>
      </c>
      <c r="IB108" s="675">
        <v>49</v>
      </c>
      <c r="IC108" s="675">
        <v>457</v>
      </c>
      <c r="ID108" s="675">
        <v>0</v>
      </c>
      <c r="IE108" s="675">
        <v>0</v>
      </c>
      <c r="IF108" s="675">
        <v>0</v>
      </c>
      <c r="IG108" s="675">
        <v>5.2080000000000002</v>
      </c>
      <c r="IH108" s="675">
        <v>46.797000000000004</v>
      </c>
      <c r="II108" s="675">
        <v>0</v>
      </c>
      <c r="IJ108" s="675">
        <v>263.97899999999998</v>
      </c>
      <c r="IK108" s="675">
        <v>0</v>
      </c>
      <c r="IL108" s="675">
        <v>0</v>
      </c>
      <c r="IM108" s="675">
        <v>0</v>
      </c>
      <c r="IN108" s="675">
        <v>0</v>
      </c>
      <c r="IO108" s="675">
        <v>0</v>
      </c>
      <c r="IP108" s="675">
        <v>0</v>
      </c>
      <c r="IQ108" s="675">
        <v>263.97899999999998</v>
      </c>
      <c r="IR108" s="675">
        <v>162610</v>
      </c>
      <c r="IS108" s="675">
        <v>0</v>
      </c>
      <c r="IT108" s="675">
        <v>0</v>
      </c>
      <c r="IU108" s="675">
        <v>0</v>
      </c>
      <c r="IV108" s="675">
        <v>0</v>
      </c>
      <c r="IW108" s="675">
        <v>6160</v>
      </c>
      <c r="IX108" s="675">
        <v>0</v>
      </c>
      <c r="IY108" s="675">
        <v>0</v>
      </c>
      <c r="IZ108" s="675">
        <v>0</v>
      </c>
      <c r="JA108" s="675">
        <v>0</v>
      </c>
      <c r="JB108" s="675">
        <v>0</v>
      </c>
      <c r="JC108" s="675">
        <v>0</v>
      </c>
      <c r="JD108" s="675">
        <v>0</v>
      </c>
      <c r="JE108" s="675">
        <v>0</v>
      </c>
      <c r="JF108" s="675">
        <v>0</v>
      </c>
      <c r="JG108" s="675">
        <v>0</v>
      </c>
      <c r="JH108" s="675">
        <v>0</v>
      </c>
      <c r="JI108" s="675">
        <v>0</v>
      </c>
      <c r="JJ108" s="675">
        <v>0</v>
      </c>
      <c r="JK108" s="675">
        <v>0</v>
      </c>
      <c r="JL108" s="675">
        <v>0</v>
      </c>
      <c r="JM108" s="675">
        <v>0</v>
      </c>
      <c r="JN108" s="675">
        <v>32469</v>
      </c>
      <c r="JO108" s="675">
        <v>15.342000000000001</v>
      </c>
      <c r="JP108" s="675">
        <v>50.022000000000006</v>
      </c>
      <c r="JQ108" s="675">
        <v>0.223</v>
      </c>
      <c r="JR108" s="675">
        <v>122572</v>
      </c>
      <c r="JS108" s="675">
        <v>465037</v>
      </c>
      <c r="JT108" s="675">
        <v>2381</v>
      </c>
      <c r="JU108" s="675">
        <v>4312</v>
      </c>
      <c r="JV108" s="675">
        <v>0</v>
      </c>
      <c r="JW108" s="675">
        <v>0</v>
      </c>
      <c r="JX108" s="675">
        <v>0</v>
      </c>
      <c r="JY108" s="675">
        <v>0</v>
      </c>
      <c r="JZ108" s="675">
        <v>0</v>
      </c>
      <c r="KA108" s="675">
        <v>0</v>
      </c>
      <c r="KB108" s="675">
        <v>0</v>
      </c>
      <c r="KC108" s="675">
        <v>0</v>
      </c>
      <c r="KD108" s="675">
        <v>4312</v>
      </c>
      <c r="KE108" s="675">
        <v>7263</v>
      </c>
      <c r="KF108" s="675">
        <v>0</v>
      </c>
      <c r="KG108" s="675">
        <v>0</v>
      </c>
      <c r="KH108" s="675">
        <v>0</v>
      </c>
      <c r="KI108" s="675">
        <v>0</v>
      </c>
    </row>
    <row r="109" spans="1:295" ht="12.5" x14ac:dyDescent="0.25">
      <c r="A109" s="675">
        <v>35795</v>
      </c>
      <c r="B109" s="675">
        <v>101815</v>
      </c>
      <c r="C109" s="675">
        <v>7</v>
      </c>
      <c r="D109" s="675">
        <v>2022</v>
      </c>
      <c r="E109" s="675">
        <v>6160</v>
      </c>
      <c r="F109" s="675">
        <v>0</v>
      </c>
      <c r="G109" s="675">
        <v>266.11900000000003</v>
      </c>
      <c r="H109" s="675">
        <v>258.01900000000001</v>
      </c>
      <c r="I109" s="675">
        <v>258.01900000000001</v>
      </c>
      <c r="J109" s="675">
        <v>266.11900000000003</v>
      </c>
      <c r="K109" s="675">
        <v>0</v>
      </c>
      <c r="L109" s="675">
        <v>6160</v>
      </c>
      <c r="M109" s="675">
        <v>0</v>
      </c>
      <c r="N109" s="675">
        <v>0</v>
      </c>
      <c r="O109" s="675">
        <v>0</v>
      </c>
      <c r="P109" s="675">
        <v>254.32400000000001</v>
      </c>
      <c r="Q109" s="675">
        <v>0</v>
      </c>
      <c r="R109" s="675">
        <v>102347</v>
      </c>
      <c r="S109" s="675">
        <v>402.428</v>
      </c>
      <c r="T109" s="675">
        <v>0</v>
      </c>
      <c r="U109" s="675">
        <v>54425</v>
      </c>
      <c r="V109" s="675">
        <v>193.70500000000001</v>
      </c>
      <c r="W109" s="675">
        <v>119322</v>
      </c>
      <c r="X109" s="675">
        <v>119322</v>
      </c>
      <c r="Y109" s="675">
        <v>0</v>
      </c>
      <c r="Z109" s="675">
        <v>0</v>
      </c>
      <c r="AA109" s="675">
        <v>0</v>
      </c>
      <c r="AB109" s="675">
        <v>0</v>
      </c>
      <c r="AC109" s="675">
        <v>0</v>
      </c>
      <c r="AD109" s="675" t="s">
        <v>316</v>
      </c>
      <c r="AE109" s="675">
        <v>0</v>
      </c>
      <c r="AF109" s="675">
        <v>0</v>
      </c>
      <c r="AG109" s="675">
        <v>0</v>
      </c>
      <c r="AH109" s="675">
        <v>0</v>
      </c>
      <c r="AI109" s="675">
        <v>0</v>
      </c>
      <c r="AJ109" s="675">
        <v>6160</v>
      </c>
      <c r="AK109" s="675" t="s">
        <v>671</v>
      </c>
      <c r="AL109" s="675" t="s">
        <v>53</v>
      </c>
      <c r="AM109" s="675">
        <v>0</v>
      </c>
      <c r="AN109" s="675">
        <v>0</v>
      </c>
      <c r="AO109" s="675">
        <v>0</v>
      </c>
      <c r="AP109" s="675">
        <v>0</v>
      </c>
      <c r="AQ109" s="675">
        <v>0</v>
      </c>
      <c r="AR109" s="675">
        <v>0</v>
      </c>
      <c r="AS109" s="675">
        <v>0</v>
      </c>
      <c r="AT109" s="675">
        <v>0</v>
      </c>
      <c r="AU109" s="675">
        <v>0</v>
      </c>
      <c r="AV109" s="675">
        <v>0</v>
      </c>
      <c r="AW109" s="675">
        <v>3116101</v>
      </c>
      <c r="AX109" s="675">
        <v>3070161</v>
      </c>
      <c r="AY109" s="675">
        <v>2002687</v>
      </c>
      <c r="AZ109" s="675">
        <v>102347</v>
      </c>
      <c r="BA109" s="675">
        <v>0</v>
      </c>
      <c r="BB109" s="675">
        <v>0</v>
      </c>
      <c r="BC109" s="675">
        <v>0</v>
      </c>
      <c r="BD109" s="675">
        <v>0</v>
      </c>
      <c r="BE109" s="675">
        <v>0</v>
      </c>
      <c r="BF109" s="675">
        <v>2825636</v>
      </c>
      <c r="BG109" s="675">
        <v>0</v>
      </c>
      <c r="BH109" s="675">
        <v>0</v>
      </c>
      <c r="BI109" s="675">
        <v>0</v>
      </c>
      <c r="BJ109" s="675">
        <v>12</v>
      </c>
      <c r="BK109" s="675">
        <v>0</v>
      </c>
      <c r="BL109" s="675">
        <v>0</v>
      </c>
      <c r="BM109" s="675">
        <v>0</v>
      </c>
      <c r="BN109" s="675">
        <v>0</v>
      </c>
      <c r="BO109" s="675">
        <v>0</v>
      </c>
      <c r="BP109" s="675">
        <v>0</v>
      </c>
      <c r="BQ109" s="675">
        <v>730</v>
      </c>
      <c r="BR109" s="675">
        <v>0</v>
      </c>
      <c r="BS109" s="675">
        <v>0</v>
      </c>
      <c r="BT109" s="675">
        <v>0</v>
      </c>
      <c r="BU109" s="675">
        <v>0</v>
      </c>
      <c r="BV109" s="675">
        <v>0</v>
      </c>
      <c r="BW109" s="675">
        <v>0</v>
      </c>
      <c r="BX109" s="675">
        <v>0</v>
      </c>
      <c r="BY109" s="675">
        <v>0</v>
      </c>
      <c r="BZ109" s="675">
        <v>0</v>
      </c>
      <c r="CA109" s="675">
        <v>0</v>
      </c>
      <c r="CB109" s="675">
        <v>0</v>
      </c>
      <c r="CC109" s="675">
        <v>0</v>
      </c>
      <c r="CD109" s="675">
        <v>0</v>
      </c>
      <c r="CE109" s="675">
        <v>0</v>
      </c>
      <c r="CF109" s="675">
        <v>0</v>
      </c>
      <c r="CG109" s="675">
        <v>0</v>
      </c>
      <c r="CH109" s="675">
        <v>46985</v>
      </c>
      <c r="CI109" s="675">
        <v>0</v>
      </c>
      <c r="CJ109" s="675">
        <v>4</v>
      </c>
      <c r="CK109" s="675">
        <v>0</v>
      </c>
      <c r="CL109" s="675">
        <v>0</v>
      </c>
      <c r="CM109" s="675">
        <v>0</v>
      </c>
      <c r="CN109" s="675">
        <v>0</v>
      </c>
      <c r="CO109" s="675">
        <v>1</v>
      </c>
      <c r="CP109" s="675">
        <v>0</v>
      </c>
      <c r="CQ109" s="675">
        <v>0</v>
      </c>
      <c r="CR109" s="675">
        <v>268.51</v>
      </c>
      <c r="CS109" s="675">
        <v>0</v>
      </c>
      <c r="CT109" s="675">
        <v>0</v>
      </c>
      <c r="CU109" s="675">
        <v>0</v>
      </c>
      <c r="CV109" s="675">
        <v>0</v>
      </c>
      <c r="CW109" s="675">
        <v>0</v>
      </c>
      <c r="CX109" s="675">
        <v>0</v>
      </c>
      <c r="CY109" s="675">
        <v>0</v>
      </c>
      <c r="CZ109" s="675">
        <v>0</v>
      </c>
      <c r="DA109" s="675">
        <v>0</v>
      </c>
      <c r="DB109" s="675">
        <v>1589390</v>
      </c>
      <c r="DC109" s="675">
        <v>0</v>
      </c>
      <c r="DD109" s="675">
        <v>0</v>
      </c>
      <c r="DE109" s="675">
        <v>426501</v>
      </c>
      <c r="DF109" s="675">
        <v>426501</v>
      </c>
      <c r="DG109" s="675">
        <v>69.238</v>
      </c>
      <c r="DH109" s="675">
        <v>0</v>
      </c>
      <c r="DI109" s="675">
        <v>0</v>
      </c>
      <c r="DJ109" s="675">
        <v>0</v>
      </c>
      <c r="DK109" s="675">
        <v>3307</v>
      </c>
      <c r="DL109" s="675">
        <v>0</v>
      </c>
      <c r="DM109" s="675">
        <v>277818</v>
      </c>
      <c r="DN109" s="675">
        <v>1045</v>
      </c>
      <c r="DO109" s="675">
        <v>0</v>
      </c>
      <c r="DP109" s="675">
        <v>0</v>
      </c>
      <c r="DQ109" s="675">
        <v>0</v>
      </c>
      <c r="DR109" s="675">
        <v>0</v>
      </c>
      <c r="DS109" s="675">
        <v>0</v>
      </c>
      <c r="DT109" s="675">
        <v>0</v>
      </c>
      <c r="DU109" s="675">
        <v>0</v>
      </c>
      <c r="DV109" s="675">
        <v>0</v>
      </c>
      <c r="DW109" s="675">
        <v>0</v>
      </c>
      <c r="DX109" s="675">
        <v>0</v>
      </c>
      <c r="DY109" s="675">
        <v>0</v>
      </c>
      <c r="DZ109" s="675">
        <v>0</v>
      </c>
      <c r="EA109" s="675">
        <v>0</v>
      </c>
      <c r="EB109" s="675">
        <v>0</v>
      </c>
      <c r="EC109" s="675">
        <v>12.381</v>
      </c>
      <c r="ED109" s="675">
        <v>87707</v>
      </c>
      <c r="EE109" s="675">
        <v>0</v>
      </c>
      <c r="EF109" s="675">
        <v>0</v>
      </c>
      <c r="EG109" s="675">
        <v>0</v>
      </c>
      <c r="EH109" s="675">
        <v>191156</v>
      </c>
      <c r="EI109" s="675">
        <v>0</v>
      </c>
      <c r="EJ109" s="675">
        <v>0</v>
      </c>
      <c r="EK109" s="675">
        <v>4.734</v>
      </c>
      <c r="EL109" s="675">
        <v>0</v>
      </c>
      <c r="EM109" s="675">
        <v>0</v>
      </c>
      <c r="EN109" s="675">
        <v>3.3660000000000001</v>
      </c>
      <c r="EO109" s="675">
        <v>0</v>
      </c>
      <c r="EP109" s="675">
        <v>0</v>
      </c>
      <c r="EQ109" s="675">
        <v>8.1</v>
      </c>
      <c r="ER109" s="675">
        <v>0</v>
      </c>
      <c r="ES109" s="675">
        <v>31.032</v>
      </c>
      <c r="ET109" s="675">
        <v>0</v>
      </c>
      <c r="EU109" s="675">
        <v>0</v>
      </c>
      <c r="EV109" s="675">
        <v>0</v>
      </c>
      <c r="EW109" s="675">
        <v>0</v>
      </c>
      <c r="EX109" s="675">
        <v>0</v>
      </c>
      <c r="EY109" s="675">
        <v>0</v>
      </c>
      <c r="EZ109" s="675">
        <v>2723289</v>
      </c>
      <c r="FA109" s="675">
        <v>0</v>
      </c>
      <c r="FB109" s="675">
        <v>2824591</v>
      </c>
      <c r="FC109" s="675">
        <v>0</v>
      </c>
      <c r="FD109" s="675">
        <v>0</v>
      </c>
      <c r="FE109" s="675">
        <v>287425</v>
      </c>
      <c r="FF109" s="675">
        <v>59447</v>
      </c>
      <c r="FG109" s="675">
        <v>6.3574999999999993E-2</v>
      </c>
      <c r="FH109" s="675">
        <v>2.6297999999999998E-2</v>
      </c>
      <c r="FI109" s="675">
        <v>0</v>
      </c>
      <c r="FJ109" s="675">
        <v>0</v>
      </c>
      <c r="FK109" s="675">
        <v>458.709</v>
      </c>
      <c r="FL109" s="675">
        <v>3218448</v>
      </c>
      <c r="FM109" s="675">
        <v>0</v>
      </c>
      <c r="FN109" s="675">
        <v>0</v>
      </c>
      <c r="FO109" s="675">
        <v>0</v>
      </c>
      <c r="FP109" s="675">
        <v>0</v>
      </c>
      <c r="FQ109" s="675">
        <v>0</v>
      </c>
      <c r="FR109" s="675">
        <v>0</v>
      </c>
      <c r="FS109" s="675">
        <v>0</v>
      </c>
      <c r="FT109" s="675">
        <v>0</v>
      </c>
      <c r="FU109" s="675">
        <v>0</v>
      </c>
      <c r="FV109" s="675">
        <v>0</v>
      </c>
      <c r="FW109" s="675">
        <v>0</v>
      </c>
      <c r="FX109" s="675">
        <v>0</v>
      </c>
      <c r="FY109" s="675">
        <v>0</v>
      </c>
      <c r="FZ109" s="675">
        <v>0</v>
      </c>
      <c r="GA109" s="675">
        <v>0</v>
      </c>
      <c r="GB109" s="675">
        <v>0</v>
      </c>
      <c r="GC109" s="675">
        <v>0</v>
      </c>
      <c r="GD109" s="675">
        <v>0</v>
      </c>
      <c r="GE109" s="675">
        <v>0</v>
      </c>
      <c r="GF109" s="675">
        <v>0</v>
      </c>
      <c r="GG109" s="675">
        <v>0</v>
      </c>
      <c r="GH109" s="675">
        <v>0</v>
      </c>
      <c r="GI109" s="675">
        <v>0</v>
      </c>
      <c r="GJ109" s="675">
        <v>0</v>
      </c>
      <c r="GK109" s="675">
        <v>0</v>
      </c>
      <c r="GL109" s="675">
        <v>0</v>
      </c>
      <c r="GM109" s="675">
        <v>0</v>
      </c>
      <c r="GN109" s="675">
        <v>0</v>
      </c>
      <c r="GO109" s="675">
        <v>0</v>
      </c>
      <c r="GP109" s="675">
        <v>0</v>
      </c>
      <c r="GQ109" s="675">
        <v>0</v>
      </c>
      <c r="GR109" s="675">
        <v>0</v>
      </c>
      <c r="GS109" s="675">
        <v>0</v>
      </c>
      <c r="GT109" s="675">
        <v>0</v>
      </c>
      <c r="GU109" s="675">
        <v>0</v>
      </c>
      <c r="GV109" s="675">
        <v>0</v>
      </c>
      <c r="GW109" s="675">
        <v>0</v>
      </c>
      <c r="GX109" s="675">
        <v>0</v>
      </c>
      <c r="GY109" s="675">
        <v>0</v>
      </c>
      <c r="GZ109" s="675">
        <v>0</v>
      </c>
      <c r="HA109" s="675">
        <v>0</v>
      </c>
      <c r="HB109" s="675">
        <v>308877260</v>
      </c>
      <c r="HC109" s="675">
        <v>4.4138999999999998E-2</v>
      </c>
      <c r="HD109" s="675">
        <v>46985</v>
      </c>
      <c r="HE109" s="675">
        <v>0</v>
      </c>
      <c r="HF109" s="675">
        <v>284595</v>
      </c>
      <c r="HG109" s="675">
        <v>0</v>
      </c>
      <c r="HH109" s="675">
        <v>124378</v>
      </c>
      <c r="HI109" s="675">
        <v>0</v>
      </c>
      <c r="HJ109" s="675">
        <v>2587</v>
      </c>
      <c r="HK109" s="675">
        <v>0</v>
      </c>
      <c r="HL109" s="675">
        <v>0</v>
      </c>
      <c r="HM109" s="675">
        <v>0</v>
      </c>
      <c r="HN109" s="675">
        <v>0</v>
      </c>
      <c r="HO109" s="675">
        <v>0</v>
      </c>
      <c r="HP109" s="675">
        <v>0</v>
      </c>
      <c r="HQ109" s="675">
        <v>0</v>
      </c>
      <c r="HR109" s="675">
        <v>0</v>
      </c>
      <c r="HS109" s="675">
        <v>2722244</v>
      </c>
      <c r="HT109" s="675">
        <v>59447</v>
      </c>
      <c r="HU109" s="675">
        <v>0</v>
      </c>
      <c r="HV109" s="675">
        <v>0</v>
      </c>
      <c r="HW109" s="675">
        <v>0</v>
      </c>
      <c r="HX109" s="675">
        <v>60</v>
      </c>
      <c r="HY109" s="675">
        <v>62</v>
      </c>
      <c r="HZ109" s="675">
        <v>58</v>
      </c>
      <c r="IA109" s="675">
        <v>57</v>
      </c>
      <c r="IB109" s="675">
        <v>42</v>
      </c>
      <c r="IC109" s="675">
        <v>279</v>
      </c>
      <c r="ID109" s="675">
        <v>0</v>
      </c>
      <c r="IE109" s="675">
        <v>0</v>
      </c>
      <c r="IF109" s="675">
        <v>0</v>
      </c>
      <c r="IG109" s="675">
        <v>0</v>
      </c>
      <c r="IH109" s="675">
        <v>201.91400000000002</v>
      </c>
      <c r="II109" s="675">
        <v>0</v>
      </c>
      <c r="IJ109" s="675">
        <v>193.70500000000001</v>
      </c>
      <c r="IK109" s="675">
        <v>0</v>
      </c>
      <c r="IL109" s="675">
        <v>0</v>
      </c>
      <c r="IM109" s="675">
        <v>0</v>
      </c>
      <c r="IN109" s="675">
        <v>0</v>
      </c>
      <c r="IO109" s="675">
        <v>0</v>
      </c>
      <c r="IP109" s="675">
        <v>0</v>
      </c>
      <c r="IQ109" s="675">
        <v>193.70500000000001</v>
      </c>
      <c r="IR109" s="675">
        <v>119322</v>
      </c>
      <c r="IS109" s="675">
        <v>0</v>
      </c>
      <c r="IT109" s="675">
        <v>0</v>
      </c>
      <c r="IU109" s="675">
        <v>0</v>
      </c>
      <c r="IV109" s="675">
        <v>0</v>
      </c>
      <c r="IW109" s="675">
        <v>6160</v>
      </c>
      <c r="IX109" s="675">
        <v>0</v>
      </c>
      <c r="IY109" s="675">
        <v>0</v>
      </c>
      <c r="IZ109" s="675">
        <v>0</v>
      </c>
      <c r="JA109" s="675">
        <v>0</v>
      </c>
      <c r="JB109" s="675">
        <v>0</v>
      </c>
      <c r="JC109" s="675">
        <v>0</v>
      </c>
      <c r="JD109" s="675">
        <v>0</v>
      </c>
      <c r="JE109" s="675">
        <v>0</v>
      </c>
      <c r="JF109" s="675">
        <v>0</v>
      </c>
      <c r="JG109" s="675">
        <v>0</v>
      </c>
      <c r="JH109" s="675">
        <v>0</v>
      </c>
      <c r="JI109" s="675">
        <v>0</v>
      </c>
      <c r="JJ109" s="675">
        <v>0</v>
      </c>
      <c r="JK109" s="675">
        <v>0</v>
      </c>
      <c r="JL109" s="675">
        <v>0</v>
      </c>
      <c r="JM109" s="675">
        <v>0</v>
      </c>
      <c r="JN109" s="675">
        <v>32469</v>
      </c>
      <c r="JO109" s="675">
        <v>0</v>
      </c>
      <c r="JP109" s="675">
        <v>0</v>
      </c>
      <c r="JQ109" s="675">
        <v>0</v>
      </c>
      <c r="JR109" s="675">
        <v>0</v>
      </c>
      <c r="JS109" s="675">
        <v>0</v>
      </c>
      <c r="JT109" s="675">
        <v>0</v>
      </c>
      <c r="JU109" s="675">
        <v>0</v>
      </c>
      <c r="JV109" s="675">
        <v>0</v>
      </c>
      <c r="JW109" s="675">
        <v>0</v>
      </c>
      <c r="JX109" s="675">
        <v>0</v>
      </c>
      <c r="JY109" s="675">
        <v>0</v>
      </c>
      <c r="JZ109" s="675">
        <v>0</v>
      </c>
      <c r="KA109" s="675">
        <v>0</v>
      </c>
      <c r="KB109" s="675">
        <v>0</v>
      </c>
      <c r="KC109" s="675">
        <v>0</v>
      </c>
      <c r="KD109" s="675">
        <v>0</v>
      </c>
      <c r="KE109" s="675">
        <v>7263</v>
      </c>
      <c r="KF109" s="675">
        <v>0</v>
      </c>
      <c r="KG109" s="675">
        <v>0</v>
      </c>
      <c r="KH109" s="675">
        <v>0</v>
      </c>
      <c r="KI109" s="675">
        <v>0</v>
      </c>
    </row>
    <row r="110" spans="1:295" ht="12.5" x14ac:dyDescent="0.25">
      <c r="A110" s="675">
        <v>35795</v>
      </c>
      <c r="B110" s="675">
        <v>220815</v>
      </c>
      <c r="C110" s="675">
        <v>7</v>
      </c>
      <c r="D110" s="675">
        <v>2022</v>
      </c>
      <c r="E110" s="675">
        <v>6160</v>
      </c>
      <c r="F110" s="675">
        <v>0</v>
      </c>
      <c r="G110" s="675">
        <v>629.73099999999999</v>
      </c>
      <c r="H110" s="675">
        <v>613.952</v>
      </c>
      <c r="I110" s="675">
        <v>613.952</v>
      </c>
      <c r="J110" s="675">
        <v>629.73099999999999</v>
      </c>
      <c r="K110" s="675">
        <v>0</v>
      </c>
      <c r="L110" s="675">
        <v>6160</v>
      </c>
      <c r="M110" s="675">
        <v>0</v>
      </c>
      <c r="N110" s="675">
        <v>0</v>
      </c>
      <c r="O110" s="675">
        <v>0</v>
      </c>
      <c r="P110" s="675">
        <v>697.79200000000003</v>
      </c>
      <c r="Q110" s="675">
        <v>0</v>
      </c>
      <c r="R110" s="675">
        <v>280811</v>
      </c>
      <c r="S110" s="675">
        <v>402.428</v>
      </c>
      <c r="T110" s="675">
        <v>0</v>
      </c>
      <c r="U110" s="675">
        <v>149328</v>
      </c>
      <c r="V110" s="675">
        <v>70.534999999999997</v>
      </c>
      <c r="W110" s="675">
        <v>43449</v>
      </c>
      <c r="X110" s="675">
        <v>43449</v>
      </c>
      <c r="Y110" s="675">
        <v>0</v>
      </c>
      <c r="Z110" s="675">
        <v>0</v>
      </c>
      <c r="AA110" s="675">
        <v>0</v>
      </c>
      <c r="AB110" s="675">
        <v>0</v>
      </c>
      <c r="AC110" s="675">
        <v>0</v>
      </c>
      <c r="AD110" s="675" t="s">
        <v>316</v>
      </c>
      <c r="AE110" s="675">
        <v>0</v>
      </c>
      <c r="AF110" s="675">
        <v>0</v>
      </c>
      <c r="AG110" s="675">
        <v>0</v>
      </c>
      <c r="AH110" s="675">
        <v>0</v>
      </c>
      <c r="AI110" s="675">
        <v>0</v>
      </c>
      <c r="AJ110" s="675">
        <v>6160</v>
      </c>
      <c r="AK110" s="675" t="s">
        <v>671</v>
      </c>
      <c r="AL110" s="675" t="s">
        <v>363</v>
      </c>
      <c r="AM110" s="675">
        <v>0</v>
      </c>
      <c r="AN110" s="675">
        <v>0</v>
      </c>
      <c r="AO110" s="675">
        <v>0</v>
      </c>
      <c r="AP110" s="675">
        <v>0</v>
      </c>
      <c r="AQ110" s="675">
        <v>0</v>
      </c>
      <c r="AR110" s="675">
        <v>0</v>
      </c>
      <c r="AS110" s="675">
        <v>0</v>
      </c>
      <c r="AT110" s="675">
        <v>0</v>
      </c>
      <c r="AU110" s="675">
        <v>0</v>
      </c>
      <c r="AV110" s="675">
        <v>0</v>
      </c>
      <c r="AW110" s="675">
        <v>6173996</v>
      </c>
      <c r="AX110" s="675">
        <v>6064119</v>
      </c>
      <c r="AY110" s="675">
        <v>4080188</v>
      </c>
      <c r="AZ110" s="675">
        <v>280811</v>
      </c>
      <c r="BA110" s="675">
        <v>0</v>
      </c>
      <c r="BB110" s="675">
        <v>12936</v>
      </c>
      <c r="BC110" s="675">
        <v>12852</v>
      </c>
      <c r="BD110" s="675">
        <v>30</v>
      </c>
      <c r="BE110" s="675">
        <v>84</v>
      </c>
      <c r="BF110" s="675">
        <v>5651195</v>
      </c>
      <c r="BG110" s="675">
        <v>0</v>
      </c>
      <c r="BH110" s="675">
        <v>0</v>
      </c>
      <c r="BI110" s="675">
        <v>0</v>
      </c>
      <c r="BJ110" s="675">
        <v>12</v>
      </c>
      <c r="BK110" s="675">
        <v>0</v>
      </c>
      <c r="BL110" s="675">
        <v>0</v>
      </c>
      <c r="BM110" s="675">
        <v>0</v>
      </c>
      <c r="BN110" s="675">
        <v>0</v>
      </c>
      <c r="BO110" s="675">
        <v>0</v>
      </c>
      <c r="BP110" s="675">
        <v>0</v>
      </c>
      <c r="BQ110" s="675">
        <v>675</v>
      </c>
      <c r="BR110" s="675">
        <v>0</v>
      </c>
      <c r="BS110" s="675">
        <v>0</v>
      </c>
      <c r="BT110" s="675">
        <v>0</v>
      </c>
      <c r="BU110" s="675">
        <v>0</v>
      </c>
      <c r="BV110" s="675">
        <v>0</v>
      </c>
      <c r="BW110" s="675">
        <v>0</v>
      </c>
      <c r="BX110" s="675">
        <v>0</v>
      </c>
      <c r="BY110" s="675">
        <v>0</v>
      </c>
      <c r="BZ110" s="675">
        <v>0</v>
      </c>
      <c r="CA110" s="675">
        <v>0</v>
      </c>
      <c r="CB110" s="675">
        <v>0</v>
      </c>
      <c r="CC110" s="675">
        <v>0</v>
      </c>
      <c r="CD110" s="675">
        <v>0</v>
      </c>
      <c r="CE110" s="675">
        <v>0</v>
      </c>
      <c r="CF110" s="675">
        <v>0</v>
      </c>
      <c r="CG110" s="675">
        <v>0</v>
      </c>
      <c r="CH110" s="675">
        <v>111182</v>
      </c>
      <c r="CI110" s="675">
        <v>0</v>
      </c>
      <c r="CJ110" s="675">
        <v>4</v>
      </c>
      <c r="CK110" s="675">
        <v>0</v>
      </c>
      <c r="CL110" s="675">
        <v>0</v>
      </c>
      <c r="CM110" s="675">
        <v>0</v>
      </c>
      <c r="CN110" s="675">
        <v>0</v>
      </c>
      <c r="CO110" s="675">
        <v>1</v>
      </c>
      <c r="CP110" s="675">
        <v>0</v>
      </c>
      <c r="CQ110" s="675">
        <v>0</v>
      </c>
      <c r="CR110" s="675">
        <v>692.36800000000005</v>
      </c>
      <c r="CS110" s="675">
        <v>0</v>
      </c>
      <c r="CT110" s="675">
        <v>0</v>
      </c>
      <c r="CU110" s="675">
        <v>0</v>
      </c>
      <c r="CV110" s="675">
        <v>0</v>
      </c>
      <c r="CW110" s="675">
        <v>0</v>
      </c>
      <c r="CX110" s="675">
        <v>0</v>
      </c>
      <c r="CY110" s="675">
        <v>0</v>
      </c>
      <c r="CZ110" s="675">
        <v>0</v>
      </c>
      <c r="DA110" s="675">
        <v>0</v>
      </c>
      <c r="DB110" s="675">
        <v>3716166</v>
      </c>
      <c r="DC110" s="675">
        <v>0</v>
      </c>
      <c r="DD110" s="675">
        <v>0</v>
      </c>
      <c r="DE110" s="675">
        <v>686298</v>
      </c>
      <c r="DF110" s="675">
        <v>686298</v>
      </c>
      <c r="DG110" s="675">
        <v>111.41300000000001</v>
      </c>
      <c r="DH110" s="675">
        <v>0</v>
      </c>
      <c r="DI110" s="675">
        <v>0</v>
      </c>
      <c r="DJ110" s="675">
        <v>0</v>
      </c>
      <c r="DK110" s="675">
        <v>2430</v>
      </c>
      <c r="DL110" s="675">
        <v>0</v>
      </c>
      <c r="DM110" s="675">
        <v>390491</v>
      </c>
      <c r="DN110" s="675">
        <v>1222</v>
      </c>
      <c r="DO110" s="675">
        <v>0</v>
      </c>
      <c r="DP110" s="675">
        <v>0</v>
      </c>
      <c r="DQ110" s="675">
        <v>0</v>
      </c>
      <c r="DR110" s="675">
        <v>0</v>
      </c>
      <c r="DS110" s="675">
        <v>0</v>
      </c>
      <c r="DT110" s="675">
        <v>0</v>
      </c>
      <c r="DU110" s="675">
        <v>0</v>
      </c>
      <c r="DV110" s="675">
        <v>0</v>
      </c>
      <c r="DW110" s="675">
        <v>0</v>
      </c>
      <c r="DX110" s="675">
        <v>0</v>
      </c>
      <c r="DY110" s="675">
        <v>0</v>
      </c>
      <c r="DZ110" s="675">
        <v>0</v>
      </c>
      <c r="EA110" s="675">
        <v>0</v>
      </c>
      <c r="EB110" s="675">
        <v>0</v>
      </c>
      <c r="EC110" s="675">
        <v>2.17</v>
      </c>
      <c r="ED110" s="675">
        <v>15372</v>
      </c>
      <c r="EE110" s="675">
        <v>0</v>
      </c>
      <c r="EF110" s="675">
        <v>0</v>
      </c>
      <c r="EG110" s="675">
        <v>0</v>
      </c>
      <c r="EH110" s="675">
        <v>310580</v>
      </c>
      <c r="EI110" s="675">
        <v>0</v>
      </c>
      <c r="EJ110" s="675">
        <v>0</v>
      </c>
      <c r="EK110" s="675">
        <v>14.238000000000001</v>
      </c>
      <c r="EL110" s="675">
        <v>0</v>
      </c>
      <c r="EM110" s="675">
        <v>0</v>
      </c>
      <c r="EN110" s="675">
        <v>1.5410000000000001</v>
      </c>
      <c r="EO110" s="675">
        <v>0</v>
      </c>
      <c r="EP110" s="675">
        <v>0</v>
      </c>
      <c r="EQ110" s="675">
        <v>15.779</v>
      </c>
      <c r="ER110" s="675">
        <v>0</v>
      </c>
      <c r="ES110" s="675">
        <v>50.419000000000004</v>
      </c>
      <c r="ET110" s="675">
        <v>0</v>
      </c>
      <c r="EU110" s="675">
        <v>0</v>
      </c>
      <c r="EV110" s="675">
        <v>0</v>
      </c>
      <c r="EW110" s="675">
        <v>0</v>
      </c>
      <c r="EX110" s="675">
        <v>0</v>
      </c>
      <c r="EY110" s="675">
        <v>0</v>
      </c>
      <c r="EZ110" s="675">
        <v>5370384</v>
      </c>
      <c r="FA110" s="675">
        <v>0</v>
      </c>
      <c r="FB110" s="675">
        <v>5649890</v>
      </c>
      <c r="FC110" s="675">
        <v>0</v>
      </c>
      <c r="FD110" s="675">
        <v>0</v>
      </c>
      <c r="FE110" s="675">
        <v>574842</v>
      </c>
      <c r="FF110" s="675">
        <v>118893</v>
      </c>
      <c r="FG110" s="675">
        <v>6.3574999999999993E-2</v>
      </c>
      <c r="FH110" s="675">
        <v>2.6297999999999998E-2</v>
      </c>
      <c r="FI110" s="675">
        <v>0</v>
      </c>
      <c r="FJ110" s="675">
        <v>0</v>
      </c>
      <c r="FK110" s="675">
        <v>917.40600000000006</v>
      </c>
      <c r="FL110" s="675">
        <v>6454807</v>
      </c>
      <c r="FM110" s="675">
        <v>0</v>
      </c>
      <c r="FN110" s="675">
        <v>0</v>
      </c>
      <c r="FO110" s="675">
        <v>0</v>
      </c>
      <c r="FP110" s="675">
        <v>0</v>
      </c>
      <c r="FQ110" s="675">
        <v>0</v>
      </c>
      <c r="FR110" s="675">
        <v>0</v>
      </c>
      <c r="FS110" s="675">
        <v>0</v>
      </c>
      <c r="FT110" s="675">
        <v>0</v>
      </c>
      <c r="FU110" s="675">
        <v>0</v>
      </c>
      <c r="FV110" s="675">
        <v>0</v>
      </c>
      <c r="FW110" s="675">
        <v>0</v>
      </c>
      <c r="FX110" s="675">
        <v>0</v>
      </c>
      <c r="FY110" s="675">
        <v>0</v>
      </c>
      <c r="FZ110" s="675">
        <v>0</v>
      </c>
      <c r="GA110" s="675">
        <v>0</v>
      </c>
      <c r="GB110" s="675">
        <v>0</v>
      </c>
      <c r="GC110" s="675">
        <v>0</v>
      </c>
      <c r="GD110" s="675">
        <v>0</v>
      </c>
      <c r="GE110" s="675">
        <v>0</v>
      </c>
      <c r="GF110" s="675">
        <v>0</v>
      </c>
      <c r="GG110" s="675">
        <v>0</v>
      </c>
      <c r="GH110" s="675">
        <v>0</v>
      </c>
      <c r="GI110" s="675">
        <v>0</v>
      </c>
      <c r="GJ110" s="675">
        <v>0</v>
      </c>
      <c r="GK110" s="675">
        <v>0</v>
      </c>
      <c r="GL110" s="675">
        <v>0</v>
      </c>
      <c r="GM110" s="675">
        <v>0</v>
      </c>
      <c r="GN110" s="675">
        <v>0</v>
      </c>
      <c r="GO110" s="675">
        <v>0</v>
      </c>
      <c r="GP110" s="675">
        <v>0</v>
      </c>
      <c r="GQ110" s="675">
        <v>0</v>
      </c>
      <c r="GR110" s="675">
        <v>0</v>
      </c>
      <c r="GS110" s="675">
        <v>0</v>
      </c>
      <c r="GT110" s="675">
        <v>0</v>
      </c>
      <c r="GU110" s="675">
        <v>0</v>
      </c>
      <c r="GV110" s="675">
        <v>0</v>
      </c>
      <c r="GW110" s="675">
        <v>0</v>
      </c>
      <c r="GX110" s="675">
        <v>0</v>
      </c>
      <c r="GY110" s="675">
        <v>0</v>
      </c>
      <c r="GZ110" s="675">
        <v>0</v>
      </c>
      <c r="HA110" s="675">
        <v>0</v>
      </c>
      <c r="HB110" s="675">
        <v>308877260</v>
      </c>
      <c r="HC110" s="675">
        <v>4.4138999999999998E-2</v>
      </c>
      <c r="HD110" s="675">
        <v>111182</v>
      </c>
      <c r="HE110" s="675">
        <v>0</v>
      </c>
      <c r="HF110" s="675">
        <v>677189</v>
      </c>
      <c r="HG110" s="675">
        <v>9240</v>
      </c>
      <c r="HH110" s="675">
        <v>108083</v>
      </c>
      <c r="HI110" s="675">
        <v>0</v>
      </c>
      <c r="HJ110" s="675">
        <v>6121</v>
      </c>
      <c r="HK110" s="675">
        <v>0</v>
      </c>
      <c r="HL110" s="675">
        <v>0</v>
      </c>
      <c r="HM110" s="675">
        <v>0</v>
      </c>
      <c r="HN110" s="675">
        <v>0</v>
      </c>
      <c r="HO110" s="675">
        <v>0</v>
      </c>
      <c r="HP110" s="675">
        <v>0</v>
      </c>
      <c r="HQ110" s="675">
        <v>0</v>
      </c>
      <c r="HR110" s="675">
        <v>0</v>
      </c>
      <c r="HS110" s="675">
        <v>5369079</v>
      </c>
      <c r="HT110" s="675">
        <v>118893</v>
      </c>
      <c r="HU110" s="675">
        <v>0</v>
      </c>
      <c r="HV110" s="675">
        <v>0</v>
      </c>
      <c r="HW110" s="675">
        <v>0</v>
      </c>
      <c r="HX110" s="675">
        <v>64</v>
      </c>
      <c r="HY110" s="675">
        <v>130</v>
      </c>
      <c r="HZ110" s="675">
        <v>99</v>
      </c>
      <c r="IA110" s="675">
        <v>77</v>
      </c>
      <c r="IB110" s="675">
        <v>77</v>
      </c>
      <c r="IC110" s="675">
        <v>447</v>
      </c>
      <c r="ID110" s="675">
        <v>0</v>
      </c>
      <c r="IE110" s="675">
        <v>0</v>
      </c>
      <c r="IF110" s="675">
        <v>0</v>
      </c>
      <c r="IG110" s="675">
        <v>15</v>
      </c>
      <c r="IH110" s="675">
        <v>175.46</v>
      </c>
      <c r="II110" s="675">
        <v>0</v>
      </c>
      <c r="IJ110" s="675">
        <v>70.534999999999997</v>
      </c>
      <c r="IK110" s="675">
        <v>0</v>
      </c>
      <c r="IL110" s="675">
        <v>0</v>
      </c>
      <c r="IM110" s="675">
        <v>0</v>
      </c>
      <c r="IN110" s="675">
        <v>0</v>
      </c>
      <c r="IO110" s="675">
        <v>0</v>
      </c>
      <c r="IP110" s="675">
        <v>0</v>
      </c>
      <c r="IQ110" s="675">
        <v>70.534999999999997</v>
      </c>
      <c r="IR110" s="675">
        <v>43449</v>
      </c>
      <c r="IS110" s="675">
        <v>0</v>
      </c>
      <c r="IT110" s="675">
        <v>0</v>
      </c>
      <c r="IU110" s="675">
        <v>0</v>
      </c>
      <c r="IV110" s="675">
        <v>0</v>
      </c>
      <c r="IW110" s="675">
        <v>6160</v>
      </c>
      <c r="IX110" s="675">
        <v>0</v>
      </c>
      <c r="IY110" s="675">
        <v>0</v>
      </c>
      <c r="IZ110" s="675">
        <v>0</v>
      </c>
      <c r="JA110" s="675">
        <v>0</v>
      </c>
      <c r="JB110" s="675">
        <v>0</v>
      </c>
      <c r="JC110" s="675">
        <v>0</v>
      </c>
      <c r="JD110" s="675">
        <v>0</v>
      </c>
      <c r="JE110" s="675">
        <v>0</v>
      </c>
      <c r="JF110" s="675">
        <v>0</v>
      </c>
      <c r="JG110" s="675">
        <v>0</v>
      </c>
      <c r="JH110" s="675">
        <v>0</v>
      </c>
      <c r="JI110" s="675">
        <v>0</v>
      </c>
      <c r="JJ110" s="675">
        <v>0</v>
      </c>
      <c r="JK110" s="675">
        <v>0</v>
      </c>
      <c r="JL110" s="675">
        <v>0</v>
      </c>
      <c r="JM110" s="675">
        <v>0</v>
      </c>
      <c r="JN110" s="675">
        <v>32469</v>
      </c>
      <c r="JO110" s="675">
        <v>0</v>
      </c>
      <c r="JP110" s="675">
        <v>0</v>
      </c>
      <c r="JQ110" s="675">
        <v>0</v>
      </c>
      <c r="JR110" s="675">
        <v>0</v>
      </c>
      <c r="JS110" s="675">
        <v>0</v>
      </c>
      <c r="JT110" s="675">
        <v>0</v>
      </c>
      <c r="JU110" s="675">
        <v>12936</v>
      </c>
      <c r="JV110" s="675">
        <v>0</v>
      </c>
      <c r="JW110" s="675">
        <v>0</v>
      </c>
      <c r="JX110" s="675">
        <v>0</v>
      </c>
      <c r="JY110" s="675">
        <v>0</v>
      </c>
      <c r="JZ110" s="675">
        <v>0</v>
      </c>
      <c r="KA110" s="675">
        <v>0</v>
      </c>
      <c r="KB110" s="675">
        <v>0</v>
      </c>
      <c r="KC110" s="675">
        <v>0</v>
      </c>
      <c r="KD110" s="675">
        <v>12936</v>
      </c>
      <c r="KE110" s="675">
        <v>7263</v>
      </c>
      <c r="KF110" s="675">
        <v>0</v>
      </c>
      <c r="KG110" s="675">
        <v>0</v>
      </c>
      <c r="KH110" s="675">
        <v>0</v>
      </c>
      <c r="KI110" s="675">
        <v>0</v>
      </c>
    </row>
    <row r="111" spans="1:295" ht="12.5" x14ac:dyDescent="0.25">
      <c r="A111" s="675">
        <v>35795</v>
      </c>
      <c r="B111" s="675">
        <v>57816</v>
      </c>
      <c r="C111" s="675">
        <v>7</v>
      </c>
      <c r="D111" s="675">
        <v>2022</v>
      </c>
      <c r="E111" s="675">
        <v>6160</v>
      </c>
      <c r="F111" s="675">
        <v>0</v>
      </c>
      <c r="G111" s="675">
        <v>841.48200000000008</v>
      </c>
      <c r="H111" s="675">
        <v>829.70100000000002</v>
      </c>
      <c r="I111" s="675">
        <v>829.70100000000002</v>
      </c>
      <c r="J111" s="675">
        <v>841.48200000000008</v>
      </c>
      <c r="K111" s="675">
        <v>0</v>
      </c>
      <c r="L111" s="675">
        <v>6160</v>
      </c>
      <c r="M111" s="675">
        <v>0</v>
      </c>
      <c r="N111" s="675">
        <v>0</v>
      </c>
      <c r="O111" s="675">
        <v>0</v>
      </c>
      <c r="P111" s="675">
        <v>1098.76</v>
      </c>
      <c r="Q111" s="675">
        <v>0</v>
      </c>
      <c r="R111" s="675">
        <v>442172</v>
      </c>
      <c r="S111" s="675">
        <v>402.428</v>
      </c>
      <c r="T111" s="675">
        <v>0</v>
      </c>
      <c r="U111" s="675">
        <v>235134</v>
      </c>
      <c r="V111" s="675">
        <v>2.6520000000000001</v>
      </c>
      <c r="W111" s="675">
        <v>1634</v>
      </c>
      <c r="X111" s="675">
        <v>1634</v>
      </c>
      <c r="Y111" s="675">
        <v>0</v>
      </c>
      <c r="Z111" s="675">
        <v>0</v>
      </c>
      <c r="AA111" s="675">
        <v>0</v>
      </c>
      <c r="AB111" s="675">
        <v>0</v>
      </c>
      <c r="AC111" s="675">
        <v>0</v>
      </c>
      <c r="AD111" s="675" t="s">
        <v>316</v>
      </c>
      <c r="AE111" s="675">
        <v>0</v>
      </c>
      <c r="AF111" s="675">
        <v>0</v>
      </c>
      <c r="AG111" s="675">
        <v>0</v>
      </c>
      <c r="AH111" s="675">
        <v>0</v>
      </c>
      <c r="AI111" s="675">
        <v>0</v>
      </c>
      <c r="AJ111" s="675">
        <v>6160</v>
      </c>
      <c r="AK111" s="675" t="s">
        <v>671</v>
      </c>
      <c r="AL111" s="675" t="s">
        <v>431</v>
      </c>
      <c r="AM111" s="675">
        <v>0</v>
      </c>
      <c r="AN111" s="675">
        <v>0</v>
      </c>
      <c r="AO111" s="675">
        <v>0</v>
      </c>
      <c r="AP111" s="675">
        <v>0</v>
      </c>
      <c r="AQ111" s="675">
        <v>0</v>
      </c>
      <c r="AR111" s="675">
        <v>0</v>
      </c>
      <c r="AS111" s="675">
        <v>0</v>
      </c>
      <c r="AT111" s="675">
        <v>0</v>
      </c>
      <c r="AU111" s="675">
        <v>0</v>
      </c>
      <c r="AV111" s="675">
        <v>-367989</v>
      </c>
      <c r="AW111" s="675">
        <v>8675824</v>
      </c>
      <c r="AX111" s="675">
        <v>8528409</v>
      </c>
      <c r="AY111" s="675">
        <v>6153539</v>
      </c>
      <c r="AZ111" s="675">
        <v>442172</v>
      </c>
      <c r="BA111" s="675">
        <v>0</v>
      </c>
      <c r="BB111" s="675">
        <v>0</v>
      </c>
      <c r="BC111" s="675">
        <v>0</v>
      </c>
      <c r="BD111" s="675">
        <v>0</v>
      </c>
      <c r="BE111" s="675">
        <v>0</v>
      </c>
      <c r="BF111" s="675">
        <v>7989087</v>
      </c>
      <c r="BG111" s="675">
        <v>0</v>
      </c>
      <c r="BH111" s="675">
        <v>0</v>
      </c>
      <c r="BI111" s="675">
        <v>0</v>
      </c>
      <c r="BJ111" s="675">
        <v>12</v>
      </c>
      <c r="BK111" s="675">
        <v>0</v>
      </c>
      <c r="BL111" s="675">
        <v>0</v>
      </c>
      <c r="BM111" s="675">
        <v>0</v>
      </c>
      <c r="BN111" s="675">
        <v>0</v>
      </c>
      <c r="BO111" s="675">
        <v>0</v>
      </c>
      <c r="BP111" s="675">
        <v>0</v>
      </c>
      <c r="BQ111" s="675">
        <v>642</v>
      </c>
      <c r="BR111" s="675">
        <v>0</v>
      </c>
      <c r="BS111" s="675">
        <v>0</v>
      </c>
      <c r="BT111" s="675">
        <v>0</v>
      </c>
      <c r="BU111" s="675">
        <v>0</v>
      </c>
      <c r="BV111" s="675">
        <v>0</v>
      </c>
      <c r="BW111" s="675">
        <v>0</v>
      </c>
      <c r="BX111" s="675">
        <v>0</v>
      </c>
      <c r="BY111" s="675">
        <v>0</v>
      </c>
      <c r="BZ111" s="675">
        <v>0</v>
      </c>
      <c r="CA111" s="675">
        <v>0</v>
      </c>
      <c r="CB111" s="675">
        <v>0</v>
      </c>
      <c r="CC111" s="675">
        <v>0</v>
      </c>
      <c r="CD111" s="675">
        <v>0</v>
      </c>
      <c r="CE111" s="675">
        <v>0</v>
      </c>
      <c r="CF111" s="675">
        <v>0</v>
      </c>
      <c r="CG111" s="675">
        <v>0</v>
      </c>
      <c r="CH111" s="675">
        <v>148568</v>
      </c>
      <c r="CI111" s="675">
        <v>0</v>
      </c>
      <c r="CJ111" s="675">
        <v>4</v>
      </c>
      <c r="CK111" s="675">
        <v>0</v>
      </c>
      <c r="CL111" s="675">
        <v>0</v>
      </c>
      <c r="CM111" s="675">
        <v>0</v>
      </c>
      <c r="CN111" s="675">
        <v>0</v>
      </c>
      <c r="CO111" s="675">
        <v>1</v>
      </c>
      <c r="CP111" s="675">
        <v>0</v>
      </c>
      <c r="CQ111" s="675">
        <v>0</v>
      </c>
      <c r="CR111" s="675">
        <v>1026.444</v>
      </c>
      <c r="CS111" s="675">
        <v>0</v>
      </c>
      <c r="CT111" s="675">
        <v>0</v>
      </c>
      <c r="CU111" s="675">
        <v>0</v>
      </c>
      <c r="CV111" s="675">
        <v>0</v>
      </c>
      <c r="CW111" s="675">
        <v>0</v>
      </c>
      <c r="CX111" s="675">
        <v>0</v>
      </c>
      <c r="CY111" s="675">
        <v>0</v>
      </c>
      <c r="CZ111" s="675">
        <v>0</v>
      </c>
      <c r="DA111" s="675">
        <v>0</v>
      </c>
      <c r="DB111" s="675">
        <v>4946296</v>
      </c>
      <c r="DC111" s="675">
        <v>0</v>
      </c>
      <c r="DD111" s="675">
        <v>0</v>
      </c>
      <c r="DE111" s="675">
        <v>1471617</v>
      </c>
      <c r="DF111" s="675">
        <v>1471617</v>
      </c>
      <c r="DG111" s="675">
        <v>238.9</v>
      </c>
      <c r="DH111" s="675">
        <v>0</v>
      </c>
      <c r="DI111" s="675">
        <v>0</v>
      </c>
      <c r="DJ111" s="675">
        <v>0</v>
      </c>
      <c r="DK111" s="675">
        <v>1898</v>
      </c>
      <c r="DL111" s="675">
        <v>0</v>
      </c>
      <c r="DM111" s="675">
        <v>471123</v>
      </c>
      <c r="DN111" s="675">
        <v>1153</v>
      </c>
      <c r="DO111" s="675">
        <v>0</v>
      </c>
      <c r="DP111" s="675">
        <v>0</v>
      </c>
      <c r="DQ111" s="675">
        <v>0</v>
      </c>
      <c r="DR111" s="675">
        <v>0</v>
      </c>
      <c r="DS111" s="675">
        <v>0</v>
      </c>
      <c r="DT111" s="675">
        <v>0</v>
      </c>
      <c r="DU111" s="675">
        <v>0</v>
      </c>
      <c r="DV111" s="675">
        <v>0</v>
      </c>
      <c r="DW111" s="675">
        <v>0</v>
      </c>
      <c r="DX111" s="675">
        <v>0</v>
      </c>
      <c r="DY111" s="675">
        <v>0</v>
      </c>
      <c r="DZ111" s="675">
        <v>0</v>
      </c>
      <c r="EA111" s="675">
        <v>0</v>
      </c>
      <c r="EB111" s="675">
        <v>0</v>
      </c>
      <c r="EC111" s="675">
        <v>10.663</v>
      </c>
      <c r="ED111" s="675">
        <v>75536</v>
      </c>
      <c r="EE111" s="675">
        <v>0</v>
      </c>
      <c r="EF111" s="675">
        <v>0</v>
      </c>
      <c r="EG111" s="675">
        <v>0</v>
      </c>
      <c r="EH111" s="675">
        <v>232102</v>
      </c>
      <c r="EI111" s="675">
        <v>0</v>
      </c>
      <c r="EJ111" s="675">
        <v>0</v>
      </c>
      <c r="EK111" s="675">
        <v>10.222000000000001</v>
      </c>
      <c r="EL111" s="675">
        <v>0</v>
      </c>
      <c r="EM111" s="675">
        <v>0.39100000000000001</v>
      </c>
      <c r="EN111" s="675">
        <v>1.1680000000000001</v>
      </c>
      <c r="EO111" s="675">
        <v>0</v>
      </c>
      <c r="EP111" s="675">
        <v>0</v>
      </c>
      <c r="EQ111" s="675">
        <v>11.781000000000001</v>
      </c>
      <c r="ER111" s="675">
        <v>0</v>
      </c>
      <c r="ES111" s="675">
        <v>37.679000000000002</v>
      </c>
      <c r="ET111" s="675">
        <v>0</v>
      </c>
      <c r="EU111" s="675">
        <v>0</v>
      </c>
      <c r="EV111" s="675">
        <v>0</v>
      </c>
      <c r="EW111" s="675">
        <v>0</v>
      </c>
      <c r="EX111" s="675">
        <v>0</v>
      </c>
      <c r="EY111" s="675">
        <v>0</v>
      </c>
      <c r="EZ111" s="675">
        <v>7547677</v>
      </c>
      <c r="FA111" s="675">
        <v>0</v>
      </c>
      <c r="FB111" s="675">
        <v>7988696</v>
      </c>
      <c r="FC111" s="675">
        <v>0</v>
      </c>
      <c r="FD111" s="675">
        <v>0</v>
      </c>
      <c r="FE111" s="675">
        <v>812654</v>
      </c>
      <c r="FF111" s="675">
        <v>168078</v>
      </c>
      <c r="FG111" s="675">
        <v>6.3574999999999993E-2</v>
      </c>
      <c r="FH111" s="675">
        <v>2.6297999999999998E-2</v>
      </c>
      <c r="FI111" s="675">
        <v>0</v>
      </c>
      <c r="FJ111" s="675">
        <v>0</v>
      </c>
      <c r="FK111" s="675">
        <v>1296.9360000000001</v>
      </c>
      <c r="FL111" s="675">
        <v>9117996</v>
      </c>
      <c r="FM111" s="675">
        <v>0</v>
      </c>
      <c r="FN111" s="675">
        <v>0</v>
      </c>
      <c r="FO111" s="675">
        <v>762</v>
      </c>
      <c r="FP111" s="675">
        <v>0</v>
      </c>
      <c r="FQ111" s="675">
        <v>762</v>
      </c>
      <c r="FR111" s="675">
        <v>762</v>
      </c>
      <c r="FS111" s="675">
        <v>0</v>
      </c>
      <c r="FT111" s="675">
        <v>0</v>
      </c>
      <c r="FU111" s="675">
        <v>0</v>
      </c>
      <c r="FV111" s="675">
        <v>0</v>
      </c>
      <c r="FW111" s="675">
        <v>0</v>
      </c>
      <c r="FX111" s="675">
        <v>0</v>
      </c>
      <c r="FY111" s="675">
        <v>0</v>
      </c>
      <c r="FZ111" s="675">
        <v>0</v>
      </c>
      <c r="GA111" s="675">
        <v>0</v>
      </c>
      <c r="GB111" s="675">
        <v>0</v>
      </c>
      <c r="GC111" s="675">
        <v>0</v>
      </c>
      <c r="GD111" s="675">
        <v>0</v>
      </c>
      <c r="GE111" s="675">
        <v>0</v>
      </c>
      <c r="GF111" s="675">
        <v>0</v>
      </c>
      <c r="GG111" s="675">
        <v>0</v>
      </c>
      <c r="GH111" s="675">
        <v>0</v>
      </c>
      <c r="GI111" s="675">
        <v>0</v>
      </c>
      <c r="GJ111" s="675">
        <v>0</v>
      </c>
      <c r="GK111" s="675">
        <v>0</v>
      </c>
      <c r="GL111" s="675">
        <v>0</v>
      </c>
      <c r="GM111" s="675">
        <v>0</v>
      </c>
      <c r="GN111" s="675">
        <v>0</v>
      </c>
      <c r="GO111" s="675">
        <v>0</v>
      </c>
      <c r="GP111" s="675">
        <v>0</v>
      </c>
      <c r="GQ111" s="675">
        <v>0</v>
      </c>
      <c r="GR111" s="675">
        <v>0</v>
      </c>
      <c r="GS111" s="675">
        <v>0</v>
      </c>
      <c r="GT111" s="675">
        <v>0</v>
      </c>
      <c r="GU111" s="675">
        <v>0</v>
      </c>
      <c r="GV111" s="675">
        <v>0</v>
      </c>
      <c r="GW111" s="675">
        <v>0</v>
      </c>
      <c r="GX111" s="675">
        <v>0</v>
      </c>
      <c r="GY111" s="675">
        <v>0</v>
      </c>
      <c r="GZ111" s="675">
        <v>0</v>
      </c>
      <c r="HA111" s="675">
        <v>0</v>
      </c>
      <c r="HB111" s="675">
        <v>308877260</v>
      </c>
      <c r="HC111" s="675">
        <v>4.4138999999999998E-2</v>
      </c>
      <c r="HD111" s="675">
        <v>148568</v>
      </c>
      <c r="HE111" s="675">
        <v>0</v>
      </c>
      <c r="HF111" s="675">
        <v>915160</v>
      </c>
      <c r="HG111" s="675">
        <v>14757</v>
      </c>
      <c r="HH111" s="675">
        <v>159168</v>
      </c>
      <c r="HI111" s="675">
        <v>0</v>
      </c>
      <c r="HJ111" s="675">
        <v>8179</v>
      </c>
      <c r="HK111" s="675">
        <v>0</v>
      </c>
      <c r="HL111" s="675">
        <v>0</v>
      </c>
      <c r="HM111" s="675">
        <v>0</v>
      </c>
      <c r="HN111" s="675">
        <v>0</v>
      </c>
      <c r="HO111" s="675">
        <v>0</v>
      </c>
      <c r="HP111" s="675">
        <v>0</v>
      </c>
      <c r="HQ111" s="675">
        <v>0</v>
      </c>
      <c r="HR111" s="675">
        <v>0</v>
      </c>
      <c r="HS111" s="675">
        <v>7546524</v>
      </c>
      <c r="HT111" s="675">
        <v>168078</v>
      </c>
      <c r="HU111" s="675">
        <v>0</v>
      </c>
      <c r="HV111" s="675">
        <v>0</v>
      </c>
      <c r="HW111" s="675">
        <v>0</v>
      </c>
      <c r="HX111" s="675">
        <v>73</v>
      </c>
      <c r="HY111" s="675">
        <v>132</v>
      </c>
      <c r="HZ111" s="675">
        <v>79</v>
      </c>
      <c r="IA111" s="675">
        <v>194</v>
      </c>
      <c r="IB111" s="675">
        <v>438</v>
      </c>
      <c r="IC111" s="675">
        <v>916</v>
      </c>
      <c r="ID111" s="675">
        <v>0</v>
      </c>
      <c r="IE111" s="675">
        <v>0</v>
      </c>
      <c r="IF111" s="675">
        <v>0</v>
      </c>
      <c r="IG111" s="675">
        <v>23.957000000000001</v>
      </c>
      <c r="IH111" s="675">
        <v>258.39</v>
      </c>
      <c r="II111" s="675">
        <v>0</v>
      </c>
      <c r="IJ111" s="675">
        <v>2.6520000000000001</v>
      </c>
      <c r="IK111" s="675">
        <v>0</v>
      </c>
      <c r="IL111" s="675">
        <v>0</v>
      </c>
      <c r="IM111" s="675">
        <v>0</v>
      </c>
      <c r="IN111" s="675">
        <v>0</v>
      </c>
      <c r="IO111" s="675">
        <v>0</v>
      </c>
      <c r="IP111" s="675">
        <v>0</v>
      </c>
      <c r="IQ111" s="675">
        <v>2.6520000000000001</v>
      </c>
      <c r="IR111" s="675">
        <v>1634</v>
      </c>
      <c r="IS111" s="675">
        <v>0</v>
      </c>
      <c r="IT111" s="675">
        <v>0</v>
      </c>
      <c r="IU111" s="675">
        <v>0</v>
      </c>
      <c r="IV111" s="675">
        <v>0</v>
      </c>
      <c r="IW111" s="675">
        <v>6160</v>
      </c>
      <c r="IX111" s="675">
        <v>0</v>
      </c>
      <c r="IY111" s="675">
        <v>0</v>
      </c>
      <c r="IZ111" s="675">
        <v>0</v>
      </c>
      <c r="JA111" s="675">
        <v>0</v>
      </c>
      <c r="JB111" s="675">
        <v>0</v>
      </c>
      <c r="JC111" s="675">
        <v>0</v>
      </c>
      <c r="JD111" s="675">
        <v>0</v>
      </c>
      <c r="JE111" s="675">
        <v>0</v>
      </c>
      <c r="JF111" s="675">
        <v>0</v>
      </c>
      <c r="JG111" s="675">
        <v>0</v>
      </c>
      <c r="JH111" s="675">
        <v>0</v>
      </c>
      <c r="JI111" s="675">
        <v>0</v>
      </c>
      <c r="JJ111" s="675">
        <v>0</v>
      </c>
      <c r="JK111" s="675">
        <v>0</v>
      </c>
      <c r="JL111" s="675">
        <v>0</v>
      </c>
      <c r="JM111" s="675">
        <v>0</v>
      </c>
      <c r="JN111" s="675">
        <v>32469</v>
      </c>
      <c r="JO111" s="675">
        <v>0</v>
      </c>
      <c r="JP111" s="675">
        <v>0</v>
      </c>
      <c r="JQ111" s="675">
        <v>0</v>
      </c>
      <c r="JR111" s="675">
        <v>0</v>
      </c>
      <c r="JS111" s="675">
        <v>0</v>
      </c>
      <c r="JT111" s="675">
        <v>0</v>
      </c>
      <c r="JU111" s="675">
        <v>0</v>
      </c>
      <c r="JV111" s="675">
        <v>0</v>
      </c>
      <c r="JW111" s="675">
        <v>0</v>
      </c>
      <c r="JX111" s="675">
        <v>0</v>
      </c>
      <c r="JY111" s="675">
        <v>0</v>
      </c>
      <c r="JZ111" s="675">
        <v>0</v>
      </c>
      <c r="KA111" s="675">
        <v>0</v>
      </c>
      <c r="KB111" s="675">
        <v>0</v>
      </c>
      <c r="KC111" s="675">
        <v>0</v>
      </c>
      <c r="KD111" s="675">
        <v>0</v>
      </c>
      <c r="KE111" s="675">
        <v>7263</v>
      </c>
      <c r="KF111" s="675">
        <v>0</v>
      </c>
      <c r="KG111" s="675">
        <v>0</v>
      </c>
      <c r="KH111" s="675">
        <v>0</v>
      </c>
      <c r="KI111" s="675">
        <v>0</v>
      </c>
    </row>
    <row r="112" spans="1:295" ht="12.5" x14ac:dyDescent="0.25">
      <c r="A112" s="675">
        <v>35795</v>
      </c>
      <c r="B112" s="675">
        <v>227816</v>
      </c>
      <c r="C112" s="675">
        <v>7</v>
      </c>
      <c r="D112" s="675">
        <v>2022</v>
      </c>
      <c r="E112" s="675">
        <v>6160</v>
      </c>
      <c r="F112" s="675">
        <v>0</v>
      </c>
      <c r="G112" s="675">
        <v>3864.6770000000001</v>
      </c>
      <c r="H112" s="675">
        <v>3609.8020000000001</v>
      </c>
      <c r="I112" s="675">
        <v>3609.8020000000001</v>
      </c>
      <c r="J112" s="675">
        <v>3864.6770000000001</v>
      </c>
      <c r="K112" s="675">
        <v>0</v>
      </c>
      <c r="L112" s="675">
        <v>6160</v>
      </c>
      <c r="M112" s="675">
        <v>0</v>
      </c>
      <c r="N112" s="675">
        <v>0</v>
      </c>
      <c r="O112" s="675">
        <v>0</v>
      </c>
      <c r="P112" s="675">
        <v>4158.2380000000003</v>
      </c>
      <c r="Q112" s="675">
        <v>0</v>
      </c>
      <c r="R112" s="675">
        <v>1673391</v>
      </c>
      <c r="S112" s="675">
        <v>402.428</v>
      </c>
      <c r="T112" s="675">
        <v>0</v>
      </c>
      <c r="U112" s="675">
        <v>889868</v>
      </c>
      <c r="V112" s="675">
        <v>1740.982</v>
      </c>
      <c r="W112" s="675">
        <v>1072440</v>
      </c>
      <c r="X112" s="675">
        <v>1072440</v>
      </c>
      <c r="Y112" s="675">
        <v>0</v>
      </c>
      <c r="Z112" s="675">
        <v>0</v>
      </c>
      <c r="AA112" s="675">
        <v>0</v>
      </c>
      <c r="AB112" s="675">
        <v>0</v>
      </c>
      <c r="AC112" s="675">
        <v>0</v>
      </c>
      <c r="AD112" s="675" t="s">
        <v>316</v>
      </c>
      <c r="AE112" s="675">
        <v>0</v>
      </c>
      <c r="AF112" s="675">
        <v>0</v>
      </c>
      <c r="AG112" s="675">
        <v>0</v>
      </c>
      <c r="AH112" s="675">
        <v>0</v>
      </c>
      <c r="AI112" s="675">
        <v>0</v>
      </c>
      <c r="AJ112" s="675">
        <v>6160</v>
      </c>
      <c r="AK112" s="675" t="s">
        <v>671</v>
      </c>
      <c r="AL112" s="675" t="s">
        <v>902</v>
      </c>
      <c r="AM112" s="675">
        <v>0</v>
      </c>
      <c r="AN112" s="675">
        <v>0</v>
      </c>
      <c r="AO112" s="675">
        <v>0</v>
      </c>
      <c r="AP112" s="675">
        <v>0</v>
      </c>
      <c r="AQ112" s="675">
        <v>0</v>
      </c>
      <c r="AR112" s="675">
        <v>0</v>
      </c>
      <c r="AS112" s="675">
        <v>0</v>
      </c>
      <c r="AT112" s="675">
        <v>0</v>
      </c>
      <c r="AU112" s="675">
        <v>0</v>
      </c>
      <c r="AV112" s="675">
        <v>-221421</v>
      </c>
      <c r="AW112" s="675">
        <v>40482458</v>
      </c>
      <c r="AX112" s="675">
        <v>39807913</v>
      </c>
      <c r="AY112" s="675">
        <v>27068878</v>
      </c>
      <c r="AZ112" s="675">
        <v>1673391</v>
      </c>
      <c r="BA112" s="675">
        <v>0</v>
      </c>
      <c r="BB112" s="675">
        <v>81928</v>
      </c>
      <c r="BC112" s="675">
        <v>81398</v>
      </c>
      <c r="BD112" s="675">
        <v>190</v>
      </c>
      <c r="BE112" s="675">
        <v>530</v>
      </c>
      <c r="BF112" s="675">
        <v>36936060</v>
      </c>
      <c r="BG112" s="675">
        <v>0</v>
      </c>
      <c r="BH112" s="675">
        <v>0</v>
      </c>
      <c r="BI112" s="675">
        <v>0</v>
      </c>
      <c r="BJ112" s="675">
        <v>12</v>
      </c>
      <c r="BK112" s="675">
        <v>0</v>
      </c>
      <c r="BL112" s="675">
        <v>0</v>
      </c>
      <c r="BM112" s="675">
        <v>0</v>
      </c>
      <c r="BN112" s="675">
        <v>0</v>
      </c>
      <c r="BO112" s="675">
        <v>0</v>
      </c>
      <c r="BP112" s="675">
        <v>0</v>
      </c>
      <c r="BQ112" s="675">
        <v>214</v>
      </c>
      <c r="BR112" s="675">
        <v>0</v>
      </c>
      <c r="BS112" s="675">
        <v>0</v>
      </c>
      <c r="BT112" s="675">
        <v>0</v>
      </c>
      <c r="BU112" s="675">
        <v>0</v>
      </c>
      <c r="BV112" s="675">
        <v>0</v>
      </c>
      <c r="BW112" s="675">
        <v>0</v>
      </c>
      <c r="BX112" s="675">
        <v>0</v>
      </c>
      <c r="BY112" s="675">
        <v>0</v>
      </c>
      <c r="BZ112" s="675">
        <v>0</v>
      </c>
      <c r="CA112" s="675">
        <v>0</v>
      </c>
      <c r="CB112" s="675">
        <v>0</v>
      </c>
      <c r="CC112" s="675">
        <v>0</v>
      </c>
      <c r="CD112" s="675">
        <v>0</v>
      </c>
      <c r="CE112" s="675">
        <v>0</v>
      </c>
      <c r="CF112" s="675">
        <v>0</v>
      </c>
      <c r="CG112" s="675">
        <v>0</v>
      </c>
      <c r="CH112" s="675">
        <v>682330</v>
      </c>
      <c r="CI112" s="675">
        <v>0</v>
      </c>
      <c r="CJ112" s="675">
        <v>4</v>
      </c>
      <c r="CK112" s="675">
        <v>0</v>
      </c>
      <c r="CL112" s="675">
        <v>0</v>
      </c>
      <c r="CM112" s="675">
        <v>0</v>
      </c>
      <c r="CN112" s="675">
        <v>0</v>
      </c>
      <c r="CO112" s="675">
        <v>1</v>
      </c>
      <c r="CP112" s="675">
        <v>0</v>
      </c>
      <c r="CQ112" s="675">
        <v>0</v>
      </c>
      <c r="CR112" s="675">
        <v>4199.0839999999998</v>
      </c>
      <c r="CS112" s="675">
        <v>0</v>
      </c>
      <c r="CT112" s="675">
        <v>0</v>
      </c>
      <c r="CU112" s="675">
        <v>0</v>
      </c>
      <c r="CV112" s="675">
        <v>0</v>
      </c>
      <c r="CW112" s="675">
        <v>0</v>
      </c>
      <c r="CX112" s="675">
        <v>0</v>
      </c>
      <c r="CY112" s="675">
        <v>0</v>
      </c>
      <c r="CZ112" s="675">
        <v>0</v>
      </c>
      <c r="DA112" s="675">
        <v>0</v>
      </c>
      <c r="DB112" s="675">
        <v>21924544</v>
      </c>
      <c r="DC112" s="675">
        <v>0</v>
      </c>
      <c r="DD112" s="675">
        <v>0</v>
      </c>
      <c r="DE112" s="675">
        <v>4319911</v>
      </c>
      <c r="DF112" s="675">
        <v>4319911</v>
      </c>
      <c r="DG112" s="675">
        <v>701.28800000000001</v>
      </c>
      <c r="DH112" s="675">
        <v>0</v>
      </c>
      <c r="DI112" s="675">
        <v>0</v>
      </c>
      <c r="DJ112" s="675">
        <v>0</v>
      </c>
      <c r="DK112" s="675">
        <v>0</v>
      </c>
      <c r="DL112" s="675">
        <v>0</v>
      </c>
      <c r="DM112" s="675">
        <v>2240306</v>
      </c>
      <c r="DN112" s="675">
        <v>7255</v>
      </c>
      <c r="DO112" s="675">
        <v>0</v>
      </c>
      <c r="DP112" s="675">
        <v>0</v>
      </c>
      <c r="DQ112" s="675">
        <v>0</v>
      </c>
      <c r="DR112" s="675">
        <v>0</v>
      </c>
      <c r="DS112" s="675">
        <v>0</v>
      </c>
      <c r="DT112" s="675">
        <v>0</v>
      </c>
      <c r="DU112" s="675">
        <v>0</v>
      </c>
      <c r="DV112" s="675">
        <v>0</v>
      </c>
      <c r="DW112" s="675">
        <v>0</v>
      </c>
      <c r="DX112" s="675">
        <v>0</v>
      </c>
      <c r="DY112" s="675">
        <v>0</v>
      </c>
      <c r="DZ112" s="675">
        <v>0</v>
      </c>
      <c r="EA112" s="675">
        <v>0</v>
      </c>
      <c r="EB112" s="675">
        <v>0</v>
      </c>
      <c r="EC112" s="675">
        <v>68.915000000000006</v>
      </c>
      <c r="ED112" s="675">
        <v>488192</v>
      </c>
      <c r="EE112" s="675">
        <v>0</v>
      </c>
      <c r="EF112" s="675">
        <v>0</v>
      </c>
      <c r="EG112" s="675">
        <v>0</v>
      </c>
      <c r="EH112" s="675">
        <v>1447636</v>
      </c>
      <c r="EI112" s="675">
        <v>0</v>
      </c>
      <c r="EJ112" s="675">
        <v>0</v>
      </c>
      <c r="EK112" s="675">
        <v>58.867000000000004</v>
      </c>
      <c r="EL112" s="675">
        <v>0</v>
      </c>
      <c r="EM112" s="675">
        <v>10.317</v>
      </c>
      <c r="EN112" s="675">
        <v>5.4910000000000005</v>
      </c>
      <c r="EO112" s="675">
        <v>0</v>
      </c>
      <c r="EP112" s="675">
        <v>0</v>
      </c>
      <c r="EQ112" s="675">
        <v>74.674999999999997</v>
      </c>
      <c r="ER112" s="675">
        <v>0</v>
      </c>
      <c r="ES112" s="675">
        <v>235.00700000000001</v>
      </c>
      <c r="ET112" s="675">
        <v>0</v>
      </c>
      <c r="EU112" s="675">
        <v>0</v>
      </c>
      <c r="EV112" s="675">
        <v>0</v>
      </c>
      <c r="EW112" s="675">
        <v>0</v>
      </c>
      <c r="EX112" s="675">
        <v>0</v>
      </c>
      <c r="EY112" s="675">
        <v>0</v>
      </c>
      <c r="EZ112" s="675">
        <v>35273681</v>
      </c>
      <c r="FA112" s="675">
        <v>0</v>
      </c>
      <c r="FB112" s="675">
        <v>36939287</v>
      </c>
      <c r="FC112" s="675">
        <v>0</v>
      </c>
      <c r="FD112" s="675">
        <v>0</v>
      </c>
      <c r="FE112" s="675">
        <v>3757153</v>
      </c>
      <c r="FF112" s="675">
        <v>777079</v>
      </c>
      <c r="FG112" s="675">
        <v>6.3574999999999993E-2</v>
      </c>
      <c r="FH112" s="675">
        <v>2.6297999999999998E-2</v>
      </c>
      <c r="FI112" s="675">
        <v>0</v>
      </c>
      <c r="FJ112" s="675">
        <v>0</v>
      </c>
      <c r="FK112" s="675">
        <v>5996.1410000000005</v>
      </c>
      <c r="FL112" s="675">
        <v>42155849</v>
      </c>
      <c r="FM112" s="675">
        <v>0</v>
      </c>
      <c r="FN112" s="675">
        <v>0</v>
      </c>
      <c r="FO112" s="675">
        <v>0</v>
      </c>
      <c r="FP112" s="675">
        <v>0</v>
      </c>
      <c r="FQ112" s="675">
        <v>0</v>
      </c>
      <c r="FR112" s="675">
        <v>0</v>
      </c>
      <c r="FS112" s="675">
        <v>0</v>
      </c>
      <c r="FT112" s="675">
        <v>0</v>
      </c>
      <c r="FU112" s="675">
        <v>0</v>
      </c>
      <c r="FV112" s="675">
        <v>0</v>
      </c>
      <c r="FW112" s="675">
        <v>0</v>
      </c>
      <c r="FX112" s="675">
        <v>0</v>
      </c>
      <c r="FY112" s="675">
        <v>0</v>
      </c>
      <c r="FZ112" s="675">
        <v>0</v>
      </c>
      <c r="GA112" s="675">
        <v>0</v>
      </c>
      <c r="GB112" s="675">
        <v>1782390</v>
      </c>
      <c r="GC112" s="675">
        <v>1782390</v>
      </c>
      <c r="GD112" s="675">
        <v>180.20000000000002</v>
      </c>
      <c r="GE112" s="675">
        <v>0</v>
      </c>
      <c r="GF112" s="675">
        <v>0</v>
      </c>
      <c r="GG112" s="675">
        <v>0</v>
      </c>
      <c r="GH112" s="675">
        <v>0</v>
      </c>
      <c r="GI112" s="675">
        <v>0</v>
      </c>
      <c r="GJ112" s="675">
        <v>0</v>
      </c>
      <c r="GK112" s="675">
        <v>0</v>
      </c>
      <c r="GL112" s="675">
        <v>0</v>
      </c>
      <c r="GM112" s="675">
        <v>0</v>
      </c>
      <c r="GN112" s="675">
        <v>0</v>
      </c>
      <c r="GO112" s="675">
        <v>0</v>
      </c>
      <c r="GP112" s="675">
        <v>0</v>
      </c>
      <c r="GQ112" s="675">
        <v>0</v>
      </c>
      <c r="GR112" s="675">
        <v>0</v>
      </c>
      <c r="GS112" s="675">
        <v>0</v>
      </c>
      <c r="GT112" s="675">
        <v>0</v>
      </c>
      <c r="GU112" s="675">
        <v>0</v>
      </c>
      <c r="GV112" s="675">
        <v>0</v>
      </c>
      <c r="GW112" s="675">
        <v>0</v>
      </c>
      <c r="GX112" s="675">
        <v>0</v>
      </c>
      <c r="GY112" s="675">
        <v>0</v>
      </c>
      <c r="GZ112" s="675">
        <v>0</v>
      </c>
      <c r="HA112" s="675">
        <v>0</v>
      </c>
      <c r="HB112" s="675">
        <v>308877260</v>
      </c>
      <c r="HC112" s="675">
        <v>4.4138999999999998E-2</v>
      </c>
      <c r="HD112" s="675">
        <v>682330</v>
      </c>
      <c r="HE112" s="675">
        <v>0</v>
      </c>
      <c r="HF112" s="675">
        <v>3981612</v>
      </c>
      <c r="HG112" s="675">
        <v>74536</v>
      </c>
      <c r="HH112" s="675">
        <v>777167</v>
      </c>
      <c r="HI112" s="675">
        <v>0</v>
      </c>
      <c r="HJ112" s="675">
        <v>37565</v>
      </c>
      <c r="HK112" s="675">
        <v>10359</v>
      </c>
      <c r="HL112" s="675">
        <v>653</v>
      </c>
      <c r="HM112" s="675">
        <v>265000</v>
      </c>
      <c r="HN112" s="675">
        <v>272406</v>
      </c>
      <c r="HO112" s="675">
        <v>99000</v>
      </c>
      <c r="HP112" s="675">
        <v>0</v>
      </c>
      <c r="HQ112" s="675">
        <v>0</v>
      </c>
      <c r="HR112" s="675">
        <v>0</v>
      </c>
      <c r="HS112" s="675">
        <v>35265896</v>
      </c>
      <c r="HT112" s="675">
        <v>777079</v>
      </c>
      <c r="HU112" s="675">
        <v>0</v>
      </c>
      <c r="HV112" s="675">
        <v>0</v>
      </c>
      <c r="HW112" s="675">
        <v>0</v>
      </c>
      <c r="HX112" s="675">
        <v>527</v>
      </c>
      <c r="HY112" s="675">
        <v>633</v>
      </c>
      <c r="HZ112" s="675">
        <v>542</v>
      </c>
      <c r="IA112" s="675">
        <v>582</v>
      </c>
      <c r="IB112" s="675">
        <v>524</v>
      </c>
      <c r="IC112" s="675">
        <v>2808</v>
      </c>
      <c r="ID112" s="675">
        <v>0</v>
      </c>
      <c r="IE112" s="675">
        <v>0</v>
      </c>
      <c r="IF112" s="675">
        <v>0</v>
      </c>
      <c r="IG112" s="675">
        <v>121</v>
      </c>
      <c r="IH112" s="675">
        <v>1261.6410000000001</v>
      </c>
      <c r="II112" s="675">
        <v>0</v>
      </c>
      <c r="IJ112" s="675">
        <v>1740.982</v>
      </c>
      <c r="IK112" s="675">
        <v>0</v>
      </c>
      <c r="IL112" s="675">
        <v>33</v>
      </c>
      <c r="IM112" s="675">
        <v>32</v>
      </c>
      <c r="IN112" s="675">
        <v>2</v>
      </c>
      <c r="IO112" s="675">
        <v>67</v>
      </c>
      <c r="IP112" s="675">
        <v>0</v>
      </c>
      <c r="IQ112" s="675">
        <v>1740.982</v>
      </c>
      <c r="IR112" s="675">
        <v>1072440</v>
      </c>
      <c r="IS112" s="675">
        <v>0</v>
      </c>
      <c r="IT112" s="675">
        <v>165000</v>
      </c>
      <c r="IU112" s="675">
        <v>96000</v>
      </c>
      <c r="IV112" s="675">
        <v>4000</v>
      </c>
      <c r="IW112" s="675">
        <v>6160</v>
      </c>
      <c r="IX112" s="675">
        <v>0</v>
      </c>
      <c r="IY112" s="675">
        <v>0</v>
      </c>
      <c r="IZ112" s="675">
        <v>0</v>
      </c>
      <c r="JA112" s="675">
        <v>0</v>
      </c>
      <c r="JB112" s="675">
        <v>1</v>
      </c>
      <c r="JC112" s="675">
        <v>13393</v>
      </c>
      <c r="JD112" s="675">
        <v>16</v>
      </c>
      <c r="JE112" s="675">
        <v>143876</v>
      </c>
      <c r="JF112" s="675">
        <v>20</v>
      </c>
      <c r="JG112" s="675">
        <v>94137</v>
      </c>
      <c r="JH112" s="675">
        <v>21000</v>
      </c>
      <c r="JI112" s="675">
        <v>0</v>
      </c>
      <c r="JJ112" s="675">
        <v>0</v>
      </c>
      <c r="JK112" s="675">
        <v>0</v>
      </c>
      <c r="JL112" s="675">
        <v>0</v>
      </c>
      <c r="JM112" s="675">
        <v>0</v>
      </c>
      <c r="JN112" s="675">
        <v>32469</v>
      </c>
      <c r="JO112" s="675">
        <v>0</v>
      </c>
      <c r="JP112" s="675">
        <v>102.56400000000001</v>
      </c>
      <c r="JQ112" s="675">
        <v>77.63600000000001</v>
      </c>
      <c r="JR112" s="675">
        <v>0</v>
      </c>
      <c r="JS112" s="675">
        <v>953501</v>
      </c>
      <c r="JT112" s="675">
        <v>828889</v>
      </c>
      <c r="JU112" s="675">
        <v>81928</v>
      </c>
      <c r="JV112" s="675">
        <v>0</v>
      </c>
      <c r="JW112" s="675">
        <v>0</v>
      </c>
      <c r="JX112" s="675">
        <v>0</v>
      </c>
      <c r="JY112" s="675">
        <v>0</v>
      </c>
      <c r="JZ112" s="675">
        <v>0</v>
      </c>
      <c r="KA112" s="675">
        <v>0</v>
      </c>
      <c r="KB112" s="675">
        <v>0</v>
      </c>
      <c r="KC112" s="675">
        <v>0</v>
      </c>
      <c r="KD112" s="675">
        <v>81928</v>
      </c>
      <c r="KE112" s="675">
        <v>7263</v>
      </c>
      <c r="KF112" s="675">
        <v>0</v>
      </c>
      <c r="KG112" s="675">
        <v>0</v>
      </c>
      <c r="KH112" s="675">
        <v>0</v>
      </c>
      <c r="KI112" s="675">
        <v>0</v>
      </c>
    </row>
    <row r="113" spans="1:295" ht="12.5" x14ac:dyDescent="0.25">
      <c r="A113" s="675">
        <v>35795</v>
      </c>
      <c r="B113" s="675">
        <v>220817</v>
      </c>
      <c r="C113" s="675">
        <v>7</v>
      </c>
      <c r="D113" s="675">
        <v>2022</v>
      </c>
      <c r="E113" s="675">
        <v>6160</v>
      </c>
      <c r="F113" s="675">
        <v>0</v>
      </c>
      <c r="G113" s="675">
        <v>2735.576</v>
      </c>
      <c r="H113" s="675">
        <v>2537.5360000000001</v>
      </c>
      <c r="I113" s="675">
        <v>2537.5360000000001</v>
      </c>
      <c r="J113" s="675">
        <v>2735.576</v>
      </c>
      <c r="K113" s="675">
        <v>0</v>
      </c>
      <c r="L113" s="675">
        <v>6160</v>
      </c>
      <c r="M113" s="675">
        <v>0</v>
      </c>
      <c r="N113" s="675">
        <v>0</v>
      </c>
      <c r="O113" s="675">
        <v>0</v>
      </c>
      <c r="P113" s="675">
        <v>2797.0990000000002</v>
      </c>
      <c r="Q113" s="675">
        <v>0</v>
      </c>
      <c r="R113" s="675">
        <v>1125631</v>
      </c>
      <c r="S113" s="675">
        <v>402.428</v>
      </c>
      <c r="T113" s="675">
        <v>0</v>
      </c>
      <c r="U113" s="675">
        <v>598583</v>
      </c>
      <c r="V113" s="675">
        <v>334.60200000000003</v>
      </c>
      <c r="W113" s="675">
        <v>206114</v>
      </c>
      <c r="X113" s="675">
        <v>206114</v>
      </c>
      <c r="Y113" s="675">
        <v>0</v>
      </c>
      <c r="Z113" s="675">
        <v>0</v>
      </c>
      <c r="AA113" s="675">
        <v>0</v>
      </c>
      <c r="AB113" s="675">
        <v>0</v>
      </c>
      <c r="AC113" s="675">
        <v>0</v>
      </c>
      <c r="AD113" s="675" t="s">
        <v>316</v>
      </c>
      <c r="AE113" s="675">
        <v>0</v>
      </c>
      <c r="AF113" s="675">
        <v>0</v>
      </c>
      <c r="AG113" s="675">
        <v>0</v>
      </c>
      <c r="AH113" s="675">
        <v>0</v>
      </c>
      <c r="AI113" s="675">
        <v>0</v>
      </c>
      <c r="AJ113" s="675">
        <v>6160</v>
      </c>
      <c r="AK113" s="675" t="s">
        <v>671</v>
      </c>
      <c r="AL113" s="675" t="s">
        <v>364</v>
      </c>
      <c r="AM113" s="675">
        <v>0</v>
      </c>
      <c r="AN113" s="675">
        <v>0</v>
      </c>
      <c r="AO113" s="675">
        <v>0</v>
      </c>
      <c r="AP113" s="675">
        <v>0</v>
      </c>
      <c r="AQ113" s="675">
        <v>0</v>
      </c>
      <c r="AR113" s="675">
        <v>0</v>
      </c>
      <c r="AS113" s="675">
        <v>0</v>
      </c>
      <c r="AT113" s="675">
        <v>0</v>
      </c>
      <c r="AU113" s="675">
        <v>0</v>
      </c>
      <c r="AV113" s="675">
        <v>0</v>
      </c>
      <c r="AW113" s="675">
        <v>26656427</v>
      </c>
      <c r="AX113" s="675">
        <v>26178093</v>
      </c>
      <c r="AY113" s="675">
        <v>17854774</v>
      </c>
      <c r="AZ113" s="675">
        <v>1125631</v>
      </c>
      <c r="BA113" s="675">
        <v>0</v>
      </c>
      <c r="BB113" s="675">
        <v>58643</v>
      </c>
      <c r="BC113" s="675">
        <v>58264</v>
      </c>
      <c r="BD113" s="675">
        <v>136</v>
      </c>
      <c r="BE113" s="675">
        <v>379</v>
      </c>
      <c r="BF113" s="675">
        <v>24305946</v>
      </c>
      <c r="BG113" s="675">
        <v>0</v>
      </c>
      <c r="BH113" s="675">
        <v>0</v>
      </c>
      <c r="BI113" s="675">
        <v>0</v>
      </c>
      <c r="BJ113" s="675">
        <v>12</v>
      </c>
      <c r="BK113" s="675">
        <v>0</v>
      </c>
      <c r="BL113" s="675">
        <v>0</v>
      </c>
      <c r="BM113" s="675">
        <v>0</v>
      </c>
      <c r="BN113" s="675">
        <v>0</v>
      </c>
      <c r="BO113" s="675">
        <v>0</v>
      </c>
      <c r="BP113" s="675">
        <v>0</v>
      </c>
      <c r="BQ113" s="675">
        <v>379</v>
      </c>
      <c r="BR113" s="675">
        <v>0</v>
      </c>
      <c r="BS113" s="675">
        <v>0</v>
      </c>
      <c r="BT113" s="675">
        <v>0</v>
      </c>
      <c r="BU113" s="675">
        <v>0</v>
      </c>
      <c r="BV113" s="675">
        <v>0</v>
      </c>
      <c r="BW113" s="675">
        <v>0</v>
      </c>
      <c r="BX113" s="675">
        <v>0</v>
      </c>
      <c r="BY113" s="675">
        <v>0</v>
      </c>
      <c r="BZ113" s="675">
        <v>0</v>
      </c>
      <c r="CA113" s="675">
        <v>0</v>
      </c>
      <c r="CB113" s="675">
        <v>0</v>
      </c>
      <c r="CC113" s="675">
        <v>0</v>
      </c>
      <c r="CD113" s="675">
        <v>0</v>
      </c>
      <c r="CE113" s="675">
        <v>0</v>
      </c>
      <c r="CF113" s="675">
        <v>0</v>
      </c>
      <c r="CG113" s="675">
        <v>0</v>
      </c>
      <c r="CH113" s="675">
        <v>482981</v>
      </c>
      <c r="CI113" s="675">
        <v>0</v>
      </c>
      <c r="CJ113" s="675">
        <v>4</v>
      </c>
      <c r="CK113" s="675">
        <v>0</v>
      </c>
      <c r="CL113" s="675">
        <v>0</v>
      </c>
      <c r="CM113" s="675">
        <v>0</v>
      </c>
      <c r="CN113" s="675">
        <v>0</v>
      </c>
      <c r="CO113" s="675">
        <v>1</v>
      </c>
      <c r="CP113" s="675">
        <v>0</v>
      </c>
      <c r="CQ113" s="675">
        <v>0</v>
      </c>
      <c r="CR113" s="675">
        <v>3038.85</v>
      </c>
      <c r="CS113" s="675">
        <v>0</v>
      </c>
      <c r="CT113" s="675">
        <v>0</v>
      </c>
      <c r="CU113" s="675">
        <v>0</v>
      </c>
      <c r="CV113" s="675">
        <v>0</v>
      </c>
      <c r="CW113" s="675">
        <v>0</v>
      </c>
      <c r="CX113" s="675">
        <v>0</v>
      </c>
      <c r="CY113" s="675">
        <v>0</v>
      </c>
      <c r="CZ113" s="675">
        <v>0</v>
      </c>
      <c r="DA113" s="675">
        <v>0</v>
      </c>
      <c r="DB113" s="675">
        <v>15456527</v>
      </c>
      <c r="DC113" s="675">
        <v>0</v>
      </c>
      <c r="DD113" s="675">
        <v>0</v>
      </c>
      <c r="DE113" s="675">
        <v>2624687</v>
      </c>
      <c r="DF113" s="675">
        <v>2624687</v>
      </c>
      <c r="DG113" s="675">
        <v>426.08800000000002</v>
      </c>
      <c r="DH113" s="675">
        <v>0</v>
      </c>
      <c r="DI113" s="675">
        <v>0</v>
      </c>
      <c r="DJ113" s="675">
        <v>0</v>
      </c>
      <c r="DK113" s="675">
        <v>0</v>
      </c>
      <c r="DL113" s="675">
        <v>0</v>
      </c>
      <c r="DM113" s="675">
        <v>1309080</v>
      </c>
      <c r="DN113" s="675">
        <v>4268</v>
      </c>
      <c r="DO113" s="675">
        <v>0</v>
      </c>
      <c r="DP113" s="675">
        <v>0</v>
      </c>
      <c r="DQ113" s="675">
        <v>0</v>
      </c>
      <c r="DR113" s="675">
        <v>0</v>
      </c>
      <c r="DS113" s="675">
        <v>0</v>
      </c>
      <c r="DT113" s="675">
        <v>0</v>
      </c>
      <c r="DU113" s="675">
        <v>0</v>
      </c>
      <c r="DV113" s="675">
        <v>0</v>
      </c>
      <c r="DW113" s="675">
        <v>0</v>
      </c>
      <c r="DX113" s="675">
        <v>0</v>
      </c>
      <c r="DY113" s="675">
        <v>0</v>
      </c>
      <c r="DZ113" s="675">
        <v>0</v>
      </c>
      <c r="EA113" s="675">
        <v>0</v>
      </c>
      <c r="EB113" s="675">
        <v>0</v>
      </c>
      <c r="EC113" s="675">
        <v>73.832000000000008</v>
      </c>
      <c r="ED113" s="675">
        <v>523023</v>
      </c>
      <c r="EE113" s="675">
        <v>0</v>
      </c>
      <c r="EF113" s="675">
        <v>0</v>
      </c>
      <c r="EG113" s="675">
        <v>0</v>
      </c>
      <c r="EH113" s="675">
        <v>615703</v>
      </c>
      <c r="EI113" s="675">
        <v>0</v>
      </c>
      <c r="EJ113" s="675">
        <v>0</v>
      </c>
      <c r="EK113" s="675">
        <v>21.964000000000002</v>
      </c>
      <c r="EL113" s="675">
        <v>0</v>
      </c>
      <c r="EM113" s="675">
        <v>4.657</v>
      </c>
      <c r="EN113" s="675">
        <v>3.7230000000000003</v>
      </c>
      <c r="EO113" s="675">
        <v>0</v>
      </c>
      <c r="EP113" s="675">
        <v>0</v>
      </c>
      <c r="EQ113" s="675">
        <v>30.985000000000003</v>
      </c>
      <c r="ER113" s="675">
        <v>0.64100000000000001</v>
      </c>
      <c r="ES113" s="675">
        <v>99.951999999999998</v>
      </c>
      <c r="ET113" s="675">
        <v>0</v>
      </c>
      <c r="EU113" s="675">
        <v>0</v>
      </c>
      <c r="EV113" s="675">
        <v>0</v>
      </c>
      <c r="EW113" s="675">
        <v>0</v>
      </c>
      <c r="EX113" s="675">
        <v>0</v>
      </c>
      <c r="EY113" s="675">
        <v>0</v>
      </c>
      <c r="EZ113" s="675">
        <v>23194320</v>
      </c>
      <c r="FA113" s="675">
        <v>0</v>
      </c>
      <c r="FB113" s="675">
        <v>24315304</v>
      </c>
      <c r="FC113" s="675">
        <v>0</v>
      </c>
      <c r="FD113" s="675">
        <v>0</v>
      </c>
      <c r="FE113" s="675">
        <v>2472412</v>
      </c>
      <c r="FF113" s="675">
        <v>511361</v>
      </c>
      <c r="FG113" s="675">
        <v>6.3574999999999993E-2</v>
      </c>
      <c r="FH113" s="675">
        <v>2.6297999999999998E-2</v>
      </c>
      <c r="FI113" s="675">
        <v>0</v>
      </c>
      <c r="FJ113" s="675">
        <v>0</v>
      </c>
      <c r="FK113" s="675">
        <v>3945.7890000000002</v>
      </c>
      <c r="FL113" s="675">
        <v>27782058</v>
      </c>
      <c r="FM113" s="675">
        <v>0</v>
      </c>
      <c r="FN113" s="675">
        <v>0</v>
      </c>
      <c r="FO113" s="675">
        <v>3650</v>
      </c>
      <c r="FP113" s="675">
        <v>0</v>
      </c>
      <c r="FQ113" s="675">
        <v>3650</v>
      </c>
      <c r="FR113" s="675">
        <v>3650</v>
      </c>
      <c r="FS113" s="675">
        <v>0</v>
      </c>
      <c r="FT113" s="675">
        <v>0</v>
      </c>
      <c r="FU113" s="675">
        <v>0</v>
      </c>
      <c r="FV113" s="675">
        <v>0</v>
      </c>
      <c r="FW113" s="675">
        <v>0</v>
      </c>
      <c r="FX113" s="675">
        <v>0</v>
      </c>
      <c r="FY113" s="675">
        <v>0</v>
      </c>
      <c r="FZ113" s="675">
        <v>0</v>
      </c>
      <c r="GA113" s="675">
        <v>0</v>
      </c>
      <c r="GB113" s="675">
        <v>1334653</v>
      </c>
      <c r="GC113" s="675">
        <v>1334653</v>
      </c>
      <c r="GD113" s="675">
        <v>167.05500000000001</v>
      </c>
      <c r="GE113" s="675">
        <v>0</v>
      </c>
      <c r="GF113" s="675">
        <v>0</v>
      </c>
      <c r="GG113" s="675">
        <v>0</v>
      </c>
      <c r="GH113" s="675">
        <v>0</v>
      </c>
      <c r="GI113" s="675">
        <v>0</v>
      </c>
      <c r="GJ113" s="675">
        <v>0</v>
      </c>
      <c r="GK113" s="675">
        <v>0</v>
      </c>
      <c r="GL113" s="675">
        <v>0</v>
      </c>
      <c r="GM113" s="675">
        <v>0</v>
      </c>
      <c r="GN113" s="675">
        <v>0</v>
      </c>
      <c r="GO113" s="675">
        <v>0</v>
      </c>
      <c r="GP113" s="675">
        <v>0</v>
      </c>
      <c r="GQ113" s="675">
        <v>0</v>
      </c>
      <c r="GR113" s="675">
        <v>0</v>
      </c>
      <c r="GS113" s="675">
        <v>0</v>
      </c>
      <c r="GT113" s="675">
        <v>0</v>
      </c>
      <c r="GU113" s="675">
        <v>0</v>
      </c>
      <c r="GV113" s="675">
        <v>0</v>
      </c>
      <c r="GW113" s="675">
        <v>0</v>
      </c>
      <c r="GX113" s="675">
        <v>0</v>
      </c>
      <c r="GY113" s="675">
        <v>0</v>
      </c>
      <c r="GZ113" s="675">
        <v>0</v>
      </c>
      <c r="HA113" s="675">
        <v>0</v>
      </c>
      <c r="HB113" s="675">
        <v>308877260</v>
      </c>
      <c r="HC113" s="675">
        <v>4.4138999999999998E-2</v>
      </c>
      <c r="HD113" s="675">
        <v>482981</v>
      </c>
      <c r="HE113" s="675">
        <v>0</v>
      </c>
      <c r="HF113" s="675">
        <v>2798902</v>
      </c>
      <c r="HG113" s="675">
        <v>64680</v>
      </c>
      <c r="HH113" s="675">
        <v>386929</v>
      </c>
      <c r="HI113" s="675">
        <v>0</v>
      </c>
      <c r="HJ113" s="675">
        <v>26590</v>
      </c>
      <c r="HK113" s="675">
        <v>6417</v>
      </c>
      <c r="HL113" s="675">
        <v>3938</v>
      </c>
      <c r="HM113" s="675">
        <v>5000</v>
      </c>
      <c r="HN113" s="675">
        <v>29873</v>
      </c>
      <c r="HO113" s="675">
        <v>0</v>
      </c>
      <c r="HP113" s="675">
        <v>0</v>
      </c>
      <c r="HQ113" s="675">
        <v>0</v>
      </c>
      <c r="HR113" s="675">
        <v>0</v>
      </c>
      <c r="HS113" s="675">
        <v>23189673</v>
      </c>
      <c r="HT113" s="675">
        <v>511361</v>
      </c>
      <c r="HU113" s="675">
        <v>0</v>
      </c>
      <c r="HV113" s="675">
        <v>0</v>
      </c>
      <c r="HW113" s="675">
        <v>0</v>
      </c>
      <c r="HX113" s="675">
        <v>419</v>
      </c>
      <c r="HY113" s="675">
        <v>405</v>
      </c>
      <c r="HZ113" s="675">
        <v>345</v>
      </c>
      <c r="IA113" s="675">
        <v>260</v>
      </c>
      <c r="IB113" s="675">
        <v>295</v>
      </c>
      <c r="IC113" s="675">
        <v>1724</v>
      </c>
      <c r="ID113" s="675">
        <v>0</v>
      </c>
      <c r="IE113" s="675">
        <v>0</v>
      </c>
      <c r="IF113" s="675">
        <v>0</v>
      </c>
      <c r="IG113" s="675">
        <v>105</v>
      </c>
      <c r="IH113" s="675">
        <v>628.13400000000001</v>
      </c>
      <c r="II113" s="675">
        <v>0</v>
      </c>
      <c r="IJ113" s="675">
        <v>334.60200000000003</v>
      </c>
      <c r="IK113" s="675">
        <v>0</v>
      </c>
      <c r="IL113" s="675">
        <v>1</v>
      </c>
      <c r="IM113" s="675">
        <v>0</v>
      </c>
      <c r="IN113" s="675">
        <v>0</v>
      </c>
      <c r="IO113" s="675">
        <v>1</v>
      </c>
      <c r="IP113" s="675">
        <v>0</v>
      </c>
      <c r="IQ113" s="675">
        <v>334.60200000000003</v>
      </c>
      <c r="IR113" s="675">
        <v>206114</v>
      </c>
      <c r="IS113" s="675">
        <v>0</v>
      </c>
      <c r="IT113" s="675">
        <v>5000</v>
      </c>
      <c r="IU113" s="675">
        <v>0</v>
      </c>
      <c r="IV113" s="675">
        <v>0</v>
      </c>
      <c r="IW113" s="675">
        <v>6160</v>
      </c>
      <c r="IX113" s="675">
        <v>0</v>
      </c>
      <c r="IY113" s="675">
        <v>0</v>
      </c>
      <c r="IZ113" s="675">
        <v>0</v>
      </c>
      <c r="JA113" s="675">
        <v>0</v>
      </c>
      <c r="JB113" s="675">
        <v>0</v>
      </c>
      <c r="JC113" s="675">
        <v>0</v>
      </c>
      <c r="JD113" s="675">
        <v>3</v>
      </c>
      <c r="JE113" s="675">
        <v>28373</v>
      </c>
      <c r="JF113" s="675">
        <v>0</v>
      </c>
      <c r="JG113" s="675">
        <v>0</v>
      </c>
      <c r="JH113" s="675">
        <v>1500</v>
      </c>
      <c r="JI113" s="675">
        <v>0</v>
      </c>
      <c r="JJ113" s="675">
        <v>0</v>
      </c>
      <c r="JK113" s="675">
        <v>0</v>
      </c>
      <c r="JL113" s="675">
        <v>0</v>
      </c>
      <c r="JM113" s="675">
        <v>0</v>
      </c>
      <c r="JN113" s="675">
        <v>32469</v>
      </c>
      <c r="JO113" s="675">
        <v>167.05500000000001</v>
      </c>
      <c r="JP113" s="675">
        <v>0</v>
      </c>
      <c r="JQ113" s="675">
        <v>0</v>
      </c>
      <c r="JR113" s="675">
        <v>1334653</v>
      </c>
      <c r="JS113" s="675">
        <v>0</v>
      </c>
      <c r="JT113" s="675">
        <v>0</v>
      </c>
      <c r="JU113" s="675">
        <v>58643</v>
      </c>
      <c r="JV113" s="675">
        <v>0</v>
      </c>
      <c r="JW113" s="675">
        <v>0</v>
      </c>
      <c r="JX113" s="675">
        <v>0</v>
      </c>
      <c r="JY113" s="675">
        <v>0</v>
      </c>
      <c r="JZ113" s="675">
        <v>0</v>
      </c>
      <c r="KA113" s="675">
        <v>0</v>
      </c>
      <c r="KB113" s="675">
        <v>0</v>
      </c>
      <c r="KC113" s="675">
        <v>0</v>
      </c>
      <c r="KD113" s="675">
        <v>58643</v>
      </c>
      <c r="KE113" s="675">
        <v>7263</v>
      </c>
      <c r="KF113" s="675">
        <v>0</v>
      </c>
      <c r="KG113" s="675">
        <v>0</v>
      </c>
      <c r="KH113" s="675">
        <v>0</v>
      </c>
      <c r="KI113" s="675">
        <v>0</v>
      </c>
    </row>
    <row r="114" spans="1:295" ht="12.5" x14ac:dyDescent="0.25">
      <c r="A114" s="675">
        <v>35795</v>
      </c>
      <c r="B114" s="675">
        <v>227817</v>
      </c>
      <c r="C114" s="675">
        <v>7</v>
      </c>
      <c r="D114" s="675">
        <v>2022</v>
      </c>
      <c r="E114" s="675">
        <v>6160</v>
      </c>
      <c r="F114" s="675">
        <v>0</v>
      </c>
      <c r="G114" s="675">
        <v>443.024</v>
      </c>
      <c r="H114" s="675">
        <v>400.738</v>
      </c>
      <c r="I114" s="675">
        <v>400.738</v>
      </c>
      <c r="J114" s="675">
        <v>443.024</v>
      </c>
      <c r="K114" s="675">
        <v>0</v>
      </c>
      <c r="L114" s="675">
        <v>6160</v>
      </c>
      <c r="M114" s="675">
        <v>0</v>
      </c>
      <c r="N114" s="675">
        <v>0</v>
      </c>
      <c r="O114" s="675">
        <v>0</v>
      </c>
      <c r="P114" s="675">
        <v>444.11900000000003</v>
      </c>
      <c r="Q114" s="675">
        <v>0</v>
      </c>
      <c r="R114" s="675">
        <v>178726</v>
      </c>
      <c r="S114" s="675">
        <v>402.428</v>
      </c>
      <c r="T114" s="675">
        <v>0</v>
      </c>
      <c r="U114" s="675">
        <v>95042</v>
      </c>
      <c r="V114" s="675">
        <v>220.33800000000002</v>
      </c>
      <c r="W114" s="675">
        <v>135728</v>
      </c>
      <c r="X114" s="675">
        <v>135728</v>
      </c>
      <c r="Y114" s="675">
        <v>0</v>
      </c>
      <c r="Z114" s="675">
        <v>0</v>
      </c>
      <c r="AA114" s="675">
        <v>0</v>
      </c>
      <c r="AB114" s="675">
        <v>0</v>
      </c>
      <c r="AC114" s="675">
        <v>0</v>
      </c>
      <c r="AD114" s="675" t="s">
        <v>316</v>
      </c>
      <c r="AE114" s="675">
        <v>0</v>
      </c>
      <c r="AF114" s="675">
        <v>0</v>
      </c>
      <c r="AG114" s="675">
        <v>0</v>
      </c>
      <c r="AH114" s="675">
        <v>0</v>
      </c>
      <c r="AI114" s="675">
        <v>0</v>
      </c>
      <c r="AJ114" s="675">
        <v>6160</v>
      </c>
      <c r="AK114" s="675" t="s">
        <v>671</v>
      </c>
      <c r="AL114" s="675" t="s">
        <v>81</v>
      </c>
      <c r="AM114" s="675">
        <v>0</v>
      </c>
      <c r="AN114" s="675">
        <v>0</v>
      </c>
      <c r="AO114" s="675">
        <v>0</v>
      </c>
      <c r="AP114" s="675">
        <v>0</v>
      </c>
      <c r="AQ114" s="675">
        <v>0</v>
      </c>
      <c r="AR114" s="675">
        <v>0</v>
      </c>
      <c r="AS114" s="675">
        <v>0</v>
      </c>
      <c r="AT114" s="675">
        <v>0</v>
      </c>
      <c r="AU114" s="675">
        <v>0</v>
      </c>
      <c r="AV114" s="675">
        <v>0</v>
      </c>
      <c r="AW114" s="675">
        <v>5149096</v>
      </c>
      <c r="AX114" s="675">
        <v>5073314</v>
      </c>
      <c r="AY114" s="675">
        <v>3329195</v>
      </c>
      <c r="AZ114" s="675">
        <v>178726</v>
      </c>
      <c r="BA114" s="675">
        <v>0</v>
      </c>
      <c r="BB114" s="675">
        <v>5606</v>
      </c>
      <c r="BC114" s="675">
        <v>5570</v>
      </c>
      <c r="BD114" s="675">
        <v>13</v>
      </c>
      <c r="BE114" s="675">
        <v>36</v>
      </c>
      <c r="BF114" s="675">
        <v>4675750</v>
      </c>
      <c r="BG114" s="675">
        <v>0</v>
      </c>
      <c r="BH114" s="675">
        <v>0</v>
      </c>
      <c r="BI114" s="675">
        <v>0</v>
      </c>
      <c r="BJ114" s="675">
        <v>12</v>
      </c>
      <c r="BK114" s="675">
        <v>0</v>
      </c>
      <c r="BL114" s="675">
        <v>0</v>
      </c>
      <c r="BM114" s="675">
        <v>0</v>
      </c>
      <c r="BN114" s="675">
        <v>0</v>
      </c>
      <c r="BO114" s="675">
        <v>0</v>
      </c>
      <c r="BP114" s="675">
        <v>0</v>
      </c>
      <c r="BQ114" s="675">
        <v>708</v>
      </c>
      <c r="BR114" s="675">
        <v>0</v>
      </c>
      <c r="BS114" s="675">
        <v>0</v>
      </c>
      <c r="BT114" s="675">
        <v>0</v>
      </c>
      <c r="BU114" s="675">
        <v>0</v>
      </c>
      <c r="BV114" s="675">
        <v>0</v>
      </c>
      <c r="BW114" s="675">
        <v>0</v>
      </c>
      <c r="BX114" s="675">
        <v>0</v>
      </c>
      <c r="BY114" s="675">
        <v>0</v>
      </c>
      <c r="BZ114" s="675">
        <v>0</v>
      </c>
      <c r="CA114" s="675">
        <v>0</v>
      </c>
      <c r="CB114" s="675">
        <v>0</v>
      </c>
      <c r="CC114" s="675">
        <v>0</v>
      </c>
      <c r="CD114" s="675">
        <v>0</v>
      </c>
      <c r="CE114" s="675">
        <v>0</v>
      </c>
      <c r="CF114" s="675">
        <v>0</v>
      </c>
      <c r="CG114" s="675">
        <v>0</v>
      </c>
      <c r="CH114" s="675">
        <v>78218</v>
      </c>
      <c r="CI114" s="675">
        <v>0</v>
      </c>
      <c r="CJ114" s="675">
        <v>4</v>
      </c>
      <c r="CK114" s="675">
        <v>0</v>
      </c>
      <c r="CL114" s="675">
        <v>0</v>
      </c>
      <c r="CM114" s="675">
        <v>0</v>
      </c>
      <c r="CN114" s="675">
        <v>0</v>
      </c>
      <c r="CO114" s="675">
        <v>1</v>
      </c>
      <c r="CP114" s="675">
        <v>0</v>
      </c>
      <c r="CQ114" s="675">
        <v>0</v>
      </c>
      <c r="CR114" s="675">
        <v>457.11900000000003</v>
      </c>
      <c r="CS114" s="675">
        <v>0</v>
      </c>
      <c r="CT114" s="675">
        <v>0</v>
      </c>
      <c r="CU114" s="675">
        <v>0</v>
      </c>
      <c r="CV114" s="675">
        <v>0</v>
      </c>
      <c r="CW114" s="675">
        <v>0</v>
      </c>
      <c r="CX114" s="675">
        <v>0</v>
      </c>
      <c r="CY114" s="675">
        <v>0</v>
      </c>
      <c r="CZ114" s="675">
        <v>0</v>
      </c>
      <c r="DA114" s="675">
        <v>0</v>
      </c>
      <c r="DB114" s="675">
        <v>2468535</v>
      </c>
      <c r="DC114" s="675">
        <v>0</v>
      </c>
      <c r="DD114" s="675">
        <v>0</v>
      </c>
      <c r="DE114" s="675">
        <v>632629</v>
      </c>
      <c r="DF114" s="675">
        <v>632629</v>
      </c>
      <c r="DG114" s="675">
        <v>102.7</v>
      </c>
      <c r="DH114" s="675">
        <v>0</v>
      </c>
      <c r="DI114" s="675">
        <v>0</v>
      </c>
      <c r="DJ114" s="675">
        <v>0</v>
      </c>
      <c r="DK114" s="675">
        <v>2955</v>
      </c>
      <c r="DL114" s="675">
        <v>0</v>
      </c>
      <c r="DM114" s="675">
        <v>638001</v>
      </c>
      <c r="DN114" s="675">
        <v>2400</v>
      </c>
      <c r="DO114" s="675">
        <v>0</v>
      </c>
      <c r="DP114" s="675">
        <v>0</v>
      </c>
      <c r="DQ114" s="675">
        <v>0</v>
      </c>
      <c r="DR114" s="675">
        <v>0</v>
      </c>
      <c r="DS114" s="675">
        <v>0</v>
      </c>
      <c r="DT114" s="675">
        <v>0</v>
      </c>
      <c r="DU114" s="675">
        <v>0</v>
      </c>
      <c r="DV114" s="675">
        <v>0</v>
      </c>
      <c r="DW114" s="675">
        <v>0</v>
      </c>
      <c r="DX114" s="675">
        <v>0</v>
      </c>
      <c r="DY114" s="675">
        <v>0</v>
      </c>
      <c r="DZ114" s="675">
        <v>0</v>
      </c>
      <c r="EA114" s="675">
        <v>0</v>
      </c>
      <c r="EB114" s="675">
        <v>0</v>
      </c>
      <c r="EC114" s="675">
        <v>24.932000000000002</v>
      </c>
      <c r="ED114" s="675">
        <v>176617</v>
      </c>
      <c r="EE114" s="675">
        <v>0</v>
      </c>
      <c r="EF114" s="675">
        <v>0</v>
      </c>
      <c r="EG114" s="675">
        <v>0</v>
      </c>
      <c r="EH114" s="675">
        <v>463784</v>
      </c>
      <c r="EI114" s="675">
        <v>0</v>
      </c>
      <c r="EJ114" s="675">
        <v>0</v>
      </c>
      <c r="EK114" s="675">
        <v>23.053000000000001</v>
      </c>
      <c r="EL114" s="675">
        <v>0</v>
      </c>
      <c r="EM114" s="675">
        <v>1.7000000000000001E-2</v>
      </c>
      <c r="EN114" s="675">
        <v>1.216</v>
      </c>
      <c r="EO114" s="675">
        <v>0</v>
      </c>
      <c r="EP114" s="675">
        <v>0</v>
      </c>
      <c r="EQ114" s="675">
        <v>24.286000000000001</v>
      </c>
      <c r="ER114" s="675">
        <v>0</v>
      </c>
      <c r="ES114" s="675">
        <v>75.290000000000006</v>
      </c>
      <c r="ET114" s="675">
        <v>0</v>
      </c>
      <c r="EU114" s="675">
        <v>0</v>
      </c>
      <c r="EV114" s="675">
        <v>0</v>
      </c>
      <c r="EW114" s="675">
        <v>0</v>
      </c>
      <c r="EX114" s="675">
        <v>0</v>
      </c>
      <c r="EY114" s="675">
        <v>0</v>
      </c>
      <c r="EZ114" s="675">
        <v>4499323</v>
      </c>
      <c r="FA114" s="675">
        <v>0</v>
      </c>
      <c r="FB114" s="675">
        <v>4675613</v>
      </c>
      <c r="FC114" s="675">
        <v>0</v>
      </c>
      <c r="FD114" s="675">
        <v>0</v>
      </c>
      <c r="FE114" s="675">
        <v>475620</v>
      </c>
      <c r="FF114" s="675">
        <v>98371</v>
      </c>
      <c r="FG114" s="675">
        <v>6.3574999999999993E-2</v>
      </c>
      <c r="FH114" s="675">
        <v>2.6297999999999998E-2</v>
      </c>
      <c r="FI114" s="675">
        <v>0</v>
      </c>
      <c r="FJ114" s="675">
        <v>0</v>
      </c>
      <c r="FK114" s="675">
        <v>759.05400000000009</v>
      </c>
      <c r="FL114" s="675">
        <v>5327822</v>
      </c>
      <c r="FM114" s="675">
        <v>0</v>
      </c>
      <c r="FN114" s="675">
        <v>0</v>
      </c>
      <c r="FO114" s="675">
        <v>0</v>
      </c>
      <c r="FP114" s="675">
        <v>0</v>
      </c>
      <c r="FQ114" s="675">
        <v>0</v>
      </c>
      <c r="FR114" s="675">
        <v>0</v>
      </c>
      <c r="FS114" s="675">
        <v>0</v>
      </c>
      <c r="FT114" s="675">
        <v>0</v>
      </c>
      <c r="FU114" s="675">
        <v>0</v>
      </c>
      <c r="FV114" s="675">
        <v>0</v>
      </c>
      <c r="FW114" s="675">
        <v>0</v>
      </c>
      <c r="FX114" s="675">
        <v>0</v>
      </c>
      <c r="FY114" s="675">
        <v>0</v>
      </c>
      <c r="FZ114" s="675">
        <v>0</v>
      </c>
      <c r="GA114" s="675">
        <v>0</v>
      </c>
      <c r="GB114" s="675">
        <v>175082</v>
      </c>
      <c r="GC114" s="675">
        <v>175082</v>
      </c>
      <c r="GD114" s="675">
        <v>18</v>
      </c>
      <c r="GE114" s="675">
        <v>0</v>
      </c>
      <c r="GF114" s="675">
        <v>0</v>
      </c>
      <c r="GG114" s="675">
        <v>0</v>
      </c>
      <c r="GH114" s="675">
        <v>0</v>
      </c>
      <c r="GI114" s="675">
        <v>0</v>
      </c>
      <c r="GJ114" s="675">
        <v>0</v>
      </c>
      <c r="GK114" s="675">
        <v>0</v>
      </c>
      <c r="GL114" s="675">
        <v>0</v>
      </c>
      <c r="GM114" s="675">
        <v>0</v>
      </c>
      <c r="GN114" s="675">
        <v>0</v>
      </c>
      <c r="GO114" s="675">
        <v>0</v>
      </c>
      <c r="GP114" s="675">
        <v>0</v>
      </c>
      <c r="GQ114" s="675">
        <v>0</v>
      </c>
      <c r="GR114" s="675">
        <v>0</v>
      </c>
      <c r="GS114" s="675">
        <v>0</v>
      </c>
      <c r="GT114" s="675">
        <v>0</v>
      </c>
      <c r="GU114" s="675">
        <v>0</v>
      </c>
      <c r="GV114" s="675">
        <v>0</v>
      </c>
      <c r="GW114" s="675">
        <v>0</v>
      </c>
      <c r="GX114" s="675">
        <v>0</v>
      </c>
      <c r="GY114" s="675">
        <v>0</v>
      </c>
      <c r="GZ114" s="675">
        <v>0</v>
      </c>
      <c r="HA114" s="675">
        <v>0</v>
      </c>
      <c r="HB114" s="675">
        <v>308877260</v>
      </c>
      <c r="HC114" s="675">
        <v>4.4138999999999998E-2</v>
      </c>
      <c r="HD114" s="675">
        <v>78218</v>
      </c>
      <c r="HE114" s="675">
        <v>0</v>
      </c>
      <c r="HF114" s="675">
        <v>442014</v>
      </c>
      <c r="HG114" s="675">
        <v>11088</v>
      </c>
      <c r="HH114" s="675">
        <v>155361</v>
      </c>
      <c r="HI114" s="675">
        <v>0</v>
      </c>
      <c r="HJ114" s="675">
        <v>4306</v>
      </c>
      <c r="HK114" s="675">
        <v>1143</v>
      </c>
      <c r="HL114" s="675">
        <v>1156</v>
      </c>
      <c r="HM114" s="675">
        <v>5000</v>
      </c>
      <c r="HN114" s="675">
        <v>0</v>
      </c>
      <c r="HO114" s="675">
        <v>0</v>
      </c>
      <c r="HP114" s="675">
        <v>0</v>
      </c>
      <c r="HQ114" s="675">
        <v>0</v>
      </c>
      <c r="HR114" s="675">
        <v>0</v>
      </c>
      <c r="HS114" s="675">
        <v>4496887</v>
      </c>
      <c r="HT114" s="675">
        <v>98371</v>
      </c>
      <c r="HU114" s="675">
        <v>0</v>
      </c>
      <c r="HV114" s="675">
        <v>0</v>
      </c>
      <c r="HW114" s="675">
        <v>0</v>
      </c>
      <c r="HX114" s="675">
        <v>86</v>
      </c>
      <c r="HY114" s="675">
        <v>54</v>
      </c>
      <c r="HZ114" s="675">
        <v>61</v>
      </c>
      <c r="IA114" s="675">
        <v>88</v>
      </c>
      <c r="IB114" s="675">
        <v>117</v>
      </c>
      <c r="IC114" s="675">
        <v>406</v>
      </c>
      <c r="ID114" s="675">
        <v>0</v>
      </c>
      <c r="IE114" s="675">
        <v>0</v>
      </c>
      <c r="IF114" s="675">
        <v>0</v>
      </c>
      <c r="IG114" s="675">
        <v>18</v>
      </c>
      <c r="IH114" s="675">
        <v>252.21</v>
      </c>
      <c r="II114" s="675">
        <v>0</v>
      </c>
      <c r="IJ114" s="675">
        <v>220.33800000000002</v>
      </c>
      <c r="IK114" s="675">
        <v>0</v>
      </c>
      <c r="IL114" s="675">
        <v>1</v>
      </c>
      <c r="IM114" s="675">
        <v>0</v>
      </c>
      <c r="IN114" s="675">
        <v>0</v>
      </c>
      <c r="IO114" s="675">
        <v>1</v>
      </c>
      <c r="IP114" s="675">
        <v>0</v>
      </c>
      <c r="IQ114" s="675">
        <v>220.33800000000002</v>
      </c>
      <c r="IR114" s="675">
        <v>135728</v>
      </c>
      <c r="IS114" s="675">
        <v>0</v>
      </c>
      <c r="IT114" s="675">
        <v>5000</v>
      </c>
      <c r="IU114" s="675">
        <v>0</v>
      </c>
      <c r="IV114" s="675">
        <v>0</v>
      </c>
      <c r="IW114" s="675">
        <v>6160</v>
      </c>
      <c r="IX114" s="675">
        <v>0</v>
      </c>
      <c r="IY114" s="675">
        <v>0</v>
      </c>
      <c r="IZ114" s="675">
        <v>0</v>
      </c>
      <c r="JA114" s="675">
        <v>0</v>
      </c>
      <c r="JB114" s="675">
        <v>0</v>
      </c>
      <c r="JC114" s="675">
        <v>0</v>
      </c>
      <c r="JD114" s="675">
        <v>0</v>
      </c>
      <c r="JE114" s="675">
        <v>0</v>
      </c>
      <c r="JF114" s="675">
        <v>0</v>
      </c>
      <c r="JG114" s="675">
        <v>0</v>
      </c>
      <c r="JH114" s="675">
        <v>0</v>
      </c>
      <c r="JI114" s="675">
        <v>0</v>
      </c>
      <c r="JJ114" s="675">
        <v>0</v>
      </c>
      <c r="JK114" s="675">
        <v>0</v>
      </c>
      <c r="JL114" s="675">
        <v>0</v>
      </c>
      <c r="JM114" s="675">
        <v>0</v>
      </c>
      <c r="JN114" s="675">
        <v>32469</v>
      </c>
      <c r="JO114" s="675">
        <v>0</v>
      </c>
      <c r="JP114" s="675">
        <v>12.389000000000001</v>
      </c>
      <c r="JQ114" s="675">
        <v>5.6110000000000007</v>
      </c>
      <c r="JR114" s="675">
        <v>0</v>
      </c>
      <c r="JS114" s="675">
        <v>115176</v>
      </c>
      <c r="JT114" s="675">
        <v>59906</v>
      </c>
      <c r="JU114" s="675">
        <v>5606</v>
      </c>
      <c r="JV114" s="675">
        <v>0</v>
      </c>
      <c r="JW114" s="675">
        <v>0</v>
      </c>
      <c r="JX114" s="675">
        <v>0</v>
      </c>
      <c r="JY114" s="675">
        <v>0</v>
      </c>
      <c r="JZ114" s="675">
        <v>0</v>
      </c>
      <c r="KA114" s="675">
        <v>0</v>
      </c>
      <c r="KB114" s="675">
        <v>0</v>
      </c>
      <c r="KC114" s="675">
        <v>0</v>
      </c>
      <c r="KD114" s="675">
        <v>5606</v>
      </c>
      <c r="KE114" s="675">
        <v>7263</v>
      </c>
      <c r="KF114" s="675">
        <v>0</v>
      </c>
      <c r="KG114" s="675">
        <v>0</v>
      </c>
      <c r="KH114" s="675">
        <v>0</v>
      </c>
      <c r="KI114" s="675">
        <v>0</v>
      </c>
    </row>
    <row r="115" spans="1:295" ht="12.5" x14ac:dyDescent="0.25">
      <c r="A115" s="675">
        <v>35795</v>
      </c>
      <c r="B115" s="675">
        <v>57819</v>
      </c>
      <c r="C115" s="675">
        <v>7</v>
      </c>
      <c r="D115" s="675">
        <v>2022</v>
      </c>
      <c r="E115" s="675">
        <v>6160</v>
      </c>
      <c r="F115" s="675">
        <v>0</v>
      </c>
      <c r="G115" s="675">
        <v>179.00200000000001</v>
      </c>
      <c r="H115" s="675">
        <v>165.97499999999999</v>
      </c>
      <c r="I115" s="675">
        <v>165.97499999999999</v>
      </c>
      <c r="J115" s="675">
        <v>179.00200000000001</v>
      </c>
      <c r="K115" s="675">
        <v>0</v>
      </c>
      <c r="L115" s="675">
        <v>6160</v>
      </c>
      <c r="M115" s="675">
        <v>0</v>
      </c>
      <c r="N115" s="675">
        <v>0</v>
      </c>
      <c r="O115" s="675">
        <v>0</v>
      </c>
      <c r="P115" s="675">
        <v>174.79600000000002</v>
      </c>
      <c r="Q115" s="675">
        <v>0</v>
      </c>
      <c r="R115" s="675">
        <v>70343</v>
      </c>
      <c r="S115" s="675">
        <v>402.428</v>
      </c>
      <c r="T115" s="675">
        <v>0</v>
      </c>
      <c r="U115" s="675">
        <v>37407</v>
      </c>
      <c r="V115" s="675">
        <v>88.86</v>
      </c>
      <c r="W115" s="675">
        <v>54738</v>
      </c>
      <c r="X115" s="675">
        <v>54738</v>
      </c>
      <c r="Y115" s="675">
        <v>0</v>
      </c>
      <c r="Z115" s="675">
        <v>0</v>
      </c>
      <c r="AA115" s="675">
        <v>0</v>
      </c>
      <c r="AB115" s="675">
        <v>0</v>
      </c>
      <c r="AC115" s="675">
        <v>0</v>
      </c>
      <c r="AD115" s="675" t="s">
        <v>316</v>
      </c>
      <c r="AE115" s="675">
        <v>0</v>
      </c>
      <c r="AF115" s="675">
        <v>0</v>
      </c>
      <c r="AG115" s="675">
        <v>0</v>
      </c>
      <c r="AH115" s="675">
        <v>0</v>
      </c>
      <c r="AI115" s="675">
        <v>0</v>
      </c>
      <c r="AJ115" s="675">
        <v>6160</v>
      </c>
      <c r="AK115" s="675" t="s">
        <v>671</v>
      </c>
      <c r="AL115" s="675" t="s">
        <v>44</v>
      </c>
      <c r="AM115" s="675">
        <v>0</v>
      </c>
      <c r="AN115" s="675">
        <v>0</v>
      </c>
      <c r="AO115" s="675">
        <v>0</v>
      </c>
      <c r="AP115" s="675">
        <v>0</v>
      </c>
      <c r="AQ115" s="675">
        <v>0</v>
      </c>
      <c r="AR115" s="675">
        <v>0</v>
      </c>
      <c r="AS115" s="675">
        <v>0</v>
      </c>
      <c r="AT115" s="675">
        <v>0</v>
      </c>
      <c r="AU115" s="675">
        <v>0</v>
      </c>
      <c r="AV115" s="675">
        <v>-27238</v>
      </c>
      <c r="AW115" s="675">
        <v>1920013</v>
      </c>
      <c r="AX115" s="675">
        <v>1888704</v>
      </c>
      <c r="AY115" s="675">
        <v>1238544</v>
      </c>
      <c r="AZ115" s="675">
        <v>70343</v>
      </c>
      <c r="BA115" s="675">
        <v>0</v>
      </c>
      <c r="BB115" s="675">
        <v>0</v>
      </c>
      <c r="BC115" s="675">
        <v>0</v>
      </c>
      <c r="BD115" s="675">
        <v>0</v>
      </c>
      <c r="BE115" s="675">
        <v>0</v>
      </c>
      <c r="BF115" s="675">
        <v>1744402</v>
      </c>
      <c r="BG115" s="675">
        <v>0</v>
      </c>
      <c r="BH115" s="675">
        <v>0</v>
      </c>
      <c r="BI115" s="675">
        <v>0</v>
      </c>
      <c r="BJ115" s="675">
        <v>12</v>
      </c>
      <c r="BK115" s="675">
        <v>0</v>
      </c>
      <c r="BL115" s="675">
        <v>0</v>
      </c>
      <c r="BM115" s="675">
        <v>0</v>
      </c>
      <c r="BN115" s="675">
        <v>0</v>
      </c>
      <c r="BO115" s="675">
        <v>0</v>
      </c>
      <c r="BP115" s="675">
        <v>0</v>
      </c>
      <c r="BQ115" s="675">
        <v>744</v>
      </c>
      <c r="BR115" s="675">
        <v>0</v>
      </c>
      <c r="BS115" s="675">
        <v>0</v>
      </c>
      <c r="BT115" s="675">
        <v>0</v>
      </c>
      <c r="BU115" s="675">
        <v>0</v>
      </c>
      <c r="BV115" s="675">
        <v>0</v>
      </c>
      <c r="BW115" s="675">
        <v>0</v>
      </c>
      <c r="BX115" s="675">
        <v>0</v>
      </c>
      <c r="BY115" s="675">
        <v>0</v>
      </c>
      <c r="BZ115" s="675">
        <v>0</v>
      </c>
      <c r="CA115" s="675">
        <v>0</v>
      </c>
      <c r="CB115" s="675">
        <v>0</v>
      </c>
      <c r="CC115" s="675">
        <v>0</v>
      </c>
      <c r="CD115" s="675">
        <v>0</v>
      </c>
      <c r="CE115" s="675">
        <v>0</v>
      </c>
      <c r="CF115" s="675">
        <v>0</v>
      </c>
      <c r="CG115" s="675">
        <v>0</v>
      </c>
      <c r="CH115" s="675">
        <v>31604</v>
      </c>
      <c r="CI115" s="675">
        <v>0</v>
      </c>
      <c r="CJ115" s="675">
        <v>4</v>
      </c>
      <c r="CK115" s="675">
        <v>0</v>
      </c>
      <c r="CL115" s="675">
        <v>0</v>
      </c>
      <c r="CM115" s="675">
        <v>0</v>
      </c>
      <c r="CN115" s="675">
        <v>0</v>
      </c>
      <c r="CO115" s="675">
        <v>1</v>
      </c>
      <c r="CP115" s="675">
        <v>0</v>
      </c>
      <c r="CQ115" s="675">
        <v>0</v>
      </c>
      <c r="CR115" s="675">
        <v>183.494</v>
      </c>
      <c r="CS115" s="675">
        <v>0</v>
      </c>
      <c r="CT115" s="675">
        <v>0</v>
      </c>
      <c r="CU115" s="675">
        <v>0</v>
      </c>
      <c r="CV115" s="675">
        <v>0</v>
      </c>
      <c r="CW115" s="675">
        <v>0</v>
      </c>
      <c r="CX115" s="675">
        <v>0</v>
      </c>
      <c r="CY115" s="675">
        <v>0</v>
      </c>
      <c r="CZ115" s="675">
        <v>0</v>
      </c>
      <c r="DA115" s="675">
        <v>0</v>
      </c>
      <c r="DB115" s="675">
        <v>1022401</v>
      </c>
      <c r="DC115" s="675">
        <v>0</v>
      </c>
      <c r="DD115" s="675">
        <v>0</v>
      </c>
      <c r="DE115" s="675">
        <v>259104</v>
      </c>
      <c r="DF115" s="675">
        <v>259104</v>
      </c>
      <c r="DG115" s="675">
        <v>42.063000000000002</v>
      </c>
      <c r="DH115" s="675">
        <v>0</v>
      </c>
      <c r="DI115" s="675">
        <v>0</v>
      </c>
      <c r="DJ115" s="675">
        <v>0</v>
      </c>
      <c r="DK115" s="675">
        <v>3533</v>
      </c>
      <c r="DL115" s="675">
        <v>0</v>
      </c>
      <c r="DM115" s="675">
        <v>78505</v>
      </c>
      <c r="DN115" s="675">
        <v>295</v>
      </c>
      <c r="DO115" s="675">
        <v>0</v>
      </c>
      <c r="DP115" s="675">
        <v>0</v>
      </c>
      <c r="DQ115" s="675">
        <v>0</v>
      </c>
      <c r="DR115" s="675">
        <v>0</v>
      </c>
      <c r="DS115" s="675">
        <v>0</v>
      </c>
      <c r="DT115" s="675">
        <v>0</v>
      </c>
      <c r="DU115" s="675">
        <v>0</v>
      </c>
      <c r="DV115" s="675">
        <v>0</v>
      </c>
      <c r="DW115" s="675">
        <v>0</v>
      </c>
      <c r="DX115" s="675">
        <v>0</v>
      </c>
      <c r="DY115" s="675">
        <v>0</v>
      </c>
      <c r="DZ115" s="675">
        <v>0</v>
      </c>
      <c r="EA115" s="675">
        <v>0</v>
      </c>
      <c r="EB115" s="675">
        <v>0</v>
      </c>
      <c r="EC115" s="675">
        <v>1.8410000000000002</v>
      </c>
      <c r="ED115" s="675">
        <v>13042</v>
      </c>
      <c r="EE115" s="675">
        <v>0</v>
      </c>
      <c r="EF115" s="675">
        <v>0</v>
      </c>
      <c r="EG115" s="675">
        <v>0</v>
      </c>
      <c r="EH115" s="675">
        <v>65758</v>
      </c>
      <c r="EI115" s="675">
        <v>0</v>
      </c>
      <c r="EJ115" s="675">
        <v>0</v>
      </c>
      <c r="EK115" s="675">
        <v>3.1750000000000003</v>
      </c>
      <c r="EL115" s="675">
        <v>0</v>
      </c>
      <c r="EM115" s="675">
        <v>0</v>
      </c>
      <c r="EN115" s="675">
        <v>0.23</v>
      </c>
      <c r="EO115" s="675">
        <v>0</v>
      </c>
      <c r="EP115" s="675">
        <v>0</v>
      </c>
      <c r="EQ115" s="675">
        <v>3.4050000000000002</v>
      </c>
      <c r="ER115" s="675">
        <v>0</v>
      </c>
      <c r="ES115" s="675">
        <v>10.675000000000001</v>
      </c>
      <c r="ET115" s="675">
        <v>0</v>
      </c>
      <c r="EU115" s="675">
        <v>0</v>
      </c>
      <c r="EV115" s="675">
        <v>0</v>
      </c>
      <c r="EW115" s="675">
        <v>0</v>
      </c>
      <c r="EX115" s="675">
        <v>0</v>
      </c>
      <c r="EY115" s="675">
        <v>0</v>
      </c>
      <c r="EZ115" s="675">
        <v>1674563</v>
      </c>
      <c r="FA115" s="675">
        <v>0</v>
      </c>
      <c r="FB115" s="675">
        <v>1744611</v>
      </c>
      <c r="FC115" s="675">
        <v>0</v>
      </c>
      <c r="FD115" s="675">
        <v>0</v>
      </c>
      <c r="FE115" s="675">
        <v>177441</v>
      </c>
      <c r="FF115" s="675">
        <v>36700</v>
      </c>
      <c r="FG115" s="675">
        <v>6.3574999999999993E-2</v>
      </c>
      <c r="FH115" s="675">
        <v>2.6297999999999998E-2</v>
      </c>
      <c r="FI115" s="675">
        <v>0</v>
      </c>
      <c r="FJ115" s="675">
        <v>0</v>
      </c>
      <c r="FK115" s="675">
        <v>283.18299999999999</v>
      </c>
      <c r="FL115" s="675">
        <v>1990356</v>
      </c>
      <c r="FM115" s="675">
        <v>0</v>
      </c>
      <c r="FN115" s="675">
        <v>0</v>
      </c>
      <c r="FO115" s="675">
        <v>0</v>
      </c>
      <c r="FP115" s="675">
        <v>0</v>
      </c>
      <c r="FQ115" s="675">
        <v>0</v>
      </c>
      <c r="FR115" s="675">
        <v>0</v>
      </c>
      <c r="FS115" s="675">
        <v>0</v>
      </c>
      <c r="FT115" s="675">
        <v>0</v>
      </c>
      <c r="FU115" s="675">
        <v>0</v>
      </c>
      <c r="FV115" s="675">
        <v>0</v>
      </c>
      <c r="FW115" s="675">
        <v>0</v>
      </c>
      <c r="FX115" s="675">
        <v>0</v>
      </c>
      <c r="FY115" s="675">
        <v>0</v>
      </c>
      <c r="FZ115" s="675">
        <v>0</v>
      </c>
      <c r="GA115" s="675">
        <v>0</v>
      </c>
      <c r="GB115" s="675">
        <v>91985</v>
      </c>
      <c r="GC115" s="675">
        <v>91985</v>
      </c>
      <c r="GD115" s="675">
        <v>9.6219999999999999</v>
      </c>
      <c r="GE115" s="675">
        <v>0</v>
      </c>
      <c r="GF115" s="675">
        <v>0</v>
      </c>
      <c r="GG115" s="675">
        <v>0</v>
      </c>
      <c r="GH115" s="675">
        <v>0</v>
      </c>
      <c r="GI115" s="675">
        <v>0</v>
      </c>
      <c r="GJ115" s="675">
        <v>0</v>
      </c>
      <c r="GK115" s="675">
        <v>0</v>
      </c>
      <c r="GL115" s="675">
        <v>0</v>
      </c>
      <c r="GM115" s="675">
        <v>0</v>
      </c>
      <c r="GN115" s="675">
        <v>0</v>
      </c>
      <c r="GO115" s="675">
        <v>0</v>
      </c>
      <c r="GP115" s="675">
        <v>0</v>
      </c>
      <c r="GQ115" s="675">
        <v>0</v>
      </c>
      <c r="GR115" s="675">
        <v>0</v>
      </c>
      <c r="GS115" s="675">
        <v>0</v>
      </c>
      <c r="GT115" s="675">
        <v>0</v>
      </c>
      <c r="GU115" s="675">
        <v>0</v>
      </c>
      <c r="GV115" s="675">
        <v>0</v>
      </c>
      <c r="GW115" s="675">
        <v>0</v>
      </c>
      <c r="GX115" s="675">
        <v>0</v>
      </c>
      <c r="GY115" s="675">
        <v>0</v>
      </c>
      <c r="GZ115" s="675">
        <v>0</v>
      </c>
      <c r="HA115" s="675">
        <v>0</v>
      </c>
      <c r="HB115" s="675">
        <v>308877260</v>
      </c>
      <c r="HC115" s="675">
        <v>4.4138999999999998E-2</v>
      </c>
      <c r="HD115" s="675">
        <v>31604</v>
      </c>
      <c r="HE115" s="675">
        <v>0</v>
      </c>
      <c r="HF115" s="675">
        <v>183070</v>
      </c>
      <c r="HG115" s="675">
        <v>0</v>
      </c>
      <c r="HH115" s="675">
        <v>47564</v>
      </c>
      <c r="HI115" s="675">
        <v>0</v>
      </c>
      <c r="HJ115" s="675">
        <v>1740</v>
      </c>
      <c r="HK115" s="675">
        <v>450</v>
      </c>
      <c r="HL115" s="675">
        <v>54</v>
      </c>
      <c r="HM115" s="675">
        <v>5000</v>
      </c>
      <c r="HN115" s="675">
        <v>0</v>
      </c>
      <c r="HO115" s="675">
        <v>0</v>
      </c>
      <c r="HP115" s="675">
        <v>0</v>
      </c>
      <c r="HQ115" s="675">
        <v>0</v>
      </c>
      <c r="HR115" s="675">
        <v>0</v>
      </c>
      <c r="HS115" s="675">
        <v>1674268</v>
      </c>
      <c r="HT115" s="675">
        <v>36700</v>
      </c>
      <c r="HU115" s="675">
        <v>0</v>
      </c>
      <c r="HV115" s="675">
        <v>0</v>
      </c>
      <c r="HW115" s="675">
        <v>0</v>
      </c>
      <c r="HX115" s="675">
        <v>14</v>
      </c>
      <c r="HY115" s="675">
        <v>21</v>
      </c>
      <c r="HZ115" s="675">
        <v>25</v>
      </c>
      <c r="IA115" s="675">
        <v>30</v>
      </c>
      <c r="IB115" s="675">
        <v>72</v>
      </c>
      <c r="IC115" s="675">
        <v>162</v>
      </c>
      <c r="ID115" s="675">
        <v>0</v>
      </c>
      <c r="IE115" s="675">
        <v>0</v>
      </c>
      <c r="IF115" s="675">
        <v>0</v>
      </c>
      <c r="IG115" s="675">
        <v>0</v>
      </c>
      <c r="IH115" s="675">
        <v>77.213999999999999</v>
      </c>
      <c r="II115" s="675">
        <v>0</v>
      </c>
      <c r="IJ115" s="675">
        <v>88.86</v>
      </c>
      <c r="IK115" s="675">
        <v>0</v>
      </c>
      <c r="IL115" s="675">
        <v>1</v>
      </c>
      <c r="IM115" s="675">
        <v>0</v>
      </c>
      <c r="IN115" s="675">
        <v>0</v>
      </c>
      <c r="IO115" s="675">
        <v>1</v>
      </c>
      <c r="IP115" s="675">
        <v>0</v>
      </c>
      <c r="IQ115" s="675">
        <v>88.86</v>
      </c>
      <c r="IR115" s="675">
        <v>54738</v>
      </c>
      <c r="IS115" s="675">
        <v>0</v>
      </c>
      <c r="IT115" s="675">
        <v>5000</v>
      </c>
      <c r="IU115" s="675">
        <v>0</v>
      </c>
      <c r="IV115" s="675">
        <v>0</v>
      </c>
      <c r="IW115" s="675">
        <v>6160</v>
      </c>
      <c r="IX115" s="675">
        <v>0</v>
      </c>
      <c r="IY115" s="675">
        <v>0</v>
      </c>
      <c r="IZ115" s="675">
        <v>0</v>
      </c>
      <c r="JA115" s="675">
        <v>0</v>
      </c>
      <c r="JB115" s="675">
        <v>0</v>
      </c>
      <c r="JC115" s="675">
        <v>0</v>
      </c>
      <c r="JD115" s="675">
        <v>0</v>
      </c>
      <c r="JE115" s="675">
        <v>0</v>
      </c>
      <c r="JF115" s="675">
        <v>0</v>
      </c>
      <c r="JG115" s="675">
        <v>0</v>
      </c>
      <c r="JH115" s="675">
        <v>0</v>
      </c>
      <c r="JI115" s="675">
        <v>0</v>
      </c>
      <c r="JJ115" s="675">
        <v>0</v>
      </c>
      <c r="JK115" s="675">
        <v>0</v>
      </c>
      <c r="JL115" s="675">
        <v>0</v>
      </c>
      <c r="JM115" s="675">
        <v>0</v>
      </c>
      <c r="JN115" s="675">
        <v>35572</v>
      </c>
      <c r="JO115" s="675">
        <v>1.8120000000000001</v>
      </c>
      <c r="JP115" s="675">
        <v>4.258</v>
      </c>
      <c r="JQ115" s="675">
        <v>3.552</v>
      </c>
      <c r="JR115" s="675">
        <v>14477</v>
      </c>
      <c r="JS115" s="675">
        <v>39585</v>
      </c>
      <c r="JT115" s="675">
        <v>37923</v>
      </c>
      <c r="JU115" s="675">
        <v>0</v>
      </c>
      <c r="JV115" s="675">
        <v>0</v>
      </c>
      <c r="JW115" s="675">
        <v>0</v>
      </c>
      <c r="JX115" s="675">
        <v>0</v>
      </c>
      <c r="JY115" s="675">
        <v>0</v>
      </c>
      <c r="JZ115" s="675">
        <v>0</v>
      </c>
      <c r="KA115" s="675">
        <v>0</v>
      </c>
      <c r="KB115" s="675">
        <v>0</v>
      </c>
      <c r="KC115" s="675">
        <v>0</v>
      </c>
      <c r="KD115" s="675">
        <v>0</v>
      </c>
      <c r="KE115" s="675">
        <v>7263</v>
      </c>
      <c r="KF115" s="675">
        <v>0</v>
      </c>
      <c r="KG115" s="675">
        <v>0</v>
      </c>
      <c r="KH115" s="675">
        <v>0</v>
      </c>
      <c r="KI115" s="675">
        <v>0</v>
      </c>
    </row>
    <row r="116" spans="1:295" ht="12.5" x14ac:dyDescent="0.25">
      <c r="A116" s="675">
        <v>35795</v>
      </c>
      <c r="B116" s="675">
        <v>101819</v>
      </c>
      <c r="C116" s="675">
        <v>7</v>
      </c>
      <c r="D116" s="675">
        <v>2022</v>
      </c>
      <c r="E116" s="675">
        <v>6160</v>
      </c>
      <c r="F116" s="675">
        <v>0</v>
      </c>
      <c r="G116" s="675">
        <v>508.8</v>
      </c>
      <c r="H116" s="675">
        <v>500.851</v>
      </c>
      <c r="I116" s="675">
        <v>500.851</v>
      </c>
      <c r="J116" s="675">
        <v>508.8</v>
      </c>
      <c r="K116" s="675">
        <v>0</v>
      </c>
      <c r="L116" s="675">
        <v>6160</v>
      </c>
      <c r="M116" s="675">
        <v>0</v>
      </c>
      <c r="N116" s="675">
        <v>0</v>
      </c>
      <c r="O116" s="675">
        <v>0</v>
      </c>
      <c r="P116" s="675">
        <v>459.03200000000004</v>
      </c>
      <c r="Q116" s="675">
        <v>0</v>
      </c>
      <c r="R116" s="675">
        <v>184727</v>
      </c>
      <c r="S116" s="675">
        <v>402.428</v>
      </c>
      <c r="T116" s="675">
        <v>0</v>
      </c>
      <c r="U116" s="675">
        <v>98233</v>
      </c>
      <c r="V116" s="675">
        <v>418.50200000000001</v>
      </c>
      <c r="W116" s="675">
        <v>257796</v>
      </c>
      <c r="X116" s="675">
        <v>257796</v>
      </c>
      <c r="Y116" s="675">
        <v>0</v>
      </c>
      <c r="Z116" s="675">
        <v>0</v>
      </c>
      <c r="AA116" s="675">
        <v>0</v>
      </c>
      <c r="AB116" s="675">
        <v>0</v>
      </c>
      <c r="AC116" s="675">
        <v>0</v>
      </c>
      <c r="AD116" s="675" t="s">
        <v>316</v>
      </c>
      <c r="AE116" s="675">
        <v>0</v>
      </c>
      <c r="AF116" s="675">
        <v>0</v>
      </c>
      <c r="AG116" s="675">
        <v>0</v>
      </c>
      <c r="AH116" s="675">
        <v>0</v>
      </c>
      <c r="AI116" s="675">
        <v>0</v>
      </c>
      <c r="AJ116" s="675">
        <v>6160</v>
      </c>
      <c r="AK116" s="675" t="s">
        <v>671</v>
      </c>
      <c r="AL116" s="675" t="s">
        <v>347</v>
      </c>
      <c r="AM116" s="675">
        <v>0</v>
      </c>
      <c r="AN116" s="675">
        <v>0</v>
      </c>
      <c r="AO116" s="675">
        <v>0</v>
      </c>
      <c r="AP116" s="675">
        <v>0</v>
      </c>
      <c r="AQ116" s="675">
        <v>0</v>
      </c>
      <c r="AR116" s="675">
        <v>0</v>
      </c>
      <c r="AS116" s="675">
        <v>0</v>
      </c>
      <c r="AT116" s="675">
        <v>0</v>
      </c>
      <c r="AU116" s="675">
        <v>0</v>
      </c>
      <c r="AV116" s="675">
        <v>0</v>
      </c>
      <c r="AW116" s="675">
        <v>5904822</v>
      </c>
      <c r="AX116" s="675">
        <v>5770919</v>
      </c>
      <c r="AY116" s="675">
        <v>3769494</v>
      </c>
      <c r="AZ116" s="675">
        <v>184727</v>
      </c>
      <c r="BA116" s="675">
        <v>0</v>
      </c>
      <c r="BB116" s="675">
        <v>0</v>
      </c>
      <c r="BC116" s="675">
        <v>0</v>
      </c>
      <c r="BD116" s="675">
        <v>0</v>
      </c>
      <c r="BE116" s="675">
        <v>0</v>
      </c>
      <c r="BF116" s="675">
        <v>5304474</v>
      </c>
      <c r="BG116" s="675">
        <v>0</v>
      </c>
      <c r="BH116" s="675">
        <v>0</v>
      </c>
      <c r="BI116" s="675">
        <v>0</v>
      </c>
      <c r="BJ116" s="675">
        <v>12</v>
      </c>
      <c r="BK116" s="675">
        <v>0</v>
      </c>
      <c r="BL116" s="675">
        <v>0</v>
      </c>
      <c r="BM116" s="675">
        <v>0</v>
      </c>
      <c r="BN116" s="675">
        <v>0</v>
      </c>
      <c r="BO116" s="675">
        <v>0</v>
      </c>
      <c r="BP116" s="675">
        <v>0</v>
      </c>
      <c r="BQ116" s="675">
        <v>693</v>
      </c>
      <c r="BR116" s="675">
        <v>0</v>
      </c>
      <c r="BS116" s="675">
        <v>0</v>
      </c>
      <c r="BT116" s="675">
        <v>0</v>
      </c>
      <c r="BU116" s="675">
        <v>0</v>
      </c>
      <c r="BV116" s="675">
        <v>0</v>
      </c>
      <c r="BW116" s="675">
        <v>0</v>
      </c>
      <c r="BX116" s="675">
        <v>0</v>
      </c>
      <c r="BY116" s="675">
        <v>0</v>
      </c>
      <c r="BZ116" s="675">
        <v>0</v>
      </c>
      <c r="CA116" s="675">
        <v>0</v>
      </c>
      <c r="CB116" s="675">
        <v>0</v>
      </c>
      <c r="CC116" s="675">
        <v>0</v>
      </c>
      <c r="CD116" s="675">
        <v>0</v>
      </c>
      <c r="CE116" s="675">
        <v>0</v>
      </c>
      <c r="CF116" s="675">
        <v>0</v>
      </c>
      <c r="CG116" s="675">
        <v>0</v>
      </c>
      <c r="CH116" s="675">
        <v>134591</v>
      </c>
      <c r="CI116" s="675">
        <v>0</v>
      </c>
      <c r="CJ116" s="675">
        <v>4</v>
      </c>
      <c r="CK116" s="675">
        <v>0</v>
      </c>
      <c r="CL116" s="675">
        <v>0</v>
      </c>
      <c r="CM116" s="675">
        <v>0</v>
      </c>
      <c r="CN116" s="675">
        <v>0</v>
      </c>
      <c r="CO116" s="675">
        <v>1</v>
      </c>
      <c r="CP116" s="675">
        <v>0</v>
      </c>
      <c r="CQ116" s="675">
        <v>0</v>
      </c>
      <c r="CR116" s="675">
        <v>462.94300000000004</v>
      </c>
      <c r="CS116" s="675">
        <v>0</v>
      </c>
      <c r="CT116" s="675">
        <v>0</v>
      </c>
      <c r="CU116" s="675">
        <v>0</v>
      </c>
      <c r="CV116" s="675">
        <v>0</v>
      </c>
      <c r="CW116" s="675">
        <v>0</v>
      </c>
      <c r="CX116" s="675">
        <v>0</v>
      </c>
      <c r="CY116" s="675">
        <v>0</v>
      </c>
      <c r="CZ116" s="675">
        <v>0</v>
      </c>
      <c r="DA116" s="675">
        <v>0</v>
      </c>
      <c r="DB116" s="675">
        <v>3085228</v>
      </c>
      <c r="DC116" s="675">
        <v>0</v>
      </c>
      <c r="DD116" s="675">
        <v>0</v>
      </c>
      <c r="DE116" s="675">
        <v>924458</v>
      </c>
      <c r="DF116" s="675">
        <v>924458</v>
      </c>
      <c r="DG116" s="675">
        <v>150.07500000000002</v>
      </c>
      <c r="DH116" s="675">
        <v>0</v>
      </c>
      <c r="DI116" s="675">
        <v>0</v>
      </c>
      <c r="DJ116" s="675">
        <v>0</v>
      </c>
      <c r="DK116" s="675">
        <v>2708</v>
      </c>
      <c r="DL116" s="675">
        <v>0</v>
      </c>
      <c r="DM116" s="675">
        <v>182882</v>
      </c>
      <c r="DN116" s="675">
        <v>688</v>
      </c>
      <c r="DO116" s="675">
        <v>0</v>
      </c>
      <c r="DP116" s="675">
        <v>0</v>
      </c>
      <c r="DQ116" s="675">
        <v>0</v>
      </c>
      <c r="DR116" s="675">
        <v>0</v>
      </c>
      <c r="DS116" s="675">
        <v>0</v>
      </c>
      <c r="DT116" s="675">
        <v>0</v>
      </c>
      <c r="DU116" s="675">
        <v>0</v>
      </c>
      <c r="DV116" s="675">
        <v>0</v>
      </c>
      <c r="DW116" s="675">
        <v>0</v>
      </c>
      <c r="DX116" s="675">
        <v>0</v>
      </c>
      <c r="DY116" s="675">
        <v>0</v>
      </c>
      <c r="DZ116" s="675">
        <v>0</v>
      </c>
      <c r="EA116" s="675">
        <v>0</v>
      </c>
      <c r="EB116" s="675">
        <v>0</v>
      </c>
      <c r="EC116" s="675">
        <v>3.6830000000000003</v>
      </c>
      <c r="ED116" s="675">
        <v>26090</v>
      </c>
      <c r="EE116" s="675">
        <v>0</v>
      </c>
      <c r="EF116" s="675">
        <v>0</v>
      </c>
      <c r="EG116" s="675">
        <v>0</v>
      </c>
      <c r="EH116" s="675">
        <v>157480</v>
      </c>
      <c r="EI116" s="675">
        <v>0</v>
      </c>
      <c r="EJ116" s="675">
        <v>0</v>
      </c>
      <c r="EK116" s="675">
        <v>6.1580000000000004</v>
      </c>
      <c r="EL116" s="675">
        <v>0</v>
      </c>
      <c r="EM116" s="675">
        <v>0.93200000000000005</v>
      </c>
      <c r="EN116" s="675">
        <v>0.85899999999999999</v>
      </c>
      <c r="EO116" s="675">
        <v>0</v>
      </c>
      <c r="EP116" s="675">
        <v>0</v>
      </c>
      <c r="EQ116" s="675">
        <v>7.9490000000000007</v>
      </c>
      <c r="ER116" s="675">
        <v>0</v>
      </c>
      <c r="ES116" s="675">
        <v>25.565000000000001</v>
      </c>
      <c r="ET116" s="675">
        <v>0</v>
      </c>
      <c r="EU116" s="675">
        <v>0</v>
      </c>
      <c r="EV116" s="675">
        <v>0</v>
      </c>
      <c r="EW116" s="675">
        <v>0</v>
      </c>
      <c r="EX116" s="675">
        <v>0</v>
      </c>
      <c r="EY116" s="675">
        <v>0</v>
      </c>
      <c r="EZ116" s="675">
        <v>5119747</v>
      </c>
      <c r="FA116" s="675">
        <v>0</v>
      </c>
      <c r="FB116" s="675">
        <v>5303786</v>
      </c>
      <c r="FC116" s="675">
        <v>0</v>
      </c>
      <c r="FD116" s="675">
        <v>0</v>
      </c>
      <c r="FE116" s="675">
        <v>539574</v>
      </c>
      <c r="FF116" s="675">
        <v>111598</v>
      </c>
      <c r="FG116" s="675">
        <v>6.3574999999999993E-2</v>
      </c>
      <c r="FH116" s="675">
        <v>2.6297999999999998E-2</v>
      </c>
      <c r="FI116" s="675">
        <v>0</v>
      </c>
      <c r="FJ116" s="675">
        <v>0</v>
      </c>
      <c r="FK116" s="675">
        <v>861.12</v>
      </c>
      <c r="FL116" s="675">
        <v>6089549</v>
      </c>
      <c r="FM116" s="675">
        <v>0</v>
      </c>
      <c r="FN116" s="675">
        <v>0</v>
      </c>
      <c r="FO116" s="675">
        <v>0</v>
      </c>
      <c r="FP116" s="675">
        <v>0</v>
      </c>
      <c r="FQ116" s="675">
        <v>0</v>
      </c>
      <c r="FR116" s="675">
        <v>0</v>
      </c>
      <c r="FS116" s="675">
        <v>0</v>
      </c>
      <c r="FT116" s="675">
        <v>0</v>
      </c>
      <c r="FU116" s="675">
        <v>0</v>
      </c>
      <c r="FV116" s="675">
        <v>0</v>
      </c>
      <c r="FW116" s="675">
        <v>0</v>
      </c>
      <c r="FX116" s="675">
        <v>0</v>
      </c>
      <c r="FY116" s="675">
        <v>0</v>
      </c>
      <c r="FZ116" s="675">
        <v>0</v>
      </c>
      <c r="GA116" s="675">
        <v>0</v>
      </c>
      <c r="GB116" s="675">
        <v>0</v>
      </c>
      <c r="GC116" s="675">
        <v>0</v>
      </c>
      <c r="GD116" s="675">
        <v>0</v>
      </c>
      <c r="GE116" s="675">
        <v>0</v>
      </c>
      <c r="GF116" s="675">
        <v>0</v>
      </c>
      <c r="GG116" s="675">
        <v>0</v>
      </c>
      <c r="GH116" s="675">
        <v>0</v>
      </c>
      <c r="GI116" s="675">
        <v>0</v>
      </c>
      <c r="GJ116" s="675">
        <v>0</v>
      </c>
      <c r="GK116" s="675">
        <v>0</v>
      </c>
      <c r="GL116" s="675">
        <v>0</v>
      </c>
      <c r="GM116" s="675">
        <v>0</v>
      </c>
      <c r="GN116" s="675">
        <v>0</v>
      </c>
      <c r="GO116" s="675">
        <v>0</v>
      </c>
      <c r="GP116" s="675">
        <v>0</v>
      </c>
      <c r="GQ116" s="675">
        <v>0</v>
      </c>
      <c r="GR116" s="675">
        <v>0</v>
      </c>
      <c r="GS116" s="675">
        <v>0</v>
      </c>
      <c r="GT116" s="675">
        <v>0</v>
      </c>
      <c r="GU116" s="675">
        <v>0</v>
      </c>
      <c r="GV116" s="675">
        <v>0</v>
      </c>
      <c r="GW116" s="675">
        <v>0</v>
      </c>
      <c r="GX116" s="675">
        <v>0</v>
      </c>
      <c r="GY116" s="675">
        <v>0</v>
      </c>
      <c r="GZ116" s="675">
        <v>0</v>
      </c>
      <c r="HA116" s="675">
        <v>0</v>
      </c>
      <c r="HB116" s="675">
        <v>308877260</v>
      </c>
      <c r="HC116" s="675">
        <v>4.4138999999999998E-2</v>
      </c>
      <c r="HD116" s="675">
        <v>89831</v>
      </c>
      <c r="HE116" s="675">
        <v>0</v>
      </c>
      <c r="HF116" s="675">
        <v>552439</v>
      </c>
      <c r="HG116" s="675">
        <v>1925</v>
      </c>
      <c r="HH116" s="675">
        <v>294112</v>
      </c>
      <c r="HI116" s="675">
        <v>0</v>
      </c>
      <c r="HJ116" s="675">
        <v>4946</v>
      </c>
      <c r="HK116" s="675">
        <v>0</v>
      </c>
      <c r="HL116" s="675">
        <v>0</v>
      </c>
      <c r="HM116" s="675">
        <v>0</v>
      </c>
      <c r="HN116" s="675">
        <v>0</v>
      </c>
      <c r="HO116" s="675">
        <v>0</v>
      </c>
      <c r="HP116" s="675">
        <v>0</v>
      </c>
      <c r="HQ116" s="675">
        <v>0</v>
      </c>
      <c r="HR116" s="675">
        <v>0</v>
      </c>
      <c r="HS116" s="675">
        <v>5119059</v>
      </c>
      <c r="HT116" s="675">
        <v>111598</v>
      </c>
      <c r="HU116" s="675">
        <v>0</v>
      </c>
      <c r="HV116" s="675">
        <v>0</v>
      </c>
      <c r="HW116" s="675">
        <v>0</v>
      </c>
      <c r="HX116" s="675">
        <v>10</v>
      </c>
      <c r="HY116" s="675">
        <v>17</v>
      </c>
      <c r="HZ116" s="675">
        <v>37</v>
      </c>
      <c r="IA116" s="675">
        <v>83</v>
      </c>
      <c r="IB116" s="675">
        <v>410</v>
      </c>
      <c r="IC116" s="675">
        <v>557</v>
      </c>
      <c r="ID116" s="675">
        <v>0</v>
      </c>
      <c r="IE116" s="675">
        <v>0</v>
      </c>
      <c r="IF116" s="675">
        <v>0</v>
      </c>
      <c r="IG116" s="675">
        <v>3.125</v>
      </c>
      <c r="IH116" s="675">
        <v>477.45600000000002</v>
      </c>
      <c r="II116" s="675">
        <v>0</v>
      </c>
      <c r="IJ116" s="675">
        <v>418.50200000000001</v>
      </c>
      <c r="IK116" s="675">
        <v>0</v>
      </c>
      <c r="IL116" s="675">
        <v>0</v>
      </c>
      <c r="IM116" s="675">
        <v>0</v>
      </c>
      <c r="IN116" s="675">
        <v>0</v>
      </c>
      <c r="IO116" s="675">
        <v>0</v>
      </c>
      <c r="IP116" s="675">
        <v>0</v>
      </c>
      <c r="IQ116" s="675">
        <v>418.50200000000001</v>
      </c>
      <c r="IR116" s="675">
        <v>257796</v>
      </c>
      <c r="IS116" s="675">
        <v>0</v>
      </c>
      <c r="IT116" s="675">
        <v>0</v>
      </c>
      <c r="IU116" s="675">
        <v>0</v>
      </c>
      <c r="IV116" s="675">
        <v>0</v>
      </c>
      <c r="IW116" s="675">
        <v>6160</v>
      </c>
      <c r="IX116" s="675">
        <v>0</v>
      </c>
      <c r="IY116" s="675">
        <v>0</v>
      </c>
      <c r="IZ116" s="675">
        <v>0</v>
      </c>
      <c r="JA116" s="675">
        <v>0</v>
      </c>
      <c r="JB116" s="675">
        <v>0</v>
      </c>
      <c r="JC116" s="675">
        <v>0</v>
      </c>
      <c r="JD116" s="675">
        <v>0</v>
      </c>
      <c r="JE116" s="675">
        <v>0</v>
      </c>
      <c r="JF116" s="675">
        <v>0</v>
      </c>
      <c r="JG116" s="675">
        <v>0</v>
      </c>
      <c r="JH116" s="675">
        <v>0</v>
      </c>
      <c r="JI116" s="675">
        <v>0</v>
      </c>
      <c r="JJ116" s="675">
        <v>0</v>
      </c>
      <c r="JK116" s="675">
        <v>0</v>
      </c>
      <c r="JL116" s="675">
        <v>0</v>
      </c>
      <c r="JM116" s="675">
        <v>0</v>
      </c>
      <c r="JN116" s="675">
        <v>32469</v>
      </c>
      <c r="JO116" s="675">
        <v>0</v>
      </c>
      <c r="JP116" s="675">
        <v>0</v>
      </c>
      <c r="JQ116" s="675">
        <v>0</v>
      </c>
      <c r="JR116" s="675">
        <v>0</v>
      </c>
      <c r="JS116" s="675">
        <v>0</v>
      </c>
      <c r="JT116" s="675">
        <v>0</v>
      </c>
      <c r="JU116" s="675">
        <v>0</v>
      </c>
      <c r="JV116" s="675">
        <v>0</v>
      </c>
      <c r="JW116" s="675">
        <v>0</v>
      </c>
      <c r="JX116" s="675">
        <v>0</v>
      </c>
      <c r="JY116" s="675">
        <v>0</v>
      </c>
      <c r="JZ116" s="675">
        <v>0</v>
      </c>
      <c r="KA116" s="675">
        <v>0</v>
      </c>
      <c r="KB116" s="675">
        <v>0</v>
      </c>
      <c r="KC116" s="675">
        <v>0</v>
      </c>
      <c r="KD116" s="675">
        <v>0</v>
      </c>
      <c r="KE116" s="675">
        <v>7263</v>
      </c>
      <c r="KF116" s="675">
        <v>44760</v>
      </c>
      <c r="KG116" s="675">
        <v>0</v>
      </c>
      <c r="KH116" s="675">
        <v>0</v>
      </c>
      <c r="KI116" s="675">
        <v>0</v>
      </c>
    </row>
    <row r="117" spans="1:295" ht="12.5" x14ac:dyDescent="0.25">
      <c r="A117" s="675">
        <v>35795</v>
      </c>
      <c r="B117" s="675">
        <v>220819</v>
      </c>
      <c r="C117" s="675">
        <v>7</v>
      </c>
      <c r="D117" s="675">
        <v>2022</v>
      </c>
      <c r="E117" s="675">
        <v>6160</v>
      </c>
      <c r="F117" s="675">
        <v>0</v>
      </c>
      <c r="G117" s="675">
        <v>1344.1850000000002</v>
      </c>
      <c r="H117" s="675">
        <v>1283.6600000000001</v>
      </c>
      <c r="I117" s="675">
        <v>1283.6600000000001</v>
      </c>
      <c r="J117" s="675">
        <v>1344.1850000000002</v>
      </c>
      <c r="K117" s="675">
        <v>0</v>
      </c>
      <c r="L117" s="675">
        <v>6160</v>
      </c>
      <c r="M117" s="675">
        <v>0</v>
      </c>
      <c r="N117" s="675">
        <v>0</v>
      </c>
      <c r="O117" s="675">
        <v>0</v>
      </c>
      <c r="P117" s="675">
        <v>1500.923</v>
      </c>
      <c r="Q117" s="675">
        <v>0</v>
      </c>
      <c r="R117" s="675">
        <v>604013</v>
      </c>
      <c r="S117" s="675">
        <v>402.428</v>
      </c>
      <c r="T117" s="675">
        <v>0</v>
      </c>
      <c r="U117" s="675">
        <v>321199</v>
      </c>
      <c r="V117" s="675">
        <v>92.105000000000004</v>
      </c>
      <c r="W117" s="675">
        <v>56736</v>
      </c>
      <c r="X117" s="675">
        <v>56736</v>
      </c>
      <c r="Y117" s="675">
        <v>0</v>
      </c>
      <c r="Z117" s="675">
        <v>0</v>
      </c>
      <c r="AA117" s="675">
        <v>0</v>
      </c>
      <c r="AB117" s="675">
        <v>0</v>
      </c>
      <c r="AC117" s="675">
        <v>0</v>
      </c>
      <c r="AD117" s="675" t="s">
        <v>316</v>
      </c>
      <c r="AE117" s="675">
        <v>0</v>
      </c>
      <c r="AF117" s="675">
        <v>0</v>
      </c>
      <c r="AG117" s="675">
        <v>0</v>
      </c>
      <c r="AH117" s="675">
        <v>0</v>
      </c>
      <c r="AI117" s="675">
        <v>0</v>
      </c>
      <c r="AJ117" s="675">
        <v>6160</v>
      </c>
      <c r="AK117" s="675" t="s">
        <v>671</v>
      </c>
      <c r="AL117" s="675" t="s">
        <v>373</v>
      </c>
      <c r="AM117" s="675">
        <v>0</v>
      </c>
      <c r="AN117" s="675">
        <v>0</v>
      </c>
      <c r="AO117" s="675">
        <v>0</v>
      </c>
      <c r="AP117" s="675">
        <v>0</v>
      </c>
      <c r="AQ117" s="675">
        <v>0</v>
      </c>
      <c r="AR117" s="675">
        <v>0</v>
      </c>
      <c r="AS117" s="675">
        <v>0</v>
      </c>
      <c r="AT117" s="675">
        <v>0</v>
      </c>
      <c r="AU117" s="675">
        <v>0</v>
      </c>
      <c r="AV117" s="675">
        <v>0</v>
      </c>
      <c r="AW117" s="675">
        <v>14011941</v>
      </c>
      <c r="AX117" s="675">
        <v>13778428</v>
      </c>
      <c r="AY117" s="675">
        <v>10038022</v>
      </c>
      <c r="AZ117" s="675">
        <v>604013</v>
      </c>
      <c r="BA117" s="675">
        <v>0</v>
      </c>
      <c r="BB117" s="675">
        <v>28890</v>
      </c>
      <c r="BC117" s="675">
        <v>28703</v>
      </c>
      <c r="BD117" s="675">
        <v>67</v>
      </c>
      <c r="BE117" s="675">
        <v>187</v>
      </c>
      <c r="BF117" s="675">
        <v>12807232</v>
      </c>
      <c r="BG117" s="675">
        <v>0</v>
      </c>
      <c r="BH117" s="675">
        <v>0</v>
      </c>
      <c r="BI117" s="675">
        <v>0</v>
      </c>
      <c r="BJ117" s="675">
        <v>12</v>
      </c>
      <c r="BK117" s="675">
        <v>0</v>
      </c>
      <c r="BL117" s="675">
        <v>0</v>
      </c>
      <c r="BM117" s="675">
        <v>0</v>
      </c>
      <c r="BN117" s="675">
        <v>0</v>
      </c>
      <c r="BO117" s="675">
        <v>0</v>
      </c>
      <c r="BP117" s="675">
        <v>0</v>
      </c>
      <c r="BQ117" s="675">
        <v>572</v>
      </c>
      <c r="BR117" s="675">
        <v>0</v>
      </c>
      <c r="BS117" s="675">
        <v>0</v>
      </c>
      <c r="BT117" s="675">
        <v>0</v>
      </c>
      <c r="BU117" s="675">
        <v>0</v>
      </c>
      <c r="BV117" s="675">
        <v>0</v>
      </c>
      <c r="BW117" s="675">
        <v>0</v>
      </c>
      <c r="BX117" s="675">
        <v>0</v>
      </c>
      <c r="BY117" s="675">
        <v>0</v>
      </c>
      <c r="BZ117" s="675">
        <v>0</v>
      </c>
      <c r="CA117" s="675">
        <v>0</v>
      </c>
      <c r="CB117" s="675">
        <v>0</v>
      </c>
      <c r="CC117" s="675">
        <v>0</v>
      </c>
      <c r="CD117" s="675">
        <v>0</v>
      </c>
      <c r="CE117" s="675">
        <v>0</v>
      </c>
      <c r="CF117" s="675">
        <v>0</v>
      </c>
      <c r="CG117" s="675">
        <v>0</v>
      </c>
      <c r="CH117" s="675">
        <v>237323</v>
      </c>
      <c r="CI117" s="675">
        <v>0</v>
      </c>
      <c r="CJ117" s="675">
        <v>5</v>
      </c>
      <c r="CK117" s="675">
        <v>0</v>
      </c>
      <c r="CL117" s="675">
        <v>0</v>
      </c>
      <c r="CM117" s="675">
        <v>0</v>
      </c>
      <c r="CN117" s="675">
        <v>0</v>
      </c>
      <c r="CO117" s="675">
        <v>1</v>
      </c>
      <c r="CP117" s="675">
        <v>0</v>
      </c>
      <c r="CQ117" s="675">
        <v>0</v>
      </c>
      <c r="CR117" s="675">
        <v>1497.6190000000001</v>
      </c>
      <c r="CS117" s="675">
        <v>0</v>
      </c>
      <c r="CT117" s="675">
        <v>0</v>
      </c>
      <c r="CU117" s="675">
        <v>0</v>
      </c>
      <c r="CV117" s="675">
        <v>0</v>
      </c>
      <c r="CW117" s="675">
        <v>0</v>
      </c>
      <c r="CX117" s="675">
        <v>0</v>
      </c>
      <c r="CY117" s="675">
        <v>0</v>
      </c>
      <c r="CZ117" s="675">
        <v>0</v>
      </c>
      <c r="DA117" s="675">
        <v>0</v>
      </c>
      <c r="DB117" s="675">
        <v>7860687</v>
      </c>
      <c r="DC117" s="675">
        <v>0</v>
      </c>
      <c r="DD117" s="675">
        <v>0</v>
      </c>
      <c r="DE117" s="675">
        <v>1904047</v>
      </c>
      <c r="DF117" s="675">
        <v>1904047</v>
      </c>
      <c r="DG117" s="675">
        <v>309.10000000000002</v>
      </c>
      <c r="DH117" s="675">
        <v>0</v>
      </c>
      <c r="DI117" s="675">
        <v>0</v>
      </c>
      <c r="DJ117" s="675">
        <v>0</v>
      </c>
      <c r="DK117" s="675">
        <v>779</v>
      </c>
      <c r="DL117" s="675">
        <v>0</v>
      </c>
      <c r="DM117" s="675">
        <v>1009674</v>
      </c>
      <c r="DN117" s="675">
        <v>3623</v>
      </c>
      <c r="DO117" s="675">
        <v>0</v>
      </c>
      <c r="DP117" s="675">
        <v>0</v>
      </c>
      <c r="DQ117" s="675">
        <v>0</v>
      </c>
      <c r="DR117" s="675">
        <v>0</v>
      </c>
      <c r="DS117" s="675">
        <v>0</v>
      </c>
      <c r="DT117" s="675">
        <v>0</v>
      </c>
      <c r="DU117" s="675">
        <v>0</v>
      </c>
      <c r="DV117" s="675">
        <v>0</v>
      </c>
      <c r="DW117" s="675">
        <v>0</v>
      </c>
      <c r="DX117" s="675">
        <v>0</v>
      </c>
      <c r="DY117" s="675">
        <v>0</v>
      </c>
      <c r="DZ117" s="675">
        <v>0</v>
      </c>
      <c r="EA117" s="675">
        <v>0</v>
      </c>
      <c r="EB117" s="675">
        <v>0</v>
      </c>
      <c r="EC117" s="675">
        <v>57.676000000000002</v>
      </c>
      <c r="ED117" s="675">
        <v>408575</v>
      </c>
      <c r="EE117" s="675">
        <v>0</v>
      </c>
      <c r="EF117" s="675">
        <v>0</v>
      </c>
      <c r="EG117" s="675">
        <v>0</v>
      </c>
      <c r="EH117" s="675">
        <v>558100</v>
      </c>
      <c r="EI117" s="675">
        <v>0</v>
      </c>
      <c r="EJ117" s="675">
        <v>0</v>
      </c>
      <c r="EK117" s="675">
        <v>23.024000000000001</v>
      </c>
      <c r="EL117" s="675">
        <v>0</v>
      </c>
      <c r="EM117" s="675">
        <v>1.9680000000000002</v>
      </c>
      <c r="EN117" s="675">
        <v>3.125</v>
      </c>
      <c r="EO117" s="675">
        <v>0</v>
      </c>
      <c r="EP117" s="675">
        <v>0</v>
      </c>
      <c r="EQ117" s="675">
        <v>28.117000000000001</v>
      </c>
      <c r="ER117" s="675">
        <v>0</v>
      </c>
      <c r="ES117" s="675">
        <v>90.600999999999999</v>
      </c>
      <c r="ET117" s="675">
        <v>0</v>
      </c>
      <c r="EU117" s="675">
        <v>0</v>
      </c>
      <c r="EV117" s="675">
        <v>0</v>
      </c>
      <c r="EW117" s="675">
        <v>0</v>
      </c>
      <c r="EX117" s="675">
        <v>0</v>
      </c>
      <c r="EY117" s="675">
        <v>0</v>
      </c>
      <c r="EZ117" s="675">
        <v>12206225</v>
      </c>
      <c r="FA117" s="675">
        <v>0</v>
      </c>
      <c r="FB117" s="675">
        <v>12806428</v>
      </c>
      <c r="FC117" s="675">
        <v>0</v>
      </c>
      <c r="FD117" s="675">
        <v>0</v>
      </c>
      <c r="FE117" s="675">
        <v>1302758</v>
      </c>
      <c r="FF117" s="675">
        <v>269445</v>
      </c>
      <c r="FG117" s="675">
        <v>6.3574999999999993E-2</v>
      </c>
      <c r="FH117" s="675">
        <v>2.6297999999999998E-2</v>
      </c>
      <c r="FI117" s="675">
        <v>0</v>
      </c>
      <c r="FJ117" s="675">
        <v>0</v>
      </c>
      <c r="FK117" s="675">
        <v>2079.1060000000002</v>
      </c>
      <c r="FL117" s="675">
        <v>14615954</v>
      </c>
      <c r="FM117" s="675">
        <v>0</v>
      </c>
      <c r="FN117" s="675">
        <v>0</v>
      </c>
      <c r="FO117" s="675">
        <v>0</v>
      </c>
      <c r="FP117" s="675">
        <v>0</v>
      </c>
      <c r="FQ117" s="675">
        <v>0</v>
      </c>
      <c r="FR117" s="675">
        <v>0</v>
      </c>
      <c r="FS117" s="675">
        <v>0</v>
      </c>
      <c r="FT117" s="675">
        <v>0</v>
      </c>
      <c r="FU117" s="675">
        <v>0</v>
      </c>
      <c r="FV117" s="675">
        <v>0</v>
      </c>
      <c r="FW117" s="675">
        <v>0</v>
      </c>
      <c r="FX117" s="675">
        <v>0</v>
      </c>
      <c r="FY117" s="675">
        <v>0</v>
      </c>
      <c r="FZ117" s="675">
        <v>0</v>
      </c>
      <c r="GA117" s="675">
        <v>0</v>
      </c>
      <c r="GB117" s="675">
        <v>289909</v>
      </c>
      <c r="GC117" s="675">
        <v>289909</v>
      </c>
      <c r="GD117" s="675">
        <v>32.408000000000001</v>
      </c>
      <c r="GE117" s="675">
        <v>0</v>
      </c>
      <c r="GF117" s="675">
        <v>0</v>
      </c>
      <c r="GG117" s="675">
        <v>0</v>
      </c>
      <c r="GH117" s="675">
        <v>0</v>
      </c>
      <c r="GI117" s="675">
        <v>0</v>
      </c>
      <c r="GJ117" s="675">
        <v>0</v>
      </c>
      <c r="GK117" s="675">
        <v>0</v>
      </c>
      <c r="GL117" s="675">
        <v>0</v>
      </c>
      <c r="GM117" s="675">
        <v>0</v>
      </c>
      <c r="GN117" s="675">
        <v>0</v>
      </c>
      <c r="GO117" s="675">
        <v>0</v>
      </c>
      <c r="GP117" s="675">
        <v>0</v>
      </c>
      <c r="GQ117" s="675">
        <v>0</v>
      </c>
      <c r="GR117" s="675">
        <v>0</v>
      </c>
      <c r="GS117" s="675">
        <v>0</v>
      </c>
      <c r="GT117" s="675">
        <v>0</v>
      </c>
      <c r="GU117" s="675">
        <v>0</v>
      </c>
      <c r="GV117" s="675">
        <v>0</v>
      </c>
      <c r="GW117" s="675">
        <v>0</v>
      </c>
      <c r="GX117" s="675">
        <v>0</v>
      </c>
      <c r="GY117" s="675">
        <v>0</v>
      </c>
      <c r="GZ117" s="675">
        <v>0</v>
      </c>
      <c r="HA117" s="675">
        <v>0</v>
      </c>
      <c r="HB117" s="675">
        <v>308877260</v>
      </c>
      <c r="HC117" s="675">
        <v>4.4138999999999998E-2</v>
      </c>
      <c r="HD117" s="675">
        <v>237323</v>
      </c>
      <c r="HE117" s="675">
        <v>0</v>
      </c>
      <c r="HF117" s="675">
        <v>1415877</v>
      </c>
      <c r="HG117" s="675">
        <v>92400</v>
      </c>
      <c r="HH117" s="675">
        <v>132324</v>
      </c>
      <c r="HI117" s="675">
        <v>0</v>
      </c>
      <c r="HJ117" s="675">
        <v>13065</v>
      </c>
      <c r="HK117" s="675">
        <v>3006</v>
      </c>
      <c r="HL117" s="675">
        <v>0</v>
      </c>
      <c r="HM117" s="675">
        <v>0</v>
      </c>
      <c r="HN117" s="675">
        <v>0</v>
      </c>
      <c r="HO117" s="675">
        <v>0</v>
      </c>
      <c r="HP117" s="675">
        <v>0</v>
      </c>
      <c r="HQ117" s="675">
        <v>0</v>
      </c>
      <c r="HR117" s="675">
        <v>0</v>
      </c>
      <c r="HS117" s="675">
        <v>12202415</v>
      </c>
      <c r="HT117" s="675">
        <v>269445</v>
      </c>
      <c r="HU117" s="675">
        <v>0</v>
      </c>
      <c r="HV117" s="675">
        <v>0</v>
      </c>
      <c r="HW117" s="675">
        <v>0</v>
      </c>
      <c r="HX117" s="675">
        <v>409</v>
      </c>
      <c r="HY117" s="675">
        <v>314</v>
      </c>
      <c r="HZ117" s="675">
        <v>244</v>
      </c>
      <c r="IA117" s="675">
        <v>146</v>
      </c>
      <c r="IB117" s="675">
        <v>157</v>
      </c>
      <c r="IC117" s="675">
        <v>1270</v>
      </c>
      <c r="ID117" s="675">
        <v>0</v>
      </c>
      <c r="IE117" s="675">
        <v>0</v>
      </c>
      <c r="IF117" s="675">
        <v>0</v>
      </c>
      <c r="IG117" s="675">
        <v>150</v>
      </c>
      <c r="IH117" s="675">
        <v>214.81300000000002</v>
      </c>
      <c r="II117" s="675">
        <v>0</v>
      </c>
      <c r="IJ117" s="675">
        <v>92.105000000000004</v>
      </c>
      <c r="IK117" s="675">
        <v>0</v>
      </c>
      <c r="IL117" s="675">
        <v>0</v>
      </c>
      <c r="IM117" s="675">
        <v>0</v>
      </c>
      <c r="IN117" s="675">
        <v>0</v>
      </c>
      <c r="IO117" s="675">
        <v>0</v>
      </c>
      <c r="IP117" s="675">
        <v>0</v>
      </c>
      <c r="IQ117" s="675">
        <v>92.105000000000004</v>
      </c>
      <c r="IR117" s="675">
        <v>56736</v>
      </c>
      <c r="IS117" s="675">
        <v>0</v>
      </c>
      <c r="IT117" s="675">
        <v>0</v>
      </c>
      <c r="IU117" s="675">
        <v>0</v>
      </c>
      <c r="IV117" s="675">
        <v>0</v>
      </c>
      <c r="IW117" s="675">
        <v>6160</v>
      </c>
      <c r="IX117" s="675">
        <v>0</v>
      </c>
      <c r="IY117" s="675">
        <v>0</v>
      </c>
      <c r="IZ117" s="675">
        <v>0</v>
      </c>
      <c r="JA117" s="675">
        <v>0</v>
      </c>
      <c r="JB117" s="675">
        <v>0</v>
      </c>
      <c r="JC117" s="675">
        <v>0</v>
      </c>
      <c r="JD117" s="675">
        <v>0</v>
      </c>
      <c r="JE117" s="675">
        <v>0</v>
      </c>
      <c r="JF117" s="675">
        <v>0</v>
      </c>
      <c r="JG117" s="675">
        <v>0</v>
      </c>
      <c r="JH117" s="675">
        <v>0</v>
      </c>
      <c r="JI117" s="675">
        <v>0</v>
      </c>
      <c r="JJ117" s="675">
        <v>0</v>
      </c>
      <c r="JK117" s="675">
        <v>0</v>
      </c>
      <c r="JL117" s="675">
        <v>0</v>
      </c>
      <c r="JM117" s="675">
        <v>0</v>
      </c>
      <c r="JN117" s="675">
        <v>32469</v>
      </c>
      <c r="JO117" s="675">
        <v>14.373000000000001</v>
      </c>
      <c r="JP117" s="675">
        <v>12.662000000000001</v>
      </c>
      <c r="JQ117" s="675">
        <v>5.3730000000000002</v>
      </c>
      <c r="JR117" s="675">
        <v>114830</v>
      </c>
      <c r="JS117" s="675">
        <v>117714</v>
      </c>
      <c r="JT117" s="675">
        <v>57365</v>
      </c>
      <c r="JU117" s="675">
        <v>28890</v>
      </c>
      <c r="JV117" s="675">
        <v>0</v>
      </c>
      <c r="JW117" s="675">
        <v>0</v>
      </c>
      <c r="JX117" s="675">
        <v>0</v>
      </c>
      <c r="JY117" s="675">
        <v>0</v>
      </c>
      <c r="JZ117" s="675">
        <v>0</v>
      </c>
      <c r="KA117" s="675">
        <v>0</v>
      </c>
      <c r="KB117" s="675">
        <v>0</v>
      </c>
      <c r="KC117" s="675">
        <v>0</v>
      </c>
      <c r="KD117" s="675">
        <v>28890</v>
      </c>
      <c r="KE117" s="675">
        <v>7263</v>
      </c>
      <c r="KF117" s="675">
        <v>0</v>
      </c>
      <c r="KG117" s="675">
        <v>0</v>
      </c>
      <c r="KH117" s="675">
        <v>0</v>
      </c>
      <c r="KI117" s="675">
        <v>0</v>
      </c>
    </row>
    <row r="118" spans="1:295" ht="12.5" x14ac:dyDescent="0.25">
      <c r="A118" s="675">
        <v>35795</v>
      </c>
      <c r="B118" s="675">
        <v>227819</v>
      </c>
      <c r="C118" s="675">
        <v>7</v>
      </c>
      <c r="D118" s="675">
        <v>2022</v>
      </c>
      <c r="E118" s="675">
        <v>6160</v>
      </c>
      <c r="F118" s="675">
        <v>0</v>
      </c>
      <c r="G118" s="675">
        <v>258.40199999999999</v>
      </c>
      <c r="H118" s="675">
        <v>246.501</v>
      </c>
      <c r="I118" s="675">
        <v>246.501</v>
      </c>
      <c r="J118" s="675">
        <v>258.40199999999999</v>
      </c>
      <c r="K118" s="675">
        <v>0</v>
      </c>
      <c r="L118" s="675">
        <v>6160</v>
      </c>
      <c r="M118" s="675">
        <v>0</v>
      </c>
      <c r="N118" s="675">
        <v>0</v>
      </c>
      <c r="O118" s="675">
        <v>0</v>
      </c>
      <c r="P118" s="675">
        <v>260.97700000000003</v>
      </c>
      <c r="Q118" s="675">
        <v>0</v>
      </c>
      <c r="R118" s="675">
        <v>105024</v>
      </c>
      <c r="S118" s="675">
        <v>402.428</v>
      </c>
      <c r="T118" s="675">
        <v>0</v>
      </c>
      <c r="U118" s="675">
        <v>55849</v>
      </c>
      <c r="V118" s="675">
        <v>33.317</v>
      </c>
      <c r="W118" s="675">
        <v>20523</v>
      </c>
      <c r="X118" s="675">
        <v>20523</v>
      </c>
      <c r="Y118" s="675">
        <v>0</v>
      </c>
      <c r="Z118" s="675">
        <v>0</v>
      </c>
      <c r="AA118" s="675">
        <v>0</v>
      </c>
      <c r="AB118" s="675">
        <v>0</v>
      </c>
      <c r="AC118" s="675">
        <v>0</v>
      </c>
      <c r="AD118" s="675" t="s">
        <v>316</v>
      </c>
      <c r="AE118" s="675">
        <v>0</v>
      </c>
      <c r="AF118" s="675">
        <v>0</v>
      </c>
      <c r="AG118" s="675">
        <v>0</v>
      </c>
      <c r="AH118" s="675">
        <v>0</v>
      </c>
      <c r="AI118" s="675">
        <v>0</v>
      </c>
      <c r="AJ118" s="675">
        <v>6160</v>
      </c>
      <c r="AK118" s="675" t="s">
        <v>671</v>
      </c>
      <c r="AL118" s="675" t="s">
        <v>88</v>
      </c>
      <c r="AM118" s="675">
        <v>0</v>
      </c>
      <c r="AN118" s="675">
        <v>0</v>
      </c>
      <c r="AO118" s="675">
        <v>0</v>
      </c>
      <c r="AP118" s="675">
        <v>0</v>
      </c>
      <c r="AQ118" s="675">
        <v>0</v>
      </c>
      <c r="AR118" s="675">
        <v>0</v>
      </c>
      <c r="AS118" s="675">
        <v>0</v>
      </c>
      <c r="AT118" s="675">
        <v>0</v>
      </c>
      <c r="AU118" s="675">
        <v>0</v>
      </c>
      <c r="AV118" s="675">
        <v>-5829</v>
      </c>
      <c r="AW118" s="675">
        <v>2659425</v>
      </c>
      <c r="AX118" s="675">
        <v>2614748</v>
      </c>
      <c r="AY118" s="675">
        <v>1747081</v>
      </c>
      <c r="AZ118" s="675">
        <v>105024</v>
      </c>
      <c r="BA118" s="675">
        <v>0</v>
      </c>
      <c r="BB118" s="675">
        <v>4312</v>
      </c>
      <c r="BC118" s="675">
        <v>4284</v>
      </c>
      <c r="BD118" s="675">
        <v>10</v>
      </c>
      <c r="BE118" s="675">
        <v>28</v>
      </c>
      <c r="BF118" s="675">
        <v>2422400</v>
      </c>
      <c r="BG118" s="675">
        <v>0</v>
      </c>
      <c r="BH118" s="675">
        <v>0</v>
      </c>
      <c r="BI118" s="675">
        <v>0</v>
      </c>
      <c r="BJ118" s="675">
        <v>12</v>
      </c>
      <c r="BK118" s="675">
        <v>0</v>
      </c>
      <c r="BL118" s="675">
        <v>0</v>
      </c>
      <c r="BM118" s="675">
        <v>0</v>
      </c>
      <c r="BN118" s="675">
        <v>0</v>
      </c>
      <c r="BO118" s="675">
        <v>0</v>
      </c>
      <c r="BP118" s="675">
        <v>0</v>
      </c>
      <c r="BQ118" s="675">
        <v>732</v>
      </c>
      <c r="BR118" s="675">
        <v>0</v>
      </c>
      <c r="BS118" s="675">
        <v>0</v>
      </c>
      <c r="BT118" s="675">
        <v>0</v>
      </c>
      <c r="BU118" s="675">
        <v>0</v>
      </c>
      <c r="BV118" s="675">
        <v>0</v>
      </c>
      <c r="BW118" s="675">
        <v>0</v>
      </c>
      <c r="BX118" s="675">
        <v>0</v>
      </c>
      <c r="BY118" s="675">
        <v>0</v>
      </c>
      <c r="BZ118" s="675">
        <v>0</v>
      </c>
      <c r="CA118" s="675">
        <v>0</v>
      </c>
      <c r="CB118" s="675">
        <v>0</v>
      </c>
      <c r="CC118" s="675">
        <v>0</v>
      </c>
      <c r="CD118" s="675">
        <v>0</v>
      </c>
      <c r="CE118" s="675">
        <v>0</v>
      </c>
      <c r="CF118" s="675">
        <v>0</v>
      </c>
      <c r="CG118" s="675">
        <v>0</v>
      </c>
      <c r="CH118" s="675">
        <v>45622</v>
      </c>
      <c r="CI118" s="675">
        <v>0</v>
      </c>
      <c r="CJ118" s="675">
        <v>4</v>
      </c>
      <c r="CK118" s="675">
        <v>0</v>
      </c>
      <c r="CL118" s="675">
        <v>0</v>
      </c>
      <c r="CM118" s="675">
        <v>0</v>
      </c>
      <c r="CN118" s="675">
        <v>0</v>
      </c>
      <c r="CO118" s="675">
        <v>1</v>
      </c>
      <c r="CP118" s="675">
        <v>0</v>
      </c>
      <c r="CQ118" s="675">
        <v>0</v>
      </c>
      <c r="CR118" s="675">
        <v>261.66200000000003</v>
      </c>
      <c r="CS118" s="675">
        <v>0</v>
      </c>
      <c r="CT118" s="675">
        <v>0</v>
      </c>
      <c r="CU118" s="675">
        <v>0</v>
      </c>
      <c r="CV118" s="675">
        <v>0</v>
      </c>
      <c r="CW118" s="675">
        <v>0</v>
      </c>
      <c r="CX118" s="675">
        <v>0</v>
      </c>
      <c r="CY118" s="675">
        <v>0</v>
      </c>
      <c r="CZ118" s="675">
        <v>0</v>
      </c>
      <c r="DA118" s="675">
        <v>0</v>
      </c>
      <c r="DB118" s="675">
        <v>1495430</v>
      </c>
      <c r="DC118" s="675">
        <v>0</v>
      </c>
      <c r="DD118" s="675">
        <v>0</v>
      </c>
      <c r="DE118" s="675">
        <v>279201</v>
      </c>
      <c r="DF118" s="675">
        <v>279201</v>
      </c>
      <c r="DG118" s="675">
        <v>45.325000000000003</v>
      </c>
      <c r="DH118" s="675">
        <v>0</v>
      </c>
      <c r="DI118" s="675">
        <v>0</v>
      </c>
      <c r="DJ118" s="675">
        <v>0</v>
      </c>
      <c r="DK118" s="675">
        <v>3335</v>
      </c>
      <c r="DL118" s="675">
        <v>0</v>
      </c>
      <c r="DM118" s="675">
        <v>266791</v>
      </c>
      <c r="DN118" s="675">
        <v>917</v>
      </c>
      <c r="DO118" s="675">
        <v>0</v>
      </c>
      <c r="DP118" s="675">
        <v>0</v>
      </c>
      <c r="DQ118" s="675">
        <v>0</v>
      </c>
      <c r="DR118" s="675">
        <v>0</v>
      </c>
      <c r="DS118" s="675">
        <v>0</v>
      </c>
      <c r="DT118" s="675">
        <v>0</v>
      </c>
      <c r="DU118" s="675">
        <v>0</v>
      </c>
      <c r="DV118" s="675">
        <v>0</v>
      </c>
      <c r="DW118" s="675">
        <v>0</v>
      </c>
      <c r="DX118" s="675">
        <v>0</v>
      </c>
      <c r="DY118" s="675">
        <v>0</v>
      </c>
      <c r="DZ118" s="675">
        <v>0</v>
      </c>
      <c r="EA118" s="675">
        <v>0</v>
      </c>
      <c r="EB118" s="675">
        <v>0</v>
      </c>
      <c r="EC118" s="675">
        <v>1.6860000000000002</v>
      </c>
      <c r="ED118" s="675">
        <v>11944</v>
      </c>
      <c r="EE118" s="675">
        <v>0</v>
      </c>
      <c r="EF118" s="675">
        <v>0</v>
      </c>
      <c r="EG118" s="675">
        <v>0</v>
      </c>
      <c r="EH118" s="675">
        <v>232755</v>
      </c>
      <c r="EI118" s="675">
        <v>0</v>
      </c>
      <c r="EJ118" s="675">
        <v>0</v>
      </c>
      <c r="EK118" s="675">
        <v>8.8060000000000009</v>
      </c>
      <c r="EL118" s="675">
        <v>0</v>
      </c>
      <c r="EM118" s="675">
        <v>2.0540000000000003</v>
      </c>
      <c r="EN118" s="675">
        <v>1.0410000000000001</v>
      </c>
      <c r="EO118" s="675">
        <v>0</v>
      </c>
      <c r="EP118" s="675">
        <v>0</v>
      </c>
      <c r="EQ118" s="675">
        <v>11.901</v>
      </c>
      <c r="ER118" s="675">
        <v>0</v>
      </c>
      <c r="ES118" s="675">
        <v>37.785000000000004</v>
      </c>
      <c r="ET118" s="675">
        <v>0</v>
      </c>
      <c r="EU118" s="675">
        <v>0</v>
      </c>
      <c r="EV118" s="675">
        <v>0</v>
      </c>
      <c r="EW118" s="675">
        <v>0</v>
      </c>
      <c r="EX118" s="675">
        <v>0</v>
      </c>
      <c r="EY118" s="675">
        <v>0</v>
      </c>
      <c r="EZ118" s="675">
        <v>2317376</v>
      </c>
      <c r="FA118" s="675">
        <v>0</v>
      </c>
      <c r="FB118" s="675">
        <v>2421455</v>
      </c>
      <c r="FC118" s="675">
        <v>0</v>
      </c>
      <c r="FD118" s="675">
        <v>0</v>
      </c>
      <c r="FE118" s="675">
        <v>246408</v>
      </c>
      <c r="FF118" s="675">
        <v>50964</v>
      </c>
      <c r="FG118" s="675">
        <v>6.3574999999999993E-2</v>
      </c>
      <c r="FH118" s="675">
        <v>2.6297999999999998E-2</v>
      </c>
      <c r="FI118" s="675">
        <v>0</v>
      </c>
      <c r="FJ118" s="675">
        <v>0</v>
      </c>
      <c r="FK118" s="675">
        <v>393.24900000000002</v>
      </c>
      <c r="FL118" s="675">
        <v>2764449</v>
      </c>
      <c r="FM118" s="675">
        <v>0</v>
      </c>
      <c r="FN118" s="675">
        <v>0</v>
      </c>
      <c r="FO118" s="675">
        <v>0</v>
      </c>
      <c r="FP118" s="675">
        <v>0</v>
      </c>
      <c r="FQ118" s="675">
        <v>0</v>
      </c>
      <c r="FR118" s="675">
        <v>0</v>
      </c>
      <c r="FS118" s="675">
        <v>0</v>
      </c>
      <c r="FT118" s="675">
        <v>0</v>
      </c>
      <c r="FU118" s="675">
        <v>0</v>
      </c>
      <c r="FV118" s="675">
        <v>0</v>
      </c>
      <c r="FW118" s="675">
        <v>0</v>
      </c>
      <c r="FX118" s="675">
        <v>0</v>
      </c>
      <c r="FY118" s="675">
        <v>0</v>
      </c>
      <c r="FZ118" s="675">
        <v>0</v>
      </c>
      <c r="GA118" s="675">
        <v>0</v>
      </c>
      <c r="GB118" s="675">
        <v>0</v>
      </c>
      <c r="GC118" s="675">
        <v>0</v>
      </c>
      <c r="GD118" s="675">
        <v>0</v>
      </c>
      <c r="GE118" s="675">
        <v>0</v>
      </c>
      <c r="GF118" s="675">
        <v>0</v>
      </c>
      <c r="GG118" s="675">
        <v>0</v>
      </c>
      <c r="GH118" s="675">
        <v>0</v>
      </c>
      <c r="GI118" s="675">
        <v>0</v>
      </c>
      <c r="GJ118" s="675">
        <v>0</v>
      </c>
      <c r="GK118" s="675">
        <v>0</v>
      </c>
      <c r="GL118" s="675">
        <v>0</v>
      </c>
      <c r="GM118" s="675">
        <v>0</v>
      </c>
      <c r="GN118" s="675">
        <v>0</v>
      </c>
      <c r="GO118" s="675">
        <v>0</v>
      </c>
      <c r="GP118" s="675">
        <v>0</v>
      </c>
      <c r="GQ118" s="675">
        <v>0</v>
      </c>
      <c r="GR118" s="675">
        <v>0</v>
      </c>
      <c r="GS118" s="675">
        <v>0</v>
      </c>
      <c r="GT118" s="675">
        <v>0</v>
      </c>
      <c r="GU118" s="675">
        <v>0</v>
      </c>
      <c r="GV118" s="675">
        <v>0</v>
      </c>
      <c r="GW118" s="675">
        <v>0</v>
      </c>
      <c r="GX118" s="675">
        <v>0</v>
      </c>
      <c r="GY118" s="675">
        <v>0</v>
      </c>
      <c r="GZ118" s="675">
        <v>0</v>
      </c>
      <c r="HA118" s="675">
        <v>0</v>
      </c>
      <c r="HB118" s="675">
        <v>308877260</v>
      </c>
      <c r="HC118" s="675">
        <v>4.4138999999999998E-2</v>
      </c>
      <c r="HD118" s="675">
        <v>45622</v>
      </c>
      <c r="HE118" s="675">
        <v>0</v>
      </c>
      <c r="HF118" s="675">
        <v>271891</v>
      </c>
      <c r="HG118" s="675">
        <v>11549</v>
      </c>
      <c r="HH118" s="675">
        <v>64507</v>
      </c>
      <c r="HI118" s="675">
        <v>0</v>
      </c>
      <c r="HJ118" s="675">
        <v>2512</v>
      </c>
      <c r="HK118" s="675">
        <v>0</v>
      </c>
      <c r="HL118" s="675">
        <v>0</v>
      </c>
      <c r="HM118" s="675">
        <v>0</v>
      </c>
      <c r="HN118" s="675">
        <v>4767</v>
      </c>
      <c r="HO118" s="675">
        <v>0</v>
      </c>
      <c r="HP118" s="675">
        <v>0</v>
      </c>
      <c r="HQ118" s="675">
        <v>0</v>
      </c>
      <c r="HR118" s="675">
        <v>0</v>
      </c>
      <c r="HS118" s="675">
        <v>2316431</v>
      </c>
      <c r="HT118" s="675">
        <v>50964</v>
      </c>
      <c r="HU118" s="675">
        <v>0</v>
      </c>
      <c r="HV118" s="675">
        <v>0</v>
      </c>
      <c r="HW118" s="675">
        <v>0</v>
      </c>
      <c r="HX118" s="675">
        <v>50</v>
      </c>
      <c r="HY118" s="675">
        <v>36</v>
      </c>
      <c r="HZ118" s="675">
        <v>36</v>
      </c>
      <c r="IA118" s="675">
        <v>42</v>
      </c>
      <c r="IB118" s="675">
        <v>20</v>
      </c>
      <c r="IC118" s="675">
        <v>184</v>
      </c>
      <c r="ID118" s="675">
        <v>0</v>
      </c>
      <c r="IE118" s="675">
        <v>0</v>
      </c>
      <c r="IF118" s="675">
        <v>0</v>
      </c>
      <c r="IG118" s="675">
        <v>18.749000000000002</v>
      </c>
      <c r="IH118" s="675">
        <v>104.71900000000001</v>
      </c>
      <c r="II118" s="675">
        <v>0</v>
      </c>
      <c r="IJ118" s="675">
        <v>33.317</v>
      </c>
      <c r="IK118" s="675">
        <v>0</v>
      </c>
      <c r="IL118" s="675">
        <v>0</v>
      </c>
      <c r="IM118" s="675">
        <v>0</v>
      </c>
      <c r="IN118" s="675">
        <v>0</v>
      </c>
      <c r="IO118" s="675">
        <v>0</v>
      </c>
      <c r="IP118" s="675">
        <v>0</v>
      </c>
      <c r="IQ118" s="675">
        <v>33.317</v>
      </c>
      <c r="IR118" s="675">
        <v>20523</v>
      </c>
      <c r="IS118" s="675">
        <v>0</v>
      </c>
      <c r="IT118" s="675">
        <v>0</v>
      </c>
      <c r="IU118" s="675">
        <v>0</v>
      </c>
      <c r="IV118" s="675">
        <v>0</v>
      </c>
      <c r="IW118" s="675">
        <v>6160</v>
      </c>
      <c r="IX118" s="675">
        <v>0</v>
      </c>
      <c r="IY118" s="675">
        <v>0</v>
      </c>
      <c r="IZ118" s="675">
        <v>0</v>
      </c>
      <c r="JA118" s="675">
        <v>0</v>
      </c>
      <c r="JB118" s="675">
        <v>0</v>
      </c>
      <c r="JC118" s="675">
        <v>0</v>
      </c>
      <c r="JD118" s="675">
        <v>0</v>
      </c>
      <c r="JE118" s="675">
        <v>0</v>
      </c>
      <c r="JF118" s="675">
        <v>1</v>
      </c>
      <c r="JG118" s="675">
        <v>4767</v>
      </c>
      <c r="JH118" s="675">
        <v>0</v>
      </c>
      <c r="JI118" s="675">
        <v>0</v>
      </c>
      <c r="JJ118" s="675">
        <v>0</v>
      </c>
      <c r="JK118" s="675">
        <v>0</v>
      </c>
      <c r="JL118" s="675">
        <v>0</v>
      </c>
      <c r="JM118" s="675">
        <v>0</v>
      </c>
      <c r="JN118" s="675">
        <v>32469</v>
      </c>
      <c r="JO118" s="675">
        <v>0</v>
      </c>
      <c r="JP118" s="675">
        <v>0</v>
      </c>
      <c r="JQ118" s="675">
        <v>0</v>
      </c>
      <c r="JR118" s="675">
        <v>0</v>
      </c>
      <c r="JS118" s="675">
        <v>0</v>
      </c>
      <c r="JT118" s="675">
        <v>0</v>
      </c>
      <c r="JU118" s="675">
        <v>4312</v>
      </c>
      <c r="JV118" s="675">
        <v>0</v>
      </c>
      <c r="JW118" s="675">
        <v>0</v>
      </c>
      <c r="JX118" s="675">
        <v>0</v>
      </c>
      <c r="JY118" s="675">
        <v>0</v>
      </c>
      <c r="JZ118" s="675">
        <v>0</v>
      </c>
      <c r="KA118" s="675">
        <v>0</v>
      </c>
      <c r="KB118" s="675">
        <v>0</v>
      </c>
      <c r="KC118" s="675">
        <v>0</v>
      </c>
      <c r="KD118" s="675">
        <v>4312</v>
      </c>
      <c r="KE118" s="675">
        <v>7263</v>
      </c>
      <c r="KF118" s="675">
        <v>0</v>
      </c>
      <c r="KG118" s="675">
        <v>0</v>
      </c>
      <c r="KH118" s="675">
        <v>0</v>
      </c>
      <c r="KI118" s="675">
        <v>0</v>
      </c>
    </row>
    <row r="119" spans="1:295" ht="12.5" x14ac:dyDescent="0.25">
      <c r="A119" s="675">
        <v>35795</v>
      </c>
      <c r="B119" s="675">
        <v>227820</v>
      </c>
      <c r="C119" s="675">
        <v>7</v>
      </c>
      <c r="D119" s="675">
        <v>2022</v>
      </c>
      <c r="E119" s="675">
        <v>6160</v>
      </c>
      <c r="F119" s="675">
        <v>0</v>
      </c>
      <c r="G119" s="675">
        <v>29053.555</v>
      </c>
      <c r="H119" s="675">
        <v>28002.046000000002</v>
      </c>
      <c r="I119" s="675">
        <v>28002.046000000002</v>
      </c>
      <c r="J119" s="675">
        <v>29053.555</v>
      </c>
      <c r="K119" s="675">
        <v>0</v>
      </c>
      <c r="L119" s="675">
        <v>6160</v>
      </c>
      <c r="M119" s="675">
        <v>0</v>
      </c>
      <c r="N119" s="675">
        <v>0</v>
      </c>
      <c r="O119" s="675">
        <v>0</v>
      </c>
      <c r="P119" s="675">
        <v>28216.508999999998</v>
      </c>
      <c r="Q119" s="675">
        <v>0</v>
      </c>
      <c r="R119" s="675">
        <v>11355113</v>
      </c>
      <c r="S119" s="675">
        <v>402.428</v>
      </c>
      <c r="T119" s="675">
        <v>0</v>
      </c>
      <c r="U119" s="675">
        <v>6038371</v>
      </c>
      <c r="V119" s="675">
        <v>10081.012000000001</v>
      </c>
      <c r="W119" s="675">
        <v>6209875</v>
      </c>
      <c r="X119" s="675">
        <v>6209875</v>
      </c>
      <c r="Y119" s="675">
        <v>0</v>
      </c>
      <c r="Z119" s="675">
        <v>0</v>
      </c>
      <c r="AA119" s="675">
        <v>0</v>
      </c>
      <c r="AB119" s="675">
        <v>0</v>
      </c>
      <c r="AC119" s="675">
        <v>0</v>
      </c>
      <c r="AD119" s="675" t="s">
        <v>316</v>
      </c>
      <c r="AE119" s="675">
        <v>0</v>
      </c>
      <c r="AF119" s="675">
        <v>0</v>
      </c>
      <c r="AG119" s="675">
        <v>0</v>
      </c>
      <c r="AH119" s="675">
        <v>0</v>
      </c>
      <c r="AI119" s="675">
        <v>0</v>
      </c>
      <c r="AJ119" s="675">
        <v>6160</v>
      </c>
      <c r="AK119" s="675" t="s">
        <v>671</v>
      </c>
      <c r="AL119" s="675" t="s">
        <v>470</v>
      </c>
      <c r="AM119" s="675">
        <v>0</v>
      </c>
      <c r="AN119" s="675">
        <v>0</v>
      </c>
      <c r="AO119" s="675">
        <v>0</v>
      </c>
      <c r="AP119" s="675">
        <v>0</v>
      </c>
      <c r="AQ119" s="675">
        <v>0</v>
      </c>
      <c r="AR119" s="675">
        <v>0</v>
      </c>
      <c r="AS119" s="675">
        <v>0</v>
      </c>
      <c r="AT119" s="675">
        <v>0</v>
      </c>
      <c r="AU119" s="675">
        <v>0</v>
      </c>
      <c r="AV119" s="675">
        <v>0</v>
      </c>
      <c r="AW119" s="675">
        <v>318697308</v>
      </c>
      <c r="AX119" s="675">
        <v>309773711</v>
      </c>
      <c r="AY119" s="675">
        <v>206578663</v>
      </c>
      <c r="AZ119" s="675">
        <v>11355113</v>
      </c>
      <c r="BA119" s="675">
        <v>0</v>
      </c>
      <c r="BB119" s="675">
        <v>0</v>
      </c>
      <c r="BC119" s="675">
        <v>0</v>
      </c>
      <c r="BD119" s="675">
        <v>0</v>
      </c>
      <c r="BE119" s="675">
        <v>0</v>
      </c>
      <c r="BF119" s="675">
        <v>283765165</v>
      </c>
      <c r="BG119" s="675">
        <v>0</v>
      </c>
      <c r="BH119" s="675">
        <v>0</v>
      </c>
      <c r="BI119" s="675">
        <v>0</v>
      </c>
      <c r="BJ119" s="675">
        <v>12</v>
      </c>
      <c r="BK119" s="675">
        <v>0</v>
      </c>
      <c r="BL119" s="675">
        <v>0</v>
      </c>
      <c r="BM119" s="675">
        <v>0</v>
      </c>
      <c r="BN119" s="675">
        <v>0</v>
      </c>
      <c r="BO119" s="675">
        <v>0</v>
      </c>
      <c r="BP119" s="675">
        <v>0</v>
      </c>
      <c r="BQ119" s="675">
        <v>0</v>
      </c>
      <c r="BR119" s="675">
        <v>0</v>
      </c>
      <c r="BS119" s="675">
        <v>0</v>
      </c>
      <c r="BT119" s="675">
        <v>0</v>
      </c>
      <c r="BU119" s="675">
        <v>0</v>
      </c>
      <c r="BV119" s="675">
        <v>0</v>
      </c>
      <c r="BW119" s="675">
        <v>0</v>
      </c>
      <c r="BX119" s="675">
        <v>0</v>
      </c>
      <c r="BY119" s="675">
        <v>0</v>
      </c>
      <c r="BZ119" s="675">
        <v>0</v>
      </c>
      <c r="CA119" s="675">
        <v>1430.0910000000001</v>
      </c>
      <c r="CB119" s="675">
        <v>1219541</v>
      </c>
      <c r="CC119" s="675">
        <v>0</v>
      </c>
      <c r="CD119" s="675">
        <v>0</v>
      </c>
      <c r="CE119" s="675">
        <v>0</v>
      </c>
      <c r="CF119" s="675">
        <v>0</v>
      </c>
      <c r="CG119" s="675">
        <v>0</v>
      </c>
      <c r="CH119" s="675">
        <v>8986443</v>
      </c>
      <c r="CI119" s="675">
        <v>0</v>
      </c>
      <c r="CJ119" s="675">
        <v>4</v>
      </c>
      <c r="CK119" s="675">
        <v>0</v>
      </c>
      <c r="CL119" s="675">
        <v>0</v>
      </c>
      <c r="CM119" s="675">
        <v>0</v>
      </c>
      <c r="CN119" s="675">
        <v>0</v>
      </c>
      <c r="CO119" s="675">
        <v>1</v>
      </c>
      <c r="CP119" s="675">
        <v>0</v>
      </c>
      <c r="CQ119" s="675">
        <v>0</v>
      </c>
      <c r="CR119" s="675">
        <v>28093.574000000001</v>
      </c>
      <c r="CS119" s="675">
        <v>0</v>
      </c>
      <c r="CT119" s="675">
        <v>0</v>
      </c>
      <c r="CU119" s="675">
        <v>0</v>
      </c>
      <c r="CV119" s="675">
        <v>0</v>
      </c>
      <c r="CW119" s="675">
        <v>0</v>
      </c>
      <c r="CX119" s="675">
        <v>0</v>
      </c>
      <c r="CY119" s="675">
        <v>0</v>
      </c>
      <c r="CZ119" s="675">
        <v>0</v>
      </c>
      <c r="DA119" s="675">
        <v>0</v>
      </c>
      <c r="DB119" s="675">
        <v>172491803</v>
      </c>
      <c r="DC119" s="675">
        <v>0</v>
      </c>
      <c r="DD119" s="675">
        <v>0</v>
      </c>
      <c r="DE119" s="675">
        <v>46195705</v>
      </c>
      <c r="DF119" s="675">
        <v>46195705</v>
      </c>
      <c r="DG119" s="675">
        <v>7499.3380000000006</v>
      </c>
      <c r="DH119" s="675">
        <v>0</v>
      </c>
      <c r="DI119" s="675">
        <v>0</v>
      </c>
      <c r="DJ119" s="675">
        <v>0</v>
      </c>
      <c r="DK119" s="675">
        <v>0</v>
      </c>
      <c r="DL119" s="675">
        <v>0</v>
      </c>
      <c r="DM119" s="675">
        <v>16706524</v>
      </c>
      <c r="DN119" s="675">
        <v>62846</v>
      </c>
      <c r="DO119" s="675">
        <v>0</v>
      </c>
      <c r="DP119" s="675">
        <v>0</v>
      </c>
      <c r="DQ119" s="675">
        <v>0</v>
      </c>
      <c r="DR119" s="675">
        <v>0</v>
      </c>
      <c r="DS119" s="675">
        <v>0</v>
      </c>
      <c r="DT119" s="675">
        <v>0</v>
      </c>
      <c r="DU119" s="675">
        <v>0</v>
      </c>
      <c r="DV119" s="675">
        <v>0</v>
      </c>
      <c r="DW119" s="675">
        <v>0</v>
      </c>
      <c r="DX119" s="675">
        <v>0</v>
      </c>
      <c r="DY119" s="675">
        <v>0</v>
      </c>
      <c r="DZ119" s="675">
        <v>0</v>
      </c>
      <c r="EA119" s="675">
        <v>0.93900000000000006</v>
      </c>
      <c r="EB119" s="675">
        <v>0</v>
      </c>
      <c r="EC119" s="675">
        <v>732.68600000000004</v>
      </c>
      <c r="ED119" s="675">
        <v>5190324</v>
      </c>
      <c r="EE119" s="675">
        <v>0</v>
      </c>
      <c r="EF119" s="675">
        <v>0</v>
      </c>
      <c r="EG119" s="675">
        <v>0.59</v>
      </c>
      <c r="EH119" s="675">
        <v>11579046</v>
      </c>
      <c r="EI119" s="675">
        <v>0</v>
      </c>
      <c r="EJ119" s="675">
        <v>0</v>
      </c>
      <c r="EK119" s="675">
        <v>476.23</v>
      </c>
      <c r="EL119" s="675">
        <v>1.718</v>
      </c>
      <c r="EM119" s="675">
        <v>80.00200000000001</v>
      </c>
      <c r="EN119" s="675">
        <v>40.948</v>
      </c>
      <c r="EO119" s="675">
        <v>0</v>
      </c>
      <c r="EP119" s="675">
        <v>0</v>
      </c>
      <c r="EQ119" s="675">
        <v>598.70900000000006</v>
      </c>
      <c r="ER119" s="675">
        <v>0</v>
      </c>
      <c r="ES119" s="675">
        <v>1879.7240000000002</v>
      </c>
      <c r="ET119" s="675">
        <v>0</v>
      </c>
      <c r="EU119" s="675">
        <v>0</v>
      </c>
      <c r="EV119" s="675">
        <v>0</v>
      </c>
      <c r="EW119" s="675">
        <v>0</v>
      </c>
      <c r="EX119" s="675">
        <v>0</v>
      </c>
      <c r="EY119" s="675">
        <v>0</v>
      </c>
      <c r="EZ119" s="675">
        <v>274938992</v>
      </c>
      <c r="FA119" s="675">
        <v>0</v>
      </c>
      <c r="FB119" s="675">
        <v>286231259</v>
      </c>
      <c r="FC119" s="675">
        <v>0</v>
      </c>
      <c r="FD119" s="675">
        <v>0</v>
      </c>
      <c r="FE119" s="675">
        <v>28864726</v>
      </c>
      <c r="FF119" s="675">
        <v>5969993</v>
      </c>
      <c r="FG119" s="675">
        <v>6.3574999999999993E-2</v>
      </c>
      <c r="FH119" s="675">
        <v>2.6297999999999998E-2</v>
      </c>
      <c r="FI119" s="675">
        <v>0</v>
      </c>
      <c r="FJ119" s="675">
        <v>0</v>
      </c>
      <c r="FK119" s="675">
        <v>46065.987000000001</v>
      </c>
      <c r="FL119" s="675">
        <v>330052421</v>
      </c>
      <c r="FM119" s="675">
        <v>0</v>
      </c>
      <c r="FN119" s="675">
        <v>4039</v>
      </c>
      <c r="FO119" s="675">
        <v>926375</v>
      </c>
      <c r="FP119" s="675">
        <v>307074</v>
      </c>
      <c r="FQ119" s="675">
        <v>1237488</v>
      </c>
      <c r="FR119" s="675">
        <v>930414</v>
      </c>
      <c r="FS119" s="675">
        <v>0</v>
      </c>
      <c r="FT119" s="675">
        <v>0</v>
      </c>
      <c r="FU119" s="675">
        <v>0</v>
      </c>
      <c r="FV119" s="675">
        <v>0</v>
      </c>
      <c r="FW119" s="675">
        <v>0</v>
      </c>
      <c r="FX119" s="675">
        <v>0</v>
      </c>
      <c r="FY119" s="675">
        <v>0</v>
      </c>
      <c r="FZ119" s="675">
        <v>0</v>
      </c>
      <c r="GA119" s="675">
        <v>0</v>
      </c>
      <c r="GB119" s="675">
        <v>4076909</v>
      </c>
      <c r="GC119" s="675">
        <v>4076909</v>
      </c>
      <c r="GD119" s="675">
        <v>452.8</v>
      </c>
      <c r="GE119" s="675">
        <v>0</v>
      </c>
      <c r="GF119" s="675">
        <v>0</v>
      </c>
      <c r="GG119" s="675">
        <v>0</v>
      </c>
      <c r="GH119" s="675">
        <v>0</v>
      </c>
      <c r="GI119" s="675">
        <v>0</v>
      </c>
      <c r="GJ119" s="675">
        <v>0</v>
      </c>
      <c r="GK119" s="675">
        <v>0</v>
      </c>
      <c r="GL119" s="675">
        <v>0</v>
      </c>
      <c r="GM119" s="675">
        <v>0</v>
      </c>
      <c r="GN119" s="675">
        <v>0</v>
      </c>
      <c r="GO119" s="675">
        <v>0</v>
      </c>
      <c r="GP119" s="675">
        <v>0</v>
      </c>
      <c r="GQ119" s="675">
        <v>0</v>
      </c>
      <c r="GR119" s="675">
        <v>0</v>
      </c>
      <c r="GS119" s="675">
        <v>0</v>
      </c>
      <c r="GT119" s="675">
        <v>0</v>
      </c>
      <c r="GU119" s="675">
        <v>0</v>
      </c>
      <c r="GV119" s="675">
        <v>0</v>
      </c>
      <c r="GW119" s="675">
        <v>0</v>
      </c>
      <c r="GX119" s="675">
        <v>0</v>
      </c>
      <c r="GY119" s="675">
        <v>0</v>
      </c>
      <c r="GZ119" s="675">
        <v>0</v>
      </c>
      <c r="HA119" s="675">
        <v>0</v>
      </c>
      <c r="HB119" s="675">
        <v>308877260</v>
      </c>
      <c r="HC119" s="675">
        <v>4.4138999999999998E-2</v>
      </c>
      <c r="HD119" s="675">
        <v>5129565</v>
      </c>
      <c r="HE119" s="675">
        <v>0</v>
      </c>
      <c r="HF119" s="675">
        <v>30886257</v>
      </c>
      <c r="HG119" s="675">
        <v>57904</v>
      </c>
      <c r="HH119" s="675">
        <v>6684242</v>
      </c>
      <c r="HI119" s="675">
        <v>0</v>
      </c>
      <c r="HJ119" s="675">
        <v>282401</v>
      </c>
      <c r="HK119" s="675">
        <v>69921</v>
      </c>
      <c r="HL119" s="675">
        <v>1990</v>
      </c>
      <c r="HM119" s="675">
        <v>95000</v>
      </c>
      <c r="HN119" s="675">
        <v>15699</v>
      </c>
      <c r="HO119" s="675">
        <v>0</v>
      </c>
      <c r="HP119" s="675">
        <v>0</v>
      </c>
      <c r="HQ119" s="675">
        <v>0</v>
      </c>
      <c r="HR119" s="675">
        <v>0</v>
      </c>
      <c r="HS119" s="675">
        <v>274876146</v>
      </c>
      <c r="HT119" s="675">
        <v>5969993</v>
      </c>
      <c r="HU119" s="675">
        <v>0</v>
      </c>
      <c r="HV119" s="675">
        <v>0</v>
      </c>
      <c r="HW119" s="675">
        <v>0</v>
      </c>
      <c r="HX119" s="675">
        <v>5229</v>
      </c>
      <c r="HY119" s="675">
        <v>3443</v>
      </c>
      <c r="HZ119" s="675">
        <v>4729</v>
      </c>
      <c r="IA119" s="675">
        <v>6898</v>
      </c>
      <c r="IB119" s="675">
        <v>9135</v>
      </c>
      <c r="IC119" s="675">
        <v>29434</v>
      </c>
      <c r="ID119" s="675">
        <v>0</v>
      </c>
      <c r="IE119" s="675">
        <v>0</v>
      </c>
      <c r="IF119" s="675">
        <v>0</v>
      </c>
      <c r="IG119" s="675">
        <v>94</v>
      </c>
      <c r="IH119" s="675">
        <v>10851.092000000001</v>
      </c>
      <c r="II119" s="675">
        <v>0</v>
      </c>
      <c r="IJ119" s="675">
        <v>10081.012000000001</v>
      </c>
      <c r="IK119" s="675">
        <v>0</v>
      </c>
      <c r="IL119" s="675">
        <v>19</v>
      </c>
      <c r="IM119" s="675">
        <v>0</v>
      </c>
      <c r="IN119" s="675">
        <v>0</v>
      </c>
      <c r="IO119" s="675">
        <v>19</v>
      </c>
      <c r="IP119" s="675">
        <v>0</v>
      </c>
      <c r="IQ119" s="675">
        <v>10081.012000000001</v>
      </c>
      <c r="IR119" s="675">
        <v>6209875</v>
      </c>
      <c r="IS119" s="675">
        <v>0</v>
      </c>
      <c r="IT119" s="675">
        <v>95000</v>
      </c>
      <c r="IU119" s="675">
        <v>0</v>
      </c>
      <c r="IV119" s="675">
        <v>0</v>
      </c>
      <c r="IW119" s="675">
        <v>6160</v>
      </c>
      <c r="IX119" s="675">
        <v>0</v>
      </c>
      <c r="IY119" s="675">
        <v>0</v>
      </c>
      <c r="IZ119" s="675">
        <v>0</v>
      </c>
      <c r="JA119" s="675">
        <v>0</v>
      </c>
      <c r="JB119" s="675">
        <v>0</v>
      </c>
      <c r="JC119" s="675">
        <v>0</v>
      </c>
      <c r="JD119" s="675">
        <v>0</v>
      </c>
      <c r="JE119" s="675">
        <v>0</v>
      </c>
      <c r="JF119" s="675">
        <v>2</v>
      </c>
      <c r="JG119" s="675">
        <v>13199</v>
      </c>
      <c r="JH119" s="675">
        <v>2500</v>
      </c>
      <c r="JI119" s="675">
        <v>0</v>
      </c>
      <c r="JJ119" s="675">
        <v>0</v>
      </c>
      <c r="JK119" s="675">
        <v>0</v>
      </c>
      <c r="JL119" s="675">
        <v>0</v>
      </c>
      <c r="JM119" s="675">
        <v>0</v>
      </c>
      <c r="JN119" s="675">
        <v>32469</v>
      </c>
      <c r="JO119" s="675">
        <v>159.14500000000001</v>
      </c>
      <c r="JP119" s="675">
        <v>238.982</v>
      </c>
      <c r="JQ119" s="675">
        <v>54.673000000000002</v>
      </c>
      <c r="JR119" s="675">
        <v>1271457</v>
      </c>
      <c r="JS119" s="675">
        <v>2221730</v>
      </c>
      <c r="JT119" s="675">
        <v>583722</v>
      </c>
      <c r="JU119" s="675">
        <v>0</v>
      </c>
      <c r="JV119" s="675">
        <v>0</v>
      </c>
      <c r="JW119" s="675">
        <v>0</v>
      </c>
      <c r="JX119" s="675">
        <v>0</v>
      </c>
      <c r="JY119" s="675">
        <v>0</v>
      </c>
      <c r="JZ119" s="675">
        <v>0</v>
      </c>
      <c r="KA119" s="675">
        <v>0</v>
      </c>
      <c r="KB119" s="675">
        <v>0</v>
      </c>
      <c r="KC119" s="675">
        <v>0</v>
      </c>
      <c r="KD119" s="675">
        <v>0</v>
      </c>
      <c r="KE119" s="675">
        <v>7263</v>
      </c>
      <c r="KF119" s="675">
        <v>3856878</v>
      </c>
      <c r="KG119" s="675">
        <v>0</v>
      </c>
      <c r="KH119" s="675">
        <v>0</v>
      </c>
      <c r="KI119" s="675">
        <v>0</v>
      </c>
    </row>
    <row r="120" spans="1:295" ht="12.5" x14ac:dyDescent="0.25">
      <c r="A120" s="675">
        <v>35795</v>
      </c>
      <c r="B120" s="675">
        <v>101821</v>
      </c>
      <c r="C120" s="675">
        <v>7</v>
      </c>
      <c r="D120" s="675">
        <v>2022</v>
      </c>
      <c r="E120" s="675">
        <v>6160</v>
      </c>
      <c r="F120" s="675">
        <v>0</v>
      </c>
      <c r="G120" s="675">
        <v>173.8</v>
      </c>
      <c r="H120" s="675">
        <v>158.995</v>
      </c>
      <c r="I120" s="675">
        <v>158.995</v>
      </c>
      <c r="J120" s="675">
        <v>173.8</v>
      </c>
      <c r="K120" s="675">
        <v>0</v>
      </c>
      <c r="L120" s="675">
        <v>6160</v>
      </c>
      <c r="M120" s="675">
        <v>0</v>
      </c>
      <c r="N120" s="675">
        <v>0</v>
      </c>
      <c r="O120" s="675">
        <v>0</v>
      </c>
      <c r="P120" s="675">
        <v>177.81800000000001</v>
      </c>
      <c r="Q120" s="675">
        <v>0</v>
      </c>
      <c r="R120" s="675">
        <v>71559</v>
      </c>
      <c r="S120" s="675">
        <v>402.428</v>
      </c>
      <c r="T120" s="675">
        <v>0</v>
      </c>
      <c r="U120" s="675">
        <v>38053</v>
      </c>
      <c r="V120" s="675">
        <v>0</v>
      </c>
      <c r="W120" s="675">
        <v>0</v>
      </c>
      <c r="X120" s="675">
        <v>0</v>
      </c>
      <c r="Y120" s="675">
        <v>0</v>
      </c>
      <c r="Z120" s="675">
        <v>0</v>
      </c>
      <c r="AA120" s="675">
        <v>0</v>
      </c>
      <c r="AB120" s="675">
        <v>0</v>
      </c>
      <c r="AC120" s="675">
        <v>0</v>
      </c>
      <c r="AD120" s="675" t="s">
        <v>316</v>
      </c>
      <c r="AE120" s="675">
        <v>0</v>
      </c>
      <c r="AF120" s="675">
        <v>0</v>
      </c>
      <c r="AG120" s="675">
        <v>0</v>
      </c>
      <c r="AH120" s="675">
        <v>0</v>
      </c>
      <c r="AI120" s="675">
        <v>0</v>
      </c>
      <c r="AJ120" s="675">
        <v>6160</v>
      </c>
      <c r="AK120" s="675" t="s">
        <v>671</v>
      </c>
      <c r="AL120" s="675" t="s">
        <v>9</v>
      </c>
      <c r="AM120" s="675">
        <v>0</v>
      </c>
      <c r="AN120" s="675">
        <v>0</v>
      </c>
      <c r="AO120" s="675">
        <v>0</v>
      </c>
      <c r="AP120" s="675">
        <v>0</v>
      </c>
      <c r="AQ120" s="675">
        <v>0</v>
      </c>
      <c r="AR120" s="675">
        <v>0</v>
      </c>
      <c r="AS120" s="675">
        <v>0</v>
      </c>
      <c r="AT120" s="675">
        <v>0</v>
      </c>
      <c r="AU120" s="675">
        <v>0</v>
      </c>
      <c r="AV120" s="675">
        <v>0</v>
      </c>
      <c r="AW120" s="675">
        <v>1986665</v>
      </c>
      <c r="AX120" s="675">
        <v>1862944</v>
      </c>
      <c r="AY120" s="675">
        <v>1182524</v>
      </c>
      <c r="AZ120" s="675">
        <v>71559</v>
      </c>
      <c r="BA120" s="675">
        <v>0</v>
      </c>
      <c r="BB120" s="675">
        <v>0</v>
      </c>
      <c r="BC120" s="675">
        <v>0</v>
      </c>
      <c r="BD120" s="675">
        <v>0</v>
      </c>
      <c r="BE120" s="675">
        <v>0</v>
      </c>
      <c r="BF120" s="675">
        <v>1674230</v>
      </c>
      <c r="BG120" s="675">
        <v>0</v>
      </c>
      <c r="BH120" s="675">
        <v>0</v>
      </c>
      <c r="BI120" s="675">
        <v>0</v>
      </c>
      <c r="BJ120" s="675">
        <v>12</v>
      </c>
      <c r="BK120" s="675">
        <v>0</v>
      </c>
      <c r="BL120" s="675">
        <v>0</v>
      </c>
      <c r="BM120" s="675">
        <v>0</v>
      </c>
      <c r="BN120" s="675">
        <v>0</v>
      </c>
      <c r="BO120" s="675">
        <v>0</v>
      </c>
      <c r="BP120" s="675">
        <v>0</v>
      </c>
      <c r="BQ120" s="675">
        <v>746</v>
      </c>
      <c r="BR120" s="675">
        <v>0</v>
      </c>
      <c r="BS120" s="675">
        <v>0</v>
      </c>
      <c r="BT120" s="675">
        <v>0</v>
      </c>
      <c r="BU120" s="675">
        <v>0</v>
      </c>
      <c r="BV120" s="675">
        <v>0</v>
      </c>
      <c r="BW120" s="675">
        <v>0</v>
      </c>
      <c r="BX120" s="675">
        <v>0</v>
      </c>
      <c r="BY120" s="675">
        <v>0</v>
      </c>
      <c r="BZ120" s="675">
        <v>0</v>
      </c>
      <c r="CA120" s="675">
        <v>0</v>
      </c>
      <c r="CB120" s="675">
        <v>0</v>
      </c>
      <c r="CC120" s="675">
        <v>0</v>
      </c>
      <c r="CD120" s="675">
        <v>0</v>
      </c>
      <c r="CE120" s="675">
        <v>0</v>
      </c>
      <c r="CF120" s="675">
        <v>0</v>
      </c>
      <c r="CG120" s="675">
        <v>0</v>
      </c>
      <c r="CH120" s="675">
        <v>124517</v>
      </c>
      <c r="CI120" s="675">
        <v>0</v>
      </c>
      <c r="CJ120" s="675">
        <v>4</v>
      </c>
      <c r="CK120" s="675">
        <v>0</v>
      </c>
      <c r="CL120" s="675">
        <v>0</v>
      </c>
      <c r="CM120" s="675">
        <v>0</v>
      </c>
      <c r="CN120" s="675">
        <v>0</v>
      </c>
      <c r="CO120" s="675">
        <v>1</v>
      </c>
      <c r="CP120" s="675">
        <v>0.36499999999999999</v>
      </c>
      <c r="CQ120" s="675">
        <v>0</v>
      </c>
      <c r="CR120" s="675">
        <v>165.40900000000002</v>
      </c>
      <c r="CS120" s="675">
        <v>0</v>
      </c>
      <c r="CT120" s="675">
        <v>0</v>
      </c>
      <c r="CU120" s="675">
        <v>0</v>
      </c>
      <c r="CV120" s="675">
        <v>0</v>
      </c>
      <c r="CW120" s="675">
        <v>0</v>
      </c>
      <c r="CX120" s="675">
        <v>0</v>
      </c>
      <c r="CY120" s="675">
        <v>0</v>
      </c>
      <c r="CZ120" s="675">
        <v>0</v>
      </c>
      <c r="DA120" s="675">
        <v>0</v>
      </c>
      <c r="DB120" s="675">
        <v>979405</v>
      </c>
      <c r="DC120" s="675">
        <v>0</v>
      </c>
      <c r="DD120" s="675">
        <v>0</v>
      </c>
      <c r="DE120" s="675">
        <v>219141</v>
      </c>
      <c r="DF120" s="675">
        <v>224560</v>
      </c>
      <c r="DG120" s="675">
        <v>35.575000000000003</v>
      </c>
      <c r="DH120" s="675">
        <v>0</v>
      </c>
      <c r="DI120" s="675">
        <v>5419</v>
      </c>
      <c r="DJ120" s="675">
        <v>0</v>
      </c>
      <c r="DK120" s="675">
        <v>3551</v>
      </c>
      <c r="DL120" s="675">
        <v>0</v>
      </c>
      <c r="DM120" s="675">
        <v>211473</v>
      </c>
      <c r="DN120" s="675">
        <v>796</v>
      </c>
      <c r="DO120" s="675">
        <v>0</v>
      </c>
      <c r="DP120" s="675">
        <v>0</v>
      </c>
      <c r="DQ120" s="675">
        <v>0</v>
      </c>
      <c r="DR120" s="675">
        <v>0</v>
      </c>
      <c r="DS120" s="675">
        <v>0</v>
      </c>
      <c r="DT120" s="675">
        <v>0</v>
      </c>
      <c r="DU120" s="675">
        <v>0</v>
      </c>
      <c r="DV120" s="675">
        <v>0</v>
      </c>
      <c r="DW120" s="675">
        <v>0</v>
      </c>
      <c r="DX120" s="675">
        <v>0</v>
      </c>
      <c r="DY120" s="675">
        <v>0</v>
      </c>
      <c r="DZ120" s="675">
        <v>0</v>
      </c>
      <c r="EA120" s="675">
        <v>0</v>
      </c>
      <c r="EB120" s="675">
        <v>0</v>
      </c>
      <c r="EC120" s="675">
        <v>15.529</v>
      </c>
      <c r="ED120" s="675">
        <v>110007</v>
      </c>
      <c r="EE120" s="675">
        <v>0</v>
      </c>
      <c r="EF120" s="675">
        <v>0</v>
      </c>
      <c r="EG120" s="675">
        <v>0</v>
      </c>
      <c r="EH120" s="675">
        <v>102262</v>
      </c>
      <c r="EI120" s="675">
        <v>0</v>
      </c>
      <c r="EJ120" s="675">
        <v>0</v>
      </c>
      <c r="EK120" s="675">
        <v>5.4670000000000005</v>
      </c>
      <c r="EL120" s="675">
        <v>0</v>
      </c>
      <c r="EM120" s="675">
        <v>0</v>
      </c>
      <c r="EN120" s="675">
        <v>0.04</v>
      </c>
      <c r="EO120" s="675">
        <v>0</v>
      </c>
      <c r="EP120" s="675">
        <v>0</v>
      </c>
      <c r="EQ120" s="675">
        <v>5.5070000000000006</v>
      </c>
      <c r="ER120" s="675">
        <v>0</v>
      </c>
      <c r="ES120" s="675">
        <v>16.600999999999999</v>
      </c>
      <c r="ET120" s="675">
        <v>0</v>
      </c>
      <c r="EU120" s="675">
        <v>0</v>
      </c>
      <c r="EV120" s="675">
        <v>0</v>
      </c>
      <c r="EW120" s="675">
        <v>0</v>
      </c>
      <c r="EX120" s="675">
        <v>0</v>
      </c>
      <c r="EY120" s="675">
        <v>0</v>
      </c>
      <c r="EZ120" s="675">
        <v>1657417</v>
      </c>
      <c r="FA120" s="675">
        <v>0</v>
      </c>
      <c r="FB120" s="675">
        <v>1728180</v>
      </c>
      <c r="FC120" s="675">
        <v>0</v>
      </c>
      <c r="FD120" s="675">
        <v>0</v>
      </c>
      <c r="FE120" s="675">
        <v>170304</v>
      </c>
      <c r="FF120" s="675">
        <v>35223</v>
      </c>
      <c r="FG120" s="675">
        <v>6.3574999999999993E-2</v>
      </c>
      <c r="FH120" s="675">
        <v>2.6297999999999998E-2</v>
      </c>
      <c r="FI120" s="675">
        <v>0</v>
      </c>
      <c r="FJ120" s="675">
        <v>0</v>
      </c>
      <c r="FK120" s="675">
        <v>271.79200000000003</v>
      </c>
      <c r="FL120" s="675">
        <v>2058224</v>
      </c>
      <c r="FM120" s="675">
        <v>0</v>
      </c>
      <c r="FN120" s="675">
        <v>0</v>
      </c>
      <c r="FO120" s="675">
        <v>0</v>
      </c>
      <c r="FP120" s="675">
        <v>0</v>
      </c>
      <c r="FQ120" s="675">
        <v>0</v>
      </c>
      <c r="FR120" s="675">
        <v>0</v>
      </c>
      <c r="FS120" s="675">
        <v>0</v>
      </c>
      <c r="FT120" s="675">
        <v>0</v>
      </c>
      <c r="FU120" s="675">
        <v>0</v>
      </c>
      <c r="FV120" s="675">
        <v>0</v>
      </c>
      <c r="FW120" s="675">
        <v>0</v>
      </c>
      <c r="FX120" s="675">
        <v>0</v>
      </c>
      <c r="FY120" s="675">
        <v>0</v>
      </c>
      <c r="FZ120" s="675">
        <v>0</v>
      </c>
      <c r="GA120" s="675">
        <v>0</v>
      </c>
      <c r="GB120" s="675">
        <v>77936</v>
      </c>
      <c r="GC120" s="675">
        <v>77936</v>
      </c>
      <c r="GD120" s="675">
        <v>9.298</v>
      </c>
      <c r="GE120" s="675">
        <v>0</v>
      </c>
      <c r="GF120" s="675">
        <v>0</v>
      </c>
      <c r="GG120" s="675">
        <v>0</v>
      </c>
      <c r="GH120" s="675">
        <v>0</v>
      </c>
      <c r="GI120" s="675">
        <v>0</v>
      </c>
      <c r="GJ120" s="675">
        <v>0</v>
      </c>
      <c r="GK120" s="675">
        <v>0</v>
      </c>
      <c r="GL120" s="675">
        <v>0</v>
      </c>
      <c r="GM120" s="675">
        <v>0</v>
      </c>
      <c r="GN120" s="675">
        <v>0</v>
      </c>
      <c r="GO120" s="675">
        <v>0</v>
      </c>
      <c r="GP120" s="675">
        <v>0</v>
      </c>
      <c r="GQ120" s="675">
        <v>0</v>
      </c>
      <c r="GR120" s="675">
        <v>0</v>
      </c>
      <c r="GS120" s="675">
        <v>0</v>
      </c>
      <c r="GT120" s="675">
        <v>0</v>
      </c>
      <c r="GU120" s="675">
        <v>0</v>
      </c>
      <c r="GV120" s="675">
        <v>0</v>
      </c>
      <c r="GW120" s="675">
        <v>0</v>
      </c>
      <c r="GX120" s="675">
        <v>0</v>
      </c>
      <c r="GY120" s="675">
        <v>0</v>
      </c>
      <c r="GZ120" s="675">
        <v>0</v>
      </c>
      <c r="HA120" s="675">
        <v>0</v>
      </c>
      <c r="HB120" s="675">
        <v>308877260</v>
      </c>
      <c r="HC120" s="675">
        <v>4.4138999999999998E-2</v>
      </c>
      <c r="HD120" s="675">
        <v>30685</v>
      </c>
      <c r="HE120" s="675">
        <v>0</v>
      </c>
      <c r="HF120" s="675">
        <v>175371</v>
      </c>
      <c r="HG120" s="675">
        <v>0</v>
      </c>
      <c r="HH120" s="675">
        <v>0</v>
      </c>
      <c r="HI120" s="675">
        <v>0</v>
      </c>
      <c r="HJ120" s="675">
        <v>1689</v>
      </c>
      <c r="HK120" s="675">
        <v>1485</v>
      </c>
      <c r="HL120" s="675">
        <v>0</v>
      </c>
      <c r="HM120" s="675">
        <v>3000</v>
      </c>
      <c r="HN120" s="675">
        <v>0</v>
      </c>
      <c r="HO120" s="675">
        <v>0</v>
      </c>
      <c r="HP120" s="675">
        <v>53261</v>
      </c>
      <c r="HQ120" s="675">
        <v>0</v>
      </c>
      <c r="HR120" s="675">
        <v>0</v>
      </c>
      <c r="HS120" s="675">
        <v>1656621</v>
      </c>
      <c r="HT120" s="675">
        <v>35223</v>
      </c>
      <c r="HU120" s="675">
        <v>93832</v>
      </c>
      <c r="HV120" s="675">
        <v>0</v>
      </c>
      <c r="HW120" s="675">
        <v>0</v>
      </c>
      <c r="HX120" s="675">
        <v>19</v>
      </c>
      <c r="HY120" s="675">
        <v>14</v>
      </c>
      <c r="HZ120" s="675">
        <v>20</v>
      </c>
      <c r="IA120" s="675">
        <v>32</v>
      </c>
      <c r="IB120" s="675">
        <v>53</v>
      </c>
      <c r="IC120" s="675">
        <v>138</v>
      </c>
      <c r="ID120" s="675">
        <v>0</v>
      </c>
      <c r="IE120" s="675">
        <v>0</v>
      </c>
      <c r="IF120" s="675">
        <v>0</v>
      </c>
      <c r="IG120" s="675">
        <v>0</v>
      </c>
      <c r="IH120" s="675">
        <v>0</v>
      </c>
      <c r="II120" s="675">
        <v>193.67500000000001</v>
      </c>
      <c r="IJ120" s="675">
        <v>0</v>
      </c>
      <c r="IK120" s="675">
        <v>0</v>
      </c>
      <c r="IL120" s="675">
        <v>0</v>
      </c>
      <c r="IM120" s="675">
        <v>1</v>
      </c>
      <c r="IN120" s="675">
        <v>0</v>
      </c>
      <c r="IO120" s="675">
        <v>1</v>
      </c>
      <c r="IP120" s="675">
        <v>193.67500000000001</v>
      </c>
      <c r="IQ120" s="675">
        <v>0</v>
      </c>
      <c r="IR120" s="675">
        <v>0</v>
      </c>
      <c r="IS120" s="675">
        <v>0</v>
      </c>
      <c r="IT120" s="675">
        <v>0</v>
      </c>
      <c r="IU120" s="675">
        <v>3000</v>
      </c>
      <c r="IV120" s="675">
        <v>0</v>
      </c>
      <c r="IW120" s="675">
        <v>6160</v>
      </c>
      <c r="IX120" s="675">
        <v>0</v>
      </c>
      <c r="IY120" s="675">
        <v>0</v>
      </c>
      <c r="IZ120" s="675">
        <v>53261</v>
      </c>
      <c r="JA120" s="675">
        <v>0</v>
      </c>
      <c r="JB120" s="675">
        <v>0</v>
      </c>
      <c r="JC120" s="675">
        <v>0</v>
      </c>
      <c r="JD120" s="675">
        <v>0</v>
      </c>
      <c r="JE120" s="675">
        <v>0</v>
      </c>
      <c r="JF120" s="675">
        <v>0</v>
      </c>
      <c r="JG120" s="675">
        <v>0</v>
      </c>
      <c r="JH120" s="675">
        <v>0</v>
      </c>
      <c r="JI120" s="675">
        <v>0</v>
      </c>
      <c r="JJ120" s="675">
        <v>0</v>
      </c>
      <c r="JK120" s="675">
        <v>0</v>
      </c>
      <c r="JL120" s="675">
        <v>0</v>
      </c>
      <c r="JM120" s="675">
        <v>0</v>
      </c>
      <c r="JN120" s="675">
        <v>32469</v>
      </c>
      <c r="JO120" s="675">
        <v>6.99</v>
      </c>
      <c r="JP120" s="675">
        <v>1.8480000000000001</v>
      </c>
      <c r="JQ120" s="675">
        <v>0.46</v>
      </c>
      <c r="JR120" s="675">
        <v>55845</v>
      </c>
      <c r="JS120" s="675">
        <v>17180</v>
      </c>
      <c r="JT120" s="675">
        <v>4911</v>
      </c>
      <c r="JU120" s="675">
        <v>0</v>
      </c>
      <c r="JV120" s="675">
        <v>93832</v>
      </c>
      <c r="JW120" s="675">
        <v>0</v>
      </c>
      <c r="JX120" s="675">
        <v>0</v>
      </c>
      <c r="JY120" s="675">
        <v>0</v>
      </c>
      <c r="JZ120" s="675">
        <v>0</v>
      </c>
      <c r="KA120" s="675">
        <v>0</v>
      </c>
      <c r="KB120" s="675">
        <v>0</v>
      </c>
      <c r="KC120" s="675">
        <v>0</v>
      </c>
      <c r="KD120" s="675">
        <v>0</v>
      </c>
      <c r="KE120" s="675">
        <v>7263</v>
      </c>
      <c r="KF120" s="675">
        <v>0</v>
      </c>
      <c r="KG120" s="675">
        <v>0</v>
      </c>
      <c r="KH120" s="675">
        <v>0</v>
      </c>
      <c r="KI120" s="675">
        <v>0</v>
      </c>
    </row>
    <row r="121" spans="1:295" ht="12.5" x14ac:dyDescent="0.25">
      <c r="A121" s="675">
        <v>35795</v>
      </c>
      <c r="B121" s="675">
        <v>227821</v>
      </c>
      <c r="C121" s="675">
        <v>7</v>
      </c>
      <c r="D121" s="675">
        <v>2022</v>
      </c>
      <c r="E121" s="675">
        <v>6160</v>
      </c>
      <c r="F121" s="675">
        <v>0</v>
      </c>
      <c r="G121" s="675">
        <v>394.541</v>
      </c>
      <c r="H121" s="675">
        <v>374.87400000000002</v>
      </c>
      <c r="I121" s="675">
        <v>374.87400000000002</v>
      </c>
      <c r="J121" s="675">
        <v>394.541</v>
      </c>
      <c r="K121" s="675">
        <v>0</v>
      </c>
      <c r="L121" s="675">
        <v>6160</v>
      </c>
      <c r="M121" s="675">
        <v>0</v>
      </c>
      <c r="N121" s="675">
        <v>0</v>
      </c>
      <c r="O121" s="675">
        <v>0</v>
      </c>
      <c r="P121" s="675">
        <v>399.81900000000002</v>
      </c>
      <c r="Q121" s="675">
        <v>0</v>
      </c>
      <c r="R121" s="675">
        <v>160898</v>
      </c>
      <c r="S121" s="675">
        <v>402.428</v>
      </c>
      <c r="T121" s="675">
        <v>0</v>
      </c>
      <c r="U121" s="675">
        <v>85560</v>
      </c>
      <c r="V121" s="675">
        <v>2.355</v>
      </c>
      <c r="W121" s="675">
        <v>1451</v>
      </c>
      <c r="X121" s="675">
        <v>1451</v>
      </c>
      <c r="Y121" s="675">
        <v>0</v>
      </c>
      <c r="Z121" s="675">
        <v>0</v>
      </c>
      <c r="AA121" s="675">
        <v>0</v>
      </c>
      <c r="AB121" s="675">
        <v>0</v>
      </c>
      <c r="AC121" s="675">
        <v>0</v>
      </c>
      <c r="AD121" s="675" t="s">
        <v>316</v>
      </c>
      <c r="AE121" s="675">
        <v>0</v>
      </c>
      <c r="AF121" s="675">
        <v>0</v>
      </c>
      <c r="AG121" s="675">
        <v>0</v>
      </c>
      <c r="AH121" s="675">
        <v>0</v>
      </c>
      <c r="AI121" s="675">
        <v>0</v>
      </c>
      <c r="AJ121" s="675">
        <v>6160</v>
      </c>
      <c r="AK121" s="675" t="s">
        <v>671</v>
      </c>
      <c r="AL121" s="675" t="s">
        <v>68</v>
      </c>
      <c r="AM121" s="675">
        <v>0</v>
      </c>
      <c r="AN121" s="675">
        <v>0</v>
      </c>
      <c r="AO121" s="675">
        <v>0</v>
      </c>
      <c r="AP121" s="675">
        <v>0</v>
      </c>
      <c r="AQ121" s="675">
        <v>0</v>
      </c>
      <c r="AR121" s="675">
        <v>0</v>
      </c>
      <c r="AS121" s="675">
        <v>0</v>
      </c>
      <c r="AT121" s="675">
        <v>0</v>
      </c>
      <c r="AU121" s="675">
        <v>0</v>
      </c>
      <c r="AV121" s="675">
        <v>-26914</v>
      </c>
      <c r="AW121" s="675">
        <v>3588345</v>
      </c>
      <c r="AX121" s="675">
        <v>3520285</v>
      </c>
      <c r="AY121" s="675">
        <v>2365527</v>
      </c>
      <c r="AZ121" s="675">
        <v>160898</v>
      </c>
      <c r="BA121" s="675">
        <v>0</v>
      </c>
      <c r="BB121" s="675">
        <v>0</v>
      </c>
      <c r="BC121" s="675">
        <v>0</v>
      </c>
      <c r="BD121" s="675">
        <v>0</v>
      </c>
      <c r="BE121" s="675">
        <v>0</v>
      </c>
      <c r="BF121" s="675">
        <v>3278694</v>
      </c>
      <c r="BG121" s="675">
        <v>0</v>
      </c>
      <c r="BH121" s="675">
        <v>0</v>
      </c>
      <c r="BI121" s="675">
        <v>0</v>
      </c>
      <c r="BJ121" s="675">
        <v>12</v>
      </c>
      <c r="BK121" s="675">
        <v>0</v>
      </c>
      <c r="BL121" s="675">
        <v>0</v>
      </c>
      <c r="BM121" s="675">
        <v>0</v>
      </c>
      <c r="BN121" s="675">
        <v>0</v>
      </c>
      <c r="BO121" s="675">
        <v>0</v>
      </c>
      <c r="BP121" s="675">
        <v>0</v>
      </c>
      <c r="BQ121" s="675">
        <v>712</v>
      </c>
      <c r="BR121" s="675">
        <v>0</v>
      </c>
      <c r="BS121" s="675">
        <v>0</v>
      </c>
      <c r="BT121" s="675">
        <v>0</v>
      </c>
      <c r="BU121" s="675">
        <v>0</v>
      </c>
      <c r="BV121" s="675">
        <v>0</v>
      </c>
      <c r="BW121" s="675">
        <v>0</v>
      </c>
      <c r="BX121" s="675">
        <v>0</v>
      </c>
      <c r="BY121" s="675">
        <v>0</v>
      </c>
      <c r="BZ121" s="675">
        <v>0</v>
      </c>
      <c r="CA121" s="675">
        <v>0</v>
      </c>
      <c r="CB121" s="675">
        <v>0</v>
      </c>
      <c r="CC121" s="675">
        <v>0</v>
      </c>
      <c r="CD121" s="675">
        <v>0</v>
      </c>
      <c r="CE121" s="675">
        <v>0</v>
      </c>
      <c r="CF121" s="675">
        <v>0</v>
      </c>
      <c r="CG121" s="675">
        <v>0</v>
      </c>
      <c r="CH121" s="675">
        <v>69658</v>
      </c>
      <c r="CI121" s="675">
        <v>0</v>
      </c>
      <c r="CJ121" s="675">
        <v>4</v>
      </c>
      <c r="CK121" s="675">
        <v>0</v>
      </c>
      <c r="CL121" s="675">
        <v>0</v>
      </c>
      <c r="CM121" s="675">
        <v>0</v>
      </c>
      <c r="CN121" s="675">
        <v>0</v>
      </c>
      <c r="CO121" s="675">
        <v>1</v>
      </c>
      <c r="CP121" s="675">
        <v>0</v>
      </c>
      <c r="CQ121" s="675">
        <v>0</v>
      </c>
      <c r="CR121" s="675">
        <v>406</v>
      </c>
      <c r="CS121" s="675">
        <v>0</v>
      </c>
      <c r="CT121" s="675">
        <v>0</v>
      </c>
      <c r="CU121" s="675">
        <v>0</v>
      </c>
      <c r="CV121" s="675">
        <v>0</v>
      </c>
      <c r="CW121" s="675">
        <v>0</v>
      </c>
      <c r="CX121" s="675">
        <v>0</v>
      </c>
      <c r="CY121" s="675">
        <v>0</v>
      </c>
      <c r="CZ121" s="675">
        <v>0</v>
      </c>
      <c r="DA121" s="675">
        <v>0</v>
      </c>
      <c r="DB121" s="675">
        <v>2309213</v>
      </c>
      <c r="DC121" s="675">
        <v>0</v>
      </c>
      <c r="DD121" s="675">
        <v>0</v>
      </c>
      <c r="DE121" s="675">
        <v>72303</v>
      </c>
      <c r="DF121" s="675">
        <v>72303</v>
      </c>
      <c r="DG121" s="675">
        <v>11.738000000000001</v>
      </c>
      <c r="DH121" s="675">
        <v>0</v>
      </c>
      <c r="DI121" s="675">
        <v>0</v>
      </c>
      <c r="DJ121" s="675">
        <v>0</v>
      </c>
      <c r="DK121" s="675">
        <v>3019</v>
      </c>
      <c r="DL121" s="675">
        <v>0</v>
      </c>
      <c r="DM121" s="675">
        <v>424917</v>
      </c>
      <c r="DN121" s="675">
        <v>1598</v>
      </c>
      <c r="DO121" s="675">
        <v>0</v>
      </c>
      <c r="DP121" s="675">
        <v>0</v>
      </c>
      <c r="DQ121" s="675">
        <v>0</v>
      </c>
      <c r="DR121" s="675">
        <v>0</v>
      </c>
      <c r="DS121" s="675">
        <v>0</v>
      </c>
      <c r="DT121" s="675">
        <v>0</v>
      </c>
      <c r="DU121" s="675">
        <v>0</v>
      </c>
      <c r="DV121" s="675">
        <v>0</v>
      </c>
      <c r="DW121" s="675">
        <v>0</v>
      </c>
      <c r="DX121" s="675">
        <v>0</v>
      </c>
      <c r="DY121" s="675">
        <v>0</v>
      </c>
      <c r="DZ121" s="675">
        <v>0</v>
      </c>
      <c r="EA121" s="675">
        <v>0</v>
      </c>
      <c r="EB121" s="675">
        <v>0</v>
      </c>
      <c r="EC121" s="675">
        <v>7.3850000000000007</v>
      </c>
      <c r="ED121" s="675">
        <v>52315</v>
      </c>
      <c r="EE121" s="675">
        <v>0</v>
      </c>
      <c r="EF121" s="675">
        <v>0</v>
      </c>
      <c r="EG121" s="675">
        <v>0</v>
      </c>
      <c r="EH121" s="675">
        <v>374200</v>
      </c>
      <c r="EI121" s="675">
        <v>0</v>
      </c>
      <c r="EJ121" s="675">
        <v>0</v>
      </c>
      <c r="EK121" s="675">
        <v>17.43</v>
      </c>
      <c r="EL121" s="675">
        <v>0</v>
      </c>
      <c r="EM121" s="675">
        <v>1.3640000000000001</v>
      </c>
      <c r="EN121" s="675">
        <v>0.873</v>
      </c>
      <c r="EO121" s="675">
        <v>0</v>
      </c>
      <c r="EP121" s="675">
        <v>0</v>
      </c>
      <c r="EQ121" s="675">
        <v>19.667000000000002</v>
      </c>
      <c r="ER121" s="675">
        <v>0</v>
      </c>
      <c r="ES121" s="675">
        <v>60.747</v>
      </c>
      <c r="ET121" s="675">
        <v>0</v>
      </c>
      <c r="EU121" s="675">
        <v>0</v>
      </c>
      <c r="EV121" s="675">
        <v>0</v>
      </c>
      <c r="EW121" s="675">
        <v>0</v>
      </c>
      <c r="EX121" s="675">
        <v>0</v>
      </c>
      <c r="EY121" s="675">
        <v>0</v>
      </c>
      <c r="EZ121" s="675">
        <v>3117796</v>
      </c>
      <c r="FA121" s="675">
        <v>0</v>
      </c>
      <c r="FB121" s="675">
        <v>3277096</v>
      </c>
      <c r="FC121" s="675">
        <v>0</v>
      </c>
      <c r="FD121" s="675">
        <v>0</v>
      </c>
      <c r="FE121" s="675">
        <v>333510</v>
      </c>
      <c r="FF121" s="675">
        <v>68979</v>
      </c>
      <c r="FG121" s="675">
        <v>6.3574999999999993E-2</v>
      </c>
      <c r="FH121" s="675">
        <v>2.6297999999999998E-2</v>
      </c>
      <c r="FI121" s="675">
        <v>0</v>
      </c>
      <c r="FJ121" s="675">
        <v>0</v>
      </c>
      <c r="FK121" s="675">
        <v>532.25800000000004</v>
      </c>
      <c r="FL121" s="675">
        <v>3749243</v>
      </c>
      <c r="FM121" s="675">
        <v>0</v>
      </c>
      <c r="FN121" s="675">
        <v>0</v>
      </c>
      <c r="FO121" s="675">
        <v>0</v>
      </c>
      <c r="FP121" s="675">
        <v>0</v>
      </c>
      <c r="FQ121" s="675">
        <v>0</v>
      </c>
      <c r="FR121" s="675">
        <v>0</v>
      </c>
      <c r="FS121" s="675">
        <v>0</v>
      </c>
      <c r="FT121" s="675">
        <v>0</v>
      </c>
      <c r="FU121" s="675">
        <v>0</v>
      </c>
      <c r="FV121" s="675">
        <v>0</v>
      </c>
      <c r="FW121" s="675">
        <v>0</v>
      </c>
      <c r="FX121" s="675">
        <v>0</v>
      </c>
      <c r="FY121" s="675">
        <v>0</v>
      </c>
      <c r="FZ121" s="675">
        <v>0</v>
      </c>
      <c r="GA121" s="675">
        <v>0</v>
      </c>
      <c r="GB121" s="675">
        <v>0</v>
      </c>
      <c r="GC121" s="675">
        <v>0</v>
      </c>
      <c r="GD121" s="675">
        <v>0</v>
      </c>
      <c r="GE121" s="675">
        <v>0</v>
      </c>
      <c r="GF121" s="675">
        <v>0</v>
      </c>
      <c r="GG121" s="675">
        <v>0</v>
      </c>
      <c r="GH121" s="675">
        <v>0</v>
      </c>
      <c r="GI121" s="675">
        <v>0</v>
      </c>
      <c r="GJ121" s="675">
        <v>0</v>
      </c>
      <c r="GK121" s="675">
        <v>0</v>
      </c>
      <c r="GL121" s="675">
        <v>0</v>
      </c>
      <c r="GM121" s="675">
        <v>0</v>
      </c>
      <c r="GN121" s="675">
        <v>0</v>
      </c>
      <c r="GO121" s="675">
        <v>0</v>
      </c>
      <c r="GP121" s="675">
        <v>0</v>
      </c>
      <c r="GQ121" s="675">
        <v>0</v>
      </c>
      <c r="GR121" s="675">
        <v>0</v>
      </c>
      <c r="GS121" s="675">
        <v>0</v>
      </c>
      <c r="GT121" s="675">
        <v>0</v>
      </c>
      <c r="GU121" s="675">
        <v>0</v>
      </c>
      <c r="GV121" s="675">
        <v>0</v>
      </c>
      <c r="GW121" s="675">
        <v>0</v>
      </c>
      <c r="GX121" s="675">
        <v>0</v>
      </c>
      <c r="GY121" s="675">
        <v>0</v>
      </c>
      <c r="GZ121" s="675">
        <v>0</v>
      </c>
      <c r="HA121" s="675">
        <v>0</v>
      </c>
      <c r="HB121" s="675">
        <v>308877260</v>
      </c>
      <c r="HC121" s="675">
        <v>4.4138999999999998E-2</v>
      </c>
      <c r="HD121" s="675">
        <v>69658</v>
      </c>
      <c r="HE121" s="675">
        <v>0</v>
      </c>
      <c r="HF121" s="675">
        <v>413486</v>
      </c>
      <c r="HG121" s="675">
        <v>28231</v>
      </c>
      <c r="HH121" s="675">
        <v>23660</v>
      </c>
      <c r="HI121" s="675">
        <v>0</v>
      </c>
      <c r="HJ121" s="675">
        <v>3835</v>
      </c>
      <c r="HK121" s="675">
        <v>0</v>
      </c>
      <c r="HL121" s="675">
        <v>0</v>
      </c>
      <c r="HM121" s="675">
        <v>0</v>
      </c>
      <c r="HN121" s="675">
        <v>0</v>
      </c>
      <c r="HO121" s="675">
        <v>0</v>
      </c>
      <c r="HP121" s="675">
        <v>0</v>
      </c>
      <c r="HQ121" s="675">
        <v>0</v>
      </c>
      <c r="HR121" s="675">
        <v>0</v>
      </c>
      <c r="HS121" s="675">
        <v>3116198</v>
      </c>
      <c r="HT121" s="675">
        <v>68979</v>
      </c>
      <c r="HU121" s="675">
        <v>0</v>
      </c>
      <c r="HV121" s="675">
        <v>0</v>
      </c>
      <c r="HW121" s="675">
        <v>0</v>
      </c>
      <c r="HX121" s="675">
        <v>10</v>
      </c>
      <c r="HY121" s="675">
        <v>12</v>
      </c>
      <c r="HZ121" s="675">
        <v>19</v>
      </c>
      <c r="IA121" s="675">
        <v>3</v>
      </c>
      <c r="IB121" s="675">
        <v>4</v>
      </c>
      <c r="IC121" s="675">
        <v>48</v>
      </c>
      <c r="ID121" s="675">
        <v>0</v>
      </c>
      <c r="IE121" s="675">
        <v>0</v>
      </c>
      <c r="IF121" s="675">
        <v>0</v>
      </c>
      <c r="IG121" s="675">
        <v>45.83</v>
      </c>
      <c r="IH121" s="675">
        <v>38.408999999999999</v>
      </c>
      <c r="II121" s="675">
        <v>0</v>
      </c>
      <c r="IJ121" s="675">
        <v>2.355</v>
      </c>
      <c r="IK121" s="675">
        <v>0</v>
      </c>
      <c r="IL121" s="675">
        <v>0</v>
      </c>
      <c r="IM121" s="675">
        <v>0</v>
      </c>
      <c r="IN121" s="675">
        <v>0</v>
      </c>
      <c r="IO121" s="675">
        <v>0</v>
      </c>
      <c r="IP121" s="675">
        <v>0</v>
      </c>
      <c r="IQ121" s="675">
        <v>2.355</v>
      </c>
      <c r="IR121" s="675">
        <v>1451</v>
      </c>
      <c r="IS121" s="675">
        <v>0</v>
      </c>
      <c r="IT121" s="675">
        <v>0</v>
      </c>
      <c r="IU121" s="675">
        <v>0</v>
      </c>
      <c r="IV121" s="675">
        <v>0</v>
      </c>
      <c r="IW121" s="675">
        <v>6160</v>
      </c>
      <c r="IX121" s="675">
        <v>0</v>
      </c>
      <c r="IY121" s="675">
        <v>0</v>
      </c>
      <c r="IZ121" s="675">
        <v>0</v>
      </c>
      <c r="JA121" s="675">
        <v>0</v>
      </c>
      <c r="JB121" s="675">
        <v>0</v>
      </c>
      <c r="JC121" s="675">
        <v>0</v>
      </c>
      <c r="JD121" s="675">
        <v>0</v>
      </c>
      <c r="JE121" s="675">
        <v>0</v>
      </c>
      <c r="JF121" s="675">
        <v>0</v>
      </c>
      <c r="JG121" s="675">
        <v>0</v>
      </c>
      <c r="JH121" s="675">
        <v>0</v>
      </c>
      <c r="JI121" s="675">
        <v>0</v>
      </c>
      <c r="JJ121" s="675">
        <v>0</v>
      </c>
      <c r="JK121" s="675">
        <v>0</v>
      </c>
      <c r="JL121" s="675">
        <v>0</v>
      </c>
      <c r="JM121" s="675">
        <v>0</v>
      </c>
      <c r="JN121" s="675">
        <v>32469</v>
      </c>
      <c r="JO121" s="675">
        <v>0</v>
      </c>
      <c r="JP121" s="675">
        <v>0</v>
      </c>
      <c r="JQ121" s="675">
        <v>0</v>
      </c>
      <c r="JR121" s="675">
        <v>0</v>
      </c>
      <c r="JS121" s="675">
        <v>0</v>
      </c>
      <c r="JT121" s="675">
        <v>0</v>
      </c>
      <c r="JU121" s="675">
        <v>0</v>
      </c>
      <c r="JV121" s="675">
        <v>0</v>
      </c>
      <c r="JW121" s="675">
        <v>0</v>
      </c>
      <c r="JX121" s="675">
        <v>0</v>
      </c>
      <c r="JY121" s="675">
        <v>0</v>
      </c>
      <c r="JZ121" s="675">
        <v>0</v>
      </c>
      <c r="KA121" s="675">
        <v>0</v>
      </c>
      <c r="KB121" s="675">
        <v>0</v>
      </c>
      <c r="KC121" s="675">
        <v>0</v>
      </c>
      <c r="KD121" s="675">
        <v>0</v>
      </c>
      <c r="KE121" s="675">
        <v>7263</v>
      </c>
      <c r="KF121" s="675">
        <v>0</v>
      </c>
      <c r="KG121" s="675">
        <v>0</v>
      </c>
      <c r="KH121" s="675">
        <v>0</v>
      </c>
      <c r="KI121" s="675">
        <v>0</v>
      </c>
    </row>
    <row r="122" spans="1:295" ht="12.5" x14ac:dyDescent="0.25">
      <c r="A122" s="675">
        <v>35795</v>
      </c>
      <c r="B122" s="675">
        <v>15822</v>
      </c>
      <c r="C122" s="675">
        <v>7</v>
      </c>
      <c r="D122" s="675">
        <v>2022</v>
      </c>
      <c r="E122" s="675">
        <v>6160</v>
      </c>
      <c r="F122" s="675">
        <v>0</v>
      </c>
      <c r="G122" s="675">
        <v>5219.866</v>
      </c>
      <c r="H122" s="675">
        <v>4873.4790000000003</v>
      </c>
      <c r="I122" s="675">
        <v>4873.4790000000003</v>
      </c>
      <c r="J122" s="675">
        <v>5219.866</v>
      </c>
      <c r="K122" s="675">
        <v>0</v>
      </c>
      <c r="L122" s="675">
        <v>6160</v>
      </c>
      <c r="M122" s="675">
        <v>0</v>
      </c>
      <c r="N122" s="675">
        <v>0</v>
      </c>
      <c r="O122" s="675">
        <v>0</v>
      </c>
      <c r="P122" s="675">
        <v>5617.3780000000006</v>
      </c>
      <c r="Q122" s="675">
        <v>0</v>
      </c>
      <c r="R122" s="675">
        <v>2260590</v>
      </c>
      <c r="S122" s="675">
        <v>402.428</v>
      </c>
      <c r="T122" s="675">
        <v>0</v>
      </c>
      <c r="U122" s="675">
        <v>1202126</v>
      </c>
      <c r="V122" s="675">
        <v>1225.1079999999999</v>
      </c>
      <c r="W122" s="675">
        <v>754663</v>
      </c>
      <c r="X122" s="675">
        <v>754663</v>
      </c>
      <c r="Y122" s="675">
        <v>0</v>
      </c>
      <c r="Z122" s="675">
        <v>0</v>
      </c>
      <c r="AA122" s="675">
        <v>0</v>
      </c>
      <c r="AB122" s="675">
        <v>0</v>
      </c>
      <c r="AC122" s="675">
        <v>0</v>
      </c>
      <c r="AD122" s="675" t="s">
        <v>316</v>
      </c>
      <c r="AE122" s="675">
        <v>0</v>
      </c>
      <c r="AF122" s="675">
        <v>0</v>
      </c>
      <c r="AG122" s="675">
        <v>0</v>
      </c>
      <c r="AH122" s="675">
        <v>0</v>
      </c>
      <c r="AI122" s="675">
        <v>0</v>
      </c>
      <c r="AJ122" s="675">
        <v>6160</v>
      </c>
      <c r="AK122" s="675" t="s">
        <v>671</v>
      </c>
      <c r="AL122" s="675" t="s">
        <v>430</v>
      </c>
      <c r="AM122" s="675">
        <v>0</v>
      </c>
      <c r="AN122" s="675">
        <v>0</v>
      </c>
      <c r="AO122" s="675">
        <v>0</v>
      </c>
      <c r="AP122" s="675">
        <v>0</v>
      </c>
      <c r="AQ122" s="675">
        <v>0</v>
      </c>
      <c r="AR122" s="675">
        <v>0</v>
      </c>
      <c r="AS122" s="675">
        <v>0</v>
      </c>
      <c r="AT122" s="675">
        <v>0</v>
      </c>
      <c r="AU122" s="675">
        <v>0</v>
      </c>
      <c r="AV122" s="675">
        <v>0</v>
      </c>
      <c r="AW122" s="675">
        <v>55276002</v>
      </c>
      <c r="AX122" s="675">
        <v>54365969</v>
      </c>
      <c r="AY122" s="675">
        <v>36984735</v>
      </c>
      <c r="AZ122" s="675">
        <v>2260590</v>
      </c>
      <c r="BA122" s="675">
        <v>0</v>
      </c>
      <c r="BB122" s="675">
        <v>109093</v>
      </c>
      <c r="BC122" s="675">
        <v>108387</v>
      </c>
      <c r="BD122" s="675">
        <v>253</v>
      </c>
      <c r="BE122" s="675">
        <v>706</v>
      </c>
      <c r="BF122" s="675">
        <v>50395213</v>
      </c>
      <c r="BG122" s="675">
        <v>0</v>
      </c>
      <c r="BH122" s="675">
        <v>0</v>
      </c>
      <c r="BI122" s="675">
        <v>0</v>
      </c>
      <c r="BJ122" s="675">
        <v>12</v>
      </c>
      <c r="BK122" s="675">
        <v>0</v>
      </c>
      <c r="BL122" s="675">
        <v>0</v>
      </c>
      <c r="BM122" s="675">
        <v>0</v>
      </c>
      <c r="BN122" s="675">
        <v>0</v>
      </c>
      <c r="BO122" s="675">
        <v>0</v>
      </c>
      <c r="BP122" s="675">
        <v>0</v>
      </c>
      <c r="BQ122" s="675">
        <v>19</v>
      </c>
      <c r="BR122" s="675">
        <v>0</v>
      </c>
      <c r="BS122" s="675">
        <v>0</v>
      </c>
      <c r="BT122" s="675">
        <v>0</v>
      </c>
      <c r="BU122" s="675">
        <v>0</v>
      </c>
      <c r="BV122" s="675">
        <v>0</v>
      </c>
      <c r="BW122" s="675">
        <v>0</v>
      </c>
      <c r="BX122" s="675">
        <v>0</v>
      </c>
      <c r="BY122" s="675">
        <v>0</v>
      </c>
      <c r="BZ122" s="675">
        <v>0</v>
      </c>
      <c r="CA122" s="675">
        <v>0</v>
      </c>
      <c r="CB122" s="675">
        <v>0</v>
      </c>
      <c r="CC122" s="675">
        <v>0</v>
      </c>
      <c r="CD122" s="675">
        <v>0</v>
      </c>
      <c r="CE122" s="675">
        <v>0</v>
      </c>
      <c r="CF122" s="675">
        <v>0</v>
      </c>
      <c r="CG122" s="675">
        <v>0</v>
      </c>
      <c r="CH122" s="675">
        <v>921596</v>
      </c>
      <c r="CI122" s="675">
        <v>0</v>
      </c>
      <c r="CJ122" s="675">
        <v>4</v>
      </c>
      <c r="CK122" s="675">
        <v>0</v>
      </c>
      <c r="CL122" s="675">
        <v>0</v>
      </c>
      <c r="CM122" s="675">
        <v>0</v>
      </c>
      <c r="CN122" s="675">
        <v>0</v>
      </c>
      <c r="CO122" s="675">
        <v>1</v>
      </c>
      <c r="CP122" s="675">
        <v>0</v>
      </c>
      <c r="CQ122" s="675">
        <v>0</v>
      </c>
      <c r="CR122" s="675">
        <v>5707.8980000000001</v>
      </c>
      <c r="CS122" s="675">
        <v>0</v>
      </c>
      <c r="CT122" s="675">
        <v>0</v>
      </c>
      <c r="CU122" s="675">
        <v>0</v>
      </c>
      <c r="CV122" s="675">
        <v>0</v>
      </c>
      <c r="CW122" s="675">
        <v>0</v>
      </c>
      <c r="CX122" s="675">
        <v>0</v>
      </c>
      <c r="CY122" s="675">
        <v>0</v>
      </c>
      <c r="CZ122" s="675">
        <v>0</v>
      </c>
      <c r="DA122" s="675">
        <v>0</v>
      </c>
      <c r="DB122" s="675">
        <v>29658947</v>
      </c>
      <c r="DC122" s="675">
        <v>0</v>
      </c>
      <c r="DD122" s="675">
        <v>0</v>
      </c>
      <c r="DE122" s="675">
        <v>7590317</v>
      </c>
      <c r="DF122" s="675">
        <v>7590317</v>
      </c>
      <c r="DG122" s="675">
        <v>1232.2</v>
      </c>
      <c r="DH122" s="675">
        <v>0</v>
      </c>
      <c r="DI122" s="675">
        <v>0</v>
      </c>
      <c r="DJ122" s="675">
        <v>0</v>
      </c>
      <c r="DK122" s="675">
        <v>0</v>
      </c>
      <c r="DL122" s="675">
        <v>0</v>
      </c>
      <c r="DM122" s="675">
        <v>3247699</v>
      </c>
      <c r="DN122" s="675">
        <v>10857</v>
      </c>
      <c r="DO122" s="675">
        <v>0</v>
      </c>
      <c r="DP122" s="675">
        <v>0</v>
      </c>
      <c r="DQ122" s="675">
        <v>0</v>
      </c>
      <c r="DR122" s="675">
        <v>0</v>
      </c>
      <c r="DS122" s="675">
        <v>0</v>
      </c>
      <c r="DT122" s="675">
        <v>0</v>
      </c>
      <c r="DU122" s="675">
        <v>0</v>
      </c>
      <c r="DV122" s="675">
        <v>0</v>
      </c>
      <c r="DW122" s="675">
        <v>0</v>
      </c>
      <c r="DX122" s="675">
        <v>0</v>
      </c>
      <c r="DY122" s="675">
        <v>0</v>
      </c>
      <c r="DZ122" s="675">
        <v>0</v>
      </c>
      <c r="EA122" s="675">
        <v>0.46300000000000002</v>
      </c>
      <c r="EB122" s="675">
        <v>0</v>
      </c>
      <c r="EC122" s="675">
        <v>156.24299999999999</v>
      </c>
      <c r="ED122" s="675">
        <v>1106820</v>
      </c>
      <c r="EE122" s="675">
        <v>0</v>
      </c>
      <c r="EF122" s="675">
        <v>0</v>
      </c>
      <c r="EG122" s="675">
        <v>0</v>
      </c>
      <c r="EH122" s="675">
        <v>1790192</v>
      </c>
      <c r="EI122" s="675">
        <v>0</v>
      </c>
      <c r="EJ122" s="675">
        <v>0</v>
      </c>
      <c r="EK122" s="675">
        <v>67.13900000000001</v>
      </c>
      <c r="EL122" s="675">
        <v>0</v>
      </c>
      <c r="EM122" s="675">
        <v>14.525</v>
      </c>
      <c r="EN122" s="675">
        <v>8.6620000000000008</v>
      </c>
      <c r="EO122" s="675">
        <v>0</v>
      </c>
      <c r="EP122" s="675">
        <v>0</v>
      </c>
      <c r="EQ122" s="675">
        <v>90.789000000000001</v>
      </c>
      <c r="ER122" s="675">
        <v>0</v>
      </c>
      <c r="ES122" s="675">
        <v>290.61700000000002</v>
      </c>
      <c r="ET122" s="675">
        <v>0</v>
      </c>
      <c r="EU122" s="675">
        <v>0</v>
      </c>
      <c r="EV122" s="675">
        <v>0</v>
      </c>
      <c r="EW122" s="675">
        <v>0</v>
      </c>
      <c r="EX122" s="675">
        <v>0</v>
      </c>
      <c r="EY122" s="675">
        <v>0</v>
      </c>
      <c r="EZ122" s="675">
        <v>48179504</v>
      </c>
      <c r="FA122" s="675">
        <v>0</v>
      </c>
      <c r="FB122" s="675">
        <v>50428531</v>
      </c>
      <c r="FC122" s="675">
        <v>0</v>
      </c>
      <c r="FD122" s="675">
        <v>0</v>
      </c>
      <c r="FE122" s="675">
        <v>5126225</v>
      </c>
      <c r="FF122" s="675">
        <v>1060240</v>
      </c>
      <c r="FG122" s="675">
        <v>6.3574999999999993E-2</v>
      </c>
      <c r="FH122" s="675">
        <v>2.6297999999999998E-2</v>
      </c>
      <c r="FI122" s="675">
        <v>0</v>
      </c>
      <c r="FJ122" s="675">
        <v>0</v>
      </c>
      <c r="FK122" s="675">
        <v>8181.0790000000006</v>
      </c>
      <c r="FL122" s="675">
        <v>57536592</v>
      </c>
      <c r="FM122" s="675">
        <v>0</v>
      </c>
      <c r="FN122" s="675">
        <v>0</v>
      </c>
      <c r="FO122" s="675">
        <v>34350</v>
      </c>
      <c r="FP122" s="675">
        <v>0</v>
      </c>
      <c r="FQ122" s="675">
        <v>34350</v>
      </c>
      <c r="FR122" s="675">
        <v>34350</v>
      </c>
      <c r="FS122" s="675">
        <v>0</v>
      </c>
      <c r="FT122" s="675">
        <v>0</v>
      </c>
      <c r="FU122" s="675">
        <v>0</v>
      </c>
      <c r="FV122" s="675">
        <v>0</v>
      </c>
      <c r="FW122" s="675">
        <v>0</v>
      </c>
      <c r="FX122" s="675">
        <v>0</v>
      </c>
      <c r="FY122" s="675">
        <v>0</v>
      </c>
      <c r="FZ122" s="675">
        <v>0</v>
      </c>
      <c r="GA122" s="675">
        <v>0</v>
      </c>
      <c r="GB122" s="675">
        <v>2182544</v>
      </c>
      <c r="GC122" s="675">
        <v>2182544</v>
      </c>
      <c r="GD122" s="675">
        <v>255.59800000000001</v>
      </c>
      <c r="GE122" s="675">
        <v>0</v>
      </c>
      <c r="GF122" s="675">
        <v>0</v>
      </c>
      <c r="GG122" s="675">
        <v>0</v>
      </c>
      <c r="GH122" s="675">
        <v>0</v>
      </c>
      <c r="GI122" s="675">
        <v>0</v>
      </c>
      <c r="GJ122" s="675">
        <v>0</v>
      </c>
      <c r="GK122" s="675">
        <v>0</v>
      </c>
      <c r="GL122" s="675">
        <v>0</v>
      </c>
      <c r="GM122" s="675">
        <v>0</v>
      </c>
      <c r="GN122" s="675">
        <v>0</v>
      </c>
      <c r="GO122" s="675">
        <v>0</v>
      </c>
      <c r="GP122" s="675">
        <v>0</v>
      </c>
      <c r="GQ122" s="675">
        <v>0</v>
      </c>
      <c r="GR122" s="675">
        <v>0</v>
      </c>
      <c r="GS122" s="675">
        <v>0</v>
      </c>
      <c r="GT122" s="675">
        <v>0</v>
      </c>
      <c r="GU122" s="675">
        <v>0</v>
      </c>
      <c r="GV122" s="675">
        <v>0</v>
      </c>
      <c r="GW122" s="675">
        <v>0</v>
      </c>
      <c r="GX122" s="675">
        <v>0</v>
      </c>
      <c r="GY122" s="675">
        <v>0</v>
      </c>
      <c r="GZ122" s="675">
        <v>0</v>
      </c>
      <c r="HA122" s="675">
        <v>0</v>
      </c>
      <c r="HB122" s="675">
        <v>308877260</v>
      </c>
      <c r="HC122" s="675">
        <v>4.4138999999999998E-2</v>
      </c>
      <c r="HD122" s="675">
        <v>921596</v>
      </c>
      <c r="HE122" s="675">
        <v>0</v>
      </c>
      <c r="HF122" s="675">
        <v>5375447</v>
      </c>
      <c r="HG122" s="675">
        <v>123833</v>
      </c>
      <c r="HH122" s="675">
        <v>1265076</v>
      </c>
      <c r="HI122" s="675">
        <v>0</v>
      </c>
      <c r="HJ122" s="675">
        <v>50737</v>
      </c>
      <c r="HK122" s="675">
        <v>9054</v>
      </c>
      <c r="HL122" s="675">
        <v>1477</v>
      </c>
      <c r="HM122" s="675">
        <v>26000</v>
      </c>
      <c r="HN122" s="675">
        <v>0</v>
      </c>
      <c r="HO122" s="675">
        <v>0</v>
      </c>
      <c r="HP122" s="675">
        <v>0</v>
      </c>
      <c r="HQ122" s="675">
        <v>0</v>
      </c>
      <c r="HR122" s="675">
        <v>0</v>
      </c>
      <c r="HS122" s="675">
        <v>48167941</v>
      </c>
      <c r="HT122" s="675">
        <v>1060240</v>
      </c>
      <c r="HU122" s="675">
        <v>0</v>
      </c>
      <c r="HV122" s="675">
        <v>0</v>
      </c>
      <c r="HW122" s="675">
        <v>0</v>
      </c>
      <c r="HX122" s="675">
        <v>443</v>
      </c>
      <c r="HY122" s="675">
        <v>956</v>
      </c>
      <c r="HZ122" s="675">
        <v>924</v>
      </c>
      <c r="IA122" s="675">
        <v>1086</v>
      </c>
      <c r="IB122" s="675">
        <v>1416</v>
      </c>
      <c r="IC122" s="675">
        <v>4825</v>
      </c>
      <c r="ID122" s="675">
        <v>0</v>
      </c>
      <c r="IE122" s="675">
        <v>0</v>
      </c>
      <c r="IF122" s="675">
        <v>0</v>
      </c>
      <c r="IG122" s="675">
        <v>201.029</v>
      </c>
      <c r="IH122" s="675">
        <v>2053.7040000000002</v>
      </c>
      <c r="II122" s="675">
        <v>0</v>
      </c>
      <c r="IJ122" s="675">
        <v>1225.1079999999999</v>
      </c>
      <c r="IK122" s="675">
        <v>0</v>
      </c>
      <c r="IL122" s="675">
        <v>1</v>
      </c>
      <c r="IM122" s="675">
        <v>7</v>
      </c>
      <c r="IN122" s="675">
        <v>0</v>
      </c>
      <c r="IO122" s="675">
        <v>8</v>
      </c>
      <c r="IP122" s="675">
        <v>0</v>
      </c>
      <c r="IQ122" s="675">
        <v>1225.1079999999999</v>
      </c>
      <c r="IR122" s="675">
        <v>754663</v>
      </c>
      <c r="IS122" s="675">
        <v>0</v>
      </c>
      <c r="IT122" s="675">
        <v>5000</v>
      </c>
      <c r="IU122" s="675">
        <v>21000</v>
      </c>
      <c r="IV122" s="675">
        <v>0</v>
      </c>
      <c r="IW122" s="675">
        <v>6160</v>
      </c>
      <c r="IX122" s="675">
        <v>0</v>
      </c>
      <c r="IY122" s="675">
        <v>0</v>
      </c>
      <c r="IZ122" s="675">
        <v>0</v>
      </c>
      <c r="JA122" s="675">
        <v>0</v>
      </c>
      <c r="JB122" s="675">
        <v>0</v>
      </c>
      <c r="JC122" s="675">
        <v>0</v>
      </c>
      <c r="JD122" s="675">
        <v>0</v>
      </c>
      <c r="JE122" s="675">
        <v>0</v>
      </c>
      <c r="JF122" s="675">
        <v>0</v>
      </c>
      <c r="JG122" s="675">
        <v>0</v>
      </c>
      <c r="JH122" s="675">
        <v>0</v>
      </c>
      <c r="JI122" s="675">
        <v>0</v>
      </c>
      <c r="JJ122" s="675">
        <v>0</v>
      </c>
      <c r="JK122" s="675">
        <v>0</v>
      </c>
      <c r="JL122" s="675">
        <v>0</v>
      </c>
      <c r="JM122" s="675">
        <v>0</v>
      </c>
      <c r="JN122" s="675">
        <v>32469</v>
      </c>
      <c r="JO122" s="675">
        <v>172.22400000000002</v>
      </c>
      <c r="JP122" s="675">
        <v>60.550000000000004</v>
      </c>
      <c r="JQ122" s="675">
        <v>22.824000000000002</v>
      </c>
      <c r="JR122" s="675">
        <v>1375949</v>
      </c>
      <c r="JS122" s="675">
        <v>562912</v>
      </c>
      <c r="JT122" s="675">
        <v>243683</v>
      </c>
      <c r="JU122" s="675">
        <v>109093</v>
      </c>
      <c r="JV122" s="675">
        <v>0</v>
      </c>
      <c r="JW122" s="675">
        <v>0</v>
      </c>
      <c r="JX122" s="675">
        <v>0</v>
      </c>
      <c r="JY122" s="675">
        <v>0</v>
      </c>
      <c r="JZ122" s="675">
        <v>0</v>
      </c>
      <c r="KA122" s="675">
        <v>0</v>
      </c>
      <c r="KB122" s="675">
        <v>0</v>
      </c>
      <c r="KC122" s="675">
        <v>0</v>
      </c>
      <c r="KD122" s="675">
        <v>109093</v>
      </c>
      <c r="KE122" s="675">
        <v>7263</v>
      </c>
      <c r="KF122" s="675">
        <v>0</v>
      </c>
      <c r="KG122" s="675">
        <v>0</v>
      </c>
      <c r="KH122" s="675">
        <v>0</v>
      </c>
      <c r="KI122" s="675">
        <v>0</v>
      </c>
    </row>
    <row r="123" spans="1:295" ht="12.5" x14ac:dyDescent="0.25">
      <c r="A123" s="675">
        <v>35795</v>
      </c>
      <c r="B123" s="675">
        <v>227824</v>
      </c>
      <c r="C123" s="675">
        <v>7</v>
      </c>
      <c r="D123" s="675">
        <v>2022</v>
      </c>
      <c r="E123" s="675">
        <v>6160</v>
      </c>
      <c r="F123" s="675">
        <v>0</v>
      </c>
      <c r="G123" s="675">
        <v>810.02200000000005</v>
      </c>
      <c r="H123" s="675">
        <v>801.05000000000007</v>
      </c>
      <c r="I123" s="675">
        <v>801.05000000000007</v>
      </c>
      <c r="J123" s="675">
        <v>810.02200000000005</v>
      </c>
      <c r="K123" s="675">
        <v>0</v>
      </c>
      <c r="L123" s="675">
        <v>6160</v>
      </c>
      <c r="M123" s="675">
        <v>0</v>
      </c>
      <c r="N123" s="675">
        <v>0</v>
      </c>
      <c r="O123" s="675">
        <v>0</v>
      </c>
      <c r="P123" s="675">
        <v>802.31500000000005</v>
      </c>
      <c r="Q123" s="675">
        <v>0</v>
      </c>
      <c r="R123" s="675">
        <v>322874</v>
      </c>
      <c r="S123" s="675">
        <v>402.428</v>
      </c>
      <c r="T123" s="675">
        <v>0</v>
      </c>
      <c r="U123" s="675">
        <v>171696</v>
      </c>
      <c r="V123" s="675">
        <v>262.17700000000002</v>
      </c>
      <c r="W123" s="675">
        <v>161500</v>
      </c>
      <c r="X123" s="675">
        <v>161500</v>
      </c>
      <c r="Y123" s="675">
        <v>0</v>
      </c>
      <c r="Z123" s="675">
        <v>0</v>
      </c>
      <c r="AA123" s="675">
        <v>0</v>
      </c>
      <c r="AB123" s="675">
        <v>0</v>
      </c>
      <c r="AC123" s="675">
        <v>0</v>
      </c>
      <c r="AD123" s="675" t="s">
        <v>316</v>
      </c>
      <c r="AE123" s="675">
        <v>0</v>
      </c>
      <c r="AF123" s="675">
        <v>0</v>
      </c>
      <c r="AG123" s="675">
        <v>0</v>
      </c>
      <c r="AH123" s="675">
        <v>0</v>
      </c>
      <c r="AI123" s="675">
        <v>0</v>
      </c>
      <c r="AJ123" s="675">
        <v>6160</v>
      </c>
      <c r="AK123" s="675" t="s">
        <v>671</v>
      </c>
      <c r="AL123" s="675" t="s">
        <v>903</v>
      </c>
      <c r="AM123" s="675">
        <v>0</v>
      </c>
      <c r="AN123" s="675">
        <v>0</v>
      </c>
      <c r="AO123" s="675">
        <v>0</v>
      </c>
      <c r="AP123" s="675">
        <v>0</v>
      </c>
      <c r="AQ123" s="675">
        <v>0</v>
      </c>
      <c r="AR123" s="675">
        <v>0</v>
      </c>
      <c r="AS123" s="675">
        <v>0</v>
      </c>
      <c r="AT123" s="675">
        <v>0</v>
      </c>
      <c r="AU123" s="675">
        <v>0</v>
      </c>
      <c r="AV123" s="675">
        <v>0</v>
      </c>
      <c r="AW123" s="675">
        <v>9044546</v>
      </c>
      <c r="AX123" s="675">
        <v>8903152</v>
      </c>
      <c r="AY123" s="675">
        <v>6082484</v>
      </c>
      <c r="AZ123" s="675">
        <v>322874</v>
      </c>
      <c r="BA123" s="675">
        <v>0</v>
      </c>
      <c r="BB123" s="675">
        <v>0</v>
      </c>
      <c r="BC123" s="675">
        <v>0</v>
      </c>
      <c r="BD123" s="675">
        <v>0</v>
      </c>
      <c r="BE123" s="675">
        <v>0</v>
      </c>
      <c r="BF123" s="675">
        <v>8160823</v>
      </c>
      <c r="BG123" s="675">
        <v>0</v>
      </c>
      <c r="BH123" s="675">
        <v>0</v>
      </c>
      <c r="BI123" s="675">
        <v>0</v>
      </c>
      <c r="BJ123" s="675">
        <v>12</v>
      </c>
      <c r="BK123" s="675">
        <v>0</v>
      </c>
      <c r="BL123" s="675">
        <v>0</v>
      </c>
      <c r="BM123" s="675">
        <v>0</v>
      </c>
      <c r="BN123" s="675">
        <v>0</v>
      </c>
      <c r="BO123" s="675">
        <v>0</v>
      </c>
      <c r="BP123" s="675">
        <v>0</v>
      </c>
      <c r="BQ123" s="675">
        <v>647</v>
      </c>
      <c r="BR123" s="675">
        <v>0</v>
      </c>
      <c r="BS123" s="675">
        <v>0</v>
      </c>
      <c r="BT123" s="675">
        <v>0</v>
      </c>
      <c r="BU123" s="675">
        <v>0</v>
      </c>
      <c r="BV123" s="675">
        <v>0</v>
      </c>
      <c r="BW123" s="675">
        <v>0</v>
      </c>
      <c r="BX123" s="675">
        <v>0</v>
      </c>
      <c r="BY123" s="675">
        <v>0</v>
      </c>
      <c r="BZ123" s="675">
        <v>0</v>
      </c>
      <c r="CA123" s="675">
        <v>0</v>
      </c>
      <c r="CB123" s="675">
        <v>0</v>
      </c>
      <c r="CC123" s="675">
        <v>0</v>
      </c>
      <c r="CD123" s="675">
        <v>0</v>
      </c>
      <c r="CE123" s="675">
        <v>0</v>
      </c>
      <c r="CF123" s="675">
        <v>0</v>
      </c>
      <c r="CG123" s="675">
        <v>0</v>
      </c>
      <c r="CH123" s="675">
        <v>143014</v>
      </c>
      <c r="CI123" s="675">
        <v>0</v>
      </c>
      <c r="CJ123" s="675">
        <v>4</v>
      </c>
      <c r="CK123" s="675">
        <v>0</v>
      </c>
      <c r="CL123" s="675">
        <v>0</v>
      </c>
      <c r="CM123" s="675">
        <v>0</v>
      </c>
      <c r="CN123" s="675">
        <v>0</v>
      </c>
      <c r="CO123" s="675">
        <v>1</v>
      </c>
      <c r="CP123" s="675">
        <v>0</v>
      </c>
      <c r="CQ123" s="675">
        <v>0</v>
      </c>
      <c r="CR123" s="675">
        <v>982.71300000000008</v>
      </c>
      <c r="CS123" s="675">
        <v>0</v>
      </c>
      <c r="CT123" s="675">
        <v>0</v>
      </c>
      <c r="CU123" s="675">
        <v>0</v>
      </c>
      <c r="CV123" s="675">
        <v>0</v>
      </c>
      <c r="CW123" s="675">
        <v>0</v>
      </c>
      <c r="CX123" s="675">
        <v>0</v>
      </c>
      <c r="CY123" s="675">
        <v>0</v>
      </c>
      <c r="CZ123" s="675">
        <v>0</v>
      </c>
      <c r="DA123" s="675">
        <v>0</v>
      </c>
      <c r="DB123" s="675">
        <v>4934445</v>
      </c>
      <c r="DC123" s="675">
        <v>0</v>
      </c>
      <c r="DD123" s="675">
        <v>0</v>
      </c>
      <c r="DE123" s="675">
        <v>1431115</v>
      </c>
      <c r="DF123" s="675">
        <v>1431115</v>
      </c>
      <c r="DG123" s="675">
        <v>232.32500000000002</v>
      </c>
      <c r="DH123" s="675">
        <v>0</v>
      </c>
      <c r="DI123" s="675">
        <v>0</v>
      </c>
      <c r="DJ123" s="675">
        <v>0</v>
      </c>
      <c r="DK123" s="675">
        <v>1969</v>
      </c>
      <c r="DL123" s="675">
        <v>0</v>
      </c>
      <c r="DM123" s="675">
        <v>430707</v>
      </c>
      <c r="DN123" s="675">
        <v>1620</v>
      </c>
      <c r="DO123" s="675">
        <v>0</v>
      </c>
      <c r="DP123" s="675">
        <v>0</v>
      </c>
      <c r="DQ123" s="675">
        <v>0</v>
      </c>
      <c r="DR123" s="675">
        <v>0</v>
      </c>
      <c r="DS123" s="675">
        <v>0</v>
      </c>
      <c r="DT123" s="675">
        <v>0</v>
      </c>
      <c r="DU123" s="675">
        <v>0</v>
      </c>
      <c r="DV123" s="675">
        <v>0</v>
      </c>
      <c r="DW123" s="675">
        <v>0</v>
      </c>
      <c r="DX123" s="675">
        <v>0</v>
      </c>
      <c r="DY123" s="675">
        <v>0</v>
      </c>
      <c r="DZ123" s="675">
        <v>0</v>
      </c>
      <c r="EA123" s="675">
        <v>0</v>
      </c>
      <c r="EB123" s="675">
        <v>0</v>
      </c>
      <c r="EC123" s="675">
        <v>35.135000000000005</v>
      </c>
      <c r="ED123" s="675">
        <v>248895</v>
      </c>
      <c r="EE123" s="675">
        <v>0</v>
      </c>
      <c r="EF123" s="675">
        <v>0</v>
      </c>
      <c r="EG123" s="675">
        <v>0</v>
      </c>
      <c r="EH123" s="675">
        <v>183432</v>
      </c>
      <c r="EI123" s="675">
        <v>0</v>
      </c>
      <c r="EJ123" s="675">
        <v>0</v>
      </c>
      <c r="EK123" s="675">
        <v>7.5410000000000004</v>
      </c>
      <c r="EL123" s="675">
        <v>0</v>
      </c>
      <c r="EM123" s="675">
        <v>0</v>
      </c>
      <c r="EN123" s="675">
        <v>1.431</v>
      </c>
      <c r="EO123" s="675">
        <v>0</v>
      </c>
      <c r="EP123" s="675">
        <v>0</v>
      </c>
      <c r="EQ123" s="675">
        <v>8.9720000000000013</v>
      </c>
      <c r="ER123" s="675">
        <v>0</v>
      </c>
      <c r="ES123" s="675">
        <v>29.778000000000002</v>
      </c>
      <c r="ET123" s="675">
        <v>0</v>
      </c>
      <c r="EU123" s="675">
        <v>0</v>
      </c>
      <c r="EV123" s="675">
        <v>0</v>
      </c>
      <c r="EW123" s="675">
        <v>0</v>
      </c>
      <c r="EX123" s="675">
        <v>0</v>
      </c>
      <c r="EY123" s="675">
        <v>0</v>
      </c>
      <c r="EZ123" s="675">
        <v>7901338</v>
      </c>
      <c r="FA123" s="675">
        <v>0</v>
      </c>
      <c r="FB123" s="675">
        <v>8222592</v>
      </c>
      <c r="FC123" s="675">
        <v>0</v>
      </c>
      <c r="FD123" s="675">
        <v>0</v>
      </c>
      <c r="FE123" s="675">
        <v>830123</v>
      </c>
      <c r="FF123" s="675">
        <v>171691</v>
      </c>
      <c r="FG123" s="675">
        <v>6.3574999999999993E-2</v>
      </c>
      <c r="FH123" s="675">
        <v>2.6297999999999998E-2</v>
      </c>
      <c r="FI123" s="675">
        <v>0</v>
      </c>
      <c r="FJ123" s="675">
        <v>0</v>
      </c>
      <c r="FK123" s="675">
        <v>1324.8150000000001</v>
      </c>
      <c r="FL123" s="675">
        <v>9367420</v>
      </c>
      <c r="FM123" s="675">
        <v>0</v>
      </c>
      <c r="FN123" s="675">
        <v>0</v>
      </c>
      <c r="FO123" s="675">
        <v>60995</v>
      </c>
      <c r="FP123" s="675">
        <v>0</v>
      </c>
      <c r="FQ123" s="675">
        <v>60995</v>
      </c>
      <c r="FR123" s="675">
        <v>60995</v>
      </c>
      <c r="FS123" s="675">
        <v>0</v>
      </c>
      <c r="FT123" s="675">
        <v>0</v>
      </c>
      <c r="FU123" s="675">
        <v>0</v>
      </c>
      <c r="FV123" s="675">
        <v>0</v>
      </c>
      <c r="FW123" s="675">
        <v>0</v>
      </c>
      <c r="FX123" s="675">
        <v>0</v>
      </c>
      <c r="FY123" s="675">
        <v>0</v>
      </c>
      <c r="FZ123" s="675">
        <v>0</v>
      </c>
      <c r="GA123" s="675">
        <v>0</v>
      </c>
      <c r="GB123" s="675">
        <v>0</v>
      </c>
      <c r="GC123" s="675">
        <v>0</v>
      </c>
      <c r="GD123" s="675">
        <v>0</v>
      </c>
      <c r="GE123" s="675">
        <v>0</v>
      </c>
      <c r="GF123" s="675">
        <v>0</v>
      </c>
      <c r="GG123" s="675">
        <v>0</v>
      </c>
      <c r="GH123" s="675">
        <v>0</v>
      </c>
      <c r="GI123" s="675">
        <v>0</v>
      </c>
      <c r="GJ123" s="675">
        <v>0</v>
      </c>
      <c r="GK123" s="675">
        <v>0</v>
      </c>
      <c r="GL123" s="675">
        <v>0</v>
      </c>
      <c r="GM123" s="675">
        <v>0</v>
      </c>
      <c r="GN123" s="675">
        <v>0</v>
      </c>
      <c r="GO123" s="675">
        <v>0</v>
      </c>
      <c r="GP123" s="675">
        <v>0</v>
      </c>
      <c r="GQ123" s="675">
        <v>0</v>
      </c>
      <c r="GR123" s="675">
        <v>0</v>
      </c>
      <c r="GS123" s="675">
        <v>0</v>
      </c>
      <c r="GT123" s="675">
        <v>0</v>
      </c>
      <c r="GU123" s="675">
        <v>0</v>
      </c>
      <c r="GV123" s="675">
        <v>0</v>
      </c>
      <c r="GW123" s="675">
        <v>0</v>
      </c>
      <c r="GX123" s="675">
        <v>0</v>
      </c>
      <c r="GY123" s="675">
        <v>0</v>
      </c>
      <c r="GZ123" s="675">
        <v>0</v>
      </c>
      <c r="HA123" s="675">
        <v>0</v>
      </c>
      <c r="HB123" s="675">
        <v>308877260</v>
      </c>
      <c r="HC123" s="675">
        <v>4.4138999999999998E-2</v>
      </c>
      <c r="HD123" s="675">
        <v>143014</v>
      </c>
      <c r="HE123" s="675">
        <v>0</v>
      </c>
      <c r="HF123" s="675">
        <v>883558</v>
      </c>
      <c r="HG123" s="675">
        <v>13474</v>
      </c>
      <c r="HH123" s="675">
        <v>261531</v>
      </c>
      <c r="HI123" s="675">
        <v>0</v>
      </c>
      <c r="HJ123" s="675">
        <v>7873</v>
      </c>
      <c r="HK123" s="675">
        <v>2394</v>
      </c>
      <c r="HL123" s="675">
        <v>0</v>
      </c>
      <c r="HM123" s="675">
        <v>35000</v>
      </c>
      <c r="HN123" s="675">
        <v>0</v>
      </c>
      <c r="HO123" s="675">
        <v>0</v>
      </c>
      <c r="HP123" s="675">
        <v>0</v>
      </c>
      <c r="HQ123" s="675">
        <v>0</v>
      </c>
      <c r="HR123" s="675">
        <v>0</v>
      </c>
      <c r="HS123" s="675">
        <v>7899718</v>
      </c>
      <c r="HT123" s="675">
        <v>171691</v>
      </c>
      <c r="HU123" s="675">
        <v>0</v>
      </c>
      <c r="HV123" s="675">
        <v>0</v>
      </c>
      <c r="HW123" s="675">
        <v>0</v>
      </c>
      <c r="HX123" s="675">
        <v>96</v>
      </c>
      <c r="HY123" s="675">
        <v>175</v>
      </c>
      <c r="HZ123" s="675">
        <v>179</v>
      </c>
      <c r="IA123" s="675">
        <v>233</v>
      </c>
      <c r="IB123" s="675">
        <v>230</v>
      </c>
      <c r="IC123" s="675">
        <v>913</v>
      </c>
      <c r="ID123" s="675">
        <v>0</v>
      </c>
      <c r="IE123" s="675">
        <v>0</v>
      </c>
      <c r="IF123" s="675">
        <v>0</v>
      </c>
      <c r="IG123" s="675">
        <v>21.874000000000002</v>
      </c>
      <c r="IH123" s="675">
        <v>424.56600000000003</v>
      </c>
      <c r="II123" s="675">
        <v>0</v>
      </c>
      <c r="IJ123" s="675">
        <v>262.17700000000002</v>
      </c>
      <c r="IK123" s="675">
        <v>0</v>
      </c>
      <c r="IL123" s="675">
        <v>7</v>
      </c>
      <c r="IM123" s="675">
        <v>0</v>
      </c>
      <c r="IN123" s="675">
        <v>0</v>
      </c>
      <c r="IO123" s="675">
        <v>7</v>
      </c>
      <c r="IP123" s="675">
        <v>0</v>
      </c>
      <c r="IQ123" s="675">
        <v>262.17700000000002</v>
      </c>
      <c r="IR123" s="675">
        <v>161500</v>
      </c>
      <c r="IS123" s="675">
        <v>0</v>
      </c>
      <c r="IT123" s="675">
        <v>35000</v>
      </c>
      <c r="IU123" s="675">
        <v>0</v>
      </c>
      <c r="IV123" s="675">
        <v>0</v>
      </c>
      <c r="IW123" s="675">
        <v>6160</v>
      </c>
      <c r="IX123" s="675">
        <v>0</v>
      </c>
      <c r="IY123" s="675">
        <v>0</v>
      </c>
      <c r="IZ123" s="675">
        <v>0</v>
      </c>
      <c r="JA123" s="675">
        <v>0</v>
      </c>
      <c r="JB123" s="675">
        <v>0</v>
      </c>
      <c r="JC123" s="675">
        <v>0</v>
      </c>
      <c r="JD123" s="675">
        <v>0</v>
      </c>
      <c r="JE123" s="675">
        <v>0</v>
      </c>
      <c r="JF123" s="675">
        <v>0</v>
      </c>
      <c r="JG123" s="675">
        <v>0</v>
      </c>
      <c r="JH123" s="675">
        <v>0</v>
      </c>
      <c r="JI123" s="675">
        <v>0</v>
      </c>
      <c r="JJ123" s="675">
        <v>0</v>
      </c>
      <c r="JK123" s="675">
        <v>0</v>
      </c>
      <c r="JL123" s="675">
        <v>0</v>
      </c>
      <c r="JM123" s="675">
        <v>0</v>
      </c>
      <c r="JN123" s="675">
        <v>32469</v>
      </c>
      <c r="JO123" s="675">
        <v>0</v>
      </c>
      <c r="JP123" s="675">
        <v>0</v>
      </c>
      <c r="JQ123" s="675">
        <v>0</v>
      </c>
      <c r="JR123" s="675">
        <v>0</v>
      </c>
      <c r="JS123" s="675">
        <v>0</v>
      </c>
      <c r="JT123" s="675">
        <v>0</v>
      </c>
      <c r="JU123" s="675">
        <v>0</v>
      </c>
      <c r="JV123" s="675">
        <v>0</v>
      </c>
      <c r="JW123" s="675">
        <v>0</v>
      </c>
      <c r="JX123" s="675">
        <v>0</v>
      </c>
      <c r="JY123" s="675">
        <v>0</v>
      </c>
      <c r="JZ123" s="675">
        <v>0</v>
      </c>
      <c r="KA123" s="675">
        <v>0</v>
      </c>
      <c r="KB123" s="675">
        <v>0</v>
      </c>
      <c r="KC123" s="675">
        <v>0</v>
      </c>
      <c r="KD123" s="675">
        <v>0</v>
      </c>
      <c r="KE123" s="675">
        <v>7263</v>
      </c>
      <c r="KF123" s="675">
        <v>0</v>
      </c>
      <c r="KG123" s="675">
        <v>0</v>
      </c>
      <c r="KH123" s="675">
        <v>0</v>
      </c>
      <c r="KI123" s="675">
        <v>0</v>
      </c>
    </row>
    <row r="124" spans="1:295" ht="12.5" x14ac:dyDescent="0.25">
      <c r="A124" s="675">
        <v>35795</v>
      </c>
      <c r="B124" s="675">
        <v>15825</v>
      </c>
      <c r="C124" s="675">
        <v>7</v>
      </c>
      <c r="D124" s="675">
        <v>2022</v>
      </c>
      <c r="E124" s="675">
        <v>6160</v>
      </c>
      <c r="F124" s="675">
        <v>0</v>
      </c>
      <c r="G124" s="675">
        <v>347.28900000000004</v>
      </c>
      <c r="H124" s="675">
        <v>308.97000000000003</v>
      </c>
      <c r="I124" s="675">
        <v>308.97000000000003</v>
      </c>
      <c r="J124" s="675">
        <v>347.28900000000004</v>
      </c>
      <c r="K124" s="675">
        <v>0</v>
      </c>
      <c r="L124" s="675">
        <v>6160</v>
      </c>
      <c r="M124" s="675">
        <v>0</v>
      </c>
      <c r="N124" s="675">
        <v>0</v>
      </c>
      <c r="O124" s="675">
        <v>0</v>
      </c>
      <c r="P124" s="675">
        <v>275.40500000000003</v>
      </c>
      <c r="Q124" s="675">
        <v>0</v>
      </c>
      <c r="R124" s="675">
        <v>110831</v>
      </c>
      <c r="S124" s="675">
        <v>402.428</v>
      </c>
      <c r="T124" s="675">
        <v>0</v>
      </c>
      <c r="U124" s="675">
        <v>58938</v>
      </c>
      <c r="V124" s="675">
        <v>91.23</v>
      </c>
      <c r="W124" s="675">
        <v>56197</v>
      </c>
      <c r="X124" s="675">
        <v>56197</v>
      </c>
      <c r="Y124" s="675">
        <v>0</v>
      </c>
      <c r="Z124" s="675">
        <v>0</v>
      </c>
      <c r="AA124" s="675">
        <v>0</v>
      </c>
      <c r="AB124" s="675">
        <v>0</v>
      </c>
      <c r="AC124" s="675">
        <v>0</v>
      </c>
      <c r="AD124" s="675" t="s">
        <v>316</v>
      </c>
      <c r="AE124" s="675">
        <v>0</v>
      </c>
      <c r="AF124" s="675">
        <v>0</v>
      </c>
      <c r="AG124" s="675">
        <v>0</v>
      </c>
      <c r="AH124" s="675">
        <v>0</v>
      </c>
      <c r="AI124" s="675">
        <v>0</v>
      </c>
      <c r="AJ124" s="675">
        <v>6160</v>
      </c>
      <c r="AK124" s="675" t="s">
        <v>671</v>
      </c>
      <c r="AL124" s="675" t="s">
        <v>791</v>
      </c>
      <c r="AM124" s="675">
        <v>0</v>
      </c>
      <c r="AN124" s="675">
        <v>0</v>
      </c>
      <c r="AO124" s="675">
        <v>0</v>
      </c>
      <c r="AP124" s="675">
        <v>0</v>
      </c>
      <c r="AQ124" s="675">
        <v>0</v>
      </c>
      <c r="AR124" s="675">
        <v>0</v>
      </c>
      <c r="AS124" s="675">
        <v>0</v>
      </c>
      <c r="AT124" s="675">
        <v>0</v>
      </c>
      <c r="AU124" s="675">
        <v>0</v>
      </c>
      <c r="AV124" s="675">
        <v>0</v>
      </c>
      <c r="AW124" s="675">
        <v>3837659</v>
      </c>
      <c r="AX124" s="675">
        <v>3777341</v>
      </c>
      <c r="AY124" s="675">
        <v>2293368</v>
      </c>
      <c r="AZ124" s="675">
        <v>110831</v>
      </c>
      <c r="BA124" s="675">
        <v>0</v>
      </c>
      <c r="BB124" s="675">
        <v>5174</v>
      </c>
      <c r="BC124" s="675">
        <v>5141</v>
      </c>
      <c r="BD124" s="675">
        <v>12</v>
      </c>
      <c r="BE124" s="675">
        <v>33</v>
      </c>
      <c r="BF124" s="675">
        <v>3463052</v>
      </c>
      <c r="BG124" s="675">
        <v>0</v>
      </c>
      <c r="BH124" s="675">
        <v>0</v>
      </c>
      <c r="BI124" s="675">
        <v>0</v>
      </c>
      <c r="BJ124" s="675">
        <v>12</v>
      </c>
      <c r="BK124" s="675">
        <v>0</v>
      </c>
      <c r="BL124" s="675">
        <v>0</v>
      </c>
      <c r="BM124" s="675">
        <v>0</v>
      </c>
      <c r="BN124" s="675">
        <v>0</v>
      </c>
      <c r="BO124" s="675">
        <v>0</v>
      </c>
      <c r="BP124" s="675">
        <v>0</v>
      </c>
      <c r="BQ124" s="675">
        <v>722</v>
      </c>
      <c r="BR124" s="675">
        <v>0</v>
      </c>
      <c r="BS124" s="675">
        <v>0</v>
      </c>
      <c r="BT124" s="675">
        <v>0</v>
      </c>
      <c r="BU124" s="675">
        <v>0</v>
      </c>
      <c r="BV124" s="675">
        <v>0</v>
      </c>
      <c r="BW124" s="675">
        <v>0</v>
      </c>
      <c r="BX124" s="675">
        <v>0</v>
      </c>
      <c r="BY124" s="675">
        <v>0</v>
      </c>
      <c r="BZ124" s="675">
        <v>0</v>
      </c>
      <c r="CA124" s="675">
        <v>0</v>
      </c>
      <c r="CB124" s="675">
        <v>0</v>
      </c>
      <c r="CC124" s="675">
        <v>0</v>
      </c>
      <c r="CD124" s="675">
        <v>0</v>
      </c>
      <c r="CE124" s="675">
        <v>0</v>
      </c>
      <c r="CF124" s="675">
        <v>0</v>
      </c>
      <c r="CG124" s="675">
        <v>0</v>
      </c>
      <c r="CH124" s="675">
        <v>61316</v>
      </c>
      <c r="CI124" s="675">
        <v>0</v>
      </c>
      <c r="CJ124" s="675">
        <v>4</v>
      </c>
      <c r="CK124" s="675">
        <v>0</v>
      </c>
      <c r="CL124" s="675">
        <v>0</v>
      </c>
      <c r="CM124" s="675">
        <v>0</v>
      </c>
      <c r="CN124" s="675">
        <v>0</v>
      </c>
      <c r="CO124" s="675">
        <v>1</v>
      </c>
      <c r="CP124" s="675">
        <v>0</v>
      </c>
      <c r="CQ124" s="675">
        <v>0</v>
      </c>
      <c r="CR124" s="675">
        <v>306.61400000000003</v>
      </c>
      <c r="CS124" s="675">
        <v>0</v>
      </c>
      <c r="CT124" s="675">
        <v>0</v>
      </c>
      <c r="CU124" s="675">
        <v>0</v>
      </c>
      <c r="CV124" s="675">
        <v>0</v>
      </c>
      <c r="CW124" s="675">
        <v>0</v>
      </c>
      <c r="CX124" s="675">
        <v>0</v>
      </c>
      <c r="CY124" s="675">
        <v>0</v>
      </c>
      <c r="CZ124" s="675">
        <v>0</v>
      </c>
      <c r="DA124" s="675">
        <v>0</v>
      </c>
      <c r="DB124" s="675">
        <v>1903246</v>
      </c>
      <c r="DC124" s="675">
        <v>0</v>
      </c>
      <c r="DD124" s="675">
        <v>0</v>
      </c>
      <c r="DE124" s="675">
        <v>587045</v>
      </c>
      <c r="DF124" s="675">
        <v>587045</v>
      </c>
      <c r="DG124" s="675">
        <v>95.3</v>
      </c>
      <c r="DH124" s="675">
        <v>0</v>
      </c>
      <c r="DI124" s="675">
        <v>0</v>
      </c>
      <c r="DJ124" s="675">
        <v>0</v>
      </c>
      <c r="DK124" s="675">
        <v>3181</v>
      </c>
      <c r="DL124" s="675">
        <v>0</v>
      </c>
      <c r="DM124" s="675">
        <v>256505</v>
      </c>
      <c r="DN124" s="675">
        <v>965</v>
      </c>
      <c r="DO124" s="675">
        <v>0</v>
      </c>
      <c r="DP124" s="675">
        <v>0</v>
      </c>
      <c r="DQ124" s="675">
        <v>0</v>
      </c>
      <c r="DR124" s="675">
        <v>0</v>
      </c>
      <c r="DS124" s="675">
        <v>0</v>
      </c>
      <c r="DT124" s="675">
        <v>0</v>
      </c>
      <c r="DU124" s="675">
        <v>0</v>
      </c>
      <c r="DV124" s="675">
        <v>0</v>
      </c>
      <c r="DW124" s="675">
        <v>0</v>
      </c>
      <c r="DX124" s="675">
        <v>0</v>
      </c>
      <c r="DY124" s="675">
        <v>0</v>
      </c>
      <c r="DZ124" s="675">
        <v>0</v>
      </c>
      <c r="EA124" s="675">
        <v>0</v>
      </c>
      <c r="EB124" s="675">
        <v>0</v>
      </c>
      <c r="EC124" s="675">
        <v>0.49500000000000005</v>
      </c>
      <c r="ED124" s="675">
        <v>3507</v>
      </c>
      <c r="EE124" s="675">
        <v>0</v>
      </c>
      <c r="EF124" s="675">
        <v>0</v>
      </c>
      <c r="EG124" s="675">
        <v>0</v>
      </c>
      <c r="EH124" s="675">
        <v>253963</v>
      </c>
      <c r="EI124" s="675">
        <v>0</v>
      </c>
      <c r="EJ124" s="675">
        <v>0</v>
      </c>
      <c r="EK124" s="675">
        <v>12.261000000000001</v>
      </c>
      <c r="EL124" s="675">
        <v>0</v>
      </c>
      <c r="EM124" s="675">
        <v>0</v>
      </c>
      <c r="EN124" s="675">
        <v>0.88900000000000001</v>
      </c>
      <c r="EO124" s="675">
        <v>0</v>
      </c>
      <c r="EP124" s="675">
        <v>0</v>
      </c>
      <c r="EQ124" s="675">
        <v>13.15</v>
      </c>
      <c r="ER124" s="675">
        <v>0</v>
      </c>
      <c r="ES124" s="675">
        <v>41.228000000000002</v>
      </c>
      <c r="ET124" s="675">
        <v>0</v>
      </c>
      <c r="EU124" s="675">
        <v>0</v>
      </c>
      <c r="EV124" s="675">
        <v>0</v>
      </c>
      <c r="EW124" s="675">
        <v>0</v>
      </c>
      <c r="EX124" s="675">
        <v>0</v>
      </c>
      <c r="EY124" s="675">
        <v>0</v>
      </c>
      <c r="EZ124" s="675">
        <v>3352221</v>
      </c>
      <c r="FA124" s="675">
        <v>0</v>
      </c>
      <c r="FB124" s="675">
        <v>3462054</v>
      </c>
      <c r="FC124" s="675">
        <v>0</v>
      </c>
      <c r="FD124" s="675">
        <v>0</v>
      </c>
      <c r="FE124" s="675">
        <v>352263</v>
      </c>
      <c r="FF124" s="675">
        <v>72857</v>
      </c>
      <c r="FG124" s="675">
        <v>6.3574999999999993E-2</v>
      </c>
      <c r="FH124" s="675">
        <v>2.6297999999999998E-2</v>
      </c>
      <c r="FI124" s="675">
        <v>0</v>
      </c>
      <c r="FJ124" s="675">
        <v>0</v>
      </c>
      <c r="FK124" s="675">
        <v>562.18600000000004</v>
      </c>
      <c r="FL124" s="675">
        <v>3948490</v>
      </c>
      <c r="FM124" s="675">
        <v>0</v>
      </c>
      <c r="FN124" s="675">
        <v>0</v>
      </c>
      <c r="FO124" s="675">
        <v>0</v>
      </c>
      <c r="FP124" s="675">
        <v>0</v>
      </c>
      <c r="FQ124" s="675">
        <v>0</v>
      </c>
      <c r="FR124" s="675">
        <v>0</v>
      </c>
      <c r="FS124" s="675">
        <v>0</v>
      </c>
      <c r="FT124" s="675">
        <v>0</v>
      </c>
      <c r="FU124" s="675">
        <v>0</v>
      </c>
      <c r="FV124" s="675">
        <v>0</v>
      </c>
      <c r="FW124" s="675">
        <v>0</v>
      </c>
      <c r="FX124" s="675">
        <v>0</v>
      </c>
      <c r="FY124" s="675">
        <v>0</v>
      </c>
      <c r="FZ124" s="675">
        <v>0</v>
      </c>
      <c r="GA124" s="675">
        <v>0</v>
      </c>
      <c r="GB124" s="675">
        <v>225644</v>
      </c>
      <c r="GC124" s="675">
        <v>225644</v>
      </c>
      <c r="GD124" s="675">
        <v>25.169</v>
      </c>
      <c r="GE124" s="675">
        <v>0</v>
      </c>
      <c r="GF124" s="675">
        <v>0</v>
      </c>
      <c r="GG124" s="675">
        <v>0</v>
      </c>
      <c r="GH124" s="675">
        <v>0</v>
      </c>
      <c r="GI124" s="675">
        <v>0</v>
      </c>
      <c r="GJ124" s="675">
        <v>0</v>
      </c>
      <c r="GK124" s="675">
        <v>0</v>
      </c>
      <c r="GL124" s="675">
        <v>0</v>
      </c>
      <c r="GM124" s="675">
        <v>0</v>
      </c>
      <c r="GN124" s="675">
        <v>0</v>
      </c>
      <c r="GO124" s="675">
        <v>0</v>
      </c>
      <c r="GP124" s="675">
        <v>0</v>
      </c>
      <c r="GQ124" s="675">
        <v>0</v>
      </c>
      <c r="GR124" s="675">
        <v>0</v>
      </c>
      <c r="GS124" s="675">
        <v>0</v>
      </c>
      <c r="GT124" s="675">
        <v>0</v>
      </c>
      <c r="GU124" s="675">
        <v>0</v>
      </c>
      <c r="GV124" s="675">
        <v>0</v>
      </c>
      <c r="GW124" s="675">
        <v>0</v>
      </c>
      <c r="GX124" s="675">
        <v>0</v>
      </c>
      <c r="GY124" s="675">
        <v>0</v>
      </c>
      <c r="GZ124" s="675">
        <v>0</v>
      </c>
      <c r="HA124" s="675">
        <v>0</v>
      </c>
      <c r="HB124" s="675">
        <v>308877260</v>
      </c>
      <c r="HC124" s="675">
        <v>4.4138999999999998E-2</v>
      </c>
      <c r="HD124" s="675">
        <v>61316</v>
      </c>
      <c r="HE124" s="675">
        <v>0</v>
      </c>
      <c r="HF124" s="675">
        <v>340794</v>
      </c>
      <c r="HG124" s="675">
        <v>13552</v>
      </c>
      <c r="HH124" s="675">
        <v>70554</v>
      </c>
      <c r="HI124" s="675">
        <v>0</v>
      </c>
      <c r="HJ124" s="675">
        <v>3376</v>
      </c>
      <c r="HK124" s="675">
        <v>0</v>
      </c>
      <c r="HL124" s="675">
        <v>0</v>
      </c>
      <c r="HM124" s="675">
        <v>0</v>
      </c>
      <c r="HN124" s="675">
        <v>0</v>
      </c>
      <c r="HO124" s="675">
        <v>0</v>
      </c>
      <c r="HP124" s="675">
        <v>0</v>
      </c>
      <c r="HQ124" s="675">
        <v>0</v>
      </c>
      <c r="HR124" s="675">
        <v>0</v>
      </c>
      <c r="HS124" s="675">
        <v>3351223</v>
      </c>
      <c r="HT124" s="675">
        <v>72857</v>
      </c>
      <c r="HU124" s="675">
        <v>0</v>
      </c>
      <c r="HV124" s="675">
        <v>0</v>
      </c>
      <c r="HW124" s="675">
        <v>0</v>
      </c>
      <c r="HX124" s="675">
        <v>46</v>
      </c>
      <c r="HY124" s="675">
        <v>44</v>
      </c>
      <c r="HZ124" s="675">
        <v>83</v>
      </c>
      <c r="IA124" s="675">
        <v>56</v>
      </c>
      <c r="IB124" s="675">
        <v>142</v>
      </c>
      <c r="IC124" s="675">
        <v>371</v>
      </c>
      <c r="ID124" s="675">
        <v>0</v>
      </c>
      <c r="IE124" s="675">
        <v>0</v>
      </c>
      <c r="IF124" s="675">
        <v>0</v>
      </c>
      <c r="IG124" s="675">
        <v>22</v>
      </c>
      <c r="IH124" s="675">
        <v>114.536</v>
      </c>
      <c r="II124" s="675">
        <v>0</v>
      </c>
      <c r="IJ124" s="675">
        <v>91.23</v>
      </c>
      <c r="IK124" s="675">
        <v>0</v>
      </c>
      <c r="IL124" s="675">
        <v>0</v>
      </c>
      <c r="IM124" s="675">
        <v>0</v>
      </c>
      <c r="IN124" s="675">
        <v>0</v>
      </c>
      <c r="IO124" s="675">
        <v>0</v>
      </c>
      <c r="IP124" s="675">
        <v>0</v>
      </c>
      <c r="IQ124" s="675">
        <v>91.23</v>
      </c>
      <c r="IR124" s="675">
        <v>56197</v>
      </c>
      <c r="IS124" s="675">
        <v>0</v>
      </c>
      <c r="IT124" s="675">
        <v>0</v>
      </c>
      <c r="IU124" s="675">
        <v>0</v>
      </c>
      <c r="IV124" s="675">
        <v>0</v>
      </c>
      <c r="IW124" s="675">
        <v>6160</v>
      </c>
      <c r="IX124" s="675">
        <v>0</v>
      </c>
      <c r="IY124" s="675">
        <v>0</v>
      </c>
      <c r="IZ124" s="675">
        <v>0</v>
      </c>
      <c r="JA124" s="675">
        <v>0</v>
      </c>
      <c r="JB124" s="675">
        <v>0</v>
      </c>
      <c r="JC124" s="675">
        <v>0</v>
      </c>
      <c r="JD124" s="675">
        <v>0</v>
      </c>
      <c r="JE124" s="675">
        <v>0</v>
      </c>
      <c r="JF124" s="675">
        <v>0</v>
      </c>
      <c r="JG124" s="675">
        <v>0</v>
      </c>
      <c r="JH124" s="675">
        <v>0</v>
      </c>
      <c r="JI124" s="675">
        <v>0</v>
      </c>
      <c r="JJ124" s="675">
        <v>0</v>
      </c>
      <c r="JK124" s="675">
        <v>0</v>
      </c>
      <c r="JL124" s="675">
        <v>0</v>
      </c>
      <c r="JM124" s="675">
        <v>0</v>
      </c>
      <c r="JN124" s="675">
        <v>32469</v>
      </c>
      <c r="JO124" s="675">
        <v>6.3820000000000006</v>
      </c>
      <c r="JP124" s="675">
        <v>18.787000000000003</v>
      </c>
      <c r="JQ124" s="675">
        <v>0</v>
      </c>
      <c r="JR124" s="675">
        <v>50988</v>
      </c>
      <c r="JS124" s="675">
        <v>174656</v>
      </c>
      <c r="JT124" s="675">
        <v>0</v>
      </c>
      <c r="JU124" s="675">
        <v>5174</v>
      </c>
      <c r="JV124" s="675">
        <v>0</v>
      </c>
      <c r="JW124" s="675">
        <v>0</v>
      </c>
      <c r="JX124" s="675">
        <v>0</v>
      </c>
      <c r="JY124" s="675">
        <v>0</v>
      </c>
      <c r="JZ124" s="675">
        <v>0</v>
      </c>
      <c r="KA124" s="675">
        <v>0</v>
      </c>
      <c r="KB124" s="675">
        <v>0</v>
      </c>
      <c r="KC124" s="675">
        <v>0</v>
      </c>
      <c r="KD124" s="675">
        <v>5174</v>
      </c>
      <c r="KE124" s="675">
        <v>7263</v>
      </c>
      <c r="KF124" s="675">
        <v>0</v>
      </c>
      <c r="KG124" s="675">
        <v>0</v>
      </c>
      <c r="KH124" s="675">
        <v>0</v>
      </c>
      <c r="KI124" s="675">
        <v>0</v>
      </c>
    </row>
    <row r="125" spans="1:295" ht="12.5" x14ac:dyDescent="0.25">
      <c r="A125" s="675">
        <v>35795</v>
      </c>
      <c r="B125" s="675">
        <v>227825</v>
      </c>
      <c r="C125" s="675">
        <v>7</v>
      </c>
      <c r="D125" s="675">
        <v>2022</v>
      </c>
      <c r="E125" s="675">
        <v>6160</v>
      </c>
      <c r="F125" s="675">
        <v>0</v>
      </c>
      <c r="G125" s="675">
        <v>2076.7919999999999</v>
      </c>
      <c r="H125" s="675">
        <v>1986.7130000000002</v>
      </c>
      <c r="I125" s="675">
        <v>1986.7130000000002</v>
      </c>
      <c r="J125" s="675">
        <v>2076.7919999999999</v>
      </c>
      <c r="K125" s="675">
        <v>0</v>
      </c>
      <c r="L125" s="675">
        <v>6160</v>
      </c>
      <c r="M125" s="675">
        <v>0</v>
      </c>
      <c r="N125" s="675">
        <v>0</v>
      </c>
      <c r="O125" s="675">
        <v>0</v>
      </c>
      <c r="P125" s="675">
        <v>1984.567</v>
      </c>
      <c r="Q125" s="675">
        <v>0</v>
      </c>
      <c r="R125" s="675">
        <v>798645</v>
      </c>
      <c r="S125" s="675">
        <v>402.428</v>
      </c>
      <c r="T125" s="675">
        <v>0</v>
      </c>
      <c r="U125" s="675">
        <v>424700</v>
      </c>
      <c r="V125" s="675">
        <v>1031.92</v>
      </c>
      <c r="W125" s="675">
        <v>635660</v>
      </c>
      <c r="X125" s="675">
        <v>635660</v>
      </c>
      <c r="Y125" s="675">
        <v>0</v>
      </c>
      <c r="Z125" s="675">
        <v>0</v>
      </c>
      <c r="AA125" s="675">
        <v>0</v>
      </c>
      <c r="AB125" s="675">
        <v>0</v>
      </c>
      <c r="AC125" s="675">
        <v>0</v>
      </c>
      <c r="AD125" s="675" t="s">
        <v>316</v>
      </c>
      <c r="AE125" s="675">
        <v>0</v>
      </c>
      <c r="AF125" s="675">
        <v>0</v>
      </c>
      <c r="AG125" s="675">
        <v>0</v>
      </c>
      <c r="AH125" s="675">
        <v>0</v>
      </c>
      <c r="AI125" s="675">
        <v>0</v>
      </c>
      <c r="AJ125" s="675">
        <v>6160</v>
      </c>
      <c r="AK125" s="675" t="s">
        <v>671</v>
      </c>
      <c r="AL125" s="675" t="s">
        <v>120</v>
      </c>
      <c r="AM125" s="675">
        <v>0</v>
      </c>
      <c r="AN125" s="675">
        <v>0</v>
      </c>
      <c r="AO125" s="675">
        <v>0</v>
      </c>
      <c r="AP125" s="675">
        <v>0</v>
      </c>
      <c r="AQ125" s="675">
        <v>0</v>
      </c>
      <c r="AR125" s="675">
        <v>0</v>
      </c>
      <c r="AS125" s="675">
        <v>0</v>
      </c>
      <c r="AT125" s="675">
        <v>0</v>
      </c>
      <c r="AU125" s="675">
        <v>0</v>
      </c>
      <c r="AV125" s="675">
        <v>-1259195</v>
      </c>
      <c r="AW125" s="675">
        <v>22972196</v>
      </c>
      <c r="AX125" s="675">
        <v>22611185</v>
      </c>
      <c r="AY125" s="675">
        <v>14015607</v>
      </c>
      <c r="AZ125" s="675">
        <v>798645</v>
      </c>
      <c r="BA125" s="675">
        <v>0</v>
      </c>
      <c r="BB125" s="675">
        <v>0</v>
      </c>
      <c r="BC125" s="675">
        <v>0</v>
      </c>
      <c r="BD125" s="675">
        <v>0</v>
      </c>
      <c r="BE125" s="675">
        <v>0</v>
      </c>
      <c r="BF125" s="675">
        <v>20801334</v>
      </c>
      <c r="BG125" s="675">
        <v>0</v>
      </c>
      <c r="BH125" s="675">
        <v>0</v>
      </c>
      <c r="BI125" s="675">
        <v>0</v>
      </c>
      <c r="BJ125" s="675">
        <v>12</v>
      </c>
      <c r="BK125" s="675">
        <v>0</v>
      </c>
      <c r="BL125" s="675">
        <v>0</v>
      </c>
      <c r="BM125" s="675">
        <v>0</v>
      </c>
      <c r="BN125" s="675">
        <v>0</v>
      </c>
      <c r="BO125" s="675">
        <v>0</v>
      </c>
      <c r="BP125" s="675">
        <v>0</v>
      </c>
      <c r="BQ125" s="675">
        <v>464</v>
      </c>
      <c r="BR125" s="675">
        <v>0</v>
      </c>
      <c r="BS125" s="675">
        <v>0</v>
      </c>
      <c r="BT125" s="675">
        <v>0</v>
      </c>
      <c r="BU125" s="675">
        <v>0</v>
      </c>
      <c r="BV125" s="675">
        <v>0</v>
      </c>
      <c r="BW125" s="675">
        <v>0</v>
      </c>
      <c r="BX125" s="675">
        <v>0</v>
      </c>
      <c r="BY125" s="675">
        <v>0</v>
      </c>
      <c r="BZ125" s="675">
        <v>0</v>
      </c>
      <c r="CA125" s="675">
        <v>0</v>
      </c>
      <c r="CB125" s="675">
        <v>0</v>
      </c>
      <c r="CC125" s="675">
        <v>0</v>
      </c>
      <c r="CD125" s="675">
        <v>0</v>
      </c>
      <c r="CE125" s="675">
        <v>0</v>
      </c>
      <c r="CF125" s="675">
        <v>0</v>
      </c>
      <c r="CG125" s="675">
        <v>0</v>
      </c>
      <c r="CH125" s="675">
        <v>366669</v>
      </c>
      <c r="CI125" s="675">
        <v>0</v>
      </c>
      <c r="CJ125" s="675">
        <v>4</v>
      </c>
      <c r="CK125" s="675">
        <v>0</v>
      </c>
      <c r="CL125" s="675">
        <v>0</v>
      </c>
      <c r="CM125" s="675">
        <v>0</v>
      </c>
      <c r="CN125" s="675">
        <v>0</v>
      </c>
      <c r="CO125" s="675">
        <v>1</v>
      </c>
      <c r="CP125" s="675">
        <v>1.3000000000000001E-2</v>
      </c>
      <c r="CQ125" s="675">
        <v>0</v>
      </c>
      <c r="CR125" s="675">
        <v>1930.116</v>
      </c>
      <c r="CS125" s="675">
        <v>0</v>
      </c>
      <c r="CT125" s="675">
        <v>0</v>
      </c>
      <c r="CU125" s="675">
        <v>0</v>
      </c>
      <c r="CV125" s="675">
        <v>0</v>
      </c>
      <c r="CW125" s="675">
        <v>0</v>
      </c>
      <c r="CX125" s="675">
        <v>0</v>
      </c>
      <c r="CY125" s="675">
        <v>0</v>
      </c>
      <c r="CZ125" s="675">
        <v>0</v>
      </c>
      <c r="DA125" s="675">
        <v>0</v>
      </c>
      <c r="DB125" s="675">
        <v>12238095</v>
      </c>
      <c r="DC125" s="675">
        <v>0</v>
      </c>
      <c r="DD125" s="675">
        <v>0</v>
      </c>
      <c r="DE125" s="675">
        <v>3292736</v>
      </c>
      <c r="DF125" s="675">
        <v>3292929</v>
      </c>
      <c r="DG125" s="675">
        <v>534.53800000000001</v>
      </c>
      <c r="DH125" s="675">
        <v>0</v>
      </c>
      <c r="DI125" s="675">
        <v>193</v>
      </c>
      <c r="DJ125" s="675">
        <v>0</v>
      </c>
      <c r="DK125" s="675">
        <v>0</v>
      </c>
      <c r="DL125" s="675">
        <v>0</v>
      </c>
      <c r="DM125" s="675">
        <v>1503949</v>
      </c>
      <c r="DN125" s="675">
        <v>5658</v>
      </c>
      <c r="DO125" s="675">
        <v>0</v>
      </c>
      <c r="DP125" s="675">
        <v>0</v>
      </c>
      <c r="DQ125" s="675">
        <v>0</v>
      </c>
      <c r="DR125" s="675">
        <v>0</v>
      </c>
      <c r="DS125" s="675">
        <v>0</v>
      </c>
      <c r="DT125" s="675">
        <v>0</v>
      </c>
      <c r="DU125" s="675">
        <v>0</v>
      </c>
      <c r="DV125" s="675">
        <v>0</v>
      </c>
      <c r="DW125" s="675">
        <v>0</v>
      </c>
      <c r="DX125" s="675">
        <v>0</v>
      </c>
      <c r="DY125" s="675">
        <v>0</v>
      </c>
      <c r="DZ125" s="675">
        <v>0</v>
      </c>
      <c r="EA125" s="675">
        <v>0</v>
      </c>
      <c r="EB125" s="675">
        <v>0</v>
      </c>
      <c r="EC125" s="675">
        <v>94.622</v>
      </c>
      <c r="ED125" s="675">
        <v>670299</v>
      </c>
      <c r="EE125" s="675">
        <v>0</v>
      </c>
      <c r="EF125" s="675">
        <v>0</v>
      </c>
      <c r="EG125" s="675">
        <v>0</v>
      </c>
      <c r="EH125" s="675">
        <v>839308</v>
      </c>
      <c r="EI125" s="675">
        <v>0</v>
      </c>
      <c r="EJ125" s="675">
        <v>0</v>
      </c>
      <c r="EK125" s="675">
        <v>31.944000000000003</v>
      </c>
      <c r="EL125" s="675">
        <v>0</v>
      </c>
      <c r="EM125" s="675">
        <v>8.1</v>
      </c>
      <c r="EN125" s="675">
        <v>3.2240000000000002</v>
      </c>
      <c r="EO125" s="675">
        <v>0</v>
      </c>
      <c r="EP125" s="675">
        <v>0</v>
      </c>
      <c r="EQ125" s="675">
        <v>43.268000000000001</v>
      </c>
      <c r="ER125" s="675">
        <v>0</v>
      </c>
      <c r="ES125" s="675">
        <v>136.25200000000001</v>
      </c>
      <c r="ET125" s="675">
        <v>0</v>
      </c>
      <c r="EU125" s="675">
        <v>0</v>
      </c>
      <c r="EV125" s="675">
        <v>0</v>
      </c>
      <c r="EW125" s="675">
        <v>0</v>
      </c>
      <c r="EX125" s="675">
        <v>0</v>
      </c>
      <c r="EY125" s="675">
        <v>0</v>
      </c>
      <c r="EZ125" s="675">
        <v>20057634</v>
      </c>
      <c r="FA125" s="675">
        <v>0</v>
      </c>
      <c r="FB125" s="675">
        <v>20850621</v>
      </c>
      <c r="FC125" s="675">
        <v>0</v>
      </c>
      <c r="FD125" s="675">
        <v>0</v>
      </c>
      <c r="FE125" s="675">
        <v>2115922</v>
      </c>
      <c r="FF125" s="675">
        <v>437629</v>
      </c>
      <c r="FG125" s="675">
        <v>6.3574999999999993E-2</v>
      </c>
      <c r="FH125" s="675">
        <v>2.6297999999999998E-2</v>
      </c>
      <c r="FI125" s="675">
        <v>0</v>
      </c>
      <c r="FJ125" s="675">
        <v>0</v>
      </c>
      <c r="FK125" s="675">
        <v>3376.8560000000002</v>
      </c>
      <c r="FL125" s="675">
        <v>23770841</v>
      </c>
      <c r="FM125" s="675">
        <v>0</v>
      </c>
      <c r="FN125" s="675">
        <v>0</v>
      </c>
      <c r="FO125" s="675">
        <v>47772</v>
      </c>
      <c r="FP125" s="675">
        <v>0</v>
      </c>
      <c r="FQ125" s="675">
        <v>47772</v>
      </c>
      <c r="FR125" s="675">
        <v>47772</v>
      </c>
      <c r="FS125" s="675">
        <v>0</v>
      </c>
      <c r="FT125" s="675">
        <v>0</v>
      </c>
      <c r="FU125" s="675">
        <v>0</v>
      </c>
      <c r="FV125" s="675">
        <v>0</v>
      </c>
      <c r="FW125" s="675">
        <v>0</v>
      </c>
      <c r="FX125" s="675">
        <v>0</v>
      </c>
      <c r="FY125" s="675">
        <v>0</v>
      </c>
      <c r="FZ125" s="675">
        <v>0</v>
      </c>
      <c r="GA125" s="675">
        <v>0</v>
      </c>
      <c r="GB125" s="675">
        <v>373987</v>
      </c>
      <c r="GC125" s="675">
        <v>373987</v>
      </c>
      <c r="GD125" s="675">
        <v>46.811</v>
      </c>
      <c r="GE125" s="675">
        <v>0</v>
      </c>
      <c r="GF125" s="675">
        <v>0</v>
      </c>
      <c r="GG125" s="675">
        <v>0</v>
      </c>
      <c r="GH125" s="675">
        <v>0</v>
      </c>
      <c r="GI125" s="675">
        <v>0</v>
      </c>
      <c r="GJ125" s="675">
        <v>0</v>
      </c>
      <c r="GK125" s="675">
        <v>0</v>
      </c>
      <c r="GL125" s="675">
        <v>0</v>
      </c>
      <c r="GM125" s="675">
        <v>0</v>
      </c>
      <c r="GN125" s="675">
        <v>0</v>
      </c>
      <c r="GO125" s="675">
        <v>0</v>
      </c>
      <c r="GP125" s="675">
        <v>0</v>
      </c>
      <c r="GQ125" s="675">
        <v>0</v>
      </c>
      <c r="GR125" s="675">
        <v>0</v>
      </c>
      <c r="GS125" s="675">
        <v>0</v>
      </c>
      <c r="GT125" s="675">
        <v>0</v>
      </c>
      <c r="GU125" s="675">
        <v>0</v>
      </c>
      <c r="GV125" s="675">
        <v>0</v>
      </c>
      <c r="GW125" s="675">
        <v>0</v>
      </c>
      <c r="GX125" s="675">
        <v>0</v>
      </c>
      <c r="GY125" s="675">
        <v>0</v>
      </c>
      <c r="GZ125" s="675">
        <v>0</v>
      </c>
      <c r="HA125" s="675">
        <v>0</v>
      </c>
      <c r="HB125" s="675">
        <v>308877260</v>
      </c>
      <c r="HC125" s="675">
        <v>4.4138999999999998E-2</v>
      </c>
      <c r="HD125" s="675">
        <v>366669</v>
      </c>
      <c r="HE125" s="675">
        <v>0</v>
      </c>
      <c r="HF125" s="675">
        <v>2191344</v>
      </c>
      <c r="HG125" s="675">
        <v>0</v>
      </c>
      <c r="HH125" s="675">
        <v>488526</v>
      </c>
      <c r="HI125" s="675">
        <v>0</v>
      </c>
      <c r="HJ125" s="675">
        <v>20186</v>
      </c>
      <c r="HK125" s="675">
        <v>7173</v>
      </c>
      <c r="HL125" s="675">
        <v>0</v>
      </c>
      <c r="HM125" s="675">
        <v>51000</v>
      </c>
      <c r="HN125" s="675">
        <v>0</v>
      </c>
      <c r="HO125" s="675">
        <v>0</v>
      </c>
      <c r="HP125" s="675">
        <v>0</v>
      </c>
      <c r="HQ125" s="675">
        <v>0</v>
      </c>
      <c r="HR125" s="675">
        <v>0</v>
      </c>
      <c r="HS125" s="675">
        <v>20051976</v>
      </c>
      <c r="HT125" s="675">
        <v>437629</v>
      </c>
      <c r="HU125" s="675">
        <v>0</v>
      </c>
      <c r="HV125" s="675">
        <v>0</v>
      </c>
      <c r="HW125" s="675">
        <v>0</v>
      </c>
      <c r="HX125" s="675">
        <v>221</v>
      </c>
      <c r="HY125" s="675">
        <v>315</v>
      </c>
      <c r="HZ125" s="675">
        <v>363</v>
      </c>
      <c r="IA125" s="675">
        <v>574</v>
      </c>
      <c r="IB125" s="675">
        <v>613</v>
      </c>
      <c r="IC125" s="675">
        <v>2086</v>
      </c>
      <c r="ID125" s="675">
        <v>0</v>
      </c>
      <c r="IE125" s="675">
        <v>0</v>
      </c>
      <c r="IF125" s="675">
        <v>0</v>
      </c>
      <c r="IG125" s="675">
        <v>0</v>
      </c>
      <c r="IH125" s="675">
        <v>793.06500000000005</v>
      </c>
      <c r="II125" s="675">
        <v>0</v>
      </c>
      <c r="IJ125" s="675">
        <v>1031.92</v>
      </c>
      <c r="IK125" s="675">
        <v>0</v>
      </c>
      <c r="IL125" s="675">
        <v>9</v>
      </c>
      <c r="IM125" s="675">
        <v>2</v>
      </c>
      <c r="IN125" s="675">
        <v>0</v>
      </c>
      <c r="IO125" s="675">
        <v>11</v>
      </c>
      <c r="IP125" s="675">
        <v>0</v>
      </c>
      <c r="IQ125" s="675">
        <v>1031.92</v>
      </c>
      <c r="IR125" s="675">
        <v>635660</v>
      </c>
      <c r="IS125" s="675">
        <v>0</v>
      </c>
      <c r="IT125" s="675">
        <v>45000</v>
      </c>
      <c r="IU125" s="675">
        <v>6000</v>
      </c>
      <c r="IV125" s="675">
        <v>0</v>
      </c>
      <c r="IW125" s="675">
        <v>6160</v>
      </c>
      <c r="IX125" s="675">
        <v>0</v>
      </c>
      <c r="IY125" s="675">
        <v>0</v>
      </c>
      <c r="IZ125" s="675">
        <v>0</v>
      </c>
      <c r="JA125" s="675">
        <v>0</v>
      </c>
      <c r="JB125" s="675">
        <v>0</v>
      </c>
      <c r="JC125" s="675">
        <v>0</v>
      </c>
      <c r="JD125" s="675">
        <v>0</v>
      </c>
      <c r="JE125" s="675">
        <v>0</v>
      </c>
      <c r="JF125" s="675">
        <v>0</v>
      </c>
      <c r="JG125" s="675">
        <v>0</v>
      </c>
      <c r="JH125" s="675">
        <v>0</v>
      </c>
      <c r="JI125" s="675">
        <v>0</v>
      </c>
      <c r="JJ125" s="675">
        <v>0</v>
      </c>
      <c r="JK125" s="675">
        <v>0</v>
      </c>
      <c r="JL125" s="675">
        <v>0</v>
      </c>
      <c r="JM125" s="675">
        <v>0</v>
      </c>
      <c r="JN125" s="675">
        <v>32469</v>
      </c>
      <c r="JO125" s="675">
        <v>46.811</v>
      </c>
      <c r="JP125" s="675">
        <v>0</v>
      </c>
      <c r="JQ125" s="675">
        <v>0</v>
      </c>
      <c r="JR125" s="675">
        <v>373987</v>
      </c>
      <c r="JS125" s="675">
        <v>0</v>
      </c>
      <c r="JT125" s="675">
        <v>0</v>
      </c>
      <c r="JU125" s="675">
        <v>0</v>
      </c>
      <c r="JV125" s="675">
        <v>0</v>
      </c>
      <c r="JW125" s="675">
        <v>0</v>
      </c>
      <c r="JX125" s="675">
        <v>0</v>
      </c>
      <c r="JY125" s="675">
        <v>0</v>
      </c>
      <c r="JZ125" s="675">
        <v>0</v>
      </c>
      <c r="KA125" s="675">
        <v>0</v>
      </c>
      <c r="KB125" s="675">
        <v>0</v>
      </c>
      <c r="KC125" s="675">
        <v>0</v>
      </c>
      <c r="KD125" s="675">
        <v>0</v>
      </c>
      <c r="KE125" s="675">
        <v>7263</v>
      </c>
      <c r="KF125" s="675">
        <v>0</v>
      </c>
      <c r="KG125" s="675">
        <v>0</v>
      </c>
      <c r="KH125" s="675">
        <v>0</v>
      </c>
      <c r="KI125" s="675">
        <v>0</v>
      </c>
    </row>
    <row r="126" spans="1:295" ht="12.5" x14ac:dyDescent="0.25">
      <c r="A126" s="675">
        <v>35795</v>
      </c>
      <c r="B126" s="675">
        <v>227826</v>
      </c>
      <c r="C126" s="675">
        <v>7</v>
      </c>
      <c r="D126" s="675">
        <v>2022</v>
      </c>
      <c r="E126" s="675">
        <v>6160</v>
      </c>
      <c r="F126" s="675">
        <v>0</v>
      </c>
      <c r="G126" s="675">
        <v>363.40800000000002</v>
      </c>
      <c r="H126" s="675">
        <v>350.12</v>
      </c>
      <c r="I126" s="675">
        <v>350.12</v>
      </c>
      <c r="J126" s="675">
        <v>363.40800000000002</v>
      </c>
      <c r="K126" s="675">
        <v>0</v>
      </c>
      <c r="L126" s="675">
        <v>6160</v>
      </c>
      <c r="M126" s="675">
        <v>0</v>
      </c>
      <c r="N126" s="675">
        <v>0</v>
      </c>
      <c r="O126" s="675">
        <v>0</v>
      </c>
      <c r="P126" s="675">
        <v>363.29200000000003</v>
      </c>
      <c r="Q126" s="675">
        <v>0</v>
      </c>
      <c r="R126" s="675">
        <v>146199</v>
      </c>
      <c r="S126" s="675">
        <v>402.428</v>
      </c>
      <c r="T126" s="675">
        <v>0</v>
      </c>
      <c r="U126" s="675">
        <v>77746</v>
      </c>
      <c r="V126" s="675">
        <v>82.460000000000008</v>
      </c>
      <c r="W126" s="675">
        <v>50795</v>
      </c>
      <c r="X126" s="675">
        <v>50795</v>
      </c>
      <c r="Y126" s="675">
        <v>0</v>
      </c>
      <c r="Z126" s="675">
        <v>0</v>
      </c>
      <c r="AA126" s="675">
        <v>0</v>
      </c>
      <c r="AB126" s="675">
        <v>0</v>
      </c>
      <c r="AC126" s="675">
        <v>0</v>
      </c>
      <c r="AD126" s="675" t="s">
        <v>316</v>
      </c>
      <c r="AE126" s="675">
        <v>0</v>
      </c>
      <c r="AF126" s="675">
        <v>0</v>
      </c>
      <c r="AG126" s="675">
        <v>0</v>
      </c>
      <c r="AH126" s="675">
        <v>0</v>
      </c>
      <c r="AI126" s="675">
        <v>0</v>
      </c>
      <c r="AJ126" s="675">
        <v>6160</v>
      </c>
      <c r="AK126" s="675" t="s">
        <v>671</v>
      </c>
      <c r="AL126" s="675" t="s">
        <v>367</v>
      </c>
      <c r="AM126" s="675">
        <v>0</v>
      </c>
      <c r="AN126" s="675">
        <v>0</v>
      </c>
      <c r="AO126" s="675">
        <v>0</v>
      </c>
      <c r="AP126" s="675">
        <v>0</v>
      </c>
      <c r="AQ126" s="675">
        <v>0</v>
      </c>
      <c r="AR126" s="675">
        <v>0</v>
      </c>
      <c r="AS126" s="675">
        <v>0</v>
      </c>
      <c r="AT126" s="675">
        <v>0</v>
      </c>
      <c r="AU126" s="675">
        <v>0</v>
      </c>
      <c r="AV126" s="675">
        <v>0</v>
      </c>
      <c r="AW126" s="675">
        <v>3581698</v>
      </c>
      <c r="AX126" s="675">
        <v>3518549</v>
      </c>
      <c r="AY126" s="675">
        <v>2451290</v>
      </c>
      <c r="AZ126" s="675">
        <v>146199</v>
      </c>
      <c r="BA126" s="675">
        <v>0</v>
      </c>
      <c r="BB126" s="675">
        <v>0</v>
      </c>
      <c r="BC126" s="675">
        <v>0</v>
      </c>
      <c r="BD126" s="675">
        <v>0</v>
      </c>
      <c r="BE126" s="675">
        <v>0</v>
      </c>
      <c r="BF126" s="675">
        <v>3264055</v>
      </c>
      <c r="BG126" s="675">
        <v>0</v>
      </c>
      <c r="BH126" s="675">
        <v>0</v>
      </c>
      <c r="BI126" s="675">
        <v>0</v>
      </c>
      <c r="BJ126" s="675">
        <v>12</v>
      </c>
      <c r="BK126" s="675">
        <v>0</v>
      </c>
      <c r="BL126" s="675">
        <v>0</v>
      </c>
      <c r="BM126" s="675">
        <v>0</v>
      </c>
      <c r="BN126" s="675">
        <v>0</v>
      </c>
      <c r="BO126" s="675">
        <v>0</v>
      </c>
      <c r="BP126" s="675">
        <v>0</v>
      </c>
      <c r="BQ126" s="675">
        <v>716</v>
      </c>
      <c r="BR126" s="675">
        <v>0</v>
      </c>
      <c r="BS126" s="675">
        <v>0</v>
      </c>
      <c r="BT126" s="675">
        <v>0</v>
      </c>
      <c r="BU126" s="675">
        <v>0</v>
      </c>
      <c r="BV126" s="675">
        <v>0</v>
      </c>
      <c r="BW126" s="675">
        <v>0</v>
      </c>
      <c r="BX126" s="675">
        <v>0</v>
      </c>
      <c r="BY126" s="675">
        <v>0</v>
      </c>
      <c r="BZ126" s="675">
        <v>0</v>
      </c>
      <c r="CA126" s="675">
        <v>0</v>
      </c>
      <c r="CB126" s="675">
        <v>0</v>
      </c>
      <c r="CC126" s="675">
        <v>0</v>
      </c>
      <c r="CD126" s="675">
        <v>0</v>
      </c>
      <c r="CE126" s="675">
        <v>0</v>
      </c>
      <c r="CF126" s="675">
        <v>0</v>
      </c>
      <c r="CG126" s="675">
        <v>0</v>
      </c>
      <c r="CH126" s="675">
        <v>64162</v>
      </c>
      <c r="CI126" s="675">
        <v>0</v>
      </c>
      <c r="CJ126" s="675">
        <v>4</v>
      </c>
      <c r="CK126" s="675">
        <v>0</v>
      </c>
      <c r="CL126" s="675">
        <v>0</v>
      </c>
      <c r="CM126" s="675">
        <v>0</v>
      </c>
      <c r="CN126" s="675">
        <v>0</v>
      </c>
      <c r="CO126" s="675">
        <v>1</v>
      </c>
      <c r="CP126" s="675">
        <v>0</v>
      </c>
      <c r="CQ126" s="675">
        <v>0</v>
      </c>
      <c r="CR126" s="675">
        <v>405.40700000000004</v>
      </c>
      <c r="CS126" s="675">
        <v>0</v>
      </c>
      <c r="CT126" s="675">
        <v>0</v>
      </c>
      <c r="CU126" s="675">
        <v>0</v>
      </c>
      <c r="CV126" s="675">
        <v>0</v>
      </c>
      <c r="CW126" s="675">
        <v>0</v>
      </c>
      <c r="CX126" s="675">
        <v>0</v>
      </c>
      <c r="CY126" s="675">
        <v>0</v>
      </c>
      <c r="CZ126" s="675">
        <v>0</v>
      </c>
      <c r="DA126" s="675">
        <v>0</v>
      </c>
      <c r="DB126" s="675">
        <v>2156729</v>
      </c>
      <c r="DC126" s="675">
        <v>0</v>
      </c>
      <c r="DD126" s="675">
        <v>0</v>
      </c>
      <c r="DE126" s="675">
        <v>317008</v>
      </c>
      <c r="DF126" s="675">
        <v>317008</v>
      </c>
      <c r="DG126" s="675">
        <v>51.463000000000001</v>
      </c>
      <c r="DH126" s="675">
        <v>0</v>
      </c>
      <c r="DI126" s="675">
        <v>0</v>
      </c>
      <c r="DJ126" s="675">
        <v>0</v>
      </c>
      <c r="DK126" s="675">
        <v>3080</v>
      </c>
      <c r="DL126" s="675">
        <v>0</v>
      </c>
      <c r="DM126" s="675">
        <v>269255</v>
      </c>
      <c r="DN126" s="675">
        <v>1013</v>
      </c>
      <c r="DO126" s="675">
        <v>0</v>
      </c>
      <c r="DP126" s="675">
        <v>0</v>
      </c>
      <c r="DQ126" s="675">
        <v>0</v>
      </c>
      <c r="DR126" s="675">
        <v>0</v>
      </c>
      <c r="DS126" s="675">
        <v>0</v>
      </c>
      <c r="DT126" s="675">
        <v>0</v>
      </c>
      <c r="DU126" s="675">
        <v>0</v>
      </c>
      <c r="DV126" s="675">
        <v>0</v>
      </c>
      <c r="DW126" s="675">
        <v>0</v>
      </c>
      <c r="DX126" s="675">
        <v>0</v>
      </c>
      <c r="DY126" s="675">
        <v>0</v>
      </c>
      <c r="DZ126" s="675">
        <v>0</v>
      </c>
      <c r="EA126" s="675">
        <v>0</v>
      </c>
      <c r="EB126" s="675">
        <v>0</v>
      </c>
      <c r="EC126" s="675">
        <v>1.879</v>
      </c>
      <c r="ED126" s="675">
        <v>13311</v>
      </c>
      <c r="EE126" s="675">
        <v>0</v>
      </c>
      <c r="EF126" s="675">
        <v>0</v>
      </c>
      <c r="EG126" s="675">
        <v>0</v>
      </c>
      <c r="EH126" s="675">
        <v>256957</v>
      </c>
      <c r="EI126" s="675">
        <v>0</v>
      </c>
      <c r="EJ126" s="675">
        <v>0</v>
      </c>
      <c r="EK126" s="675">
        <v>9.8150000000000013</v>
      </c>
      <c r="EL126" s="675">
        <v>0.32100000000000001</v>
      </c>
      <c r="EM126" s="675">
        <v>2.548</v>
      </c>
      <c r="EN126" s="675">
        <v>0.92500000000000004</v>
      </c>
      <c r="EO126" s="675">
        <v>0</v>
      </c>
      <c r="EP126" s="675">
        <v>0</v>
      </c>
      <c r="EQ126" s="675">
        <v>13.288</v>
      </c>
      <c r="ER126" s="675">
        <v>0</v>
      </c>
      <c r="ES126" s="675">
        <v>41.713999999999999</v>
      </c>
      <c r="ET126" s="675">
        <v>0</v>
      </c>
      <c r="EU126" s="675">
        <v>0</v>
      </c>
      <c r="EV126" s="675">
        <v>0</v>
      </c>
      <c r="EW126" s="675">
        <v>0</v>
      </c>
      <c r="EX126" s="675">
        <v>0</v>
      </c>
      <c r="EY126" s="675">
        <v>0</v>
      </c>
      <c r="EZ126" s="675">
        <v>3117856</v>
      </c>
      <c r="FA126" s="675">
        <v>0</v>
      </c>
      <c r="FB126" s="675">
        <v>3263042</v>
      </c>
      <c r="FC126" s="675">
        <v>0</v>
      </c>
      <c r="FD126" s="675">
        <v>0</v>
      </c>
      <c r="FE126" s="675">
        <v>332022</v>
      </c>
      <c r="FF126" s="675">
        <v>68671</v>
      </c>
      <c r="FG126" s="675">
        <v>6.3574999999999993E-2</v>
      </c>
      <c r="FH126" s="675">
        <v>2.6297999999999998E-2</v>
      </c>
      <c r="FI126" s="675">
        <v>0</v>
      </c>
      <c r="FJ126" s="675">
        <v>0</v>
      </c>
      <c r="FK126" s="675">
        <v>529.88200000000006</v>
      </c>
      <c r="FL126" s="675">
        <v>3727897</v>
      </c>
      <c r="FM126" s="675">
        <v>0</v>
      </c>
      <c r="FN126" s="675">
        <v>0</v>
      </c>
      <c r="FO126" s="675">
        <v>0</v>
      </c>
      <c r="FP126" s="675">
        <v>0</v>
      </c>
      <c r="FQ126" s="675">
        <v>0</v>
      </c>
      <c r="FR126" s="675">
        <v>0</v>
      </c>
      <c r="FS126" s="675">
        <v>0</v>
      </c>
      <c r="FT126" s="675">
        <v>0</v>
      </c>
      <c r="FU126" s="675">
        <v>0</v>
      </c>
      <c r="FV126" s="675">
        <v>0</v>
      </c>
      <c r="FW126" s="675">
        <v>0</v>
      </c>
      <c r="FX126" s="675">
        <v>0</v>
      </c>
      <c r="FY126" s="675">
        <v>0</v>
      </c>
      <c r="FZ126" s="675">
        <v>0</v>
      </c>
      <c r="GA126" s="675">
        <v>0</v>
      </c>
      <c r="GB126" s="675">
        <v>0</v>
      </c>
      <c r="GC126" s="675">
        <v>0</v>
      </c>
      <c r="GD126" s="675">
        <v>0</v>
      </c>
      <c r="GE126" s="675">
        <v>0</v>
      </c>
      <c r="GF126" s="675">
        <v>0</v>
      </c>
      <c r="GG126" s="675">
        <v>0</v>
      </c>
      <c r="GH126" s="675">
        <v>0</v>
      </c>
      <c r="GI126" s="675">
        <v>0</v>
      </c>
      <c r="GJ126" s="675">
        <v>0</v>
      </c>
      <c r="GK126" s="675">
        <v>0</v>
      </c>
      <c r="GL126" s="675">
        <v>0</v>
      </c>
      <c r="GM126" s="675">
        <v>0</v>
      </c>
      <c r="GN126" s="675">
        <v>0</v>
      </c>
      <c r="GO126" s="675">
        <v>0</v>
      </c>
      <c r="GP126" s="675">
        <v>0</v>
      </c>
      <c r="GQ126" s="675">
        <v>0</v>
      </c>
      <c r="GR126" s="675">
        <v>0</v>
      </c>
      <c r="GS126" s="675">
        <v>0</v>
      </c>
      <c r="GT126" s="675">
        <v>0</v>
      </c>
      <c r="GU126" s="675">
        <v>0</v>
      </c>
      <c r="GV126" s="675">
        <v>0</v>
      </c>
      <c r="GW126" s="675">
        <v>0</v>
      </c>
      <c r="GX126" s="675">
        <v>0</v>
      </c>
      <c r="GY126" s="675">
        <v>0</v>
      </c>
      <c r="GZ126" s="675">
        <v>0</v>
      </c>
      <c r="HA126" s="675">
        <v>0</v>
      </c>
      <c r="HB126" s="675">
        <v>308877260</v>
      </c>
      <c r="HC126" s="675">
        <v>4.4138999999999998E-2</v>
      </c>
      <c r="HD126" s="675">
        <v>64162</v>
      </c>
      <c r="HE126" s="675">
        <v>0</v>
      </c>
      <c r="HF126" s="675">
        <v>386182</v>
      </c>
      <c r="HG126" s="675">
        <v>3208</v>
      </c>
      <c r="HH126" s="675">
        <v>76333</v>
      </c>
      <c r="HI126" s="675">
        <v>0</v>
      </c>
      <c r="HJ126" s="675">
        <v>3532</v>
      </c>
      <c r="HK126" s="675">
        <v>0</v>
      </c>
      <c r="HL126" s="675">
        <v>0</v>
      </c>
      <c r="HM126" s="675">
        <v>0</v>
      </c>
      <c r="HN126" s="675">
        <v>0</v>
      </c>
      <c r="HO126" s="675">
        <v>0</v>
      </c>
      <c r="HP126" s="675">
        <v>0</v>
      </c>
      <c r="HQ126" s="675">
        <v>0</v>
      </c>
      <c r="HR126" s="675">
        <v>0</v>
      </c>
      <c r="HS126" s="675">
        <v>3116843</v>
      </c>
      <c r="HT126" s="675">
        <v>68671</v>
      </c>
      <c r="HU126" s="675">
        <v>0</v>
      </c>
      <c r="HV126" s="675">
        <v>0</v>
      </c>
      <c r="HW126" s="675">
        <v>0</v>
      </c>
      <c r="HX126" s="675">
        <v>41</v>
      </c>
      <c r="HY126" s="675">
        <v>58</v>
      </c>
      <c r="HZ126" s="675">
        <v>32</v>
      </c>
      <c r="IA126" s="675">
        <v>57</v>
      </c>
      <c r="IB126" s="675">
        <v>20</v>
      </c>
      <c r="IC126" s="675">
        <v>208</v>
      </c>
      <c r="ID126" s="675">
        <v>0</v>
      </c>
      <c r="IE126" s="675">
        <v>0</v>
      </c>
      <c r="IF126" s="675">
        <v>0</v>
      </c>
      <c r="IG126" s="675">
        <v>5.2080000000000002</v>
      </c>
      <c r="IH126" s="675">
        <v>123.91800000000001</v>
      </c>
      <c r="II126" s="675">
        <v>0</v>
      </c>
      <c r="IJ126" s="675">
        <v>82.460000000000008</v>
      </c>
      <c r="IK126" s="675">
        <v>0</v>
      </c>
      <c r="IL126" s="675">
        <v>0</v>
      </c>
      <c r="IM126" s="675">
        <v>0</v>
      </c>
      <c r="IN126" s="675">
        <v>0</v>
      </c>
      <c r="IO126" s="675">
        <v>0</v>
      </c>
      <c r="IP126" s="675">
        <v>0</v>
      </c>
      <c r="IQ126" s="675">
        <v>82.460000000000008</v>
      </c>
      <c r="IR126" s="675">
        <v>50795</v>
      </c>
      <c r="IS126" s="675">
        <v>0</v>
      </c>
      <c r="IT126" s="675">
        <v>0</v>
      </c>
      <c r="IU126" s="675">
        <v>0</v>
      </c>
      <c r="IV126" s="675">
        <v>0</v>
      </c>
      <c r="IW126" s="675">
        <v>6160</v>
      </c>
      <c r="IX126" s="675">
        <v>0</v>
      </c>
      <c r="IY126" s="675">
        <v>0</v>
      </c>
      <c r="IZ126" s="675">
        <v>0</v>
      </c>
      <c r="JA126" s="675">
        <v>0</v>
      </c>
      <c r="JB126" s="675">
        <v>0</v>
      </c>
      <c r="JC126" s="675">
        <v>0</v>
      </c>
      <c r="JD126" s="675">
        <v>0</v>
      </c>
      <c r="JE126" s="675">
        <v>0</v>
      </c>
      <c r="JF126" s="675">
        <v>0</v>
      </c>
      <c r="JG126" s="675">
        <v>0</v>
      </c>
      <c r="JH126" s="675">
        <v>0</v>
      </c>
      <c r="JI126" s="675">
        <v>0</v>
      </c>
      <c r="JJ126" s="675">
        <v>0</v>
      </c>
      <c r="JK126" s="675">
        <v>0</v>
      </c>
      <c r="JL126" s="675">
        <v>0</v>
      </c>
      <c r="JM126" s="675">
        <v>0</v>
      </c>
      <c r="JN126" s="675">
        <v>32469</v>
      </c>
      <c r="JO126" s="675">
        <v>0</v>
      </c>
      <c r="JP126" s="675">
        <v>0</v>
      </c>
      <c r="JQ126" s="675">
        <v>0</v>
      </c>
      <c r="JR126" s="675">
        <v>0</v>
      </c>
      <c r="JS126" s="675">
        <v>0</v>
      </c>
      <c r="JT126" s="675">
        <v>0</v>
      </c>
      <c r="JU126" s="675">
        <v>0</v>
      </c>
      <c r="JV126" s="675">
        <v>0</v>
      </c>
      <c r="JW126" s="675">
        <v>0</v>
      </c>
      <c r="JX126" s="675">
        <v>0</v>
      </c>
      <c r="JY126" s="675">
        <v>0</v>
      </c>
      <c r="JZ126" s="675">
        <v>0</v>
      </c>
      <c r="KA126" s="675">
        <v>0</v>
      </c>
      <c r="KB126" s="675">
        <v>0</v>
      </c>
      <c r="KC126" s="675">
        <v>0</v>
      </c>
      <c r="KD126" s="675">
        <v>0</v>
      </c>
      <c r="KE126" s="675">
        <v>7263</v>
      </c>
      <c r="KF126" s="675">
        <v>0</v>
      </c>
      <c r="KG126" s="675">
        <v>0</v>
      </c>
      <c r="KH126" s="675">
        <v>0</v>
      </c>
      <c r="KI126" s="675">
        <v>0</v>
      </c>
    </row>
    <row r="127" spans="1:295" ht="12.5" x14ac:dyDescent="0.25">
      <c r="A127" s="675">
        <v>35795</v>
      </c>
      <c r="B127" s="675">
        <v>15827</v>
      </c>
      <c r="C127" s="675">
        <v>7</v>
      </c>
      <c r="D127" s="675">
        <v>2022</v>
      </c>
      <c r="E127" s="675">
        <v>6160</v>
      </c>
      <c r="F127" s="675">
        <v>0</v>
      </c>
      <c r="G127" s="675">
        <v>3618.2920000000004</v>
      </c>
      <c r="H127" s="675">
        <v>3305.6010000000001</v>
      </c>
      <c r="I127" s="675">
        <v>3305.6010000000001</v>
      </c>
      <c r="J127" s="675">
        <v>3618.2920000000004</v>
      </c>
      <c r="K127" s="675">
        <v>0</v>
      </c>
      <c r="L127" s="675">
        <v>6160</v>
      </c>
      <c r="M127" s="675">
        <v>0</v>
      </c>
      <c r="N127" s="675">
        <v>0</v>
      </c>
      <c r="O127" s="675">
        <v>0</v>
      </c>
      <c r="P127" s="675">
        <v>3001.547</v>
      </c>
      <c r="Q127" s="675">
        <v>0</v>
      </c>
      <c r="R127" s="675">
        <v>1207907</v>
      </c>
      <c r="S127" s="675">
        <v>402.428</v>
      </c>
      <c r="T127" s="675">
        <v>0</v>
      </c>
      <c r="U127" s="675">
        <v>642336</v>
      </c>
      <c r="V127" s="675">
        <v>675.38800000000003</v>
      </c>
      <c r="W127" s="675">
        <v>416037</v>
      </c>
      <c r="X127" s="675">
        <v>416037</v>
      </c>
      <c r="Y127" s="675">
        <v>0</v>
      </c>
      <c r="Z127" s="675">
        <v>0</v>
      </c>
      <c r="AA127" s="675">
        <v>0</v>
      </c>
      <c r="AB127" s="675">
        <v>0</v>
      </c>
      <c r="AC127" s="675">
        <v>0</v>
      </c>
      <c r="AD127" s="675" t="s">
        <v>316</v>
      </c>
      <c r="AE127" s="675">
        <v>0</v>
      </c>
      <c r="AF127" s="675">
        <v>0</v>
      </c>
      <c r="AG127" s="675">
        <v>0</v>
      </c>
      <c r="AH127" s="675">
        <v>0</v>
      </c>
      <c r="AI127" s="675">
        <v>0</v>
      </c>
      <c r="AJ127" s="675">
        <v>6160</v>
      </c>
      <c r="AK127" s="675" t="s">
        <v>671</v>
      </c>
      <c r="AL127" s="675" t="s">
        <v>15</v>
      </c>
      <c r="AM127" s="675">
        <v>0</v>
      </c>
      <c r="AN127" s="675">
        <v>0</v>
      </c>
      <c r="AO127" s="675">
        <v>0</v>
      </c>
      <c r="AP127" s="675">
        <v>0</v>
      </c>
      <c r="AQ127" s="675">
        <v>0</v>
      </c>
      <c r="AR127" s="675">
        <v>0</v>
      </c>
      <c r="AS127" s="675">
        <v>0</v>
      </c>
      <c r="AT127" s="675">
        <v>0</v>
      </c>
      <c r="AU127" s="675">
        <v>0</v>
      </c>
      <c r="AV127" s="675">
        <v>-550561</v>
      </c>
      <c r="AW127" s="675">
        <v>38632650</v>
      </c>
      <c r="AX127" s="675">
        <v>37029427</v>
      </c>
      <c r="AY127" s="675">
        <v>24561973</v>
      </c>
      <c r="AZ127" s="675">
        <v>1207907</v>
      </c>
      <c r="BA127" s="675">
        <v>0</v>
      </c>
      <c r="BB127" s="675">
        <v>76322</v>
      </c>
      <c r="BC127" s="675">
        <v>75828</v>
      </c>
      <c r="BD127" s="675">
        <v>177</v>
      </c>
      <c r="BE127" s="675">
        <v>494</v>
      </c>
      <c r="BF127" s="675">
        <v>33683395</v>
      </c>
      <c r="BG127" s="675">
        <v>0</v>
      </c>
      <c r="BH127" s="675">
        <v>0</v>
      </c>
      <c r="BI127" s="675">
        <v>0</v>
      </c>
      <c r="BJ127" s="675">
        <v>12</v>
      </c>
      <c r="BK127" s="675">
        <v>0</v>
      </c>
      <c r="BL127" s="675">
        <v>0</v>
      </c>
      <c r="BM127" s="675">
        <v>0</v>
      </c>
      <c r="BN127" s="675">
        <v>0</v>
      </c>
      <c r="BO127" s="675">
        <v>0</v>
      </c>
      <c r="BP127" s="675">
        <v>0</v>
      </c>
      <c r="BQ127" s="675">
        <v>261</v>
      </c>
      <c r="BR127" s="675">
        <v>0</v>
      </c>
      <c r="BS127" s="675">
        <v>0</v>
      </c>
      <c r="BT127" s="675">
        <v>0</v>
      </c>
      <c r="BU127" s="675">
        <v>0</v>
      </c>
      <c r="BV127" s="675">
        <v>0</v>
      </c>
      <c r="BW127" s="675">
        <v>0</v>
      </c>
      <c r="BX127" s="675">
        <v>0</v>
      </c>
      <c r="BY127" s="675">
        <v>0</v>
      </c>
      <c r="BZ127" s="675">
        <v>0</v>
      </c>
      <c r="CA127" s="675">
        <v>484</v>
      </c>
      <c r="CB127" s="675">
        <v>412742</v>
      </c>
      <c r="CC127" s="675">
        <v>0</v>
      </c>
      <c r="CD127" s="675">
        <v>0</v>
      </c>
      <c r="CE127" s="675">
        <v>0</v>
      </c>
      <c r="CF127" s="675">
        <v>0</v>
      </c>
      <c r="CG127" s="675">
        <v>0</v>
      </c>
      <c r="CH127" s="675">
        <v>1613864</v>
      </c>
      <c r="CI127" s="675">
        <v>0</v>
      </c>
      <c r="CJ127" s="675">
        <v>4</v>
      </c>
      <c r="CK127" s="675">
        <v>0</v>
      </c>
      <c r="CL127" s="675">
        <v>0</v>
      </c>
      <c r="CM127" s="675">
        <v>0</v>
      </c>
      <c r="CN127" s="675">
        <v>0</v>
      </c>
      <c r="CO127" s="675">
        <v>1</v>
      </c>
      <c r="CP127" s="675">
        <v>0</v>
      </c>
      <c r="CQ127" s="675">
        <v>0</v>
      </c>
      <c r="CR127" s="675">
        <v>2999.355</v>
      </c>
      <c r="CS127" s="675">
        <v>0</v>
      </c>
      <c r="CT127" s="675">
        <v>0</v>
      </c>
      <c r="CU127" s="675">
        <v>0</v>
      </c>
      <c r="CV127" s="675">
        <v>0</v>
      </c>
      <c r="CW127" s="675">
        <v>0</v>
      </c>
      <c r="CX127" s="675">
        <v>0</v>
      </c>
      <c r="CY127" s="675">
        <v>0</v>
      </c>
      <c r="CZ127" s="675">
        <v>0</v>
      </c>
      <c r="DA127" s="675">
        <v>0</v>
      </c>
      <c r="DB127" s="675">
        <v>20362408</v>
      </c>
      <c r="DC127" s="675">
        <v>0</v>
      </c>
      <c r="DD127" s="675">
        <v>0</v>
      </c>
      <c r="DE127" s="675">
        <v>3645240</v>
      </c>
      <c r="DF127" s="675">
        <v>3645240</v>
      </c>
      <c r="DG127" s="675">
        <v>591.76300000000003</v>
      </c>
      <c r="DH127" s="675">
        <v>0</v>
      </c>
      <c r="DI127" s="675">
        <v>0</v>
      </c>
      <c r="DJ127" s="675">
        <v>0</v>
      </c>
      <c r="DK127" s="675">
        <v>0</v>
      </c>
      <c r="DL127" s="675">
        <v>0</v>
      </c>
      <c r="DM127" s="675">
        <v>2697411</v>
      </c>
      <c r="DN127" s="675">
        <v>10147</v>
      </c>
      <c r="DO127" s="675">
        <v>0</v>
      </c>
      <c r="DP127" s="675">
        <v>0</v>
      </c>
      <c r="DQ127" s="675">
        <v>0</v>
      </c>
      <c r="DR127" s="675">
        <v>0</v>
      </c>
      <c r="DS127" s="675">
        <v>0</v>
      </c>
      <c r="DT127" s="675">
        <v>0</v>
      </c>
      <c r="DU127" s="675">
        <v>0</v>
      </c>
      <c r="DV127" s="675">
        <v>0</v>
      </c>
      <c r="DW127" s="675">
        <v>0</v>
      </c>
      <c r="DX127" s="675">
        <v>0</v>
      </c>
      <c r="DY127" s="675">
        <v>0</v>
      </c>
      <c r="DZ127" s="675">
        <v>0</v>
      </c>
      <c r="EA127" s="675">
        <v>0</v>
      </c>
      <c r="EB127" s="675">
        <v>0</v>
      </c>
      <c r="EC127" s="675">
        <v>88.677999999999997</v>
      </c>
      <c r="ED127" s="675">
        <v>628192</v>
      </c>
      <c r="EE127" s="675">
        <v>0</v>
      </c>
      <c r="EF127" s="675">
        <v>0</v>
      </c>
      <c r="EG127" s="675">
        <v>0</v>
      </c>
      <c r="EH127" s="675">
        <v>2079366</v>
      </c>
      <c r="EI127" s="675">
        <v>0</v>
      </c>
      <c r="EJ127" s="675">
        <v>0</v>
      </c>
      <c r="EK127" s="675">
        <v>93.796000000000006</v>
      </c>
      <c r="EL127" s="675">
        <v>0</v>
      </c>
      <c r="EM127" s="675">
        <v>6.6510000000000007</v>
      </c>
      <c r="EN127" s="675">
        <v>7.2440000000000007</v>
      </c>
      <c r="EO127" s="675">
        <v>0</v>
      </c>
      <c r="EP127" s="675">
        <v>0</v>
      </c>
      <c r="EQ127" s="675">
        <v>107.691</v>
      </c>
      <c r="ER127" s="675">
        <v>0</v>
      </c>
      <c r="ES127" s="675">
        <v>337.56100000000004</v>
      </c>
      <c r="ET127" s="675">
        <v>0</v>
      </c>
      <c r="EU127" s="675">
        <v>0</v>
      </c>
      <c r="EV127" s="675">
        <v>0</v>
      </c>
      <c r="EW127" s="675">
        <v>0</v>
      </c>
      <c r="EX127" s="675">
        <v>0</v>
      </c>
      <c r="EY127" s="675">
        <v>0</v>
      </c>
      <c r="EZ127" s="675">
        <v>32894488</v>
      </c>
      <c r="FA127" s="675">
        <v>0</v>
      </c>
      <c r="FB127" s="675">
        <v>34091754</v>
      </c>
      <c r="FC127" s="675">
        <v>0</v>
      </c>
      <c r="FD127" s="675">
        <v>0</v>
      </c>
      <c r="FE127" s="675">
        <v>3426291</v>
      </c>
      <c r="FF127" s="675">
        <v>708648</v>
      </c>
      <c r="FG127" s="675">
        <v>6.3574999999999993E-2</v>
      </c>
      <c r="FH127" s="675">
        <v>2.6297999999999998E-2</v>
      </c>
      <c r="FI127" s="675">
        <v>0</v>
      </c>
      <c r="FJ127" s="675">
        <v>0</v>
      </c>
      <c r="FK127" s="675">
        <v>5468.1090000000004</v>
      </c>
      <c r="FL127" s="675">
        <v>39840557</v>
      </c>
      <c r="FM127" s="675">
        <v>0</v>
      </c>
      <c r="FN127" s="675">
        <v>0</v>
      </c>
      <c r="FO127" s="675">
        <v>0</v>
      </c>
      <c r="FP127" s="675">
        <v>0</v>
      </c>
      <c r="FQ127" s="675">
        <v>0</v>
      </c>
      <c r="FR127" s="675">
        <v>0</v>
      </c>
      <c r="FS127" s="675">
        <v>0</v>
      </c>
      <c r="FT127" s="675">
        <v>0</v>
      </c>
      <c r="FU127" s="675">
        <v>0</v>
      </c>
      <c r="FV127" s="675">
        <v>0</v>
      </c>
      <c r="FW127" s="675">
        <v>0</v>
      </c>
      <c r="FX127" s="675">
        <v>0</v>
      </c>
      <c r="FY127" s="675">
        <v>0</v>
      </c>
      <c r="FZ127" s="675">
        <v>0</v>
      </c>
      <c r="GA127" s="675">
        <v>0</v>
      </c>
      <c r="GB127" s="675">
        <v>1857572</v>
      </c>
      <c r="GC127" s="675">
        <v>1857572</v>
      </c>
      <c r="GD127" s="675">
        <v>205</v>
      </c>
      <c r="GE127" s="675">
        <v>0</v>
      </c>
      <c r="GF127" s="675">
        <v>0</v>
      </c>
      <c r="GG127" s="675">
        <v>0</v>
      </c>
      <c r="GH127" s="675">
        <v>0</v>
      </c>
      <c r="GI127" s="675">
        <v>0</v>
      </c>
      <c r="GJ127" s="675">
        <v>0</v>
      </c>
      <c r="GK127" s="675">
        <v>0</v>
      </c>
      <c r="GL127" s="675">
        <v>0</v>
      </c>
      <c r="GM127" s="675">
        <v>0</v>
      </c>
      <c r="GN127" s="675">
        <v>0</v>
      </c>
      <c r="GO127" s="675">
        <v>0</v>
      </c>
      <c r="GP127" s="675">
        <v>0</v>
      </c>
      <c r="GQ127" s="675">
        <v>0</v>
      </c>
      <c r="GR127" s="675">
        <v>0</v>
      </c>
      <c r="GS127" s="675">
        <v>0</v>
      </c>
      <c r="GT127" s="675">
        <v>0</v>
      </c>
      <c r="GU127" s="675">
        <v>0</v>
      </c>
      <c r="GV127" s="675">
        <v>0</v>
      </c>
      <c r="GW127" s="675">
        <v>0</v>
      </c>
      <c r="GX127" s="675">
        <v>0</v>
      </c>
      <c r="GY127" s="675">
        <v>0</v>
      </c>
      <c r="GZ127" s="675">
        <v>0</v>
      </c>
      <c r="HA127" s="675">
        <v>0</v>
      </c>
      <c r="HB127" s="675">
        <v>308877260</v>
      </c>
      <c r="HC127" s="675">
        <v>4.4138999999999998E-2</v>
      </c>
      <c r="HD127" s="675">
        <v>638829</v>
      </c>
      <c r="HE127" s="675">
        <v>0</v>
      </c>
      <c r="HF127" s="675">
        <v>3646078</v>
      </c>
      <c r="HG127" s="675">
        <v>59136</v>
      </c>
      <c r="HH127" s="675">
        <v>728787</v>
      </c>
      <c r="HI127" s="675">
        <v>0</v>
      </c>
      <c r="HJ127" s="675">
        <v>35170</v>
      </c>
      <c r="HK127" s="675">
        <v>3636</v>
      </c>
      <c r="HL127" s="675">
        <v>2622</v>
      </c>
      <c r="HM127" s="675">
        <v>99000</v>
      </c>
      <c r="HN127" s="675">
        <v>50087</v>
      </c>
      <c r="HO127" s="675">
        <v>0</v>
      </c>
      <c r="HP127" s="675">
        <v>0</v>
      </c>
      <c r="HQ127" s="675">
        <v>0</v>
      </c>
      <c r="HR127" s="675">
        <v>0</v>
      </c>
      <c r="HS127" s="675">
        <v>32883847</v>
      </c>
      <c r="HT127" s="675">
        <v>708648</v>
      </c>
      <c r="HU127" s="675">
        <v>0</v>
      </c>
      <c r="HV127" s="675">
        <v>0</v>
      </c>
      <c r="HW127" s="675">
        <v>0</v>
      </c>
      <c r="HX127" s="675">
        <v>450</v>
      </c>
      <c r="HY127" s="675">
        <v>645</v>
      </c>
      <c r="HZ127" s="675">
        <v>479</v>
      </c>
      <c r="IA127" s="675">
        <v>458</v>
      </c>
      <c r="IB127" s="675">
        <v>354</v>
      </c>
      <c r="IC127" s="675">
        <v>2386</v>
      </c>
      <c r="ID127" s="675">
        <v>0</v>
      </c>
      <c r="IE127" s="675">
        <v>0</v>
      </c>
      <c r="IF127" s="675">
        <v>0</v>
      </c>
      <c r="IG127" s="675">
        <v>96</v>
      </c>
      <c r="IH127" s="675">
        <v>1183.1020000000001</v>
      </c>
      <c r="II127" s="675">
        <v>0</v>
      </c>
      <c r="IJ127" s="675">
        <v>675.38800000000003</v>
      </c>
      <c r="IK127" s="675">
        <v>0</v>
      </c>
      <c r="IL127" s="675">
        <v>15</v>
      </c>
      <c r="IM127" s="675">
        <v>8</v>
      </c>
      <c r="IN127" s="675">
        <v>0</v>
      </c>
      <c r="IO127" s="675">
        <v>23</v>
      </c>
      <c r="IP127" s="675">
        <v>0</v>
      </c>
      <c r="IQ127" s="675">
        <v>675.38800000000003</v>
      </c>
      <c r="IR127" s="675">
        <v>416037</v>
      </c>
      <c r="IS127" s="675">
        <v>0</v>
      </c>
      <c r="IT127" s="675">
        <v>75000</v>
      </c>
      <c r="IU127" s="675">
        <v>24000</v>
      </c>
      <c r="IV127" s="675">
        <v>0</v>
      </c>
      <c r="IW127" s="675">
        <v>6160</v>
      </c>
      <c r="IX127" s="675">
        <v>0</v>
      </c>
      <c r="IY127" s="675">
        <v>0</v>
      </c>
      <c r="IZ127" s="675">
        <v>0</v>
      </c>
      <c r="JA127" s="675">
        <v>0</v>
      </c>
      <c r="JB127" s="675">
        <v>1</v>
      </c>
      <c r="JC127" s="675">
        <v>15725</v>
      </c>
      <c r="JD127" s="675">
        <v>3</v>
      </c>
      <c r="JE127" s="675">
        <v>27244</v>
      </c>
      <c r="JF127" s="675">
        <v>1</v>
      </c>
      <c r="JG127" s="675">
        <v>4118</v>
      </c>
      <c r="JH127" s="675">
        <v>3000</v>
      </c>
      <c r="JI127" s="675">
        <v>0</v>
      </c>
      <c r="JJ127" s="675">
        <v>0</v>
      </c>
      <c r="JK127" s="675">
        <v>0</v>
      </c>
      <c r="JL127" s="675">
        <v>0</v>
      </c>
      <c r="JM127" s="675">
        <v>0</v>
      </c>
      <c r="JN127" s="675">
        <v>32469</v>
      </c>
      <c r="JO127" s="675">
        <v>89.5</v>
      </c>
      <c r="JP127" s="675">
        <v>65.667000000000002</v>
      </c>
      <c r="JQ127" s="675">
        <v>49.833000000000006</v>
      </c>
      <c r="JR127" s="675">
        <v>715042</v>
      </c>
      <c r="JS127" s="675">
        <v>610482</v>
      </c>
      <c r="JT127" s="675">
        <v>532048</v>
      </c>
      <c r="JU127" s="675">
        <v>76322</v>
      </c>
      <c r="JV127" s="675">
        <v>0</v>
      </c>
      <c r="JW127" s="675">
        <v>0</v>
      </c>
      <c r="JX127" s="675">
        <v>0</v>
      </c>
      <c r="JY127" s="675">
        <v>0</v>
      </c>
      <c r="JZ127" s="675">
        <v>0</v>
      </c>
      <c r="KA127" s="675">
        <v>0</v>
      </c>
      <c r="KB127" s="675">
        <v>0</v>
      </c>
      <c r="KC127" s="675">
        <v>0</v>
      </c>
      <c r="KD127" s="675">
        <v>76322</v>
      </c>
      <c r="KE127" s="675">
        <v>7263</v>
      </c>
      <c r="KF127" s="675">
        <v>975035</v>
      </c>
      <c r="KG127" s="675">
        <v>0</v>
      </c>
      <c r="KH127" s="675">
        <v>0</v>
      </c>
      <c r="KI127" s="675">
        <v>0</v>
      </c>
    </row>
    <row r="128" spans="1:295" ht="12.5" x14ac:dyDescent="0.25">
      <c r="A128" s="675">
        <v>35795</v>
      </c>
      <c r="B128" s="675">
        <v>57827</v>
      </c>
      <c r="C128" s="675">
        <v>7</v>
      </c>
      <c r="D128" s="675">
        <v>2022</v>
      </c>
      <c r="E128" s="675">
        <v>6160</v>
      </c>
      <c r="F128" s="675">
        <v>0</v>
      </c>
      <c r="G128" s="675">
        <v>454.72500000000002</v>
      </c>
      <c r="H128" s="675">
        <v>454.32500000000005</v>
      </c>
      <c r="I128" s="675">
        <v>454.32500000000005</v>
      </c>
      <c r="J128" s="675">
        <v>454.72500000000002</v>
      </c>
      <c r="K128" s="675">
        <v>0</v>
      </c>
      <c r="L128" s="675">
        <v>6160</v>
      </c>
      <c r="M128" s="675">
        <v>0</v>
      </c>
      <c r="N128" s="675">
        <v>0</v>
      </c>
      <c r="O128" s="675">
        <v>0</v>
      </c>
      <c r="P128" s="675">
        <v>524.59800000000007</v>
      </c>
      <c r="Q128" s="675">
        <v>0</v>
      </c>
      <c r="R128" s="675">
        <v>211113</v>
      </c>
      <c r="S128" s="675">
        <v>402.428</v>
      </c>
      <c r="T128" s="675">
        <v>0</v>
      </c>
      <c r="U128" s="675">
        <v>112265</v>
      </c>
      <c r="V128" s="675">
        <v>133.869</v>
      </c>
      <c r="W128" s="675">
        <v>82463</v>
      </c>
      <c r="X128" s="675">
        <v>82463</v>
      </c>
      <c r="Y128" s="675">
        <v>0</v>
      </c>
      <c r="Z128" s="675">
        <v>0</v>
      </c>
      <c r="AA128" s="675">
        <v>0</v>
      </c>
      <c r="AB128" s="675">
        <v>0</v>
      </c>
      <c r="AC128" s="675">
        <v>0</v>
      </c>
      <c r="AD128" s="675" t="s">
        <v>316</v>
      </c>
      <c r="AE128" s="675">
        <v>0</v>
      </c>
      <c r="AF128" s="675">
        <v>0</v>
      </c>
      <c r="AG128" s="675">
        <v>0</v>
      </c>
      <c r="AH128" s="675">
        <v>0</v>
      </c>
      <c r="AI128" s="675">
        <v>0</v>
      </c>
      <c r="AJ128" s="675">
        <v>6160</v>
      </c>
      <c r="AK128" s="675" t="s">
        <v>671</v>
      </c>
      <c r="AL128" s="675" t="s">
        <v>463</v>
      </c>
      <c r="AM128" s="675">
        <v>0</v>
      </c>
      <c r="AN128" s="675">
        <v>0</v>
      </c>
      <c r="AO128" s="675">
        <v>0</v>
      </c>
      <c r="AP128" s="675">
        <v>0</v>
      </c>
      <c r="AQ128" s="675">
        <v>0</v>
      </c>
      <c r="AR128" s="675">
        <v>0</v>
      </c>
      <c r="AS128" s="675">
        <v>0</v>
      </c>
      <c r="AT128" s="675">
        <v>0</v>
      </c>
      <c r="AU128" s="675">
        <v>0</v>
      </c>
      <c r="AV128" s="675">
        <v>0</v>
      </c>
      <c r="AW128" s="675">
        <v>4926452</v>
      </c>
      <c r="AX128" s="675">
        <v>4846737</v>
      </c>
      <c r="AY128" s="675">
        <v>3414598</v>
      </c>
      <c r="AZ128" s="675">
        <v>211113</v>
      </c>
      <c r="BA128" s="675">
        <v>0</v>
      </c>
      <c r="BB128" s="675">
        <v>0</v>
      </c>
      <c r="BC128" s="675">
        <v>0</v>
      </c>
      <c r="BD128" s="675">
        <v>0</v>
      </c>
      <c r="BE128" s="675">
        <v>0</v>
      </c>
      <c r="BF128" s="675">
        <v>4504840</v>
      </c>
      <c r="BG128" s="675">
        <v>0</v>
      </c>
      <c r="BH128" s="675">
        <v>0</v>
      </c>
      <c r="BI128" s="675">
        <v>0</v>
      </c>
      <c r="BJ128" s="675">
        <v>12</v>
      </c>
      <c r="BK128" s="675">
        <v>0</v>
      </c>
      <c r="BL128" s="675">
        <v>0</v>
      </c>
      <c r="BM128" s="675">
        <v>0</v>
      </c>
      <c r="BN128" s="675">
        <v>0</v>
      </c>
      <c r="BO128" s="675">
        <v>0</v>
      </c>
      <c r="BP128" s="675">
        <v>0</v>
      </c>
      <c r="BQ128" s="675">
        <v>700</v>
      </c>
      <c r="BR128" s="675">
        <v>0</v>
      </c>
      <c r="BS128" s="675">
        <v>0</v>
      </c>
      <c r="BT128" s="675">
        <v>0</v>
      </c>
      <c r="BU128" s="675">
        <v>0</v>
      </c>
      <c r="BV128" s="675">
        <v>0</v>
      </c>
      <c r="BW128" s="675">
        <v>0</v>
      </c>
      <c r="BX128" s="675">
        <v>0</v>
      </c>
      <c r="BY128" s="675">
        <v>0</v>
      </c>
      <c r="BZ128" s="675">
        <v>0</v>
      </c>
      <c r="CA128" s="675">
        <v>0</v>
      </c>
      <c r="CB128" s="675">
        <v>0</v>
      </c>
      <c r="CC128" s="675">
        <v>0</v>
      </c>
      <c r="CD128" s="675">
        <v>0</v>
      </c>
      <c r="CE128" s="675">
        <v>0</v>
      </c>
      <c r="CF128" s="675">
        <v>0</v>
      </c>
      <c r="CG128" s="675">
        <v>0</v>
      </c>
      <c r="CH128" s="675">
        <v>80284</v>
      </c>
      <c r="CI128" s="675">
        <v>0</v>
      </c>
      <c r="CJ128" s="675">
        <v>4</v>
      </c>
      <c r="CK128" s="675">
        <v>0</v>
      </c>
      <c r="CL128" s="675">
        <v>0</v>
      </c>
      <c r="CM128" s="675">
        <v>0</v>
      </c>
      <c r="CN128" s="675">
        <v>0</v>
      </c>
      <c r="CO128" s="675">
        <v>1</v>
      </c>
      <c r="CP128" s="675">
        <v>0</v>
      </c>
      <c r="CQ128" s="675">
        <v>0</v>
      </c>
      <c r="CR128" s="675">
        <v>535.28</v>
      </c>
      <c r="CS128" s="675">
        <v>0</v>
      </c>
      <c r="CT128" s="675">
        <v>0</v>
      </c>
      <c r="CU128" s="675">
        <v>0</v>
      </c>
      <c r="CV128" s="675">
        <v>0</v>
      </c>
      <c r="CW128" s="675">
        <v>0</v>
      </c>
      <c r="CX128" s="675">
        <v>0</v>
      </c>
      <c r="CY128" s="675">
        <v>0</v>
      </c>
      <c r="CZ128" s="675">
        <v>0</v>
      </c>
      <c r="DA128" s="675">
        <v>0</v>
      </c>
      <c r="DB128" s="675">
        <v>2766649</v>
      </c>
      <c r="DC128" s="675">
        <v>0</v>
      </c>
      <c r="DD128" s="675">
        <v>0</v>
      </c>
      <c r="DE128" s="675">
        <v>796946</v>
      </c>
      <c r="DF128" s="675">
        <v>796946</v>
      </c>
      <c r="DG128" s="675">
        <v>129.375</v>
      </c>
      <c r="DH128" s="675">
        <v>0</v>
      </c>
      <c r="DI128" s="675">
        <v>0</v>
      </c>
      <c r="DJ128" s="675">
        <v>0</v>
      </c>
      <c r="DK128" s="675">
        <v>2823</v>
      </c>
      <c r="DL128" s="675">
        <v>0</v>
      </c>
      <c r="DM128" s="675">
        <v>183349</v>
      </c>
      <c r="DN128" s="675">
        <v>569</v>
      </c>
      <c r="DO128" s="675">
        <v>0</v>
      </c>
      <c r="DP128" s="675">
        <v>0</v>
      </c>
      <c r="DQ128" s="675">
        <v>0</v>
      </c>
      <c r="DR128" s="675">
        <v>0</v>
      </c>
      <c r="DS128" s="675">
        <v>0</v>
      </c>
      <c r="DT128" s="675">
        <v>0</v>
      </c>
      <c r="DU128" s="675">
        <v>0</v>
      </c>
      <c r="DV128" s="675">
        <v>0</v>
      </c>
      <c r="DW128" s="675">
        <v>0</v>
      </c>
      <c r="DX128" s="675">
        <v>0</v>
      </c>
      <c r="DY128" s="675">
        <v>0</v>
      </c>
      <c r="DZ128" s="675">
        <v>0</v>
      </c>
      <c r="EA128" s="675">
        <v>0</v>
      </c>
      <c r="EB128" s="675">
        <v>0</v>
      </c>
      <c r="EC128" s="675">
        <v>19.709</v>
      </c>
      <c r="ED128" s="675">
        <v>139618</v>
      </c>
      <c r="EE128" s="675">
        <v>0</v>
      </c>
      <c r="EF128" s="675">
        <v>0</v>
      </c>
      <c r="EG128" s="675">
        <v>0</v>
      </c>
      <c r="EH128" s="675">
        <v>12320</v>
      </c>
      <c r="EI128" s="675">
        <v>0</v>
      </c>
      <c r="EJ128" s="675">
        <v>0</v>
      </c>
      <c r="EK128" s="675">
        <v>0</v>
      </c>
      <c r="EL128" s="675">
        <v>0</v>
      </c>
      <c r="EM128" s="675">
        <v>0</v>
      </c>
      <c r="EN128" s="675">
        <v>0.4</v>
      </c>
      <c r="EO128" s="675">
        <v>0</v>
      </c>
      <c r="EP128" s="675">
        <v>0</v>
      </c>
      <c r="EQ128" s="675">
        <v>0.4</v>
      </c>
      <c r="ER128" s="675">
        <v>0</v>
      </c>
      <c r="ES128" s="675">
        <v>2</v>
      </c>
      <c r="ET128" s="675">
        <v>0</v>
      </c>
      <c r="EU128" s="675">
        <v>0</v>
      </c>
      <c r="EV128" s="675">
        <v>0</v>
      </c>
      <c r="EW128" s="675">
        <v>0</v>
      </c>
      <c r="EX128" s="675">
        <v>0</v>
      </c>
      <c r="EY128" s="675">
        <v>0</v>
      </c>
      <c r="EZ128" s="675">
        <v>4293727</v>
      </c>
      <c r="FA128" s="675">
        <v>0</v>
      </c>
      <c r="FB128" s="675">
        <v>4504271</v>
      </c>
      <c r="FC128" s="675">
        <v>0</v>
      </c>
      <c r="FD128" s="675">
        <v>0</v>
      </c>
      <c r="FE128" s="675">
        <v>458235</v>
      </c>
      <c r="FF128" s="675">
        <v>94775</v>
      </c>
      <c r="FG128" s="675">
        <v>6.3574999999999993E-2</v>
      </c>
      <c r="FH128" s="675">
        <v>2.6297999999999998E-2</v>
      </c>
      <c r="FI128" s="675">
        <v>0</v>
      </c>
      <c r="FJ128" s="675">
        <v>0</v>
      </c>
      <c r="FK128" s="675">
        <v>731.30900000000008</v>
      </c>
      <c r="FL128" s="675">
        <v>5137565</v>
      </c>
      <c r="FM128" s="675">
        <v>0</v>
      </c>
      <c r="FN128" s="675">
        <v>0</v>
      </c>
      <c r="FO128" s="675">
        <v>0</v>
      </c>
      <c r="FP128" s="675">
        <v>0</v>
      </c>
      <c r="FQ128" s="675">
        <v>0</v>
      </c>
      <c r="FR128" s="675">
        <v>0</v>
      </c>
      <c r="FS128" s="675">
        <v>0</v>
      </c>
      <c r="FT128" s="675">
        <v>0</v>
      </c>
      <c r="FU128" s="675">
        <v>0</v>
      </c>
      <c r="FV128" s="675">
        <v>0</v>
      </c>
      <c r="FW128" s="675">
        <v>0</v>
      </c>
      <c r="FX128" s="675">
        <v>0</v>
      </c>
      <c r="FY128" s="675">
        <v>0</v>
      </c>
      <c r="FZ128" s="675">
        <v>0</v>
      </c>
      <c r="GA128" s="675">
        <v>0</v>
      </c>
      <c r="GB128" s="675">
        <v>0</v>
      </c>
      <c r="GC128" s="675">
        <v>0</v>
      </c>
      <c r="GD128" s="675">
        <v>0</v>
      </c>
      <c r="GE128" s="675">
        <v>0</v>
      </c>
      <c r="GF128" s="675">
        <v>0</v>
      </c>
      <c r="GG128" s="675">
        <v>0</v>
      </c>
      <c r="GH128" s="675">
        <v>0</v>
      </c>
      <c r="GI128" s="675">
        <v>0</v>
      </c>
      <c r="GJ128" s="675">
        <v>0</v>
      </c>
      <c r="GK128" s="675">
        <v>0</v>
      </c>
      <c r="GL128" s="675">
        <v>0</v>
      </c>
      <c r="GM128" s="675">
        <v>0</v>
      </c>
      <c r="GN128" s="675">
        <v>0</v>
      </c>
      <c r="GO128" s="675">
        <v>0</v>
      </c>
      <c r="GP128" s="675">
        <v>0</v>
      </c>
      <c r="GQ128" s="675">
        <v>0</v>
      </c>
      <c r="GR128" s="675">
        <v>0</v>
      </c>
      <c r="GS128" s="675">
        <v>0</v>
      </c>
      <c r="GT128" s="675">
        <v>0</v>
      </c>
      <c r="GU128" s="675">
        <v>0</v>
      </c>
      <c r="GV128" s="675">
        <v>0</v>
      </c>
      <c r="GW128" s="675">
        <v>0</v>
      </c>
      <c r="GX128" s="675">
        <v>0</v>
      </c>
      <c r="GY128" s="675">
        <v>0</v>
      </c>
      <c r="GZ128" s="675">
        <v>0</v>
      </c>
      <c r="HA128" s="675">
        <v>0</v>
      </c>
      <c r="HB128" s="675">
        <v>308877260</v>
      </c>
      <c r="HC128" s="675">
        <v>4.4138999999999998E-2</v>
      </c>
      <c r="HD128" s="675">
        <v>80284</v>
      </c>
      <c r="HE128" s="675">
        <v>0</v>
      </c>
      <c r="HF128" s="675">
        <v>501120</v>
      </c>
      <c r="HG128" s="675">
        <v>1925</v>
      </c>
      <c r="HH128" s="675">
        <v>140399</v>
      </c>
      <c r="HI128" s="675">
        <v>0</v>
      </c>
      <c r="HJ128" s="675">
        <v>4420</v>
      </c>
      <c r="HK128" s="675">
        <v>0</v>
      </c>
      <c r="HL128" s="675">
        <v>0</v>
      </c>
      <c r="HM128" s="675">
        <v>0</v>
      </c>
      <c r="HN128" s="675">
        <v>0</v>
      </c>
      <c r="HO128" s="675">
        <v>27000</v>
      </c>
      <c r="HP128" s="675">
        <v>0</v>
      </c>
      <c r="HQ128" s="675">
        <v>0</v>
      </c>
      <c r="HR128" s="675">
        <v>0</v>
      </c>
      <c r="HS128" s="675">
        <v>4293158</v>
      </c>
      <c r="HT128" s="675">
        <v>94775</v>
      </c>
      <c r="HU128" s="675">
        <v>0</v>
      </c>
      <c r="HV128" s="675">
        <v>0</v>
      </c>
      <c r="HW128" s="675">
        <v>0</v>
      </c>
      <c r="HX128" s="675">
        <v>37</v>
      </c>
      <c r="HY128" s="675">
        <v>49</v>
      </c>
      <c r="HZ128" s="675">
        <v>115</v>
      </c>
      <c r="IA128" s="675">
        <v>125</v>
      </c>
      <c r="IB128" s="675">
        <v>174</v>
      </c>
      <c r="IC128" s="675">
        <v>500</v>
      </c>
      <c r="ID128" s="675">
        <v>0</v>
      </c>
      <c r="IE128" s="675">
        <v>0</v>
      </c>
      <c r="IF128" s="675">
        <v>0</v>
      </c>
      <c r="IG128" s="675">
        <v>3.125</v>
      </c>
      <c r="IH128" s="675">
        <v>227.922</v>
      </c>
      <c r="II128" s="675">
        <v>0</v>
      </c>
      <c r="IJ128" s="675">
        <v>133.869</v>
      </c>
      <c r="IK128" s="675">
        <v>0</v>
      </c>
      <c r="IL128" s="675">
        <v>0</v>
      </c>
      <c r="IM128" s="675">
        <v>0</v>
      </c>
      <c r="IN128" s="675">
        <v>0</v>
      </c>
      <c r="IO128" s="675">
        <v>0</v>
      </c>
      <c r="IP128" s="675">
        <v>0</v>
      </c>
      <c r="IQ128" s="675">
        <v>133.869</v>
      </c>
      <c r="IR128" s="675">
        <v>82463</v>
      </c>
      <c r="IS128" s="675">
        <v>0</v>
      </c>
      <c r="IT128" s="675">
        <v>0</v>
      </c>
      <c r="IU128" s="675">
        <v>0</v>
      </c>
      <c r="IV128" s="675">
        <v>0</v>
      </c>
      <c r="IW128" s="675">
        <v>6160</v>
      </c>
      <c r="IX128" s="675">
        <v>0</v>
      </c>
      <c r="IY128" s="675">
        <v>0</v>
      </c>
      <c r="IZ128" s="675">
        <v>0</v>
      </c>
      <c r="JA128" s="675">
        <v>0</v>
      </c>
      <c r="JB128" s="675">
        <v>0</v>
      </c>
      <c r="JC128" s="675">
        <v>0</v>
      </c>
      <c r="JD128" s="675">
        <v>0</v>
      </c>
      <c r="JE128" s="675">
        <v>0</v>
      </c>
      <c r="JF128" s="675">
        <v>0</v>
      </c>
      <c r="JG128" s="675">
        <v>0</v>
      </c>
      <c r="JH128" s="675">
        <v>0</v>
      </c>
      <c r="JI128" s="675">
        <v>0</v>
      </c>
      <c r="JJ128" s="675">
        <v>0</v>
      </c>
      <c r="JK128" s="675">
        <v>0</v>
      </c>
      <c r="JL128" s="675">
        <v>0</v>
      </c>
      <c r="JM128" s="675">
        <v>0</v>
      </c>
      <c r="JN128" s="675">
        <v>32469</v>
      </c>
      <c r="JO128" s="675">
        <v>0</v>
      </c>
      <c r="JP128" s="675">
        <v>0</v>
      </c>
      <c r="JQ128" s="675">
        <v>0</v>
      </c>
      <c r="JR128" s="675">
        <v>0</v>
      </c>
      <c r="JS128" s="675">
        <v>0</v>
      </c>
      <c r="JT128" s="675">
        <v>0</v>
      </c>
      <c r="JU128" s="675">
        <v>0</v>
      </c>
      <c r="JV128" s="675">
        <v>0</v>
      </c>
      <c r="JW128" s="675">
        <v>0</v>
      </c>
      <c r="JX128" s="675">
        <v>0</v>
      </c>
      <c r="JY128" s="675">
        <v>0</v>
      </c>
      <c r="JZ128" s="675">
        <v>0</v>
      </c>
      <c r="KA128" s="675">
        <v>0</v>
      </c>
      <c r="KB128" s="675">
        <v>0</v>
      </c>
      <c r="KC128" s="675">
        <v>0</v>
      </c>
      <c r="KD128" s="675">
        <v>0</v>
      </c>
      <c r="KE128" s="675">
        <v>7263</v>
      </c>
      <c r="KF128" s="675">
        <v>0</v>
      </c>
      <c r="KG128" s="675">
        <v>0</v>
      </c>
      <c r="KH128" s="675">
        <v>0</v>
      </c>
      <c r="KI128" s="675">
        <v>0</v>
      </c>
    </row>
    <row r="129" spans="1:295" ht="12.5" x14ac:dyDescent="0.25">
      <c r="A129" s="675">
        <v>35795</v>
      </c>
      <c r="B129" s="675">
        <v>227827</v>
      </c>
      <c r="C129" s="675">
        <v>7</v>
      </c>
      <c r="D129" s="675">
        <v>2022</v>
      </c>
      <c r="E129" s="675">
        <v>6160</v>
      </c>
      <c r="F129" s="675">
        <v>0</v>
      </c>
      <c r="G129" s="675">
        <v>546.44200000000001</v>
      </c>
      <c r="H129" s="675">
        <v>402.709</v>
      </c>
      <c r="I129" s="675">
        <v>402.709</v>
      </c>
      <c r="J129" s="675">
        <v>546.44200000000001</v>
      </c>
      <c r="K129" s="675">
        <v>0</v>
      </c>
      <c r="L129" s="675">
        <v>6160</v>
      </c>
      <c r="M129" s="675">
        <v>0</v>
      </c>
      <c r="N129" s="675">
        <v>0</v>
      </c>
      <c r="O129" s="675">
        <v>0</v>
      </c>
      <c r="P129" s="675">
        <v>476.892</v>
      </c>
      <c r="Q129" s="675">
        <v>0</v>
      </c>
      <c r="R129" s="675">
        <v>191915</v>
      </c>
      <c r="S129" s="675">
        <v>402.428</v>
      </c>
      <c r="T129" s="675">
        <v>0</v>
      </c>
      <c r="U129" s="675">
        <v>102056</v>
      </c>
      <c r="V129" s="675">
        <v>93.38300000000001</v>
      </c>
      <c r="W129" s="675">
        <v>57524</v>
      </c>
      <c r="X129" s="675">
        <v>57524</v>
      </c>
      <c r="Y129" s="675">
        <v>0</v>
      </c>
      <c r="Z129" s="675">
        <v>0</v>
      </c>
      <c r="AA129" s="675">
        <v>0</v>
      </c>
      <c r="AB129" s="675">
        <v>0</v>
      </c>
      <c r="AC129" s="675">
        <v>0</v>
      </c>
      <c r="AD129" s="675" t="s">
        <v>316</v>
      </c>
      <c r="AE129" s="675">
        <v>0</v>
      </c>
      <c r="AF129" s="675">
        <v>0</v>
      </c>
      <c r="AG129" s="675">
        <v>0</v>
      </c>
      <c r="AH129" s="675">
        <v>0</v>
      </c>
      <c r="AI129" s="675">
        <v>0</v>
      </c>
      <c r="AJ129" s="675">
        <v>6160</v>
      </c>
      <c r="AK129" s="675" t="s">
        <v>671</v>
      </c>
      <c r="AL129" s="675" t="s">
        <v>904</v>
      </c>
      <c r="AM129" s="675">
        <v>0</v>
      </c>
      <c r="AN129" s="675">
        <v>0</v>
      </c>
      <c r="AO129" s="675">
        <v>0</v>
      </c>
      <c r="AP129" s="675">
        <v>0</v>
      </c>
      <c r="AQ129" s="675">
        <v>0</v>
      </c>
      <c r="AR129" s="675">
        <v>0</v>
      </c>
      <c r="AS129" s="675">
        <v>0</v>
      </c>
      <c r="AT129" s="675">
        <v>0</v>
      </c>
      <c r="AU129" s="675">
        <v>0</v>
      </c>
      <c r="AV129" s="675">
        <v>-12342</v>
      </c>
      <c r="AW129" s="675">
        <v>6024788</v>
      </c>
      <c r="AX129" s="675">
        <v>6024789</v>
      </c>
      <c r="AY129" s="675">
        <v>4039912</v>
      </c>
      <c r="AZ129" s="675">
        <v>191915</v>
      </c>
      <c r="BA129" s="675">
        <v>0</v>
      </c>
      <c r="BB129" s="675">
        <v>0</v>
      </c>
      <c r="BC129" s="675">
        <v>0</v>
      </c>
      <c r="BD129" s="675">
        <v>0</v>
      </c>
      <c r="BE129" s="675">
        <v>0</v>
      </c>
      <c r="BF129" s="675">
        <v>5515622</v>
      </c>
      <c r="BG129" s="675">
        <v>0</v>
      </c>
      <c r="BH129" s="675">
        <v>0</v>
      </c>
      <c r="BI129" s="675">
        <v>0</v>
      </c>
      <c r="BJ129" s="675">
        <v>12</v>
      </c>
      <c r="BK129" s="675">
        <v>0</v>
      </c>
      <c r="BL129" s="675">
        <v>0</v>
      </c>
      <c r="BM129" s="675">
        <v>0</v>
      </c>
      <c r="BN129" s="675">
        <v>0</v>
      </c>
      <c r="BO129" s="675">
        <v>0</v>
      </c>
      <c r="BP129" s="675">
        <v>0</v>
      </c>
      <c r="BQ129" s="675">
        <v>708</v>
      </c>
      <c r="BR129" s="675">
        <v>0</v>
      </c>
      <c r="BS129" s="675">
        <v>0</v>
      </c>
      <c r="BT129" s="675">
        <v>0</v>
      </c>
      <c r="BU129" s="675">
        <v>0</v>
      </c>
      <c r="BV129" s="675">
        <v>0</v>
      </c>
      <c r="BW129" s="675">
        <v>0</v>
      </c>
      <c r="BX129" s="675">
        <v>0</v>
      </c>
      <c r="BY129" s="675">
        <v>0</v>
      </c>
      <c r="BZ129" s="675">
        <v>0</v>
      </c>
      <c r="CA129" s="675">
        <v>0</v>
      </c>
      <c r="CB129" s="675">
        <v>0</v>
      </c>
      <c r="CC129" s="675">
        <v>0</v>
      </c>
      <c r="CD129" s="675">
        <v>0</v>
      </c>
      <c r="CE129" s="675">
        <v>0</v>
      </c>
      <c r="CF129" s="675">
        <v>0</v>
      </c>
      <c r="CG129" s="675">
        <v>0</v>
      </c>
      <c r="CH129" s="675">
        <v>0</v>
      </c>
      <c r="CI129" s="675">
        <v>0</v>
      </c>
      <c r="CJ129" s="675">
        <v>4</v>
      </c>
      <c r="CK129" s="675">
        <v>0</v>
      </c>
      <c r="CL129" s="675">
        <v>0</v>
      </c>
      <c r="CM129" s="675">
        <v>0</v>
      </c>
      <c r="CN129" s="675">
        <v>0</v>
      </c>
      <c r="CO129" s="675">
        <v>1</v>
      </c>
      <c r="CP129" s="675">
        <v>0.59100000000000008</v>
      </c>
      <c r="CQ129" s="675">
        <v>0</v>
      </c>
      <c r="CR129" s="675">
        <v>546.07600000000002</v>
      </c>
      <c r="CS129" s="675">
        <v>0</v>
      </c>
      <c r="CT129" s="675">
        <v>0</v>
      </c>
      <c r="CU129" s="675">
        <v>0</v>
      </c>
      <c r="CV129" s="675">
        <v>0</v>
      </c>
      <c r="CW129" s="675">
        <v>0</v>
      </c>
      <c r="CX129" s="675">
        <v>0</v>
      </c>
      <c r="CY129" s="675">
        <v>0</v>
      </c>
      <c r="CZ129" s="675">
        <v>0</v>
      </c>
      <c r="DA129" s="675">
        <v>0</v>
      </c>
      <c r="DB129" s="675">
        <v>2480504</v>
      </c>
      <c r="DC129" s="675">
        <v>0</v>
      </c>
      <c r="DD129" s="675">
        <v>0</v>
      </c>
      <c r="DE129" s="675">
        <v>1182561</v>
      </c>
      <c r="DF129" s="675">
        <v>1191335</v>
      </c>
      <c r="DG129" s="675">
        <v>191.97500000000002</v>
      </c>
      <c r="DH129" s="675">
        <v>0</v>
      </c>
      <c r="DI129" s="675">
        <v>8774</v>
      </c>
      <c r="DJ129" s="675">
        <v>0</v>
      </c>
      <c r="DK129" s="675">
        <v>2950</v>
      </c>
      <c r="DL129" s="675">
        <v>0</v>
      </c>
      <c r="DM129" s="675">
        <v>525</v>
      </c>
      <c r="DN129" s="675">
        <v>1</v>
      </c>
      <c r="DO129" s="675">
        <v>0</v>
      </c>
      <c r="DP129" s="675">
        <v>0</v>
      </c>
      <c r="DQ129" s="675">
        <v>0</v>
      </c>
      <c r="DR129" s="675">
        <v>0</v>
      </c>
      <c r="DS129" s="675">
        <v>0</v>
      </c>
      <c r="DT129" s="675">
        <v>0</v>
      </c>
      <c r="DU129" s="675">
        <v>0</v>
      </c>
      <c r="DV129" s="675">
        <v>0</v>
      </c>
      <c r="DW129" s="675">
        <v>0</v>
      </c>
      <c r="DX129" s="675">
        <v>0</v>
      </c>
      <c r="DY129" s="675">
        <v>0</v>
      </c>
      <c r="DZ129" s="675">
        <v>0</v>
      </c>
      <c r="EA129" s="675">
        <v>0</v>
      </c>
      <c r="EB129" s="675">
        <v>0</v>
      </c>
      <c r="EC129" s="675">
        <v>0.05</v>
      </c>
      <c r="ED129" s="675">
        <v>354</v>
      </c>
      <c r="EE129" s="675">
        <v>0</v>
      </c>
      <c r="EF129" s="675">
        <v>0</v>
      </c>
      <c r="EG129" s="675">
        <v>0</v>
      </c>
      <c r="EH129" s="675">
        <v>0</v>
      </c>
      <c r="EI129" s="675">
        <v>0</v>
      </c>
      <c r="EJ129" s="675">
        <v>0</v>
      </c>
      <c r="EK129" s="675">
        <v>0</v>
      </c>
      <c r="EL129" s="675">
        <v>0</v>
      </c>
      <c r="EM129" s="675">
        <v>0</v>
      </c>
      <c r="EN129" s="675">
        <v>0</v>
      </c>
      <c r="EO129" s="675">
        <v>0</v>
      </c>
      <c r="EP129" s="675">
        <v>0</v>
      </c>
      <c r="EQ129" s="675">
        <v>0</v>
      </c>
      <c r="ER129" s="675">
        <v>0</v>
      </c>
      <c r="ES129" s="675">
        <v>0</v>
      </c>
      <c r="ET129" s="675">
        <v>0</v>
      </c>
      <c r="EU129" s="675">
        <v>0</v>
      </c>
      <c r="EV129" s="675">
        <v>0</v>
      </c>
      <c r="EW129" s="675">
        <v>0</v>
      </c>
      <c r="EX129" s="675">
        <v>0</v>
      </c>
      <c r="EY129" s="675">
        <v>0</v>
      </c>
      <c r="EZ129" s="675">
        <v>5347698</v>
      </c>
      <c r="FA129" s="675">
        <v>0</v>
      </c>
      <c r="FB129" s="675">
        <v>5539612</v>
      </c>
      <c r="FC129" s="675">
        <v>0</v>
      </c>
      <c r="FD129" s="675">
        <v>0</v>
      </c>
      <c r="FE129" s="675">
        <v>561051</v>
      </c>
      <c r="FF129" s="675">
        <v>116040</v>
      </c>
      <c r="FG129" s="675">
        <v>6.3574999999999993E-2</v>
      </c>
      <c r="FH129" s="675">
        <v>2.6297999999999998E-2</v>
      </c>
      <c r="FI129" s="675">
        <v>0</v>
      </c>
      <c r="FJ129" s="675">
        <v>0</v>
      </c>
      <c r="FK129" s="675">
        <v>895.39700000000005</v>
      </c>
      <c r="FL129" s="675">
        <v>6216703</v>
      </c>
      <c r="FM129" s="675">
        <v>0</v>
      </c>
      <c r="FN129" s="675">
        <v>0</v>
      </c>
      <c r="FO129" s="675">
        <v>5310</v>
      </c>
      <c r="FP129" s="675">
        <v>0</v>
      </c>
      <c r="FQ129" s="675">
        <v>5310</v>
      </c>
      <c r="FR129" s="675">
        <v>5310</v>
      </c>
      <c r="FS129" s="675">
        <v>0</v>
      </c>
      <c r="FT129" s="675">
        <v>0</v>
      </c>
      <c r="FU129" s="675">
        <v>0</v>
      </c>
      <c r="FV129" s="675">
        <v>0</v>
      </c>
      <c r="FW129" s="675">
        <v>0</v>
      </c>
      <c r="FX129" s="675">
        <v>0</v>
      </c>
      <c r="FY129" s="675">
        <v>0</v>
      </c>
      <c r="FZ129" s="675">
        <v>0</v>
      </c>
      <c r="GA129" s="675">
        <v>0</v>
      </c>
      <c r="GB129" s="675">
        <v>1336234</v>
      </c>
      <c r="GC129" s="675">
        <v>1336234</v>
      </c>
      <c r="GD129" s="675">
        <v>143.733</v>
      </c>
      <c r="GE129" s="675">
        <v>0</v>
      </c>
      <c r="GF129" s="675">
        <v>0</v>
      </c>
      <c r="GG129" s="675">
        <v>0</v>
      </c>
      <c r="GH129" s="675">
        <v>0</v>
      </c>
      <c r="GI129" s="675">
        <v>0</v>
      </c>
      <c r="GJ129" s="675">
        <v>0</v>
      </c>
      <c r="GK129" s="675">
        <v>0</v>
      </c>
      <c r="GL129" s="675">
        <v>0</v>
      </c>
      <c r="GM129" s="675">
        <v>0</v>
      </c>
      <c r="GN129" s="675">
        <v>0</v>
      </c>
      <c r="GO129" s="675">
        <v>0</v>
      </c>
      <c r="GP129" s="675">
        <v>0</v>
      </c>
      <c r="GQ129" s="675">
        <v>0</v>
      </c>
      <c r="GR129" s="675">
        <v>0</v>
      </c>
      <c r="GS129" s="675">
        <v>0</v>
      </c>
      <c r="GT129" s="675">
        <v>0</v>
      </c>
      <c r="GU129" s="675">
        <v>0</v>
      </c>
      <c r="GV129" s="675">
        <v>0</v>
      </c>
      <c r="GW129" s="675">
        <v>0</v>
      </c>
      <c r="GX129" s="675">
        <v>0</v>
      </c>
      <c r="GY129" s="675">
        <v>0</v>
      </c>
      <c r="GZ129" s="675">
        <v>0</v>
      </c>
      <c r="HA129" s="675">
        <v>0</v>
      </c>
      <c r="HB129" s="675">
        <v>0</v>
      </c>
      <c r="HC129" s="675">
        <v>4.4138999999999998E-2</v>
      </c>
      <c r="HD129" s="675">
        <v>0</v>
      </c>
      <c r="HE129" s="675">
        <v>0</v>
      </c>
      <c r="HF129" s="675">
        <v>444188</v>
      </c>
      <c r="HG129" s="675">
        <v>0</v>
      </c>
      <c r="HH129" s="675">
        <v>0</v>
      </c>
      <c r="HI129" s="675">
        <v>0</v>
      </c>
      <c r="HJ129" s="675">
        <v>5311</v>
      </c>
      <c r="HK129" s="675">
        <v>12978</v>
      </c>
      <c r="HL129" s="675">
        <v>5703</v>
      </c>
      <c r="HM129" s="675">
        <v>0</v>
      </c>
      <c r="HN129" s="675">
        <v>0</v>
      </c>
      <c r="HO129" s="675">
        <v>0</v>
      </c>
      <c r="HP129" s="675">
        <v>0</v>
      </c>
      <c r="HQ129" s="675">
        <v>0</v>
      </c>
      <c r="HR129" s="675">
        <v>0</v>
      </c>
      <c r="HS129" s="675">
        <v>5347697</v>
      </c>
      <c r="HT129" s="675">
        <v>116040</v>
      </c>
      <c r="HU129" s="675">
        <v>0</v>
      </c>
      <c r="HV129" s="675">
        <v>0</v>
      </c>
      <c r="HW129" s="675">
        <v>0</v>
      </c>
      <c r="HX129" s="675">
        <v>69</v>
      </c>
      <c r="HY129" s="675">
        <v>281</v>
      </c>
      <c r="HZ129" s="675">
        <v>90</v>
      </c>
      <c r="IA129" s="675">
        <v>261</v>
      </c>
      <c r="IB129" s="675">
        <v>68</v>
      </c>
      <c r="IC129" s="675">
        <v>769</v>
      </c>
      <c r="ID129" s="675">
        <v>0</v>
      </c>
      <c r="IE129" s="675">
        <v>0</v>
      </c>
      <c r="IF129" s="675">
        <v>0</v>
      </c>
      <c r="IG129" s="675">
        <v>0</v>
      </c>
      <c r="IH129" s="675">
        <v>0</v>
      </c>
      <c r="II129" s="675">
        <v>0</v>
      </c>
      <c r="IJ129" s="675">
        <v>93.38300000000001</v>
      </c>
      <c r="IK129" s="675">
        <v>0</v>
      </c>
      <c r="IL129" s="675">
        <v>0</v>
      </c>
      <c r="IM129" s="675">
        <v>0</v>
      </c>
      <c r="IN129" s="675">
        <v>0</v>
      </c>
      <c r="IO129" s="675">
        <v>0</v>
      </c>
      <c r="IP129" s="675">
        <v>0</v>
      </c>
      <c r="IQ129" s="675">
        <v>93.38300000000001</v>
      </c>
      <c r="IR129" s="675">
        <v>57524</v>
      </c>
      <c r="IS129" s="675">
        <v>0</v>
      </c>
      <c r="IT129" s="675">
        <v>0</v>
      </c>
      <c r="IU129" s="675">
        <v>0</v>
      </c>
      <c r="IV129" s="675">
        <v>0</v>
      </c>
      <c r="IW129" s="675">
        <v>6160</v>
      </c>
      <c r="IX129" s="675">
        <v>0</v>
      </c>
      <c r="IY129" s="675">
        <v>0</v>
      </c>
      <c r="IZ129" s="675">
        <v>0</v>
      </c>
      <c r="JA129" s="675">
        <v>0</v>
      </c>
      <c r="JB129" s="675">
        <v>0</v>
      </c>
      <c r="JC129" s="675">
        <v>0</v>
      </c>
      <c r="JD129" s="675">
        <v>0</v>
      </c>
      <c r="JE129" s="675">
        <v>0</v>
      </c>
      <c r="JF129" s="675">
        <v>0</v>
      </c>
      <c r="JG129" s="675">
        <v>0</v>
      </c>
      <c r="JH129" s="675">
        <v>0</v>
      </c>
      <c r="JI129" s="675">
        <v>0</v>
      </c>
      <c r="JJ129" s="675">
        <v>0</v>
      </c>
      <c r="JK129" s="675">
        <v>0</v>
      </c>
      <c r="JL129" s="675">
        <v>0</v>
      </c>
      <c r="JM129" s="675">
        <v>0</v>
      </c>
      <c r="JN129" s="675">
        <v>32469</v>
      </c>
      <c r="JO129" s="675">
        <v>0</v>
      </c>
      <c r="JP129" s="675">
        <v>143.733</v>
      </c>
      <c r="JQ129" s="675">
        <v>0</v>
      </c>
      <c r="JR129" s="675">
        <v>0</v>
      </c>
      <c r="JS129" s="675">
        <v>1336234</v>
      </c>
      <c r="JT129" s="675">
        <v>0</v>
      </c>
      <c r="JU129" s="675">
        <v>0</v>
      </c>
      <c r="JV129" s="675">
        <v>0</v>
      </c>
      <c r="JW129" s="675">
        <v>0</v>
      </c>
      <c r="JX129" s="675">
        <v>0</v>
      </c>
      <c r="JY129" s="675">
        <v>0</v>
      </c>
      <c r="JZ129" s="675">
        <v>0</v>
      </c>
      <c r="KA129" s="675">
        <v>0</v>
      </c>
      <c r="KB129" s="675">
        <v>0</v>
      </c>
      <c r="KC129" s="675">
        <v>0</v>
      </c>
      <c r="KD129" s="675">
        <v>0</v>
      </c>
      <c r="KE129" s="675">
        <v>7263</v>
      </c>
      <c r="KF129" s="675">
        <v>0</v>
      </c>
      <c r="KG129" s="675">
        <v>0</v>
      </c>
      <c r="KH129" s="675">
        <v>0</v>
      </c>
      <c r="KI129" s="675">
        <v>0</v>
      </c>
    </row>
    <row r="130" spans="1:295" ht="12.5" x14ac:dyDescent="0.25">
      <c r="A130" s="675">
        <v>35795</v>
      </c>
      <c r="B130" s="675">
        <v>15828</v>
      </c>
      <c r="C130" s="675">
        <v>7</v>
      </c>
      <c r="D130" s="675">
        <v>2022</v>
      </c>
      <c r="E130" s="675">
        <v>6160</v>
      </c>
      <c r="F130" s="675">
        <v>0</v>
      </c>
      <c r="G130" s="675">
        <v>4131.3630000000003</v>
      </c>
      <c r="H130" s="675">
        <v>3712.82</v>
      </c>
      <c r="I130" s="675">
        <v>3712.82</v>
      </c>
      <c r="J130" s="675">
        <v>4131.3630000000003</v>
      </c>
      <c r="K130" s="675">
        <v>0</v>
      </c>
      <c r="L130" s="675">
        <v>6160</v>
      </c>
      <c r="M130" s="675">
        <v>0</v>
      </c>
      <c r="N130" s="675">
        <v>0</v>
      </c>
      <c r="O130" s="675">
        <v>0</v>
      </c>
      <c r="P130" s="675">
        <v>4133.1329999999998</v>
      </c>
      <c r="Q130" s="675">
        <v>0</v>
      </c>
      <c r="R130" s="675">
        <v>1663288</v>
      </c>
      <c r="S130" s="675">
        <v>402.428</v>
      </c>
      <c r="T130" s="675">
        <v>0</v>
      </c>
      <c r="U130" s="675">
        <v>884495</v>
      </c>
      <c r="V130" s="675">
        <v>1461.1120000000001</v>
      </c>
      <c r="W130" s="675">
        <v>900041</v>
      </c>
      <c r="X130" s="675">
        <v>900041</v>
      </c>
      <c r="Y130" s="675">
        <v>0</v>
      </c>
      <c r="Z130" s="675">
        <v>0</v>
      </c>
      <c r="AA130" s="675">
        <v>0</v>
      </c>
      <c r="AB130" s="675">
        <v>0</v>
      </c>
      <c r="AC130" s="675">
        <v>0</v>
      </c>
      <c r="AD130" s="675" t="s">
        <v>316</v>
      </c>
      <c r="AE130" s="675">
        <v>0</v>
      </c>
      <c r="AF130" s="675">
        <v>0</v>
      </c>
      <c r="AG130" s="675">
        <v>0</v>
      </c>
      <c r="AH130" s="675">
        <v>0</v>
      </c>
      <c r="AI130" s="675">
        <v>0</v>
      </c>
      <c r="AJ130" s="675">
        <v>6160</v>
      </c>
      <c r="AK130" s="675" t="s">
        <v>671</v>
      </c>
      <c r="AL130" s="675" t="s">
        <v>905</v>
      </c>
      <c r="AM130" s="675">
        <v>0</v>
      </c>
      <c r="AN130" s="675">
        <v>0</v>
      </c>
      <c r="AO130" s="675">
        <v>0</v>
      </c>
      <c r="AP130" s="675">
        <v>0</v>
      </c>
      <c r="AQ130" s="675">
        <v>0</v>
      </c>
      <c r="AR130" s="675">
        <v>0</v>
      </c>
      <c r="AS130" s="675">
        <v>0</v>
      </c>
      <c r="AT130" s="675">
        <v>0</v>
      </c>
      <c r="AU130" s="675">
        <v>0</v>
      </c>
      <c r="AV130" s="675">
        <v>0</v>
      </c>
      <c r="AW130" s="675">
        <v>46072286</v>
      </c>
      <c r="AX130" s="675">
        <v>45355074</v>
      </c>
      <c r="AY130" s="675">
        <v>29884268</v>
      </c>
      <c r="AZ130" s="675">
        <v>1663288</v>
      </c>
      <c r="BA130" s="675">
        <v>0</v>
      </c>
      <c r="BB130" s="675">
        <v>82790</v>
      </c>
      <c r="BC130" s="675">
        <v>82254</v>
      </c>
      <c r="BD130" s="675">
        <v>192</v>
      </c>
      <c r="BE130" s="675">
        <v>536</v>
      </c>
      <c r="BF130" s="675">
        <v>41853217</v>
      </c>
      <c r="BG130" s="675">
        <v>0</v>
      </c>
      <c r="BH130" s="675">
        <v>0</v>
      </c>
      <c r="BI130" s="675">
        <v>0</v>
      </c>
      <c r="BJ130" s="675">
        <v>12</v>
      </c>
      <c r="BK130" s="675">
        <v>0</v>
      </c>
      <c r="BL130" s="675">
        <v>0</v>
      </c>
      <c r="BM130" s="675">
        <v>0</v>
      </c>
      <c r="BN130" s="675">
        <v>0</v>
      </c>
      <c r="BO130" s="675">
        <v>0</v>
      </c>
      <c r="BP130" s="675">
        <v>0</v>
      </c>
      <c r="BQ130" s="675">
        <v>198</v>
      </c>
      <c r="BR130" s="675">
        <v>0</v>
      </c>
      <c r="BS130" s="675">
        <v>0</v>
      </c>
      <c r="BT130" s="675">
        <v>0</v>
      </c>
      <c r="BU130" s="675">
        <v>0</v>
      </c>
      <c r="BV130" s="675">
        <v>0</v>
      </c>
      <c r="BW130" s="675">
        <v>0</v>
      </c>
      <c r="BX130" s="675">
        <v>0</v>
      </c>
      <c r="BY130" s="675">
        <v>0</v>
      </c>
      <c r="BZ130" s="675">
        <v>0</v>
      </c>
      <c r="CA130" s="675">
        <v>0</v>
      </c>
      <c r="CB130" s="675">
        <v>0</v>
      </c>
      <c r="CC130" s="675">
        <v>0</v>
      </c>
      <c r="CD130" s="675">
        <v>0</v>
      </c>
      <c r="CE130" s="675">
        <v>0</v>
      </c>
      <c r="CF130" s="675">
        <v>0</v>
      </c>
      <c r="CG130" s="675">
        <v>0</v>
      </c>
      <c r="CH130" s="675">
        <v>729415</v>
      </c>
      <c r="CI130" s="675">
        <v>0</v>
      </c>
      <c r="CJ130" s="675">
        <v>4</v>
      </c>
      <c r="CK130" s="675">
        <v>0</v>
      </c>
      <c r="CL130" s="675">
        <v>0</v>
      </c>
      <c r="CM130" s="675">
        <v>0</v>
      </c>
      <c r="CN130" s="675">
        <v>0</v>
      </c>
      <c r="CO130" s="675">
        <v>1</v>
      </c>
      <c r="CP130" s="675">
        <v>0</v>
      </c>
      <c r="CQ130" s="675">
        <v>0</v>
      </c>
      <c r="CR130" s="675">
        <v>4215.8220000000001</v>
      </c>
      <c r="CS130" s="675">
        <v>0</v>
      </c>
      <c r="CT130" s="675">
        <v>0</v>
      </c>
      <c r="CU130" s="675">
        <v>0</v>
      </c>
      <c r="CV130" s="675">
        <v>0</v>
      </c>
      <c r="CW130" s="675">
        <v>0</v>
      </c>
      <c r="CX130" s="675">
        <v>0</v>
      </c>
      <c r="CY130" s="675">
        <v>0</v>
      </c>
      <c r="CZ130" s="675">
        <v>0</v>
      </c>
      <c r="DA130" s="675">
        <v>0</v>
      </c>
      <c r="DB130" s="675">
        <v>22787836</v>
      </c>
      <c r="DC130" s="675">
        <v>0</v>
      </c>
      <c r="DD130" s="675">
        <v>0</v>
      </c>
      <c r="DE130" s="675">
        <v>6025838</v>
      </c>
      <c r="DF130" s="675">
        <v>6025838</v>
      </c>
      <c r="DG130" s="675">
        <v>978.22500000000002</v>
      </c>
      <c r="DH130" s="675">
        <v>0</v>
      </c>
      <c r="DI130" s="675">
        <v>0</v>
      </c>
      <c r="DJ130" s="675">
        <v>0</v>
      </c>
      <c r="DK130" s="675">
        <v>0</v>
      </c>
      <c r="DL130" s="675">
        <v>0</v>
      </c>
      <c r="DM130" s="675">
        <v>3184669</v>
      </c>
      <c r="DN130" s="675">
        <v>11668</v>
      </c>
      <c r="DO130" s="675">
        <v>0</v>
      </c>
      <c r="DP130" s="675">
        <v>0</v>
      </c>
      <c r="DQ130" s="675">
        <v>0</v>
      </c>
      <c r="DR130" s="675">
        <v>0</v>
      </c>
      <c r="DS130" s="675">
        <v>0</v>
      </c>
      <c r="DT130" s="675">
        <v>0</v>
      </c>
      <c r="DU130" s="675">
        <v>0</v>
      </c>
      <c r="DV130" s="675">
        <v>0</v>
      </c>
      <c r="DW130" s="675">
        <v>0</v>
      </c>
      <c r="DX130" s="675">
        <v>0</v>
      </c>
      <c r="DY130" s="675">
        <v>0</v>
      </c>
      <c r="DZ130" s="675">
        <v>0</v>
      </c>
      <c r="EA130" s="675">
        <v>0.28900000000000003</v>
      </c>
      <c r="EB130" s="675">
        <v>0</v>
      </c>
      <c r="EC130" s="675">
        <v>74.286000000000001</v>
      </c>
      <c r="ED130" s="675">
        <v>526240</v>
      </c>
      <c r="EE130" s="675">
        <v>0</v>
      </c>
      <c r="EF130" s="675">
        <v>0</v>
      </c>
      <c r="EG130" s="675">
        <v>0</v>
      </c>
      <c r="EH130" s="675">
        <v>2587068</v>
      </c>
      <c r="EI130" s="675">
        <v>0</v>
      </c>
      <c r="EJ130" s="675">
        <v>0</v>
      </c>
      <c r="EK130" s="675">
        <v>104.28800000000001</v>
      </c>
      <c r="EL130" s="675">
        <v>0</v>
      </c>
      <c r="EM130" s="675">
        <v>22.71</v>
      </c>
      <c r="EN130" s="675">
        <v>7.3050000000000006</v>
      </c>
      <c r="EO130" s="675">
        <v>0</v>
      </c>
      <c r="EP130" s="675">
        <v>0</v>
      </c>
      <c r="EQ130" s="675">
        <v>135.03400000000002</v>
      </c>
      <c r="ER130" s="675">
        <v>0.442</v>
      </c>
      <c r="ES130" s="675">
        <v>419.98099999999999</v>
      </c>
      <c r="ET130" s="675">
        <v>0</v>
      </c>
      <c r="EU130" s="675">
        <v>0</v>
      </c>
      <c r="EV130" s="675">
        <v>0</v>
      </c>
      <c r="EW130" s="675">
        <v>0</v>
      </c>
      <c r="EX130" s="675">
        <v>0</v>
      </c>
      <c r="EY130" s="675">
        <v>0</v>
      </c>
      <c r="EZ130" s="675">
        <v>40217216</v>
      </c>
      <c r="FA130" s="675">
        <v>0</v>
      </c>
      <c r="FB130" s="675">
        <v>41868301</v>
      </c>
      <c r="FC130" s="675">
        <v>0</v>
      </c>
      <c r="FD130" s="675">
        <v>0</v>
      </c>
      <c r="FE130" s="675">
        <v>4257329</v>
      </c>
      <c r="FF130" s="675">
        <v>880529</v>
      </c>
      <c r="FG130" s="675">
        <v>6.3574999999999993E-2</v>
      </c>
      <c r="FH130" s="675">
        <v>2.6297999999999998E-2</v>
      </c>
      <c r="FI130" s="675">
        <v>0</v>
      </c>
      <c r="FJ130" s="675">
        <v>0</v>
      </c>
      <c r="FK130" s="675">
        <v>6794.3850000000002</v>
      </c>
      <c r="FL130" s="675">
        <v>47735574</v>
      </c>
      <c r="FM130" s="675">
        <v>0</v>
      </c>
      <c r="FN130" s="675">
        <v>0</v>
      </c>
      <c r="FO130" s="675">
        <v>0</v>
      </c>
      <c r="FP130" s="675">
        <v>0</v>
      </c>
      <c r="FQ130" s="675">
        <v>0</v>
      </c>
      <c r="FR130" s="675">
        <v>0</v>
      </c>
      <c r="FS130" s="675">
        <v>0</v>
      </c>
      <c r="FT130" s="675">
        <v>0</v>
      </c>
      <c r="FU130" s="675">
        <v>0</v>
      </c>
      <c r="FV130" s="675">
        <v>0</v>
      </c>
      <c r="FW130" s="675">
        <v>0</v>
      </c>
      <c r="FX130" s="675">
        <v>0</v>
      </c>
      <c r="FY130" s="675">
        <v>0</v>
      </c>
      <c r="FZ130" s="675">
        <v>0</v>
      </c>
      <c r="GA130" s="675">
        <v>0</v>
      </c>
      <c r="GB130" s="675">
        <v>2839555</v>
      </c>
      <c r="GC130" s="675">
        <v>2839555</v>
      </c>
      <c r="GD130" s="675">
        <v>283.50900000000001</v>
      </c>
      <c r="GE130" s="675">
        <v>0</v>
      </c>
      <c r="GF130" s="675">
        <v>0</v>
      </c>
      <c r="GG130" s="675">
        <v>0</v>
      </c>
      <c r="GH130" s="675">
        <v>0</v>
      </c>
      <c r="GI130" s="675">
        <v>0</v>
      </c>
      <c r="GJ130" s="675">
        <v>0</v>
      </c>
      <c r="GK130" s="675">
        <v>0</v>
      </c>
      <c r="GL130" s="675">
        <v>0</v>
      </c>
      <c r="GM130" s="675">
        <v>0</v>
      </c>
      <c r="GN130" s="675">
        <v>0</v>
      </c>
      <c r="GO130" s="675">
        <v>0</v>
      </c>
      <c r="GP130" s="675">
        <v>0</v>
      </c>
      <c r="GQ130" s="675">
        <v>0</v>
      </c>
      <c r="GR130" s="675">
        <v>0</v>
      </c>
      <c r="GS130" s="675">
        <v>0</v>
      </c>
      <c r="GT130" s="675">
        <v>0</v>
      </c>
      <c r="GU130" s="675">
        <v>0</v>
      </c>
      <c r="GV130" s="675">
        <v>0</v>
      </c>
      <c r="GW130" s="675">
        <v>0</v>
      </c>
      <c r="GX130" s="675">
        <v>0</v>
      </c>
      <c r="GY130" s="675">
        <v>0</v>
      </c>
      <c r="GZ130" s="675">
        <v>0</v>
      </c>
      <c r="HA130" s="675">
        <v>0</v>
      </c>
      <c r="HB130" s="675">
        <v>308877260</v>
      </c>
      <c r="HC130" s="675">
        <v>4.4138999999999998E-2</v>
      </c>
      <c r="HD130" s="675">
        <v>729415</v>
      </c>
      <c r="HE130" s="675">
        <v>0</v>
      </c>
      <c r="HF130" s="675">
        <v>4095240</v>
      </c>
      <c r="HG130" s="675">
        <v>67760</v>
      </c>
      <c r="HH130" s="675">
        <v>706700</v>
      </c>
      <c r="HI130" s="675">
        <v>0</v>
      </c>
      <c r="HJ130" s="675">
        <v>40157</v>
      </c>
      <c r="HK130" s="675">
        <v>15228</v>
      </c>
      <c r="HL130" s="675">
        <v>12059</v>
      </c>
      <c r="HM130" s="675">
        <v>315000</v>
      </c>
      <c r="HN130" s="675">
        <v>696963</v>
      </c>
      <c r="HO130" s="675">
        <v>99000</v>
      </c>
      <c r="HP130" s="675">
        <v>0</v>
      </c>
      <c r="HQ130" s="675">
        <v>0</v>
      </c>
      <c r="HR130" s="675">
        <v>0</v>
      </c>
      <c r="HS130" s="675">
        <v>40205013</v>
      </c>
      <c r="HT130" s="675">
        <v>880529</v>
      </c>
      <c r="HU130" s="675">
        <v>0</v>
      </c>
      <c r="HV130" s="675">
        <v>0</v>
      </c>
      <c r="HW130" s="675">
        <v>0</v>
      </c>
      <c r="HX130" s="675">
        <v>395</v>
      </c>
      <c r="HY130" s="675">
        <v>845</v>
      </c>
      <c r="HZ130" s="675">
        <v>715</v>
      </c>
      <c r="IA130" s="675">
        <v>721</v>
      </c>
      <c r="IB130" s="675">
        <v>1166</v>
      </c>
      <c r="IC130" s="675">
        <v>3842</v>
      </c>
      <c r="ID130" s="675">
        <v>0</v>
      </c>
      <c r="IE130" s="675">
        <v>0</v>
      </c>
      <c r="IF130" s="675">
        <v>0</v>
      </c>
      <c r="IG130" s="675">
        <v>110</v>
      </c>
      <c r="IH130" s="675">
        <v>1147.2450000000001</v>
      </c>
      <c r="II130" s="675">
        <v>0</v>
      </c>
      <c r="IJ130" s="675">
        <v>1461.1120000000001</v>
      </c>
      <c r="IK130" s="675">
        <v>0</v>
      </c>
      <c r="IL130" s="675">
        <v>53</v>
      </c>
      <c r="IM130" s="675">
        <v>16</v>
      </c>
      <c r="IN130" s="675">
        <v>1</v>
      </c>
      <c r="IO130" s="675">
        <v>70</v>
      </c>
      <c r="IP130" s="675">
        <v>0</v>
      </c>
      <c r="IQ130" s="675">
        <v>1461.1120000000001</v>
      </c>
      <c r="IR130" s="675">
        <v>900041</v>
      </c>
      <c r="IS130" s="675">
        <v>0</v>
      </c>
      <c r="IT130" s="675">
        <v>265000</v>
      </c>
      <c r="IU130" s="675">
        <v>48000</v>
      </c>
      <c r="IV130" s="675">
        <v>2000</v>
      </c>
      <c r="IW130" s="675">
        <v>6160</v>
      </c>
      <c r="IX130" s="675">
        <v>0</v>
      </c>
      <c r="IY130" s="675">
        <v>0</v>
      </c>
      <c r="IZ130" s="675">
        <v>0</v>
      </c>
      <c r="JA130" s="675">
        <v>0</v>
      </c>
      <c r="JB130" s="675">
        <v>4</v>
      </c>
      <c r="JC130" s="675">
        <v>86040</v>
      </c>
      <c r="JD130" s="675">
        <v>35</v>
      </c>
      <c r="JE130" s="675">
        <v>420993</v>
      </c>
      <c r="JF130" s="675">
        <v>29</v>
      </c>
      <c r="JG130" s="675">
        <v>175430</v>
      </c>
      <c r="JH130" s="675">
        <v>14500</v>
      </c>
      <c r="JI130" s="675">
        <v>0</v>
      </c>
      <c r="JJ130" s="675">
        <v>0</v>
      </c>
      <c r="JK130" s="675">
        <v>0</v>
      </c>
      <c r="JL130" s="675">
        <v>0</v>
      </c>
      <c r="JM130" s="675">
        <v>0</v>
      </c>
      <c r="JN130" s="675">
        <v>32469</v>
      </c>
      <c r="JO130" s="675">
        <v>10.816000000000001</v>
      </c>
      <c r="JP130" s="675">
        <v>114.708</v>
      </c>
      <c r="JQ130" s="675">
        <v>157.98500000000001</v>
      </c>
      <c r="JR130" s="675">
        <v>86412</v>
      </c>
      <c r="JS130" s="675">
        <v>1066399</v>
      </c>
      <c r="JT130" s="675">
        <v>1686744</v>
      </c>
      <c r="JU130" s="675">
        <v>82790</v>
      </c>
      <c r="JV130" s="675">
        <v>0</v>
      </c>
      <c r="JW130" s="675">
        <v>0</v>
      </c>
      <c r="JX130" s="675">
        <v>0</v>
      </c>
      <c r="JY130" s="675">
        <v>0</v>
      </c>
      <c r="JZ130" s="675">
        <v>0</v>
      </c>
      <c r="KA130" s="675">
        <v>0</v>
      </c>
      <c r="KB130" s="675">
        <v>0</v>
      </c>
      <c r="KC130" s="675">
        <v>0</v>
      </c>
      <c r="KD130" s="675">
        <v>82790</v>
      </c>
      <c r="KE130" s="675">
        <v>7263</v>
      </c>
      <c r="KF130" s="675">
        <v>0</v>
      </c>
      <c r="KG130" s="675">
        <v>0</v>
      </c>
      <c r="KH130" s="675">
        <v>0</v>
      </c>
      <c r="KI130" s="675">
        <v>0</v>
      </c>
    </row>
    <row r="131" spans="1:295" ht="12.5" x14ac:dyDescent="0.25">
      <c r="A131" s="675">
        <v>35795</v>
      </c>
      <c r="B131" s="675">
        <v>57828</v>
      </c>
      <c r="C131" s="675">
        <v>7</v>
      </c>
      <c r="D131" s="675">
        <v>2022</v>
      </c>
      <c r="E131" s="675">
        <v>6160</v>
      </c>
      <c r="F131" s="675">
        <v>0</v>
      </c>
      <c r="G131" s="675">
        <v>805.29700000000003</v>
      </c>
      <c r="H131" s="675">
        <v>698.46400000000006</v>
      </c>
      <c r="I131" s="675">
        <v>698.46400000000006</v>
      </c>
      <c r="J131" s="675">
        <v>805.29700000000003</v>
      </c>
      <c r="K131" s="675">
        <v>0</v>
      </c>
      <c r="L131" s="675">
        <v>6160</v>
      </c>
      <c r="M131" s="675">
        <v>0</v>
      </c>
      <c r="N131" s="675">
        <v>0</v>
      </c>
      <c r="O131" s="675">
        <v>0</v>
      </c>
      <c r="P131" s="675">
        <v>969.577</v>
      </c>
      <c r="Q131" s="675">
        <v>0</v>
      </c>
      <c r="R131" s="675">
        <v>390185</v>
      </c>
      <c r="S131" s="675">
        <v>402.428</v>
      </c>
      <c r="T131" s="675">
        <v>0</v>
      </c>
      <c r="U131" s="675">
        <v>207491</v>
      </c>
      <c r="V131" s="675">
        <v>97.3</v>
      </c>
      <c r="W131" s="675">
        <v>59937</v>
      </c>
      <c r="X131" s="675">
        <v>59937</v>
      </c>
      <c r="Y131" s="675">
        <v>0</v>
      </c>
      <c r="Z131" s="675">
        <v>0</v>
      </c>
      <c r="AA131" s="675">
        <v>0</v>
      </c>
      <c r="AB131" s="675">
        <v>0</v>
      </c>
      <c r="AC131" s="675">
        <v>0</v>
      </c>
      <c r="AD131" s="675" t="s">
        <v>316</v>
      </c>
      <c r="AE131" s="675">
        <v>0</v>
      </c>
      <c r="AF131" s="675">
        <v>0</v>
      </c>
      <c r="AG131" s="675">
        <v>0</v>
      </c>
      <c r="AH131" s="675">
        <v>0</v>
      </c>
      <c r="AI131" s="675">
        <v>0</v>
      </c>
      <c r="AJ131" s="675">
        <v>6160</v>
      </c>
      <c r="AK131" s="675" t="s">
        <v>671</v>
      </c>
      <c r="AL131" s="675" t="s">
        <v>84</v>
      </c>
      <c r="AM131" s="675">
        <v>0</v>
      </c>
      <c r="AN131" s="675">
        <v>0</v>
      </c>
      <c r="AO131" s="675">
        <v>0</v>
      </c>
      <c r="AP131" s="675">
        <v>0</v>
      </c>
      <c r="AQ131" s="675">
        <v>0</v>
      </c>
      <c r="AR131" s="675">
        <v>0</v>
      </c>
      <c r="AS131" s="675">
        <v>0</v>
      </c>
      <c r="AT131" s="675">
        <v>0</v>
      </c>
      <c r="AU131" s="675">
        <v>0</v>
      </c>
      <c r="AV131" s="675">
        <v>-157630</v>
      </c>
      <c r="AW131" s="675">
        <v>8774089</v>
      </c>
      <c r="AX131" s="675">
        <v>8634703</v>
      </c>
      <c r="AY131" s="675">
        <v>5407615</v>
      </c>
      <c r="AZ131" s="675">
        <v>390185</v>
      </c>
      <c r="BA131" s="675">
        <v>0</v>
      </c>
      <c r="BB131" s="675">
        <v>0</v>
      </c>
      <c r="BC131" s="675">
        <v>0</v>
      </c>
      <c r="BD131" s="675">
        <v>0</v>
      </c>
      <c r="BE131" s="675">
        <v>0</v>
      </c>
      <c r="BF131" s="675">
        <v>7746564</v>
      </c>
      <c r="BG131" s="675">
        <v>0</v>
      </c>
      <c r="BH131" s="675">
        <v>0</v>
      </c>
      <c r="BI131" s="675">
        <v>0</v>
      </c>
      <c r="BJ131" s="675">
        <v>12</v>
      </c>
      <c r="BK131" s="675">
        <v>0</v>
      </c>
      <c r="BL131" s="675">
        <v>0</v>
      </c>
      <c r="BM131" s="675">
        <v>0</v>
      </c>
      <c r="BN131" s="675">
        <v>0</v>
      </c>
      <c r="BO131" s="675">
        <v>0</v>
      </c>
      <c r="BP131" s="675">
        <v>0</v>
      </c>
      <c r="BQ131" s="675">
        <v>662</v>
      </c>
      <c r="BR131" s="675">
        <v>0</v>
      </c>
      <c r="BS131" s="675">
        <v>0</v>
      </c>
      <c r="BT131" s="675">
        <v>0</v>
      </c>
      <c r="BU131" s="675">
        <v>0</v>
      </c>
      <c r="BV131" s="675">
        <v>0</v>
      </c>
      <c r="BW131" s="675">
        <v>0</v>
      </c>
      <c r="BX131" s="675">
        <v>0</v>
      </c>
      <c r="BY131" s="675">
        <v>0</v>
      </c>
      <c r="BZ131" s="675">
        <v>0</v>
      </c>
      <c r="CA131" s="675">
        <v>0</v>
      </c>
      <c r="CB131" s="675">
        <v>0</v>
      </c>
      <c r="CC131" s="675">
        <v>0</v>
      </c>
      <c r="CD131" s="675">
        <v>0</v>
      </c>
      <c r="CE131" s="675">
        <v>0</v>
      </c>
      <c r="CF131" s="675">
        <v>0</v>
      </c>
      <c r="CG131" s="675">
        <v>0</v>
      </c>
      <c r="CH131" s="675">
        <v>142180</v>
      </c>
      <c r="CI131" s="675">
        <v>0</v>
      </c>
      <c r="CJ131" s="675">
        <v>4</v>
      </c>
      <c r="CK131" s="675">
        <v>0</v>
      </c>
      <c r="CL131" s="675">
        <v>0</v>
      </c>
      <c r="CM131" s="675">
        <v>0</v>
      </c>
      <c r="CN131" s="675">
        <v>0</v>
      </c>
      <c r="CO131" s="675">
        <v>1</v>
      </c>
      <c r="CP131" s="675">
        <v>2.298</v>
      </c>
      <c r="CQ131" s="675">
        <v>0</v>
      </c>
      <c r="CR131" s="675">
        <v>911.01100000000008</v>
      </c>
      <c r="CS131" s="675">
        <v>0</v>
      </c>
      <c r="CT131" s="675">
        <v>0</v>
      </c>
      <c r="CU131" s="675">
        <v>0</v>
      </c>
      <c r="CV131" s="675">
        <v>0</v>
      </c>
      <c r="CW131" s="675">
        <v>0</v>
      </c>
      <c r="CX131" s="675">
        <v>0</v>
      </c>
      <c r="CY131" s="675">
        <v>0</v>
      </c>
      <c r="CZ131" s="675">
        <v>0</v>
      </c>
      <c r="DA131" s="675">
        <v>0</v>
      </c>
      <c r="DB131" s="675">
        <v>4081984</v>
      </c>
      <c r="DC131" s="675">
        <v>0</v>
      </c>
      <c r="DD131" s="675">
        <v>0</v>
      </c>
      <c r="DE131" s="675">
        <v>976586</v>
      </c>
      <c r="DF131" s="675">
        <v>1010701</v>
      </c>
      <c r="DG131" s="675">
        <v>158.53800000000001</v>
      </c>
      <c r="DH131" s="675">
        <v>0</v>
      </c>
      <c r="DI131" s="675">
        <v>34115</v>
      </c>
      <c r="DJ131" s="675">
        <v>0</v>
      </c>
      <c r="DK131" s="675">
        <v>2221</v>
      </c>
      <c r="DL131" s="675">
        <v>0</v>
      </c>
      <c r="DM131" s="675">
        <v>963390</v>
      </c>
      <c r="DN131" s="675">
        <v>2794</v>
      </c>
      <c r="DO131" s="675">
        <v>0</v>
      </c>
      <c r="DP131" s="675">
        <v>0</v>
      </c>
      <c r="DQ131" s="675">
        <v>0</v>
      </c>
      <c r="DR131" s="675">
        <v>0</v>
      </c>
      <c r="DS131" s="675">
        <v>0</v>
      </c>
      <c r="DT131" s="675">
        <v>0</v>
      </c>
      <c r="DU131" s="675">
        <v>0</v>
      </c>
      <c r="DV131" s="675">
        <v>0</v>
      </c>
      <c r="DW131" s="675">
        <v>0</v>
      </c>
      <c r="DX131" s="675">
        <v>0</v>
      </c>
      <c r="DY131" s="675">
        <v>0</v>
      </c>
      <c r="DZ131" s="675">
        <v>0</v>
      </c>
      <c r="EA131" s="675">
        <v>0</v>
      </c>
      <c r="EB131" s="675">
        <v>0</v>
      </c>
      <c r="EC131" s="675">
        <v>58.298000000000002</v>
      </c>
      <c r="ED131" s="675">
        <v>412981</v>
      </c>
      <c r="EE131" s="675">
        <v>0</v>
      </c>
      <c r="EF131" s="675">
        <v>0</v>
      </c>
      <c r="EG131" s="675">
        <v>0</v>
      </c>
      <c r="EH131" s="675">
        <v>332669</v>
      </c>
      <c r="EI131" s="675">
        <v>0</v>
      </c>
      <c r="EJ131" s="675">
        <v>0</v>
      </c>
      <c r="EK131" s="675">
        <v>17.725000000000001</v>
      </c>
      <c r="EL131" s="675">
        <v>0</v>
      </c>
      <c r="EM131" s="675">
        <v>0</v>
      </c>
      <c r="EN131" s="675">
        <v>0.16600000000000001</v>
      </c>
      <c r="EO131" s="675">
        <v>0</v>
      </c>
      <c r="EP131" s="675">
        <v>0</v>
      </c>
      <c r="EQ131" s="675">
        <v>17.891000000000002</v>
      </c>
      <c r="ER131" s="675">
        <v>0</v>
      </c>
      <c r="ES131" s="675">
        <v>54.005000000000003</v>
      </c>
      <c r="ET131" s="675">
        <v>0</v>
      </c>
      <c r="EU131" s="675">
        <v>0</v>
      </c>
      <c r="EV131" s="675">
        <v>0</v>
      </c>
      <c r="EW131" s="675">
        <v>0</v>
      </c>
      <c r="EX131" s="675">
        <v>0</v>
      </c>
      <c r="EY131" s="675">
        <v>0</v>
      </c>
      <c r="EZ131" s="675">
        <v>7683743</v>
      </c>
      <c r="FA131" s="675">
        <v>0</v>
      </c>
      <c r="FB131" s="675">
        <v>8071134</v>
      </c>
      <c r="FC131" s="675">
        <v>0</v>
      </c>
      <c r="FD131" s="675">
        <v>0</v>
      </c>
      <c r="FE131" s="675">
        <v>787984</v>
      </c>
      <c r="FF131" s="675">
        <v>162976</v>
      </c>
      <c r="FG131" s="675">
        <v>6.3574999999999993E-2</v>
      </c>
      <c r="FH131" s="675">
        <v>2.6297999999999998E-2</v>
      </c>
      <c r="FI131" s="675">
        <v>0</v>
      </c>
      <c r="FJ131" s="675">
        <v>0</v>
      </c>
      <c r="FK131" s="675">
        <v>1257.5650000000001</v>
      </c>
      <c r="FL131" s="675">
        <v>9164274</v>
      </c>
      <c r="FM131" s="675">
        <v>0</v>
      </c>
      <c r="FN131" s="675">
        <v>0</v>
      </c>
      <c r="FO131" s="675">
        <v>46806</v>
      </c>
      <c r="FP131" s="675">
        <v>0</v>
      </c>
      <c r="FQ131" s="675">
        <v>46806</v>
      </c>
      <c r="FR131" s="675">
        <v>46806</v>
      </c>
      <c r="FS131" s="675">
        <v>0</v>
      </c>
      <c r="FT131" s="675">
        <v>0</v>
      </c>
      <c r="FU131" s="675">
        <v>0</v>
      </c>
      <c r="FV131" s="675">
        <v>0</v>
      </c>
      <c r="FW131" s="675">
        <v>0</v>
      </c>
      <c r="FX131" s="675">
        <v>0</v>
      </c>
      <c r="FY131" s="675">
        <v>0</v>
      </c>
      <c r="FZ131" s="675">
        <v>0</v>
      </c>
      <c r="GA131" s="675">
        <v>0</v>
      </c>
      <c r="GB131" s="675">
        <v>818109</v>
      </c>
      <c r="GC131" s="675">
        <v>818109</v>
      </c>
      <c r="GD131" s="675">
        <v>88.942000000000007</v>
      </c>
      <c r="GE131" s="675">
        <v>0</v>
      </c>
      <c r="GF131" s="675">
        <v>0</v>
      </c>
      <c r="GG131" s="675">
        <v>0</v>
      </c>
      <c r="GH131" s="675">
        <v>0</v>
      </c>
      <c r="GI131" s="675">
        <v>0</v>
      </c>
      <c r="GJ131" s="675">
        <v>0</v>
      </c>
      <c r="GK131" s="675">
        <v>0</v>
      </c>
      <c r="GL131" s="675">
        <v>0</v>
      </c>
      <c r="GM131" s="675">
        <v>0</v>
      </c>
      <c r="GN131" s="675">
        <v>0</v>
      </c>
      <c r="GO131" s="675">
        <v>0</v>
      </c>
      <c r="GP131" s="675">
        <v>0</v>
      </c>
      <c r="GQ131" s="675">
        <v>0</v>
      </c>
      <c r="GR131" s="675">
        <v>0</v>
      </c>
      <c r="GS131" s="675">
        <v>0</v>
      </c>
      <c r="GT131" s="675">
        <v>0</v>
      </c>
      <c r="GU131" s="675">
        <v>0</v>
      </c>
      <c r="GV131" s="675">
        <v>0</v>
      </c>
      <c r="GW131" s="675">
        <v>0</v>
      </c>
      <c r="GX131" s="675">
        <v>0</v>
      </c>
      <c r="GY131" s="675">
        <v>0</v>
      </c>
      <c r="GZ131" s="675">
        <v>0</v>
      </c>
      <c r="HA131" s="675">
        <v>0</v>
      </c>
      <c r="HB131" s="675">
        <v>308877260</v>
      </c>
      <c r="HC131" s="675">
        <v>4.4138999999999998E-2</v>
      </c>
      <c r="HD131" s="675">
        <v>142180</v>
      </c>
      <c r="HE131" s="675">
        <v>0</v>
      </c>
      <c r="HF131" s="675">
        <v>770406</v>
      </c>
      <c r="HG131" s="675">
        <v>31416</v>
      </c>
      <c r="HH131" s="675">
        <v>0</v>
      </c>
      <c r="HI131" s="675">
        <v>0</v>
      </c>
      <c r="HJ131" s="675">
        <v>7827</v>
      </c>
      <c r="HK131" s="675">
        <v>12177</v>
      </c>
      <c r="HL131" s="675">
        <v>13236</v>
      </c>
      <c r="HM131" s="675">
        <v>0</v>
      </c>
      <c r="HN131" s="675">
        <v>0</v>
      </c>
      <c r="HO131" s="675">
        <v>0</v>
      </c>
      <c r="HP131" s="675">
        <v>255145</v>
      </c>
      <c r="HQ131" s="675">
        <v>0</v>
      </c>
      <c r="HR131" s="675">
        <v>0</v>
      </c>
      <c r="HS131" s="675">
        <v>7680949</v>
      </c>
      <c r="HT131" s="675">
        <v>162976</v>
      </c>
      <c r="HU131" s="675">
        <v>0</v>
      </c>
      <c r="HV131" s="675">
        <v>0</v>
      </c>
      <c r="HW131" s="675">
        <v>0</v>
      </c>
      <c r="HX131" s="675">
        <v>123</v>
      </c>
      <c r="HY131" s="675">
        <v>117</v>
      </c>
      <c r="HZ131" s="675">
        <v>95</v>
      </c>
      <c r="IA131" s="675">
        <v>144</v>
      </c>
      <c r="IB131" s="675">
        <v>151</v>
      </c>
      <c r="IC131" s="675">
        <v>630</v>
      </c>
      <c r="ID131" s="675">
        <v>0</v>
      </c>
      <c r="IE131" s="675">
        <v>0</v>
      </c>
      <c r="IF131" s="675">
        <v>0</v>
      </c>
      <c r="IG131" s="675">
        <v>51</v>
      </c>
      <c r="IH131" s="675">
        <v>0</v>
      </c>
      <c r="II131" s="675">
        <v>927.80100000000004</v>
      </c>
      <c r="IJ131" s="675">
        <v>97.3</v>
      </c>
      <c r="IK131" s="675">
        <v>0</v>
      </c>
      <c r="IL131" s="675">
        <v>0</v>
      </c>
      <c r="IM131" s="675">
        <v>0</v>
      </c>
      <c r="IN131" s="675">
        <v>0</v>
      </c>
      <c r="IO131" s="675">
        <v>0</v>
      </c>
      <c r="IP131" s="675">
        <v>927.80100000000004</v>
      </c>
      <c r="IQ131" s="675">
        <v>97.3</v>
      </c>
      <c r="IR131" s="675">
        <v>59937</v>
      </c>
      <c r="IS131" s="675">
        <v>0</v>
      </c>
      <c r="IT131" s="675">
        <v>0</v>
      </c>
      <c r="IU131" s="675">
        <v>0</v>
      </c>
      <c r="IV131" s="675">
        <v>0</v>
      </c>
      <c r="IW131" s="675">
        <v>6160</v>
      </c>
      <c r="IX131" s="675">
        <v>0</v>
      </c>
      <c r="IY131" s="675">
        <v>0</v>
      </c>
      <c r="IZ131" s="675">
        <v>255145</v>
      </c>
      <c r="JA131" s="675">
        <v>0</v>
      </c>
      <c r="JB131" s="675">
        <v>0</v>
      </c>
      <c r="JC131" s="675">
        <v>0</v>
      </c>
      <c r="JD131" s="675">
        <v>0</v>
      </c>
      <c r="JE131" s="675">
        <v>0</v>
      </c>
      <c r="JF131" s="675">
        <v>0</v>
      </c>
      <c r="JG131" s="675">
        <v>0</v>
      </c>
      <c r="JH131" s="675">
        <v>0</v>
      </c>
      <c r="JI131" s="675">
        <v>0</v>
      </c>
      <c r="JJ131" s="675">
        <v>0</v>
      </c>
      <c r="JK131" s="675">
        <v>0</v>
      </c>
      <c r="JL131" s="675">
        <v>0</v>
      </c>
      <c r="JM131" s="675">
        <v>0</v>
      </c>
      <c r="JN131" s="675">
        <v>32469</v>
      </c>
      <c r="JO131" s="675">
        <v>19.95</v>
      </c>
      <c r="JP131" s="675">
        <v>56.435000000000002</v>
      </c>
      <c r="JQ131" s="675">
        <v>12.557</v>
      </c>
      <c r="JR131" s="675">
        <v>159387</v>
      </c>
      <c r="JS131" s="675">
        <v>524656</v>
      </c>
      <c r="JT131" s="675">
        <v>134066</v>
      </c>
      <c r="JU131" s="675">
        <v>0</v>
      </c>
      <c r="JV131" s="675">
        <v>0</v>
      </c>
      <c r="JW131" s="675">
        <v>0</v>
      </c>
      <c r="JX131" s="675">
        <v>0</v>
      </c>
      <c r="JY131" s="675">
        <v>0</v>
      </c>
      <c r="JZ131" s="675">
        <v>0</v>
      </c>
      <c r="KA131" s="675">
        <v>0</v>
      </c>
      <c r="KB131" s="675">
        <v>0</v>
      </c>
      <c r="KC131" s="675">
        <v>0</v>
      </c>
      <c r="KD131" s="675">
        <v>0</v>
      </c>
      <c r="KE131" s="675">
        <v>7263</v>
      </c>
      <c r="KF131" s="675">
        <v>0</v>
      </c>
      <c r="KG131" s="675">
        <v>0</v>
      </c>
      <c r="KH131" s="675">
        <v>0</v>
      </c>
      <c r="KI131" s="675">
        <v>0</v>
      </c>
    </row>
    <row r="132" spans="1:295" ht="12.5" x14ac:dyDescent="0.25">
      <c r="A132" s="675">
        <v>35795</v>
      </c>
      <c r="B132" s="675">
        <v>101828</v>
      </c>
      <c r="C132" s="675">
        <v>7</v>
      </c>
      <c r="D132" s="675">
        <v>2022</v>
      </c>
      <c r="E132" s="675">
        <v>6160</v>
      </c>
      <c r="F132" s="675">
        <v>0</v>
      </c>
      <c r="G132" s="675">
        <v>1864.499</v>
      </c>
      <c r="H132" s="675">
        <v>1782.2270000000001</v>
      </c>
      <c r="I132" s="675">
        <v>1782.2270000000001</v>
      </c>
      <c r="J132" s="675">
        <v>1864.499</v>
      </c>
      <c r="K132" s="675">
        <v>0</v>
      </c>
      <c r="L132" s="675">
        <v>6160</v>
      </c>
      <c r="M132" s="675">
        <v>0</v>
      </c>
      <c r="N132" s="675">
        <v>0</v>
      </c>
      <c r="O132" s="675">
        <v>0</v>
      </c>
      <c r="P132" s="675">
        <v>2013.652</v>
      </c>
      <c r="Q132" s="675">
        <v>0</v>
      </c>
      <c r="R132" s="675">
        <v>810350</v>
      </c>
      <c r="S132" s="675">
        <v>402.428</v>
      </c>
      <c r="T132" s="675">
        <v>0</v>
      </c>
      <c r="U132" s="675">
        <v>430924</v>
      </c>
      <c r="V132" s="675">
        <v>765.59800000000007</v>
      </c>
      <c r="W132" s="675">
        <v>698671</v>
      </c>
      <c r="X132" s="675">
        <v>698671</v>
      </c>
      <c r="Y132" s="675">
        <v>0</v>
      </c>
      <c r="Z132" s="675">
        <v>0</v>
      </c>
      <c r="AA132" s="675">
        <v>0</v>
      </c>
      <c r="AB132" s="675">
        <v>0</v>
      </c>
      <c r="AC132" s="675">
        <v>0</v>
      </c>
      <c r="AD132" s="675" t="s">
        <v>316</v>
      </c>
      <c r="AE132" s="675">
        <v>0</v>
      </c>
      <c r="AF132" s="675">
        <v>0</v>
      </c>
      <c r="AG132" s="675">
        <v>0</v>
      </c>
      <c r="AH132" s="675">
        <v>0</v>
      </c>
      <c r="AI132" s="675">
        <v>0</v>
      </c>
      <c r="AJ132" s="675">
        <v>6160</v>
      </c>
      <c r="AK132" s="675" t="s">
        <v>671</v>
      </c>
      <c r="AL132" s="675" t="s">
        <v>348</v>
      </c>
      <c r="AM132" s="675">
        <v>0</v>
      </c>
      <c r="AN132" s="675">
        <v>0</v>
      </c>
      <c r="AO132" s="675">
        <v>0</v>
      </c>
      <c r="AP132" s="675">
        <v>0</v>
      </c>
      <c r="AQ132" s="675">
        <v>0</v>
      </c>
      <c r="AR132" s="675">
        <v>0</v>
      </c>
      <c r="AS132" s="675">
        <v>0</v>
      </c>
      <c r="AT132" s="675">
        <v>0</v>
      </c>
      <c r="AU132" s="675">
        <v>0</v>
      </c>
      <c r="AV132" s="675">
        <v>-21569</v>
      </c>
      <c r="AW132" s="675">
        <v>20169607</v>
      </c>
      <c r="AX132" s="675">
        <v>19842569</v>
      </c>
      <c r="AY132" s="675">
        <v>14119958</v>
      </c>
      <c r="AZ132" s="675">
        <v>810350</v>
      </c>
      <c r="BA132" s="675">
        <v>0</v>
      </c>
      <c r="BB132" s="675">
        <v>0</v>
      </c>
      <c r="BC132" s="675">
        <v>0</v>
      </c>
      <c r="BD132" s="675">
        <v>0</v>
      </c>
      <c r="BE132" s="675">
        <v>0</v>
      </c>
      <c r="BF132" s="675">
        <v>18390328</v>
      </c>
      <c r="BG132" s="675">
        <v>0</v>
      </c>
      <c r="BH132" s="675">
        <v>0</v>
      </c>
      <c r="BI132" s="675">
        <v>0</v>
      </c>
      <c r="BJ132" s="675">
        <v>12</v>
      </c>
      <c r="BK132" s="675">
        <v>0</v>
      </c>
      <c r="BL132" s="675">
        <v>0</v>
      </c>
      <c r="BM132" s="675">
        <v>0</v>
      </c>
      <c r="BN132" s="675">
        <v>0</v>
      </c>
      <c r="BO132" s="675">
        <v>0</v>
      </c>
      <c r="BP132" s="675">
        <v>0</v>
      </c>
      <c r="BQ132" s="675">
        <v>496</v>
      </c>
      <c r="BR132" s="675">
        <v>0</v>
      </c>
      <c r="BS132" s="675">
        <v>0</v>
      </c>
      <c r="BT132" s="675">
        <v>0</v>
      </c>
      <c r="BU132" s="675">
        <v>0</v>
      </c>
      <c r="BV132" s="675">
        <v>0</v>
      </c>
      <c r="BW132" s="675">
        <v>0</v>
      </c>
      <c r="BX132" s="675">
        <v>0</v>
      </c>
      <c r="BY132" s="675">
        <v>0</v>
      </c>
      <c r="BZ132" s="675">
        <v>0</v>
      </c>
      <c r="CA132" s="675">
        <v>0</v>
      </c>
      <c r="CB132" s="675">
        <v>0</v>
      </c>
      <c r="CC132" s="675">
        <v>0</v>
      </c>
      <c r="CD132" s="675">
        <v>0</v>
      </c>
      <c r="CE132" s="675">
        <v>0</v>
      </c>
      <c r="CF132" s="675">
        <v>0</v>
      </c>
      <c r="CG132" s="675">
        <v>0</v>
      </c>
      <c r="CH132" s="675">
        <v>329188</v>
      </c>
      <c r="CI132" s="675">
        <v>0</v>
      </c>
      <c r="CJ132" s="675">
        <v>4</v>
      </c>
      <c r="CK132" s="675">
        <v>0</v>
      </c>
      <c r="CL132" s="675">
        <v>0</v>
      </c>
      <c r="CM132" s="675">
        <v>0</v>
      </c>
      <c r="CN132" s="675">
        <v>0</v>
      </c>
      <c r="CO132" s="675">
        <v>1</v>
      </c>
      <c r="CP132" s="675">
        <v>0</v>
      </c>
      <c r="CQ132" s="675">
        <v>0</v>
      </c>
      <c r="CR132" s="675">
        <v>2063.569</v>
      </c>
      <c r="CS132" s="675">
        <v>0</v>
      </c>
      <c r="CT132" s="675">
        <v>0</v>
      </c>
      <c r="CU132" s="675">
        <v>0</v>
      </c>
      <c r="CV132" s="675">
        <v>0</v>
      </c>
      <c r="CW132" s="675">
        <v>0</v>
      </c>
      <c r="CX132" s="675">
        <v>0</v>
      </c>
      <c r="CY132" s="675">
        <v>0</v>
      </c>
      <c r="CZ132" s="675">
        <v>0</v>
      </c>
      <c r="DA132" s="675">
        <v>0</v>
      </c>
      <c r="DB132" s="675">
        <v>10978467</v>
      </c>
      <c r="DC132" s="675">
        <v>0</v>
      </c>
      <c r="DD132" s="675">
        <v>0</v>
      </c>
      <c r="DE132" s="675">
        <v>2988433</v>
      </c>
      <c r="DF132" s="675">
        <v>2988433</v>
      </c>
      <c r="DG132" s="675">
        <v>485.13800000000003</v>
      </c>
      <c r="DH132" s="675">
        <v>0</v>
      </c>
      <c r="DI132" s="675">
        <v>0</v>
      </c>
      <c r="DJ132" s="675">
        <v>0</v>
      </c>
      <c r="DK132" s="675">
        <v>0</v>
      </c>
      <c r="DL132" s="675">
        <v>0</v>
      </c>
      <c r="DM132" s="675">
        <v>571476</v>
      </c>
      <c r="DN132" s="675">
        <v>2150</v>
      </c>
      <c r="DO132" s="675">
        <v>0</v>
      </c>
      <c r="DP132" s="675">
        <v>0</v>
      </c>
      <c r="DQ132" s="675">
        <v>0</v>
      </c>
      <c r="DR132" s="675">
        <v>0</v>
      </c>
      <c r="DS132" s="675">
        <v>0</v>
      </c>
      <c r="DT132" s="675">
        <v>0</v>
      </c>
      <c r="DU132" s="675">
        <v>0</v>
      </c>
      <c r="DV132" s="675">
        <v>0</v>
      </c>
      <c r="DW132" s="675">
        <v>0</v>
      </c>
      <c r="DX132" s="675">
        <v>0</v>
      </c>
      <c r="DY132" s="675">
        <v>0</v>
      </c>
      <c r="DZ132" s="675">
        <v>0</v>
      </c>
      <c r="EA132" s="675">
        <v>0</v>
      </c>
      <c r="EB132" s="675">
        <v>0</v>
      </c>
      <c r="EC132" s="675">
        <v>1.4570000000000001</v>
      </c>
      <c r="ED132" s="675">
        <v>10321</v>
      </c>
      <c r="EE132" s="675">
        <v>0</v>
      </c>
      <c r="EF132" s="675">
        <v>0</v>
      </c>
      <c r="EG132" s="675">
        <v>0</v>
      </c>
      <c r="EH132" s="675">
        <v>563305</v>
      </c>
      <c r="EI132" s="675">
        <v>0</v>
      </c>
      <c r="EJ132" s="675">
        <v>0</v>
      </c>
      <c r="EK132" s="675">
        <v>26.159000000000002</v>
      </c>
      <c r="EL132" s="675">
        <v>0</v>
      </c>
      <c r="EM132" s="675">
        <v>2.1779999999999999</v>
      </c>
      <c r="EN132" s="675">
        <v>1.2870000000000001</v>
      </c>
      <c r="EO132" s="675">
        <v>0</v>
      </c>
      <c r="EP132" s="675">
        <v>0</v>
      </c>
      <c r="EQ132" s="675">
        <v>29.624000000000002</v>
      </c>
      <c r="ER132" s="675">
        <v>0</v>
      </c>
      <c r="ES132" s="675">
        <v>91.445999999999998</v>
      </c>
      <c r="ET132" s="675">
        <v>0</v>
      </c>
      <c r="EU132" s="675">
        <v>0</v>
      </c>
      <c r="EV132" s="675">
        <v>0</v>
      </c>
      <c r="EW132" s="675">
        <v>0</v>
      </c>
      <c r="EX132" s="675">
        <v>0</v>
      </c>
      <c r="EY132" s="675">
        <v>0</v>
      </c>
      <c r="EZ132" s="675">
        <v>17584991</v>
      </c>
      <c r="FA132" s="675">
        <v>0</v>
      </c>
      <c r="FB132" s="675">
        <v>18393191</v>
      </c>
      <c r="FC132" s="675">
        <v>0</v>
      </c>
      <c r="FD132" s="675">
        <v>0</v>
      </c>
      <c r="FE132" s="675">
        <v>1870673</v>
      </c>
      <c r="FF132" s="675">
        <v>386905</v>
      </c>
      <c r="FG132" s="675">
        <v>6.3574999999999993E-2</v>
      </c>
      <c r="FH132" s="675">
        <v>2.6297999999999998E-2</v>
      </c>
      <c r="FI132" s="675">
        <v>0</v>
      </c>
      <c r="FJ132" s="675">
        <v>0</v>
      </c>
      <c r="FK132" s="675">
        <v>2985.4570000000003</v>
      </c>
      <c r="FL132" s="675">
        <v>20979957</v>
      </c>
      <c r="FM132" s="675">
        <v>0</v>
      </c>
      <c r="FN132" s="675">
        <v>0</v>
      </c>
      <c r="FO132" s="675">
        <v>0</v>
      </c>
      <c r="FP132" s="675">
        <v>0</v>
      </c>
      <c r="FQ132" s="675">
        <v>0</v>
      </c>
      <c r="FR132" s="675">
        <v>0</v>
      </c>
      <c r="FS132" s="675">
        <v>0</v>
      </c>
      <c r="FT132" s="675">
        <v>0</v>
      </c>
      <c r="FU132" s="675">
        <v>0</v>
      </c>
      <c r="FV132" s="675">
        <v>0</v>
      </c>
      <c r="FW132" s="675">
        <v>0</v>
      </c>
      <c r="FX132" s="675">
        <v>0</v>
      </c>
      <c r="FY132" s="675">
        <v>0</v>
      </c>
      <c r="FZ132" s="675">
        <v>0</v>
      </c>
      <c r="GA132" s="675">
        <v>0</v>
      </c>
      <c r="GB132" s="675">
        <v>465793</v>
      </c>
      <c r="GC132" s="675">
        <v>465793</v>
      </c>
      <c r="GD132" s="675">
        <v>52.648000000000003</v>
      </c>
      <c r="GE132" s="675">
        <v>0</v>
      </c>
      <c r="GF132" s="675">
        <v>0</v>
      </c>
      <c r="GG132" s="675">
        <v>0</v>
      </c>
      <c r="GH132" s="675">
        <v>0</v>
      </c>
      <c r="GI132" s="675">
        <v>0</v>
      </c>
      <c r="GJ132" s="675">
        <v>0</v>
      </c>
      <c r="GK132" s="675">
        <v>0</v>
      </c>
      <c r="GL132" s="675">
        <v>0</v>
      </c>
      <c r="GM132" s="675">
        <v>0</v>
      </c>
      <c r="GN132" s="675">
        <v>0</v>
      </c>
      <c r="GO132" s="675">
        <v>0</v>
      </c>
      <c r="GP132" s="675">
        <v>0</v>
      </c>
      <c r="GQ132" s="675">
        <v>0</v>
      </c>
      <c r="GR132" s="675">
        <v>0</v>
      </c>
      <c r="GS132" s="675">
        <v>0</v>
      </c>
      <c r="GT132" s="675">
        <v>0</v>
      </c>
      <c r="GU132" s="675">
        <v>0</v>
      </c>
      <c r="GV132" s="675">
        <v>0</v>
      </c>
      <c r="GW132" s="675">
        <v>0</v>
      </c>
      <c r="GX132" s="675">
        <v>0</v>
      </c>
      <c r="GY132" s="675">
        <v>0</v>
      </c>
      <c r="GZ132" s="675">
        <v>0</v>
      </c>
      <c r="HA132" s="675">
        <v>0</v>
      </c>
      <c r="HB132" s="675">
        <v>308877260</v>
      </c>
      <c r="HC132" s="675">
        <v>4.4138999999999998E-2</v>
      </c>
      <c r="HD132" s="675">
        <v>329188</v>
      </c>
      <c r="HE132" s="675">
        <v>0</v>
      </c>
      <c r="HF132" s="675">
        <v>1965796</v>
      </c>
      <c r="HG132" s="675">
        <v>13552</v>
      </c>
      <c r="HH132" s="675">
        <v>622867</v>
      </c>
      <c r="HI132" s="675">
        <v>0</v>
      </c>
      <c r="HJ132" s="675">
        <v>18123</v>
      </c>
      <c r="HK132" s="675">
        <v>5013</v>
      </c>
      <c r="HL132" s="675">
        <v>0</v>
      </c>
      <c r="HM132" s="675">
        <v>65000</v>
      </c>
      <c r="HN132" s="675">
        <v>0</v>
      </c>
      <c r="HO132" s="675">
        <v>0</v>
      </c>
      <c r="HP132" s="675">
        <v>0</v>
      </c>
      <c r="HQ132" s="675">
        <v>0</v>
      </c>
      <c r="HR132" s="675">
        <v>0</v>
      </c>
      <c r="HS132" s="675">
        <v>17582841</v>
      </c>
      <c r="HT132" s="675">
        <v>386905</v>
      </c>
      <c r="HU132" s="675">
        <v>0</v>
      </c>
      <c r="HV132" s="675">
        <v>0</v>
      </c>
      <c r="HW132" s="675">
        <v>0</v>
      </c>
      <c r="HX132" s="675">
        <v>40</v>
      </c>
      <c r="HY132" s="675">
        <v>152</v>
      </c>
      <c r="HZ132" s="675">
        <v>347</v>
      </c>
      <c r="IA132" s="675">
        <v>623</v>
      </c>
      <c r="IB132" s="675">
        <v>690</v>
      </c>
      <c r="IC132" s="675">
        <v>1852</v>
      </c>
      <c r="ID132" s="675">
        <v>0</v>
      </c>
      <c r="IE132" s="675">
        <v>245.59900000000002</v>
      </c>
      <c r="IF132" s="675">
        <v>0.43099999999999999</v>
      </c>
      <c r="IG132" s="675">
        <v>22</v>
      </c>
      <c r="IH132" s="675">
        <v>1011.153</v>
      </c>
      <c r="II132" s="675">
        <v>0</v>
      </c>
      <c r="IJ132" s="675">
        <v>1011.628</v>
      </c>
      <c r="IK132" s="675">
        <v>0</v>
      </c>
      <c r="IL132" s="675">
        <v>13</v>
      </c>
      <c r="IM132" s="675">
        <v>0</v>
      </c>
      <c r="IN132" s="675">
        <v>0</v>
      </c>
      <c r="IO132" s="675">
        <v>13</v>
      </c>
      <c r="IP132" s="675">
        <v>0</v>
      </c>
      <c r="IQ132" s="675">
        <v>765.59800000000007</v>
      </c>
      <c r="IR132" s="675">
        <v>471606</v>
      </c>
      <c r="IS132" s="675">
        <v>0</v>
      </c>
      <c r="IT132" s="675">
        <v>65000</v>
      </c>
      <c r="IU132" s="675">
        <v>0</v>
      </c>
      <c r="IV132" s="675">
        <v>0</v>
      </c>
      <c r="IW132" s="675">
        <v>6160</v>
      </c>
      <c r="IX132" s="675">
        <v>226932</v>
      </c>
      <c r="IY132" s="675">
        <v>133</v>
      </c>
      <c r="IZ132" s="675">
        <v>0</v>
      </c>
      <c r="JA132" s="675">
        <v>0</v>
      </c>
      <c r="JB132" s="675">
        <v>0</v>
      </c>
      <c r="JC132" s="675">
        <v>0</v>
      </c>
      <c r="JD132" s="675">
        <v>0</v>
      </c>
      <c r="JE132" s="675">
        <v>0</v>
      </c>
      <c r="JF132" s="675">
        <v>0</v>
      </c>
      <c r="JG132" s="675">
        <v>0</v>
      </c>
      <c r="JH132" s="675">
        <v>0</v>
      </c>
      <c r="JI132" s="675">
        <v>0</v>
      </c>
      <c r="JJ132" s="675">
        <v>0</v>
      </c>
      <c r="JK132" s="675">
        <v>0</v>
      </c>
      <c r="JL132" s="675">
        <v>0</v>
      </c>
      <c r="JM132" s="675">
        <v>0</v>
      </c>
      <c r="JN132" s="675">
        <v>32469</v>
      </c>
      <c r="JO132" s="675">
        <v>27.268000000000001</v>
      </c>
      <c r="JP132" s="675">
        <v>16.690000000000001</v>
      </c>
      <c r="JQ132" s="675">
        <v>8.69</v>
      </c>
      <c r="JR132" s="675">
        <v>217852</v>
      </c>
      <c r="JS132" s="675">
        <v>155161</v>
      </c>
      <c r="JT132" s="675">
        <v>92780</v>
      </c>
      <c r="JU132" s="675">
        <v>0</v>
      </c>
      <c r="JV132" s="675">
        <v>0</v>
      </c>
      <c r="JW132" s="675">
        <v>0</v>
      </c>
      <c r="JX132" s="675">
        <v>0</v>
      </c>
      <c r="JY132" s="675">
        <v>0</v>
      </c>
      <c r="JZ132" s="675">
        <v>0</v>
      </c>
      <c r="KA132" s="675">
        <v>0</v>
      </c>
      <c r="KB132" s="675">
        <v>0</v>
      </c>
      <c r="KC132" s="675">
        <v>0</v>
      </c>
      <c r="KD132" s="675">
        <v>0</v>
      </c>
      <c r="KE132" s="675">
        <v>7263</v>
      </c>
      <c r="KF132" s="675">
        <v>0</v>
      </c>
      <c r="KG132" s="675">
        <v>0</v>
      </c>
      <c r="KH132" s="675">
        <v>0</v>
      </c>
      <c r="KI132" s="675">
        <v>0</v>
      </c>
    </row>
    <row r="133" spans="1:295" ht="12.5" x14ac:dyDescent="0.25">
      <c r="A133" s="675">
        <v>35795</v>
      </c>
      <c r="B133" s="675">
        <v>57829</v>
      </c>
      <c r="C133" s="675">
        <v>7</v>
      </c>
      <c r="D133" s="675">
        <v>2022</v>
      </c>
      <c r="E133" s="675">
        <v>6160</v>
      </c>
      <c r="F133" s="675">
        <v>0</v>
      </c>
      <c r="G133" s="675">
        <v>1408.258</v>
      </c>
      <c r="H133" s="675">
        <v>1277.961</v>
      </c>
      <c r="I133" s="675">
        <v>1277.961</v>
      </c>
      <c r="J133" s="675">
        <v>1408.258</v>
      </c>
      <c r="K133" s="675">
        <v>0</v>
      </c>
      <c r="L133" s="675">
        <v>6160</v>
      </c>
      <c r="M133" s="675">
        <v>0</v>
      </c>
      <c r="N133" s="675">
        <v>0</v>
      </c>
      <c r="O133" s="675">
        <v>0</v>
      </c>
      <c r="P133" s="675">
        <v>1328.5420000000001</v>
      </c>
      <c r="Q133" s="675">
        <v>0</v>
      </c>
      <c r="R133" s="675">
        <v>534642</v>
      </c>
      <c r="S133" s="675">
        <v>402.428</v>
      </c>
      <c r="T133" s="675">
        <v>0</v>
      </c>
      <c r="U133" s="675">
        <v>284310</v>
      </c>
      <c r="V133" s="675">
        <v>677.09699999999998</v>
      </c>
      <c r="W133" s="675">
        <v>417090</v>
      </c>
      <c r="X133" s="675">
        <v>417090</v>
      </c>
      <c r="Y133" s="675">
        <v>0</v>
      </c>
      <c r="Z133" s="675">
        <v>0</v>
      </c>
      <c r="AA133" s="675">
        <v>0</v>
      </c>
      <c r="AB133" s="675">
        <v>0</v>
      </c>
      <c r="AC133" s="675">
        <v>0</v>
      </c>
      <c r="AD133" s="675" t="s">
        <v>316</v>
      </c>
      <c r="AE133" s="675">
        <v>0</v>
      </c>
      <c r="AF133" s="675">
        <v>0</v>
      </c>
      <c r="AG133" s="675">
        <v>0</v>
      </c>
      <c r="AH133" s="675">
        <v>0</v>
      </c>
      <c r="AI133" s="675">
        <v>0</v>
      </c>
      <c r="AJ133" s="675">
        <v>6160</v>
      </c>
      <c r="AK133" s="675" t="s">
        <v>671</v>
      </c>
      <c r="AL133" s="675" t="s">
        <v>45</v>
      </c>
      <c r="AM133" s="675">
        <v>0</v>
      </c>
      <c r="AN133" s="675">
        <v>0</v>
      </c>
      <c r="AO133" s="675">
        <v>0</v>
      </c>
      <c r="AP133" s="675">
        <v>0</v>
      </c>
      <c r="AQ133" s="675">
        <v>0</v>
      </c>
      <c r="AR133" s="675">
        <v>0</v>
      </c>
      <c r="AS133" s="675">
        <v>0</v>
      </c>
      <c r="AT133" s="675">
        <v>0</v>
      </c>
      <c r="AU133" s="675">
        <v>0</v>
      </c>
      <c r="AV133" s="675">
        <v>0</v>
      </c>
      <c r="AW133" s="675">
        <v>15848806</v>
      </c>
      <c r="AX133" s="675">
        <v>15604234</v>
      </c>
      <c r="AY133" s="675">
        <v>10073138</v>
      </c>
      <c r="AZ133" s="675">
        <v>534642</v>
      </c>
      <c r="BA133" s="675">
        <v>0</v>
      </c>
      <c r="BB133" s="675">
        <v>28890</v>
      </c>
      <c r="BC133" s="675">
        <v>28703</v>
      </c>
      <c r="BD133" s="675">
        <v>67</v>
      </c>
      <c r="BE133" s="675">
        <v>187</v>
      </c>
      <c r="BF133" s="675">
        <v>14366548</v>
      </c>
      <c r="BG133" s="675">
        <v>0</v>
      </c>
      <c r="BH133" s="675">
        <v>0</v>
      </c>
      <c r="BI133" s="675">
        <v>0</v>
      </c>
      <c r="BJ133" s="675">
        <v>12</v>
      </c>
      <c r="BK133" s="675">
        <v>0</v>
      </c>
      <c r="BL133" s="675">
        <v>0</v>
      </c>
      <c r="BM133" s="675">
        <v>0</v>
      </c>
      <c r="BN133" s="675">
        <v>0</v>
      </c>
      <c r="BO133" s="675">
        <v>0</v>
      </c>
      <c r="BP133" s="675">
        <v>0</v>
      </c>
      <c r="BQ133" s="675">
        <v>573</v>
      </c>
      <c r="BR133" s="675">
        <v>0</v>
      </c>
      <c r="BS133" s="675">
        <v>0</v>
      </c>
      <c r="BT133" s="675">
        <v>0</v>
      </c>
      <c r="BU133" s="675">
        <v>0</v>
      </c>
      <c r="BV133" s="675">
        <v>0</v>
      </c>
      <c r="BW133" s="675">
        <v>0</v>
      </c>
      <c r="BX133" s="675">
        <v>0</v>
      </c>
      <c r="BY133" s="675">
        <v>0</v>
      </c>
      <c r="BZ133" s="675">
        <v>0</v>
      </c>
      <c r="CA133" s="675">
        <v>0</v>
      </c>
      <c r="CB133" s="675">
        <v>0</v>
      </c>
      <c r="CC133" s="675">
        <v>0</v>
      </c>
      <c r="CD133" s="675">
        <v>0</v>
      </c>
      <c r="CE133" s="675">
        <v>0</v>
      </c>
      <c r="CF133" s="675">
        <v>0</v>
      </c>
      <c r="CG133" s="675">
        <v>0</v>
      </c>
      <c r="CH133" s="675">
        <v>248636</v>
      </c>
      <c r="CI133" s="675">
        <v>0</v>
      </c>
      <c r="CJ133" s="675">
        <v>4</v>
      </c>
      <c r="CK133" s="675">
        <v>0</v>
      </c>
      <c r="CL133" s="675">
        <v>0</v>
      </c>
      <c r="CM133" s="675">
        <v>0</v>
      </c>
      <c r="CN133" s="675">
        <v>0</v>
      </c>
      <c r="CO133" s="675">
        <v>1</v>
      </c>
      <c r="CP133" s="675">
        <v>0</v>
      </c>
      <c r="CQ133" s="675">
        <v>0</v>
      </c>
      <c r="CR133" s="675">
        <v>1285.8410000000001</v>
      </c>
      <c r="CS133" s="675">
        <v>0</v>
      </c>
      <c r="CT133" s="675">
        <v>0</v>
      </c>
      <c r="CU133" s="675">
        <v>0</v>
      </c>
      <c r="CV133" s="675">
        <v>0</v>
      </c>
      <c r="CW133" s="675">
        <v>0</v>
      </c>
      <c r="CX133" s="675">
        <v>0</v>
      </c>
      <c r="CY133" s="675">
        <v>0</v>
      </c>
      <c r="CZ133" s="675">
        <v>0</v>
      </c>
      <c r="DA133" s="675">
        <v>0</v>
      </c>
      <c r="DB133" s="675">
        <v>7872203</v>
      </c>
      <c r="DC133" s="675">
        <v>0</v>
      </c>
      <c r="DD133" s="675">
        <v>0</v>
      </c>
      <c r="DE133" s="675">
        <v>2298208</v>
      </c>
      <c r="DF133" s="675">
        <v>2298208</v>
      </c>
      <c r="DG133" s="675">
        <v>373.08800000000002</v>
      </c>
      <c r="DH133" s="675">
        <v>0</v>
      </c>
      <c r="DI133" s="675">
        <v>0</v>
      </c>
      <c r="DJ133" s="675">
        <v>0</v>
      </c>
      <c r="DK133" s="675">
        <v>794</v>
      </c>
      <c r="DL133" s="675">
        <v>0</v>
      </c>
      <c r="DM133" s="675">
        <v>1030657</v>
      </c>
      <c r="DN133" s="675">
        <v>3877</v>
      </c>
      <c r="DO133" s="675">
        <v>0</v>
      </c>
      <c r="DP133" s="675">
        <v>0</v>
      </c>
      <c r="DQ133" s="675">
        <v>0</v>
      </c>
      <c r="DR133" s="675">
        <v>0</v>
      </c>
      <c r="DS133" s="675">
        <v>0</v>
      </c>
      <c r="DT133" s="675">
        <v>0</v>
      </c>
      <c r="DU133" s="675">
        <v>0</v>
      </c>
      <c r="DV133" s="675">
        <v>0</v>
      </c>
      <c r="DW133" s="675">
        <v>0</v>
      </c>
      <c r="DX133" s="675">
        <v>0</v>
      </c>
      <c r="DY133" s="675">
        <v>0</v>
      </c>
      <c r="DZ133" s="675">
        <v>0</v>
      </c>
      <c r="EA133" s="675">
        <v>0.14300000000000002</v>
      </c>
      <c r="EB133" s="675">
        <v>0</v>
      </c>
      <c r="EC133" s="675">
        <v>56.177</v>
      </c>
      <c r="ED133" s="675">
        <v>397956</v>
      </c>
      <c r="EE133" s="675">
        <v>0</v>
      </c>
      <c r="EF133" s="675">
        <v>0</v>
      </c>
      <c r="EG133" s="675">
        <v>0</v>
      </c>
      <c r="EH133" s="675">
        <v>636578</v>
      </c>
      <c r="EI133" s="675">
        <v>0</v>
      </c>
      <c r="EJ133" s="675">
        <v>0</v>
      </c>
      <c r="EK133" s="675">
        <v>20.915000000000003</v>
      </c>
      <c r="EL133" s="675">
        <v>2.4E-2</v>
      </c>
      <c r="EM133" s="675">
        <v>8.157</v>
      </c>
      <c r="EN133" s="675">
        <v>3.0820000000000003</v>
      </c>
      <c r="EO133" s="675">
        <v>0</v>
      </c>
      <c r="EP133" s="675">
        <v>0</v>
      </c>
      <c r="EQ133" s="675">
        <v>32.297000000000004</v>
      </c>
      <c r="ER133" s="675">
        <v>0</v>
      </c>
      <c r="ES133" s="675">
        <v>103.34100000000001</v>
      </c>
      <c r="ET133" s="675">
        <v>0</v>
      </c>
      <c r="EU133" s="675">
        <v>0</v>
      </c>
      <c r="EV133" s="675">
        <v>0</v>
      </c>
      <c r="EW133" s="675">
        <v>0</v>
      </c>
      <c r="EX133" s="675">
        <v>0</v>
      </c>
      <c r="EY133" s="675">
        <v>0</v>
      </c>
      <c r="EZ133" s="675">
        <v>13840611</v>
      </c>
      <c r="FA133" s="675">
        <v>0</v>
      </c>
      <c r="FB133" s="675">
        <v>14371189</v>
      </c>
      <c r="FC133" s="675">
        <v>0</v>
      </c>
      <c r="FD133" s="675">
        <v>0</v>
      </c>
      <c r="FE133" s="675">
        <v>1461372</v>
      </c>
      <c r="FF133" s="675">
        <v>302251</v>
      </c>
      <c r="FG133" s="675">
        <v>6.3574999999999993E-2</v>
      </c>
      <c r="FH133" s="675">
        <v>2.6297999999999998E-2</v>
      </c>
      <c r="FI133" s="675">
        <v>0</v>
      </c>
      <c r="FJ133" s="675">
        <v>0</v>
      </c>
      <c r="FK133" s="675">
        <v>2332.2429999999999</v>
      </c>
      <c r="FL133" s="675">
        <v>16383448</v>
      </c>
      <c r="FM133" s="675">
        <v>0</v>
      </c>
      <c r="FN133" s="675">
        <v>0</v>
      </c>
      <c r="FO133" s="675">
        <v>0</v>
      </c>
      <c r="FP133" s="675">
        <v>0</v>
      </c>
      <c r="FQ133" s="675">
        <v>0</v>
      </c>
      <c r="FR133" s="675">
        <v>0</v>
      </c>
      <c r="FS133" s="675">
        <v>0</v>
      </c>
      <c r="FT133" s="675">
        <v>0</v>
      </c>
      <c r="FU133" s="675">
        <v>0</v>
      </c>
      <c r="FV133" s="675">
        <v>0</v>
      </c>
      <c r="FW133" s="675">
        <v>0</v>
      </c>
      <c r="FX133" s="675">
        <v>0</v>
      </c>
      <c r="FY133" s="675">
        <v>0</v>
      </c>
      <c r="FZ133" s="675">
        <v>0</v>
      </c>
      <c r="GA133" s="675">
        <v>0</v>
      </c>
      <c r="GB133" s="675">
        <v>934145</v>
      </c>
      <c r="GC133" s="675">
        <v>934145</v>
      </c>
      <c r="GD133" s="675">
        <v>98</v>
      </c>
      <c r="GE133" s="675">
        <v>0</v>
      </c>
      <c r="GF133" s="675">
        <v>0</v>
      </c>
      <c r="GG133" s="675">
        <v>0</v>
      </c>
      <c r="GH133" s="675">
        <v>0</v>
      </c>
      <c r="GI133" s="675">
        <v>0</v>
      </c>
      <c r="GJ133" s="675">
        <v>0</v>
      </c>
      <c r="GK133" s="675">
        <v>0</v>
      </c>
      <c r="GL133" s="675">
        <v>0</v>
      </c>
      <c r="GM133" s="675">
        <v>0</v>
      </c>
      <c r="GN133" s="675">
        <v>0</v>
      </c>
      <c r="GO133" s="675">
        <v>0</v>
      </c>
      <c r="GP133" s="675">
        <v>0</v>
      </c>
      <c r="GQ133" s="675">
        <v>0</v>
      </c>
      <c r="GR133" s="675">
        <v>0</v>
      </c>
      <c r="GS133" s="675">
        <v>0</v>
      </c>
      <c r="GT133" s="675">
        <v>0</v>
      </c>
      <c r="GU133" s="675">
        <v>0</v>
      </c>
      <c r="GV133" s="675">
        <v>0</v>
      </c>
      <c r="GW133" s="675">
        <v>0</v>
      </c>
      <c r="GX133" s="675">
        <v>0</v>
      </c>
      <c r="GY133" s="675">
        <v>0</v>
      </c>
      <c r="GZ133" s="675">
        <v>0</v>
      </c>
      <c r="HA133" s="675">
        <v>0</v>
      </c>
      <c r="HB133" s="675">
        <v>308877260</v>
      </c>
      <c r="HC133" s="675">
        <v>4.4138999999999998E-2</v>
      </c>
      <c r="HD133" s="675">
        <v>248636</v>
      </c>
      <c r="HE133" s="675">
        <v>0</v>
      </c>
      <c r="HF133" s="675">
        <v>1409591</v>
      </c>
      <c r="HG133" s="675">
        <v>21815</v>
      </c>
      <c r="HH133" s="675">
        <v>286384</v>
      </c>
      <c r="HI133" s="675">
        <v>0</v>
      </c>
      <c r="HJ133" s="675">
        <v>13688</v>
      </c>
      <c r="HK133" s="675">
        <v>4842</v>
      </c>
      <c r="HL133" s="675">
        <v>3863</v>
      </c>
      <c r="HM133" s="675">
        <v>50000</v>
      </c>
      <c r="HN133" s="675">
        <v>0</v>
      </c>
      <c r="HO133" s="675">
        <v>0</v>
      </c>
      <c r="HP133" s="675">
        <v>0</v>
      </c>
      <c r="HQ133" s="675">
        <v>0</v>
      </c>
      <c r="HR133" s="675">
        <v>0</v>
      </c>
      <c r="HS133" s="675">
        <v>13836547</v>
      </c>
      <c r="HT133" s="675">
        <v>302251</v>
      </c>
      <c r="HU133" s="675">
        <v>0</v>
      </c>
      <c r="HV133" s="675">
        <v>0</v>
      </c>
      <c r="HW133" s="675">
        <v>0</v>
      </c>
      <c r="HX133" s="675">
        <v>26</v>
      </c>
      <c r="HY133" s="675">
        <v>63</v>
      </c>
      <c r="HZ133" s="675">
        <v>438</v>
      </c>
      <c r="IA133" s="675">
        <v>620</v>
      </c>
      <c r="IB133" s="675">
        <v>291</v>
      </c>
      <c r="IC133" s="675">
        <v>1438</v>
      </c>
      <c r="ID133" s="675">
        <v>0</v>
      </c>
      <c r="IE133" s="675">
        <v>0</v>
      </c>
      <c r="IF133" s="675">
        <v>0</v>
      </c>
      <c r="IG133" s="675">
        <v>35.414000000000001</v>
      </c>
      <c r="IH133" s="675">
        <v>464.91200000000003</v>
      </c>
      <c r="II133" s="675">
        <v>0</v>
      </c>
      <c r="IJ133" s="675">
        <v>677.09699999999998</v>
      </c>
      <c r="IK133" s="675">
        <v>0</v>
      </c>
      <c r="IL133" s="675">
        <v>10</v>
      </c>
      <c r="IM133" s="675">
        <v>0</v>
      </c>
      <c r="IN133" s="675">
        <v>0</v>
      </c>
      <c r="IO133" s="675">
        <v>10</v>
      </c>
      <c r="IP133" s="675">
        <v>0</v>
      </c>
      <c r="IQ133" s="675">
        <v>677.09699999999998</v>
      </c>
      <c r="IR133" s="675">
        <v>417090</v>
      </c>
      <c r="IS133" s="675">
        <v>0</v>
      </c>
      <c r="IT133" s="675">
        <v>50000</v>
      </c>
      <c r="IU133" s="675">
        <v>0</v>
      </c>
      <c r="IV133" s="675">
        <v>0</v>
      </c>
      <c r="IW133" s="675">
        <v>6160</v>
      </c>
      <c r="IX133" s="675">
        <v>0</v>
      </c>
      <c r="IY133" s="675">
        <v>0</v>
      </c>
      <c r="IZ133" s="675">
        <v>0</v>
      </c>
      <c r="JA133" s="675">
        <v>0</v>
      </c>
      <c r="JB133" s="675">
        <v>0</v>
      </c>
      <c r="JC133" s="675">
        <v>0</v>
      </c>
      <c r="JD133" s="675">
        <v>0</v>
      </c>
      <c r="JE133" s="675">
        <v>0</v>
      </c>
      <c r="JF133" s="675">
        <v>0</v>
      </c>
      <c r="JG133" s="675">
        <v>0</v>
      </c>
      <c r="JH133" s="675">
        <v>0</v>
      </c>
      <c r="JI133" s="675">
        <v>0</v>
      </c>
      <c r="JJ133" s="675">
        <v>0</v>
      </c>
      <c r="JK133" s="675">
        <v>0</v>
      </c>
      <c r="JL133" s="675">
        <v>0</v>
      </c>
      <c r="JM133" s="675">
        <v>0</v>
      </c>
      <c r="JN133" s="675">
        <v>32469</v>
      </c>
      <c r="JO133" s="675">
        <v>0.36899999999999999</v>
      </c>
      <c r="JP133" s="675">
        <v>80.56</v>
      </c>
      <c r="JQ133" s="675">
        <v>17.071000000000002</v>
      </c>
      <c r="JR133" s="675">
        <v>2948</v>
      </c>
      <c r="JS133" s="675">
        <v>748937</v>
      </c>
      <c r="JT133" s="675">
        <v>182260</v>
      </c>
      <c r="JU133" s="675">
        <v>28890</v>
      </c>
      <c r="JV133" s="675">
        <v>0</v>
      </c>
      <c r="JW133" s="675">
        <v>0</v>
      </c>
      <c r="JX133" s="675">
        <v>0</v>
      </c>
      <c r="JY133" s="675">
        <v>0</v>
      </c>
      <c r="JZ133" s="675">
        <v>0</v>
      </c>
      <c r="KA133" s="675">
        <v>0</v>
      </c>
      <c r="KB133" s="675">
        <v>0</v>
      </c>
      <c r="KC133" s="675">
        <v>0</v>
      </c>
      <c r="KD133" s="675">
        <v>28890</v>
      </c>
      <c r="KE133" s="675">
        <v>7263</v>
      </c>
      <c r="KF133" s="675">
        <v>0</v>
      </c>
      <c r="KG133" s="675">
        <v>0</v>
      </c>
      <c r="KH133" s="675">
        <v>0</v>
      </c>
      <c r="KI133" s="675">
        <v>0</v>
      </c>
    </row>
    <row r="134" spans="1:295" ht="12.5" x14ac:dyDescent="0.25">
      <c r="A134" s="675">
        <v>35795</v>
      </c>
      <c r="B134" s="675">
        <v>227829</v>
      </c>
      <c r="C134" s="675">
        <v>7</v>
      </c>
      <c r="D134" s="675">
        <v>2022</v>
      </c>
      <c r="E134" s="675">
        <v>6160</v>
      </c>
      <c r="F134" s="675">
        <v>0</v>
      </c>
      <c r="G134" s="675">
        <v>1318.3330000000001</v>
      </c>
      <c r="H134" s="675">
        <v>1275.3510000000001</v>
      </c>
      <c r="I134" s="675">
        <v>1275.3510000000001</v>
      </c>
      <c r="J134" s="675">
        <v>1318.3330000000001</v>
      </c>
      <c r="K134" s="675">
        <v>0</v>
      </c>
      <c r="L134" s="675">
        <v>6160</v>
      </c>
      <c r="M134" s="675">
        <v>0</v>
      </c>
      <c r="N134" s="675">
        <v>0</v>
      </c>
      <c r="O134" s="675">
        <v>0</v>
      </c>
      <c r="P134" s="675">
        <v>1050.124</v>
      </c>
      <c r="Q134" s="675">
        <v>0</v>
      </c>
      <c r="R134" s="675">
        <v>422599</v>
      </c>
      <c r="S134" s="675">
        <v>402.428</v>
      </c>
      <c r="T134" s="675">
        <v>0</v>
      </c>
      <c r="U134" s="675">
        <v>224728</v>
      </c>
      <c r="V134" s="675">
        <v>60.853000000000002</v>
      </c>
      <c r="W134" s="675">
        <v>37485</v>
      </c>
      <c r="X134" s="675">
        <v>37485</v>
      </c>
      <c r="Y134" s="675">
        <v>0</v>
      </c>
      <c r="Z134" s="675">
        <v>0</v>
      </c>
      <c r="AA134" s="675">
        <v>0</v>
      </c>
      <c r="AB134" s="675">
        <v>0</v>
      </c>
      <c r="AC134" s="675">
        <v>0</v>
      </c>
      <c r="AD134" s="675" t="s">
        <v>316</v>
      </c>
      <c r="AE134" s="675">
        <v>0</v>
      </c>
      <c r="AF134" s="675">
        <v>0</v>
      </c>
      <c r="AG134" s="675">
        <v>0</v>
      </c>
      <c r="AH134" s="675">
        <v>0</v>
      </c>
      <c r="AI134" s="675">
        <v>0</v>
      </c>
      <c r="AJ134" s="675">
        <v>6160</v>
      </c>
      <c r="AK134" s="675" t="s">
        <v>671</v>
      </c>
      <c r="AL134" s="675" t="s">
        <v>451</v>
      </c>
      <c r="AM134" s="675">
        <v>0</v>
      </c>
      <c r="AN134" s="675">
        <v>0</v>
      </c>
      <c r="AO134" s="675">
        <v>0</v>
      </c>
      <c r="AP134" s="675">
        <v>0</v>
      </c>
      <c r="AQ134" s="675">
        <v>0</v>
      </c>
      <c r="AR134" s="675">
        <v>0</v>
      </c>
      <c r="AS134" s="675">
        <v>0</v>
      </c>
      <c r="AT134" s="675">
        <v>0</v>
      </c>
      <c r="AU134" s="675">
        <v>0</v>
      </c>
      <c r="AV134" s="675">
        <v>-27330</v>
      </c>
      <c r="AW134" s="675">
        <v>12022888</v>
      </c>
      <c r="AX134" s="675">
        <v>11793435</v>
      </c>
      <c r="AY134" s="675">
        <v>7866738</v>
      </c>
      <c r="AZ134" s="675">
        <v>422599</v>
      </c>
      <c r="BA134" s="675">
        <v>0</v>
      </c>
      <c r="BB134" s="675">
        <v>0</v>
      </c>
      <c r="BC134" s="675">
        <v>0</v>
      </c>
      <c r="BD134" s="675">
        <v>0</v>
      </c>
      <c r="BE134" s="675">
        <v>0</v>
      </c>
      <c r="BF134" s="675">
        <v>10747396</v>
      </c>
      <c r="BG134" s="675">
        <v>0</v>
      </c>
      <c r="BH134" s="675">
        <v>0</v>
      </c>
      <c r="BI134" s="675">
        <v>0</v>
      </c>
      <c r="BJ134" s="675">
        <v>12</v>
      </c>
      <c r="BK134" s="675">
        <v>0</v>
      </c>
      <c r="BL134" s="675">
        <v>0</v>
      </c>
      <c r="BM134" s="675">
        <v>0</v>
      </c>
      <c r="BN134" s="675">
        <v>0</v>
      </c>
      <c r="BO134" s="675">
        <v>0</v>
      </c>
      <c r="BP134" s="675">
        <v>0</v>
      </c>
      <c r="BQ134" s="675">
        <v>574</v>
      </c>
      <c r="BR134" s="675">
        <v>0</v>
      </c>
      <c r="BS134" s="675">
        <v>0</v>
      </c>
      <c r="BT134" s="675">
        <v>0</v>
      </c>
      <c r="BU134" s="675">
        <v>0</v>
      </c>
      <c r="BV134" s="675">
        <v>0</v>
      </c>
      <c r="BW134" s="675">
        <v>0</v>
      </c>
      <c r="BX134" s="675">
        <v>0</v>
      </c>
      <c r="BY134" s="675">
        <v>0</v>
      </c>
      <c r="BZ134" s="675">
        <v>0</v>
      </c>
      <c r="CA134" s="675">
        <v>175.07500000000002</v>
      </c>
      <c r="CB134" s="675">
        <v>149299</v>
      </c>
      <c r="CC134" s="675">
        <v>0</v>
      </c>
      <c r="CD134" s="675">
        <v>0</v>
      </c>
      <c r="CE134" s="675">
        <v>0</v>
      </c>
      <c r="CF134" s="675">
        <v>0</v>
      </c>
      <c r="CG134" s="675">
        <v>0</v>
      </c>
      <c r="CH134" s="675">
        <v>232759</v>
      </c>
      <c r="CI134" s="675">
        <v>0</v>
      </c>
      <c r="CJ134" s="675">
        <v>4</v>
      </c>
      <c r="CK134" s="675">
        <v>0</v>
      </c>
      <c r="CL134" s="675">
        <v>0</v>
      </c>
      <c r="CM134" s="675">
        <v>0</v>
      </c>
      <c r="CN134" s="675">
        <v>0</v>
      </c>
      <c r="CO134" s="675">
        <v>1</v>
      </c>
      <c r="CP134" s="675">
        <v>0</v>
      </c>
      <c r="CQ134" s="675">
        <v>0</v>
      </c>
      <c r="CR134" s="675">
        <v>1051.3430000000001</v>
      </c>
      <c r="CS134" s="675">
        <v>0</v>
      </c>
      <c r="CT134" s="675">
        <v>0</v>
      </c>
      <c r="CU134" s="675">
        <v>0</v>
      </c>
      <c r="CV134" s="675">
        <v>0</v>
      </c>
      <c r="CW134" s="675">
        <v>0</v>
      </c>
      <c r="CX134" s="675">
        <v>0</v>
      </c>
      <c r="CY134" s="675">
        <v>0</v>
      </c>
      <c r="CZ134" s="675">
        <v>0</v>
      </c>
      <c r="DA134" s="675">
        <v>0</v>
      </c>
      <c r="DB134" s="675">
        <v>7856126</v>
      </c>
      <c r="DC134" s="675">
        <v>0</v>
      </c>
      <c r="DD134" s="675">
        <v>0</v>
      </c>
      <c r="DE134" s="675">
        <v>450756</v>
      </c>
      <c r="DF134" s="675">
        <v>450756</v>
      </c>
      <c r="DG134" s="675">
        <v>73.174999999999997</v>
      </c>
      <c r="DH134" s="675">
        <v>0</v>
      </c>
      <c r="DI134" s="675">
        <v>0</v>
      </c>
      <c r="DJ134" s="675">
        <v>0</v>
      </c>
      <c r="DK134" s="675">
        <v>800</v>
      </c>
      <c r="DL134" s="675">
        <v>0</v>
      </c>
      <c r="DM134" s="675">
        <v>878870</v>
      </c>
      <c r="DN134" s="675">
        <v>3306</v>
      </c>
      <c r="DO134" s="675">
        <v>0</v>
      </c>
      <c r="DP134" s="675">
        <v>0</v>
      </c>
      <c r="DQ134" s="675">
        <v>0</v>
      </c>
      <c r="DR134" s="675">
        <v>0</v>
      </c>
      <c r="DS134" s="675">
        <v>0</v>
      </c>
      <c r="DT134" s="675">
        <v>0</v>
      </c>
      <c r="DU134" s="675">
        <v>0</v>
      </c>
      <c r="DV134" s="675">
        <v>0</v>
      </c>
      <c r="DW134" s="675">
        <v>0</v>
      </c>
      <c r="DX134" s="675">
        <v>0</v>
      </c>
      <c r="DY134" s="675">
        <v>0</v>
      </c>
      <c r="DZ134" s="675">
        <v>0</v>
      </c>
      <c r="EA134" s="675">
        <v>0</v>
      </c>
      <c r="EB134" s="675">
        <v>0</v>
      </c>
      <c r="EC134" s="675">
        <v>8.6530000000000005</v>
      </c>
      <c r="ED134" s="675">
        <v>61298</v>
      </c>
      <c r="EE134" s="675">
        <v>0</v>
      </c>
      <c r="EF134" s="675">
        <v>0</v>
      </c>
      <c r="EG134" s="675">
        <v>0</v>
      </c>
      <c r="EH134" s="675">
        <v>820878</v>
      </c>
      <c r="EI134" s="675">
        <v>0</v>
      </c>
      <c r="EJ134" s="675">
        <v>0</v>
      </c>
      <c r="EK134" s="675">
        <v>39.248000000000005</v>
      </c>
      <c r="EL134" s="675">
        <v>0</v>
      </c>
      <c r="EM134" s="675">
        <v>1.5770000000000002</v>
      </c>
      <c r="EN134" s="675">
        <v>2.157</v>
      </c>
      <c r="EO134" s="675">
        <v>0</v>
      </c>
      <c r="EP134" s="675">
        <v>0</v>
      </c>
      <c r="EQ134" s="675">
        <v>42.981999999999999</v>
      </c>
      <c r="ER134" s="675">
        <v>0</v>
      </c>
      <c r="ES134" s="675">
        <v>133.26</v>
      </c>
      <c r="ET134" s="675">
        <v>0</v>
      </c>
      <c r="EU134" s="675">
        <v>0</v>
      </c>
      <c r="EV134" s="675">
        <v>0</v>
      </c>
      <c r="EW134" s="675">
        <v>0</v>
      </c>
      <c r="EX134" s="675">
        <v>0</v>
      </c>
      <c r="EY134" s="675">
        <v>0</v>
      </c>
      <c r="EZ134" s="675">
        <v>10474096</v>
      </c>
      <c r="FA134" s="675">
        <v>0</v>
      </c>
      <c r="FB134" s="675">
        <v>10893389</v>
      </c>
      <c r="FC134" s="675">
        <v>0</v>
      </c>
      <c r="FD134" s="675">
        <v>0</v>
      </c>
      <c r="FE134" s="675">
        <v>1093230</v>
      </c>
      <c r="FF134" s="675">
        <v>226109</v>
      </c>
      <c r="FG134" s="675">
        <v>6.3574999999999993E-2</v>
      </c>
      <c r="FH134" s="675">
        <v>2.6297999999999998E-2</v>
      </c>
      <c r="FI134" s="675">
        <v>0</v>
      </c>
      <c r="FJ134" s="675">
        <v>0</v>
      </c>
      <c r="FK134" s="675">
        <v>1744.7150000000001</v>
      </c>
      <c r="FL134" s="675">
        <v>12445487</v>
      </c>
      <c r="FM134" s="675">
        <v>0</v>
      </c>
      <c r="FN134" s="675">
        <v>0</v>
      </c>
      <c r="FO134" s="675">
        <v>0</v>
      </c>
      <c r="FP134" s="675">
        <v>0</v>
      </c>
      <c r="FQ134" s="675">
        <v>0</v>
      </c>
      <c r="FR134" s="675">
        <v>0</v>
      </c>
      <c r="FS134" s="675">
        <v>0</v>
      </c>
      <c r="FT134" s="675">
        <v>0</v>
      </c>
      <c r="FU134" s="675">
        <v>0</v>
      </c>
      <c r="FV134" s="675">
        <v>0</v>
      </c>
      <c r="FW134" s="675">
        <v>0</v>
      </c>
      <c r="FX134" s="675">
        <v>0</v>
      </c>
      <c r="FY134" s="675">
        <v>0</v>
      </c>
      <c r="FZ134" s="675">
        <v>0</v>
      </c>
      <c r="GA134" s="675">
        <v>0</v>
      </c>
      <c r="GB134" s="675">
        <v>0</v>
      </c>
      <c r="GC134" s="675">
        <v>0</v>
      </c>
      <c r="GD134" s="675">
        <v>0</v>
      </c>
      <c r="GE134" s="675">
        <v>0</v>
      </c>
      <c r="GF134" s="675">
        <v>0</v>
      </c>
      <c r="GG134" s="675">
        <v>0</v>
      </c>
      <c r="GH134" s="675">
        <v>0</v>
      </c>
      <c r="GI134" s="675">
        <v>0</v>
      </c>
      <c r="GJ134" s="675">
        <v>0</v>
      </c>
      <c r="GK134" s="675">
        <v>0</v>
      </c>
      <c r="GL134" s="675">
        <v>0</v>
      </c>
      <c r="GM134" s="675">
        <v>0</v>
      </c>
      <c r="GN134" s="675">
        <v>0</v>
      </c>
      <c r="GO134" s="675">
        <v>0</v>
      </c>
      <c r="GP134" s="675">
        <v>0</v>
      </c>
      <c r="GQ134" s="675">
        <v>0</v>
      </c>
      <c r="GR134" s="675">
        <v>0</v>
      </c>
      <c r="GS134" s="675">
        <v>0</v>
      </c>
      <c r="GT134" s="675">
        <v>0</v>
      </c>
      <c r="GU134" s="675">
        <v>0</v>
      </c>
      <c r="GV134" s="675">
        <v>0</v>
      </c>
      <c r="GW134" s="675">
        <v>0</v>
      </c>
      <c r="GX134" s="675">
        <v>0</v>
      </c>
      <c r="GY134" s="675">
        <v>0</v>
      </c>
      <c r="GZ134" s="675">
        <v>0</v>
      </c>
      <c r="HA134" s="675">
        <v>0</v>
      </c>
      <c r="HB134" s="675">
        <v>308877260</v>
      </c>
      <c r="HC134" s="675">
        <v>4.4138999999999998E-2</v>
      </c>
      <c r="HD134" s="675">
        <v>232759</v>
      </c>
      <c r="HE134" s="675">
        <v>0</v>
      </c>
      <c r="HF134" s="675">
        <v>1406712</v>
      </c>
      <c r="HG134" s="675">
        <v>31416</v>
      </c>
      <c r="HH134" s="675">
        <v>69911</v>
      </c>
      <c r="HI134" s="675">
        <v>0</v>
      </c>
      <c r="HJ134" s="675">
        <v>12814</v>
      </c>
      <c r="HK134" s="675">
        <v>0</v>
      </c>
      <c r="HL134" s="675">
        <v>0</v>
      </c>
      <c r="HM134" s="675">
        <v>0</v>
      </c>
      <c r="HN134" s="675">
        <v>0</v>
      </c>
      <c r="HO134" s="675">
        <v>0</v>
      </c>
      <c r="HP134" s="675">
        <v>0</v>
      </c>
      <c r="HQ134" s="675">
        <v>0</v>
      </c>
      <c r="HR134" s="675">
        <v>0</v>
      </c>
      <c r="HS134" s="675">
        <v>10470790</v>
      </c>
      <c r="HT134" s="675">
        <v>226109</v>
      </c>
      <c r="HU134" s="675">
        <v>0</v>
      </c>
      <c r="HV134" s="675">
        <v>0</v>
      </c>
      <c r="HW134" s="675">
        <v>0</v>
      </c>
      <c r="HX134" s="675">
        <v>141</v>
      </c>
      <c r="HY134" s="675">
        <v>85</v>
      </c>
      <c r="HZ134" s="675">
        <v>40</v>
      </c>
      <c r="IA134" s="675">
        <v>23</v>
      </c>
      <c r="IB134" s="675">
        <v>19</v>
      </c>
      <c r="IC134" s="675">
        <v>308</v>
      </c>
      <c r="ID134" s="675">
        <v>0</v>
      </c>
      <c r="IE134" s="675">
        <v>0</v>
      </c>
      <c r="IF134" s="675">
        <v>0</v>
      </c>
      <c r="IG134" s="675">
        <v>51</v>
      </c>
      <c r="IH134" s="675">
        <v>113.492</v>
      </c>
      <c r="II134" s="675">
        <v>0</v>
      </c>
      <c r="IJ134" s="675">
        <v>60.853000000000002</v>
      </c>
      <c r="IK134" s="675">
        <v>0</v>
      </c>
      <c r="IL134" s="675">
        <v>0</v>
      </c>
      <c r="IM134" s="675">
        <v>0</v>
      </c>
      <c r="IN134" s="675">
        <v>0</v>
      </c>
      <c r="IO134" s="675">
        <v>0</v>
      </c>
      <c r="IP134" s="675">
        <v>0</v>
      </c>
      <c r="IQ134" s="675">
        <v>60.853000000000002</v>
      </c>
      <c r="IR134" s="675">
        <v>37485</v>
      </c>
      <c r="IS134" s="675">
        <v>0</v>
      </c>
      <c r="IT134" s="675">
        <v>0</v>
      </c>
      <c r="IU134" s="675">
        <v>0</v>
      </c>
      <c r="IV134" s="675">
        <v>0</v>
      </c>
      <c r="IW134" s="675">
        <v>6160</v>
      </c>
      <c r="IX134" s="675">
        <v>0</v>
      </c>
      <c r="IY134" s="675">
        <v>0</v>
      </c>
      <c r="IZ134" s="675">
        <v>0</v>
      </c>
      <c r="JA134" s="675">
        <v>0</v>
      </c>
      <c r="JB134" s="675">
        <v>0</v>
      </c>
      <c r="JC134" s="675">
        <v>0</v>
      </c>
      <c r="JD134" s="675">
        <v>0</v>
      </c>
      <c r="JE134" s="675">
        <v>0</v>
      </c>
      <c r="JF134" s="675">
        <v>0</v>
      </c>
      <c r="JG134" s="675">
        <v>0</v>
      </c>
      <c r="JH134" s="675">
        <v>0</v>
      </c>
      <c r="JI134" s="675">
        <v>0</v>
      </c>
      <c r="JJ134" s="675">
        <v>0</v>
      </c>
      <c r="JK134" s="675">
        <v>0</v>
      </c>
      <c r="JL134" s="675">
        <v>0</v>
      </c>
      <c r="JM134" s="675">
        <v>0</v>
      </c>
      <c r="JN134" s="675">
        <v>32469</v>
      </c>
      <c r="JO134" s="675">
        <v>0</v>
      </c>
      <c r="JP134" s="675">
        <v>0</v>
      </c>
      <c r="JQ134" s="675">
        <v>0</v>
      </c>
      <c r="JR134" s="675">
        <v>0</v>
      </c>
      <c r="JS134" s="675">
        <v>0</v>
      </c>
      <c r="JT134" s="675">
        <v>0</v>
      </c>
      <c r="JU134" s="675">
        <v>0</v>
      </c>
      <c r="JV134" s="675">
        <v>0</v>
      </c>
      <c r="JW134" s="675">
        <v>0</v>
      </c>
      <c r="JX134" s="675">
        <v>0</v>
      </c>
      <c r="JY134" s="675">
        <v>0</v>
      </c>
      <c r="JZ134" s="675">
        <v>0</v>
      </c>
      <c r="KA134" s="675">
        <v>0</v>
      </c>
      <c r="KB134" s="675">
        <v>0</v>
      </c>
      <c r="KC134" s="675">
        <v>0</v>
      </c>
      <c r="KD134" s="675">
        <v>0</v>
      </c>
      <c r="KE134" s="675">
        <v>7263</v>
      </c>
      <c r="KF134" s="675">
        <v>0</v>
      </c>
      <c r="KG134" s="675">
        <v>0</v>
      </c>
      <c r="KH134" s="675">
        <v>0</v>
      </c>
      <c r="KI134" s="675">
        <v>0</v>
      </c>
    </row>
    <row r="135" spans="1:295" ht="12.5" x14ac:dyDescent="0.25">
      <c r="A135" s="675">
        <v>35795</v>
      </c>
      <c r="B135" s="675">
        <v>15830</v>
      </c>
      <c r="C135" s="675">
        <v>7</v>
      </c>
      <c r="D135" s="675">
        <v>2022</v>
      </c>
      <c r="E135" s="675">
        <v>6160</v>
      </c>
      <c r="F135" s="675">
        <v>0</v>
      </c>
      <c r="G135" s="675">
        <v>2887.7809999999999</v>
      </c>
      <c r="H135" s="675">
        <v>2619.125</v>
      </c>
      <c r="I135" s="675">
        <v>2619.125</v>
      </c>
      <c r="J135" s="675">
        <v>2887.7809999999999</v>
      </c>
      <c r="K135" s="675">
        <v>0</v>
      </c>
      <c r="L135" s="675">
        <v>6160</v>
      </c>
      <c r="M135" s="675">
        <v>0</v>
      </c>
      <c r="N135" s="675">
        <v>0</v>
      </c>
      <c r="O135" s="675">
        <v>0</v>
      </c>
      <c r="P135" s="675">
        <v>2850.52</v>
      </c>
      <c r="Q135" s="675">
        <v>0</v>
      </c>
      <c r="R135" s="675">
        <v>1147129</v>
      </c>
      <c r="S135" s="675">
        <v>402.428</v>
      </c>
      <c r="T135" s="675">
        <v>0</v>
      </c>
      <c r="U135" s="675">
        <v>610013</v>
      </c>
      <c r="V135" s="675">
        <v>165.99299999999999</v>
      </c>
      <c r="W135" s="675">
        <v>123643</v>
      </c>
      <c r="X135" s="675">
        <v>123643</v>
      </c>
      <c r="Y135" s="675">
        <v>0</v>
      </c>
      <c r="Z135" s="675">
        <v>0</v>
      </c>
      <c r="AA135" s="675">
        <v>0</v>
      </c>
      <c r="AB135" s="675">
        <v>0</v>
      </c>
      <c r="AC135" s="675">
        <v>0</v>
      </c>
      <c r="AD135" s="675" t="s">
        <v>316</v>
      </c>
      <c r="AE135" s="675">
        <v>0</v>
      </c>
      <c r="AF135" s="675">
        <v>0</v>
      </c>
      <c r="AG135" s="675">
        <v>0</v>
      </c>
      <c r="AH135" s="675">
        <v>0</v>
      </c>
      <c r="AI135" s="675">
        <v>0</v>
      </c>
      <c r="AJ135" s="675">
        <v>6160</v>
      </c>
      <c r="AK135" s="675" t="s">
        <v>671</v>
      </c>
      <c r="AL135" s="675" t="s">
        <v>461</v>
      </c>
      <c r="AM135" s="675">
        <v>0</v>
      </c>
      <c r="AN135" s="675">
        <v>0</v>
      </c>
      <c r="AO135" s="675">
        <v>0</v>
      </c>
      <c r="AP135" s="675">
        <v>0</v>
      </c>
      <c r="AQ135" s="675">
        <v>0</v>
      </c>
      <c r="AR135" s="675">
        <v>0</v>
      </c>
      <c r="AS135" s="675">
        <v>0</v>
      </c>
      <c r="AT135" s="675">
        <v>0</v>
      </c>
      <c r="AU135" s="675">
        <v>0</v>
      </c>
      <c r="AV135" s="675">
        <v>-40614</v>
      </c>
      <c r="AW135" s="675">
        <v>30307984</v>
      </c>
      <c r="AX135" s="675">
        <v>29810064</v>
      </c>
      <c r="AY135" s="675">
        <v>19929591</v>
      </c>
      <c r="AZ135" s="675">
        <v>1147129</v>
      </c>
      <c r="BA135" s="675">
        <v>0</v>
      </c>
      <c r="BB135" s="675">
        <v>60368</v>
      </c>
      <c r="BC135" s="675">
        <v>59977</v>
      </c>
      <c r="BD135" s="675">
        <v>140</v>
      </c>
      <c r="BE135" s="675">
        <v>391</v>
      </c>
      <c r="BF135" s="675">
        <v>27562330</v>
      </c>
      <c r="BG135" s="675">
        <v>0</v>
      </c>
      <c r="BH135" s="675">
        <v>0</v>
      </c>
      <c r="BI135" s="675">
        <v>0</v>
      </c>
      <c r="BJ135" s="675">
        <v>12</v>
      </c>
      <c r="BK135" s="675">
        <v>0</v>
      </c>
      <c r="BL135" s="675">
        <v>0</v>
      </c>
      <c r="BM135" s="675">
        <v>0</v>
      </c>
      <c r="BN135" s="675">
        <v>0</v>
      </c>
      <c r="BO135" s="675">
        <v>0</v>
      </c>
      <c r="BP135" s="675">
        <v>0</v>
      </c>
      <c r="BQ135" s="675">
        <v>367</v>
      </c>
      <c r="BR135" s="675">
        <v>0</v>
      </c>
      <c r="BS135" s="675">
        <v>0</v>
      </c>
      <c r="BT135" s="675">
        <v>0</v>
      </c>
      <c r="BU135" s="675">
        <v>0</v>
      </c>
      <c r="BV135" s="675">
        <v>0</v>
      </c>
      <c r="BW135" s="675">
        <v>0</v>
      </c>
      <c r="BX135" s="675">
        <v>0</v>
      </c>
      <c r="BY135" s="675">
        <v>0</v>
      </c>
      <c r="BZ135" s="675">
        <v>0</v>
      </c>
      <c r="CA135" s="675">
        <v>0</v>
      </c>
      <c r="CB135" s="675">
        <v>0</v>
      </c>
      <c r="CC135" s="675">
        <v>0</v>
      </c>
      <c r="CD135" s="675">
        <v>0</v>
      </c>
      <c r="CE135" s="675">
        <v>0</v>
      </c>
      <c r="CF135" s="675">
        <v>0</v>
      </c>
      <c r="CG135" s="675">
        <v>0</v>
      </c>
      <c r="CH135" s="675">
        <v>509854</v>
      </c>
      <c r="CI135" s="675">
        <v>0</v>
      </c>
      <c r="CJ135" s="675">
        <v>4</v>
      </c>
      <c r="CK135" s="675">
        <v>0</v>
      </c>
      <c r="CL135" s="675">
        <v>0</v>
      </c>
      <c r="CM135" s="675">
        <v>0</v>
      </c>
      <c r="CN135" s="675">
        <v>0</v>
      </c>
      <c r="CO135" s="675">
        <v>1</v>
      </c>
      <c r="CP135" s="675">
        <v>0</v>
      </c>
      <c r="CQ135" s="675">
        <v>0</v>
      </c>
      <c r="CR135" s="675">
        <v>2847.9860000000003</v>
      </c>
      <c r="CS135" s="675">
        <v>0</v>
      </c>
      <c r="CT135" s="675">
        <v>0</v>
      </c>
      <c r="CU135" s="675">
        <v>0</v>
      </c>
      <c r="CV135" s="675">
        <v>0</v>
      </c>
      <c r="CW135" s="675">
        <v>0</v>
      </c>
      <c r="CX135" s="675">
        <v>0</v>
      </c>
      <c r="CY135" s="675">
        <v>0</v>
      </c>
      <c r="CZ135" s="675">
        <v>0</v>
      </c>
      <c r="DA135" s="675">
        <v>0</v>
      </c>
      <c r="DB135" s="675">
        <v>16104990</v>
      </c>
      <c r="DC135" s="675">
        <v>0</v>
      </c>
      <c r="DD135" s="675">
        <v>0</v>
      </c>
      <c r="DE135" s="675">
        <v>3100468</v>
      </c>
      <c r="DF135" s="675">
        <v>3100468</v>
      </c>
      <c r="DG135" s="675">
        <v>503.32500000000005</v>
      </c>
      <c r="DH135" s="675">
        <v>0</v>
      </c>
      <c r="DI135" s="675">
        <v>0</v>
      </c>
      <c r="DJ135" s="675">
        <v>0</v>
      </c>
      <c r="DK135" s="675">
        <v>0</v>
      </c>
      <c r="DL135" s="675">
        <v>0</v>
      </c>
      <c r="DM135" s="675">
        <v>3097320</v>
      </c>
      <c r="DN135" s="675">
        <v>11543</v>
      </c>
      <c r="DO135" s="675">
        <v>0</v>
      </c>
      <c r="DP135" s="675">
        <v>0</v>
      </c>
      <c r="DQ135" s="675">
        <v>0</v>
      </c>
      <c r="DR135" s="675">
        <v>0</v>
      </c>
      <c r="DS135" s="675">
        <v>0</v>
      </c>
      <c r="DT135" s="675">
        <v>0</v>
      </c>
      <c r="DU135" s="675">
        <v>0</v>
      </c>
      <c r="DV135" s="675">
        <v>0</v>
      </c>
      <c r="DW135" s="675">
        <v>0</v>
      </c>
      <c r="DX135" s="675">
        <v>0</v>
      </c>
      <c r="DY135" s="675">
        <v>0</v>
      </c>
      <c r="DZ135" s="675">
        <v>0</v>
      </c>
      <c r="EA135" s="675">
        <v>0.34500000000000003</v>
      </c>
      <c r="EB135" s="675">
        <v>0</v>
      </c>
      <c r="EC135" s="675">
        <v>154.13</v>
      </c>
      <c r="ED135" s="675">
        <v>1091852</v>
      </c>
      <c r="EE135" s="675">
        <v>0</v>
      </c>
      <c r="EF135" s="675">
        <v>0</v>
      </c>
      <c r="EG135" s="675">
        <v>0</v>
      </c>
      <c r="EH135" s="675">
        <v>1988266</v>
      </c>
      <c r="EI135" s="675">
        <v>0</v>
      </c>
      <c r="EJ135" s="675">
        <v>0</v>
      </c>
      <c r="EK135" s="675">
        <v>73.618000000000009</v>
      </c>
      <c r="EL135" s="675">
        <v>0.46500000000000002</v>
      </c>
      <c r="EM135" s="675">
        <v>21.461000000000002</v>
      </c>
      <c r="EN135" s="675">
        <v>7.1619999999999999</v>
      </c>
      <c r="EO135" s="675">
        <v>0</v>
      </c>
      <c r="EP135" s="675">
        <v>0</v>
      </c>
      <c r="EQ135" s="675">
        <v>102.586</v>
      </c>
      <c r="ER135" s="675">
        <v>0</v>
      </c>
      <c r="ES135" s="675">
        <v>322.77199999999999</v>
      </c>
      <c r="ET135" s="675">
        <v>0</v>
      </c>
      <c r="EU135" s="675">
        <v>0</v>
      </c>
      <c r="EV135" s="675">
        <v>0</v>
      </c>
      <c r="EW135" s="675">
        <v>0</v>
      </c>
      <c r="EX135" s="675">
        <v>0</v>
      </c>
      <c r="EY135" s="675">
        <v>0</v>
      </c>
      <c r="EZ135" s="675">
        <v>26426541</v>
      </c>
      <c r="FA135" s="675">
        <v>0</v>
      </c>
      <c r="FB135" s="675">
        <v>27561736</v>
      </c>
      <c r="FC135" s="675">
        <v>0</v>
      </c>
      <c r="FD135" s="675">
        <v>0</v>
      </c>
      <c r="FE135" s="675">
        <v>2803653</v>
      </c>
      <c r="FF135" s="675">
        <v>579870</v>
      </c>
      <c r="FG135" s="675">
        <v>6.3574999999999993E-2</v>
      </c>
      <c r="FH135" s="675">
        <v>2.6297999999999998E-2</v>
      </c>
      <c r="FI135" s="675">
        <v>0</v>
      </c>
      <c r="FJ135" s="675">
        <v>0</v>
      </c>
      <c r="FK135" s="675">
        <v>4474.4250000000002</v>
      </c>
      <c r="FL135" s="675">
        <v>31455113</v>
      </c>
      <c r="FM135" s="675">
        <v>0</v>
      </c>
      <c r="FN135" s="675">
        <v>0</v>
      </c>
      <c r="FO135" s="675">
        <v>0</v>
      </c>
      <c r="FP135" s="675">
        <v>0</v>
      </c>
      <c r="FQ135" s="675">
        <v>0</v>
      </c>
      <c r="FR135" s="675">
        <v>0</v>
      </c>
      <c r="FS135" s="675">
        <v>0</v>
      </c>
      <c r="FT135" s="675">
        <v>0</v>
      </c>
      <c r="FU135" s="675">
        <v>0</v>
      </c>
      <c r="FV135" s="675">
        <v>0</v>
      </c>
      <c r="FW135" s="675">
        <v>0</v>
      </c>
      <c r="FX135" s="675">
        <v>0</v>
      </c>
      <c r="FY135" s="675">
        <v>0</v>
      </c>
      <c r="FZ135" s="675">
        <v>0</v>
      </c>
      <c r="GA135" s="675">
        <v>0</v>
      </c>
      <c r="GB135" s="675">
        <v>1643582</v>
      </c>
      <c r="GC135" s="675">
        <v>1643582</v>
      </c>
      <c r="GD135" s="675">
        <v>166.07</v>
      </c>
      <c r="GE135" s="675">
        <v>0</v>
      </c>
      <c r="GF135" s="675">
        <v>0</v>
      </c>
      <c r="GG135" s="675">
        <v>0</v>
      </c>
      <c r="GH135" s="675">
        <v>0</v>
      </c>
      <c r="GI135" s="675">
        <v>0</v>
      </c>
      <c r="GJ135" s="675">
        <v>0</v>
      </c>
      <c r="GK135" s="675">
        <v>0</v>
      </c>
      <c r="GL135" s="675">
        <v>0</v>
      </c>
      <c r="GM135" s="675">
        <v>0</v>
      </c>
      <c r="GN135" s="675">
        <v>0</v>
      </c>
      <c r="GO135" s="675">
        <v>0</v>
      </c>
      <c r="GP135" s="675">
        <v>0</v>
      </c>
      <c r="GQ135" s="675">
        <v>0</v>
      </c>
      <c r="GR135" s="675">
        <v>0</v>
      </c>
      <c r="GS135" s="675">
        <v>0</v>
      </c>
      <c r="GT135" s="675">
        <v>0</v>
      </c>
      <c r="GU135" s="675">
        <v>0</v>
      </c>
      <c r="GV135" s="675">
        <v>0</v>
      </c>
      <c r="GW135" s="675">
        <v>0</v>
      </c>
      <c r="GX135" s="675">
        <v>0</v>
      </c>
      <c r="GY135" s="675">
        <v>0</v>
      </c>
      <c r="GZ135" s="675">
        <v>0</v>
      </c>
      <c r="HA135" s="675">
        <v>0</v>
      </c>
      <c r="HB135" s="675">
        <v>308877260</v>
      </c>
      <c r="HC135" s="675">
        <v>4.4138999999999998E-2</v>
      </c>
      <c r="HD135" s="675">
        <v>509854</v>
      </c>
      <c r="HE135" s="675">
        <v>0</v>
      </c>
      <c r="HF135" s="675">
        <v>2888895</v>
      </c>
      <c r="HG135" s="675">
        <v>16632</v>
      </c>
      <c r="HH135" s="675">
        <v>486820</v>
      </c>
      <c r="HI135" s="675">
        <v>0</v>
      </c>
      <c r="HJ135" s="675">
        <v>28069</v>
      </c>
      <c r="HK135" s="675">
        <v>7884</v>
      </c>
      <c r="HL135" s="675">
        <v>3456</v>
      </c>
      <c r="HM135" s="675">
        <v>0</v>
      </c>
      <c r="HN135" s="675">
        <v>0</v>
      </c>
      <c r="HO135" s="675">
        <v>0</v>
      </c>
      <c r="HP135" s="675">
        <v>0</v>
      </c>
      <c r="HQ135" s="675">
        <v>0</v>
      </c>
      <c r="HR135" s="675">
        <v>0</v>
      </c>
      <c r="HS135" s="675">
        <v>26414607</v>
      </c>
      <c r="HT135" s="675">
        <v>579870</v>
      </c>
      <c r="HU135" s="675">
        <v>0</v>
      </c>
      <c r="HV135" s="675">
        <v>0</v>
      </c>
      <c r="HW135" s="675">
        <v>0</v>
      </c>
      <c r="HX135" s="675">
        <v>229</v>
      </c>
      <c r="HY135" s="675">
        <v>457</v>
      </c>
      <c r="HZ135" s="675">
        <v>455</v>
      </c>
      <c r="IA135" s="675">
        <v>449</v>
      </c>
      <c r="IB135" s="675">
        <v>406</v>
      </c>
      <c r="IC135" s="675">
        <v>1996</v>
      </c>
      <c r="ID135" s="675">
        <v>0</v>
      </c>
      <c r="IE135" s="675">
        <v>11.964</v>
      </c>
      <c r="IF135" s="675">
        <v>33.562000000000005</v>
      </c>
      <c r="IG135" s="675">
        <v>27</v>
      </c>
      <c r="IH135" s="675">
        <v>790.29600000000005</v>
      </c>
      <c r="II135" s="675">
        <v>0</v>
      </c>
      <c r="IJ135" s="675">
        <v>211.51900000000001</v>
      </c>
      <c r="IK135" s="675">
        <v>0</v>
      </c>
      <c r="IL135" s="675">
        <v>0</v>
      </c>
      <c r="IM135" s="675">
        <v>0</v>
      </c>
      <c r="IN135" s="675">
        <v>0</v>
      </c>
      <c r="IO135" s="675">
        <v>0</v>
      </c>
      <c r="IP135" s="675">
        <v>0</v>
      </c>
      <c r="IQ135" s="675">
        <v>165.99299999999999</v>
      </c>
      <c r="IR135" s="675">
        <v>102251</v>
      </c>
      <c r="IS135" s="675">
        <v>0</v>
      </c>
      <c r="IT135" s="675">
        <v>0</v>
      </c>
      <c r="IU135" s="675">
        <v>0</v>
      </c>
      <c r="IV135" s="675">
        <v>0</v>
      </c>
      <c r="IW135" s="675">
        <v>6160</v>
      </c>
      <c r="IX135" s="675">
        <v>11055</v>
      </c>
      <c r="IY135" s="675">
        <v>10337</v>
      </c>
      <c r="IZ135" s="675">
        <v>0</v>
      </c>
      <c r="JA135" s="675">
        <v>0</v>
      </c>
      <c r="JB135" s="675">
        <v>0</v>
      </c>
      <c r="JC135" s="675">
        <v>0</v>
      </c>
      <c r="JD135" s="675">
        <v>0</v>
      </c>
      <c r="JE135" s="675">
        <v>0</v>
      </c>
      <c r="JF135" s="675">
        <v>0</v>
      </c>
      <c r="JG135" s="675">
        <v>0</v>
      </c>
      <c r="JH135" s="675">
        <v>0</v>
      </c>
      <c r="JI135" s="675">
        <v>0</v>
      </c>
      <c r="JJ135" s="675">
        <v>0</v>
      </c>
      <c r="JK135" s="675">
        <v>0</v>
      </c>
      <c r="JL135" s="675">
        <v>0</v>
      </c>
      <c r="JM135" s="675">
        <v>0</v>
      </c>
      <c r="JN135" s="675">
        <v>32469</v>
      </c>
      <c r="JO135" s="675">
        <v>0</v>
      </c>
      <c r="JP135" s="675">
        <v>93.83</v>
      </c>
      <c r="JQ135" s="675">
        <v>72.239999999999995</v>
      </c>
      <c r="JR135" s="675">
        <v>0</v>
      </c>
      <c r="JS135" s="675">
        <v>872304</v>
      </c>
      <c r="JT135" s="675">
        <v>771278</v>
      </c>
      <c r="JU135" s="675">
        <v>60368</v>
      </c>
      <c r="JV135" s="675">
        <v>0</v>
      </c>
      <c r="JW135" s="675">
        <v>0</v>
      </c>
      <c r="JX135" s="675">
        <v>0</v>
      </c>
      <c r="JY135" s="675">
        <v>0</v>
      </c>
      <c r="JZ135" s="675">
        <v>0</v>
      </c>
      <c r="KA135" s="675">
        <v>0</v>
      </c>
      <c r="KB135" s="675">
        <v>0</v>
      </c>
      <c r="KC135" s="675">
        <v>0</v>
      </c>
      <c r="KD135" s="675">
        <v>60368</v>
      </c>
      <c r="KE135" s="675">
        <v>7263</v>
      </c>
      <c r="KF135" s="675">
        <v>0</v>
      </c>
      <c r="KG135" s="675">
        <v>0</v>
      </c>
      <c r="KH135" s="675">
        <v>0</v>
      </c>
      <c r="KI135" s="675">
        <v>0</v>
      </c>
    </row>
    <row r="136" spans="1:295" ht="12.5" x14ac:dyDescent="0.25">
      <c r="A136" s="675">
        <v>35795</v>
      </c>
      <c r="B136" s="675">
        <v>57830</v>
      </c>
      <c r="C136" s="675">
        <v>7</v>
      </c>
      <c r="D136" s="675">
        <v>2022</v>
      </c>
      <c r="E136" s="675">
        <v>6160</v>
      </c>
      <c r="F136" s="675">
        <v>0</v>
      </c>
      <c r="G136" s="675">
        <v>1151.625</v>
      </c>
      <c r="H136" s="675">
        <v>1042.33</v>
      </c>
      <c r="I136" s="675">
        <v>1042.33</v>
      </c>
      <c r="J136" s="675">
        <v>1151.625</v>
      </c>
      <c r="K136" s="675">
        <v>0</v>
      </c>
      <c r="L136" s="675">
        <v>6160</v>
      </c>
      <c r="M136" s="675">
        <v>0</v>
      </c>
      <c r="N136" s="675">
        <v>0</v>
      </c>
      <c r="O136" s="675">
        <v>0</v>
      </c>
      <c r="P136" s="675">
        <v>1176.365</v>
      </c>
      <c r="Q136" s="675">
        <v>0</v>
      </c>
      <c r="R136" s="675">
        <v>473402</v>
      </c>
      <c r="S136" s="675">
        <v>402.428</v>
      </c>
      <c r="T136" s="675">
        <v>0</v>
      </c>
      <c r="U136" s="675">
        <v>251742</v>
      </c>
      <c r="V136" s="675">
        <v>562.18299999999999</v>
      </c>
      <c r="W136" s="675">
        <v>346303</v>
      </c>
      <c r="X136" s="675">
        <v>346303</v>
      </c>
      <c r="Y136" s="675">
        <v>0</v>
      </c>
      <c r="Z136" s="675">
        <v>0</v>
      </c>
      <c r="AA136" s="675">
        <v>0</v>
      </c>
      <c r="AB136" s="675">
        <v>0</v>
      </c>
      <c r="AC136" s="675">
        <v>0</v>
      </c>
      <c r="AD136" s="675" t="s">
        <v>316</v>
      </c>
      <c r="AE136" s="675">
        <v>0</v>
      </c>
      <c r="AF136" s="675">
        <v>0</v>
      </c>
      <c r="AG136" s="675">
        <v>0</v>
      </c>
      <c r="AH136" s="675">
        <v>0</v>
      </c>
      <c r="AI136" s="675">
        <v>0</v>
      </c>
      <c r="AJ136" s="675">
        <v>6160</v>
      </c>
      <c r="AK136" s="675" t="s">
        <v>671</v>
      </c>
      <c r="AL136" s="675" t="s">
        <v>46</v>
      </c>
      <c r="AM136" s="675">
        <v>0</v>
      </c>
      <c r="AN136" s="675">
        <v>0</v>
      </c>
      <c r="AO136" s="675">
        <v>0</v>
      </c>
      <c r="AP136" s="675">
        <v>0</v>
      </c>
      <c r="AQ136" s="675">
        <v>0</v>
      </c>
      <c r="AR136" s="675">
        <v>0</v>
      </c>
      <c r="AS136" s="675">
        <v>0</v>
      </c>
      <c r="AT136" s="675">
        <v>0</v>
      </c>
      <c r="AU136" s="675">
        <v>0</v>
      </c>
      <c r="AV136" s="675">
        <v>-1525</v>
      </c>
      <c r="AW136" s="675">
        <v>13061473</v>
      </c>
      <c r="AX136" s="675">
        <v>12861561</v>
      </c>
      <c r="AY136" s="675">
        <v>8631727</v>
      </c>
      <c r="AZ136" s="675">
        <v>473402</v>
      </c>
      <c r="BA136" s="675">
        <v>0</v>
      </c>
      <c r="BB136" s="675">
        <v>12074</v>
      </c>
      <c r="BC136" s="675">
        <v>11996</v>
      </c>
      <c r="BD136" s="675">
        <v>28</v>
      </c>
      <c r="BE136" s="675">
        <v>78</v>
      </c>
      <c r="BF136" s="675">
        <v>11870210</v>
      </c>
      <c r="BG136" s="675">
        <v>0</v>
      </c>
      <c r="BH136" s="675">
        <v>0</v>
      </c>
      <c r="BI136" s="675">
        <v>0</v>
      </c>
      <c r="BJ136" s="675">
        <v>12</v>
      </c>
      <c r="BK136" s="675">
        <v>0</v>
      </c>
      <c r="BL136" s="675">
        <v>0</v>
      </c>
      <c r="BM136" s="675">
        <v>0</v>
      </c>
      <c r="BN136" s="675">
        <v>0</v>
      </c>
      <c r="BO136" s="675">
        <v>0</v>
      </c>
      <c r="BP136" s="675">
        <v>0</v>
      </c>
      <c r="BQ136" s="675">
        <v>609</v>
      </c>
      <c r="BR136" s="675">
        <v>0</v>
      </c>
      <c r="BS136" s="675">
        <v>0</v>
      </c>
      <c r="BT136" s="675">
        <v>0</v>
      </c>
      <c r="BU136" s="675">
        <v>0</v>
      </c>
      <c r="BV136" s="675">
        <v>0</v>
      </c>
      <c r="BW136" s="675">
        <v>0</v>
      </c>
      <c r="BX136" s="675">
        <v>0</v>
      </c>
      <c r="BY136" s="675">
        <v>0</v>
      </c>
      <c r="BZ136" s="675">
        <v>0</v>
      </c>
      <c r="CA136" s="675">
        <v>0</v>
      </c>
      <c r="CB136" s="675">
        <v>0</v>
      </c>
      <c r="CC136" s="675">
        <v>0</v>
      </c>
      <c r="CD136" s="675">
        <v>0</v>
      </c>
      <c r="CE136" s="675">
        <v>0</v>
      </c>
      <c r="CF136" s="675">
        <v>0</v>
      </c>
      <c r="CG136" s="675">
        <v>0</v>
      </c>
      <c r="CH136" s="675">
        <v>203326</v>
      </c>
      <c r="CI136" s="675">
        <v>0</v>
      </c>
      <c r="CJ136" s="675">
        <v>4</v>
      </c>
      <c r="CK136" s="675">
        <v>0</v>
      </c>
      <c r="CL136" s="675">
        <v>0</v>
      </c>
      <c r="CM136" s="675">
        <v>0</v>
      </c>
      <c r="CN136" s="675">
        <v>0</v>
      </c>
      <c r="CO136" s="675">
        <v>1</v>
      </c>
      <c r="CP136" s="675">
        <v>0</v>
      </c>
      <c r="CQ136" s="675">
        <v>0</v>
      </c>
      <c r="CR136" s="675">
        <v>1124.2809999999999</v>
      </c>
      <c r="CS136" s="675">
        <v>0</v>
      </c>
      <c r="CT136" s="675">
        <v>0</v>
      </c>
      <c r="CU136" s="675">
        <v>0</v>
      </c>
      <c r="CV136" s="675">
        <v>0</v>
      </c>
      <c r="CW136" s="675">
        <v>0</v>
      </c>
      <c r="CX136" s="675">
        <v>0</v>
      </c>
      <c r="CY136" s="675">
        <v>0</v>
      </c>
      <c r="CZ136" s="675">
        <v>0</v>
      </c>
      <c r="DA136" s="675">
        <v>0</v>
      </c>
      <c r="DB136" s="675">
        <v>6420723</v>
      </c>
      <c r="DC136" s="675">
        <v>0</v>
      </c>
      <c r="DD136" s="675">
        <v>0</v>
      </c>
      <c r="DE136" s="675">
        <v>1945011</v>
      </c>
      <c r="DF136" s="675">
        <v>1945011</v>
      </c>
      <c r="DG136" s="675">
        <v>315.75</v>
      </c>
      <c r="DH136" s="675">
        <v>0</v>
      </c>
      <c r="DI136" s="675">
        <v>0</v>
      </c>
      <c r="DJ136" s="675">
        <v>0</v>
      </c>
      <c r="DK136" s="675">
        <v>1374</v>
      </c>
      <c r="DL136" s="675">
        <v>0</v>
      </c>
      <c r="DM136" s="675">
        <v>886886</v>
      </c>
      <c r="DN136" s="675">
        <v>3336</v>
      </c>
      <c r="DO136" s="675">
        <v>0</v>
      </c>
      <c r="DP136" s="675">
        <v>0</v>
      </c>
      <c r="DQ136" s="675">
        <v>0</v>
      </c>
      <c r="DR136" s="675">
        <v>0</v>
      </c>
      <c r="DS136" s="675">
        <v>0</v>
      </c>
      <c r="DT136" s="675">
        <v>0</v>
      </c>
      <c r="DU136" s="675">
        <v>0</v>
      </c>
      <c r="DV136" s="675">
        <v>0</v>
      </c>
      <c r="DW136" s="675">
        <v>0</v>
      </c>
      <c r="DX136" s="675">
        <v>0</v>
      </c>
      <c r="DY136" s="675">
        <v>0</v>
      </c>
      <c r="DZ136" s="675">
        <v>0</v>
      </c>
      <c r="EA136" s="675">
        <v>0</v>
      </c>
      <c r="EB136" s="675">
        <v>0</v>
      </c>
      <c r="EC136" s="675">
        <v>52.308</v>
      </c>
      <c r="ED136" s="675">
        <v>370548</v>
      </c>
      <c r="EE136" s="675">
        <v>0</v>
      </c>
      <c r="EF136" s="675">
        <v>0</v>
      </c>
      <c r="EG136" s="675">
        <v>0</v>
      </c>
      <c r="EH136" s="675">
        <v>519674</v>
      </c>
      <c r="EI136" s="675">
        <v>0</v>
      </c>
      <c r="EJ136" s="675">
        <v>0</v>
      </c>
      <c r="EK136" s="675">
        <v>19.064</v>
      </c>
      <c r="EL136" s="675">
        <v>0</v>
      </c>
      <c r="EM136" s="675">
        <v>4.492</v>
      </c>
      <c r="EN136" s="675">
        <v>2.7390000000000003</v>
      </c>
      <c r="EO136" s="675">
        <v>0</v>
      </c>
      <c r="EP136" s="675">
        <v>0</v>
      </c>
      <c r="EQ136" s="675">
        <v>26.295000000000002</v>
      </c>
      <c r="ER136" s="675">
        <v>0</v>
      </c>
      <c r="ES136" s="675">
        <v>84.363</v>
      </c>
      <c r="ET136" s="675">
        <v>0</v>
      </c>
      <c r="EU136" s="675">
        <v>0</v>
      </c>
      <c r="EV136" s="675">
        <v>0</v>
      </c>
      <c r="EW136" s="675">
        <v>0</v>
      </c>
      <c r="EX136" s="675">
        <v>0</v>
      </c>
      <c r="EY136" s="675">
        <v>0</v>
      </c>
      <c r="EZ136" s="675">
        <v>11404387</v>
      </c>
      <c r="FA136" s="675">
        <v>0</v>
      </c>
      <c r="FB136" s="675">
        <v>11874375</v>
      </c>
      <c r="FC136" s="675">
        <v>0</v>
      </c>
      <c r="FD136" s="675">
        <v>0</v>
      </c>
      <c r="FE136" s="675">
        <v>1207443</v>
      </c>
      <c r="FF136" s="675">
        <v>249731</v>
      </c>
      <c r="FG136" s="675">
        <v>6.3574999999999993E-2</v>
      </c>
      <c r="FH136" s="675">
        <v>2.6297999999999998E-2</v>
      </c>
      <c r="FI136" s="675">
        <v>0</v>
      </c>
      <c r="FJ136" s="675">
        <v>0</v>
      </c>
      <c r="FK136" s="675">
        <v>1926.991</v>
      </c>
      <c r="FL136" s="675">
        <v>13534875</v>
      </c>
      <c r="FM136" s="675">
        <v>0</v>
      </c>
      <c r="FN136" s="675">
        <v>0</v>
      </c>
      <c r="FO136" s="675">
        <v>0</v>
      </c>
      <c r="FP136" s="675">
        <v>0</v>
      </c>
      <c r="FQ136" s="675">
        <v>0</v>
      </c>
      <c r="FR136" s="675">
        <v>0</v>
      </c>
      <c r="FS136" s="675">
        <v>0</v>
      </c>
      <c r="FT136" s="675">
        <v>0</v>
      </c>
      <c r="FU136" s="675">
        <v>0</v>
      </c>
      <c r="FV136" s="675">
        <v>0</v>
      </c>
      <c r="FW136" s="675">
        <v>0</v>
      </c>
      <c r="FX136" s="675">
        <v>0</v>
      </c>
      <c r="FY136" s="675">
        <v>0</v>
      </c>
      <c r="FZ136" s="675">
        <v>0</v>
      </c>
      <c r="GA136" s="675">
        <v>0</v>
      </c>
      <c r="GB136" s="675">
        <v>794253</v>
      </c>
      <c r="GC136" s="675">
        <v>794253</v>
      </c>
      <c r="GD136" s="675">
        <v>83</v>
      </c>
      <c r="GE136" s="675">
        <v>0</v>
      </c>
      <c r="GF136" s="675">
        <v>0</v>
      </c>
      <c r="GG136" s="675">
        <v>0</v>
      </c>
      <c r="GH136" s="675">
        <v>0</v>
      </c>
      <c r="GI136" s="675">
        <v>0</v>
      </c>
      <c r="GJ136" s="675">
        <v>0</v>
      </c>
      <c r="GK136" s="675">
        <v>0</v>
      </c>
      <c r="GL136" s="675">
        <v>0</v>
      </c>
      <c r="GM136" s="675">
        <v>0</v>
      </c>
      <c r="GN136" s="675">
        <v>0</v>
      </c>
      <c r="GO136" s="675">
        <v>0</v>
      </c>
      <c r="GP136" s="675">
        <v>0</v>
      </c>
      <c r="GQ136" s="675">
        <v>0</v>
      </c>
      <c r="GR136" s="675">
        <v>0</v>
      </c>
      <c r="GS136" s="675">
        <v>0</v>
      </c>
      <c r="GT136" s="675">
        <v>0</v>
      </c>
      <c r="GU136" s="675">
        <v>0</v>
      </c>
      <c r="GV136" s="675">
        <v>0</v>
      </c>
      <c r="GW136" s="675">
        <v>0</v>
      </c>
      <c r="GX136" s="675">
        <v>0</v>
      </c>
      <c r="GY136" s="675">
        <v>0</v>
      </c>
      <c r="GZ136" s="675">
        <v>0</v>
      </c>
      <c r="HA136" s="675">
        <v>0</v>
      </c>
      <c r="HB136" s="675">
        <v>308877260</v>
      </c>
      <c r="HC136" s="675">
        <v>4.4138999999999998E-2</v>
      </c>
      <c r="HD136" s="675">
        <v>203326</v>
      </c>
      <c r="HE136" s="675">
        <v>0</v>
      </c>
      <c r="HF136" s="675">
        <v>1149690</v>
      </c>
      <c r="HG136" s="675">
        <v>15399</v>
      </c>
      <c r="HH136" s="675">
        <v>265341</v>
      </c>
      <c r="HI136" s="675">
        <v>0</v>
      </c>
      <c r="HJ136" s="675">
        <v>11194</v>
      </c>
      <c r="HK136" s="675">
        <v>4455</v>
      </c>
      <c r="HL136" s="675">
        <v>3124</v>
      </c>
      <c r="HM136" s="675">
        <v>20000</v>
      </c>
      <c r="HN136" s="675">
        <v>0</v>
      </c>
      <c r="HO136" s="675">
        <v>0</v>
      </c>
      <c r="HP136" s="675">
        <v>0</v>
      </c>
      <c r="HQ136" s="675">
        <v>0</v>
      </c>
      <c r="HR136" s="675">
        <v>0</v>
      </c>
      <c r="HS136" s="675">
        <v>11400973</v>
      </c>
      <c r="HT136" s="675">
        <v>249731</v>
      </c>
      <c r="HU136" s="675">
        <v>0</v>
      </c>
      <c r="HV136" s="675">
        <v>0</v>
      </c>
      <c r="HW136" s="675">
        <v>0</v>
      </c>
      <c r="HX136" s="675">
        <v>22</v>
      </c>
      <c r="HY136" s="675">
        <v>51</v>
      </c>
      <c r="HZ136" s="675">
        <v>383</v>
      </c>
      <c r="IA136" s="675">
        <v>463</v>
      </c>
      <c r="IB136" s="675">
        <v>296</v>
      </c>
      <c r="IC136" s="675">
        <v>1215</v>
      </c>
      <c r="ID136" s="675">
        <v>0</v>
      </c>
      <c r="IE136" s="675">
        <v>0</v>
      </c>
      <c r="IF136" s="675">
        <v>0</v>
      </c>
      <c r="IG136" s="675">
        <v>24.998000000000001</v>
      </c>
      <c r="IH136" s="675">
        <v>430.75</v>
      </c>
      <c r="II136" s="675">
        <v>0</v>
      </c>
      <c r="IJ136" s="675">
        <v>562.18299999999999</v>
      </c>
      <c r="IK136" s="675">
        <v>0</v>
      </c>
      <c r="IL136" s="675">
        <v>4</v>
      </c>
      <c r="IM136" s="675">
        <v>0</v>
      </c>
      <c r="IN136" s="675">
        <v>0</v>
      </c>
      <c r="IO136" s="675">
        <v>4</v>
      </c>
      <c r="IP136" s="675">
        <v>0</v>
      </c>
      <c r="IQ136" s="675">
        <v>562.18299999999999</v>
      </c>
      <c r="IR136" s="675">
        <v>346303</v>
      </c>
      <c r="IS136" s="675">
        <v>0</v>
      </c>
      <c r="IT136" s="675">
        <v>20000</v>
      </c>
      <c r="IU136" s="675">
        <v>0</v>
      </c>
      <c r="IV136" s="675">
        <v>0</v>
      </c>
      <c r="IW136" s="675">
        <v>6160</v>
      </c>
      <c r="IX136" s="675">
        <v>0</v>
      </c>
      <c r="IY136" s="675">
        <v>0</v>
      </c>
      <c r="IZ136" s="675">
        <v>0</v>
      </c>
      <c r="JA136" s="675">
        <v>0</v>
      </c>
      <c r="JB136" s="675">
        <v>0</v>
      </c>
      <c r="JC136" s="675">
        <v>0</v>
      </c>
      <c r="JD136" s="675">
        <v>0</v>
      </c>
      <c r="JE136" s="675">
        <v>0</v>
      </c>
      <c r="JF136" s="675">
        <v>0</v>
      </c>
      <c r="JG136" s="675">
        <v>0</v>
      </c>
      <c r="JH136" s="675">
        <v>0</v>
      </c>
      <c r="JI136" s="675">
        <v>0</v>
      </c>
      <c r="JJ136" s="675">
        <v>0</v>
      </c>
      <c r="JK136" s="675">
        <v>0</v>
      </c>
      <c r="JL136" s="675">
        <v>0</v>
      </c>
      <c r="JM136" s="675">
        <v>0</v>
      </c>
      <c r="JN136" s="675">
        <v>32469</v>
      </c>
      <c r="JO136" s="675">
        <v>6.2E-2</v>
      </c>
      <c r="JP136" s="675">
        <v>66.487000000000009</v>
      </c>
      <c r="JQ136" s="675">
        <v>16.452000000000002</v>
      </c>
      <c r="JR136" s="675">
        <v>495</v>
      </c>
      <c r="JS136" s="675">
        <v>618106</v>
      </c>
      <c r="JT136" s="675">
        <v>175652</v>
      </c>
      <c r="JU136" s="675">
        <v>12074</v>
      </c>
      <c r="JV136" s="675">
        <v>0</v>
      </c>
      <c r="JW136" s="675">
        <v>0</v>
      </c>
      <c r="JX136" s="675">
        <v>0</v>
      </c>
      <c r="JY136" s="675">
        <v>0</v>
      </c>
      <c r="JZ136" s="675">
        <v>0</v>
      </c>
      <c r="KA136" s="675">
        <v>0</v>
      </c>
      <c r="KB136" s="675">
        <v>0</v>
      </c>
      <c r="KC136" s="675">
        <v>0</v>
      </c>
      <c r="KD136" s="675">
        <v>12074</v>
      </c>
      <c r="KE136" s="675">
        <v>7263</v>
      </c>
      <c r="KF136" s="675">
        <v>0</v>
      </c>
      <c r="KG136" s="675">
        <v>0</v>
      </c>
      <c r="KH136" s="675">
        <v>0</v>
      </c>
      <c r="KI136" s="675">
        <v>0</v>
      </c>
    </row>
    <row r="137" spans="1:295" ht="12.5" x14ac:dyDescent="0.25">
      <c r="A137" s="675">
        <v>35795</v>
      </c>
      <c r="B137" s="675">
        <v>15831</v>
      </c>
      <c r="C137" s="675">
        <v>7</v>
      </c>
      <c r="D137" s="675">
        <v>2022</v>
      </c>
      <c r="E137" s="675">
        <v>6160</v>
      </c>
      <c r="F137" s="675">
        <v>0</v>
      </c>
      <c r="G137" s="675">
        <v>4780.7539999999999</v>
      </c>
      <c r="H137" s="675">
        <v>4402.7820000000002</v>
      </c>
      <c r="I137" s="675">
        <v>4402.7820000000002</v>
      </c>
      <c r="J137" s="675">
        <v>4780.7539999999999</v>
      </c>
      <c r="K137" s="675">
        <v>0</v>
      </c>
      <c r="L137" s="675">
        <v>6160</v>
      </c>
      <c r="M137" s="675">
        <v>0</v>
      </c>
      <c r="N137" s="675">
        <v>0</v>
      </c>
      <c r="O137" s="675">
        <v>0</v>
      </c>
      <c r="P137" s="675">
        <v>4372.1140000000005</v>
      </c>
      <c r="Q137" s="675">
        <v>0</v>
      </c>
      <c r="R137" s="675">
        <v>1759461</v>
      </c>
      <c r="S137" s="675">
        <v>402.428</v>
      </c>
      <c r="T137" s="675">
        <v>0</v>
      </c>
      <c r="U137" s="675">
        <v>935637</v>
      </c>
      <c r="V137" s="675">
        <v>743.74700000000007</v>
      </c>
      <c r="W137" s="675">
        <v>458146</v>
      </c>
      <c r="X137" s="675">
        <v>458146</v>
      </c>
      <c r="Y137" s="675">
        <v>0</v>
      </c>
      <c r="Z137" s="675">
        <v>0</v>
      </c>
      <c r="AA137" s="675">
        <v>0</v>
      </c>
      <c r="AB137" s="675">
        <v>0</v>
      </c>
      <c r="AC137" s="675">
        <v>0</v>
      </c>
      <c r="AD137" s="675" t="s">
        <v>316</v>
      </c>
      <c r="AE137" s="675">
        <v>0</v>
      </c>
      <c r="AF137" s="675">
        <v>0</v>
      </c>
      <c r="AG137" s="675">
        <v>0</v>
      </c>
      <c r="AH137" s="675">
        <v>0</v>
      </c>
      <c r="AI137" s="675">
        <v>0</v>
      </c>
      <c r="AJ137" s="675">
        <v>6160</v>
      </c>
      <c r="AK137" s="675" t="s">
        <v>671</v>
      </c>
      <c r="AL137" s="675" t="s">
        <v>318</v>
      </c>
      <c r="AM137" s="675">
        <v>0</v>
      </c>
      <c r="AN137" s="675">
        <v>0</v>
      </c>
      <c r="AO137" s="675">
        <v>0</v>
      </c>
      <c r="AP137" s="675">
        <v>0</v>
      </c>
      <c r="AQ137" s="675">
        <v>0</v>
      </c>
      <c r="AR137" s="675">
        <v>0</v>
      </c>
      <c r="AS137" s="675">
        <v>0</v>
      </c>
      <c r="AT137" s="675">
        <v>0</v>
      </c>
      <c r="AU137" s="675">
        <v>0</v>
      </c>
      <c r="AV137" s="675">
        <v>-578420</v>
      </c>
      <c r="AW137" s="675">
        <v>49247134</v>
      </c>
      <c r="AX137" s="675">
        <v>48226695</v>
      </c>
      <c r="AY137" s="675">
        <v>31955573</v>
      </c>
      <c r="AZ137" s="675">
        <v>1759461</v>
      </c>
      <c r="BA137" s="675">
        <v>0</v>
      </c>
      <c r="BB137" s="675">
        <v>103056</v>
      </c>
      <c r="BC137" s="675">
        <v>102389</v>
      </c>
      <c r="BD137" s="675">
        <v>239</v>
      </c>
      <c r="BE137" s="675">
        <v>667</v>
      </c>
      <c r="BF137" s="675">
        <v>44347667</v>
      </c>
      <c r="BG137" s="675">
        <v>0</v>
      </c>
      <c r="BH137" s="675">
        <v>0</v>
      </c>
      <c r="BI137" s="675">
        <v>0</v>
      </c>
      <c r="BJ137" s="675">
        <v>12</v>
      </c>
      <c r="BK137" s="675">
        <v>0</v>
      </c>
      <c r="BL137" s="675">
        <v>0</v>
      </c>
      <c r="BM137" s="675">
        <v>0</v>
      </c>
      <c r="BN137" s="675">
        <v>0</v>
      </c>
      <c r="BO137" s="675">
        <v>0</v>
      </c>
      <c r="BP137" s="675">
        <v>0</v>
      </c>
      <c r="BQ137" s="675">
        <v>92</v>
      </c>
      <c r="BR137" s="675">
        <v>0</v>
      </c>
      <c r="BS137" s="675">
        <v>0</v>
      </c>
      <c r="BT137" s="675">
        <v>0</v>
      </c>
      <c r="BU137" s="675">
        <v>0</v>
      </c>
      <c r="BV137" s="675">
        <v>0</v>
      </c>
      <c r="BW137" s="675">
        <v>0</v>
      </c>
      <c r="BX137" s="675">
        <v>0</v>
      </c>
      <c r="BY137" s="675">
        <v>0</v>
      </c>
      <c r="BZ137" s="675">
        <v>0</v>
      </c>
      <c r="CA137" s="675">
        <v>222.19300000000001</v>
      </c>
      <c r="CB137" s="675">
        <v>189480</v>
      </c>
      <c r="CC137" s="675">
        <v>0</v>
      </c>
      <c r="CD137" s="675">
        <v>0</v>
      </c>
      <c r="CE137" s="675">
        <v>0</v>
      </c>
      <c r="CF137" s="675">
        <v>0</v>
      </c>
      <c r="CG137" s="675">
        <v>0</v>
      </c>
      <c r="CH137" s="675">
        <v>1033029</v>
      </c>
      <c r="CI137" s="675">
        <v>0</v>
      </c>
      <c r="CJ137" s="675">
        <v>4</v>
      </c>
      <c r="CK137" s="675">
        <v>0</v>
      </c>
      <c r="CL137" s="675">
        <v>0</v>
      </c>
      <c r="CM137" s="675">
        <v>0</v>
      </c>
      <c r="CN137" s="675">
        <v>0</v>
      </c>
      <c r="CO137" s="675">
        <v>1</v>
      </c>
      <c r="CP137" s="675">
        <v>0</v>
      </c>
      <c r="CQ137" s="675">
        <v>0</v>
      </c>
      <c r="CR137" s="675">
        <v>4409.1210000000001</v>
      </c>
      <c r="CS137" s="675">
        <v>0</v>
      </c>
      <c r="CT137" s="675">
        <v>0</v>
      </c>
      <c r="CU137" s="675">
        <v>0</v>
      </c>
      <c r="CV137" s="675">
        <v>0</v>
      </c>
      <c r="CW137" s="675">
        <v>0</v>
      </c>
      <c r="CX137" s="675">
        <v>0</v>
      </c>
      <c r="CY137" s="675">
        <v>0</v>
      </c>
      <c r="CZ137" s="675">
        <v>0</v>
      </c>
      <c r="DA137" s="675">
        <v>0</v>
      </c>
      <c r="DB137" s="675">
        <v>27121011</v>
      </c>
      <c r="DC137" s="675">
        <v>0</v>
      </c>
      <c r="DD137" s="675">
        <v>0</v>
      </c>
      <c r="DE137" s="675">
        <v>5157898</v>
      </c>
      <c r="DF137" s="675">
        <v>5157898</v>
      </c>
      <c r="DG137" s="675">
        <v>837.32500000000005</v>
      </c>
      <c r="DH137" s="675">
        <v>0</v>
      </c>
      <c r="DI137" s="675">
        <v>0</v>
      </c>
      <c r="DJ137" s="675">
        <v>0</v>
      </c>
      <c r="DK137" s="675">
        <v>0</v>
      </c>
      <c r="DL137" s="675">
        <v>0</v>
      </c>
      <c r="DM137" s="675">
        <v>3169603</v>
      </c>
      <c r="DN137" s="675">
        <v>11923</v>
      </c>
      <c r="DO137" s="675">
        <v>0</v>
      </c>
      <c r="DP137" s="675">
        <v>0</v>
      </c>
      <c r="DQ137" s="675">
        <v>0</v>
      </c>
      <c r="DR137" s="675">
        <v>0</v>
      </c>
      <c r="DS137" s="675">
        <v>0</v>
      </c>
      <c r="DT137" s="675">
        <v>0</v>
      </c>
      <c r="DU137" s="675">
        <v>0</v>
      </c>
      <c r="DV137" s="675">
        <v>0</v>
      </c>
      <c r="DW137" s="675">
        <v>0</v>
      </c>
      <c r="DX137" s="675">
        <v>0</v>
      </c>
      <c r="DY137" s="675">
        <v>0</v>
      </c>
      <c r="DZ137" s="675">
        <v>0</v>
      </c>
      <c r="EA137" s="675">
        <v>0</v>
      </c>
      <c r="EB137" s="675">
        <v>0</v>
      </c>
      <c r="EC137" s="675">
        <v>62.699000000000005</v>
      </c>
      <c r="ED137" s="675">
        <v>444158</v>
      </c>
      <c r="EE137" s="675">
        <v>0</v>
      </c>
      <c r="EF137" s="675">
        <v>0</v>
      </c>
      <c r="EG137" s="675">
        <v>0</v>
      </c>
      <c r="EH137" s="675">
        <v>2737368</v>
      </c>
      <c r="EI137" s="675">
        <v>0</v>
      </c>
      <c r="EJ137" s="675">
        <v>0</v>
      </c>
      <c r="EK137" s="675">
        <v>116.04</v>
      </c>
      <c r="EL137" s="675">
        <v>0</v>
      </c>
      <c r="EM137" s="675">
        <v>15.450000000000001</v>
      </c>
      <c r="EN137" s="675">
        <v>9.9820000000000011</v>
      </c>
      <c r="EO137" s="675">
        <v>0</v>
      </c>
      <c r="EP137" s="675">
        <v>0</v>
      </c>
      <c r="EQ137" s="675">
        <v>141.47200000000001</v>
      </c>
      <c r="ER137" s="675">
        <v>0</v>
      </c>
      <c r="ES137" s="675">
        <v>444.38</v>
      </c>
      <c r="ET137" s="675">
        <v>0</v>
      </c>
      <c r="EU137" s="675">
        <v>0</v>
      </c>
      <c r="EV137" s="675">
        <v>0</v>
      </c>
      <c r="EW137" s="675">
        <v>0</v>
      </c>
      <c r="EX137" s="675">
        <v>0</v>
      </c>
      <c r="EY137" s="675">
        <v>0</v>
      </c>
      <c r="EZ137" s="675">
        <v>42782621</v>
      </c>
      <c r="FA137" s="675">
        <v>0</v>
      </c>
      <c r="FB137" s="675">
        <v>44529492</v>
      </c>
      <c r="FC137" s="675">
        <v>0</v>
      </c>
      <c r="FD137" s="675">
        <v>0</v>
      </c>
      <c r="FE137" s="675">
        <v>4511066</v>
      </c>
      <c r="FF137" s="675">
        <v>933008</v>
      </c>
      <c r="FG137" s="675">
        <v>6.3574999999999993E-2</v>
      </c>
      <c r="FH137" s="675">
        <v>2.6297999999999998E-2</v>
      </c>
      <c r="FI137" s="675">
        <v>0</v>
      </c>
      <c r="FJ137" s="675">
        <v>0</v>
      </c>
      <c r="FK137" s="675">
        <v>7199.33</v>
      </c>
      <c r="FL137" s="675">
        <v>51006595</v>
      </c>
      <c r="FM137" s="675">
        <v>0</v>
      </c>
      <c r="FN137" s="675">
        <v>0</v>
      </c>
      <c r="FO137" s="675">
        <v>0</v>
      </c>
      <c r="FP137" s="675">
        <v>0</v>
      </c>
      <c r="FQ137" s="675">
        <v>0</v>
      </c>
      <c r="FR137" s="675">
        <v>0</v>
      </c>
      <c r="FS137" s="675">
        <v>0</v>
      </c>
      <c r="FT137" s="675">
        <v>0</v>
      </c>
      <c r="FU137" s="675">
        <v>0</v>
      </c>
      <c r="FV137" s="675">
        <v>0</v>
      </c>
      <c r="FW137" s="675">
        <v>0</v>
      </c>
      <c r="FX137" s="675">
        <v>0</v>
      </c>
      <c r="FY137" s="675">
        <v>0</v>
      </c>
      <c r="FZ137" s="675">
        <v>0</v>
      </c>
      <c r="GA137" s="675">
        <v>0</v>
      </c>
      <c r="GB137" s="675">
        <v>2173912</v>
      </c>
      <c r="GC137" s="675">
        <v>2173912</v>
      </c>
      <c r="GD137" s="675">
        <v>236.5</v>
      </c>
      <c r="GE137" s="675">
        <v>0</v>
      </c>
      <c r="GF137" s="675">
        <v>0</v>
      </c>
      <c r="GG137" s="675">
        <v>0</v>
      </c>
      <c r="GH137" s="675">
        <v>0</v>
      </c>
      <c r="GI137" s="675">
        <v>0</v>
      </c>
      <c r="GJ137" s="675">
        <v>0</v>
      </c>
      <c r="GK137" s="675">
        <v>0</v>
      </c>
      <c r="GL137" s="675">
        <v>0</v>
      </c>
      <c r="GM137" s="675">
        <v>0</v>
      </c>
      <c r="GN137" s="675">
        <v>0</v>
      </c>
      <c r="GO137" s="675">
        <v>0</v>
      </c>
      <c r="GP137" s="675">
        <v>0</v>
      </c>
      <c r="GQ137" s="675">
        <v>0</v>
      </c>
      <c r="GR137" s="675">
        <v>0</v>
      </c>
      <c r="GS137" s="675">
        <v>0</v>
      </c>
      <c r="GT137" s="675">
        <v>0</v>
      </c>
      <c r="GU137" s="675">
        <v>0</v>
      </c>
      <c r="GV137" s="675">
        <v>0</v>
      </c>
      <c r="GW137" s="675">
        <v>0</v>
      </c>
      <c r="GX137" s="675">
        <v>0</v>
      </c>
      <c r="GY137" s="675">
        <v>0</v>
      </c>
      <c r="GZ137" s="675">
        <v>0</v>
      </c>
      <c r="HA137" s="675">
        <v>0</v>
      </c>
      <c r="HB137" s="675">
        <v>308877260</v>
      </c>
      <c r="HC137" s="675">
        <v>4.4138999999999998E-2</v>
      </c>
      <c r="HD137" s="675">
        <v>844068</v>
      </c>
      <c r="HE137" s="675">
        <v>0</v>
      </c>
      <c r="HF137" s="675">
        <v>4856269</v>
      </c>
      <c r="HG137" s="675">
        <v>52360</v>
      </c>
      <c r="HH137" s="675">
        <v>1050897</v>
      </c>
      <c r="HI137" s="675">
        <v>0</v>
      </c>
      <c r="HJ137" s="675">
        <v>46469</v>
      </c>
      <c r="HK137" s="675">
        <v>2988</v>
      </c>
      <c r="HL137" s="675">
        <v>1947</v>
      </c>
      <c r="HM137" s="675">
        <v>24000</v>
      </c>
      <c r="HN137" s="675">
        <v>122123</v>
      </c>
      <c r="HO137" s="675">
        <v>0</v>
      </c>
      <c r="HP137" s="675">
        <v>0</v>
      </c>
      <c r="HQ137" s="675">
        <v>0</v>
      </c>
      <c r="HR137" s="675">
        <v>0</v>
      </c>
      <c r="HS137" s="675">
        <v>42770031</v>
      </c>
      <c r="HT137" s="675">
        <v>933008</v>
      </c>
      <c r="HU137" s="675">
        <v>0</v>
      </c>
      <c r="HV137" s="675">
        <v>0</v>
      </c>
      <c r="HW137" s="675">
        <v>0</v>
      </c>
      <c r="HX137" s="675">
        <v>1112</v>
      </c>
      <c r="HY137" s="675">
        <v>646</v>
      </c>
      <c r="HZ137" s="675">
        <v>639</v>
      </c>
      <c r="IA137" s="675">
        <v>546</v>
      </c>
      <c r="IB137" s="675">
        <v>475</v>
      </c>
      <c r="IC137" s="675">
        <v>3418</v>
      </c>
      <c r="ID137" s="675">
        <v>0</v>
      </c>
      <c r="IE137" s="675">
        <v>0</v>
      </c>
      <c r="IF137" s="675">
        <v>0</v>
      </c>
      <c r="IG137" s="675">
        <v>85</v>
      </c>
      <c r="IH137" s="675">
        <v>1706.01</v>
      </c>
      <c r="II137" s="675">
        <v>0</v>
      </c>
      <c r="IJ137" s="675">
        <v>743.74700000000007</v>
      </c>
      <c r="IK137" s="675">
        <v>0</v>
      </c>
      <c r="IL137" s="675">
        <v>3</v>
      </c>
      <c r="IM137" s="675">
        <v>3</v>
      </c>
      <c r="IN137" s="675">
        <v>0</v>
      </c>
      <c r="IO137" s="675">
        <v>6</v>
      </c>
      <c r="IP137" s="675">
        <v>0</v>
      </c>
      <c r="IQ137" s="675">
        <v>743.74700000000007</v>
      </c>
      <c r="IR137" s="675">
        <v>458146</v>
      </c>
      <c r="IS137" s="675">
        <v>0</v>
      </c>
      <c r="IT137" s="675">
        <v>15000</v>
      </c>
      <c r="IU137" s="675">
        <v>9000</v>
      </c>
      <c r="IV137" s="675">
        <v>0</v>
      </c>
      <c r="IW137" s="675">
        <v>6160</v>
      </c>
      <c r="IX137" s="675">
        <v>0</v>
      </c>
      <c r="IY137" s="675">
        <v>0</v>
      </c>
      <c r="IZ137" s="675">
        <v>0</v>
      </c>
      <c r="JA137" s="675">
        <v>0</v>
      </c>
      <c r="JB137" s="675">
        <v>2</v>
      </c>
      <c r="JC137" s="675">
        <v>31182</v>
      </c>
      <c r="JD137" s="675">
        <v>7</v>
      </c>
      <c r="JE137" s="675">
        <v>61216</v>
      </c>
      <c r="JF137" s="675">
        <v>4</v>
      </c>
      <c r="JG137" s="675">
        <v>23225</v>
      </c>
      <c r="JH137" s="675">
        <v>6500</v>
      </c>
      <c r="JI137" s="675">
        <v>0</v>
      </c>
      <c r="JJ137" s="675">
        <v>0</v>
      </c>
      <c r="JK137" s="675">
        <v>0</v>
      </c>
      <c r="JL137" s="675">
        <v>0</v>
      </c>
      <c r="JM137" s="675">
        <v>0</v>
      </c>
      <c r="JN137" s="675">
        <v>32469</v>
      </c>
      <c r="JO137" s="675">
        <v>90</v>
      </c>
      <c r="JP137" s="675">
        <v>79.167000000000002</v>
      </c>
      <c r="JQ137" s="675">
        <v>67.332999999999998</v>
      </c>
      <c r="JR137" s="675">
        <v>719037</v>
      </c>
      <c r="JS137" s="675">
        <v>735987</v>
      </c>
      <c r="JT137" s="675">
        <v>718888</v>
      </c>
      <c r="JU137" s="675">
        <v>103056</v>
      </c>
      <c r="JV137" s="675">
        <v>0</v>
      </c>
      <c r="JW137" s="675">
        <v>0</v>
      </c>
      <c r="JX137" s="675">
        <v>0</v>
      </c>
      <c r="JY137" s="675">
        <v>0</v>
      </c>
      <c r="JZ137" s="675">
        <v>0</v>
      </c>
      <c r="KA137" s="675">
        <v>0</v>
      </c>
      <c r="KB137" s="675">
        <v>0</v>
      </c>
      <c r="KC137" s="675">
        <v>0</v>
      </c>
      <c r="KD137" s="675">
        <v>103056</v>
      </c>
      <c r="KE137" s="675">
        <v>7263</v>
      </c>
      <c r="KF137" s="675">
        <v>188961</v>
      </c>
      <c r="KG137" s="675">
        <v>0</v>
      </c>
      <c r="KH137" s="675">
        <v>0</v>
      </c>
      <c r="KI137" s="675">
        <v>0</v>
      </c>
    </row>
    <row r="138" spans="1:295" ht="12.5" x14ac:dyDescent="0.25">
      <c r="A138" s="675">
        <v>35795</v>
      </c>
      <c r="B138" s="675">
        <v>57831</v>
      </c>
      <c r="C138" s="675">
        <v>7</v>
      </c>
      <c r="D138" s="675">
        <v>2022</v>
      </c>
      <c r="E138" s="675">
        <v>6160</v>
      </c>
      <c r="F138" s="675">
        <v>0</v>
      </c>
      <c r="G138" s="675">
        <v>498.30100000000004</v>
      </c>
      <c r="H138" s="675">
        <v>464.98200000000003</v>
      </c>
      <c r="I138" s="675">
        <v>464.98200000000003</v>
      </c>
      <c r="J138" s="675">
        <v>498.30100000000004</v>
      </c>
      <c r="K138" s="675">
        <v>0</v>
      </c>
      <c r="L138" s="675">
        <v>6160</v>
      </c>
      <c r="M138" s="675">
        <v>0</v>
      </c>
      <c r="N138" s="675">
        <v>0</v>
      </c>
      <c r="O138" s="675">
        <v>0</v>
      </c>
      <c r="P138" s="675">
        <v>601.15700000000004</v>
      </c>
      <c r="Q138" s="675">
        <v>0</v>
      </c>
      <c r="R138" s="675">
        <v>241922</v>
      </c>
      <c r="S138" s="675">
        <v>402.428</v>
      </c>
      <c r="T138" s="675">
        <v>0</v>
      </c>
      <c r="U138" s="675">
        <v>128649</v>
      </c>
      <c r="V138" s="675">
        <v>0</v>
      </c>
      <c r="W138" s="675">
        <v>0</v>
      </c>
      <c r="X138" s="675">
        <v>0</v>
      </c>
      <c r="Y138" s="675">
        <v>0</v>
      </c>
      <c r="Z138" s="675">
        <v>0</v>
      </c>
      <c r="AA138" s="675">
        <v>0</v>
      </c>
      <c r="AB138" s="675">
        <v>0</v>
      </c>
      <c r="AC138" s="675">
        <v>0</v>
      </c>
      <c r="AD138" s="675" t="s">
        <v>316</v>
      </c>
      <c r="AE138" s="675">
        <v>0</v>
      </c>
      <c r="AF138" s="675">
        <v>0</v>
      </c>
      <c r="AG138" s="675">
        <v>0</v>
      </c>
      <c r="AH138" s="675">
        <v>0</v>
      </c>
      <c r="AI138" s="675">
        <v>0</v>
      </c>
      <c r="AJ138" s="675">
        <v>6160</v>
      </c>
      <c r="AK138" s="675" t="s">
        <v>671</v>
      </c>
      <c r="AL138" s="675" t="s">
        <v>47</v>
      </c>
      <c r="AM138" s="675">
        <v>0</v>
      </c>
      <c r="AN138" s="675">
        <v>0</v>
      </c>
      <c r="AO138" s="675">
        <v>0</v>
      </c>
      <c r="AP138" s="675">
        <v>0</v>
      </c>
      <c r="AQ138" s="675">
        <v>0</v>
      </c>
      <c r="AR138" s="675">
        <v>0</v>
      </c>
      <c r="AS138" s="675">
        <v>0</v>
      </c>
      <c r="AT138" s="675">
        <v>0</v>
      </c>
      <c r="AU138" s="675">
        <v>0</v>
      </c>
      <c r="AV138" s="675">
        <v>-6166</v>
      </c>
      <c r="AW138" s="675">
        <v>5420220</v>
      </c>
      <c r="AX138" s="675">
        <v>5241597</v>
      </c>
      <c r="AY138" s="675">
        <v>3972704</v>
      </c>
      <c r="AZ138" s="675">
        <v>241922</v>
      </c>
      <c r="BA138" s="675">
        <v>0</v>
      </c>
      <c r="BB138" s="675">
        <v>1725</v>
      </c>
      <c r="BC138" s="675">
        <v>1714</v>
      </c>
      <c r="BD138" s="675">
        <v>4</v>
      </c>
      <c r="BE138" s="675">
        <v>11</v>
      </c>
      <c r="BF138" s="675">
        <v>4843801</v>
      </c>
      <c r="BG138" s="675">
        <v>0</v>
      </c>
      <c r="BH138" s="675">
        <v>0</v>
      </c>
      <c r="BI138" s="675">
        <v>0</v>
      </c>
      <c r="BJ138" s="675">
        <v>12</v>
      </c>
      <c r="BK138" s="675">
        <v>0</v>
      </c>
      <c r="BL138" s="675">
        <v>0</v>
      </c>
      <c r="BM138" s="675">
        <v>0</v>
      </c>
      <c r="BN138" s="675">
        <v>0</v>
      </c>
      <c r="BO138" s="675">
        <v>0</v>
      </c>
      <c r="BP138" s="675">
        <v>0</v>
      </c>
      <c r="BQ138" s="675">
        <v>698</v>
      </c>
      <c r="BR138" s="675">
        <v>0</v>
      </c>
      <c r="BS138" s="675">
        <v>0</v>
      </c>
      <c r="BT138" s="675">
        <v>0</v>
      </c>
      <c r="BU138" s="675">
        <v>0</v>
      </c>
      <c r="BV138" s="675">
        <v>0</v>
      </c>
      <c r="BW138" s="675">
        <v>0</v>
      </c>
      <c r="BX138" s="675">
        <v>0</v>
      </c>
      <c r="BY138" s="675">
        <v>0</v>
      </c>
      <c r="BZ138" s="675">
        <v>0</v>
      </c>
      <c r="CA138" s="675">
        <v>0</v>
      </c>
      <c r="CB138" s="675">
        <v>0</v>
      </c>
      <c r="CC138" s="675">
        <v>0</v>
      </c>
      <c r="CD138" s="675">
        <v>0</v>
      </c>
      <c r="CE138" s="675">
        <v>0</v>
      </c>
      <c r="CF138" s="675">
        <v>0</v>
      </c>
      <c r="CG138" s="675">
        <v>0</v>
      </c>
      <c r="CH138" s="675">
        <v>179465</v>
      </c>
      <c r="CI138" s="675">
        <v>0</v>
      </c>
      <c r="CJ138" s="675">
        <v>4</v>
      </c>
      <c r="CK138" s="675">
        <v>0</v>
      </c>
      <c r="CL138" s="675">
        <v>0</v>
      </c>
      <c r="CM138" s="675">
        <v>0</v>
      </c>
      <c r="CN138" s="675">
        <v>0</v>
      </c>
      <c r="CO138" s="675">
        <v>1</v>
      </c>
      <c r="CP138" s="675">
        <v>0</v>
      </c>
      <c r="CQ138" s="675">
        <v>0</v>
      </c>
      <c r="CR138" s="675">
        <v>625.41700000000003</v>
      </c>
      <c r="CS138" s="675">
        <v>0</v>
      </c>
      <c r="CT138" s="675">
        <v>0</v>
      </c>
      <c r="CU138" s="675">
        <v>0</v>
      </c>
      <c r="CV138" s="675">
        <v>0</v>
      </c>
      <c r="CW138" s="675">
        <v>0</v>
      </c>
      <c r="CX138" s="675">
        <v>0</v>
      </c>
      <c r="CY138" s="675">
        <v>0</v>
      </c>
      <c r="CZ138" s="675">
        <v>0</v>
      </c>
      <c r="DA138" s="675">
        <v>0</v>
      </c>
      <c r="DB138" s="675">
        <v>2856830</v>
      </c>
      <c r="DC138" s="675">
        <v>0</v>
      </c>
      <c r="DD138" s="675">
        <v>0</v>
      </c>
      <c r="DE138" s="675">
        <v>793635</v>
      </c>
      <c r="DF138" s="675">
        <v>793635</v>
      </c>
      <c r="DG138" s="675">
        <v>128.83799999999999</v>
      </c>
      <c r="DH138" s="675">
        <v>0</v>
      </c>
      <c r="DI138" s="675">
        <v>0</v>
      </c>
      <c r="DJ138" s="675">
        <v>0</v>
      </c>
      <c r="DK138" s="675">
        <v>2797</v>
      </c>
      <c r="DL138" s="675">
        <v>0</v>
      </c>
      <c r="DM138" s="675">
        <v>228267</v>
      </c>
      <c r="DN138" s="675">
        <v>831</v>
      </c>
      <c r="DO138" s="675">
        <v>0</v>
      </c>
      <c r="DP138" s="675">
        <v>0</v>
      </c>
      <c r="DQ138" s="675">
        <v>0</v>
      </c>
      <c r="DR138" s="675">
        <v>0</v>
      </c>
      <c r="DS138" s="675">
        <v>0</v>
      </c>
      <c r="DT138" s="675">
        <v>0</v>
      </c>
      <c r="DU138" s="675">
        <v>0</v>
      </c>
      <c r="DV138" s="675">
        <v>0</v>
      </c>
      <c r="DW138" s="675">
        <v>0</v>
      </c>
      <c r="DX138" s="675">
        <v>0</v>
      </c>
      <c r="DY138" s="675">
        <v>0</v>
      </c>
      <c r="DZ138" s="675">
        <v>0</v>
      </c>
      <c r="EA138" s="675">
        <v>0</v>
      </c>
      <c r="EB138" s="675">
        <v>0</v>
      </c>
      <c r="EC138" s="675">
        <v>29.637</v>
      </c>
      <c r="ED138" s="675">
        <v>209948</v>
      </c>
      <c r="EE138" s="675">
        <v>0</v>
      </c>
      <c r="EF138" s="675">
        <v>0</v>
      </c>
      <c r="EG138" s="675">
        <v>0</v>
      </c>
      <c r="EH138" s="675">
        <v>11704</v>
      </c>
      <c r="EI138" s="675">
        <v>0</v>
      </c>
      <c r="EJ138" s="675">
        <v>0</v>
      </c>
      <c r="EK138" s="675">
        <v>0</v>
      </c>
      <c r="EL138" s="675">
        <v>0</v>
      </c>
      <c r="EM138" s="675">
        <v>0</v>
      </c>
      <c r="EN138" s="675">
        <v>0.38</v>
      </c>
      <c r="EO138" s="675">
        <v>0</v>
      </c>
      <c r="EP138" s="675">
        <v>0</v>
      </c>
      <c r="EQ138" s="675">
        <v>0.38</v>
      </c>
      <c r="ER138" s="675">
        <v>0</v>
      </c>
      <c r="ES138" s="675">
        <v>1.9000000000000001</v>
      </c>
      <c r="ET138" s="675">
        <v>0</v>
      </c>
      <c r="EU138" s="675">
        <v>0</v>
      </c>
      <c r="EV138" s="675">
        <v>0</v>
      </c>
      <c r="EW138" s="675">
        <v>0</v>
      </c>
      <c r="EX138" s="675">
        <v>0</v>
      </c>
      <c r="EY138" s="675">
        <v>0</v>
      </c>
      <c r="EZ138" s="675">
        <v>4646977</v>
      </c>
      <c r="FA138" s="675">
        <v>0</v>
      </c>
      <c r="FB138" s="675">
        <v>4888057</v>
      </c>
      <c r="FC138" s="675">
        <v>0</v>
      </c>
      <c r="FD138" s="675">
        <v>0</v>
      </c>
      <c r="FE138" s="675">
        <v>492714</v>
      </c>
      <c r="FF138" s="675">
        <v>101906</v>
      </c>
      <c r="FG138" s="675">
        <v>6.3574999999999993E-2</v>
      </c>
      <c r="FH138" s="675">
        <v>2.6297999999999998E-2</v>
      </c>
      <c r="FI138" s="675">
        <v>0</v>
      </c>
      <c r="FJ138" s="675">
        <v>0</v>
      </c>
      <c r="FK138" s="675">
        <v>786.33500000000004</v>
      </c>
      <c r="FL138" s="675">
        <v>5662142</v>
      </c>
      <c r="FM138" s="675">
        <v>0</v>
      </c>
      <c r="FN138" s="675">
        <v>0</v>
      </c>
      <c r="FO138" s="675">
        <v>42696</v>
      </c>
      <c r="FP138" s="675">
        <v>0</v>
      </c>
      <c r="FQ138" s="675">
        <v>42696</v>
      </c>
      <c r="FR138" s="675">
        <v>42696</v>
      </c>
      <c r="FS138" s="675">
        <v>0</v>
      </c>
      <c r="FT138" s="675">
        <v>0</v>
      </c>
      <c r="FU138" s="675">
        <v>0</v>
      </c>
      <c r="FV138" s="675">
        <v>0</v>
      </c>
      <c r="FW138" s="675">
        <v>0</v>
      </c>
      <c r="FX138" s="675">
        <v>0</v>
      </c>
      <c r="FY138" s="675">
        <v>0</v>
      </c>
      <c r="FZ138" s="675">
        <v>0</v>
      </c>
      <c r="GA138" s="675">
        <v>0</v>
      </c>
      <c r="GB138" s="675">
        <v>323046</v>
      </c>
      <c r="GC138" s="675">
        <v>323046</v>
      </c>
      <c r="GD138" s="675">
        <v>32.939</v>
      </c>
      <c r="GE138" s="675">
        <v>0</v>
      </c>
      <c r="GF138" s="675">
        <v>0</v>
      </c>
      <c r="GG138" s="675">
        <v>0</v>
      </c>
      <c r="GH138" s="675">
        <v>0</v>
      </c>
      <c r="GI138" s="675">
        <v>0</v>
      </c>
      <c r="GJ138" s="675">
        <v>0</v>
      </c>
      <c r="GK138" s="675">
        <v>0</v>
      </c>
      <c r="GL138" s="675">
        <v>0</v>
      </c>
      <c r="GM138" s="675">
        <v>0</v>
      </c>
      <c r="GN138" s="675">
        <v>0</v>
      </c>
      <c r="GO138" s="675">
        <v>0</v>
      </c>
      <c r="GP138" s="675">
        <v>0</v>
      </c>
      <c r="GQ138" s="675">
        <v>0</v>
      </c>
      <c r="GR138" s="675">
        <v>0</v>
      </c>
      <c r="GS138" s="675">
        <v>0</v>
      </c>
      <c r="GT138" s="675">
        <v>0</v>
      </c>
      <c r="GU138" s="675">
        <v>0</v>
      </c>
      <c r="GV138" s="675">
        <v>0</v>
      </c>
      <c r="GW138" s="675">
        <v>0</v>
      </c>
      <c r="GX138" s="675">
        <v>0</v>
      </c>
      <c r="GY138" s="675">
        <v>0</v>
      </c>
      <c r="GZ138" s="675">
        <v>0</v>
      </c>
      <c r="HA138" s="675">
        <v>0</v>
      </c>
      <c r="HB138" s="675">
        <v>308877260</v>
      </c>
      <c r="HC138" s="675">
        <v>4.4138999999999998E-2</v>
      </c>
      <c r="HD138" s="675">
        <v>87978</v>
      </c>
      <c r="HE138" s="675">
        <v>0</v>
      </c>
      <c r="HF138" s="675">
        <v>512875</v>
      </c>
      <c r="HG138" s="675">
        <v>642</v>
      </c>
      <c r="HH138" s="675">
        <v>116107</v>
      </c>
      <c r="HI138" s="675">
        <v>0</v>
      </c>
      <c r="HJ138" s="675">
        <v>4843</v>
      </c>
      <c r="HK138" s="675">
        <v>1278</v>
      </c>
      <c r="HL138" s="675">
        <v>1124</v>
      </c>
      <c r="HM138" s="675">
        <v>5000</v>
      </c>
      <c r="HN138" s="675">
        <v>0</v>
      </c>
      <c r="HO138" s="675">
        <v>0</v>
      </c>
      <c r="HP138" s="675">
        <v>0</v>
      </c>
      <c r="HQ138" s="675">
        <v>0</v>
      </c>
      <c r="HR138" s="675">
        <v>0</v>
      </c>
      <c r="HS138" s="675">
        <v>4646135</v>
      </c>
      <c r="HT138" s="675">
        <v>101906</v>
      </c>
      <c r="HU138" s="675">
        <v>0</v>
      </c>
      <c r="HV138" s="675">
        <v>0</v>
      </c>
      <c r="HW138" s="675">
        <v>0</v>
      </c>
      <c r="HX138" s="675">
        <v>35</v>
      </c>
      <c r="HY138" s="675">
        <v>35</v>
      </c>
      <c r="HZ138" s="675">
        <v>17</v>
      </c>
      <c r="IA138" s="675">
        <v>128</v>
      </c>
      <c r="IB138" s="675">
        <v>272</v>
      </c>
      <c r="IC138" s="675">
        <v>487</v>
      </c>
      <c r="ID138" s="675">
        <v>0</v>
      </c>
      <c r="IE138" s="675">
        <v>0</v>
      </c>
      <c r="IF138" s="675">
        <v>0</v>
      </c>
      <c r="IG138" s="675">
        <v>1.042</v>
      </c>
      <c r="IH138" s="675">
        <v>188.48600000000002</v>
      </c>
      <c r="II138" s="675">
        <v>0</v>
      </c>
      <c r="IJ138" s="675">
        <v>0</v>
      </c>
      <c r="IK138" s="675">
        <v>0</v>
      </c>
      <c r="IL138" s="675">
        <v>1</v>
      </c>
      <c r="IM138" s="675">
        <v>0</v>
      </c>
      <c r="IN138" s="675">
        <v>0</v>
      </c>
      <c r="IO138" s="675">
        <v>1</v>
      </c>
      <c r="IP138" s="675">
        <v>0</v>
      </c>
      <c r="IQ138" s="675">
        <v>0</v>
      </c>
      <c r="IR138" s="675">
        <v>0</v>
      </c>
      <c r="IS138" s="675">
        <v>0</v>
      </c>
      <c r="IT138" s="675">
        <v>5000</v>
      </c>
      <c r="IU138" s="675">
        <v>0</v>
      </c>
      <c r="IV138" s="675">
        <v>0</v>
      </c>
      <c r="IW138" s="675">
        <v>6160</v>
      </c>
      <c r="IX138" s="675">
        <v>0</v>
      </c>
      <c r="IY138" s="675">
        <v>0</v>
      </c>
      <c r="IZ138" s="675">
        <v>0</v>
      </c>
      <c r="JA138" s="675">
        <v>0</v>
      </c>
      <c r="JB138" s="675">
        <v>0</v>
      </c>
      <c r="JC138" s="675">
        <v>0</v>
      </c>
      <c r="JD138" s="675">
        <v>0</v>
      </c>
      <c r="JE138" s="675">
        <v>0</v>
      </c>
      <c r="JF138" s="675">
        <v>0</v>
      </c>
      <c r="JG138" s="675">
        <v>0</v>
      </c>
      <c r="JH138" s="675">
        <v>0</v>
      </c>
      <c r="JI138" s="675">
        <v>0</v>
      </c>
      <c r="JJ138" s="675">
        <v>0</v>
      </c>
      <c r="JK138" s="675">
        <v>0</v>
      </c>
      <c r="JL138" s="675">
        <v>0</v>
      </c>
      <c r="JM138" s="675">
        <v>0</v>
      </c>
      <c r="JN138" s="675">
        <v>32469</v>
      </c>
      <c r="JO138" s="675">
        <v>0</v>
      </c>
      <c r="JP138" s="675">
        <v>20.747</v>
      </c>
      <c r="JQ138" s="675">
        <v>12.192</v>
      </c>
      <c r="JR138" s="675">
        <v>0</v>
      </c>
      <c r="JS138" s="675">
        <v>192877</v>
      </c>
      <c r="JT138" s="675">
        <v>130169</v>
      </c>
      <c r="JU138" s="675">
        <v>1725</v>
      </c>
      <c r="JV138" s="675">
        <v>0</v>
      </c>
      <c r="JW138" s="675">
        <v>0</v>
      </c>
      <c r="JX138" s="675">
        <v>0</v>
      </c>
      <c r="JY138" s="675">
        <v>0</v>
      </c>
      <c r="JZ138" s="675">
        <v>0</v>
      </c>
      <c r="KA138" s="675">
        <v>0</v>
      </c>
      <c r="KB138" s="675">
        <v>0</v>
      </c>
      <c r="KC138" s="675">
        <v>0</v>
      </c>
      <c r="KD138" s="675">
        <v>1725</v>
      </c>
      <c r="KE138" s="675">
        <v>7263</v>
      </c>
      <c r="KF138" s="675">
        <v>91487</v>
      </c>
      <c r="KG138" s="675">
        <v>0</v>
      </c>
      <c r="KH138" s="675">
        <v>0</v>
      </c>
      <c r="KI138" s="675">
        <v>0</v>
      </c>
    </row>
    <row r="139" spans="1:295" ht="12.5" x14ac:dyDescent="0.25">
      <c r="A139" s="675">
        <v>35795</v>
      </c>
      <c r="B139" s="675">
        <v>15833</v>
      </c>
      <c r="C139" s="675">
        <v>7</v>
      </c>
      <c r="D139" s="675">
        <v>2022</v>
      </c>
      <c r="E139" s="675">
        <v>6160</v>
      </c>
      <c r="F139" s="675">
        <v>0</v>
      </c>
      <c r="G139" s="675">
        <v>85.421999999999997</v>
      </c>
      <c r="H139" s="675">
        <v>84.522000000000006</v>
      </c>
      <c r="I139" s="675">
        <v>84.522000000000006</v>
      </c>
      <c r="J139" s="675">
        <v>85.421999999999997</v>
      </c>
      <c r="K139" s="675">
        <v>0</v>
      </c>
      <c r="L139" s="675">
        <v>6160</v>
      </c>
      <c r="M139" s="675">
        <v>0</v>
      </c>
      <c r="N139" s="675">
        <v>0</v>
      </c>
      <c r="O139" s="675">
        <v>0</v>
      </c>
      <c r="P139" s="675">
        <v>94.284000000000006</v>
      </c>
      <c r="Q139" s="675">
        <v>0</v>
      </c>
      <c r="R139" s="675">
        <v>37943</v>
      </c>
      <c r="S139" s="675">
        <v>402.428</v>
      </c>
      <c r="T139" s="675">
        <v>0</v>
      </c>
      <c r="U139" s="675">
        <v>20178</v>
      </c>
      <c r="V139" s="675">
        <v>0</v>
      </c>
      <c r="W139" s="675">
        <v>0</v>
      </c>
      <c r="X139" s="675">
        <v>0</v>
      </c>
      <c r="Y139" s="675">
        <v>0</v>
      </c>
      <c r="Z139" s="675">
        <v>0</v>
      </c>
      <c r="AA139" s="675">
        <v>0</v>
      </c>
      <c r="AB139" s="675">
        <v>0</v>
      </c>
      <c r="AC139" s="675">
        <v>0</v>
      </c>
      <c r="AD139" s="675" t="s">
        <v>316</v>
      </c>
      <c r="AE139" s="675">
        <v>0</v>
      </c>
      <c r="AF139" s="675">
        <v>0</v>
      </c>
      <c r="AG139" s="675">
        <v>0</v>
      </c>
      <c r="AH139" s="675">
        <v>0</v>
      </c>
      <c r="AI139" s="675">
        <v>0</v>
      </c>
      <c r="AJ139" s="675">
        <v>6160</v>
      </c>
      <c r="AK139" s="675" t="s">
        <v>671</v>
      </c>
      <c r="AL139" s="675" t="s">
        <v>95</v>
      </c>
      <c r="AM139" s="675">
        <v>0</v>
      </c>
      <c r="AN139" s="675">
        <v>0</v>
      </c>
      <c r="AO139" s="675">
        <v>0</v>
      </c>
      <c r="AP139" s="675">
        <v>0</v>
      </c>
      <c r="AQ139" s="675">
        <v>0</v>
      </c>
      <c r="AR139" s="675">
        <v>0</v>
      </c>
      <c r="AS139" s="675">
        <v>0</v>
      </c>
      <c r="AT139" s="675">
        <v>0</v>
      </c>
      <c r="AU139" s="675">
        <v>0</v>
      </c>
      <c r="AV139" s="675">
        <v>0</v>
      </c>
      <c r="AW139" s="675">
        <v>866748</v>
      </c>
      <c r="AX139" s="675">
        <v>787818</v>
      </c>
      <c r="AY139" s="675">
        <v>495616</v>
      </c>
      <c r="AZ139" s="675">
        <v>37943</v>
      </c>
      <c r="BA139" s="675">
        <v>0</v>
      </c>
      <c r="BB139" s="675">
        <v>0</v>
      </c>
      <c r="BC139" s="675">
        <v>0</v>
      </c>
      <c r="BD139" s="675">
        <v>0</v>
      </c>
      <c r="BE139" s="675">
        <v>0</v>
      </c>
      <c r="BF139" s="675">
        <v>726811</v>
      </c>
      <c r="BG139" s="675">
        <v>0</v>
      </c>
      <c r="BH139" s="675">
        <v>0</v>
      </c>
      <c r="BI139" s="675">
        <v>0</v>
      </c>
      <c r="BJ139" s="675">
        <v>12</v>
      </c>
      <c r="BK139" s="675">
        <v>0</v>
      </c>
      <c r="BL139" s="675">
        <v>0</v>
      </c>
      <c r="BM139" s="675">
        <v>0</v>
      </c>
      <c r="BN139" s="675">
        <v>0</v>
      </c>
      <c r="BO139" s="675">
        <v>0</v>
      </c>
      <c r="BP139" s="675">
        <v>0</v>
      </c>
      <c r="BQ139" s="675">
        <v>757</v>
      </c>
      <c r="BR139" s="675">
        <v>0</v>
      </c>
      <c r="BS139" s="675">
        <v>0</v>
      </c>
      <c r="BT139" s="675">
        <v>0</v>
      </c>
      <c r="BU139" s="675">
        <v>0</v>
      </c>
      <c r="BV139" s="675">
        <v>0</v>
      </c>
      <c r="BW139" s="675">
        <v>0</v>
      </c>
      <c r="BX139" s="675">
        <v>0</v>
      </c>
      <c r="BY139" s="675">
        <v>0</v>
      </c>
      <c r="BZ139" s="675">
        <v>0</v>
      </c>
      <c r="CA139" s="675">
        <v>0</v>
      </c>
      <c r="CB139" s="675">
        <v>0</v>
      </c>
      <c r="CC139" s="675">
        <v>0</v>
      </c>
      <c r="CD139" s="675">
        <v>0</v>
      </c>
      <c r="CE139" s="675">
        <v>0</v>
      </c>
      <c r="CF139" s="675">
        <v>0</v>
      </c>
      <c r="CG139" s="675">
        <v>0</v>
      </c>
      <c r="CH139" s="675">
        <v>79076</v>
      </c>
      <c r="CI139" s="675">
        <v>0</v>
      </c>
      <c r="CJ139" s="675">
        <v>4</v>
      </c>
      <c r="CK139" s="675">
        <v>0</v>
      </c>
      <c r="CL139" s="675">
        <v>0</v>
      </c>
      <c r="CM139" s="675">
        <v>0</v>
      </c>
      <c r="CN139" s="675">
        <v>0</v>
      </c>
      <c r="CO139" s="675">
        <v>1</v>
      </c>
      <c r="CP139" s="675">
        <v>0</v>
      </c>
      <c r="CQ139" s="675">
        <v>0</v>
      </c>
      <c r="CR139" s="675">
        <v>86.968000000000004</v>
      </c>
      <c r="CS139" s="675">
        <v>0</v>
      </c>
      <c r="CT139" s="675">
        <v>0</v>
      </c>
      <c r="CU139" s="675">
        <v>0</v>
      </c>
      <c r="CV139" s="675">
        <v>0</v>
      </c>
      <c r="CW139" s="675">
        <v>0</v>
      </c>
      <c r="CX139" s="675">
        <v>0</v>
      </c>
      <c r="CY139" s="675">
        <v>0</v>
      </c>
      <c r="CZ139" s="675">
        <v>0</v>
      </c>
      <c r="DA139" s="675">
        <v>0</v>
      </c>
      <c r="DB139" s="675">
        <v>477811</v>
      </c>
      <c r="DC139" s="675">
        <v>0</v>
      </c>
      <c r="DD139" s="675">
        <v>0</v>
      </c>
      <c r="DE139" s="675">
        <v>68068</v>
      </c>
      <c r="DF139" s="675">
        <v>68068</v>
      </c>
      <c r="DG139" s="675">
        <v>11.05</v>
      </c>
      <c r="DH139" s="675">
        <v>0</v>
      </c>
      <c r="DI139" s="675">
        <v>0</v>
      </c>
      <c r="DJ139" s="675">
        <v>0</v>
      </c>
      <c r="DK139" s="675">
        <v>3734</v>
      </c>
      <c r="DL139" s="675">
        <v>0</v>
      </c>
      <c r="DM139" s="675">
        <v>81728</v>
      </c>
      <c r="DN139" s="675">
        <v>146</v>
      </c>
      <c r="DO139" s="675">
        <v>0</v>
      </c>
      <c r="DP139" s="675">
        <v>0</v>
      </c>
      <c r="DQ139" s="675">
        <v>0</v>
      </c>
      <c r="DR139" s="675">
        <v>0</v>
      </c>
      <c r="DS139" s="675">
        <v>0</v>
      </c>
      <c r="DT139" s="675">
        <v>0</v>
      </c>
      <c r="DU139" s="675">
        <v>0</v>
      </c>
      <c r="DV139" s="675">
        <v>0</v>
      </c>
      <c r="DW139" s="675">
        <v>0</v>
      </c>
      <c r="DX139" s="675">
        <v>0</v>
      </c>
      <c r="DY139" s="675">
        <v>0</v>
      </c>
      <c r="DZ139" s="675">
        <v>0</v>
      </c>
      <c r="EA139" s="675">
        <v>0</v>
      </c>
      <c r="EB139" s="675">
        <v>0</v>
      </c>
      <c r="EC139" s="675">
        <v>3.1620000000000004</v>
      </c>
      <c r="ED139" s="675">
        <v>22400</v>
      </c>
      <c r="EE139" s="675">
        <v>0</v>
      </c>
      <c r="EF139" s="675">
        <v>0</v>
      </c>
      <c r="EG139" s="675">
        <v>0</v>
      </c>
      <c r="EH139" s="675">
        <v>16632</v>
      </c>
      <c r="EI139" s="675">
        <v>0</v>
      </c>
      <c r="EJ139" s="675">
        <v>0</v>
      </c>
      <c r="EK139" s="675">
        <v>0.9</v>
      </c>
      <c r="EL139" s="675">
        <v>0</v>
      </c>
      <c r="EM139" s="675">
        <v>0</v>
      </c>
      <c r="EN139" s="675">
        <v>0</v>
      </c>
      <c r="EO139" s="675">
        <v>0</v>
      </c>
      <c r="EP139" s="675">
        <v>0</v>
      </c>
      <c r="EQ139" s="675">
        <v>0.9</v>
      </c>
      <c r="ER139" s="675">
        <v>0</v>
      </c>
      <c r="ES139" s="675">
        <v>2.7</v>
      </c>
      <c r="ET139" s="675">
        <v>0</v>
      </c>
      <c r="EU139" s="675">
        <v>0</v>
      </c>
      <c r="EV139" s="675">
        <v>0</v>
      </c>
      <c r="EW139" s="675">
        <v>0</v>
      </c>
      <c r="EX139" s="675">
        <v>0</v>
      </c>
      <c r="EY139" s="675">
        <v>0</v>
      </c>
      <c r="EZ139" s="675">
        <v>698596</v>
      </c>
      <c r="FA139" s="675">
        <v>0</v>
      </c>
      <c r="FB139" s="675">
        <v>736393</v>
      </c>
      <c r="FC139" s="675">
        <v>0</v>
      </c>
      <c r="FD139" s="675">
        <v>0</v>
      </c>
      <c r="FE139" s="675">
        <v>73931</v>
      </c>
      <c r="FF139" s="675">
        <v>15291</v>
      </c>
      <c r="FG139" s="675">
        <v>6.3574999999999993E-2</v>
      </c>
      <c r="FH139" s="675">
        <v>2.6297999999999998E-2</v>
      </c>
      <c r="FI139" s="675">
        <v>0</v>
      </c>
      <c r="FJ139" s="675">
        <v>0</v>
      </c>
      <c r="FK139" s="675">
        <v>117.989</v>
      </c>
      <c r="FL139" s="675">
        <v>904691</v>
      </c>
      <c r="FM139" s="675">
        <v>0</v>
      </c>
      <c r="FN139" s="675">
        <v>0</v>
      </c>
      <c r="FO139" s="675">
        <v>8360</v>
      </c>
      <c r="FP139" s="675">
        <v>0</v>
      </c>
      <c r="FQ139" s="675">
        <v>8360</v>
      </c>
      <c r="FR139" s="675">
        <v>8360</v>
      </c>
      <c r="FS139" s="675">
        <v>0</v>
      </c>
      <c r="FT139" s="675">
        <v>0</v>
      </c>
      <c r="FU139" s="675">
        <v>0</v>
      </c>
      <c r="FV139" s="675">
        <v>0</v>
      </c>
      <c r="FW139" s="675">
        <v>0</v>
      </c>
      <c r="FX139" s="675">
        <v>0</v>
      </c>
      <c r="FY139" s="675">
        <v>0</v>
      </c>
      <c r="FZ139" s="675">
        <v>0</v>
      </c>
      <c r="GA139" s="675">
        <v>0</v>
      </c>
      <c r="GB139" s="675">
        <v>0</v>
      </c>
      <c r="GC139" s="675">
        <v>0</v>
      </c>
      <c r="GD139" s="675">
        <v>0</v>
      </c>
      <c r="GE139" s="675">
        <v>0</v>
      </c>
      <c r="GF139" s="675">
        <v>0</v>
      </c>
      <c r="GG139" s="675">
        <v>0</v>
      </c>
      <c r="GH139" s="675">
        <v>0</v>
      </c>
      <c r="GI139" s="675">
        <v>0</v>
      </c>
      <c r="GJ139" s="675">
        <v>0</v>
      </c>
      <c r="GK139" s="675">
        <v>0</v>
      </c>
      <c r="GL139" s="675">
        <v>0</v>
      </c>
      <c r="GM139" s="675">
        <v>0</v>
      </c>
      <c r="GN139" s="675">
        <v>0</v>
      </c>
      <c r="GO139" s="675">
        <v>0</v>
      </c>
      <c r="GP139" s="675">
        <v>0</v>
      </c>
      <c r="GQ139" s="675">
        <v>0</v>
      </c>
      <c r="GR139" s="675">
        <v>0</v>
      </c>
      <c r="GS139" s="675">
        <v>0</v>
      </c>
      <c r="GT139" s="675">
        <v>0</v>
      </c>
      <c r="GU139" s="675">
        <v>0</v>
      </c>
      <c r="GV139" s="675">
        <v>0</v>
      </c>
      <c r="GW139" s="675">
        <v>0</v>
      </c>
      <c r="GX139" s="675">
        <v>0</v>
      </c>
      <c r="GY139" s="675">
        <v>0</v>
      </c>
      <c r="GZ139" s="675">
        <v>0</v>
      </c>
      <c r="HA139" s="675">
        <v>0</v>
      </c>
      <c r="HB139" s="675">
        <v>308877260</v>
      </c>
      <c r="HC139" s="675">
        <v>4.4138999999999998E-2</v>
      </c>
      <c r="HD139" s="675">
        <v>15082</v>
      </c>
      <c r="HE139" s="675">
        <v>0</v>
      </c>
      <c r="HF139" s="675">
        <v>93228</v>
      </c>
      <c r="HG139" s="675">
        <v>0</v>
      </c>
      <c r="HH139" s="675">
        <v>0</v>
      </c>
      <c r="HI139" s="675">
        <v>0</v>
      </c>
      <c r="HJ139" s="675">
        <v>830</v>
      </c>
      <c r="HK139" s="675">
        <v>1368</v>
      </c>
      <c r="HL139" s="675">
        <v>0</v>
      </c>
      <c r="HM139" s="675">
        <v>5000</v>
      </c>
      <c r="HN139" s="675">
        <v>0</v>
      </c>
      <c r="HO139" s="675">
        <v>0</v>
      </c>
      <c r="HP139" s="675">
        <v>0</v>
      </c>
      <c r="HQ139" s="675">
        <v>0</v>
      </c>
      <c r="HR139" s="675">
        <v>0</v>
      </c>
      <c r="HS139" s="675">
        <v>698450</v>
      </c>
      <c r="HT139" s="675">
        <v>15291</v>
      </c>
      <c r="HU139" s="675">
        <v>63994</v>
      </c>
      <c r="HV139" s="675">
        <v>0</v>
      </c>
      <c r="HW139" s="675">
        <v>0</v>
      </c>
      <c r="HX139" s="675">
        <v>3</v>
      </c>
      <c r="HY139" s="675">
        <v>5</v>
      </c>
      <c r="HZ139" s="675">
        <v>8</v>
      </c>
      <c r="IA139" s="675">
        <v>19</v>
      </c>
      <c r="IB139" s="675">
        <v>8</v>
      </c>
      <c r="IC139" s="675">
        <v>43</v>
      </c>
      <c r="ID139" s="675">
        <v>0</v>
      </c>
      <c r="IE139" s="675">
        <v>0</v>
      </c>
      <c r="IF139" s="675">
        <v>0</v>
      </c>
      <c r="IG139" s="675">
        <v>0</v>
      </c>
      <c r="IH139" s="675">
        <v>0</v>
      </c>
      <c r="II139" s="675">
        <v>0</v>
      </c>
      <c r="IJ139" s="675">
        <v>0</v>
      </c>
      <c r="IK139" s="675">
        <v>0</v>
      </c>
      <c r="IL139" s="675">
        <v>1</v>
      </c>
      <c r="IM139" s="675">
        <v>0</v>
      </c>
      <c r="IN139" s="675">
        <v>0</v>
      </c>
      <c r="IO139" s="675">
        <v>1</v>
      </c>
      <c r="IP139" s="675">
        <v>0</v>
      </c>
      <c r="IQ139" s="675">
        <v>0</v>
      </c>
      <c r="IR139" s="675">
        <v>0</v>
      </c>
      <c r="IS139" s="675">
        <v>0</v>
      </c>
      <c r="IT139" s="675">
        <v>5000</v>
      </c>
      <c r="IU139" s="675">
        <v>0</v>
      </c>
      <c r="IV139" s="675">
        <v>0</v>
      </c>
      <c r="IW139" s="675">
        <v>6160</v>
      </c>
      <c r="IX139" s="675">
        <v>0</v>
      </c>
      <c r="IY139" s="675">
        <v>0</v>
      </c>
      <c r="IZ139" s="675">
        <v>0</v>
      </c>
      <c r="JA139" s="675">
        <v>0</v>
      </c>
      <c r="JB139" s="675">
        <v>0</v>
      </c>
      <c r="JC139" s="675">
        <v>0</v>
      </c>
      <c r="JD139" s="675">
        <v>0</v>
      </c>
      <c r="JE139" s="675">
        <v>0</v>
      </c>
      <c r="JF139" s="675">
        <v>0</v>
      </c>
      <c r="JG139" s="675">
        <v>0</v>
      </c>
      <c r="JH139" s="675">
        <v>0</v>
      </c>
      <c r="JI139" s="675">
        <v>0</v>
      </c>
      <c r="JJ139" s="675">
        <v>0</v>
      </c>
      <c r="JK139" s="675">
        <v>0</v>
      </c>
      <c r="JL139" s="675">
        <v>0</v>
      </c>
      <c r="JM139" s="675">
        <v>0</v>
      </c>
      <c r="JN139" s="675">
        <v>32469</v>
      </c>
      <c r="JO139" s="675">
        <v>0</v>
      </c>
      <c r="JP139" s="675">
        <v>0</v>
      </c>
      <c r="JQ139" s="675">
        <v>0</v>
      </c>
      <c r="JR139" s="675">
        <v>0</v>
      </c>
      <c r="JS139" s="675">
        <v>0</v>
      </c>
      <c r="JT139" s="675">
        <v>0</v>
      </c>
      <c r="JU139" s="675">
        <v>0</v>
      </c>
      <c r="JV139" s="675">
        <v>63994</v>
      </c>
      <c r="JW139" s="675">
        <v>0</v>
      </c>
      <c r="JX139" s="675">
        <v>0</v>
      </c>
      <c r="JY139" s="675">
        <v>0</v>
      </c>
      <c r="JZ139" s="675">
        <v>0</v>
      </c>
      <c r="KA139" s="675">
        <v>0</v>
      </c>
      <c r="KB139" s="675">
        <v>0</v>
      </c>
      <c r="KC139" s="675">
        <v>0</v>
      </c>
      <c r="KD139" s="675">
        <v>0</v>
      </c>
      <c r="KE139" s="675">
        <v>7263</v>
      </c>
      <c r="KF139" s="675">
        <v>0</v>
      </c>
      <c r="KG139" s="675">
        <v>0</v>
      </c>
      <c r="KH139" s="675">
        <v>0</v>
      </c>
      <c r="KI139" s="675">
        <v>0</v>
      </c>
    </row>
    <row r="140" spans="1:295" ht="12.5" x14ac:dyDescent="0.25">
      <c r="A140" s="675">
        <v>35795</v>
      </c>
      <c r="B140" s="675">
        <v>57833</v>
      </c>
      <c r="C140" s="675">
        <v>7</v>
      </c>
      <c r="D140" s="675">
        <v>2022</v>
      </c>
      <c r="E140" s="675">
        <v>6160</v>
      </c>
      <c r="F140" s="675">
        <v>0</v>
      </c>
      <c r="G140" s="675">
        <v>423.58500000000004</v>
      </c>
      <c r="H140" s="675">
        <v>411.87600000000003</v>
      </c>
      <c r="I140" s="675">
        <v>411.87600000000003</v>
      </c>
      <c r="J140" s="675">
        <v>423.58500000000004</v>
      </c>
      <c r="K140" s="675">
        <v>0</v>
      </c>
      <c r="L140" s="675">
        <v>6160</v>
      </c>
      <c r="M140" s="675">
        <v>0</v>
      </c>
      <c r="N140" s="675">
        <v>0</v>
      </c>
      <c r="O140" s="675">
        <v>0</v>
      </c>
      <c r="P140" s="675">
        <v>489.44</v>
      </c>
      <c r="Q140" s="675">
        <v>0</v>
      </c>
      <c r="R140" s="675">
        <v>196964</v>
      </c>
      <c r="S140" s="675">
        <v>402.428</v>
      </c>
      <c r="T140" s="675">
        <v>0</v>
      </c>
      <c r="U140" s="675">
        <v>104743</v>
      </c>
      <c r="V140" s="675">
        <v>27.377000000000002</v>
      </c>
      <c r="W140" s="675">
        <v>16864</v>
      </c>
      <c r="X140" s="675">
        <v>16864</v>
      </c>
      <c r="Y140" s="675">
        <v>0</v>
      </c>
      <c r="Z140" s="675">
        <v>0</v>
      </c>
      <c r="AA140" s="675">
        <v>0</v>
      </c>
      <c r="AB140" s="675">
        <v>0</v>
      </c>
      <c r="AC140" s="675">
        <v>0</v>
      </c>
      <c r="AD140" s="675" t="s">
        <v>316</v>
      </c>
      <c r="AE140" s="675">
        <v>0</v>
      </c>
      <c r="AF140" s="675">
        <v>0</v>
      </c>
      <c r="AG140" s="675">
        <v>0</v>
      </c>
      <c r="AH140" s="675">
        <v>0</v>
      </c>
      <c r="AI140" s="675">
        <v>0</v>
      </c>
      <c r="AJ140" s="675">
        <v>6160</v>
      </c>
      <c r="AK140" s="675" t="s">
        <v>671</v>
      </c>
      <c r="AL140" s="675" t="s">
        <v>48</v>
      </c>
      <c r="AM140" s="675">
        <v>0</v>
      </c>
      <c r="AN140" s="675">
        <v>0</v>
      </c>
      <c r="AO140" s="675">
        <v>0</v>
      </c>
      <c r="AP140" s="675">
        <v>0</v>
      </c>
      <c r="AQ140" s="675">
        <v>0</v>
      </c>
      <c r="AR140" s="675">
        <v>0</v>
      </c>
      <c r="AS140" s="675">
        <v>0</v>
      </c>
      <c r="AT140" s="675">
        <v>0</v>
      </c>
      <c r="AU140" s="675">
        <v>0</v>
      </c>
      <c r="AV140" s="675">
        <v>-102445</v>
      </c>
      <c r="AW140" s="675">
        <v>4181607</v>
      </c>
      <c r="AX140" s="675">
        <v>4108051</v>
      </c>
      <c r="AY140" s="675">
        <v>2774774</v>
      </c>
      <c r="AZ140" s="675">
        <v>196964</v>
      </c>
      <c r="BA140" s="675">
        <v>0</v>
      </c>
      <c r="BB140" s="675">
        <v>2156</v>
      </c>
      <c r="BC140" s="675">
        <v>2142</v>
      </c>
      <c r="BD140" s="675">
        <v>5</v>
      </c>
      <c r="BE140" s="675">
        <v>14</v>
      </c>
      <c r="BF140" s="675">
        <v>3834318</v>
      </c>
      <c r="BG140" s="675">
        <v>0</v>
      </c>
      <c r="BH140" s="675">
        <v>0</v>
      </c>
      <c r="BI140" s="675">
        <v>0</v>
      </c>
      <c r="BJ140" s="675">
        <v>12</v>
      </c>
      <c r="BK140" s="675">
        <v>0</v>
      </c>
      <c r="BL140" s="675">
        <v>0</v>
      </c>
      <c r="BM140" s="675">
        <v>0</v>
      </c>
      <c r="BN140" s="675">
        <v>0</v>
      </c>
      <c r="BO140" s="675">
        <v>0</v>
      </c>
      <c r="BP140" s="675">
        <v>0</v>
      </c>
      <c r="BQ140" s="675">
        <v>707</v>
      </c>
      <c r="BR140" s="675">
        <v>0</v>
      </c>
      <c r="BS140" s="675">
        <v>0</v>
      </c>
      <c r="BT140" s="675">
        <v>0</v>
      </c>
      <c r="BU140" s="675">
        <v>0</v>
      </c>
      <c r="BV140" s="675">
        <v>0</v>
      </c>
      <c r="BW140" s="675">
        <v>0</v>
      </c>
      <c r="BX140" s="675">
        <v>0</v>
      </c>
      <c r="BY140" s="675">
        <v>0</v>
      </c>
      <c r="BZ140" s="675">
        <v>0</v>
      </c>
      <c r="CA140" s="675">
        <v>0</v>
      </c>
      <c r="CB140" s="675">
        <v>0</v>
      </c>
      <c r="CC140" s="675">
        <v>0</v>
      </c>
      <c r="CD140" s="675">
        <v>0</v>
      </c>
      <c r="CE140" s="675">
        <v>0</v>
      </c>
      <c r="CF140" s="675">
        <v>0</v>
      </c>
      <c r="CG140" s="675">
        <v>0</v>
      </c>
      <c r="CH140" s="675">
        <v>74786</v>
      </c>
      <c r="CI140" s="675">
        <v>0</v>
      </c>
      <c r="CJ140" s="675">
        <v>4</v>
      </c>
      <c r="CK140" s="675">
        <v>0</v>
      </c>
      <c r="CL140" s="675">
        <v>0</v>
      </c>
      <c r="CM140" s="675">
        <v>0</v>
      </c>
      <c r="CN140" s="675">
        <v>0</v>
      </c>
      <c r="CO140" s="675">
        <v>1</v>
      </c>
      <c r="CP140" s="675">
        <v>0</v>
      </c>
      <c r="CQ140" s="675">
        <v>0</v>
      </c>
      <c r="CR140" s="675">
        <v>555.18600000000004</v>
      </c>
      <c r="CS140" s="675">
        <v>0</v>
      </c>
      <c r="CT140" s="675">
        <v>0</v>
      </c>
      <c r="CU140" s="675">
        <v>0</v>
      </c>
      <c r="CV140" s="675">
        <v>0</v>
      </c>
      <c r="CW140" s="675">
        <v>0</v>
      </c>
      <c r="CX140" s="675">
        <v>0</v>
      </c>
      <c r="CY140" s="675">
        <v>0</v>
      </c>
      <c r="CZ140" s="675">
        <v>0</v>
      </c>
      <c r="DA140" s="675">
        <v>0</v>
      </c>
      <c r="DB140" s="675">
        <v>2446413</v>
      </c>
      <c r="DC140" s="675">
        <v>0</v>
      </c>
      <c r="DD140" s="675">
        <v>0</v>
      </c>
      <c r="DE140" s="675">
        <v>393083</v>
      </c>
      <c r="DF140" s="675">
        <v>393083</v>
      </c>
      <c r="DG140" s="675">
        <v>63.813000000000002</v>
      </c>
      <c r="DH140" s="675">
        <v>0</v>
      </c>
      <c r="DI140" s="675">
        <v>0</v>
      </c>
      <c r="DJ140" s="675">
        <v>0</v>
      </c>
      <c r="DK140" s="675">
        <v>2928</v>
      </c>
      <c r="DL140" s="675">
        <v>0</v>
      </c>
      <c r="DM140" s="675">
        <v>414026</v>
      </c>
      <c r="DN140" s="675">
        <v>1216</v>
      </c>
      <c r="DO140" s="675">
        <v>0</v>
      </c>
      <c r="DP140" s="675">
        <v>0</v>
      </c>
      <c r="DQ140" s="675">
        <v>0</v>
      </c>
      <c r="DR140" s="675">
        <v>0</v>
      </c>
      <c r="DS140" s="675">
        <v>0</v>
      </c>
      <c r="DT140" s="675">
        <v>0</v>
      </c>
      <c r="DU140" s="675">
        <v>0</v>
      </c>
      <c r="DV140" s="675">
        <v>0</v>
      </c>
      <c r="DW140" s="675">
        <v>0</v>
      </c>
      <c r="DX140" s="675">
        <v>0</v>
      </c>
      <c r="DY140" s="675">
        <v>0</v>
      </c>
      <c r="DZ140" s="675">
        <v>0</v>
      </c>
      <c r="EA140" s="675">
        <v>0</v>
      </c>
      <c r="EB140" s="675">
        <v>0</v>
      </c>
      <c r="EC140" s="675">
        <v>13.711</v>
      </c>
      <c r="ED140" s="675">
        <v>97128</v>
      </c>
      <c r="EE140" s="675">
        <v>0</v>
      </c>
      <c r="EF140" s="675">
        <v>0</v>
      </c>
      <c r="EG140" s="675">
        <v>0</v>
      </c>
      <c r="EH140" s="675">
        <v>227383</v>
      </c>
      <c r="EI140" s="675">
        <v>0</v>
      </c>
      <c r="EJ140" s="675">
        <v>0</v>
      </c>
      <c r="EK140" s="675">
        <v>10.816000000000001</v>
      </c>
      <c r="EL140" s="675">
        <v>0</v>
      </c>
      <c r="EM140" s="675">
        <v>0</v>
      </c>
      <c r="EN140" s="675">
        <v>0.89300000000000002</v>
      </c>
      <c r="EO140" s="675">
        <v>0</v>
      </c>
      <c r="EP140" s="675">
        <v>0</v>
      </c>
      <c r="EQ140" s="675">
        <v>11.709000000000001</v>
      </c>
      <c r="ER140" s="675">
        <v>0</v>
      </c>
      <c r="ES140" s="675">
        <v>36.913000000000004</v>
      </c>
      <c r="ET140" s="675">
        <v>0</v>
      </c>
      <c r="EU140" s="675">
        <v>0</v>
      </c>
      <c r="EV140" s="675">
        <v>0</v>
      </c>
      <c r="EW140" s="675">
        <v>0</v>
      </c>
      <c r="EX140" s="675">
        <v>0</v>
      </c>
      <c r="EY140" s="675">
        <v>0</v>
      </c>
      <c r="EZ140" s="675">
        <v>3637354</v>
      </c>
      <c r="FA140" s="675">
        <v>0</v>
      </c>
      <c r="FB140" s="675">
        <v>3833088</v>
      </c>
      <c r="FC140" s="675">
        <v>0</v>
      </c>
      <c r="FD140" s="675">
        <v>0</v>
      </c>
      <c r="FE140" s="675">
        <v>390029</v>
      </c>
      <c r="FF140" s="675">
        <v>80668</v>
      </c>
      <c r="FG140" s="675">
        <v>6.3574999999999993E-2</v>
      </c>
      <c r="FH140" s="675">
        <v>2.6297999999999998E-2</v>
      </c>
      <c r="FI140" s="675">
        <v>0</v>
      </c>
      <c r="FJ140" s="675">
        <v>0</v>
      </c>
      <c r="FK140" s="675">
        <v>622.45699999999999</v>
      </c>
      <c r="FL140" s="675">
        <v>4378571</v>
      </c>
      <c r="FM140" s="675">
        <v>0</v>
      </c>
      <c r="FN140" s="675">
        <v>0</v>
      </c>
      <c r="FO140" s="675">
        <v>0</v>
      </c>
      <c r="FP140" s="675">
        <v>0</v>
      </c>
      <c r="FQ140" s="675">
        <v>0</v>
      </c>
      <c r="FR140" s="675">
        <v>0</v>
      </c>
      <c r="FS140" s="675">
        <v>0</v>
      </c>
      <c r="FT140" s="675">
        <v>0</v>
      </c>
      <c r="FU140" s="675">
        <v>0</v>
      </c>
      <c r="FV140" s="675">
        <v>0</v>
      </c>
      <c r="FW140" s="675">
        <v>0</v>
      </c>
      <c r="FX140" s="675">
        <v>0</v>
      </c>
      <c r="FY140" s="675">
        <v>0</v>
      </c>
      <c r="FZ140" s="675">
        <v>0</v>
      </c>
      <c r="GA140" s="675">
        <v>0</v>
      </c>
      <c r="GB140" s="675">
        <v>0</v>
      </c>
      <c r="GC140" s="675">
        <v>0</v>
      </c>
      <c r="GD140" s="675">
        <v>0</v>
      </c>
      <c r="GE140" s="675">
        <v>0</v>
      </c>
      <c r="GF140" s="675">
        <v>0</v>
      </c>
      <c r="GG140" s="675">
        <v>0</v>
      </c>
      <c r="GH140" s="675">
        <v>0</v>
      </c>
      <c r="GI140" s="675">
        <v>0</v>
      </c>
      <c r="GJ140" s="675">
        <v>0</v>
      </c>
      <c r="GK140" s="675">
        <v>0</v>
      </c>
      <c r="GL140" s="675">
        <v>0</v>
      </c>
      <c r="GM140" s="675">
        <v>0</v>
      </c>
      <c r="GN140" s="675">
        <v>0</v>
      </c>
      <c r="GO140" s="675">
        <v>0</v>
      </c>
      <c r="GP140" s="675">
        <v>0</v>
      </c>
      <c r="GQ140" s="675">
        <v>0</v>
      </c>
      <c r="GR140" s="675">
        <v>0</v>
      </c>
      <c r="GS140" s="675">
        <v>0</v>
      </c>
      <c r="GT140" s="675">
        <v>0</v>
      </c>
      <c r="GU140" s="675">
        <v>0</v>
      </c>
      <c r="GV140" s="675">
        <v>0</v>
      </c>
      <c r="GW140" s="675">
        <v>0</v>
      </c>
      <c r="GX140" s="675">
        <v>0</v>
      </c>
      <c r="GY140" s="675">
        <v>0</v>
      </c>
      <c r="GZ140" s="675">
        <v>0</v>
      </c>
      <c r="HA140" s="675">
        <v>0</v>
      </c>
      <c r="HB140" s="675">
        <v>308877260</v>
      </c>
      <c r="HC140" s="675">
        <v>4.4138999999999998E-2</v>
      </c>
      <c r="HD140" s="675">
        <v>74786</v>
      </c>
      <c r="HE140" s="675">
        <v>0</v>
      </c>
      <c r="HF140" s="675">
        <v>454299</v>
      </c>
      <c r="HG140" s="675">
        <v>23099</v>
      </c>
      <c r="HH140" s="675">
        <v>79045</v>
      </c>
      <c r="HI140" s="675">
        <v>0</v>
      </c>
      <c r="HJ140" s="675">
        <v>4117</v>
      </c>
      <c r="HK140" s="675">
        <v>0</v>
      </c>
      <c r="HL140" s="675">
        <v>0</v>
      </c>
      <c r="HM140" s="675">
        <v>0</v>
      </c>
      <c r="HN140" s="675">
        <v>0</v>
      </c>
      <c r="HO140" s="675">
        <v>0</v>
      </c>
      <c r="HP140" s="675">
        <v>0</v>
      </c>
      <c r="HQ140" s="675">
        <v>0</v>
      </c>
      <c r="HR140" s="675">
        <v>0</v>
      </c>
      <c r="HS140" s="675">
        <v>3636124</v>
      </c>
      <c r="HT140" s="675">
        <v>80668</v>
      </c>
      <c r="HU140" s="675">
        <v>0</v>
      </c>
      <c r="HV140" s="675">
        <v>0</v>
      </c>
      <c r="HW140" s="675">
        <v>0</v>
      </c>
      <c r="HX140" s="675">
        <v>112</v>
      </c>
      <c r="HY140" s="675">
        <v>59</v>
      </c>
      <c r="HZ140" s="675">
        <v>28</v>
      </c>
      <c r="IA140" s="675">
        <v>44</v>
      </c>
      <c r="IB140" s="675">
        <v>22</v>
      </c>
      <c r="IC140" s="675">
        <v>265</v>
      </c>
      <c r="ID140" s="675">
        <v>0</v>
      </c>
      <c r="IE140" s="675">
        <v>0</v>
      </c>
      <c r="IF140" s="675">
        <v>0</v>
      </c>
      <c r="IG140" s="675">
        <v>37.498000000000005</v>
      </c>
      <c r="IH140" s="675">
        <v>128.32</v>
      </c>
      <c r="II140" s="675">
        <v>0</v>
      </c>
      <c r="IJ140" s="675">
        <v>27.377000000000002</v>
      </c>
      <c r="IK140" s="675">
        <v>0</v>
      </c>
      <c r="IL140" s="675">
        <v>0</v>
      </c>
      <c r="IM140" s="675">
        <v>0</v>
      </c>
      <c r="IN140" s="675">
        <v>0</v>
      </c>
      <c r="IO140" s="675">
        <v>0</v>
      </c>
      <c r="IP140" s="675">
        <v>0</v>
      </c>
      <c r="IQ140" s="675">
        <v>27.377000000000002</v>
      </c>
      <c r="IR140" s="675">
        <v>16864</v>
      </c>
      <c r="IS140" s="675">
        <v>0</v>
      </c>
      <c r="IT140" s="675">
        <v>0</v>
      </c>
      <c r="IU140" s="675">
        <v>0</v>
      </c>
      <c r="IV140" s="675">
        <v>0</v>
      </c>
      <c r="IW140" s="675">
        <v>6160</v>
      </c>
      <c r="IX140" s="675">
        <v>0</v>
      </c>
      <c r="IY140" s="675">
        <v>0</v>
      </c>
      <c r="IZ140" s="675">
        <v>0</v>
      </c>
      <c r="JA140" s="675">
        <v>0</v>
      </c>
      <c r="JB140" s="675">
        <v>0</v>
      </c>
      <c r="JC140" s="675">
        <v>0</v>
      </c>
      <c r="JD140" s="675">
        <v>0</v>
      </c>
      <c r="JE140" s="675">
        <v>0</v>
      </c>
      <c r="JF140" s="675">
        <v>0</v>
      </c>
      <c r="JG140" s="675">
        <v>0</v>
      </c>
      <c r="JH140" s="675">
        <v>0</v>
      </c>
      <c r="JI140" s="675">
        <v>0</v>
      </c>
      <c r="JJ140" s="675">
        <v>0</v>
      </c>
      <c r="JK140" s="675">
        <v>0</v>
      </c>
      <c r="JL140" s="675">
        <v>0</v>
      </c>
      <c r="JM140" s="675">
        <v>0</v>
      </c>
      <c r="JN140" s="675">
        <v>32469</v>
      </c>
      <c r="JO140" s="675">
        <v>0</v>
      </c>
      <c r="JP140" s="675">
        <v>0</v>
      </c>
      <c r="JQ140" s="675">
        <v>0</v>
      </c>
      <c r="JR140" s="675">
        <v>0</v>
      </c>
      <c r="JS140" s="675">
        <v>0</v>
      </c>
      <c r="JT140" s="675">
        <v>0</v>
      </c>
      <c r="JU140" s="675">
        <v>2156</v>
      </c>
      <c r="JV140" s="675">
        <v>0</v>
      </c>
      <c r="JW140" s="675">
        <v>0</v>
      </c>
      <c r="JX140" s="675">
        <v>0</v>
      </c>
      <c r="JY140" s="675">
        <v>0</v>
      </c>
      <c r="JZ140" s="675">
        <v>0</v>
      </c>
      <c r="KA140" s="675">
        <v>0</v>
      </c>
      <c r="KB140" s="675">
        <v>0</v>
      </c>
      <c r="KC140" s="675">
        <v>0</v>
      </c>
      <c r="KD140" s="675">
        <v>2156</v>
      </c>
      <c r="KE140" s="675">
        <v>7263</v>
      </c>
      <c r="KF140" s="675">
        <v>0</v>
      </c>
      <c r="KG140" s="675">
        <v>0</v>
      </c>
      <c r="KH140" s="675">
        <v>0</v>
      </c>
      <c r="KI140" s="675">
        <v>0</v>
      </c>
    </row>
    <row r="141" spans="1:295" ht="12.5" x14ac:dyDescent="0.25">
      <c r="A141" s="675">
        <v>35795</v>
      </c>
      <c r="B141" s="675">
        <v>15834</v>
      </c>
      <c r="C141" s="675">
        <v>7</v>
      </c>
      <c r="D141" s="675">
        <v>2022</v>
      </c>
      <c r="E141" s="675">
        <v>6160</v>
      </c>
      <c r="F141" s="675">
        <v>0</v>
      </c>
      <c r="G141" s="675">
        <v>3223.2890000000002</v>
      </c>
      <c r="H141" s="675">
        <v>3202.4660000000003</v>
      </c>
      <c r="I141" s="675">
        <v>3202.4660000000003</v>
      </c>
      <c r="J141" s="675">
        <v>3223.2890000000002</v>
      </c>
      <c r="K141" s="675">
        <v>0</v>
      </c>
      <c r="L141" s="675">
        <v>6160</v>
      </c>
      <c r="M141" s="675">
        <v>0</v>
      </c>
      <c r="N141" s="675">
        <v>0</v>
      </c>
      <c r="O141" s="675">
        <v>0</v>
      </c>
      <c r="P141" s="675">
        <v>2889.6260000000002</v>
      </c>
      <c r="Q141" s="675">
        <v>0</v>
      </c>
      <c r="R141" s="675">
        <v>1162866</v>
      </c>
      <c r="S141" s="675">
        <v>402.428</v>
      </c>
      <c r="T141" s="675">
        <v>0</v>
      </c>
      <c r="U141" s="675">
        <v>618384</v>
      </c>
      <c r="V141" s="675">
        <v>387.40800000000002</v>
      </c>
      <c r="W141" s="675">
        <v>238642</v>
      </c>
      <c r="X141" s="675">
        <v>238642</v>
      </c>
      <c r="Y141" s="675">
        <v>0</v>
      </c>
      <c r="Z141" s="675">
        <v>0</v>
      </c>
      <c r="AA141" s="675">
        <v>0</v>
      </c>
      <c r="AB141" s="675">
        <v>0</v>
      </c>
      <c r="AC141" s="675">
        <v>0</v>
      </c>
      <c r="AD141" s="675" t="s">
        <v>316</v>
      </c>
      <c r="AE141" s="675">
        <v>0</v>
      </c>
      <c r="AF141" s="675">
        <v>0</v>
      </c>
      <c r="AG141" s="675">
        <v>0</v>
      </c>
      <c r="AH141" s="675">
        <v>0</v>
      </c>
      <c r="AI141" s="675">
        <v>0</v>
      </c>
      <c r="AJ141" s="675">
        <v>6160</v>
      </c>
      <c r="AK141" s="675" t="s">
        <v>671</v>
      </c>
      <c r="AL141" s="675" t="s">
        <v>319</v>
      </c>
      <c r="AM141" s="675">
        <v>0</v>
      </c>
      <c r="AN141" s="675">
        <v>0</v>
      </c>
      <c r="AO141" s="675">
        <v>0</v>
      </c>
      <c r="AP141" s="675">
        <v>0</v>
      </c>
      <c r="AQ141" s="675">
        <v>0</v>
      </c>
      <c r="AR141" s="675">
        <v>0</v>
      </c>
      <c r="AS141" s="675">
        <v>0</v>
      </c>
      <c r="AT141" s="675">
        <v>0</v>
      </c>
      <c r="AU141" s="675">
        <v>0</v>
      </c>
      <c r="AV141" s="675">
        <v>-26356</v>
      </c>
      <c r="AW141" s="675">
        <v>27067134</v>
      </c>
      <c r="AX141" s="675">
        <v>26499843</v>
      </c>
      <c r="AY141" s="675">
        <v>18431268</v>
      </c>
      <c r="AZ141" s="675">
        <v>1162866</v>
      </c>
      <c r="BA141" s="675">
        <v>0</v>
      </c>
      <c r="BB141" s="675">
        <v>0</v>
      </c>
      <c r="BC141" s="675">
        <v>0</v>
      </c>
      <c r="BD141" s="675">
        <v>0</v>
      </c>
      <c r="BE141" s="675">
        <v>0</v>
      </c>
      <c r="BF141" s="675">
        <v>24600592</v>
      </c>
      <c r="BG141" s="675">
        <v>0</v>
      </c>
      <c r="BH141" s="675">
        <v>0</v>
      </c>
      <c r="BI141" s="675">
        <v>0</v>
      </c>
      <c r="BJ141" s="675">
        <v>12</v>
      </c>
      <c r="BK141" s="675">
        <v>0</v>
      </c>
      <c r="BL141" s="675">
        <v>0</v>
      </c>
      <c r="BM141" s="675">
        <v>0</v>
      </c>
      <c r="BN141" s="675">
        <v>0</v>
      </c>
      <c r="BO141" s="675">
        <v>0</v>
      </c>
      <c r="BP141" s="675">
        <v>0</v>
      </c>
      <c r="BQ141" s="675">
        <v>277</v>
      </c>
      <c r="BR141" s="675">
        <v>0</v>
      </c>
      <c r="BS141" s="675">
        <v>0</v>
      </c>
      <c r="BT141" s="675">
        <v>0</v>
      </c>
      <c r="BU141" s="675">
        <v>0</v>
      </c>
      <c r="BV141" s="675">
        <v>0</v>
      </c>
      <c r="BW141" s="675">
        <v>0</v>
      </c>
      <c r="BX141" s="675">
        <v>0</v>
      </c>
      <c r="BY141" s="675">
        <v>0</v>
      </c>
      <c r="BZ141" s="675">
        <v>0</v>
      </c>
      <c r="CA141" s="675">
        <v>44.241</v>
      </c>
      <c r="CB141" s="675">
        <v>37728</v>
      </c>
      <c r="CC141" s="675">
        <v>0</v>
      </c>
      <c r="CD141" s="675">
        <v>0</v>
      </c>
      <c r="CE141" s="675">
        <v>0</v>
      </c>
      <c r="CF141" s="675">
        <v>0</v>
      </c>
      <c r="CG141" s="675">
        <v>0</v>
      </c>
      <c r="CH141" s="675">
        <v>569089</v>
      </c>
      <c r="CI141" s="675">
        <v>0</v>
      </c>
      <c r="CJ141" s="675">
        <v>4</v>
      </c>
      <c r="CK141" s="675">
        <v>0</v>
      </c>
      <c r="CL141" s="675">
        <v>0</v>
      </c>
      <c r="CM141" s="675">
        <v>0</v>
      </c>
      <c r="CN141" s="675">
        <v>0</v>
      </c>
      <c r="CO141" s="675">
        <v>1</v>
      </c>
      <c r="CP141" s="675">
        <v>0</v>
      </c>
      <c r="CQ141" s="675">
        <v>0</v>
      </c>
      <c r="CR141" s="675">
        <v>2899.8160000000003</v>
      </c>
      <c r="CS141" s="675">
        <v>0</v>
      </c>
      <c r="CT141" s="675">
        <v>0</v>
      </c>
      <c r="CU141" s="675">
        <v>0</v>
      </c>
      <c r="CV141" s="675">
        <v>0</v>
      </c>
      <c r="CW141" s="675">
        <v>0</v>
      </c>
      <c r="CX141" s="675">
        <v>0</v>
      </c>
      <c r="CY141" s="675">
        <v>0</v>
      </c>
      <c r="CZ141" s="675">
        <v>0</v>
      </c>
      <c r="DA141" s="675">
        <v>0</v>
      </c>
      <c r="DB141" s="675">
        <v>19727099</v>
      </c>
      <c r="DC141" s="675">
        <v>0</v>
      </c>
      <c r="DD141" s="675">
        <v>0</v>
      </c>
      <c r="DE141" s="675">
        <v>412564</v>
      </c>
      <c r="DF141" s="675">
        <v>412564</v>
      </c>
      <c r="DG141" s="675">
        <v>66.975000000000009</v>
      </c>
      <c r="DH141" s="675">
        <v>0</v>
      </c>
      <c r="DI141" s="675">
        <v>0</v>
      </c>
      <c r="DJ141" s="675">
        <v>0</v>
      </c>
      <c r="DK141" s="675">
        <v>0</v>
      </c>
      <c r="DL141" s="675">
        <v>0</v>
      </c>
      <c r="DM141" s="675">
        <v>477884</v>
      </c>
      <c r="DN141" s="675">
        <v>1798</v>
      </c>
      <c r="DO141" s="675">
        <v>0</v>
      </c>
      <c r="DP141" s="675">
        <v>0</v>
      </c>
      <c r="DQ141" s="675">
        <v>0</v>
      </c>
      <c r="DR141" s="675">
        <v>0</v>
      </c>
      <c r="DS141" s="675">
        <v>0</v>
      </c>
      <c r="DT141" s="675">
        <v>0</v>
      </c>
      <c r="DU141" s="675">
        <v>0</v>
      </c>
      <c r="DV141" s="675">
        <v>0</v>
      </c>
      <c r="DW141" s="675">
        <v>0</v>
      </c>
      <c r="DX141" s="675">
        <v>0</v>
      </c>
      <c r="DY141" s="675">
        <v>0</v>
      </c>
      <c r="DZ141" s="675">
        <v>0</v>
      </c>
      <c r="EA141" s="675">
        <v>0</v>
      </c>
      <c r="EB141" s="675">
        <v>0</v>
      </c>
      <c r="EC141" s="675">
        <v>9.2919999999999998</v>
      </c>
      <c r="ED141" s="675">
        <v>65824</v>
      </c>
      <c r="EE141" s="675">
        <v>0</v>
      </c>
      <c r="EF141" s="675">
        <v>0</v>
      </c>
      <c r="EG141" s="675">
        <v>0</v>
      </c>
      <c r="EH141" s="675">
        <v>413858</v>
      </c>
      <c r="EI141" s="675">
        <v>0</v>
      </c>
      <c r="EJ141" s="675">
        <v>0</v>
      </c>
      <c r="EK141" s="675">
        <v>18.16</v>
      </c>
      <c r="EL141" s="675">
        <v>0</v>
      </c>
      <c r="EM141" s="675">
        <v>0.30499999999999999</v>
      </c>
      <c r="EN141" s="675">
        <v>2.3580000000000001</v>
      </c>
      <c r="EO141" s="675">
        <v>0</v>
      </c>
      <c r="EP141" s="675">
        <v>0</v>
      </c>
      <c r="EQ141" s="675">
        <v>20.823</v>
      </c>
      <c r="ER141" s="675">
        <v>0</v>
      </c>
      <c r="ES141" s="675">
        <v>67.185000000000002</v>
      </c>
      <c r="ET141" s="675">
        <v>0</v>
      </c>
      <c r="EU141" s="675">
        <v>0</v>
      </c>
      <c r="EV141" s="675">
        <v>0</v>
      </c>
      <c r="EW141" s="675">
        <v>0</v>
      </c>
      <c r="EX141" s="675">
        <v>0</v>
      </c>
      <c r="EY141" s="675">
        <v>0</v>
      </c>
      <c r="EZ141" s="675">
        <v>23479900</v>
      </c>
      <c r="FA141" s="675">
        <v>0</v>
      </c>
      <c r="FB141" s="675">
        <v>24640968</v>
      </c>
      <c r="FC141" s="675">
        <v>0</v>
      </c>
      <c r="FD141" s="675">
        <v>0</v>
      </c>
      <c r="FE141" s="675">
        <v>2502384</v>
      </c>
      <c r="FF141" s="675">
        <v>517559</v>
      </c>
      <c r="FG141" s="675">
        <v>6.3574999999999993E-2</v>
      </c>
      <c r="FH141" s="675">
        <v>2.6297999999999998E-2</v>
      </c>
      <c r="FI141" s="675">
        <v>0</v>
      </c>
      <c r="FJ141" s="675">
        <v>0</v>
      </c>
      <c r="FK141" s="675">
        <v>3993.6210000000001</v>
      </c>
      <c r="FL141" s="675">
        <v>28230000</v>
      </c>
      <c r="FM141" s="675">
        <v>0</v>
      </c>
      <c r="FN141" s="675">
        <v>0</v>
      </c>
      <c r="FO141" s="675">
        <v>0</v>
      </c>
      <c r="FP141" s="675">
        <v>0</v>
      </c>
      <c r="FQ141" s="675">
        <v>0</v>
      </c>
      <c r="FR141" s="675">
        <v>0</v>
      </c>
      <c r="FS141" s="675">
        <v>0</v>
      </c>
      <c r="FT141" s="675">
        <v>0</v>
      </c>
      <c r="FU141" s="675">
        <v>0</v>
      </c>
      <c r="FV141" s="675">
        <v>0</v>
      </c>
      <c r="FW141" s="675">
        <v>0</v>
      </c>
      <c r="FX141" s="675">
        <v>0</v>
      </c>
      <c r="FY141" s="675">
        <v>0</v>
      </c>
      <c r="FZ141" s="675">
        <v>0</v>
      </c>
      <c r="GA141" s="675">
        <v>0</v>
      </c>
      <c r="GB141" s="675">
        <v>0</v>
      </c>
      <c r="GC141" s="675">
        <v>0</v>
      </c>
      <c r="GD141" s="675">
        <v>0</v>
      </c>
      <c r="GE141" s="675">
        <v>0</v>
      </c>
      <c r="GF141" s="675">
        <v>0</v>
      </c>
      <c r="GG141" s="675">
        <v>0</v>
      </c>
      <c r="GH141" s="675">
        <v>0</v>
      </c>
      <c r="GI141" s="675">
        <v>0</v>
      </c>
      <c r="GJ141" s="675">
        <v>0</v>
      </c>
      <c r="GK141" s="675">
        <v>0</v>
      </c>
      <c r="GL141" s="675">
        <v>0</v>
      </c>
      <c r="GM141" s="675">
        <v>0</v>
      </c>
      <c r="GN141" s="675">
        <v>0</v>
      </c>
      <c r="GO141" s="675">
        <v>0</v>
      </c>
      <c r="GP141" s="675">
        <v>0</v>
      </c>
      <c r="GQ141" s="675">
        <v>0</v>
      </c>
      <c r="GR141" s="675">
        <v>0</v>
      </c>
      <c r="GS141" s="675">
        <v>0</v>
      </c>
      <c r="GT141" s="675">
        <v>0</v>
      </c>
      <c r="GU141" s="675">
        <v>0</v>
      </c>
      <c r="GV141" s="675">
        <v>0</v>
      </c>
      <c r="GW141" s="675">
        <v>0</v>
      </c>
      <c r="GX141" s="675">
        <v>0</v>
      </c>
      <c r="GY141" s="675">
        <v>0</v>
      </c>
      <c r="GZ141" s="675">
        <v>0</v>
      </c>
      <c r="HA141" s="675">
        <v>0</v>
      </c>
      <c r="HB141" s="675">
        <v>308877260</v>
      </c>
      <c r="HC141" s="675">
        <v>4.4138999999999998E-2</v>
      </c>
      <c r="HD141" s="675">
        <v>569089</v>
      </c>
      <c r="HE141" s="675">
        <v>0</v>
      </c>
      <c r="HF141" s="675">
        <v>3532320</v>
      </c>
      <c r="HG141" s="675">
        <v>12936</v>
      </c>
      <c r="HH141" s="675">
        <v>67019</v>
      </c>
      <c r="HI141" s="675">
        <v>0</v>
      </c>
      <c r="HJ141" s="675">
        <v>31330</v>
      </c>
      <c r="HK141" s="675">
        <v>4446</v>
      </c>
      <c r="HL141" s="675">
        <v>0</v>
      </c>
      <c r="HM141" s="675">
        <v>99000</v>
      </c>
      <c r="HN141" s="675">
        <v>0</v>
      </c>
      <c r="HO141" s="675">
        <v>0</v>
      </c>
      <c r="HP141" s="675">
        <v>0</v>
      </c>
      <c r="HQ141" s="675">
        <v>0</v>
      </c>
      <c r="HR141" s="675">
        <v>0</v>
      </c>
      <c r="HS141" s="675">
        <v>23478102</v>
      </c>
      <c r="HT141" s="675">
        <v>517559</v>
      </c>
      <c r="HU141" s="675">
        <v>0</v>
      </c>
      <c r="HV141" s="675">
        <v>0</v>
      </c>
      <c r="HW141" s="675">
        <v>0</v>
      </c>
      <c r="HX141" s="675">
        <v>93</v>
      </c>
      <c r="HY141" s="675">
        <v>72</v>
      </c>
      <c r="HZ141" s="675">
        <v>54</v>
      </c>
      <c r="IA141" s="675">
        <v>40</v>
      </c>
      <c r="IB141" s="675">
        <v>18</v>
      </c>
      <c r="IC141" s="675">
        <v>277</v>
      </c>
      <c r="ID141" s="675">
        <v>0</v>
      </c>
      <c r="IE141" s="675">
        <v>0</v>
      </c>
      <c r="IF141" s="675">
        <v>0</v>
      </c>
      <c r="IG141" s="675">
        <v>21</v>
      </c>
      <c r="IH141" s="675">
        <v>108.798</v>
      </c>
      <c r="II141" s="675">
        <v>0</v>
      </c>
      <c r="IJ141" s="675">
        <v>387.40800000000002</v>
      </c>
      <c r="IK141" s="675">
        <v>0</v>
      </c>
      <c r="IL141" s="675">
        <v>3</v>
      </c>
      <c r="IM141" s="675">
        <v>28</v>
      </c>
      <c r="IN141" s="675">
        <v>0</v>
      </c>
      <c r="IO141" s="675">
        <v>31</v>
      </c>
      <c r="IP141" s="675">
        <v>0</v>
      </c>
      <c r="IQ141" s="675">
        <v>387.40800000000002</v>
      </c>
      <c r="IR141" s="675">
        <v>238642</v>
      </c>
      <c r="IS141" s="675">
        <v>0</v>
      </c>
      <c r="IT141" s="675">
        <v>15000</v>
      </c>
      <c r="IU141" s="675">
        <v>84000</v>
      </c>
      <c r="IV141" s="675">
        <v>0</v>
      </c>
      <c r="IW141" s="675">
        <v>6160</v>
      </c>
      <c r="IX141" s="675">
        <v>0</v>
      </c>
      <c r="IY141" s="675">
        <v>0</v>
      </c>
      <c r="IZ141" s="675">
        <v>0</v>
      </c>
      <c r="JA141" s="675">
        <v>0</v>
      </c>
      <c r="JB141" s="675">
        <v>0</v>
      </c>
      <c r="JC141" s="675">
        <v>0</v>
      </c>
      <c r="JD141" s="675">
        <v>0</v>
      </c>
      <c r="JE141" s="675">
        <v>0</v>
      </c>
      <c r="JF141" s="675">
        <v>0</v>
      </c>
      <c r="JG141" s="675">
        <v>0</v>
      </c>
      <c r="JH141" s="675">
        <v>0</v>
      </c>
      <c r="JI141" s="675">
        <v>0</v>
      </c>
      <c r="JJ141" s="675">
        <v>0</v>
      </c>
      <c r="JK141" s="675">
        <v>0</v>
      </c>
      <c r="JL141" s="675">
        <v>0</v>
      </c>
      <c r="JM141" s="675">
        <v>0</v>
      </c>
      <c r="JN141" s="675">
        <v>32469</v>
      </c>
      <c r="JO141" s="675">
        <v>0</v>
      </c>
      <c r="JP141" s="675">
        <v>0</v>
      </c>
      <c r="JQ141" s="675">
        <v>0</v>
      </c>
      <c r="JR141" s="675">
        <v>0</v>
      </c>
      <c r="JS141" s="675">
        <v>0</v>
      </c>
      <c r="JT141" s="675">
        <v>0</v>
      </c>
      <c r="JU141" s="675">
        <v>0</v>
      </c>
      <c r="JV141" s="675">
        <v>0</v>
      </c>
      <c r="JW141" s="675">
        <v>0</v>
      </c>
      <c r="JX141" s="675">
        <v>0</v>
      </c>
      <c r="JY141" s="675">
        <v>0</v>
      </c>
      <c r="JZ141" s="675">
        <v>0</v>
      </c>
      <c r="KA141" s="675">
        <v>0</v>
      </c>
      <c r="KB141" s="675">
        <v>0</v>
      </c>
      <c r="KC141" s="675">
        <v>0</v>
      </c>
      <c r="KD141" s="675">
        <v>0</v>
      </c>
      <c r="KE141" s="675">
        <v>7263</v>
      </c>
      <c r="KF141" s="675">
        <v>0</v>
      </c>
      <c r="KG141" s="675">
        <v>0</v>
      </c>
      <c r="KH141" s="675">
        <v>0</v>
      </c>
      <c r="KI141" s="675">
        <v>0</v>
      </c>
    </row>
    <row r="142" spans="1:295" ht="12.5" x14ac:dyDescent="0.25">
      <c r="A142" s="675">
        <v>35795</v>
      </c>
      <c r="B142" s="675">
        <v>57834</v>
      </c>
      <c r="C142" s="675">
        <v>7</v>
      </c>
      <c r="D142" s="675">
        <v>2022</v>
      </c>
      <c r="E142" s="675">
        <v>6160</v>
      </c>
      <c r="F142" s="675">
        <v>0</v>
      </c>
      <c r="G142" s="675">
        <v>386.12200000000001</v>
      </c>
      <c r="H142" s="675">
        <v>331.86799999999999</v>
      </c>
      <c r="I142" s="675">
        <v>331.86799999999999</v>
      </c>
      <c r="J142" s="675">
        <v>386.12200000000001</v>
      </c>
      <c r="K142" s="675">
        <v>0</v>
      </c>
      <c r="L142" s="675">
        <v>6160</v>
      </c>
      <c r="M142" s="675">
        <v>0</v>
      </c>
      <c r="N142" s="675">
        <v>0</v>
      </c>
      <c r="O142" s="675">
        <v>0</v>
      </c>
      <c r="P142" s="675">
        <v>388.267</v>
      </c>
      <c r="Q142" s="675">
        <v>0</v>
      </c>
      <c r="R142" s="675">
        <v>156250</v>
      </c>
      <c r="S142" s="675">
        <v>402.428</v>
      </c>
      <c r="T142" s="675">
        <v>0</v>
      </c>
      <c r="U142" s="675">
        <v>83090</v>
      </c>
      <c r="V142" s="675">
        <v>34.493000000000002</v>
      </c>
      <c r="W142" s="675">
        <v>21248</v>
      </c>
      <c r="X142" s="675">
        <v>21248</v>
      </c>
      <c r="Y142" s="675">
        <v>0</v>
      </c>
      <c r="Z142" s="675">
        <v>0</v>
      </c>
      <c r="AA142" s="675">
        <v>0</v>
      </c>
      <c r="AB142" s="675">
        <v>0</v>
      </c>
      <c r="AC142" s="675">
        <v>0</v>
      </c>
      <c r="AD142" s="675" t="s">
        <v>316</v>
      </c>
      <c r="AE142" s="675">
        <v>0</v>
      </c>
      <c r="AF142" s="675">
        <v>0</v>
      </c>
      <c r="AG142" s="675">
        <v>0</v>
      </c>
      <c r="AH142" s="675">
        <v>0</v>
      </c>
      <c r="AI142" s="675">
        <v>0</v>
      </c>
      <c r="AJ142" s="675">
        <v>6160</v>
      </c>
      <c r="AK142" s="675" t="s">
        <v>671</v>
      </c>
      <c r="AL142" s="675" t="s">
        <v>329</v>
      </c>
      <c r="AM142" s="675">
        <v>0</v>
      </c>
      <c r="AN142" s="675">
        <v>0</v>
      </c>
      <c r="AO142" s="675">
        <v>0</v>
      </c>
      <c r="AP142" s="675">
        <v>0</v>
      </c>
      <c r="AQ142" s="675">
        <v>0</v>
      </c>
      <c r="AR142" s="675">
        <v>0</v>
      </c>
      <c r="AS142" s="675">
        <v>0</v>
      </c>
      <c r="AT142" s="675">
        <v>0</v>
      </c>
      <c r="AU142" s="675">
        <v>0</v>
      </c>
      <c r="AV142" s="675">
        <v>-316475</v>
      </c>
      <c r="AW142" s="675">
        <v>4513924</v>
      </c>
      <c r="AX142" s="675">
        <v>4446734</v>
      </c>
      <c r="AY142" s="675">
        <v>2952337</v>
      </c>
      <c r="AZ142" s="675">
        <v>156250</v>
      </c>
      <c r="BA142" s="675">
        <v>0</v>
      </c>
      <c r="BB142" s="675">
        <v>0</v>
      </c>
      <c r="BC142" s="675">
        <v>0</v>
      </c>
      <c r="BD142" s="675">
        <v>0</v>
      </c>
      <c r="BE142" s="675">
        <v>0</v>
      </c>
      <c r="BF142" s="675">
        <v>3965594</v>
      </c>
      <c r="BG142" s="675">
        <v>0</v>
      </c>
      <c r="BH142" s="675">
        <v>0</v>
      </c>
      <c r="BI142" s="675">
        <v>0</v>
      </c>
      <c r="BJ142" s="675">
        <v>12</v>
      </c>
      <c r="BK142" s="675">
        <v>0</v>
      </c>
      <c r="BL142" s="675">
        <v>0</v>
      </c>
      <c r="BM142" s="675">
        <v>0</v>
      </c>
      <c r="BN142" s="675">
        <v>0</v>
      </c>
      <c r="BO142" s="675">
        <v>0</v>
      </c>
      <c r="BP142" s="675">
        <v>0</v>
      </c>
      <c r="BQ142" s="675">
        <v>719</v>
      </c>
      <c r="BR142" s="675">
        <v>0</v>
      </c>
      <c r="BS142" s="675">
        <v>0</v>
      </c>
      <c r="BT142" s="675">
        <v>0</v>
      </c>
      <c r="BU142" s="675">
        <v>0</v>
      </c>
      <c r="BV142" s="675">
        <v>0</v>
      </c>
      <c r="BW142" s="675">
        <v>0</v>
      </c>
      <c r="BX142" s="675">
        <v>0</v>
      </c>
      <c r="BY142" s="675">
        <v>0</v>
      </c>
      <c r="BZ142" s="675">
        <v>0</v>
      </c>
      <c r="CA142" s="675">
        <v>0</v>
      </c>
      <c r="CB142" s="675">
        <v>0</v>
      </c>
      <c r="CC142" s="675">
        <v>0</v>
      </c>
      <c r="CD142" s="675">
        <v>0</v>
      </c>
      <c r="CE142" s="675">
        <v>0</v>
      </c>
      <c r="CF142" s="675">
        <v>0</v>
      </c>
      <c r="CG142" s="675">
        <v>0</v>
      </c>
      <c r="CH142" s="675">
        <v>68172</v>
      </c>
      <c r="CI142" s="675">
        <v>0</v>
      </c>
      <c r="CJ142" s="675">
        <v>4</v>
      </c>
      <c r="CK142" s="675">
        <v>0</v>
      </c>
      <c r="CL142" s="675">
        <v>0</v>
      </c>
      <c r="CM142" s="675">
        <v>0</v>
      </c>
      <c r="CN142" s="675">
        <v>0</v>
      </c>
      <c r="CO142" s="675">
        <v>1</v>
      </c>
      <c r="CP142" s="675">
        <v>0.30199999999999999</v>
      </c>
      <c r="CQ142" s="675">
        <v>0</v>
      </c>
      <c r="CR142" s="675">
        <v>519.58600000000001</v>
      </c>
      <c r="CS142" s="675">
        <v>0</v>
      </c>
      <c r="CT142" s="675">
        <v>0</v>
      </c>
      <c r="CU142" s="675">
        <v>0</v>
      </c>
      <c r="CV142" s="675">
        <v>0</v>
      </c>
      <c r="CW142" s="675">
        <v>0</v>
      </c>
      <c r="CX142" s="675">
        <v>0</v>
      </c>
      <c r="CY142" s="675">
        <v>0</v>
      </c>
      <c r="CZ142" s="675">
        <v>0</v>
      </c>
      <c r="DA142" s="675">
        <v>0</v>
      </c>
      <c r="DB142" s="675">
        <v>2044297</v>
      </c>
      <c r="DC142" s="675">
        <v>0</v>
      </c>
      <c r="DD142" s="675">
        <v>0</v>
      </c>
      <c r="DE142" s="675">
        <v>707627</v>
      </c>
      <c r="DF142" s="675">
        <v>712110</v>
      </c>
      <c r="DG142" s="675">
        <v>114.875</v>
      </c>
      <c r="DH142" s="675">
        <v>0</v>
      </c>
      <c r="DI142" s="675">
        <v>4483</v>
      </c>
      <c r="DJ142" s="675">
        <v>0</v>
      </c>
      <c r="DK142" s="675">
        <v>3125</v>
      </c>
      <c r="DL142" s="675">
        <v>0</v>
      </c>
      <c r="DM142" s="675">
        <v>261048</v>
      </c>
      <c r="DN142" s="675">
        <v>982</v>
      </c>
      <c r="DO142" s="675">
        <v>0</v>
      </c>
      <c r="DP142" s="675">
        <v>0</v>
      </c>
      <c r="DQ142" s="675">
        <v>0</v>
      </c>
      <c r="DR142" s="675">
        <v>0</v>
      </c>
      <c r="DS142" s="675">
        <v>0</v>
      </c>
      <c r="DT142" s="675">
        <v>0</v>
      </c>
      <c r="DU142" s="675">
        <v>0</v>
      </c>
      <c r="DV142" s="675">
        <v>0</v>
      </c>
      <c r="DW142" s="675">
        <v>0</v>
      </c>
      <c r="DX142" s="675">
        <v>0</v>
      </c>
      <c r="DY142" s="675">
        <v>0</v>
      </c>
      <c r="DZ142" s="675">
        <v>0</v>
      </c>
      <c r="EA142" s="675">
        <v>0</v>
      </c>
      <c r="EB142" s="675">
        <v>0</v>
      </c>
      <c r="EC142" s="675">
        <v>23.104000000000003</v>
      </c>
      <c r="ED142" s="675">
        <v>163668</v>
      </c>
      <c r="EE142" s="675">
        <v>0</v>
      </c>
      <c r="EF142" s="675">
        <v>0</v>
      </c>
      <c r="EG142" s="675">
        <v>0</v>
      </c>
      <c r="EH142" s="675">
        <v>98362</v>
      </c>
      <c r="EI142" s="675">
        <v>0</v>
      </c>
      <c r="EJ142" s="675">
        <v>0</v>
      </c>
      <c r="EK142" s="675">
        <v>5.2610000000000001</v>
      </c>
      <c r="EL142" s="675">
        <v>0</v>
      </c>
      <c r="EM142" s="675">
        <v>0</v>
      </c>
      <c r="EN142" s="675">
        <v>3.7000000000000005E-2</v>
      </c>
      <c r="EO142" s="675">
        <v>0</v>
      </c>
      <c r="EP142" s="675">
        <v>0</v>
      </c>
      <c r="EQ142" s="675">
        <v>5.298</v>
      </c>
      <c r="ER142" s="675">
        <v>0</v>
      </c>
      <c r="ES142" s="675">
        <v>15.968</v>
      </c>
      <c r="ET142" s="675">
        <v>0</v>
      </c>
      <c r="EU142" s="675">
        <v>0</v>
      </c>
      <c r="EV142" s="675">
        <v>0</v>
      </c>
      <c r="EW142" s="675">
        <v>0</v>
      </c>
      <c r="EX142" s="675">
        <v>0</v>
      </c>
      <c r="EY142" s="675">
        <v>0</v>
      </c>
      <c r="EZ142" s="675">
        <v>3959922</v>
      </c>
      <c r="FA142" s="675">
        <v>0</v>
      </c>
      <c r="FB142" s="675">
        <v>4115190</v>
      </c>
      <c r="FC142" s="675">
        <v>0</v>
      </c>
      <c r="FD142" s="675">
        <v>0</v>
      </c>
      <c r="FE142" s="675">
        <v>403382</v>
      </c>
      <c r="FF142" s="675">
        <v>83430</v>
      </c>
      <c r="FG142" s="675">
        <v>6.3574999999999993E-2</v>
      </c>
      <c r="FH142" s="675">
        <v>2.6297999999999998E-2</v>
      </c>
      <c r="FI142" s="675">
        <v>0</v>
      </c>
      <c r="FJ142" s="675">
        <v>0</v>
      </c>
      <c r="FK142" s="675">
        <v>643.76800000000003</v>
      </c>
      <c r="FL142" s="675">
        <v>4670174</v>
      </c>
      <c r="FM142" s="675">
        <v>0</v>
      </c>
      <c r="FN142" s="675">
        <v>0</v>
      </c>
      <c r="FO142" s="675">
        <v>1786</v>
      </c>
      <c r="FP142" s="675">
        <v>0</v>
      </c>
      <c r="FQ142" s="675">
        <v>1786</v>
      </c>
      <c r="FR142" s="675">
        <v>1786</v>
      </c>
      <c r="FS142" s="675">
        <v>0</v>
      </c>
      <c r="FT142" s="675">
        <v>0</v>
      </c>
      <c r="FU142" s="675">
        <v>0</v>
      </c>
      <c r="FV142" s="675">
        <v>0</v>
      </c>
      <c r="FW142" s="675">
        <v>0</v>
      </c>
      <c r="FX142" s="675">
        <v>0</v>
      </c>
      <c r="FY142" s="675">
        <v>0</v>
      </c>
      <c r="FZ142" s="675">
        <v>0</v>
      </c>
      <c r="GA142" s="675">
        <v>0</v>
      </c>
      <c r="GB142" s="675">
        <v>447250</v>
      </c>
      <c r="GC142" s="675">
        <v>447250</v>
      </c>
      <c r="GD142" s="675">
        <v>48.956000000000003</v>
      </c>
      <c r="GE142" s="675">
        <v>0</v>
      </c>
      <c r="GF142" s="675">
        <v>0</v>
      </c>
      <c r="GG142" s="675">
        <v>0</v>
      </c>
      <c r="GH142" s="675">
        <v>0</v>
      </c>
      <c r="GI142" s="675">
        <v>0</v>
      </c>
      <c r="GJ142" s="675">
        <v>0</v>
      </c>
      <c r="GK142" s="675">
        <v>0</v>
      </c>
      <c r="GL142" s="675">
        <v>0</v>
      </c>
      <c r="GM142" s="675">
        <v>0</v>
      </c>
      <c r="GN142" s="675">
        <v>0</v>
      </c>
      <c r="GO142" s="675">
        <v>0</v>
      </c>
      <c r="GP142" s="675">
        <v>0</v>
      </c>
      <c r="GQ142" s="675">
        <v>0</v>
      </c>
      <c r="GR142" s="675">
        <v>0</v>
      </c>
      <c r="GS142" s="675">
        <v>0</v>
      </c>
      <c r="GT142" s="675">
        <v>0</v>
      </c>
      <c r="GU142" s="675">
        <v>0</v>
      </c>
      <c r="GV142" s="675">
        <v>0</v>
      </c>
      <c r="GW142" s="675">
        <v>0</v>
      </c>
      <c r="GX142" s="675">
        <v>0</v>
      </c>
      <c r="GY142" s="675">
        <v>0</v>
      </c>
      <c r="GZ142" s="675">
        <v>0</v>
      </c>
      <c r="HA142" s="675">
        <v>0</v>
      </c>
      <c r="HB142" s="675">
        <v>308877260</v>
      </c>
      <c r="HC142" s="675">
        <v>4.4138999999999998E-2</v>
      </c>
      <c r="HD142" s="675">
        <v>68172</v>
      </c>
      <c r="HE142" s="675">
        <v>0</v>
      </c>
      <c r="HF142" s="675">
        <v>366050</v>
      </c>
      <c r="HG142" s="675">
        <v>642</v>
      </c>
      <c r="HH142" s="675">
        <v>0</v>
      </c>
      <c r="HI142" s="675">
        <v>0</v>
      </c>
      <c r="HJ142" s="675">
        <v>3753</v>
      </c>
      <c r="HK142" s="675">
        <v>8226</v>
      </c>
      <c r="HL142" s="675">
        <v>3606</v>
      </c>
      <c r="HM142" s="675">
        <v>0</v>
      </c>
      <c r="HN142" s="675">
        <v>90214</v>
      </c>
      <c r="HO142" s="675">
        <v>18000</v>
      </c>
      <c r="HP142" s="675">
        <v>136960</v>
      </c>
      <c r="HQ142" s="675">
        <v>0</v>
      </c>
      <c r="HR142" s="675">
        <v>0</v>
      </c>
      <c r="HS142" s="675">
        <v>3958940</v>
      </c>
      <c r="HT142" s="675">
        <v>83430</v>
      </c>
      <c r="HU142" s="675">
        <v>0</v>
      </c>
      <c r="HV142" s="675">
        <v>0</v>
      </c>
      <c r="HW142" s="675">
        <v>0</v>
      </c>
      <c r="HX142" s="675">
        <v>64</v>
      </c>
      <c r="HY142" s="675">
        <v>66</v>
      </c>
      <c r="HZ142" s="675">
        <v>66</v>
      </c>
      <c r="IA142" s="675">
        <v>102</v>
      </c>
      <c r="IB142" s="675">
        <v>151</v>
      </c>
      <c r="IC142" s="675">
        <v>449</v>
      </c>
      <c r="ID142" s="675">
        <v>0</v>
      </c>
      <c r="IE142" s="675">
        <v>0</v>
      </c>
      <c r="IF142" s="675">
        <v>0</v>
      </c>
      <c r="IG142" s="675">
        <v>1.042</v>
      </c>
      <c r="IH142" s="675">
        <v>0</v>
      </c>
      <c r="II142" s="675">
        <v>498.03500000000003</v>
      </c>
      <c r="IJ142" s="675">
        <v>34.493000000000002</v>
      </c>
      <c r="IK142" s="675">
        <v>0</v>
      </c>
      <c r="IL142" s="675">
        <v>0</v>
      </c>
      <c r="IM142" s="675">
        <v>0</v>
      </c>
      <c r="IN142" s="675">
        <v>0</v>
      </c>
      <c r="IO142" s="675">
        <v>0</v>
      </c>
      <c r="IP142" s="675">
        <v>498.03500000000003</v>
      </c>
      <c r="IQ142" s="675">
        <v>34.493000000000002</v>
      </c>
      <c r="IR142" s="675">
        <v>21248</v>
      </c>
      <c r="IS142" s="675">
        <v>0</v>
      </c>
      <c r="IT142" s="675">
        <v>0</v>
      </c>
      <c r="IU142" s="675">
        <v>0</v>
      </c>
      <c r="IV142" s="675">
        <v>0</v>
      </c>
      <c r="IW142" s="675">
        <v>6160</v>
      </c>
      <c r="IX142" s="675">
        <v>0</v>
      </c>
      <c r="IY142" s="675">
        <v>0</v>
      </c>
      <c r="IZ142" s="675">
        <v>136960</v>
      </c>
      <c r="JA142" s="675">
        <v>0</v>
      </c>
      <c r="JB142" s="675">
        <v>2</v>
      </c>
      <c r="JC142" s="675">
        <v>44358</v>
      </c>
      <c r="JD142" s="675">
        <v>3</v>
      </c>
      <c r="JE142" s="675">
        <v>32270</v>
      </c>
      <c r="JF142" s="675">
        <v>2</v>
      </c>
      <c r="JG142" s="675">
        <v>10086</v>
      </c>
      <c r="JH142" s="675">
        <v>3500</v>
      </c>
      <c r="JI142" s="675">
        <v>0</v>
      </c>
      <c r="JJ142" s="675">
        <v>0</v>
      </c>
      <c r="JK142" s="675">
        <v>0</v>
      </c>
      <c r="JL142" s="675">
        <v>0</v>
      </c>
      <c r="JM142" s="675">
        <v>0</v>
      </c>
      <c r="JN142" s="675">
        <v>32469</v>
      </c>
      <c r="JO142" s="675">
        <v>10.354000000000001</v>
      </c>
      <c r="JP142" s="675">
        <v>34.5</v>
      </c>
      <c r="JQ142" s="675">
        <v>4.1020000000000003</v>
      </c>
      <c r="JR142" s="675">
        <v>82721</v>
      </c>
      <c r="JS142" s="675">
        <v>320734</v>
      </c>
      <c r="JT142" s="675">
        <v>43795</v>
      </c>
      <c r="JU142" s="675">
        <v>0</v>
      </c>
      <c r="JV142" s="675">
        <v>0</v>
      </c>
      <c r="JW142" s="675">
        <v>0</v>
      </c>
      <c r="JX142" s="675">
        <v>0</v>
      </c>
      <c r="JY142" s="675">
        <v>0</v>
      </c>
      <c r="JZ142" s="675">
        <v>0</v>
      </c>
      <c r="KA142" s="675">
        <v>0</v>
      </c>
      <c r="KB142" s="675">
        <v>0</v>
      </c>
      <c r="KC142" s="675">
        <v>0</v>
      </c>
      <c r="KD142" s="675">
        <v>0</v>
      </c>
      <c r="KE142" s="675">
        <v>7263</v>
      </c>
      <c r="KF142" s="675">
        <v>0</v>
      </c>
      <c r="KG142" s="675">
        <v>0</v>
      </c>
      <c r="KH142" s="675">
        <v>0</v>
      </c>
      <c r="KI142" s="675">
        <v>0</v>
      </c>
    </row>
    <row r="143" spans="1:295" ht="12.5" x14ac:dyDescent="0.25">
      <c r="A143" s="675">
        <v>35795</v>
      </c>
      <c r="B143" s="675">
        <v>15835</v>
      </c>
      <c r="C143" s="675">
        <v>7</v>
      </c>
      <c r="D143" s="675">
        <v>2022</v>
      </c>
      <c r="E143" s="675">
        <v>6160</v>
      </c>
      <c r="F143" s="675">
        <v>0</v>
      </c>
      <c r="G143" s="675">
        <v>7685.9520000000002</v>
      </c>
      <c r="H143" s="675">
        <v>7501.6870000000008</v>
      </c>
      <c r="I143" s="675">
        <v>7501.6870000000008</v>
      </c>
      <c r="J143" s="675">
        <v>7685.9520000000002</v>
      </c>
      <c r="K143" s="675">
        <v>0</v>
      </c>
      <c r="L143" s="675">
        <v>6160</v>
      </c>
      <c r="M143" s="675">
        <v>0</v>
      </c>
      <c r="N143" s="675">
        <v>0</v>
      </c>
      <c r="O143" s="675">
        <v>0</v>
      </c>
      <c r="P143" s="675">
        <v>6313.3389999999999</v>
      </c>
      <c r="Q143" s="675">
        <v>0</v>
      </c>
      <c r="R143" s="675">
        <v>2540664</v>
      </c>
      <c r="S143" s="675">
        <v>402.428</v>
      </c>
      <c r="T143" s="675">
        <v>0</v>
      </c>
      <c r="U143" s="675">
        <v>1351063</v>
      </c>
      <c r="V143" s="675">
        <v>508.58700000000005</v>
      </c>
      <c r="W143" s="675">
        <v>313288</v>
      </c>
      <c r="X143" s="675">
        <v>313288</v>
      </c>
      <c r="Y143" s="675">
        <v>0</v>
      </c>
      <c r="Z143" s="675">
        <v>0</v>
      </c>
      <c r="AA143" s="675">
        <v>0</v>
      </c>
      <c r="AB143" s="675">
        <v>0</v>
      </c>
      <c r="AC143" s="675">
        <v>0</v>
      </c>
      <c r="AD143" s="675" t="s">
        <v>316</v>
      </c>
      <c r="AE143" s="675">
        <v>0</v>
      </c>
      <c r="AF143" s="675">
        <v>0</v>
      </c>
      <c r="AG143" s="675">
        <v>0</v>
      </c>
      <c r="AH143" s="675">
        <v>0</v>
      </c>
      <c r="AI143" s="675">
        <v>0</v>
      </c>
      <c r="AJ143" s="675">
        <v>6160</v>
      </c>
      <c r="AK143" s="675" t="s">
        <v>671</v>
      </c>
      <c r="AL143" s="675" t="s">
        <v>320</v>
      </c>
      <c r="AM143" s="675">
        <v>0</v>
      </c>
      <c r="AN143" s="675">
        <v>0</v>
      </c>
      <c r="AO143" s="675">
        <v>0</v>
      </c>
      <c r="AP143" s="675">
        <v>0</v>
      </c>
      <c r="AQ143" s="675">
        <v>0</v>
      </c>
      <c r="AR143" s="675">
        <v>0</v>
      </c>
      <c r="AS143" s="675">
        <v>0</v>
      </c>
      <c r="AT143" s="675">
        <v>0</v>
      </c>
      <c r="AU143" s="675">
        <v>0</v>
      </c>
      <c r="AV143" s="675">
        <v>0</v>
      </c>
      <c r="AW143" s="675">
        <v>69526705</v>
      </c>
      <c r="AX143" s="675">
        <v>68184449</v>
      </c>
      <c r="AY143" s="675">
        <v>45313401</v>
      </c>
      <c r="AZ143" s="675">
        <v>2540664</v>
      </c>
      <c r="BA143" s="675">
        <v>0</v>
      </c>
      <c r="BB143" s="675">
        <v>0</v>
      </c>
      <c r="BC143" s="675">
        <v>0</v>
      </c>
      <c r="BD143" s="675">
        <v>0</v>
      </c>
      <c r="BE143" s="675">
        <v>0</v>
      </c>
      <c r="BF143" s="675">
        <v>62199164</v>
      </c>
      <c r="BG143" s="675">
        <v>0</v>
      </c>
      <c r="BH143" s="675">
        <v>0</v>
      </c>
      <c r="BI143" s="675">
        <v>0</v>
      </c>
      <c r="BJ143" s="675">
        <v>12</v>
      </c>
      <c r="BK143" s="675">
        <v>0</v>
      </c>
      <c r="BL143" s="675">
        <v>0</v>
      </c>
      <c r="BM143" s="675">
        <v>0</v>
      </c>
      <c r="BN143" s="675">
        <v>0</v>
      </c>
      <c r="BO143" s="675">
        <v>0</v>
      </c>
      <c r="BP143" s="675">
        <v>0</v>
      </c>
      <c r="BQ143" s="675">
        <v>0</v>
      </c>
      <c r="BR143" s="675">
        <v>0</v>
      </c>
      <c r="BS143" s="675">
        <v>0</v>
      </c>
      <c r="BT143" s="675">
        <v>0</v>
      </c>
      <c r="BU143" s="675">
        <v>0</v>
      </c>
      <c r="BV143" s="675">
        <v>0</v>
      </c>
      <c r="BW143" s="675">
        <v>0</v>
      </c>
      <c r="BX143" s="675">
        <v>0</v>
      </c>
      <c r="BY143" s="675">
        <v>0</v>
      </c>
      <c r="BZ143" s="675">
        <v>0</v>
      </c>
      <c r="CA143" s="675">
        <v>1034.097</v>
      </c>
      <c r="CB143" s="675">
        <v>881849</v>
      </c>
      <c r="CC143" s="675">
        <v>0</v>
      </c>
      <c r="CD143" s="675">
        <v>0</v>
      </c>
      <c r="CE143" s="675">
        <v>0</v>
      </c>
      <c r="CF143" s="675">
        <v>0</v>
      </c>
      <c r="CG143" s="675">
        <v>0</v>
      </c>
      <c r="CH143" s="675">
        <v>1356997</v>
      </c>
      <c r="CI143" s="675">
        <v>0</v>
      </c>
      <c r="CJ143" s="675">
        <v>4</v>
      </c>
      <c r="CK143" s="675">
        <v>0</v>
      </c>
      <c r="CL143" s="675">
        <v>0</v>
      </c>
      <c r="CM143" s="675">
        <v>0</v>
      </c>
      <c r="CN143" s="675">
        <v>0</v>
      </c>
      <c r="CO143" s="675">
        <v>1</v>
      </c>
      <c r="CP143" s="675">
        <v>0</v>
      </c>
      <c r="CQ143" s="675">
        <v>0</v>
      </c>
      <c r="CR143" s="675">
        <v>6428.8280000000004</v>
      </c>
      <c r="CS143" s="675">
        <v>0</v>
      </c>
      <c r="CT143" s="675">
        <v>0</v>
      </c>
      <c r="CU143" s="675">
        <v>0</v>
      </c>
      <c r="CV143" s="675">
        <v>0</v>
      </c>
      <c r="CW143" s="675">
        <v>0</v>
      </c>
      <c r="CX143" s="675">
        <v>0</v>
      </c>
      <c r="CY143" s="675">
        <v>0</v>
      </c>
      <c r="CZ143" s="675">
        <v>0</v>
      </c>
      <c r="DA143" s="675">
        <v>0</v>
      </c>
      <c r="DB143" s="675">
        <v>46210178</v>
      </c>
      <c r="DC143" s="675">
        <v>0</v>
      </c>
      <c r="DD143" s="675">
        <v>0</v>
      </c>
      <c r="DE143" s="675">
        <v>2688520</v>
      </c>
      <c r="DF143" s="675">
        <v>2688520</v>
      </c>
      <c r="DG143" s="675">
        <v>436.45</v>
      </c>
      <c r="DH143" s="675">
        <v>0</v>
      </c>
      <c r="DI143" s="675">
        <v>0</v>
      </c>
      <c r="DJ143" s="675">
        <v>0</v>
      </c>
      <c r="DK143" s="675">
        <v>0</v>
      </c>
      <c r="DL143" s="675">
        <v>0</v>
      </c>
      <c r="DM143" s="675">
        <v>3918651</v>
      </c>
      <c r="DN143" s="675">
        <v>14741</v>
      </c>
      <c r="DO143" s="675">
        <v>0</v>
      </c>
      <c r="DP143" s="675">
        <v>0</v>
      </c>
      <c r="DQ143" s="675">
        <v>0</v>
      </c>
      <c r="DR143" s="675">
        <v>0</v>
      </c>
      <c r="DS143" s="675">
        <v>0</v>
      </c>
      <c r="DT143" s="675">
        <v>0</v>
      </c>
      <c r="DU143" s="675">
        <v>0</v>
      </c>
      <c r="DV143" s="675">
        <v>0</v>
      </c>
      <c r="DW143" s="675">
        <v>0</v>
      </c>
      <c r="DX143" s="675">
        <v>0</v>
      </c>
      <c r="DY143" s="675">
        <v>0</v>
      </c>
      <c r="DZ143" s="675">
        <v>0</v>
      </c>
      <c r="EA143" s="675">
        <v>0</v>
      </c>
      <c r="EB143" s="675">
        <v>0</v>
      </c>
      <c r="EC143" s="675">
        <v>51.791000000000004</v>
      </c>
      <c r="ED143" s="675">
        <v>366886</v>
      </c>
      <c r="EE143" s="675">
        <v>0</v>
      </c>
      <c r="EF143" s="675">
        <v>0</v>
      </c>
      <c r="EG143" s="675">
        <v>0</v>
      </c>
      <c r="EH143" s="675">
        <v>3566506</v>
      </c>
      <c r="EI143" s="675">
        <v>0</v>
      </c>
      <c r="EJ143" s="675">
        <v>0</v>
      </c>
      <c r="EK143" s="675">
        <v>143.51600000000002</v>
      </c>
      <c r="EL143" s="675">
        <v>0</v>
      </c>
      <c r="EM143" s="675">
        <v>27.656000000000002</v>
      </c>
      <c r="EN143" s="675">
        <v>13.093</v>
      </c>
      <c r="EO143" s="675">
        <v>0</v>
      </c>
      <c r="EP143" s="675">
        <v>0</v>
      </c>
      <c r="EQ143" s="675">
        <v>184.26500000000001</v>
      </c>
      <c r="ER143" s="675">
        <v>0</v>
      </c>
      <c r="ES143" s="675">
        <v>578.98099999999999</v>
      </c>
      <c r="ET143" s="675">
        <v>0</v>
      </c>
      <c r="EU143" s="675">
        <v>0</v>
      </c>
      <c r="EV143" s="675">
        <v>0</v>
      </c>
      <c r="EW143" s="675">
        <v>0</v>
      </c>
      <c r="EX143" s="675">
        <v>0</v>
      </c>
      <c r="EY143" s="675">
        <v>0</v>
      </c>
      <c r="EZ143" s="675">
        <v>60548944</v>
      </c>
      <c r="FA143" s="675">
        <v>0</v>
      </c>
      <c r="FB143" s="675">
        <v>63074867</v>
      </c>
      <c r="FC143" s="675">
        <v>0</v>
      </c>
      <c r="FD143" s="675">
        <v>0</v>
      </c>
      <c r="FE143" s="675">
        <v>6326928</v>
      </c>
      <c r="FF143" s="675">
        <v>1308577</v>
      </c>
      <c r="FG143" s="675">
        <v>6.3574999999999993E-2</v>
      </c>
      <c r="FH143" s="675">
        <v>2.6297999999999998E-2</v>
      </c>
      <c r="FI143" s="675">
        <v>0</v>
      </c>
      <c r="FJ143" s="675">
        <v>0</v>
      </c>
      <c r="FK143" s="675">
        <v>10097.314</v>
      </c>
      <c r="FL143" s="675">
        <v>72067369</v>
      </c>
      <c r="FM143" s="675">
        <v>0</v>
      </c>
      <c r="FN143" s="675">
        <v>0</v>
      </c>
      <c r="FO143" s="675">
        <v>0</v>
      </c>
      <c r="FP143" s="675">
        <v>0</v>
      </c>
      <c r="FQ143" s="675">
        <v>0</v>
      </c>
      <c r="FR143" s="675">
        <v>0</v>
      </c>
      <c r="FS143" s="675">
        <v>0</v>
      </c>
      <c r="FT143" s="675">
        <v>0</v>
      </c>
      <c r="FU143" s="675">
        <v>0</v>
      </c>
      <c r="FV143" s="675">
        <v>0</v>
      </c>
      <c r="FW143" s="675">
        <v>0</v>
      </c>
      <c r="FX143" s="675">
        <v>0</v>
      </c>
      <c r="FY143" s="675">
        <v>0</v>
      </c>
      <c r="FZ143" s="675">
        <v>0</v>
      </c>
      <c r="GA143" s="675">
        <v>0</v>
      </c>
      <c r="GB143" s="675">
        <v>0</v>
      </c>
      <c r="GC143" s="675">
        <v>0</v>
      </c>
      <c r="GD143" s="675">
        <v>0</v>
      </c>
      <c r="GE143" s="675">
        <v>0</v>
      </c>
      <c r="GF143" s="675">
        <v>0</v>
      </c>
      <c r="GG143" s="675">
        <v>0</v>
      </c>
      <c r="GH143" s="675">
        <v>0</v>
      </c>
      <c r="GI143" s="675">
        <v>0</v>
      </c>
      <c r="GJ143" s="675">
        <v>0</v>
      </c>
      <c r="GK143" s="675">
        <v>0</v>
      </c>
      <c r="GL143" s="675">
        <v>0</v>
      </c>
      <c r="GM143" s="675">
        <v>0</v>
      </c>
      <c r="GN143" s="675">
        <v>0</v>
      </c>
      <c r="GO143" s="675">
        <v>0</v>
      </c>
      <c r="GP143" s="675">
        <v>0</v>
      </c>
      <c r="GQ143" s="675">
        <v>0</v>
      </c>
      <c r="GR143" s="675">
        <v>0</v>
      </c>
      <c r="GS143" s="675">
        <v>0</v>
      </c>
      <c r="GT143" s="675">
        <v>0</v>
      </c>
      <c r="GU143" s="675">
        <v>0</v>
      </c>
      <c r="GV143" s="675">
        <v>0</v>
      </c>
      <c r="GW143" s="675">
        <v>0</v>
      </c>
      <c r="GX143" s="675">
        <v>0</v>
      </c>
      <c r="GY143" s="675">
        <v>0</v>
      </c>
      <c r="GZ143" s="675">
        <v>0</v>
      </c>
      <c r="HA143" s="675">
        <v>0</v>
      </c>
      <c r="HB143" s="675">
        <v>308877260</v>
      </c>
      <c r="HC143" s="675">
        <v>4.4138999999999998E-2</v>
      </c>
      <c r="HD143" s="675">
        <v>1356997</v>
      </c>
      <c r="HE143" s="675">
        <v>0</v>
      </c>
      <c r="HF143" s="675">
        <v>8274361</v>
      </c>
      <c r="HG143" s="675">
        <v>46200</v>
      </c>
      <c r="HH143" s="675">
        <v>589518</v>
      </c>
      <c r="HI143" s="675">
        <v>0</v>
      </c>
      <c r="HJ143" s="675">
        <v>74707</v>
      </c>
      <c r="HK143" s="675">
        <v>8595</v>
      </c>
      <c r="HL143" s="675">
        <v>0</v>
      </c>
      <c r="HM143" s="675">
        <v>69000</v>
      </c>
      <c r="HN143" s="675">
        <v>0</v>
      </c>
      <c r="HO143" s="675">
        <v>0</v>
      </c>
      <c r="HP143" s="675">
        <v>0</v>
      </c>
      <c r="HQ143" s="675">
        <v>0</v>
      </c>
      <c r="HR143" s="675">
        <v>0</v>
      </c>
      <c r="HS143" s="675">
        <v>60534203</v>
      </c>
      <c r="HT143" s="675">
        <v>1308577</v>
      </c>
      <c r="HU143" s="675">
        <v>0</v>
      </c>
      <c r="HV143" s="675">
        <v>0</v>
      </c>
      <c r="HW143" s="675">
        <v>0</v>
      </c>
      <c r="HX143" s="675">
        <v>649</v>
      </c>
      <c r="HY143" s="675">
        <v>503</v>
      </c>
      <c r="HZ143" s="675">
        <v>296</v>
      </c>
      <c r="IA143" s="675">
        <v>229</v>
      </c>
      <c r="IB143" s="675">
        <v>134</v>
      </c>
      <c r="IC143" s="675">
        <v>1811</v>
      </c>
      <c r="ID143" s="675">
        <v>0</v>
      </c>
      <c r="IE143" s="675">
        <v>0</v>
      </c>
      <c r="IF143" s="675">
        <v>0</v>
      </c>
      <c r="IG143" s="675">
        <v>75</v>
      </c>
      <c r="IH143" s="675">
        <v>957.01400000000001</v>
      </c>
      <c r="II143" s="675">
        <v>0</v>
      </c>
      <c r="IJ143" s="675">
        <v>508.58700000000005</v>
      </c>
      <c r="IK143" s="675">
        <v>0</v>
      </c>
      <c r="IL143" s="675">
        <v>5</v>
      </c>
      <c r="IM143" s="675">
        <v>14</v>
      </c>
      <c r="IN143" s="675">
        <v>1</v>
      </c>
      <c r="IO143" s="675">
        <v>20</v>
      </c>
      <c r="IP143" s="675">
        <v>0</v>
      </c>
      <c r="IQ143" s="675">
        <v>508.58700000000005</v>
      </c>
      <c r="IR143" s="675">
        <v>313288</v>
      </c>
      <c r="IS143" s="675">
        <v>0</v>
      </c>
      <c r="IT143" s="675">
        <v>25000</v>
      </c>
      <c r="IU143" s="675">
        <v>42000</v>
      </c>
      <c r="IV143" s="675">
        <v>2000</v>
      </c>
      <c r="IW143" s="675">
        <v>6160</v>
      </c>
      <c r="IX143" s="675">
        <v>0</v>
      </c>
      <c r="IY143" s="675">
        <v>0</v>
      </c>
      <c r="IZ143" s="675">
        <v>0</v>
      </c>
      <c r="JA143" s="675">
        <v>0</v>
      </c>
      <c r="JB143" s="675">
        <v>0</v>
      </c>
      <c r="JC143" s="675">
        <v>0</v>
      </c>
      <c r="JD143" s="675">
        <v>0</v>
      </c>
      <c r="JE143" s="675">
        <v>0</v>
      </c>
      <c r="JF143" s="675">
        <v>0</v>
      </c>
      <c r="JG143" s="675">
        <v>0</v>
      </c>
      <c r="JH143" s="675">
        <v>0</v>
      </c>
      <c r="JI143" s="675">
        <v>0</v>
      </c>
      <c r="JJ143" s="675">
        <v>0</v>
      </c>
      <c r="JK143" s="675">
        <v>0</v>
      </c>
      <c r="JL143" s="675">
        <v>0</v>
      </c>
      <c r="JM143" s="675">
        <v>0</v>
      </c>
      <c r="JN143" s="675">
        <v>32469</v>
      </c>
      <c r="JO143" s="675">
        <v>0</v>
      </c>
      <c r="JP143" s="675">
        <v>0</v>
      </c>
      <c r="JQ143" s="675">
        <v>0</v>
      </c>
      <c r="JR143" s="675">
        <v>0</v>
      </c>
      <c r="JS143" s="675">
        <v>0</v>
      </c>
      <c r="JT143" s="675">
        <v>0</v>
      </c>
      <c r="JU143" s="675">
        <v>0</v>
      </c>
      <c r="JV143" s="675">
        <v>0</v>
      </c>
      <c r="JW143" s="675">
        <v>0</v>
      </c>
      <c r="JX143" s="675">
        <v>0</v>
      </c>
      <c r="JY143" s="675">
        <v>0</v>
      </c>
      <c r="JZ143" s="675">
        <v>0</v>
      </c>
      <c r="KA143" s="675">
        <v>0</v>
      </c>
      <c r="KB143" s="675">
        <v>0</v>
      </c>
      <c r="KC143" s="675">
        <v>0</v>
      </c>
      <c r="KD143" s="675">
        <v>0</v>
      </c>
      <c r="KE143" s="675">
        <v>7263</v>
      </c>
      <c r="KF143" s="675">
        <v>0</v>
      </c>
      <c r="KG143" s="675">
        <v>0</v>
      </c>
      <c r="KH143" s="675">
        <v>0</v>
      </c>
      <c r="KI143" s="675">
        <v>0</v>
      </c>
    </row>
    <row r="144" spans="1:295" ht="12.5" x14ac:dyDescent="0.25">
      <c r="A144" s="675">
        <v>35795</v>
      </c>
      <c r="B144" s="675">
        <v>57835</v>
      </c>
      <c r="C144" s="675">
        <v>7</v>
      </c>
      <c r="D144" s="675">
        <v>2022</v>
      </c>
      <c r="E144" s="675">
        <v>6160</v>
      </c>
      <c r="F144" s="675">
        <v>0</v>
      </c>
      <c r="G144" s="675">
        <v>1309.846</v>
      </c>
      <c r="H144" s="675">
        <v>1250.7640000000001</v>
      </c>
      <c r="I144" s="675">
        <v>1250.7640000000001</v>
      </c>
      <c r="J144" s="675">
        <v>1309.846</v>
      </c>
      <c r="K144" s="675">
        <v>0</v>
      </c>
      <c r="L144" s="675">
        <v>6160</v>
      </c>
      <c r="M144" s="675">
        <v>0</v>
      </c>
      <c r="N144" s="675">
        <v>0</v>
      </c>
      <c r="O144" s="675">
        <v>0</v>
      </c>
      <c r="P144" s="675">
        <v>1316.3870000000002</v>
      </c>
      <c r="Q144" s="675">
        <v>0</v>
      </c>
      <c r="R144" s="675">
        <v>529751</v>
      </c>
      <c r="S144" s="675">
        <v>402.428</v>
      </c>
      <c r="T144" s="675">
        <v>0</v>
      </c>
      <c r="U144" s="675">
        <v>281708</v>
      </c>
      <c r="V144" s="675">
        <v>669.37200000000007</v>
      </c>
      <c r="W144" s="675">
        <v>412331</v>
      </c>
      <c r="X144" s="675">
        <v>412331</v>
      </c>
      <c r="Y144" s="675">
        <v>0</v>
      </c>
      <c r="Z144" s="675">
        <v>0</v>
      </c>
      <c r="AA144" s="675">
        <v>0</v>
      </c>
      <c r="AB144" s="675">
        <v>0</v>
      </c>
      <c r="AC144" s="675">
        <v>0</v>
      </c>
      <c r="AD144" s="675" t="s">
        <v>316</v>
      </c>
      <c r="AE144" s="675">
        <v>0</v>
      </c>
      <c r="AF144" s="675">
        <v>0</v>
      </c>
      <c r="AG144" s="675">
        <v>0</v>
      </c>
      <c r="AH144" s="675">
        <v>0</v>
      </c>
      <c r="AI144" s="675">
        <v>0</v>
      </c>
      <c r="AJ144" s="675">
        <v>6160</v>
      </c>
      <c r="AK144" s="675" t="s">
        <v>671</v>
      </c>
      <c r="AL144" s="675" t="s">
        <v>49</v>
      </c>
      <c r="AM144" s="675">
        <v>0</v>
      </c>
      <c r="AN144" s="675">
        <v>0</v>
      </c>
      <c r="AO144" s="675">
        <v>0</v>
      </c>
      <c r="AP144" s="675">
        <v>0</v>
      </c>
      <c r="AQ144" s="675">
        <v>0</v>
      </c>
      <c r="AR144" s="675">
        <v>0</v>
      </c>
      <c r="AS144" s="675">
        <v>0</v>
      </c>
      <c r="AT144" s="675">
        <v>0</v>
      </c>
      <c r="AU144" s="675">
        <v>0</v>
      </c>
      <c r="AV144" s="675">
        <v>-246</v>
      </c>
      <c r="AW144" s="675">
        <v>14856454</v>
      </c>
      <c r="AX144" s="675">
        <v>14628366</v>
      </c>
      <c r="AY144" s="675">
        <v>10133948</v>
      </c>
      <c r="AZ144" s="675">
        <v>529751</v>
      </c>
      <c r="BA144" s="675">
        <v>0</v>
      </c>
      <c r="BB144" s="675">
        <v>9486</v>
      </c>
      <c r="BC144" s="675">
        <v>9425</v>
      </c>
      <c r="BD144" s="675">
        <v>22</v>
      </c>
      <c r="BE144" s="675">
        <v>61</v>
      </c>
      <c r="BF144" s="675">
        <v>13499477</v>
      </c>
      <c r="BG144" s="675">
        <v>0</v>
      </c>
      <c r="BH144" s="675">
        <v>0</v>
      </c>
      <c r="BI144" s="675">
        <v>0</v>
      </c>
      <c r="BJ144" s="675">
        <v>12</v>
      </c>
      <c r="BK144" s="675">
        <v>0</v>
      </c>
      <c r="BL144" s="675">
        <v>0</v>
      </c>
      <c r="BM144" s="675">
        <v>0</v>
      </c>
      <c r="BN144" s="675">
        <v>0</v>
      </c>
      <c r="BO144" s="675">
        <v>0</v>
      </c>
      <c r="BP144" s="675">
        <v>0</v>
      </c>
      <c r="BQ144" s="675">
        <v>577</v>
      </c>
      <c r="BR144" s="675">
        <v>0</v>
      </c>
      <c r="BS144" s="675">
        <v>0</v>
      </c>
      <c r="BT144" s="675">
        <v>0</v>
      </c>
      <c r="BU144" s="675">
        <v>0</v>
      </c>
      <c r="BV144" s="675">
        <v>0</v>
      </c>
      <c r="BW144" s="675">
        <v>0</v>
      </c>
      <c r="BX144" s="675">
        <v>0</v>
      </c>
      <c r="BY144" s="675">
        <v>0</v>
      </c>
      <c r="BZ144" s="675">
        <v>0</v>
      </c>
      <c r="CA144" s="675">
        <v>0</v>
      </c>
      <c r="CB144" s="675">
        <v>0</v>
      </c>
      <c r="CC144" s="675">
        <v>0</v>
      </c>
      <c r="CD144" s="675">
        <v>0</v>
      </c>
      <c r="CE144" s="675">
        <v>0</v>
      </c>
      <c r="CF144" s="675">
        <v>0</v>
      </c>
      <c r="CG144" s="675">
        <v>0</v>
      </c>
      <c r="CH144" s="675">
        <v>231261</v>
      </c>
      <c r="CI144" s="675">
        <v>0</v>
      </c>
      <c r="CJ144" s="675">
        <v>4</v>
      </c>
      <c r="CK144" s="675">
        <v>0</v>
      </c>
      <c r="CL144" s="675">
        <v>0</v>
      </c>
      <c r="CM144" s="675">
        <v>0</v>
      </c>
      <c r="CN144" s="675">
        <v>0</v>
      </c>
      <c r="CO144" s="675">
        <v>1</v>
      </c>
      <c r="CP144" s="675">
        <v>0</v>
      </c>
      <c r="CQ144" s="675">
        <v>0</v>
      </c>
      <c r="CR144" s="675">
        <v>1358.7080000000001</v>
      </c>
      <c r="CS144" s="675">
        <v>0</v>
      </c>
      <c r="CT144" s="675">
        <v>0</v>
      </c>
      <c r="CU144" s="675">
        <v>0</v>
      </c>
      <c r="CV144" s="675">
        <v>0</v>
      </c>
      <c r="CW144" s="675">
        <v>0</v>
      </c>
      <c r="CX144" s="675">
        <v>0</v>
      </c>
      <c r="CY144" s="675">
        <v>0</v>
      </c>
      <c r="CZ144" s="675">
        <v>0</v>
      </c>
      <c r="DA144" s="675">
        <v>0</v>
      </c>
      <c r="DB144" s="675">
        <v>7704671</v>
      </c>
      <c r="DC144" s="675">
        <v>0</v>
      </c>
      <c r="DD144" s="675">
        <v>0</v>
      </c>
      <c r="DE144" s="675">
        <v>2473075</v>
      </c>
      <c r="DF144" s="675">
        <v>2473075</v>
      </c>
      <c r="DG144" s="675">
        <v>401.47500000000002</v>
      </c>
      <c r="DH144" s="675">
        <v>0</v>
      </c>
      <c r="DI144" s="675">
        <v>0</v>
      </c>
      <c r="DJ144" s="675">
        <v>0</v>
      </c>
      <c r="DK144" s="675">
        <v>861</v>
      </c>
      <c r="DL144" s="675">
        <v>0</v>
      </c>
      <c r="DM144" s="675">
        <v>827079</v>
      </c>
      <c r="DN144" s="675">
        <v>3111</v>
      </c>
      <c r="DO144" s="675">
        <v>0</v>
      </c>
      <c r="DP144" s="675">
        <v>0</v>
      </c>
      <c r="DQ144" s="675">
        <v>0</v>
      </c>
      <c r="DR144" s="675">
        <v>0</v>
      </c>
      <c r="DS144" s="675">
        <v>0</v>
      </c>
      <c r="DT144" s="675">
        <v>0</v>
      </c>
      <c r="DU144" s="675">
        <v>0</v>
      </c>
      <c r="DV144" s="675">
        <v>0</v>
      </c>
      <c r="DW144" s="675">
        <v>0</v>
      </c>
      <c r="DX144" s="675">
        <v>0</v>
      </c>
      <c r="DY144" s="675">
        <v>0</v>
      </c>
      <c r="DZ144" s="675">
        <v>0</v>
      </c>
      <c r="EA144" s="675">
        <v>0</v>
      </c>
      <c r="EB144" s="675">
        <v>0</v>
      </c>
      <c r="EC144" s="675">
        <v>15.265000000000001</v>
      </c>
      <c r="ED144" s="675">
        <v>108137</v>
      </c>
      <c r="EE144" s="675">
        <v>0</v>
      </c>
      <c r="EF144" s="675">
        <v>0</v>
      </c>
      <c r="EG144" s="675">
        <v>0</v>
      </c>
      <c r="EH144" s="675">
        <v>722053</v>
      </c>
      <c r="EI144" s="675">
        <v>0</v>
      </c>
      <c r="EJ144" s="675">
        <v>0</v>
      </c>
      <c r="EK144" s="675">
        <v>35.576999999999998</v>
      </c>
      <c r="EL144" s="675">
        <v>0</v>
      </c>
      <c r="EM144" s="675">
        <v>0.502</v>
      </c>
      <c r="EN144" s="675">
        <v>1.796</v>
      </c>
      <c r="EO144" s="675">
        <v>0</v>
      </c>
      <c r="EP144" s="675">
        <v>0</v>
      </c>
      <c r="EQ144" s="675">
        <v>37.875</v>
      </c>
      <c r="ER144" s="675">
        <v>0</v>
      </c>
      <c r="ES144" s="675">
        <v>117.217</v>
      </c>
      <c r="ET144" s="675">
        <v>0</v>
      </c>
      <c r="EU144" s="675">
        <v>0</v>
      </c>
      <c r="EV144" s="675">
        <v>0</v>
      </c>
      <c r="EW144" s="675">
        <v>0</v>
      </c>
      <c r="EX144" s="675">
        <v>0</v>
      </c>
      <c r="EY144" s="675">
        <v>0</v>
      </c>
      <c r="EZ144" s="675">
        <v>12971184</v>
      </c>
      <c r="FA144" s="675">
        <v>0</v>
      </c>
      <c r="FB144" s="675">
        <v>13497762</v>
      </c>
      <c r="FC144" s="675">
        <v>0</v>
      </c>
      <c r="FD144" s="675">
        <v>0</v>
      </c>
      <c r="FE144" s="675">
        <v>1373173</v>
      </c>
      <c r="FF144" s="675">
        <v>284009</v>
      </c>
      <c r="FG144" s="675">
        <v>6.3574999999999993E-2</v>
      </c>
      <c r="FH144" s="675">
        <v>2.6297999999999998E-2</v>
      </c>
      <c r="FI144" s="675">
        <v>0</v>
      </c>
      <c r="FJ144" s="675">
        <v>0</v>
      </c>
      <c r="FK144" s="675">
        <v>2191.4839999999999</v>
      </c>
      <c r="FL144" s="675">
        <v>15386205</v>
      </c>
      <c r="FM144" s="675">
        <v>0</v>
      </c>
      <c r="FN144" s="675">
        <v>0</v>
      </c>
      <c r="FO144" s="675">
        <v>0</v>
      </c>
      <c r="FP144" s="675">
        <v>0</v>
      </c>
      <c r="FQ144" s="675">
        <v>0</v>
      </c>
      <c r="FR144" s="675">
        <v>0</v>
      </c>
      <c r="FS144" s="675">
        <v>0</v>
      </c>
      <c r="FT144" s="675">
        <v>0</v>
      </c>
      <c r="FU144" s="675">
        <v>0</v>
      </c>
      <c r="FV144" s="675">
        <v>0</v>
      </c>
      <c r="FW144" s="675">
        <v>0</v>
      </c>
      <c r="FX144" s="675">
        <v>0</v>
      </c>
      <c r="FY144" s="675">
        <v>0</v>
      </c>
      <c r="FZ144" s="675">
        <v>0</v>
      </c>
      <c r="GA144" s="675">
        <v>0</v>
      </c>
      <c r="GB144" s="675">
        <v>178240</v>
      </c>
      <c r="GC144" s="675">
        <v>178240</v>
      </c>
      <c r="GD144" s="675">
        <v>21.207000000000001</v>
      </c>
      <c r="GE144" s="675">
        <v>0</v>
      </c>
      <c r="GF144" s="675">
        <v>0</v>
      </c>
      <c r="GG144" s="675">
        <v>0</v>
      </c>
      <c r="GH144" s="675">
        <v>0</v>
      </c>
      <c r="GI144" s="675">
        <v>0</v>
      </c>
      <c r="GJ144" s="675">
        <v>0</v>
      </c>
      <c r="GK144" s="675">
        <v>0</v>
      </c>
      <c r="GL144" s="675">
        <v>0</v>
      </c>
      <c r="GM144" s="675">
        <v>0</v>
      </c>
      <c r="GN144" s="675">
        <v>0</v>
      </c>
      <c r="GO144" s="675">
        <v>0</v>
      </c>
      <c r="GP144" s="675">
        <v>0</v>
      </c>
      <c r="GQ144" s="675">
        <v>0</v>
      </c>
      <c r="GR144" s="675">
        <v>0</v>
      </c>
      <c r="GS144" s="675">
        <v>0</v>
      </c>
      <c r="GT144" s="675">
        <v>0</v>
      </c>
      <c r="GU144" s="675">
        <v>0</v>
      </c>
      <c r="GV144" s="675">
        <v>0</v>
      </c>
      <c r="GW144" s="675">
        <v>0</v>
      </c>
      <c r="GX144" s="675">
        <v>0</v>
      </c>
      <c r="GY144" s="675">
        <v>0</v>
      </c>
      <c r="GZ144" s="675">
        <v>0</v>
      </c>
      <c r="HA144" s="675">
        <v>0</v>
      </c>
      <c r="HB144" s="675">
        <v>308877260</v>
      </c>
      <c r="HC144" s="675">
        <v>4.4138999999999998E-2</v>
      </c>
      <c r="HD144" s="675">
        <v>231261</v>
      </c>
      <c r="HE144" s="675">
        <v>0</v>
      </c>
      <c r="HF144" s="675">
        <v>1379593</v>
      </c>
      <c r="HG144" s="675">
        <v>3208</v>
      </c>
      <c r="HH144" s="675">
        <v>495951</v>
      </c>
      <c r="HI144" s="675">
        <v>0</v>
      </c>
      <c r="HJ144" s="675">
        <v>12732</v>
      </c>
      <c r="HK144" s="675">
        <v>1458</v>
      </c>
      <c r="HL144" s="675">
        <v>0</v>
      </c>
      <c r="HM144" s="675">
        <v>0</v>
      </c>
      <c r="HN144" s="675">
        <v>0</v>
      </c>
      <c r="HO144" s="675">
        <v>0</v>
      </c>
      <c r="HP144" s="675">
        <v>0</v>
      </c>
      <c r="HQ144" s="675">
        <v>0</v>
      </c>
      <c r="HR144" s="675">
        <v>0</v>
      </c>
      <c r="HS144" s="675">
        <v>12968011</v>
      </c>
      <c r="HT144" s="675">
        <v>284009</v>
      </c>
      <c r="HU144" s="675">
        <v>0</v>
      </c>
      <c r="HV144" s="675">
        <v>0</v>
      </c>
      <c r="HW144" s="675">
        <v>0</v>
      </c>
      <c r="HX144" s="675">
        <v>146</v>
      </c>
      <c r="HY144" s="675">
        <v>196</v>
      </c>
      <c r="HZ144" s="675">
        <v>232</v>
      </c>
      <c r="IA144" s="675">
        <v>500</v>
      </c>
      <c r="IB144" s="675">
        <v>483</v>
      </c>
      <c r="IC144" s="675">
        <v>1557</v>
      </c>
      <c r="ID144" s="675">
        <v>0</v>
      </c>
      <c r="IE144" s="675">
        <v>0</v>
      </c>
      <c r="IF144" s="675">
        <v>0</v>
      </c>
      <c r="IG144" s="675">
        <v>5.2080000000000002</v>
      </c>
      <c r="IH144" s="675">
        <v>805.11900000000003</v>
      </c>
      <c r="II144" s="675">
        <v>0</v>
      </c>
      <c r="IJ144" s="675">
        <v>669.37200000000007</v>
      </c>
      <c r="IK144" s="675">
        <v>0</v>
      </c>
      <c r="IL144" s="675">
        <v>0</v>
      </c>
      <c r="IM144" s="675">
        <v>0</v>
      </c>
      <c r="IN144" s="675">
        <v>0</v>
      </c>
      <c r="IO144" s="675">
        <v>0</v>
      </c>
      <c r="IP144" s="675">
        <v>0</v>
      </c>
      <c r="IQ144" s="675">
        <v>669.37200000000007</v>
      </c>
      <c r="IR144" s="675">
        <v>412331</v>
      </c>
      <c r="IS144" s="675">
        <v>0</v>
      </c>
      <c r="IT144" s="675">
        <v>0</v>
      </c>
      <c r="IU144" s="675">
        <v>0</v>
      </c>
      <c r="IV144" s="675">
        <v>0</v>
      </c>
      <c r="IW144" s="675">
        <v>6160</v>
      </c>
      <c r="IX144" s="675">
        <v>0</v>
      </c>
      <c r="IY144" s="675">
        <v>0</v>
      </c>
      <c r="IZ144" s="675">
        <v>0</v>
      </c>
      <c r="JA144" s="675">
        <v>0</v>
      </c>
      <c r="JB144" s="675">
        <v>0</v>
      </c>
      <c r="JC144" s="675">
        <v>0</v>
      </c>
      <c r="JD144" s="675">
        <v>0</v>
      </c>
      <c r="JE144" s="675">
        <v>0</v>
      </c>
      <c r="JF144" s="675">
        <v>0</v>
      </c>
      <c r="JG144" s="675">
        <v>0</v>
      </c>
      <c r="JH144" s="675">
        <v>0</v>
      </c>
      <c r="JI144" s="675">
        <v>0</v>
      </c>
      <c r="JJ144" s="675">
        <v>0</v>
      </c>
      <c r="JK144" s="675">
        <v>0</v>
      </c>
      <c r="JL144" s="675">
        <v>0</v>
      </c>
      <c r="JM144" s="675">
        <v>0</v>
      </c>
      <c r="JN144" s="675">
        <v>32469</v>
      </c>
      <c r="JO144" s="675">
        <v>14.983000000000001</v>
      </c>
      <c r="JP144" s="675">
        <v>5.7360000000000007</v>
      </c>
      <c r="JQ144" s="675">
        <v>0.48800000000000004</v>
      </c>
      <c r="JR144" s="675">
        <v>119704</v>
      </c>
      <c r="JS144" s="675">
        <v>53326</v>
      </c>
      <c r="JT144" s="675">
        <v>5210</v>
      </c>
      <c r="JU144" s="675">
        <v>9486</v>
      </c>
      <c r="JV144" s="675">
        <v>0</v>
      </c>
      <c r="JW144" s="675">
        <v>0</v>
      </c>
      <c r="JX144" s="675">
        <v>0</v>
      </c>
      <c r="JY144" s="675">
        <v>0</v>
      </c>
      <c r="JZ144" s="675">
        <v>0</v>
      </c>
      <c r="KA144" s="675">
        <v>0</v>
      </c>
      <c r="KB144" s="675">
        <v>0</v>
      </c>
      <c r="KC144" s="675">
        <v>0</v>
      </c>
      <c r="KD144" s="675">
        <v>9486</v>
      </c>
      <c r="KE144" s="675">
        <v>7263</v>
      </c>
      <c r="KF144" s="675">
        <v>0</v>
      </c>
      <c r="KG144" s="675">
        <v>0</v>
      </c>
      <c r="KH144" s="675">
        <v>0</v>
      </c>
      <c r="KI144" s="675">
        <v>0</v>
      </c>
    </row>
    <row r="145" spans="1:295" ht="12.5" x14ac:dyDescent="0.25">
      <c r="A145" s="675">
        <v>35795</v>
      </c>
      <c r="B145" s="675">
        <v>15836</v>
      </c>
      <c r="C145" s="675">
        <v>7</v>
      </c>
      <c r="D145" s="675">
        <v>2022</v>
      </c>
      <c r="E145" s="675">
        <v>6160</v>
      </c>
      <c r="F145" s="675">
        <v>0</v>
      </c>
      <c r="G145" s="675">
        <v>471.06600000000003</v>
      </c>
      <c r="H145" s="675">
        <v>460.85400000000004</v>
      </c>
      <c r="I145" s="675">
        <v>460.85400000000004</v>
      </c>
      <c r="J145" s="675">
        <v>471.06600000000003</v>
      </c>
      <c r="K145" s="675">
        <v>0</v>
      </c>
      <c r="L145" s="675">
        <v>6160</v>
      </c>
      <c r="M145" s="675">
        <v>0</v>
      </c>
      <c r="N145" s="675">
        <v>0</v>
      </c>
      <c r="O145" s="675">
        <v>0</v>
      </c>
      <c r="P145" s="675">
        <v>452.548</v>
      </c>
      <c r="Q145" s="675">
        <v>0</v>
      </c>
      <c r="R145" s="675">
        <v>182118</v>
      </c>
      <c r="S145" s="675">
        <v>402.428</v>
      </c>
      <c r="T145" s="675">
        <v>0</v>
      </c>
      <c r="U145" s="675">
        <v>96845</v>
      </c>
      <c r="V145" s="675">
        <v>30.837</v>
      </c>
      <c r="W145" s="675">
        <v>18996</v>
      </c>
      <c r="X145" s="675">
        <v>18996</v>
      </c>
      <c r="Y145" s="675">
        <v>0</v>
      </c>
      <c r="Z145" s="675">
        <v>0</v>
      </c>
      <c r="AA145" s="675">
        <v>0</v>
      </c>
      <c r="AB145" s="675">
        <v>0</v>
      </c>
      <c r="AC145" s="675">
        <v>0</v>
      </c>
      <c r="AD145" s="675" t="s">
        <v>316</v>
      </c>
      <c r="AE145" s="675">
        <v>0</v>
      </c>
      <c r="AF145" s="675">
        <v>0</v>
      </c>
      <c r="AG145" s="675">
        <v>0</v>
      </c>
      <c r="AH145" s="675">
        <v>0</v>
      </c>
      <c r="AI145" s="675">
        <v>0</v>
      </c>
      <c r="AJ145" s="675">
        <v>6160</v>
      </c>
      <c r="AK145" s="675" t="s">
        <v>671</v>
      </c>
      <c r="AL145" s="675" t="s">
        <v>321</v>
      </c>
      <c r="AM145" s="675">
        <v>0</v>
      </c>
      <c r="AN145" s="675">
        <v>0</v>
      </c>
      <c r="AO145" s="675">
        <v>0</v>
      </c>
      <c r="AP145" s="675">
        <v>0</v>
      </c>
      <c r="AQ145" s="675">
        <v>0</v>
      </c>
      <c r="AR145" s="675">
        <v>0</v>
      </c>
      <c r="AS145" s="675">
        <v>0</v>
      </c>
      <c r="AT145" s="675">
        <v>0</v>
      </c>
      <c r="AU145" s="675">
        <v>0</v>
      </c>
      <c r="AV145" s="675">
        <v>0</v>
      </c>
      <c r="AW145" s="675">
        <v>4152733</v>
      </c>
      <c r="AX145" s="675">
        <v>4070497</v>
      </c>
      <c r="AY145" s="675">
        <v>2666253</v>
      </c>
      <c r="AZ145" s="675">
        <v>182118</v>
      </c>
      <c r="BA145" s="675">
        <v>0</v>
      </c>
      <c r="BB145" s="675">
        <v>0</v>
      </c>
      <c r="BC145" s="675">
        <v>0</v>
      </c>
      <c r="BD145" s="675">
        <v>0</v>
      </c>
      <c r="BE145" s="675">
        <v>0</v>
      </c>
      <c r="BF145" s="675">
        <v>3787648</v>
      </c>
      <c r="BG145" s="675">
        <v>0</v>
      </c>
      <c r="BH145" s="675">
        <v>0</v>
      </c>
      <c r="BI145" s="675">
        <v>0</v>
      </c>
      <c r="BJ145" s="675">
        <v>12</v>
      </c>
      <c r="BK145" s="675">
        <v>0</v>
      </c>
      <c r="BL145" s="675">
        <v>0</v>
      </c>
      <c r="BM145" s="675">
        <v>0</v>
      </c>
      <c r="BN145" s="675">
        <v>0</v>
      </c>
      <c r="BO145" s="675">
        <v>0</v>
      </c>
      <c r="BP145" s="675">
        <v>0</v>
      </c>
      <c r="BQ145" s="675">
        <v>699</v>
      </c>
      <c r="BR145" s="675">
        <v>0</v>
      </c>
      <c r="BS145" s="675">
        <v>0</v>
      </c>
      <c r="BT145" s="675">
        <v>0</v>
      </c>
      <c r="BU145" s="675">
        <v>0</v>
      </c>
      <c r="BV145" s="675">
        <v>0</v>
      </c>
      <c r="BW145" s="675">
        <v>0</v>
      </c>
      <c r="BX145" s="675">
        <v>0</v>
      </c>
      <c r="BY145" s="675">
        <v>0</v>
      </c>
      <c r="BZ145" s="675">
        <v>0</v>
      </c>
      <c r="CA145" s="675">
        <v>0</v>
      </c>
      <c r="CB145" s="675">
        <v>0</v>
      </c>
      <c r="CC145" s="675">
        <v>0</v>
      </c>
      <c r="CD145" s="675">
        <v>0</v>
      </c>
      <c r="CE145" s="675">
        <v>0</v>
      </c>
      <c r="CF145" s="675">
        <v>0</v>
      </c>
      <c r="CG145" s="675">
        <v>0</v>
      </c>
      <c r="CH145" s="675">
        <v>83169</v>
      </c>
      <c r="CI145" s="675">
        <v>0</v>
      </c>
      <c r="CJ145" s="675">
        <v>4</v>
      </c>
      <c r="CK145" s="675">
        <v>0</v>
      </c>
      <c r="CL145" s="675">
        <v>0</v>
      </c>
      <c r="CM145" s="675">
        <v>0</v>
      </c>
      <c r="CN145" s="675">
        <v>0</v>
      </c>
      <c r="CO145" s="675">
        <v>1</v>
      </c>
      <c r="CP145" s="675">
        <v>0</v>
      </c>
      <c r="CQ145" s="675">
        <v>0</v>
      </c>
      <c r="CR145" s="675">
        <v>468.15800000000002</v>
      </c>
      <c r="CS145" s="675">
        <v>0</v>
      </c>
      <c r="CT145" s="675">
        <v>0</v>
      </c>
      <c r="CU145" s="675">
        <v>0</v>
      </c>
      <c r="CV145" s="675">
        <v>0</v>
      </c>
      <c r="CW145" s="675">
        <v>0</v>
      </c>
      <c r="CX145" s="675">
        <v>0</v>
      </c>
      <c r="CY145" s="675">
        <v>0</v>
      </c>
      <c r="CZ145" s="675">
        <v>0</v>
      </c>
      <c r="DA145" s="675">
        <v>0</v>
      </c>
      <c r="DB145" s="675">
        <v>2838847</v>
      </c>
      <c r="DC145" s="675">
        <v>0</v>
      </c>
      <c r="DD145" s="675">
        <v>0</v>
      </c>
      <c r="DE145" s="675">
        <v>127819</v>
      </c>
      <c r="DF145" s="675">
        <v>127819</v>
      </c>
      <c r="DG145" s="675">
        <v>20.75</v>
      </c>
      <c r="DH145" s="675">
        <v>0</v>
      </c>
      <c r="DI145" s="675">
        <v>0</v>
      </c>
      <c r="DJ145" s="675">
        <v>0</v>
      </c>
      <c r="DK145" s="675">
        <v>2807</v>
      </c>
      <c r="DL145" s="675">
        <v>0</v>
      </c>
      <c r="DM145" s="675">
        <v>248015</v>
      </c>
      <c r="DN145" s="675">
        <v>933</v>
      </c>
      <c r="DO145" s="675">
        <v>0</v>
      </c>
      <c r="DP145" s="675">
        <v>0</v>
      </c>
      <c r="DQ145" s="675">
        <v>0</v>
      </c>
      <c r="DR145" s="675">
        <v>0</v>
      </c>
      <c r="DS145" s="675">
        <v>0</v>
      </c>
      <c r="DT145" s="675">
        <v>0</v>
      </c>
      <c r="DU145" s="675">
        <v>0</v>
      </c>
      <c r="DV145" s="675">
        <v>0</v>
      </c>
      <c r="DW145" s="675">
        <v>0</v>
      </c>
      <c r="DX145" s="675">
        <v>0</v>
      </c>
      <c r="DY145" s="675">
        <v>0</v>
      </c>
      <c r="DZ145" s="675">
        <v>0</v>
      </c>
      <c r="EA145" s="675">
        <v>0</v>
      </c>
      <c r="EB145" s="675">
        <v>0</v>
      </c>
      <c r="EC145" s="675">
        <v>7.2990000000000004</v>
      </c>
      <c r="ED145" s="675">
        <v>51706</v>
      </c>
      <c r="EE145" s="675">
        <v>0</v>
      </c>
      <c r="EF145" s="675">
        <v>0</v>
      </c>
      <c r="EG145" s="675">
        <v>0</v>
      </c>
      <c r="EH145" s="675">
        <v>197242</v>
      </c>
      <c r="EI145" s="675">
        <v>0</v>
      </c>
      <c r="EJ145" s="675">
        <v>0</v>
      </c>
      <c r="EK145" s="675">
        <v>9.2949999999999999</v>
      </c>
      <c r="EL145" s="675">
        <v>0</v>
      </c>
      <c r="EM145" s="675">
        <v>0.22500000000000001</v>
      </c>
      <c r="EN145" s="675">
        <v>0.69200000000000006</v>
      </c>
      <c r="EO145" s="675">
        <v>0</v>
      </c>
      <c r="EP145" s="675">
        <v>0</v>
      </c>
      <c r="EQ145" s="675">
        <v>10.212</v>
      </c>
      <c r="ER145" s="675">
        <v>0</v>
      </c>
      <c r="ES145" s="675">
        <v>32.020000000000003</v>
      </c>
      <c r="ET145" s="675">
        <v>0</v>
      </c>
      <c r="EU145" s="675">
        <v>0</v>
      </c>
      <c r="EV145" s="675">
        <v>0</v>
      </c>
      <c r="EW145" s="675">
        <v>0</v>
      </c>
      <c r="EX145" s="675">
        <v>0</v>
      </c>
      <c r="EY145" s="675">
        <v>0</v>
      </c>
      <c r="EZ145" s="675">
        <v>3605530</v>
      </c>
      <c r="FA145" s="675">
        <v>0</v>
      </c>
      <c r="FB145" s="675">
        <v>3786715</v>
      </c>
      <c r="FC145" s="675">
        <v>0</v>
      </c>
      <c r="FD145" s="675">
        <v>0</v>
      </c>
      <c r="FE145" s="675">
        <v>385281</v>
      </c>
      <c r="FF145" s="675">
        <v>79686</v>
      </c>
      <c r="FG145" s="675">
        <v>6.3574999999999993E-2</v>
      </c>
      <c r="FH145" s="675">
        <v>2.6297999999999998E-2</v>
      </c>
      <c r="FI145" s="675">
        <v>0</v>
      </c>
      <c r="FJ145" s="675">
        <v>0</v>
      </c>
      <c r="FK145" s="675">
        <v>614.88100000000009</v>
      </c>
      <c r="FL145" s="675">
        <v>4334851</v>
      </c>
      <c r="FM145" s="675">
        <v>0</v>
      </c>
      <c r="FN145" s="675">
        <v>0</v>
      </c>
      <c r="FO145" s="675">
        <v>0</v>
      </c>
      <c r="FP145" s="675">
        <v>0</v>
      </c>
      <c r="FQ145" s="675">
        <v>0</v>
      </c>
      <c r="FR145" s="675">
        <v>0</v>
      </c>
      <c r="FS145" s="675">
        <v>0</v>
      </c>
      <c r="FT145" s="675">
        <v>0</v>
      </c>
      <c r="FU145" s="675">
        <v>0</v>
      </c>
      <c r="FV145" s="675">
        <v>0</v>
      </c>
      <c r="FW145" s="675">
        <v>0</v>
      </c>
      <c r="FX145" s="675">
        <v>0</v>
      </c>
      <c r="FY145" s="675">
        <v>0</v>
      </c>
      <c r="FZ145" s="675">
        <v>0</v>
      </c>
      <c r="GA145" s="675">
        <v>0</v>
      </c>
      <c r="GB145" s="675">
        <v>0</v>
      </c>
      <c r="GC145" s="675">
        <v>0</v>
      </c>
      <c r="GD145" s="675">
        <v>0</v>
      </c>
      <c r="GE145" s="675">
        <v>0</v>
      </c>
      <c r="GF145" s="675">
        <v>0</v>
      </c>
      <c r="GG145" s="675">
        <v>0</v>
      </c>
      <c r="GH145" s="675">
        <v>0</v>
      </c>
      <c r="GI145" s="675">
        <v>0</v>
      </c>
      <c r="GJ145" s="675">
        <v>0</v>
      </c>
      <c r="GK145" s="675">
        <v>0</v>
      </c>
      <c r="GL145" s="675">
        <v>0</v>
      </c>
      <c r="GM145" s="675">
        <v>0</v>
      </c>
      <c r="GN145" s="675">
        <v>0</v>
      </c>
      <c r="GO145" s="675">
        <v>0</v>
      </c>
      <c r="GP145" s="675">
        <v>0</v>
      </c>
      <c r="GQ145" s="675">
        <v>0</v>
      </c>
      <c r="GR145" s="675">
        <v>0</v>
      </c>
      <c r="GS145" s="675">
        <v>0</v>
      </c>
      <c r="GT145" s="675">
        <v>0</v>
      </c>
      <c r="GU145" s="675">
        <v>0</v>
      </c>
      <c r="GV145" s="675">
        <v>0</v>
      </c>
      <c r="GW145" s="675">
        <v>0</v>
      </c>
      <c r="GX145" s="675">
        <v>0</v>
      </c>
      <c r="GY145" s="675">
        <v>0</v>
      </c>
      <c r="GZ145" s="675">
        <v>0</v>
      </c>
      <c r="HA145" s="675">
        <v>0</v>
      </c>
      <c r="HB145" s="675">
        <v>308877260</v>
      </c>
      <c r="HC145" s="675">
        <v>4.4138999999999998E-2</v>
      </c>
      <c r="HD145" s="675">
        <v>83169</v>
      </c>
      <c r="HE145" s="675">
        <v>0</v>
      </c>
      <c r="HF145" s="675">
        <v>508322</v>
      </c>
      <c r="HG145" s="675">
        <v>2464</v>
      </c>
      <c r="HH145" s="675">
        <v>37673</v>
      </c>
      <c r="HI145" s="675">
        <v>0</v>
      </c>
      <c r="HJ145" s="675">
        <v>4579</v>
      </c>
      <c r="HK145" s="675">
        <v>0</v>
      </c>
      <c r="HL145" s="675">
        <v>0</v>
      </c>
      <c r="HM145" s="675">
        <v>0</v>
      </c>
      <c r="HN145" s="675">
        <v>0</v>
      </c>
      <c r="HO145" s="675">
        <v>0</v>
      </c>
      <c r="HP145" s="675">
        <v>0</v>
      </c>
      <c r="HQ145" s="675">
        <v>0</v>
      </c>
      <c r="HR145" s="675">
        <v>0</v>
      </c>
      <c r="HS145" s="675">
        <v>3604597</v>
      </c>
      <c r="HT145" s="675">
        <v>79686</v>
      </c>
      <c r="HU145" s="675">
        <v>0</v>
      </c>
      <c r="HV145" s="675">
        <v>0</v>
      </c>
      <c r="HW145" s="675">
        <v>0</v>
      </c>
      <c r="HX145" s="675">
        <v>35</v>
      </c>
      <c r="HY145" s="675">
        <v>22</v>
      </c>
      <c r="HZ145" s="675">
        <v>19</v>
      </c>
      <c r="IA145" s="675">
        <v>10</v>
      </c>
      <c r="IB145" s="675">
        <v>1</v>
      </c>
      <c r="IC145" s="675">
        <v>87</v>
      </c>
      <c r="ID145" s="675">
        <v>0</v>
      </c>
      <c r="IE145" s="675">
        <v>0</v>
      </c>
      <c r="IF145" s="675">
        <v>0</v>
      </c>
      <c r="IG145" s="675">
        <v>4</v>
      </c>
      <c r="IH145" s="675">
        <v>61.158000000000001</v>
      </c>
      <c r="II145" s="675">
        <v>0</v>
      </c>
      <c r="IJ145" s="675">
        <v>30.837</v>
      </c>
      <c r="IK145" s="675">
        <v>0</v>
      </c>
      <c r="IL145" s="675">
        <v>0</v>
      </c>
      <c r="IM145" s="675">
        <v>0</v>
      </c>
      <c r="IN145" s="675">
        <v>0</v>
      </c>
      <c r="IO145" s="675">
        <v>0</v>
      </c>
      <c r="IP145" s="675">
        <v>0</v>
      </c>
      <c r="IQ145" s="675">
        <v>30.837</v>
      </c>
      <c r="IR145" s="675">
        <v>18996</v>
      </c>
      <c r="IS145" s="675">
        <v>0</v>
      </c>
      <c r="IT145" s="675">
        <v>0</v>
      </c>
      <c r="IU145" s="675">
        <v>0</v>
      </c>
      <c r="IV145" s="675">
        <v>0</v>
      </c>
      <c r="IW145" s="675">
        <v>6160</v>
      </c>
      <c r="IX145" s="675">
        <v>0</v>
      </c>
      <c r="IY145" s="675">
        <v>0</v>
      </c>
      <c r="IZ145" s="675">
        <v>0</v>
      </c>
      <c r="JA145" s="675">
        <v>0</v>
      </c>
      <c r="JB145" s="675">
        <v>0</v>
      </c>
      <c r="JC145" s="675">
        <v>0</v>
      </c>
      <c r="JD145" s="675">
        <v>0</v>
      </c>
      <c r="JE145" s="675">
        <v>0</v>
      </c>
      <c r="JF145" s="675">
        <v>0</v>
      </c>
      <c r="JG145" s="675">
        <v>0</v>
      </c>
      <c r="JH145" s="675">
        <v>0</v>
      </c>
      <c r="JI145" s="675">
        <v>0</v>
      </c>
      <c r="JJ145" s="675">
        <v>0</v>
      </c>
      <c r="JK145" s="675">
        <v>0</v>
      </c>
      <c r="JL145" s="675">
        <v>0</v>
      </c>
      <c r="JM145" s="675">
        <v>0</v>
      </c>
      <c r="JN145" s="675">
        <v>32469</v>
      </c>
      <c r="JO145" s="675">
        <v>0</v>
      </c>
      <c r="JP145" s="675">
        <v>0</v>
      </c>
      <c r="JQ145" s="675">
        <v>0</v>
      </c>
      <c r="JR145" s="675">
        <v>0</v>
      </c>
      <c r="JS145" s="675">
        <v>0</v>
      </c>
      <c r="JT145" s="675">
        <v>0</v>
      </c>
      <c r="JU145" s="675">
        <v>0</v>
      </c>
      <c r="JV145" s="675">
        <v>0</v>
      </c>
      <c r="JW145" s="675">
        <v>0</v>
      </c>
      <c r="JX145" s="675">
        <v>0</v>
      </c>
      <c r="JY145" s="675">
        <v>0</v>
      </c>
      <c r="JZ145" s="675">
        <v>0</v>
      </c>
      <c r="KA145" s="675">
        <v>0</v>
      </c>
      <c r="KB145" s="675">
        <v>0</v>
      </c>
      <c r="KC145" s="675">
        <v>0</v>
      </c>
      <c r="KD145" s="675">
        <v>0</v>
      </c>
      <c r="KE145" s="675">
        <v>7263</v>
      </c>
      <c r="KF145" s="675">
        <v>0</v>
      </c>
      <c r="KG145" s="675">
        <v>0</v>
      </c>
      <c r="KH145" s="675">
        <v>0</v>
      </c>
      <c r="KI145" s="675">
        <v>0</v>
      </c>
    </row>
    <row r="146" spans="1:295" ht="12.5" x14ac:dyDescent="0.25">
      <c r="A146" s="675">
        <v>35795</v>
      </c>
      <c r="B146" s="675">
        <v>57836</v>
      </c>
      <c r="C146" s="675">
        <v>7</v>
      </c>
      <c r="D146" s="675">
        <v>2022</v>
      </c>
      <c r="E146" s="675">
        <v>6160</v>
      </c>
      <c r="F146" s="675">
        <v>0</v>
      </c>
      <c r="G146" s="675">
        <v>292.73700000000002</v>
      </c>
      <c r="H146" s="675">
        <v>292.73700000000002</v>
      </c>
      <c r="I146" s="675">
        <v>292.73700000000002</v>
      </c>
      <c r="J146" s="675">
        <v>292.73700000000002</v>
      </c>
      <c r="K146" s="675">
        <v>0</v>
      </c>
      <c r="L146" s="675">
        <v>6160</v>
      </c>
      <c r="M146" s="675">
        <v>0</v>
      </c>
      <c r="N146" s="675">
        <v>0</v>
      </c>
      <c r="O146" s="675">
        <v>0</v>
      </c>
      <c r="P146" s="675">
        <v>304.83500000000004</v>
      </c>
      <c r="Q146" s="675">
        <v>0</v>
      </c>
      <c r="R146" s="675">
        <v>122674</v>
      </c>
      <c r="S146" s="675">
        <v>402.428</v>
      </c>
      <c r="T146" s="675">
        <v>0</v>
      </c>
      <c r="U146" s="675">
        <v>65236</v>
      </c>
      <c r="V146" s="675">
        <v>0</v>
      </c>
      <c r="W146" s="675">
        <v>0</v>
      </c>
      <c r="X146" s="675">
        <v>0</v>
      </c>
      <c r="Y146" s="675">
        <v>0</v>
      </c>
      <c r="Z146" s="675">
        <v>0</v>
      </c>
      <c r="AA146" s="675">
        <v>0</v>
      </c>
      <c r="AB146" s="675">
        <v>0</v>
      </c>
      <c r="AC146" s="675">
        <v>0</v>
      </c>
      <c r="AD146" s="675" t="s">
        <v>316</v>
      </c>
      <c r="AE146" s="675">
        <v>0</v>
      </c>
      <c r="AF146" s="675">
        <v>0</v>
      </c>
      <c r="AG146" s="675">
        <v>0</v>
      </c>
      <c r="AH146" s="675">
        <v>0</v>
      </c>
      <c r="AI146" s="675">
        <v>0</v>
      </c>
      <c r="AJ146" s="675">
        <v>6160</v>
      </c>
      <c r="AK146" s="675" t="s">
        <v>671</v>
      </c>
      <c r="AL146" s="675" t="s">
        <v>24</v>
      </c>
      <c r="AM146" s="675">
        <v>0</v>
      </c>
      <c r="AN146" s="675">
        <v>0</v>
      </c>
      <c r="AO146" s="675">
        <v>0</v>
      </c>
      <c r="AP146" s="675">
        <v>0</v>
      </c>
      <c r="AQ146" s="675">
        <v>0</v>
      </c>
      <c r="AR146" s="675">
        <v>0</v>
      </c>
      <c r="AS146" s="675">
        <v>0</v>
      </c>
      <c r="AT146" s="675">
        <v>0</v>
      </c>
      <c r="AU146" s="675">
        <v>0</v>
      </c>
      <c r="AV146" s="675">
        <v>-8461</v>
      </c>
      <c r="AW146" s="675">
        <v>3097689</v>
      </c>
      <c r="AX146" s="675">
        <v>2882526</v>
      </c>
      <c r="AY146" s="675">
        <v>2155323</v>
      </c>
      <c r="AZ146" s="675">
        <v>122674</v>
      </c>
      <c r="BA146" s="675">
        <v>0</v>
      </c>
      <c r="BB146" s="675">
        <v>6037</v>
      </c>
      <c r="BC146" s="675">
        <v>5998</v>
      </c>
      <c r="BD146" s="675">
        <v>14</v>
      </c>
      <c r="BE146" s="675">
        <v>39</v>
      </c>
      <c r="BF146" s="675">
        <v>2676621</v>
      </c>
      <c r="BG146" s="675">
        <v>0</v>
      </c>
      <c r="BH146" s="675">
        <v>0</v>
      </c>
      <c r="BI146" s="675">
        <v>0</v>
      </c>
      <c r="BJ146" s="675">
        <v>12</v>
      </c>
      <c r="BK146" s="675">
        <v>0</v>
      </c>
      <c r="BL146" s="675">
        <v>0</v>
      </c>
      <c r="BM146" s="675">
        <v>0</v>
      </c>
      <c r="BN146" s="675">
        <v>0</v>
      </c>
      <c r="BO146" s="675">
        <v>0</v>
      </c>
      <c r="BP146" s="675">
        <v>0</v>
      </c>
      <c r="BQ146" s="675">
        <v>725</v>
      </c>
      <c r="BR146" s="675">
        <v>0</v>
      </c>
      <c r="BS146" s="675">
        <v>0</v>
      </c>
      <c r="BT146" s="675">
        <v>0</v>
      </c>
      <c r="BU146" s="675">
        <v>0</v>
      </c>
      <c r="BV146" s="675">
        <v>0</v>
      </c>
      <c r="BW146" s="675">
        <v>0</v>
      </c>
      <c r="BX146" s="675">
        <v>0</v>
      </c>
      <c r="BY146" s="675">
        <v>0</v>
      </c>
      <c r="BZ146" s="675">
        <v>0</v>
      </c>
      <c r="CA146" s="675">
        <v>0</v>
      </c>
      <c r="CB146" s="675">
        <v>0</v>
      </c>
      <c r="CC146" s="675">
        <v>0</v>
      </c>
      <c r="CD146" s="675">
        <v>0</v>
      </c>
      <c r="CE146" s="675">
        <v>0</v>
      </c>
      <c r="CF146" s="675">
        <v>0</v>
      </c>
      <c r="CG146" s="675">
        <v>0</v>
      </c>
      <c r="CH146" s="675">
        <v>215202</v>
      </c>
      <c r="CI146" s="675">
        <v>0</v>
      </c>
      <c r="CJ146" s="675">
        <v>4</v>
      </c>
      <c r="CK146" s="675">
        <v>0</v>
      </c>
      <c r="CL146" s="675">
        <v>0</v>
      </c>
      <c r="CM146" s="675">
        <v>0</v>
      </c>
      <c r="CN146" s="675">
        <v>0</v>
      </c>
      <c r="CO146" s="675">
        <v>1</v>
      </c>
      <c r="CP146" s="675">
        <v>0</v>
      </c>
      <c r="CQ146" s="675">
        <v>0</v>
      </c>
      <c r="CR146" s="675">
        <v>310.70699999999999</v>
      </c>
      <c r="CS146" s="675">
        <v>0</v>
      </c>
      <c r="CT146" s="675">
        <v>0</v>
      </c>
      <c r="CU146" s="675">
        <v>0</v>
      </c>
      <c r="CV146" s="675">
        <v>0</v>
      </c>
      <c r="CW146" s="675">
        <v>0</v>
      </c>
      <c r="CX146" s="675">
        <v>0</v>
      </c>
      <c r="CY146" s="675">
        <v>0</v>
      </c>
      <c r="CZ146" s="675">
        <v>0</v>
      </c>
      <c r="DA146" s="675">
        <v>0</v>
      </c>
      <c r="DB146" s="675">
        <v>1582121</v>
      </c>
      <c r="DC146" s="675">
        <v>0</v>
      </c>
      <c r="DD146" s="675">
        <v>0</v>
      </c>
      <c r="DE146" s="675">
        <v>468081</v>
      </c>
      <c r="DF146" s="675">
        <v>468081</v>
      </c>
      <c r="DG146" s="675">
        <v>75.988</v>
      </c>
      <c r="DH146" s="675">
        <v>0</v>
      </c>
      <c r="DI146" s="675">
        <v>0</v>
      </c>
      <c r="DJ146" s="675">
        <v>0</v>
      </c>
      <c r="DK146" s="675">
        <v>3221</v>
      </c>
      <c r="DL146" s="675">
        <v>0</v>
      </c>
      <c r="DM146" s="675">
        <v>221131</v>
      </c>
      <c r="DN146" s="675">
        <v>0</v>
      </c>
      <c r="DO146" s="675">
        <v>0</v>
      </c>
      <c r="DP146" s="675">
        <v>0</v>
      </c>
      <c r="DQ146" s="675">
        <v>0</v>
      </c>
      <c r="DR146" s="675">
        <v>0</v>
      </c>
      <c r="DS146" s="675">
        <v>0</v>
      </c>
      <c r="DT146" s="675">
        <v>0</v>
      </c>
      <c r="DU146" s="675">
        <v>0</v>
      </c>
      <c r="DV146" s="675">
        <v>0</v>
      </c>
      <c r="DW146" s="675">
        <v>0</v>
      </c>
      <c r="DX146" s="675">
        <v>0</v>
      </c>
      <c r="DY146" s="675">
        <v>0</v>
      </c>
      <c r="DZ146" s="675">
        <v>0</v>
      </c>
      <c r="EA146" s="675">
        <v>0</v>
      </c>
      <c r="EB146" s="675">
        <v>0</v>
      </c>
      <c r="EC146" s="675">
        <v>0</v>
      </c>
      <c r="ED146" s="675">
        <v>0</v>
      </c>
      <c r="EE146" s="675">
        <v>0</v>
      </c>
      <c r="EF146" s="675">
        <v>0</v>
      </c>
      <c r="EG146" s="675">
        <v>0</v>
      </c>
      <c r="EH146" s="675">
        <v>0</v>
      </c>
      <c r="EI146" s="675">
        <v>0</v>
      </c>
      <c r="EJ146" s="675">
        <v>0</v>
      </c>
      <c r="EK146" s="675">
        <v>0</v>
      </c>
      <c r="EL146" s="675">
        <v>0</v>
      </c>
      <c r="EM146" s="675">
        <v>0</v>
      </c>
      <c r="EN146" s="675">
        <v>0</v>
      </c>
      <c r="EO146" s="675">
        <v>0</v>
      </c>
      <c r="EP146" s="675">
        <v>0</v>
      </c>
      <c r="EQ146" s="675">
        <v>0</v>
      </c>
      <c r="ER146" s="675">
        <v>0</v>
      </c>
      <c r="ES146" s="675">
        <v>0</v>
      </c>
      <c r="ET146" s="675">
        <v>0</v>
      </c>
      <c r="EU146" s="675">
        <v>0</v>
      </c>
      <c r="EV146" s="675">
        <v>0</v>
      </c>
      <c r="EW146" s="675">
        <v>0</v>
      </c>
      <c r="EX146" s="675">
        <v>0</v>
      </c>
      <c r="EY146" s="675">
        <v>0</v>
      </c>
      <c r="EZ146" s="675">
        <v>2553947</v>
      </c>
      <c r="FA146" s="675">
        <v>0</v>
      </c>
      <c r="FB146" s="675">
        <v>2676582</v>
      </c>
      <c r="FC146" s="675">
        <v>0</v>
      </c>
      <c r="FD146" s="675">
        <v>0</v>
      </c>
      <c r="FE146" s="675">
        <v>272267</v>
      </c>
      <c r="FF146" s="675">
        <v>56312</v>
      </c>
      <c r="FG146" s="675">
        <v>6.3574999999999993E-2</v>
      </c>
      <c r="FH146" s="675">
        <v>2.6297999999999998E-2</v>
      </c>
      <c r="FI146" s="675">
        <v>0</v>
      </c>
      <c r="FJ146" s="675">
        <v>0</v>
      </c>
      <c r="FK146" s="675">
        <v>434.51800000000003</v>
      </c>
      <c r="FL146" s="675">
        <v>3220363</v>
      </c>
      <c r="FM146" s="675">
        <v>0</v>
      </c>
      <c r="FN146" s="675">
        <v>0</v>
      </c>
      <c r="FO146" s="675">
        <v>0</v>
      </c>
      <c r="FP146" s="675">
        <v>0</v>
      </c>
      <c r="FQ146" s="675">
        <v>0</v>
      </c>
      <c r="FR146" s="675">
        <v>0</v>
      </c>
      <c r="FS146" s="675">
        <v>0</v>
      </c>
      <c r="FT146" s="675">
        <v>0</v>
      </c>
      <c r="FU146" s="675">
        <v>0</v>
      </c>
      <c r="FV146" s="675">
        <v>0</v>
      </c>
      <c r="FW146" s="675">
        <v>0</v>
      </c>
      <c r="FX146" s="675">
        <v>0</v>
      </c>
      <c r="FY146" s="675">
        <v>0</v>
      </c>
      <c r="FZ146" s="675">
        <v>0</v>
      </c>
      <c r="GA146" s="675">
        <v>0</v>
      </c>
      <c r="GB146" s="675">
        <v>0</v>
      </c>
      <c r="GC146" s="675">
        <v>0</v>
      </c>
      <c r="GD146" s="675">
        <v>0</v>
      </c>
      <c r="GE146" s="675">
        <v>0</v>
      </c>
      <c r="GF146" s="675">
        <v>0</v>
      </c>
      <c r="GG146" s="675">
        <v>0</v>
      </c>
      <c r="GH146" s="675">
        <v>0</v>
      </c>
      <c r="GI146" s="675">
        <v>0</v>
      </c>
      <c r="GJ146" s="675">
        <v>0</v>
      </c>
      <c r="GK146" s="675">
        <v>0</v>
      </c>
      <c r="GL146" s="675">
        <v>0</v>
      </c>
      <c r="GM146" s="675">
        <v>0</v>
      </c>
      <c r="GN146" s="675">
        <v>0</v>
      </c>
      <c r="GO146" s="675">
        <v>0</v>
      </c>
      <c r="GP146" s="675">
        <v>0</v>
      </c>
      <c r="GQ146" s="675">
        <v>0</v>
      </c>
      <c r="GR146" s="675">
        <v>0</v>
      </c>
      <c r="GS146" s="675">
        <v>0</v>
      </c>
      <c r="GT146" s="675">
        <v>0</v>
      </c>
      <c r="GU146" s="675">
        <v>0</v>
      </c>
      <c r="GV146" s="675">
        <v>0</v>
      </c>
      <c r="GW146" s="675">
        <v>0</v>
      </c>
      <c r="GX146" s="675">
        <v>0</v>
      </c>
      <c r="GY146" s="675">
        <v>0</v>
      </c>
      <c r="GZ146" s="675">
        <v>0</v>
      </c>
      <c r="HA146" s="675">
        <v>0</v>
      </c>
      <c r="HB146" s="675">
        <v>308877260</v>
      </c>
      <c r="HC146" s="675">
        <v>4.4138999999999998E-2</v>
      </c>
      <c r="HD146" s="675">
        <v>51684</v>
      </c>
      <c r="HE146" s="675">
        <v>0</v>
      </c>
      <c r="HF146" s="675">
        <v>322889</v>
      </c>
      <c r="HG146" s="675">
        <v>3696</v>
      </c>
      <c r="HH146" s="675">
        <v>69821</v>
      </c>
      <c r="HI146" s="675">
        <v>0</v>
      </c>
      <c r="HJ146" s="675">
        <v>2845</v>
      </c>
      <c r="HK146" s="675">
        <v>0</v>
      </c>
      <c r="HL146" s="675">
        <v>0</v>
      </c>
      <c r="HM146" s="675">
        <v>0</v>
      </c>
      <c r="HN146" s="675">
        <v>0</v>
      </c>
      <c r="HO146" s="675">
        <v>0</v>
      </c>
      <c r="HP146" s="675">
        <v>0</v>
      </c>
      <c r="HQ146" s="675">
        <v>0</v>
      </c>
      <c r="HR146" s="675">
        <v>0</v>
      </c>
      <c r="HS146" s="675">
        <v>2553908</v>
      </c>
      <c r="HT146" s="675">
        <v>56312</v>
      </c>
      <c r="HU146" s="675">
        <v>0</v>
      </c>
      <c r="HV146" s="675">
        <v>0</v>
      </c>
      <c r="HW146" s="675">
        <v>0</v>
      </c>
      <c r="HX146" s="675">
        <v>42</v>
      </c>
      <c r="HY146" s="675">
        <v>30</v>
      </c>
      <c r="HZ146" s="675">
        <v>33</v>
      </c>
      <c r="IA146" s="675">
        <v>43</v>
      </c>
      <c r="IB146" s="675">
        <v>145</v>
      </c>
      <c r="IC146" s="675">
        <v>293</v>
      </c>
      <c r="ID146" s="675">
        <v>0</v>
      </c>
      <c r="IE146" s="675">
        <v>0</v>
      </c>
      <c r="IF146" s="675">
        <v>0</v>
      </c>
      <c r="IG146" s="675">
        <v>6</v>
      </c>
      <c r="IH146" s="675">
        <v>113.34700000000001</v>
      </c>
      <c r="II146" s="675">
        <v>0</v>
      </c>
      <c r="IJ146" s="675">
        <v>0</v>
      </c>
      <c r="IK146" s="675">
        <v>0</v>
      </c>
      <c r="IL146" s="675">
        <v>0</v>
      </c>
      <c r="IM146" s="675">
        <v>0</v>
      </c>
      <c r="IN146" s="675">
        <v>0</v>
      </c>
      <c r="IO146" s="675">
        <v>0</v>
      </c>
      <c r="IP146" s="675">
        <v>0</v>
      </c>
      <c r="IQ146" s="675">
        <v>0</v>
      </c>
      <c r="IR146" s="675">
        <v>0</v>
      </c>
      <c r="IS146" s="675">
        <v>0</v>
      </c>
      <c r="IT146" s="675">
        <v>0</v>
      </c>
      <c r="IU146" s="675">
        <v>0</v>
      </c>
      <c r="IV146" s="675">
        <v>0</v>
      </c>
      <c r="IW146" s="675">
        <v>6160</v>
      </c>
      <c r="IX146" s="675">
        <v>0</v>
      </c>
      <c r="IY146" s="675">
        <v>0</v>
      </c>
      <c r="IZ146" s="675">
        <v>0</v>
      </c>
      <c r="JA146" s="675">
        <v>0</v>
      </c>
      <c r="JB146" s="675">
        <v>0</v>
      </c>
      <c r="JC146" s="675">
        <v>0</v>
      </c>
      <c r="JD146" s="675">
        <v>0</v>
      </c>
      <c r="JE146" s="675">
        <v>0</v>
      </c>
      <c r="JF146" s="675">
        <v>0</v>
      </c>
      <c r="JG146" s="675">
        <v>0</v>
      </c>
      <c r="JH146" s="675">
        <v>0</v>
      </c>
      <c r="JI146" s="675">
        <v>0</v>
      </c>
      <c r="JJ146" s="675">
        <v>0</v>
      </c>
      <c r="JK146" s="675">
        <v>0</v>
      </c>
      <c r="JL146" s="675">
        <v>0</v>
      </c>
      <c r="JM146" s="675">
        <v>0</v>
      </c>
      <c r="JN146" s="675">
        <v>32469</v>
      </c>
      <c r="JO146" s="675">
        <v>0</v>
      </c>
      <c r="JP146" s="675">
        <v>0</v>
      </c>
      <c r="JQ146" s="675">
        <v>0</v>
      </c>
      <c r="JR146" s="675">
        <v>0</v>
      </c>
      <c r="JS146" s="675">
        <v>0</v>
      </c>
      <c r="JT146" s="675">
        <v>0</v>
      </c>
      <c r="JU146" s="675">
        <v>6037</v>
      </c>
      <c r="JV146" s="675">
        <v>0</v>
      </c>
      <c r="JW146" s="675">
        <v>0</v>
      </c>
      <c r="JX146" s="675">
        <v>0</v>
      </c>
      <c r="JY146" s="675">
        <v>0</v>
      </c>
      <c r="JZ146" s="675">
        <v>0</v>
      </c>
      <c r="KA146" s="675">
        <v>0</v>
      </c>
      <c r="KB146" s="675">
        <v>0</v>
      </c>
      <c r="KC146" s="675">
        <v>0</v>
      </c>
      <c r="KD146" s="675">
        <v>6037</v>
      </c>
      <c r="KE146" s="675">
        <v>7263</v>
      </c>
      <c r="KF146" s="675">
        <v>163518</v>
      </c>
      <c r="KG146" s="675">
        <v>0</v>
      </c>
      <c r="KH146" s="675">
        <v>0</v>
      </c>
      <c r="KI146" s="675">
        <v>0</v>
      </c>
    </row>
    <row r="147" spans="1:295" ht="12.5" x14ac:dyDescent="0.25">
      <c r="A147" s="675">
        <v>35795</v>
      </c>
      <c r="B147" s="675">
        <v>101837</v>
      </c>
      <c r="C147" s="675">
        <v>7</v>
      </c>
      <c r="D147" s="675">
        <v>2022</v>
      </c>
      <c r="E147" s="675">
        <v>6160</v>
      </c>
      <c r="F147" s="675">
        <v>0</v>
      </c>
      <c r="G147" s="675">
        <v>291.69200000000001</v>
      </c>
      <c r="H147" s="675">
        <v>230.43600000000001</v>
      </c>
      <c r="I147" s="675">
        <v>230.43600000000001</v>
      </c>
      <c r="J147" s="675">
        <v>291.69200000000001</v>
      </c>
      <c r="K147" s="675">
        <v>0</v>
      </c>
      <c r="L147" s="675">
        <v>6160</v>
      </c>
      <c r="M147" s="675">
        <v>0</v>
      </c>
      <c r="N147" s="675">
        <v>0</v>
      </c>
      <c r="O147" s="675">
        <v>0</v>
      </c>
      <c r="P147" s="675">
        <v>289.60400000000004</v>
      </c>
      <c r="Q147" s="675">
        <v>0</v>
      </c>
      <c r="R147" s="675">
        <v>116545</v>
      </c>
      <c r="S147" s="675">
        <v>402.428</v>
      </c>
      <c r="T147" s="675">
        <v>0</v>
      </c>
      <c r="U147" s="675">
        <v>61975</v>
      </c>
      <c r="V147" s="675">
        <v>19.195</v>
      </c>
      <c r="W147" s="675">
        <v>11824</v>
      </c>
      <c r="X147" s="675">
        <v>11824</v>
      </c>
      <c r="Y147" s="675">
        <v>0</v>
      </c>
      <c r="Z147" s="675">
        <v>0</v>
      </c>
      <c r="AA147" s="675">
        <v>0</v>
      </c>
      <c r="AB147" s="675">
        <v>0</v>
      </c>
      <c r="AC147" s="675">
        <v>0</v>
      </c>
      <c r="AD147" s="675" t="s">
        <v>316</v>
      </c>
      <c r="AE147" s="675">
        <v>0</v>
      </c>
      <c r="AF147" s="675">
        <v>0</v>
      </c>
      <c r="AG147" s="675">
        <v>0</v>
      </c>
      <c r="AH147" s="675">
        <v>0</v>
      </c>
      <c r="AI147" s="675">
        <v>0</v>
      </c>
      <c r="AJ147" s="675">
        <v>6160</v>
      </c>
      <c r="AK147" s="675" t="s">
        <v>671</v>
      </c>
      <c r="AL147" s="675" t="s">
        <v>12</v>
      </c>
      <c r="AM147" s="675">
        <v>0</v>
      </c>
      <c r="AN147" s="675">
        <v>0</v>
      </c>
      <c r="AO147" s="675">
        <v>0</v>
      </c>
      <c r="AP147" s="675">
        <v>0</v>
      </c>
      <c r="AQ147" s="675">
        <v>0</v>
      </c>
      <c r="AR147" s="675">
        <v>0</v>
      </c>
      <c r="AS147" s="675">
        <v>0</v>
      </c>
      <c r="AT147" s="675">
        <v>0</v>
      </c>
      <c r="AU147" s="675">
        <v>0</v>
      </c>
      <c r="AV147" s="675">
        <v>0</v>
      </c>
      <c r="AW147" s="675">
        <v>2976624</v>
      </c>
      <c r="AX147" s="675">
        <v>2925878</v>
      </c>
      <c r="AY147" s="675">
        <v>2004202</v>
      </c>
      <c r="AZ147" s="675">
        <v>116545</v>
      </c>
      <c r="BA147" s="675">
        <v>0</v>
      </c>
      <c r="BB147" s="675">
        <v>0</v>
      </c>
      <c r="BC147" s="675">
        <v>0</v>
      </c>
      <c r="BD147" s="675">
        <v>0</v>
      </c>
      <c r="BE147" s="675">
        <v>0</v>
      </c>
      <c r="BF147" s="675">
        <v>2690206</v>
      </c>
      <c r="BG147" s="675">
        <v>0</v>
      </c>
      <c r="BH147" s="675">
        <v>0</v>
      </c>
      <c r="BI147" s="675">
        <v>0</v>
      </c>
      <c r="BJ147" s="675">
        <v>12</v>
      </c>
      <c r="BK147" s="675">
        <v>0</v>
      </c>
      <c r="BL147" s="675">
        <v>0</v>
      </c>
      <c r="BM147" s="675">
        <v>0</v>
      </c>
      <c r="BN147" s="675">
        <v>0</v>
      </c>
      <c r="BO147" s="675">
        <v>0</v>
      </c>
      <c r="BP147" s="675">
        <v>0</v>
      </c>
      <c r="BQ147" s="675">
        <v>735</v>
      </c>
      <c r="BR147" s="675">
        <v>0</v>
      </c>
      <c r="BS147" s="675">
        <v>0</v>
      </c>
      <c r="BT147" s="675">
        <v>0</v>
      </c>
      <c r="BU147" s="675">
        <v>0</v>
      </c>
      <c r="BV147" s="675">
        <v>0</v>
      </c>
      <c r="BW147" s="675">
        <v>0</v>
      </c>
      <c r="BX147" s="675">
        <v>0</v>
      </c>
      <c r="BY147" s="675">
        <v>0</v>
      </c>
      <c r="BZ147" s="675">
        <v>0</v>
      </c>
      <c r="CA147" s="675">
        <v>0</v>
      </c>
      <c r="CB147" s="675">
        <v>0</v>
      </c>
      <c r="CC147" s="675">
        <v>0</v>
      </c>
      <c r="CD147" s="675">
        <v>0</v>
      </c>
      <c r="CE147" s="675">
        <v>0</v>
      </c>
      <c r="CF147" s="675">
        <v>0</v>
      </c>
      <c r="CG147" s="675">
        <v>0</v>
      </c>
      <c r="CH147" s="675">
        <v>51500</v>
      </c>
      <c r="CI147" s="675">
        <v>0</v>
      </c>
      <c r="CJ147" s="675">
        <v>4</v>
      </c>
      <c r="CK147" s="675">
        <v>0</v>
      </c>
      <c r="CL147" s="675">
        <v>0</v>
      </c>
      <c r="CM147" s="675">
        <v>0</v>
      </c>
      <c r="CN147" s="675">
        <v>0</v>
      </c>
      <c r="CO147" s="675">
        <v>1</v>
      </c>
      <c r="CP147" s="675">
        <v>0</v>
      </c>
      <c r="CQ147" s="675">
        <v>0</v>
      </c>
      <c r="CR147" s="675">
        <v>308.35000000000002</v>
      </c>
      <c r="CS147" s="675">
        <v>0</v>
      </c>
      <c r="CT147" s="675">
        <v>0</v>
      </c>
      <c r="CU147" s="675">
        <v>0</v>
      </c>
      <c r="CV147" s="675">
        <v>0</v>
      </c>
      <c r="CW147" s="675">
        <v>0</v>
      </c>
      <c r="CX147" s="675">
        <v>0</v>
      </c>
      <c r="CY147" s="675">
        <v>0</v>
      </c>
      <c r="CZ147" s="675">
        <v>0</v>
      </c>
      <c r="DA147" s="675">
        <v>0</v>
      </c>
      <c r="DB147" s="675">
        <v>1419479</v>
      </c>
      <c r="DC147" s="675">
        <v>0</v>
      </c>
      <c r="DD147" s="675">
        <v>0</v>
      </c>
      <c r="DE147" s="675">
        <v>204511</v>
      </c>
      <c r="DF147" s="675">
        <v>204511</v>
      </c>
      <c r="DG147" s="675">
        <v>33.200000000000003</v>
      </c>
      <c r="DH147" s="675">
        <v>0</v>
      </c>
      <c r="DI147" s="675">
        <v>0</v>
      </c>
      <c r="DJ147" s="675">
        <v>0</v>
      </c>
      <c r="DK147" s="675">
        <v>3375</v>
      </c>
      <c r="DL147" s="675">
        <v>0</v>
      </c>
      <c r="DM147" s="675">
        <v>200450</v>
      </c>
      <c r="DN147" s="675">
        <v>754</v>
      </c>
      <c r="DO147" s="675">
        <v>0</v>
      </c>
      <c r="DP147" s="675">
        <v>0</v>
      </c>
      <c r="DQ147" s="675">
        <v>0</v>
      </c>
      <c r="DR147" s="675">
        <v>0</v>
      </c>
      <c r="DS147" s="675">
        <v>0</v>
      </c>
      <c r="DT147" s="675">
        <v>0</v>
      </c>
      <c r="DU147" s="675">
        <v>0</v>
      </c>
      <c r="DV147" s="675">
        <v>0</v>
      </c>
      <c r="DW147" s="675">
        <v>0</v>
      </c>
      <c r="DX147" s="675">
        <v>0</v>
      </c>
      <c r="DY147" s="675">
        <v>0</v>
      </c>
      <c r="DZ147" s="675">
        <v>0</v>
      </c>
      <c r="EA147" s="675">
        <v>0</v>
      </c>
      <c r="EB147" s="675">
        <v>0</v>
      </c>
      <c r="EC147" s="675">
        <v>27.881</v>
      </c>
      <c r="ED147" s="675">
        <v>197508</v>
      </c>
      <c r="EE147" s="675">
        <v>0</v>
      </c>
      <c r="EF147" s="675">
        <v>0</v>
      </c>
      <c r="EG147" s="675">
        <v>0</v>
      </c>
      <c r="EH147" s="675">
        <v>3696</v>
      </c>
      <c r="EI147" s="675">
        <v>0</v>
      </c>
      <c r="EJ147" s="675">
        <v>0</v>
      </c>
      <c r="EK147" s="675">
        <v>0</v>
      </c>
      <c r="EL147" s="675">
        <v>0</v>
      </c>
      <c r="EM147" s="675">
        <v>0</v>
      </c>
      <c r="EN147" s="675">
        <v>0.12</v>
      </c>
      <c r="EO147" s="675">
        <v>0</v>
      </c>
      <c r="EP147" s="675">
        <v>0</v>
      </c>
      <c r="EQ147" s="675">
        <v>0.12</v>
      </c>
      <c r="ER147" s="675">
        <v>0</v>
      </c>
      <c r="ES147" s="675">
        <v>0.6</v>
      </c>
      <c r="ET147" s="675">
        <v>0</v>
      </c>
      <c r="EU147" s="675">
        <v>0</v>
      </c>
      <c r="EV147" s="675">
        <v>0</v>
      </c>
      <c r="EW147" s="675">
        <v>0</v>
      </c>
      <c r="EX147" s="675">
        <v>0</v>
      </c>
      <c r="EY147" s="675">
        <v>0</v>
      </c>
      <c r="EZ147" s="675">
        <v>2595631</v>
      </c>
      <c r="FA147" s="675">
        <v>0</v>
      </c>
      <c r="FB147" s="675">
        <v>2711422</v>
      </c>
      <c r="FC147" s="675">
        <v>0</v>
      </c>
      <c r="FD147" s="675">
        <v>0</v>
      </c>
      <c r="FE147" s="675">
        <v>273649</v>
      </c>
      <c r="FF147" s="675">
        <v>56598</v>
      </c>
      <c r="FG147" s="675">
        <v>6.3574999999999993E-2</v>
      </c>
      <c r="FH147" s="675">
        <v>2.6297999999999998E-2</v>
      </c>
      <c r="FI147" s="675">
        <v>0</v>
      </c>
      <c r="FJ147" s="675">
        <v>0</v>
      </c>
      <c r="FK147" s="675">
        <v>436.72400000000005</v>
      </c>
      <c r="FL147" s="675">
        <v>3093169</v>
      </c>
      <c r="FM147" s="675">
        <v>0</v>
      </c>
      <c r="FN147" s="675">
        <v>0</v>
      </c>
      <c r="FO147" s="675">
        <v>18945</v>
      </c>
      <c r="FP147" s="675">
        <v>0</v>
      </c>
      <c r="FQ147" s="675">
        <v>18945</v>
      </c>
      <c r="FR147" s="675">
        <v>18945</v>
      </c>
      <c r="FS147" s="675">
        <v>0</v>
      </c>
      <c r="FT147" s="675">
        <v>0</v>
      </c>
      <c r="FU147" s="675">
        <v>0</v>
      </c>
      <c r="FV147" s="675">
        <v>0</v>
      </c>
      <c r="FW147" s="675">
        <v>0</v>
      </c>
      <c r="FX147" s="675">
        <v>0</v>
      </c>
      <c r="FY147" s="675">
        <v>0</v>
      </c>
      <c r="FZ147" s="675">
        <v>0</v>
      </c>
      <c r="GA147" s="675">
        <v>0</v>
      </c>
      <c r="GB147" s="675">
        <v>559049</v>
      </c>
      <c r="GC147" s="675">
        <v>559049</v>
      </c>
      <c r="GD147" s="675">
        <v>61.136000000000003</v>
      </c>
      <c r="GE147" s="675">
        <v>0</v>
      </c>
      <c r="GF147" s="675">
        <v>0</v>
      </c>
      <c r="GG147" s="675">
        <v>0</v>
      </c>
      <c r="GH147" s="675">
        <v>0</v>
      </c>
      <c r="GI147" s="675">
        <v>0</v>
      </c>
      <c r="GJ147" s="675">
        <v>0</v>
      </c>
      <c r="GK147" s="675">
        <v>0</v>
      </c>
      <c r="GL147" s="675">
        <v>0</v>
      </c>
      <c r="GM147" s="675">
        <v>0</v>
      </c>
      <c r="GN147" s="675">
        <v>0</v>
      </c>
      <c r="GO147" s="675">
        <v>0</v>
      </c>
      <c r="GP147" s="675">
        <v>0</v>
      </c>
      <c r="GQ147" s="675">
        <v>0</v>
      </c>
      <c r="GR147" s="675">
        <v>0</v>
      </c>
      <c r="GS147" s="675">
        <v>0</v>
      </c>
      <c r="GT147" s="675">
        <v>0</v>
      </c>
      <c r="GU147" s="675">
        <v>0</v>
      </c>
      <c r="GV147" s="675">
        <v>0</v>
      </c>
      <c r="GW147" s="675">
        <v>0</v>
      </c>
      <c r="GX147" s="675">
        <v>0</v>
      </c>
      <c r="GY147" s="675">
        <v>0</v>
      </c>
      <c r="GZ147" s="675">
        <v>0</v>
      </c>
      <c r="HA147" s="675">
        <v>0</v>
      </c>
      <c r="HB147" s="675">
        <v>308877260</v>
      </c>
      <c r="HC147" s="675">
        <v>4.4138999999999998E-2</v>
      </c>
      <c r="HD147" s="675">
        <v>51500</v>
      </c>
      <c r="HE147" s="675">
        <v>0</v>
      </c>
      <c r="HF147" s="675">
        <v>254171</v>
      </c>
      <c r="HG147" s="675">
        <v>5133</v>
      </c>
      <c r="HH147" s="675">
        <v>0</v>
      </c>
      <c r="HI147" s="675">
        <v>0</v>
      </c>
      <c r="HJ147" s="675">
        <v>2835</v>
      </c>
      <c r="HK147" s="675">
        <v>1773</v>
      </c>
      <c r="HL147" s="675">
        <v>1252</v>
      </c>
      <c r="HM147" s="675">
        <v>32000</v>
      </c>
      <c r="HN147" s="675">
        <v>0</v>
      </c>
      <c r="HO147" s="675">
        <v>0</v>
      </c>
      <c r="HP147" s="675">
        <v>0</v>
      </c>
      <c r="HQ147" s="675">
        <v>0</v>
      </c>
      <c r="HR147" s="675">
        <v>0</v>
      </c>
      <c r="HS147" s="675">
        <v>2594877</v>
      </c>
      <c r="HT147" s="675">
        <v>56598</v>
      </c>
      <c r="HU147" s="675">
        <v>0</v>
      </c>
      <c r="HV147" s="675">
        <v>0</v>
      </c>
      <c r="HW147" s="675">
        <v>0</v>
      </c>
      <c r="HX147" s="675">
        <v>42</v>
      </c>
      <c r="HY147" s="675">
        <v>81</v>
      </c>
      <c r="HZ147" s="675">
        <v>17</v>
      </c>
      <c r="IA147" s="675">
        <v>1</v>
      </c>
      <c r="IB147" s="675">
        <v>0</v>
      </c>
      <c r="IC147" s="675">
        <v>141</v>
      </c>
      <c r="ID147" s="675">
        <v>0</v>
      </c>
      <c r="IE147" s="675">
        <v>0</v>
      </c>
      <c r="IF147" s="675">
        <v>0</v>
      </c>
      <c r="IG147" s="675">
        <v>8.3330000000000002</v>
      </c>
      <c r="IH147" s="675">
        <v>0</v>
      </c>
      <c r="II147" s="675">
        <v>0</v>
      </c>
      <c r="IJ147" s="675">
        <v>19.195</v>
      </c>
      <c r="IK147" s="675">
        <v>0</v>
      </c>
      <c r="IL147" s="675">
        <v>4</v>
      </c>
      <c r="IM147" s="675">
        <v>4</v>
      </c>
      <c r="IN147" s="675">
        <v>0</v>
      </c>
      <c r="IO147" s="675">
        <v>8</v>
      </c>
      <c r="IP147" s="675">
        <v>0</v>
      </c>
      <c r="IQ147" s="675">
        <v>19.195</v>
      </c>
      <c r="IR147" s="675">
        <v>11824</v>
      </c>
      <c r="IS147" s="675">
        <v>0</v>
      </c>
      <c r="IT147" s="675">
        <v>20000</v>
      </c>
      <c r="IU147" s="675">
        <v>12000</v>
      </c>
      <c r="IV147" s="675">
        <v>0</v>
      </c>
      <c r="IW147" s="675">
        <v>6160</v>
      </c>
      <c r="IX147" s="675">
        <v>0</v>
      </c>
      <c r="IY147" s="675">
        <v>0</v>
      </c>
      <c r="IZ147" s="675">
        <v>0</v>
      </c>
      <c r="JA147" s="675">
        <v>0</v>
      </c>
      <c r="JB147" s="675">
        <v>0</v>
      </c>
      <c r="JC147" s="675">
        <v>0</v>
      </c>
      <c r="JD147" s="675">
        <v>0</v>
      </c>
      <c r="JE147" s="675">
        <v>0</v>
      </c>
      <c r="JF147" s="675">
        <v>0</v>
      </c>
      <c r="JG147" s="675">
        <v>0</v>
      </c>
      <c r="JH147" s="675">
        <v>0</v>
      </c>
      <c r="JI147" s="675">
        <v>0</v>
      </c>
      <c r="JJ147" s="675">
        <v>0</v>
      </c>
      <c r="JK147" s="675">
        <v>0</v>
      </c>
      <c r="JL147" s="675">
        <v>0</v>
      </c>
      <c r="JM147" s="675">
        <v>0</v>
      </c>
      <c r="JN147" s="675">
        <v>32469</v>
      </c>
      <c r="JO147" s="675">
        <v>16.646000000000001</v>
      </c>
      <c r="JP147" s="675">
        <v>35.466999999999999</v>
      </c>
      <c r="JQ147" s="675">
        <v>9.0229999999999997</v>
      </c>
      <c r="JR147" s="675">
        <v>132990</v>
      </c>
      <c r="JS147" s="675">
        <v>329724</v>
      </c>
      <c r="JT147" s="675">
        <v>96335</v>
      </c>
      <c r="JU147" s="675">
        <v>0</v>
      </c>
      <c r="JV147" s="675">
        <v>0</v>
      </c>
      <c r="JW147" s="675">
        <v>0</v>
      </c>
      <c r="JX147" s="675">
        <v>0</v>
      </c>
      <c r="JY147" s="675">
        <v>0</v>
      </c>
      <c r="JZ147" s="675">
        <v>0</v>
      </c>
      <c r="KA147" s="675">
        <v>0</v>
      </c>
      <c r="KB147" s="675">
        <v>0</v>
      </c>
      <c r="KC147" s="675">
        <v>0</v>
      </c>
      <c r="KD147" s="675">
        <v>0</v>
      </c>
      <c r="KE147" s="675">
        <v>7263</v>
      </c>
      <c r="KF147" s="675">
        <v>0</v>
      </c>
      <c r="KG147" s="675">
        <v>0</v>
      </c>
      <c r="KH147" s="675">
        <v>0</v>
      </c>
      <c r="KI147" s="675">
        <v>0</v>
      </c>
    </row>
    <row r="148" spans="1:295" ht="12.5" x14ac:dyDescent="0.25">
      <c r="A148" s="675">
        <v>35795</v>
      </c>
      <c r="B148" s="675">
        <v>15838</v>
      </c>
      <c r="C148" s="675">
        <v>7</v>
      </c>
      <c r="D148" s="675">
        <v>2022</v>
      </c>
      <c r="E148" s="675">
        <v>6160</v>
      </c>
      <c r="F148" s="675">
        <v>0</v>
      </c>
      <c r="G148" s="675">
        <v>1647.788</v>
      </c>
      <c r="H148" s="675">
        <v>1595.8690000000001</v>
      </c>
      <c r="I148" s="675">
        <v>1595.8690000000001</v>
      </c>
      <c r="J148" s="675">
        <v>1647.788</v>
      </c>
      <c r="K148" s="675">
        <v>0</v>
      </c>
      <c r="L148" s="675">
        <v>6160</v>
      </c>
      <c r="M148" s="675">
        <v>0</v>
      </c>
      <c r="N148" s="675">
        <v>0</v>
      </c>
      <c r="O148" s="675">
        <v>0</v>
      </c>
      <c r="P148" s="675">
        <v>1040.2860000000001</v>
      </c>
      <c r="Q148" s="675">
        <v>0</v>
      </c>
      <c r="R148" s="675">
        <v>418640</v>
      </c>
      <c r="S148" s="675">
        <v>402.428</v>
      </c>
      <c r="T148" s="675">
        <v>0</v>
      </c>
      <c r="U148" s="675">
        <v>222622</v>
      </c>
      <c r="V148" s="675">
        <v>228.09</v>
      </c>
      <c r="W148" s="675">
        <v>140503</v>
      </c>
      <c r="X148" s="675">
        <v>140503</v>
      </c>
      <c r="Y148" s="675">
        <v>0</v>
      </c>
      <c r="Z148" s="675">
        <v>0</v>
      </c>
      <c r="AA148" s="675">
        <v>0</v>
      </c>
      <c r="AB148" s="675">
        <v>0</v>
      </c>
      <c r="AC148" s="675">
        <v>0</v>
      </c>
      <c r="AD148" s="675" t="s">
        <v>316</v>
      </c>
      <c r="AE148" s="675">
        <v>0</v>
      </c>
      <c r="AF148" s="675">
        <v>0</v>
      </c>
      <c r="AG148" s="675">
        <v>0</v>
      </c>
      <c r="AH148" s="675">
        <v>0</v>
      </c>
      <c r="AI148" s="675">
        <v>0</v>
      </c>
      <c r="AJ148" s="675">
        <v>6160</v>
      </c>
      <c r="AK148" s="675" t="s">
        <v>671</v>
      </c>
      <c r="AL148" s="675" t="s">
        <v>792</v>
      </c>
      <c r="AM148" s="675">
        <v>0</v>
      </c>
      <c r="AN148" s="675">
        <v>0</v>
      </c>
      <c r="AO148" s="675">
        <v>0</v>
      </c>
      <c r="AP148" s="675">
        <v>0</v>
      </c>
      <c r="AQ148" s="675">
        <v>0</v>
      </c>
      <c r="AR148" s="675">
        <v>0</v>
      </c>
      <c r="AS148" s="675">
        <v>0</v>
      </c>
      <c r="AT148" s="675">
        <v>0</v>
      </c>
      <c r="AU148" s="675">
        <v>0</v>
      </c>
      <c r="AV148" s="675">
        <v>-210853</v>
      </c>
      <c r="AW148" s="675">
        <v>19900854</v>
      </c>
      <c r="AX148" s="675">
        <v>18011758</v>
      </c>
      <c r="AY148" s="675">
        <v>14909575</v>
      </c>
      <c r="AZ148" s="675">
        <v>418640</v>
      </c>
      <c r="BA148" s="675">
        <v>0</v>
      </c>
      <c r="BB148" s="675">
        <v>0</v>
      </c>
      <c r="BC148" s="675">
        <v>0</v>
      </c>
      <c r="BD148" s="675">
        <v>0</v>
      </c>
      <c r="BE148" s="675">
        <v>0</v>
      </c>
      <c r="BF148" s="675">
        <v>15843644</v>
      </c>
      <c r="BG148" s="675">
        <v>0</v>
      </c>
      <c r="BH148" s="675">
        <v>0</v>
      </c>
      <c r="BI148" s="675">
        <v>0</v>
      </c>
      <c r="BJ148" s="675">
        <v>12</v>
      </c>
      <c r="BK148" s="675">
        <v>0</v>
      </c>
      <c r="BL148" s="675">
        <v>0</v>
      </c>
      <c r="BM148" s="675">
        <v>0</v>
      </c>
      <c r="BN148" s="675">
        <v>0</v>
      </c>
      <c r="BO148" s="675">
        <v>0</v>
      </c>
      <c r="BP148" s="675">
        <v>0</v>
      </c>
      <c r="BQ148" s="675">
        <v>524</v>
      </c>
      <c r="BR148" s="675">
        <v>0</v>
      </c>
      <c r="BS148" s="675">
        <v>0</v>
      </c>
      <c r="BT148" s="675">
        <v>0</v>
      </c>
      <c r="BU148" s="675">
        <v>0</v>
      </c>
      <c r="BV148" s="675">
        <v>0</v>
      </c>
      <c r="BW148" s="675">
        <v>0</v>
      </c>
      <c r="BX148" s="675">
        <v>0</v>
      </c>
      <c r="BY148" s="675">
        <v>0</v>
      </c>
      <c r="BZ148" s="675">
        <v>0</v>
      </c>
      <c r="CA148" s="675">
        <v>601.48200000000008</v>
      </c>
      <c r="CB148" s="675">
        <v>512927</v>
      </c>
      <c r="CC148" s="675">
        <v>0</v>
      </c>
      <c r="CD148" s="675">
        <v>0</v>
      </c>
      <c r="CE148" s="675">
        <v>0</v>
      </c>
      <c r="CF148" s="675">
        <v>0</v>
      </c>
      <c r="CG148" s="675">
        <v>0</v>
      </c>
      <c r="CH148" s="675">
        <v>1893805</v>
      </c>
      <c r="CI148" s="675">
        <v>0</v>
      </c>
      <c r="CJ148" s="675">
        <v>5</v>
      </c>
      <c r="CK148" s="675">
        <v>0</v>
      </c>
      <c r="CL148" s="675">
        <v>0</v>
      </c>
      <c r="CM148" s="675">
        <v>0</v>
      </c>
      <c r="CN148" s="675">
        <v>0</v>
      </c>
      <c r="CO148" s="675">
        <v>1</v>
      </c>
      <c r="CP148" s="675">
        <v>0</v>
      </c>
      <c r="CQ148" s="675">
        <v>0</v>
      </c>
      <c r="CR148" s="675">
        <v>1036.1090000000002</v>
      </c>
      <c r="CS148" s="675">
        <v>0</v>
      </c>
      <c r="CT148" s="675">
        <v>0</v>
      </c>
      <c r="CU148" s="675">
        <v>0</v>
      </c>
      <c r="CV148" s="675">
        <v>0</v>
      </c>
      <c r="CW148" s="675">
        <v>0</v>
      </c>
      <c r="CX148" s="675">
        <v>0</v>
      </c>
      <c r="CY148" s="675">
        <v>0</v>
      </c>
      <c r="CZ148" s="675">
        <v>0</v>
      </c>
      <c r="DA148" s="675">
        <v>0</v>
      </c>
      <c r="DB148" s="675">
        <v>9830507</v>
      </c>
      <c r="DC148" s="675">
        <v>0</v>
      </c>
      <c r="DD148" s="675">
        <v>0</v>
      </c>
      <c r="DE148" s="675">
        <v>2551768</v>
      </c>
      <c r="DF148" s="675">
        <v>2551768</v>
      </c>
      <c r="DG148" s="675">
        <v>414.25</v>
      </c>
      <c r="DH148" s="675">
        <v>0</v>
      </c>
      <c r="DI148" s="675">
        <v>0</v>
      </c>
      <c r="DJ148" s="675">
        <v>0</v>
      </c>
      <c r="DK148" s="675">
        <v>10</v>
      </c>
      <c r="DL148" s="675">
        <v>0</v>
      </c>
      <c r="DM148" s="675">
        <v>1251799</v>
      </c>
      <c r="DN148" s="675">
        <v>4709</v>
      </c>
      <c r="DO148" s="675">
        <v>0</v>
      </c>
      <c r="DP148" s="675">
        <v>0</v>
      </c>
      <c r="DQ148" s="675">
        <v>0</v>
      </c>
      <c r="DR148" s="675">
        <v>0</v>
      </c>
      <c r="DS148" s="675">
        <v>0</v>
      </c>
      <c r="DT148" s="675">
        <v>0</v>
      </c>
      <c r="DU148" s="675">
        <v>0</v>
      </c>
      <c r="DV148" s="675">
        <v>0</v>
      </c>
      <c r="DW148" s="675">
        <v>0</v>
      </c>
      <c r="DX148" s="675">
        <v>0</v>
      </c>
      <c r="DY148" s="675">
        <v>0</v>
      </c>
      <c r="DZ148" s="675">
        <v>0</v>
      </c>
      <c r="EA148" s="675">
        <v>0.47200000000000003</v>
      </c>
      <c r="EB148" s="675">
        <v>0</v>
      </c>
      <c r="EC148" s="675">
        <v>107.003</v>
      </c>
      <c r="ED148" s="675">
        <v>758006</v>
      </c>
      <c r="EE148" s="675">
        <v>0</v>
      </c>
      <c r="EF148" s="675">
        <v>0</v>
      </c>
      <c r="EG148" s="675">
        <v>0</v>
      </c>
      <c r="EH148" s="675">
        <v>498502</v>
      </c>
      <c r="EI148" s="675">
        <v>0</v>
      </c>
      <c r="EJ148" s="675">
        <v>0</v>
      </c>
      <c r="EK148" s="675">
        <v>1.7670000000000001</v>
      </c>
      <c r="EL148" s="675">
        <v>0</v>
      </c>
      <c r="EM148" s="675">
        <v>17.455000000000002</v>
      </c>
      <c r="EN148" s="675">
        <v>4.18</v>
      </c>
      <c r="EO148" s="675">
        <v>0</v>
      </c>
      <c r="EP148" s="675">
        <v>0</v>
      </c>
      <c r="EQ148" s="675">
        <v>23.874000000000002</v>
      </c>
      <c r="ER148" s="675">
        <v>0</v>
      </c>
      <c r="ES148" s="675">
        <v>80.926000000000002</v>
      </c>
      <c r="ET148" s="675">
        <v>0</v>
      </c>
      <c r="EU148" s="675">
        <v>0</v>
      </c>
      <c r="EV148" s="675">
        <v>0</v>
      </c>
      <c r="EW148" s="675">
        <v>0</v>
      </c>
      <c r="EX148" s="675">
        <v>0</v>
      </c>
      <c r="EY148" s="675">
        <v>0</v>
      </c>
      <c r="EZ148" s="675">
        <v>16066809</v>
      </c>
      <c r="FA148" s="675">
        <v>0</v>
      </c>
      <c r="FB148" s="675">
        <v>16480740</v>
      </c>
      <c r="FC148" s="675">
        <v>0</v>
      </c>
      <c r="FD148" s="675">
        <v>0</v>
      </c>
      <c r="FE148" s="675">
        <v>1611623</v>
      </c>
      <c r="FF148" s="675">
        <v>333326</v>
      </c>
      <c r="FG148" s="675">
        <v>6.3574999999999993E-2</v>
      </c>
      <c r="FH148" s="675">
        <v>2.6297999999999998E-2</v>
      </c>
      <c r="FI148" s="675">
        <v>0</v>
      </c>
      <c r="FJ148" s="675">
        <v>0</v>
      </c>
      <c r="FK148" s="675">
        <v>2572.0320000000002</v>
      </c>
      <c r="FL148" s="675">
        <v>20319494</v>
      </c>
      <c r="FM148" s="675">
        <v>0</v>
      </c>
      <c r="FN148" s="675">
        <v>0</v>
      </c>
      <c r="FO148" s="675">
        <v>106614</v>
      </c>
      <c r="FP148" s="675">
        <v>22178</v>
      </c>
      <c r="FQ148" s="675">
        <v>128792</v>
      </c>
      <c r="FR148" s="675">
        <v>106614</v>
      </c>
      <c r="FS148" s="675">
        <v>0</v>
      </c>
      <c r="FT148" s="675">
        <v>0</v>
      </c>
      <c r="FU148" s="675">
        <v>0</v>
      </c>
      <c r="FV148" s="675">
        <v>0</v>
      </c>
      <c r="FW148" s="675">
        <v>0</v>
      </c>
      <c r="FX148" s="675">
        <v>0</v>
      </c>
      <c r="FY148" s="675">
        <v>0</v>
      </c>
      <c r="FZ148" s="675">
        <v>0</v>
      </c>
      <c r="GA148" s="675">
        <v>0</v>
      </c>
      <c r="GB148" s="675">
        <v>237022</v>
      </c>
      <c r="GC148" s="675">
        <v>237022</v>
      </c>
      <c r="GD148" s="675">
        <v>28.045000000000002</v>
      </c>
      <c r="GE148" s="675">
        <v>0</v>
      </c>
      <c r="GF148" s="675">
        <v>0</v>
      </c>
      <c r="GG148" s="675">
        <v>0</v>
      </c>
      <c r="GH148" s="675">
        <v>0</v>
      </c>
      <c r="GI148" s="675">
        <v>0</v>
      </c>
      <c r="GJ148" s="675">
        <v>0</v>
      </c>
      <c r="GK148" s="675">
        <v>0</v>
      </c>
      <c r="GL148" s="675">
        <v>0</v>
      </c>
      <c r="GM148" s="675">
        <v>0</v>
      </c>
      <c r="GN148" s="675">
        <v>0</v>
      </c>
      <c r="GO148" s="675">
        <v>0</v>
      </c>
      <c r="GP148" s="675">
        <v>0</v>
      </c>
      <c r="GQ148" s="675">
        <v>0</v>
      </c>
      <c r="GR148" s="675">
        <v>0</v>
      </c>
      <c r="GS148" s="675">
        <v>0</v>
      </c>
      <c r="GT148" s="675">
        <v>0</v>
      </c>
      <c r="GU148" s="675">
        <v>0</v>
      </c>
      <c r="GV148" s="675">
        <v>0</v>
      </c>
      <c r="GW148" s="675">
        <v>0</v>
      </c>
      <c r="GX148" s="675">
        <v>0</v>
      </c>
      <c r="GY148" s="675">
        <v>0</v>
      </c>
      <c r="GZ148" s="675">
        <v>0</v>
      </c>
      <c r="HA148" s="675">
        <v>0</v>
      </c>
      <c r="HB148" s="675">
        <v>308877260</v>
      </c>
      <c r="HC148" s="675">
        <v>4.4138999999999998E-2</v>
      </c>
      <c r="HD148" s="675">
        <v>290926</v>
      </c>
      <c r="HE148" s="675">
        <v>0</v>
      </c>
      <c r="HF148" s="675">
        <v>1760244</v>
      </c>
      <c r="HG148" s="675">
        <v>36960</v>
      </c>
      <c r="HH148" s="675">
        <v>0</v>
      </c>
      <c r="HI148" s="675">
        <v>0</v>
      </c>
      <c r="HJ148" s="675">
        <v>16016</v>
      </c>
      <c r="HK148" s="675">
        <v>0</v>
      </c>
      <c r="HL148" s="675">
        <v>86</v>
      </c>
      <c r="HM148" s="675">
        <v>0</v>
      </c>
      <c r="HN148" s="675">
        <v>14116</v>
      </c>
      <c r="HO148" s="675">
        <v>0</v>
      </c>
      <c r="HP148" s="675">
        <v>0</v>
      </c>
      <c r="HQ148" s="675">
        <v>0</v>
      </c>
      <c r="HR148" s="675">
        <v>0</v>
      </c>
      <c r="HS148" s="675">
        <v>16062100</v>
      </c>
      <c r="HT148" s="675">
        <v>333326</v>
      </c>
      <c r="HU148" s="675">
        <v>0</v>
      </c>
      <c r="HV148" s="675">
        <v>0</v>
      </c>
      <c r="HW148" s="675">
        <v>0</v>
      </c>
      <c r="HX148" s="675">
        <v>117</v>
      </c>
      <c r="HY148" s="675">
        <v>237</v>
      </c>
      <c r="HZ148" s="675">
        <v>227</v>
      </c>
      <c r="IA148" s="675">
        <v>405</v>
      </c>
      <c r="IB148" s="675">
        <v>613</v>
      </c>
      <c r="IC148" s="675">
        <v>1599</v>
      </c>
      <c r="ID148" s="675">
        <v>0</v>
      </c>
      <c r="IE148" s="675">
        <v>0</v>
      </c>
      <c r="IF148" s="675">
        <v>0</v>
      </c>
      <c r="IG148" s="675">
        <v>60</v>
      </c>
      <c r="IH148" s="675">
        <v>0</v>
      </c>
      <c r="II148" s="675">
        <v>0</v>
      </c>
      <c r="IJ148" s="675">
        <v>228.09</v>
      </c>
      <c r="IK148" s="675">
        <v>0</v>
      </c>
      <c r="IL148" s="675">
        <v>0</v>
      </c>
      <c r="IM148" s="675">
        <v>0</v>
      </c>
      <c r="IN148" s="675">
        <v>0</v>
      </c>
      <c r="IO148" s="675">
        <v>0</v>
      </c>
      <c r="IP148" s="675">
        <v>0</v>
      </c>
      <c r="IQ148" s="675">
        <v>228.09</v>
      </c>
      <c r="IR148" s="675">
        <v>140503</v>
      </c>
      <c r="IS148" s="675">
        <v>0</v>
      </c>
      <c r="IT148" s="675">
        <v>0</v>
      </c>
      <c r="IU148" s="675">
        <v>0</v>
      </c>
      <c r="IV148" s="675">
        <v>0</v>
      </c>
      <c r="IW148" s="675">
        <v>6160</v>
      </c>
      <c r="IX148" s="675">
        <v>0</v>
      </c>
      <c r="IY148" s="675">
        <v>0</v>
      </c>
      <c r="IZ148" s="675">
        <v>0</v>
      </c>
      <c r="JA148" s="675">
        <v>0</v>
      </c>
      <c r="JB148" s="675">
        <v>0</v>
      </c>
      <c r="JC148" s="675">
        <v>0</v>
      </c>
      <c r="JD148" s="675">
        <v>0</v>
      </c>
      <c r="JE148" s="675">
        <v>0</v>
      </c>
      <c r="JF148" s="675">
        <v>2</v>
      </c>
      <c r="JG148" s="675">
        <v>14116</v>
      </c>
      <c r="JH148" s="675">
        <v>0</v>
      </c>
      <c r="JI148" s="675">
        <v>0</v>
      </c>
      <c r="JJ148" s="675">
        <v>0</v>
      </c>
      <c r="JK148" s="675">
        <v>0</v>
      </c>
      <c r="JL148" s="675">
        <v>0</v>
      </c>
      <c r="JM148" s="675">
        <v>0</v>
      </c>
      <c r="JN148" s="675">
        <v>32469</v>
      </c>
      <c r="JO148" s="675">
        <v>18.542000000000002</v>
      </c>
      <c r="JP148" s="675">
        <v>9.1130000000000013</v>
      </c>
      <c r="JQ148" s="675">
        <v>0.39</v>
      </c>
      <c r="JR148" s="675">
        <v>148138</v>
      </c>
      <c r="JS148" s="675">
        <v>84720</v>
      </c>
      <c r="JT148" s="675">
        <v>4164</v>
      </c>
      <c r="JU148" s="675">
        <v>0</v>
      </c>
      <c r="JV148" s="675">
        <v>0</v>
      </c>
      <c r="JW148" s="675">
        <v>0</v>
      </c>
      <c r="JX148" s="675">
        <v>0</v>
      </c>
      <c r="JY148" s="675">
        <v>0</v>
      </c>
      <c r="JZ148" s="675">
        <v>0</v>
      </c>
      <c r="KA148" s="675">
        <v>0</v>
      </c>
      <c r="KB148" s="675">
        <v>0</v>
      </c>
      <c r="KC148" s="675">
        <v>0</v>
      </c>
      <c r="KD148" s="675">
        <v>0</v>
      </c>
      <c r="KE148" s="675">
        <v>7263</v>
      </c>
      <c r="KF148" s="675">
        <v>1602879</v>
      </c>
      <c r="KG148" s="675">
        <v>0</v>
      </c>
      <c r="KH148" s="675">
        <v>0</v>
      </c>
      <c r="KI148" s="675">
        <v>0</v>
      </c>
    </row>
    <row r="149" spans="1:295" ht="12.5" x14ac:dyDescent="0.25">
      <c r="A149" s="675">
        <v>35795</v>
      </c>
      <c r="B149" s="675">
        <v>101838</v>
      </c>
      <c r="C149" s="675">
        <v>7</v>
      </c>
      <c r="D149" s="675">
        <v>2022</v>
      </c>
      <c r="E149" s="675">
        <v>6160</v>
      </c>
      <c r="F149" s="675">
        <v>0</v>
      </c>
      <c r="G149" s="675">
        <v>1288.6090000000002</v>
      </c>
      <c r="H149" s="675">
        <v>1219.2809999999999</v>
      </c>
      <c r="I149" s="675">
        <v>1219.2809999999999</v>
      </c>
      <c r="J149" s="675">
        <v>1288.6090000000002</v>
      </c>
      <c r="K149" s="675">
        <v>0</v>
      </c>
      <c r="L149" s="675">
        <v>6160</v>
      </c>
      <c r="M149" s="675">
        <v>0</v>
      </c>
      <c r="N149" s="675">
        <v>0</v>
      </c>
      <c r="O149" s="675">
        <v>0</v>
      </c>
      <c r="P149" s="675">
        <v>1446.308</v>
      </c>
      <c r="Q149" s="675">
        <v>0</v>
      </c>
      <c r="R149" s="675">
        <v>582035</v>
      </c>
      <c r="S149" s="675">
        <v>402.428</v>
      </c>
      <c r="T149" s="675">
        <v>0</v>
      </c>
      <c r="U149" s="675">
        <v>309512</v>
      </c>
      <c r="V149" s="675">
        <v>1003.88</v>
      </c>
      <c r="W149" s="675">
        <v>618387</v>
      </c>
      <c r="X149" s="675">
        <v>618387</v>
      </c>
      <c r="Y149" s="675">
        <v>0</v>
      </c>
      <c r="Z149" s="675">
        <v>0</v>
      </c>
      <c r="AA149" s="675">
        <v>0</v>
      </c>
      <c r="AB149" s="675">
        <v>0</v>
      </c>
      <c r="AC149" s="675">
        <v>0</v>
      </c>
      <c r="AD149" s="675" t="s">
        <v>316</v>
      </c>
      <c r="AE149" s="675">
        <v>0</v>
      </c>
      <c r="AF149" s="675">
        <v>0</v>
      </c>
      <c r="AG149" s="675">
        <v>0</v>
      </c>
      <c r="AH149" s="675">
        <v>0</v>
      </c>
      <c r="AI149" s="675">
        <v>0</v>
      </c>
      <c r="AJ149" s="675">
        <v>6160</v>
      </c>
      <c r="AK149" s="675" t="s">
        <v>671</v>
      </c>
      <c r="AL149" s="675" t="s">
        <v>13</v>
      </c>
      <c r="AM149" s="675">
        <v>0</v>
      </c>
      <c r="AN149" s="675">
        <v>0</v>
      </c>
      <c r="AO149" s="675">
        <v>0</v>
      </c>
      <c r="AP149" s="675">
        <v>0</v>
      </c>
      <c r="AQ149" s="675">
        <v>0</v>
      </c>
      <c r="AR149" s="675">
        <v>0</v>
      </c>
      <c r="AS149" s="675">
        <v>0</v>
      </c>
      <c r="AT149" s="675">
        <v>0</v>
      </c>
      <c r="AU149" s="675">
        <v>0</v>
      </c>
      <c r="AV149" s="675">
        <v>-1628</v>
      </c>
      <c r="AW149" s="675">
        <v>15104455</v>
      </c>
      <c r="AX149" s="675">
        <v>14882100</v>
      </c>
      <c r="AY149" s="675">
        <v>11274103</v>
      </c>
      <c r="AZ149" s="675">
        <v>582035</v>
      </c>
      <c r="BA149" s="675">
        <v>0</v>
      </c>
      <c r="BB149" s="675">
        <v>0</v>
      </c>
      <c r="BC149" s="675">
        <v>0</v>
      </c>
      <c r="BD149" s="675">
        <v>0</v>
      </c>
      <c r="BE149" s="675">
        <v>0</v>
      </c>
      <c r="BF149" s="675">
        <v>13686088</v>
      </c>
      <c r="BG149" s="675">
        <v>0</v>
      </c>
      <c r="BH149" s="675">
        <v>0</v>
      </c>
      <c r="BI149" s="675">
        <v>0</v>
      </c>
      <c r="BJ149" s="675">
        <v>12</v>
      </c>
      <c r="BK149" s="675">
        <v>0</v>
      </c>
      <c r="BL149" s="675">
        <v>0</v>
      </c>
      <c r="BM149" s="675">
        <v>0</v>
      </c>
      <c r="BN149" s="675">
        <v>0</v>
      </c>
      <c r="BO149" s="675">
        <v>0</v>
      </c>
      <c r="BP149" s="675">
        <v>0</v>
      </c>
      <c r="BQ149" s="675">
        <v>582</v>
      </c>
      <c r="BR149" s="675">
        <v>0</v>
      </c>
      <c r="BS149" s="675">
        <v>0</v>
      </c>
      <c r="BT149" s="675">
        <v>0</v>
      </c>
      <c r="BU149" s="675">
        <v>0</v>
      </c>
      <c r="BV149" s="675">
        <v>0</v>
      </c>
      <c r="BW149" s="675">
        <v>0</v>
      </c>
      <c r="BX149" s="675">
        <v>0</v>
      </c>
      <c r="BY149" s="675">
        <v>0</v>
      </c>
      <c r="BZ149" s="675">
        <v>0</v>
      </c>
      <c r="CA149" s="675">
        <v>0</v>
      </c>
      <c r="CB149" s="675">
        <v>0</v>
      </c>
      <c r="CC149" s="675">
        <v>0</v>
      </c>
      <c r="CD149" s="675">
        <v>0</v>
      </c>
      <c r="CE149" s="675">
        <v>0</v>
      </c>
      <c r="CF149" s="675">
        <v>0</v>
      </c>
      <c r="CG149" s="675">
        <v>0</v>
      </c>
      <c r="CH149" s="675">
        <v>227511</v>
      </c>
      <c r="CI149" s="675">
        <v>0</v>
      </c>
      <c r="CJ149" s="675">
        <v>4</v>
      </c>
      <c r="CK149" s="675">
        <v>0</v>
      </c>
      <c r="CL149" s="675">
        <v>0</v>
      </c>
      <c r="CM149" s="675">
        <v>0</v>
      </c>
      <c r="CN149" s="675">
        <v>0</v>
      </c>
      <c r="CO149" s="675">
        <v>1</v>
      </c>
      <c r="CP149" s="675">
        <v>0.22700000000000001</v>
      </c>
      <c r="CQ149" s="675">
        <v>0</v>
      </c>
      <c r="CR149" s="675">
        <v>1496.828</v>
      </c>
      <c r="CS149" s="675">
        <v>0</v>
      </c>
      <c r="CT149" s="675">
        <v>0</v>
      </c>
      <c r="CU149" s="675">
        <v>0</v>
      </c>
      <c r="CV149" s="675">
        <v>0</v>
      </c>
      <c r="CW149" s="675">
        <v>0</v>
      </c>
      <c r="CX149" s="675">
        <v>0</v>
      </c>
      <c r="CY149" s="675">
        <v>0</v>
      </c>
      <c r="CZ149" s="675">
        <v>0</v>
      </c>
      <c r="DA149" s="675">
        <v>0</v>
      </c>
      <c r="DB149" s="675">
        <v>7085583</v>
      </c>
      <c r="DC149" s="675">
        <v>0</v>
      </c>
      <c r="DD149" s="675">
        <v>0</v>
      </c>
      <c r="DE149" s="675">
        <v>2183402</v>
      </c>
      <c r="DF149" s="675">
        <v>2206484</v>
      </c>
      <c r="DG149" s="675">
        <v>354.45</v>
      </c>
      <c r="DH149" s="675">
        <v>0</v>
      </c>
      <c r="DI149" s="675">
        <v>3370</v>
      </c>
      <c r="DJ149" s="675">
        <v>0</v>
      </c>
      <c r="DK149" s="675">
        <v>938</v>
      </c>
      <c r="DL149" s="675">
        <v>0</v>
      </c>
      <c r="DM149" s="675">
        <v>1795608</v>
      </c>
      <c r="DN149" s="675">
        <v>5155</v>
      </c>
      <c r="DO149" s="675">
        <v>0</v>
      </c>
      <c r="DP149" s="675">
        <v>0</v>
      </c>
      <c r="DQ149" s="675">
        <v>0</v>
      </c>
      <c r="DR149" s="675">
        <v>0</v>
      </c>
      <c r="DS149" s="675">
        <v>0</v>
      </c>
      <c r="DT149" s="675">
        <v>0</v>
      </c>
      <c r="DU149" s="675">
        <v>0</v>
      </c>
      <c r="DV149" s="675">
        <v>0</v>
      </c>
      <c r="DW149" s="675">
        <v>0</v>
      </c>
      <c r="DX149" s="675">
        <v>0</v>
      </c>
      <c r="DY149" s="675">
        <v>0</v>
      </c>
      <c r="DZ149" s="675">
        <v>0</v>
      </c>
      <c r="EA149" s="675">
        <v>0</v>
      </c>
      <c r="EB149" s="675">
        <v>0</v>
      </c>
      <c r="EC149" s="675">
        <v>40.201000000000001</v>
      </c>
      <c r="ED149" s="675">
        <v>284783</v>
      </c>
      <c r="EE149" s="675">
        <v>0</v>
      </c>
      <c r="EF149" s="675">
        <v>0</v>
      </c>
      <c r="EG149" s="675">
        <v>0</v>
      </c>
      <c r="EH149" s="675">
        <v>576543</v>
      </c>
      <c r="EI149" s="675">
        <v>514284</v>
      </c>
      <c r="EJ149" s="675">
        <v>20.872</v>
      </c>
      <c r="EK149" s="675">
        <v>28.57</v>
      </c>
      <c r="EL149" s="675">
        <v>0</v>
      </c>
      <c r="EM149" s="675">
        <v>0</v>
      </c>
      <c r="EN149" s="675">
        <v>1.5770000000000002</v>
      </c>
      <c r="EO149" s="675">
        <v>0</v>
      </c>
      <c r="EP149" s="675">
        <v>0</v>
      </c>
      <c r="EQ149" s="675">
        <v>51.019000000000005</v>
      </c>
      <c r="ER149" s="675">
        <v>0</v>
      </c>
      <c r="ES149" s="675">
        <v>93.594999999999999</v>
      </c>
      <c r="ET149" s="675">
        <v>0</v>
      </c>
      <c r="EU149" s="675">
        <v>0</v>
      </c>
      <c r="EV149" s="675">
        <v>0</v>
      </c>
      <c r="EW149" s="675">
        <v>0</v>
      </c>
      <c r="EX149" s="675">
        <v>0</v>
      </c>
      <c r="EY149" s="675">
        <v>0</v>
      </c>
      <c r="EZ149" s="675">
        <v>13202010</v>
      </c>
      <c r="FA149" s="675">
        <v>0</v>
      </c>
      <c r="FB149" s="675">
        <v>13778889</v>
      </c>
      <c r="FC149" s="675">
        <v>0</v>
      </c>
      <c r="FD149" s="675">
        <v>0</v>
      </c>
      <c r="FE149" s="675">
        <v>1392155</v>
      </c>
      <c r="FF149" s="675">
        <v>287935</v>
      </c>
      <c r="FG149" s="675">
        <v>6.3574999999999993E-2</v>
      </c>
      <c r="FH149" s="675">
        <v>2.6297999999999998E-2</v>
      </c>
      <c r="FI149" s="675">
        <v>0</v>
      </c>
      <c r="FJ149" s="675">
        <v>0</v>
      </c>
      <c r="FK149" s="675">
        <v>2221.7780000000002</v>
      </c>
      <c r="FL149" s="675">
        <v>15686490</v>
      </c>
      <c r="FM149" s="675">
        <v>0</v>
      </c>
      <c r="FN149" s="675">
        <v>0</v>
      </c>
      <c r="FO149" s="675">
        <v>39014</v>
      </c>
      <c r="FP149" s="675">
        <v>0</v>
      </c>
      <c r="FQ149" s="675">
        <v>39014</v>
      </c>
      <c r="FR149" s="675">
        <v>39014</v>
      </c>
      <c r="FS149" s="675">
        <v>0</v>
      </c>
      <c r="FT149" s="675">
        <v>0</v>
      </c>
      <c r="FU149" s="675">
        <v>0</v>
      </c>
      <c r="FV149" s="675">
        <v>0</v>
      </c>
      <c r="FW149" s="675">
        <v>0</v>
      </c>
      <c r="FX149" s="675">
        <v>0</v>
      </c>
      <c r="FY149" s="675">
        <v>0</v>
      </c>
      <c r="FZ149" s="675">
        <v>0</v>
      </c>
      <c r="GA149" s="675">
        <v>0</v>
      </c>
      <c r="GB149" s="675">
        <v>147680</v>
      </c>
      <c r="GC149" s="675">
        <v>147680</v>
      </c>
      <c r="GD149" s="675">
        <v>18.309000000000001</v>
      </c>
      <c r="GE149" s="675">
        <v>0</v>
      </c>
      <c r="GF149" s="675">
        <v>0</v>
      </c>
      <c r="GG149" s="675">
        <v>0</v>
      </c>
      <c r="GH149" s="675">
        <v>0</v>
      </c>
      <c r="GI149" s="675">
        <v>0</v>
      </c>
      <c r="GJ149" s="675">
        <v>0</v>
      </c>
      <c r="GK149" s="675">
        <v>0</v>
      </c>
      <c r="GL149" s="675">
        <v>0</v>
      </c>
      <c r="GM149" s="675">
        <v>0</v>
      </c>
      <c r="GN149" s="675">
        <v>0</v>
      </c>
      <c r="GO149" s="675">
        <v>0</v>
      </c>
      <c r="GP149" s="675">
        <v>0</v>
      </c>
      <c r="GQ149" s="675">
        <v>0</v>
      </c>
      <c r="GR149" s="675">
        <v>0</v>
      </c>
      <c r="GS149" s="675">
        <v>0</v>
      </c>
      <c r="GT149" s="675">
        <v>0</v>
      </c>
      <c r="GU149" s="675">
        <v>0</v>
      </c>
      <c r="GV149" s="675">
        <v>0</v>
      </c>
      <c r="GW149" s="675">
        <v>0</v>
      </c>
      <c r="GX149" s="675">
        <v>0</v>
      </c>
      <c r="GY149" s="675">
        <v>0</v>
      </c>
      <c r="GZ149" s="675">
        <v>0</v>
      </c>
      <c r="HA149" s="675">
        <v>0</v>
      </c>
      <c r="HB149" s="675">
        <v>308877260</v>
      </c>
      <c r="HC149" s="675">
        <v>4.4138999999999998E-2</v>
      </c>
      <c r="HD149" s="675">
        <v>227511</v>
      </c>
      <c r="HE149" s="675">
        <v>0</v>
      </c>
      <c r="HF149" s="675">
        <v>1344867</v>
      </c>
      <c r="HG149" s="675">
        <v>2464</v>
      </c>
      <c r="HH149" s="675">
        <v>452335</v>
      </c>
      <c r="HI149" s="675">
        <v>0</v>
      </c>
      <c r="HJ149" s="675">
        <v>12525</v>
      </c>
      <c r="HK149" s="675">
        <v>5355</v>
      </c>
      <c r="HL149" s="675">
        <v>3028</v>
      </c>
      <c r="HM149" s="675">
        <v>15000</v>
      </c>
      <c r="HN149" s="675">
        <v>0</v>
      </c>
      <c r="HO149" s="675">
        <v>0</v>
      </c>
      <c r="HP149" s="675">
        <v>46526</v>
      </c>
      <c r="HQ149" s="675">
        <v>0</v>
      </c>
      <c r="HR149" s="675">
        <v>0</v>
      </c>
      <c r="HS149" s="675">
        <v>13196854</v>
      </c>
      <c r="HT149" s="675">
        <v>287935</v>
      </c>
      <c r="HU149" s="675">
        <v>0</v>
      </c>
      <c r="HV149" s="675">
        <v>0</v>
      </c>
      <c r="HW149" s="675">
        <v>0</v>
      </c>
      <c r="HX149" s="675">
        <v>86</v>
      </c>
      <c r="HY149" s="675">
        <v>59</v>
      </c>
      <c r="HZ149" s="675">
        <v>100</v>
      </c>
      <c r="IA149" s="675">
        <v>205</v>
      </c>
      <c r="IB149" s="675">
        <v>881</v>
      </c>
      <c r="IC149" s="675">
        <v>1331</v>
      </c>
      <c r="ID149" s="675">
        <v>16</v>
      </c>
      <c r="IE149" s="675">
        <v>0</v>
      </c>
      <c r="IF149" s="675">
        <v>0</v>
      </c>
      <c r="IG149" s="675">
        <v>4</v>
      </c>
      <c r="IH149" s="675">
        <v>734.31299999999999</v>
      </c>
      <c r="II149" s="675">
        <v>169.184</v>
      </c>
      <c r="IJ149" s="675">
        <v>1003.88</v>
      </c>
      <c r="IK149" s="675">
        <v>14.67</v>
      </c>
      <c r="IL149" s="675">
        <v>3</v>
      </c>
      <c r="IM149" s="675">
        <v>0</v>
      </c>
      <c r="IN149" s="675">
        <v>0</v>
      </c>
      <c r="IO149" s="675">
        <v>3</v>
      </c>
      <c r="IP149" s="675">
        <v>183.85400000000001</v>
      </c>
      <c r="IQ149" s="675">
        <v>1003.88</v>
      </c>
      <c r="IR149" s="675">
        <v>618387</v>
      </c>
      <c r="IS149" s="675">
        <v>4034</v>
      </c>
      <c r="IT149" s="675">
        <v>15000</v>
      </c>
      <c r="IU149" s="675">
        <v>0</v>
      </c>
      <c r="IV149" s="675">
        <v>0</v>
      </c>
      <c r="IW149" s="675">
        <v>6160</v>
      </c>
      <c r="IX149" s="675">
        <v>0</v>
      </c>
      <c r="IY149" s="675">
        <v>0</v>
      </c>
      <c r="IZ149" s="675">
        <v>50560</v>
      </c>
      <c r="JA149" s="675">
        <v>19712</v>
      </c>
      <c r="JB149" s="675">
        <v>0</v>
      </c>
      <c r="JC149" s="675">
        <v>0</v>
      </c>
      <c r="JD149" s="675">
        <v>0</v>
      </c>
      <c r="JE149" s="675">
        <v>0</v>
      </c>
      <c r="JF149" s="675">
        <v>0</v>
      </c>
      <c r="JG149" s="675">
        <v>0</v>
      </c>
      <c r="JH149" s="675">
        <v>0</v>
      </c>
      <c r="JI149" s="675">
        <v>0</v>
      </c>
      <c r="JJ149" s="675">
        <v>0</v>
      </c>
      <c r="JK149" s="675">
        <v>0</v>
      </c>
      <c r="JL149" s="675">
        <v>0</v>
      </c>
      <c r="JM149" s="675">
        <v>0</v>
      </c>
      <c r="JN149" s="675">
        <v>32469</v>
      </c>
      <c r="JO149" s="675">
        <v>17.228000000000002</v>
      </c>
      <c r="JP149" s="675">
        <v>1.08</v>
      </c>
      <c r="JQ149" s="675">
        <v>0</v>
      </c>
      <c r="JR149" s="675">
        <v>137640</v>
      </c>
      <c r="JS149" s="675">
        <v>10040</v>
      </c>
      <c r="JT149" s="675">
        <v>0</v>
      </c>
      <c r="JU149" s="675">
        <v>0</v>
      </c>
      <c r="JV149" s="675">
        <v>0</v>
      </c>
      <c r="JW149" s="675">
        <v>0</v>
      </c>
      <c r="JX149" s="675">
        <v>0</v>
      </c>
      <c r="JY149" s="675">
        <v>0</v>
      </c>
      <c r="JZ149" s="675">
        <v>0</v>
      </c>
      <c r="KA149" s="675">
        <v>0</v>
      </c>
      <c r="KB149" s="675">
        <v>0</v>
      </c>
      <c r="KC149" s="675">
        <v>0</v>
      </c>
      <c r="KD149" s="675">
        <v>0</v>
      </c>
      <c r="KE149" s="675">
        <v>7263</v>
      </c>
      <c r="KF149" s="675">
        <v>0</v>
      </c>
      <c r="KG149" s="675">
        <v>0</v>
      </c>
      <c r="KH149" s="675">
        <v>0</v>
      </c>
      <c r="KI149" s="675">
        <v>0</v>
      </c>
    </row>
    <row r="150" spans="1:295" ht="12.5" x14ac:dyDescent="0.25">
      <c r="A150" s="675">
        <v>35795</v>
      </c>
      <c r="B150" s="675">
        <v>15839</v>
      </c>
      <c r="C150" s="675">
        <v>7</v>
      </c>
      <c r="D150" s="675">
        <v>2022</v>
      </c>
      <c r="E150" s="675">
        <v>6160</v>
      </c>
      <c r="F150" s="675">
        <v>0</v>
      </c>
      <c r="G150" s="675">
        <v>239.97400000000002</v>
      </c>
      <c r="H150" s="675">
        <v>239.97400000000002</v>
      </c>
      <c r="I150" s="675">
        <v>239.97400000000002</v>
      </c>
      <c r="J150" s="675">
        <v>239.97400000000002</v>
      </c>
      <c r="K150" s="675">
        <v>0</v>
      </c>
      <c r="L150" s="675">
        <v>6160</v>
      </c>
      <c r="M150" s="675">
        <v>0</v>
      </c>
      <c r="N150" s="675">
        <v>0</v>
      </c>
      <c r="O150" s="675">
        <v>0</v>
      </c>
      <c r="P150" s="675">
        <v>174.32500000000002</v>
      </c>
      <c r="Q150" s="675">
        <v>0</v>
      </c>
      <c r="R150" s="675">
        <v>70153</v>
      </c>
      <c r="S150" s="675">
        <v>402.428</v>
      </c>
      <c r="T150" s="675">
        <v>0</v>
      </c>
      <c r="U150" s="675">
        <v>37306</v>
      </c>
      <c r="V150" s="675">
        <v>17.102</v>
      </c>
      <c r="W150" s="675">
        <v>10535</v>
      </c>
      <c r="X150" s="675">
        <v>10535</v>
      </c>
      <c r="Y150" s="675">
        <v>0</v>
      </c>
      <c r="Z150" s="675">
        <v>0</v>
      </c>
      <c r="AA150" s="675">
        <v>0</v>
      </c>
      <c r="AB150" s="675">
        <v>0</v>
      </c>
      <c r="AC150" s="675">
        <v>0</v>
      </c>
      <c r="AD150" s="675" t="s">
        <v>316</v>
      </c>
      <c r="AE150" s="675">
        <v>0</v>
      </c>
      <c r="AF150" s="675">
        <v>0</v>
      </c>
      <c r="AG150" s="675">
        <v>0</v>
      </c>
      <c r="AH150" s="675">
        <v>0</v>
      </c>
      <c r="AI150" s="675">
        <v>0</v>
      </c>
      <c r="AJ150" s="675">
        <v>6160</v>
      </c>
      <c r="AK150" s="675" t="s">
        <v>671</v>
      </c>
      <c r="AL150" s="675" t="s">
        <v>462</v>
      </c>
      <c r="AM150" s="675">
        <v>0</v>
      </c>
      <c r="AN150" s="675">
        <v>0</v>
      </c>
      <c r="AO150" s="675">
        <v>0</v>
      </c>
      <c r="AP150" s="675">
        <v>0</v>
      </c>
      <c r="AQ150" s="675">
        <v>0</v>
      </c>
      <c r="AR150" s="675">
        <v>0</v>
      </c>
      <c r="AS150" s="675">
        <v>0</v>
      </c>
      <c r="AT150" s="675">
        <v>0</v>
      </c>
      <c r="AU150" s="675">
        <v>0</v>
      </c>
      <c r="AV150" s="675">
        <v>-328682</v>
      </c>
      <c r="AW150" s="675">
        <v>3037590</v>
      </c>
      <c r="AX150" s="675">
        <v>2564556</v>
      </c>
      <c r="AY150" s="675">
        <v>1736102</v>
      </c>
      <c r="AZ150" s="675">
        <v>70153</v>
      </c>
      <c r="BA150" s="675">
        <v>0</v>
      </c>
      <c r="BB150" s="675">
        <v>0</v>
      </c>
      <c r="BC150" s="675">
        <v>0</v>
      </c>
      <c r="BD150" s="675">
        <v>0</v>
      </c>
      <c r="BE150" s="675">
        <v>0</v>
      </c>
      <c r="BF150" s="675">
        <v>2235152</v>
      </c>
      <c r="BG150" s="675">
        <v>0</v>
      </c>
      <c r="BH150" s="675">
        <v>0</v>
      </c>
      <c r="BI150" s="675">
        <v>0</v>
      </c>
      <c r="BJ150" s="675">
        <v>12</v>
      </c>
      <c r="BK150" s="675">
        <v>0</v>
      </c>
      <c r="BL150" s="675">
        <v>0</v>
      </c>
      <c r="BM150" s="675">
        <v>0</v>
      </c>
      <c r="BN150" s="675">
        <v>0</v>
      </c>
      <c r="BO150" s="675">
        <v>0</v>
      </c>
      <c r="BP150" s="675">
        <v>0</v>
      </c>
      <c r="BQ150" s="675">
        <v>733</v>
      </c>
      <c r="BR150" s="675">
        <v>0</v>
      </c>
      <c r="BS150" s="675">
        <v>0</v>
      </c>
      <c r="BT150" s="675">
        <v>0</v>
      </c>
      <c r="BU150" s="675">
        <v>0</v>
      </c>
      <c r="BV150" s="675">
        <v>0</v>
      </c>
      <c r="BW150" s="675">
        <v>0</v>
      </c>
      <c r="BX150" s="675">
        <v>0</v>
      </c>
      <c r="BY150" s="675">
        <v>0</v>
      </c>
      <c r="BZ150" s="675">
        <v>0</v>
      </c>
      <c r="CA150" s="675">
        <v>108.25</v>
      </c>
      <c r="CB150" s="675">
        <v>92313</v>
      </c>
      <c r="CC150" s="675">
        <v>0</v>
      </c>
      <c r="CD150" s="675">
        <v>0</v>
      </c>
      <c r="CE150" s="675">
        <v>0</v>
      </c>
      <c r="CF150" s="675">
        <v>0</v>
      </c>
      <c r="CG150" s="675">
        <v>0</v>
      </c>
      <c r="CH150" s="675">
        <v>473034</v>
      </c>
      <c r="CI150" s="675">
        <v>0</v>
      </c>
      <c r="CJ150" s="675">
        <v>4</v>
      </c>
      <c r="CK150" s="675">
        <v>0</v>
      </c>
      <c r="CL150" s="675">
        <v>0</v>
      </c>
      <c r="CM150" s="675">
        <v>0</v>
      </c>
      <c r="CN150" s="675">
        <v>0</v>
      </c>
      <c r="CO150" s="675">
        <v>1</v>
      </c>
      <c r="CP150" s="675">
        <v>0</v>
      </c>
      <c r="CQ150" s="675">
        <v>0</v>
      </c>
      <c r="CR150" s="675">
        <v>171.39500000000001</v>
      </c>
      <c r="CS150" s="675">
        <v>0</v>
      </c>
      <c r="CT150" s="675">
        <v>0</v>
      </c>
      <c r="CU150" s="675">
        <v>0</v>
      </c>
      <c r="CV150" s="675">
        <v>0</v>
      </c>
      <c r="CW150" s="675">
        <v>0</v>
      </c>
      <c r="CX150" s="675">
        <v>0</v>
      </c>
      <c r="CY150" s="675">
        <v>0</v>
      </c>
      <c r="CZ150" s="675">
        <v>0</v>
      </c>
      <c r="DA150" s="675">
        <v>0</v>
      </c>
      <c r="DB150" s="675">
        <v>1478233</v>
      </c>
      <c r="DC150" s="675">
        <v>0</v>
      </c>
      <c r="DD150" s="675">
        <v>0</v>
      </c>
      <c r="DE150" s="675">
        <v>341801</v>
      </c>
      <c r="DF150" s="675">
        <v>341801</v>
      </c>
      <c r="DG150" s="675">
        <v>55.488</v>
      </c>
      <c r="DH150" s="675">
        <v>0</v>
      </c>
      <c r="DI150" s="675">
        <v>0</v>
      </c>
      <c r="DJ150" s="675">
        <v>0</v>
      </c>
      <c r="DK150" s="675">
        <v>3351</v>
      </c>
      <c r="DL150" s="675">
        <v>0</v>
      </c>
      <c r="DM150" s="675">
        <v>0</v>
      </c>
      <c r="DN150" s="675">
        <v>0</v>
      </c>
      <c r="DO150" s="675">
        <v>0</v>
      </c>
      <c r="DP150" s="675">
        <v>0</v>
      </c>
      <c r="DQ150" s="675">
        <v>0</v>
      </c>
      <c r="DR150" s="675">
        <v>0</v>
      </c>
      <c r="DS150" s="675">
        <v>0</v>
      </c>
      <c r="DT150" s="675">
        <v>0</v>
      </c>
      <c r="DU150" s="675">
        <v>0</v>
      </c>
      <c r="DV150" s="675">
        <v>0</v>
      </c>
      <c r="DW150" s="675">
        <v>0</v>
      </c>
      <c r="DX150" s="675">
        <v>0</v>
      </c>
      <c r="DY150" s="675">
        <v>0</v>
      </c>
      <c r="DZ150" s="675">
        <v>0</v>
      </c>
      <c r="EA150" s="675">
        <v>0</v>
      </c>
      <c r="EB150" s="675">
        <v>0</v>
      </c>
      <c r="EC150" s="675">
        <v>0</v>
      </c>
      <c r="ED150" s="675">
        <v>0</v>
      </c>
      <c r="EE150" s="675">
        <v>0</v>
      </c>
      <c r="EF150" s="675">
        <v>0</v>
      </c>
      <c r="EG150" s="675">
        <v>0</v>
      </c>
      <c r="EH150" s="675">
        <v>0</v>
      </c>
      <c r="EI150" s="675">
        <v>0</v>
      </c>
      <c r="EJ150" s="675">
        <v>0</v>
      </c>
      <c r="EK150" s="675">
        <v>0</v>
      </c>
      <c r="EL150" s="675">
        <v>0</v>
      </c>
      <c r="EM150" s="675">
        <v>0</v>
      </c>
      <c r="EN150" s="675">
        <v>0</v>
      </c>
      <c r="EO150" s="675">
        <v>0</v>
      </c>
      <c r="EP150" s="675">
        <v>0</v>
      </c>
      <c r="EQ150" s="675">
        <v>0</v>
      </c>
      <c r="ER150" s="675">
        <v>0</v>
      </c>
      <c r="ES150" s="675">
        <v>0</v>
      </c>
      <c r="ET150" s="675">
        <v>0</v>
      </c>
      <c r="EU150" s="675">
        <v>0</v>
      </c>
      <c r="EV150" s="675">
        <v>0</v>
      </c>
      <c r="EW150" s="675">
        <v>0</v>
      </c>
      <c r="EX150" s="675">
        <v>0</v>
      </c>
      <c r="EY150" s="675">
        <v>0</v>
      </c>
      <c r="EZ150" s="675">
        <v>2290171</v>
      </c>
      <c r="FA150" s="675">
        <v>0</v>
      </c>
      <c r="FB150" s="675">
        <v>2360324</v>
      </c>
      <c r="FC150" s="675">
        <v>0</v>
      </c>
      <c r="FD150" s="675">
        <v>0</v>
      </c>
      <c r="FE150" s="675">
        <v>227361</v>
      </c>
      <c r="FF150" s="675">
        <v>47024</v>
      </c>
      <c r="FG150" s="675">
        <v>6.3574999999999993E-2</v>
      </c>
      <c r="FH150" s="675">
        <v>2.6297999999999998E-2</v>
      </c>
      <c r="FI150" s="675">
        <v>0</v>
      </c>
      <c r="FJ150" s="675">
        <v>0</v>
      </c>
      <c r="FK150" s="675">
        <v>362.851</v>
      </c>
      <c r="FL150" s="675">
        <v>3107743</v>
      </c>
      <c r="FM150" s="675">
        <v>0</v>
      </c>
      <c r="FN150" s="675">
        <v>0</v>
      </c>
      <c r="FO150" s="675">
        <v>32859</v>
      </c>
      <c r="FP150" s="675">
        <v>0</v>
      </c>
      <c r="FQ150" s="675">
        <v>32859</v>
      </c>
      <c r="FR150" s="675">
        <v>32859</v>
      </c>
      <c r="FS150" s="675">
        <v>0</v>
      </c>
      <c r="FT150" s="675">
        <v>0</v>
      </c>
      <c r="FU150" s="675">
        <v>0</v>
      </c>
      <c r="FV150" s="675">
        <v>0</v>
      </c>
      <c r="FW150" s="675">
        <v>0</v>
      </c>
      <c r="FX150" s="675">
        <v>0</v>
      </c>
      <c r="FY150" s="675">
        <v>0</v>
      </c>
      <c r="FZ150" s="675">
        <v>0</v>
      </c>
      <c r="GA150" s="675">
        <v>0</v>
      </c>
      <c r="GB150" s="675">
        <v>0</v>
      </c>
      <c r="GC150" s="675">
        <v>0</v>
      </c>
      <c r="GD150" s="675">
        <v>0</v>
      </c>
      <c r="GE150" s="675">
        <v>0</v>
      </c>
      <c r="GF150" s="675">
        <v>0</v>
      </c>
      <c r="GG150" s="675">
        <v>0</v>
      </c>
      <c r="GH150" s="675">
        <v>0</v>
      </c>
      <c r="GI150" s="675">
        <v>0</v>
      </c>
      <c r="GJ150" s="675">
        <v>0</v>
      </c>
      <c r="GK150" s="675">
        <v>0</v>
      </c>
      <c r="GL150" s="675">
        <v>0</v>
      </c>
      <c r="GM150" s="675">
        <v>0</v>
      </c>
      <c r="GN150" s="675">
        <v>0</v>
      </c>
      <c r="GO150" s="675">
        <v>0</v>
      </c>
      <c r="GP150" s="675">
        <v>0</v>
      </c>
      <c r="GQ150" s="675">
        <v>0</v>
      </c>
      <c r="GR150" s="675">
        <v>0</v>
      </c>
      <c r="GS150" s="675">
        <v>0</v>
      </c>
      <c r="GT150" s="675">
        <v>0</v>
      </c>
      <c r="GU150" s="675">
        <v>0</v>
      </c>
      <c r="GV150" s="675">
        <v>0</v>
      </c>
      <c r="GW150" s="675">
        <v>0</v>
      </c>
      <c r="GX150" s="675">
        <v>0</v>
      </c>
      <c r="GY150" s="675">
        <v>0</v>
      </c>
      <c r="GZ150" s="675">
        <v>0</v>
      </c>
      <c r="HA150" s="675">
        <v>0</v>
      </c>
      <c r="HB150" s="675">
        <v>0</v>
      </c>
      <c r="HC150" s="675">
        <v>4.4138999999999998E-2</v>
      </c>
      <c r="HD150" s="675">
        <v>0</v>
      </c>
      <c r="HE150" s="675">
        <v>0</v>
      </c>
      <c r="HF150" s="675">
        <v>264691</v>
      </c>
      <c r="HG150" s="675">
        <v>9240</v>
      </c>
      <c r="HH150" s="675">
        <v>128319</v>
      </c>
      <c r="HI150" s="675">
        <v>0</v>
      </c>
      <c r="HJ150" s="675">
        <v>2333</v>
      </c>
      <c r="HK150" s="675">
        <v>0</v>
      </c>
      <c r="HL150" s="675">
        <v>0</v>
      </c>
      <c r="HM150" s="675">
        <v>0</v>
      </c>
      <c r="HN150" s="675">
        <v>0</v>
      </c>
      <c r="HO150" s="675">
        <v>0</v>
      </c>
      <c r="HP150" s="675">
        <v>0</v>
      </c>
      <c r="HQ150" s="675">
        <v>0</v>
      </c>
      <c r="HR150" s="675">
        <v>0</v>
      </c>
      <c r="HS150" s="675">
        <v>2290171</v>
      </c>
      <c r="HT150" s="675">
        <v>47024</v>
      </c>
      <c r="HU150" s="675">
        <v>0</v>
      </c>
      <c r="HV150" s="675">
        <v>0</v>
      </c>
      <c r="HW150" s="675">
        <v>0</v>
      </c>
      <c r="HX150" s="675">
        <v>15</v>
      </c>
      <c r="HY150" s="675">
        <v>26</v>
      </c>
      <c r="HZ150" s="675">
        <v>23</v>
      </c>
      <c r="IA150" s="675">
        <v>41</v>
      </c>
      <c r="IB150" s="675">
        <v>107</v>
      </c>
      <c r="IC150" s="675">
        <v>212</v>
      </c>
      <c r="ID150" s="675">
        <v>0</v>
      </c>
      <c r="IE150" s="675">
        <v>0</v>
      </c>
      <c r="IF150" s="675">
        <v>0</v>
      </c>
      <c r="IG150" s="675">
        <v>15</v>
      </c>
      <c r="IH150" s="675">
        <v>208.31100000000001</v>
      </c>
      <c r="II150" s="675">
        <v>0</v>
      </c>
      <c r="IJ150" s="675">
        <v>17.102</v>
      </c>
      <c r="IK150" s="675">
        <v>0</v>
      </c>
      <c r="IL150" s="675">
        <v>0</v>
      </c>
      <c r="IM150" s="675">
        <v>0</v>
      </c>
      <c r="IN150" s="675">
        <v>0</v>
      </c>
      <c r="IO150" s="675">
        <v>0</v>
      </c>
      <c r="IP150" s="675">
        <v>0</v>
      </c>
      <c r="IQ150" s="675">
        <v>17.102</v>
      </c>
      <c r="IR150" s="675">
        <v>10535</v>
      </c>
      <c r="IS150" s="675">
        <v>0</v>
      </c>
      <c r="IT150" s="675">
        <v>0</v>
      </c>
      <c r="IU150" s="675">
        <v>0</v>
      </c>
      <c r="IV150" s="675">
        <v>0</v>
      </c>
      <c r="IW150" s="675">
        <v>6160</v>
      </c>
      <c r="IX150" s="675">
        <v>0</v>
      </c>
      <c r="IY150" s="675">
        <v>0</v>
      </c>
      <c r="IZ150" s="675">
        <v>0</v>
      </c>
      <c r="JA150" s="675">
        <v>0</v>
      </c>
      <c r="JB150" s="675">
        <v>0</v>
      </c>
      <c r="JC150" s="675">
        <v>0</v>
      </c>
      <c r="JD150" s="675">
        <v>0</v>
      </c>
      <c r="JE150" s="675">
        <v>0</v>
      </c>
      <c r="JF150" s="675">
        <v>0</v>
      </c>
      <c r="JG150" s="675">
        <v>0</v>
      </c>
      <c r="JH150" s="675">
        <v>0</v>
      </c>
      <c r="JI150" s="675">
        <v>0</v>
      </c>
      <c r="JJ150" s="675">
        <v>0</v>
      </c>
      <c r="JK150" s="675">
        <v>0</v>
      </c>
      <c r="JL150" s="675">
        <v>0</v>
      </c>
      <c r="JM150" s="675">
        <v>0</v>
      </c>
      <c r="JN150" s="675">
        <v>29136</v>
      </c>
      <c r="JO150" s="675">
        <v>0</v>
      </c>
      <c r="JP150" s="675">
        <v>0</v>
      </c>
      <c r="JQ150" s="675">
        <v>0</v>
      </c>
      <c r="JR150" s="675">
        <v>0</v>
      </c>
      <c r="JS150" s="675">
        <v>0</v>
      </c>
      <c r="JT150" s="675">
        <v>0</v>
      </c>
      <c r="JU150" s="675">
        <v>0</v>
      </c>
      <c r="JV150" s="675">
        <v>0</v>
      </c>
      <c r="JW150" s="675">
        <v>0</v>
      </c>
      <c r="JX150" s="675">
        <v>0</v>
      </c>
      <c r="JY150" s="675">
        <v>0</v>
      </c>
      <c r="JZ150" s="675">
        <v>0</v>
      </c>
      <c r="KA150" s="675">
        <v>0</v>
      </c>
      <c r="KB150" s="675">
        <v>0</v>
      </c>
      <c r="KC150" s="675">
        <v>0</v>
      </c>
      <c r="KD150" s="675">
        <v>0</v>
      </c>
      <c r="KE150" s="675">
        <v>7263</v>
      </c>
      <c r="KF150" s="675">
        <v>473034</v>
      </c>
      <c r="KG150" s="675">
        <v>0</v>
      </c>
      <c r="KH150" s="675">
        <v>0</v>
      </c>
      <c r="KI150" s="675">
        <v>0</v>
      </c>
    </row>
    <row r="151" spans="1:295" ht="12.5" x14ac:dyDescent="0.25">
      <c r="A151" s="675">
        <v>35795</v>
      </c>
      <c r="B151" s="675">
        <v>57839</v>
      </c>
      <c r="C151" s="675">
        <v>7</v>
      </c>
      <c r="D151" s="675">
        <v>2022</v>
      </c>
      <c r="E151" s="675">
        <v>6160</v>
      </c>
      <c r="F151" s="675">
        <v>0</v>
      </c>
      <c r="G151" s="675">
        <v>827.23</v>
      </c>
      <c r="H151" s="675">
        <v>819.28500000000008</v>
      </c>
      <c r="I151" s="675">
        <v>819.28500000000008</v>
      </c>
      <c r="J151" s="675">
        <v>827.23</v>
      </c>
      <c r="K151" s="675">
        <v>0</v>
      </c>
      <c r="L151" s="675">
        <v>6160</v>
      </c>
      <c r="M151" s="675">
        <v>0</v>
      </c>
      <c r="N151" s="675">
        <v>0</v>
      </c>
      <c r="O151" s="675">
        <v>0</v>
      </c>
      <c r="P151" s="675">
        <v>859.19100000000003</v>
      </c>
      <c r="Q151" s="675">
        <v>0</v>
      </c>
      <c r="R151" s="675">
        <v>345763</v>
      </c>
      <c r="S151" s="675">
        <v>402.428</v>
      </c>
      <c r="T151" s="675">
        <v>0</v>
      </c>
      <c r="U151" s="675">
        <v>183868</v>
      </c>
      <c r="V151" s="675">
        <v>549.61200000000008</v>
      </c>
      <c r="W151" s="675">
        <v>338559</v>
      </c>
      <c r="X151" s="675">
        <v>338559</v>
      </c>
      <c r="Y151" s="675">
        <v>0</v>
      </c>
      <c r="Z151" s="675">
        <v>0</v>
      </c>
      <c r="AA151" s="675">
        <v>0</v>
      </c>
      <c r="AB151" s="675">
        <v>0</v>
      </c>
      <c r="AC151" s="675">
        <v>0</v>
      </c>
      <c r="AD151" s="675" t="s">
        <v>316</v>
      </c>
      <c r="AE151" s="675">
        <v>0</v>
      </c>
      <c r="AF151" s="675">
        <v>0</v>
      </c>
      <c r="AG151" s="675">
        <v>0</v>
      </c>
      <c r="AH151" s="675">
        <v>0</v>
      </c>
      <c r="AI151" s="675">
        <v>0</v>
      </c>
      <c r="AJ151" s="675">
        <v>6160</v>
      </c>
      <c r="AK151" s="675" t="s">
        <v>671</v>
      </c>
      <c r="AL151" s="675" t="s">
        <v>59</v>
      </c>
      <c r="AM151" s="675">
        <v>0</v>
      </c>
      <c r="AN151" s="675">
        <v>0</v>
      </c>
      <c r="AO151" s="675">
        <v>0</v>
      </c>
      <c r="AP151" s="675">
        <v>0</v>
      </c>
      <c r="AQ151" s="675">
        <v>0</v>
      </c>
      <c r="AR151" s="675">
        <v>0</v>
      </c>
      <c r="AS151" s="675">
        <v>0</v>
      </c>
      <c r="AT151" s="675">
        <v>0</v>
      </c>
      <c r="AU151" s="675">
        <v>0</v>
      </c>
      <c r="AV151" s="675">
        <v>-6751</v>
      </c>
      <c r="AW151" s="675">
        <v>9664547</v>
      </c>
      <c r="AX151" s="675">
        <v>9521096</v>
      </c>
      <c r="AY151" s="675">
        <v>6596766</v>
      </c>
      <c r="AZ151" s="675">
        <v>345763</v>
      </c>
      <c r="BA151" s="675">
        <v>0</v>
      </c>
      <c r="BB151" s="675">
        <v>12505</v>
      </c>
      <c r="BC151" s="675">
        <v>12424</v>
      </c>
      <c r="BD151" s="675">
        <v>29</v>
      </c>
      <c r="BE151" s="675">
        <v>81</v>
      </c>
      <c r="BF151" s="675">
        <v>8788047</v>
      </c>
      <c r="BG151" s="675">
        <v>0</v>
      </c>
      <c r="BH151" s="675">
        <v>0</v>
      </c>
      <c r="BI151" s="675">
        <v>0</v>
      </c>
      <c r="BJ151" s="675">
        <v>12</v>
      </c>
      <c r="BK151" s="675">
        <v>0</v>
      </c>
      <c r="BL151" s="675">
        <v>0</v>
      </c>
      <c r="BM151" s="675">
        <v>0</v>
      </c>
      <c r="BN151" s="675">
        <v>0</v>
      </c>
      <c r="BO151" s="675">
        <v>0</v>
      </c>
      <c r="BP151" s="675">
        <v>0</v>
      </c>
      <c r="BQ151" s="675">
        <v>644</v>
      </c>
      <c r="BR151" s="675">
        <v>0</v>
      </c>
      <c r="BS151" s="675">
        <v>0</v>
      </c>
      <c r="BT151" s="675">
        <v>0</v>
      </c>
      <c r="BU151" s="675">
        <v>0</v>
      </c>
      <c r="BV151" s="675">
        <v>0</v>
      </c>
      <c r="BW151" s="675">
        <v>0</v>
      </c>
      <c r="BX151" s="675">
        <v>0</v>
      </c>
      <c r="BY151" s="675">
        <v>0</v>
      </c>
      <c r="BZ151" s="675">
        <v>0</v>
      </c>
      <c r="CA151" s="675">
        <v>0</v>
      </c>
      <c r="CB151" s="675">
        <v>0</v>
      </c>
      <c r="CC151" s="675">
        <v>0</v>
      </c>
      <c r="CD151" s="675">
        <v>0</v>
      </c>
      <c r="CE151" s="675">
        <v>0</v>
      </c>
      <c r="CF151" s="675">
        <v>0</v>
      </c>
      <c r="CG151" s="675">
        <v>0</v>
      </c>
      <c r="CH151" s="675">
        <v>146052</v>
      </c>
      <c r="CI151" s="675">
        <v>0</v>
      </c>
      <c r="CJ151" s="675">
        <v>4</v>
      </c>
      <c r="CK151" s="675">
        <v>0</v>
      </c>
      <c r="CL151" s="675">
        <v>0</v>
      </c>
      <c r="CM151" s="675">
        <v>0</v>
      </c>
      <c r="CN151" s="675">
        <v>0</v>
      </c>
      <c r="CO151" s="675">
        <v>1</v>
      </c>
      <c r="CP151" s="675">
        <v>0</v>
      </c>
      <c r="CQ151" s="675">
        <v>0</v>
      </c>
      <c r="CR151" s="675">
        <v>880.76300000000003</v>
      </c>
      <c r="CS151" s="675">
        <v>0</v>
      </c>
      <c r="CT151" s="675">
        <v>0</v>
      </c>
      <c r="CU151" s="675">
        <v>0</v>
      </c>
      <c r="CV151" s="675">
        <v>0</v>
      </c>
      <c r="CW151" s="675">
        <v>0</v>
      </c>
      <c r="CX151" s="675">
        <v>0</v>
      </c>
      <c r="CY151" s="675">
        <v>0</v>
      </c>
      <c r="CZ151" s="675">
        <v>0</v>
      </c>
      <c r="DA151" s="675">
        <v>0</v>
      </c>
      <c r="DB151" s="675">
        <v>5046772</v>
      </c>
      <c r="DC151" s="675">
        <v>0</v>
      </c>
      <c r="DD151" s="675">
        <v>0</v>
      </c>
      <c r="DE151" s="675">
        <v>1406475</v>
      </c>
      <c r="DF151" s="675">
        <v>1406475</v>
      </c>
      <c r="DG151" s="675">
        <v>228.32500000000002</v>
      </c>
      <c r="DH151" s="675">
        <v>0</v>
      </c>
      <c r="DI151" s="675">
        <v>0</v>
      </c>
      <c r="DJ151" s="675">
        <v>0</v>
      </c>
      <c r="DK151" s="675">
        <v>1924</v>
      </c>
      <c r="DL151" s="675">
        <v>0</v>
      </c>
      <c r="DM151" s="675">
        <v>669895</v>
      </c>
      <c r="DN151" s="675">
        <v>2520</v>
      </c>
      <c r="DO151" s="675">
        <v>0</v>
      </c>
      <c r="DP151" s="675">
        <v>0</v>
      </c>
      <c r="DQ151" s="675">
        <v>0</v>
      </c>
      <c r="DR151" s="675">
        <v>0</v>
      </c>
      <c r="DS151" s="675">
        <v>0</v>
      </c>
      <c r="DT151" s="675">
        <v>0</v>
      </c>
      <c r="DU151" s="675">
        <v>0</v>
      </c>
      <c r="DV151" s="675">
        <v>0</v>
      </c>
      <c r="DW151" s="675">
        <v>0</v>
      </c>
      <c r="DX151" s="675">
        <v>0</v>
      </c>
      <c r="DY151" s="675">
        <v>0</v>
      </c>
      <c r="DZ151" s="675">
        <v>0</v>
      </c>
      <c r="EA151" s="675">
        <v>0</v>
      </c>
      <c r="EB151" s="675">
        <v>0</v>
      </c>
      <c r="EC151" s="675">
        <v>68.972000000000008</v>
      </c>
      <c r="ED151" s="675">
        <v>488595</v>
      </c>
      <c r="EE151" s="675">
        <v>0</v>
      </c>
      <c r="EF151" s="675">
        <v>0</v>
      </c>
      <c r="EG151" s="675">
        <v>0</v>
      </c>
      <c r="EH151" s="675">
        <v>183820</v>
      </c>
      <c r="EI151" s="675">
        <v>0</v>
      </c>
      <c r="EJ151" s="675">
        <v>0</v>
      </c>
      <c r="EK151" s="675">
        <v>4.9420000000000002</v>
      </c>
      <c r="EL151" s="675">
        <v>0</v>
      </c>
      <c r="EM151" s="675">
        <v>0</v>
      </c>
      <c r="EN151" s="675">
        <v>3.0030000000000001</v>
      </c>
      <c r="EO151" s="675">
        <v>0</v>
      </c>
      <c r="EP151" s="675">
        <v>0</v>
      </c>
      <c r="EQ151" s="675">
        <v>7.9450000000000003</v>
      </c>
      <c r="ER151" s="675">
        <v>0</v>
      </c>
      <c r="ES151" s="675">
        <v>29.841000000000001</v>
      </c>
      <c r="ET151" s="675">
        <v>0</v>
      </c>
      <c r="EU151" s="675">
        <v>0</v>
      </c>
      <c r="EV151" s="675">
        <v>0</v>
      </c>
      <c r="EW151" s="675">
        <v>0</v>
      </c>
      <c r="EX151" s="675">
        <v>0</v>
      </c>
      <c r="EY151" s="675">
        <v>0</v>
      </c>
      <c r="EZ151" s="675">
        <v>8442284</v>
      </c>
      <c r="FA151" s="675">
        <v>0</v>
      </c>
      <c r="FB151" s="675">
        <v>8785446</v>
      </c>
      <c r="FC151" s="675">
        <v>0</v>
      </c>
      <c r="FD151" s="675">
        <v>0</v>
      </c>
      <c r="FE151" s="675">
        <v>893925</v>
      </c>
      <c r="FF151" s="675">
        <v>184887</v>
      </c>
      <c r="FG151" s="675">
        <v>6.3574999999999993E-2</v>
      </c>
      <c r="FH151" s="675">
        <v>2.6297999999999998E-2</v>
      </c>
      <c r="FI151" s="675">
        <v>0</v>
      </c>
      <c r="FJ151" s="675">
        <v>0</v>
      </c>
      <c r="FK151" s="675">
        <v>1426.6380000000001</v>
      </c>
      <c r="FL151" s="675">
        <v>10010310</v>
      </c>
      <c r="FM151" s="675">
        <v>0</v>
      </c>
      <c r="FN151" s="675">
        <v>0</v>
      </c>
      <c r="FO151" s="675">
        <v>0</v>
      </c>
      <c r="FP151" s="675">
        <v>0</v>
      </c>
      <c r="FQ151" s="675">
        <v>0</v>
      </c>
      <c r="FR151" s="675">
        <v>0</v>
      </c>
      <c r="FS151" s="675">
        <v>0</v>
      </c>
      <c r="FT151" s="675">
        <v>0</v>
      </c>
      <c r="FU151" s="675">
        <v>0</v>
      </c>
      <c r="FV151" s="675">
        <v>0</v>
      </c>
      <c r="FW151" s="675">
        <v>0</v>
      </c>
      <c r="FX151" s="675">
        <v>0</v>
      </c>
      <c r="FY151" s="675">
        <v>0</v>
      </c>
      <c r="FZ151" s="675">
        <v>0</v>
      </c>
      <c r="GA151" s="675">
        <v>0</v>
      </c>
      <c r="GB151" s="675">
        <v>0</v>
      </c>
      <c r="GC151" s="675">
        <v>0</v>
      </c>
      <c r="GD151" s="675">
        <v>0</v>
      </c>
      <c r="GE151" s="675">
        <v>0</v>
      </c>
      <c r="GF151" s="675">
        <v>0</v>
      </c>
      <c r="GG151" s="675">
        <v>0</v>
      </c>
      <c r="GH151" s="675">
        <v>0</v>
      </c>
      <c r="GI151" s="675">
        <v>0</v>
      </c>
      <c r="GJ151" s="675">
        <v>0</v>
      </c>
      <c r="GK151" s="675">
        <v>0</v>
      </c>
      <c r="GL151" s="675">
        <v>0</v>
      </c>
      <c r="GM151" s="675">
        <v>0</v>
      </c>
      <c r="GN151" s="675">
        <v>0</v>
      </c>
      <c r="GO151" s="675">
        <v>0</v>
      </c>
      <c r="GP151" s="675">
        <v>0</v>
      </c>
      <c r="GQ151" s="675">
        <v>0</v>
      </c>
      <c r="GR151" s="675">
        <v>0</v>
      </c>
      <c r="GS151" s="675">
        <v>0</v>
      </c>
      <c r="GT151" s="675">
        <v>0</v>
      </c>
      <c r="GU151" s="675">
        <v>0</v>
      </c>
      <c r="GV151" s="675">
        <v>0</v>
      </c>
      <c r="GW151" s="675">
        <v>0</v>
      </c>
      <c r="GX151" s="675">
        <v>0</v>
      </c>
      <c r="GY151" s="675">
        <v>0</v>
      </c>
      <c r="GZ151" s="675">
        <v>0</v>
      </c>
      <c r="HA151" s="675">
        <v>0</v>
      </c>
      <c r="HB151" s="675">
        <v>308877260</v>
      </c>
      <c r="HC151" s="675">
        <v>4.4138999999999998E-2</v>
      </c>
      <c r="HD151" s="675">
        <v>146052</v>
      </c>
      <c r="HE151" s="675">
        <v>0</v>
      </c>
      <c r="HF151" s="675">
        <v>903671</v>
      </c>
      <c r="HG151" s="675">
        <v>1283</v>
      </c>
      <c r="HH151" s="675">
        <v>333487</v>
      </c>
      <c r="HI151" s="675">
        <v>0</v>
      </c>
      <c r="HJ151" s="675">
        <v>8041</v>
      </c>
      <c r="HK151" s="675">
        <v>0</v>
      </c>
      <c r="HL151" s="675">
        <v>0</v>
      </c>
      <c r="HM151" s="675">
        <v>0</v>
      </c>
      <c r="HN151" s="675">
        <v>64839</v>
      </c>
      <c r="HO151" s="675">
        <v>0</v>
      </c>
      <c r="HP151" s="675">
        <v>0</v>
      </c>
      <c r="HQ151" s="675">
        <v>0</v>
      </c>
      <c r="HR151" s="675">
        <v>0</v>
      </c>
      <c r="HS151" s="675">
        <v>8439683</v>
      </c>
      <c r="HT151" s="675">
        <v>184887</v>
      </c>
      <c r="HU151" s="675">
        <v>0</v>
      </c>
      <c r="HV151" s="675">
        <v>0</v>
      </c>
      <c r="HW151" s="675">
        <v>0</v>
      </c>
      <c r="HX151" s="675">
        <v>52</v>
      </c>
      <c r="HY151" s="675">
        <v>77</v>
      </c>
      <c r="HZ151" s="675">
        <v>152</v>
      </c>
      <c r="IA151" s="675">
        <v>329</v>
      </c>
      <c r="IB151" s="675">
        <v>269</v>
      </c>
      <c r="IC151" s="675">
        <v>879</v>
      </c>
      <c r="ID151" s="675">
        <v>0</v>
      </c>
      <c r="IE151" s="675">
        <v>0</v>
      </c>
      <c r="IF151" s="675">
        <v>0</v>
      </c>
      <c r="IG151" s="675">
        <v>2.0830000000000002</v>
      </c>
      <c r="IH151" s="675">
        <v>541.37800000000004</v>
      </c>
      <c r="II151" s="675">
        <v>0</v>
      </c>
      <c r="IJ151" s="675">
        <v>549.61200000000008</v>
      </c>
      <c r="IK151" s="675">
        <v>0</v>
      </c>
      <c r="IL151" s="675">
        <v>0</v>
      </c>
      <c r="IM151" s="675">
        <v>0</v>
      </c>
      <c r="IN151" s="675">
        <v>0</v>
      </c>
      <c r="IO151" s="675">
        <v>0</v>
      </c>
      <c r="IP151" s="675">
        <v>0</v>
      </c>
      <c r="IQ151" s="675">
        <v>549.61200000000008</v>
      </c>
      <c r="IR151" s="675">
        <v>338559</v>
      </c>
      <c r="IS151" s="675">
        <v>0</v>
      </c>
      <c r="IT151" s="675">
        <v>0</v>
      </c>
      <c r="IU151" s="675">
        <v>0</v>
      </c>
      <c r="IV151" s="675">
        <v>0</v>
      </c>
      <c r="IW151" s="675">
        <v>6160</v>
      </c>
      <c r="IX151" s="675">
        <v>0</v>
      </c>
      <c r="IY151" s="675">
        <v>0</v>
      </c>
      <c r="IZ151" s="675">
        <v>0</v>
      </c>
      <c r="JA151" s="675">
        <v>0</v>
      </c>
      <c r="JB151" s="675">
        <v>0</v>
      </c>
      <c r="JC151" s="675">
        <v>0</v>
      </c>
      <c r="JD151" s="675">
        <v>2</v>
      </c>
      <c r="JE151" s="675">
        <v>26994</v>
      </c>
      <c r="JF151" s="675">
        <v>5</v>
      </c>
      <c r="JG151" s="675">
        <v>33845</v>
      </c>
      <c r="JH151" s="675">
        <v>4000</v>
      </c>
      <c r="JI151" s="675">
        <v>0</v>
      </c>
      <c r="JJ151" s="675">
        <v>0</v>
      </c>
      <c r="JK151" s="675">
        <v>0</v>
      </c>
      <c r="JL151" s="675">
        <v>0</v>
      </c>
      <c r="JM151" s="675">
        <v>0</v>
      </c>
      <c r="JN151" s="675">
        <v>32469</v>
      </c>
      <c r="JO151" s="675">
        <v>0</v>
      </c>
      <c r="JP151" s="675">
        <v>0</v>
      </c>
      <c r="JQ151" s="675">
        <v>0</v>
      </c>
      <c r="JR151" s="675">
        <v>0</v>
      </c>
      <c r="JS151" s="675">
        <v>0</v>
      </c>
      <c r="JT151" s="675">
        <v>0</v>
      </c>
      <c r="JU151" s="675">
        <v>12505</v>
      </c>
      <c r="JV151" s="675">
        <v>0</v>
      </c>
      <c r="JW151" s="675">
        <v>0</v>
      </c>
      <c r="JX151" s="675">
        <v>0</v>
      </c>
      <c r="JY151" s="675">
        <v>0</v>
      </c>
      <c r="JZ151" s="675">
        <v>0</v>
      </c>
      <c r="KA151" s="675">
        <v>0</v>
      </c>
      <c r="KB151" s="675">
        <v>0</v>
      </c>
      <c r="KC151" s="675">
        <v>0</v>
      </c>
      <c r="KD151" s="675">
        <v>12505</v>
      </c>
      <c r="KE151" s="675">
        <v>7263</v>
      </c>
      <c r="KF151" s="675">
        <v>0</v>
      </c>
      <c r="KG151" s="675">
        <v>0</v>
      </c>
      <c r="KH151" s="675">
        <v>0</v>
      </c>
      <c r="KI151" s="675">
        <v>0</v>
      </c>
    </row>
    <row r="152" spans="1:295" ht="12.5" x14ac:dyDescent="0.25">
      <c r="A152" s="675">
        <v>35795</v>
      </c>
      <c r="B152" s="675">
        <v>15840</v>
      </c>
      <c r="C152" s="675">
        <v>7</v>
      </c>
      <c r="D152" s="675">
        <v>2022</v>
      </c>
      <c r="E152" s="675">
        <v>6160</v>
      </c>
      <c r="F152" s="675">
        <v>0</v>
      </c>
      <c r="G152" s="675">
        <v>194.351</v>
      </c>
      <c r="H152" s="675">
        <v>185.75900000000001</v>
      </c>
      <c r="I152" s="675">
        <v>185.75900000000001</v>
      </c>
      <c r="J152" s="675">
        <v>194.351</v>
      </c>
      <c r="K152" s="675">
        <v>0</v>
      </c>
      <c r="L152" s="675">
        <v>6160</v>
      </c>
      <c r="M152" s="675">
        <v>0</v>
      </c>
      <c r="N152" s="675">
        <v>0</v>
      </c>
      <c r="O152" s="675">
        <v>0</v>
      </c>
      <c r="P152" s="675">
        <v>191.01500000000001</v>
      </c>
      <c r="Q152" s="675">
        <v>0</v>
      </c>
      <c r="R152" s="675">
        <v>76870</v>
      </c>
      <c r="S152" s="675">
        <v>402.428</v>
      </c>
      <c r="T152" s="675">
        <v>0</v>
      </c>
      <c r="U152" s="675">
        <v>40879</v>
      </c>
      <c r="V152" s="675">
        <v>0</v>
      </c>
      <c r="W152" s="675">
        <v>0</v>
      </c>
      <c r="X152" s="675">
        <v>0</v>
      </c>
      <c r="Y152" s="675">
        <v>0</v>
      </c>
      <c r="Z152" s="675">
        <v>0</v>
      </c>
      <c r="AA152" s="675">
        <v>0</v>
      </c>
      <c r="AB152" s="675">
        <v>0</v>
      </c>
      <c r="AC152" s="675">
        <v>0</v>
      </c>
      <c r="AD152" s="675" t="s">
        <v>316</v>
      </c>
      <c r="AE152" s="675">
        <v>0</v>
      </c>
      <c r="AF152" s="675">
        <v>0</v>
      </c>
      <c r="AG152" s="675">
        <v>0</v>
      </c>
      <c r="AH152" s="675">
        <v>0</v>
      </c>
      <c r="AI152" s="675">
        <v>0</v>
      </c>
      <c r="AJ152" s="675">
        <v>6160</v>
      </c>
      <c r="AK152" s="675" t="s">
        <v>671</v>
      </c>
      <c r="AL152" s="675" t="s">
        <v>793</v>
      </c>
      <c r="AM152" s="675">
        <v>0</v>
      </c>
      <c r="AN152" s="675">
        <v>0</v>
      </c>
      <c r="AO152" s="675">
        <v>0</v>
      </c>
      <c r="AP152" s="675">
        <v>0</v>
      </c>
      <c r="AQ152" s="675">
        <v>0</v>
      </c>
      <c r="AR152" s="675">
        <v>0</v>
      </c>
      <c r="AS152" s="675">
        <v>0</v>
      </c>
      <c r="AT152" s="675">
        <v>0</v>
      </c>
      <c r="AU152" s="675">
        <v>0</v>
      </c>
      <c r="AV152" s="675">
        <v>-65848</v>
      </c>
      <c r="AW152" s="675">
        <v>2277739</v>
      </c>
      <c r="AX152" s="675">
        <v>1797144</v>
      </c>
      <c r="AY152" s="675">
        <v>1393481</v>
      </c>
      <c r="AZ152" s="675">
        <v>76870</v>
      </c>
      <c r="BA152" s="675">
        <v>0</v>
      </c>
      <c r="BB152" s="675">
        <v>0</v>
      </c>
      <c r="BC152" s="675">
        <v>0</v>
      </c>
      <c r="BD152" s="675">
        <v>0</v>
      </c>
      <c r="BE152" s="675">
        <v>0</v>
      </c>
      <c r="BF152" s="675">
        <v>1614880</v>
      </c>
      <c r="BG152" s="675">
        <v>0</v>
      </c>
      <c r="BH152" s="675">
        <v>0</v>
      </c>
      <c r="BI152" s="675">
        <v>0</v>
      </c>
      <c r="BJ152" s="675">
        <v>12</v>
      </c>
      <c r="BK152" s="675">
        <v>0</v>
      </c>
      <c r="BL152" s="675">
        <v>0</v>
      </c>
      <c r="BM152" s="675">
        <v>0</v>
      </c>
      <c r="BN152" s="675">
        <v>0</v>
      </c>
      <c r="BO152" s="675">
        <v>0</v>
      </c>
      <c r="BP152" s="675">
        <v>0</v>
      </c>
      <c r="BQ152" s="675">
        <v>741</v>
      </c>
      <c r="BR152" s="675">
        <v>0</v>
      </c>
      <c r="BS152" s="675">
        <v>0</v>
      </c>
      <c r="BT152" s="675">
        <v>0</v>
      </c>
      <c r="BU152" s="675">
        <v>0</v>
      </c>
      <c r="BV152" s="675">
        <v>0</v>
      </c>
      <c r="BW152" s="675">
        <v>0</v>
      </c>
      <c r="BX152" s="675">
        <v>0</v>
      </c>
      <c r="BY152" s="675">
        <v>0</v>
      </c>
      <c r="BZ152" s="675">
        <v>0</v>
      </c>
      <c r="CA152" s="675">
        <v>71.406000000000006</v>
      </c>
      <c r="CB152" s="675">
        <v>60893</v>
      </c>
      <c r="CC152" s="675">
        <v>0</v>
      </c>
      <c r="CD152" s="675">
        <v>0</v>
      </c>
      <c r="CE152" s="675">
        <v>0</v>
      </c>
      <c r="CF152" s="675">
        <v>0</v>
      </c>
      <c r="CG152" s="675">
        <v>0</v>
      </c>
      <c r="CH152" s="675">
        <v>480595</v>
      </c>
      <c r="CI152" s="675">
        <v>0</v>
      </c>
      <c r="CJ152" s="675">
        <v>4</v>
      </c>
      <c r="CK152" s="675">
        <v>0</v>
      </c>
      <c r="CL152" s="675">
        <v>0</v>
      </c>
      <c r="CM152" s="675">
        <v>0</v>
      </c>
      <c r="CN152" s="675">
        <v>0</v>
      </c>
      <c r="CO152" s="675">
        <v>1</v>
      </c>
      <c r="CP152" s="675">
        <v>0</v>
      </c>
      <c r="CQ152" s="675">
        <v>0</v>
      </c>
      <c r="CR152" s="675">
        <v>189.387</v>
      </c>
      <c r="CS152" s="675">
        <v>0</v>
      </c>
      <c r="CT152" s="675">
        <v>0</v>
      </c>
      <c r="CU152" s="675">
        <v>0</v>
      </c>
      <c r="CV152" s="675">
        <v>0</v>
      </c>
      <c r="CW152" s="675">
        <v>0</v>
      </c>
      <c r="CX152" s="675">
        <v>0</v>
      </c>
      <c r="CY152" s="675">
        <v>0</v>
      </c>
      <c r="CZ152" s="675">
        <v>0</v>
      </c>
      <c r="DA152" s="675">
        <v>0</v>
      </c>
      <c r="DB152" s="675">
        <v>1144270</v>
      </c>
      <c r="DC152" s="675">
        <v>0</v>
      </c>
      <c r="DD152" s="675">
        <v>0</v>
      </c>
      <c r="DE152" s="675">
        <v>180872</v>
      </c>
      <c r="DF152" s="675">
        <v>180872</v>
      </c>
      <c r="DG152" s="675">
        <v>29.363000000000003</v>
      </c>
      <c r="DH152" s="675">
        <v>0</v>
      </c>
      <c r="DI152" s="675">
        <v>0</v>
      </c>
      <c r="DJ152" s="675">
        <v>0</v>
      </c>
      <c r="DK152" s="675">
        <v>3485</v>
      </c>
      <c r="DL152" s="675">
        <v>0</v>
      </c>
      <c r="DM152" s="675">
        <v>0</v>
      </c>
      <c r="DN152" s="675">
        <v>0</v>
      </c>
      <c r="DO152" s="675">
        <v>0</v>
      </c>
      <c r="DP152" s="675">
        <v>0</v>
      </c>
      <c r="DQ152" s="675">
        <v>0</v>
      </c>
      <c r="DR152" s="675">
        <v>0</v>
      </c>
      <c r="DS152" s="675">
        <v>0</v>
      </c>
      <c r="DT152" s="675">
        <v>0</v>
      </c>
      <c r="DU152" s="675">
        <v>0</v>
      </c>
      <c r="DV152" s="675">
        <v>0</v>
      </c>
      <c r="DW152" s="675">
        <v>0</v>
      </c>
      <c r="DX152" s="675">
        <v>0</v>
      </c>
      <c r="DY152" s="675">
        <v>0</v>
      </c>
      <c r="DZ152" s="675">
        <v>0</v>
      </c>
      <c r="EA152" s="675">
        <v>0</v>
      </c>
      <c r="EB152" s="675">
        <v>0</v>
      </c>
      <c r="EC152" s="675">
        <v>0</v>
      </c>
      <c r="ED152" s="675">
        <v>0</v>
      </c>
      <c r="EE152" s="675">
        <v>0</v>
      </c>
      <c r="EF152" s="675">
        <v>0</v>
      </c>
      <c r="EG152" s="675">
        <v>0</v>
      </c>
      <c r="EH152" s="675">
        <v>0</v>
      </c>
      <c r="EI152" s="675">
        <v>0</v>
      </c>
      <c r="EJ152" s="675">
        <v>0</v>
      </c>
      <c r="EK152" s="675">
        <v>0</v>
      </c>
      <c r="EL152" s="675">
        <v>0</v>
      </c>
      <c r="EM152" s="675">
        <v>0</v>
      </c>
      <c r="EN152" s="675">
        <v>0</v>
      </c>
      <c r="EO152" s="675">
        <v>0</v>
      </c>
      <c r="EP152" s="675">
        <v>0</v>
      </c>
      <c r="EQ152" s="675">
        <v>0</v>
      </c>
      <c r="ER152" s="675">
        <v>0</v>
      </c>
      <c r="ES152" s="675">
        <v>0</v>
      </c>
      <c r="ET152" s="675">
        <v>0</v>
      </c>
      <c r="EU152" s="675">
        <v>0</v>
      </c>
      <c r="EV152" s="675">
        <v>0</v>
      </c>
      <c r="EW152" s="675">
        <v>0</v>
      </c>
      <c r="EX152" s="675">
        <v>0</v>
      </c>
      <c r="EY152" s="675">
        <v>0</v>
      </c>
      <c r="EZ152" s="675">
        <v>1598903</v>
      </c>
      <c r="FA152" s="675">
        <v>0</v>
      </c>
      <c r="FB152" s="675">
        <v>1675773</v>
      </c>
      <c r="FC152" s="675">
        <v>0</v>
      </c>
      <c r="FD152" s="675">
        <v>0</v>
      </c>
      <c r="FE152" s="675">
        <v>164266</v>
      </c>
      <c r="FF152" s="675">
        <v>33975</v>
      </c>
      <c r="FG152" s="675">
        <v>6.3574999999999993E-2</v>
      </c>
      <c r="FH152" s="675">
        <v>2.6297999999999998E-2</v>
      </c>
      <c r="FI152" s="675">
        <v>0</v>
      </c>
      <c r="FJ152" s="675">
        <v>0</v>
      </c>
      <c r="FK152" s="675">
        <v>262.15700000000004</v>
      </c>
      <c r="FL152" s="675">
        <v>2354609</v>
      </c>
      <c r="FM152" s="675">
        <v>0</v>
      </c>
      <c r="FN152" s="675">
        <v>0</v>
      </c>
      <c r="FO152" s="675">
        <v>0</v>
      </c>
      <c r="FP152" s="675">
        <v>0</v>
      </c>
      <c r="FQ152" s="675">
        <v>0</v>
      </c>
      <c r="FR152" s="675">
        <v>0</v>
      </c>
      <c r="FS152" s="675">
        <v>0</v>
      </c>
      <c r="FT152" s="675">
        <v>0</v>
      </c>
      <c r="FU152" s="675">
        <v>0</v>
      </c>
      <c r="FV152" s="675">
        <v>0</v>
      </c>
      <c r="FW152" s="675">
        <v>0</v>
      </c>
      <c r="FX152" s="675">
        <v>0</v>
      </c>
      <c r="FY152" s="675">
        <v>0</v>
      </c>
      <c r="FZ152" s="675">
        <v>0</v>
      </c>
      <c r="GA152" s="675">
        <v>0</v>
      </c>
      <c r="GB152" s="675">
        <v>79877</v>
      </c>
      <c r="GC152" s="675">
        <v>79877</v>
      </c>
      <c r="GD152" s="675">
        <v>8.5920000000000005</v>
      </c>
      <c r="GE152" s="675">
        <v>0</v>
      </c>
      <c r="GF152" s="675">
        <v>0</v>
      </c>
      <c r="GG152" s="675">
        <v>0</v>
      </c>
      <c r="GH152" s="675">
        <v>0</v>
      </c>
      <c r="GI152" s="675">
        <v>0</v>
      </c>
      <c r="GJ152" s="675">
        <v>0</v>
      </c>
      <c r="GK152" s="675">
        <v>0</v>
      </c>
      <c r="GL152" s="675">
        <v>0</v>
      </c>
      <c r="GM152" s="675">
        <v>0</v>
      </c>
      <c r="GN152" s="675">
        <v>0</v>
      </c>
      <c r="GO152" s="675">
        <v>0</v>
      </c>
      <c r="GP152" s="675">
        <v>0</v>
      </c>
      <c r="GQ152" s="675">
        <v>0</v>
      </c>
      <c r="GR152" s="675">
        <v>0</v>
      </c>
      <c r="GS152" s="675">
        <v>0</v>
      </c>
      <c r="GT152" s="675">
        <v>0</v>
      </c>
      <c r="GU152" s="675">
        <v>0</v>
      </c>
      <c r="GV152" s="675">
        <v>0</v>
      </c>
      <c r="GW152" s="675">
        <v>0</v>
      </c>
      <c r="GX152" s="675">
        <v>0</v>
      </c>
      <c r="GY152" s="675">
        <v>0</v>
      </c>
      <c r="GZ152" s="675">
        <v>0</v>
      </c>
      <c r="HA152" s="675">
        <v>0</v>
      </c>
      <c r="HB152" s="675">
        <v>0</v>
      </c>
      <c r="HC152" s="675">
        <v>4.4138999999999998E-2</v>
      </c>
      <c r="HD152" s="675">
        <v>0</v>
      </c>
      <c r="HE152" s="675">
        <v>0</v>
      </c>
      <c r="HF152" s="675">
        <v>204892</v>
      </c>
      <c r="HG152" s="675">
        <v>3080</v>
      </c>
      <c r="HH152" s="675">
        <v>0</v>
      </c>
      <c r="HI152" s="675">
        <v>0</v>
      </c>
      <c r="HJ152" s="675">
        <v>1889</v>
      </c>
      <c r="HK152" s="675">
        <v>0</v>
      </c>
      <c r="HL152" s="675">
        <v>0</v>
      </c>
      <c r="HM152" s="675">
        <v>0</v>
      </c>
      <c r="HN152" s="675">
        <v>0</v>
      </c>
      <c r="HO152" s="675">
        <v>0</v>
      </c>
      <c r="HP152" s="675">
        <v>0</v>
      </c>
      <c r="HQ152" s="675">
        <v>0</v>
      </c>
      <c r="HR152" s="675">
        <v>0</v>
      </c>
      <c r="HS152" s="675">
        <v>1598903</v>
      </c>
      <c r="HT152" s="675">
        <v>33975</v>
      </c>
      <c r="HU152" s="675">
        <v>0</v>
      </c>
      <c r="HV152" s="675">
        <v>0</v>
      </c>
      <c r="HW152" s="675">
        <v>0</v>
      </c>
      <c r="HX152" s="675">
        <v>10</v>
      </c>
      <c r="HY152" s="675">
        <v>19</v>
      </c>
      <c r="HZ152" s="675">
        <v>28</v>
      </c>
      <c r="IA152" s="675">
        <v>28</v>
      </c>
      <c r="IB152" s="675">
        <v>30</v>
      </c>
      <c r="IC152" s="675">
        <v>115</v>
      </c>
      <c r="ID152" s="675">
        <v>0</v>
      </c>
      <c r="IE152" s="675">
        <v>0</v>
      </c>
      <c r="IF152" s="675">
        <v>0</v>
      </c>
      <c r="IG152" s="675">
        <v>5</v>
      </c>
      <c r="IH152" s="675">
        <v>0</v>
      </c>
      <c r="II152" s="675">
        <v>0</v>
      </c>
      <c r="IJ152" s="675">
        <v>0</v>
      </c>
      <c r="IK152" s="675">
        <v>0</v>
      </c>
      <c r="IL152" s="675">
        <v>0</v>
      </c>
      <c r="IM152" s="675">
        <v>0</v>
      </c>
      <c r="IN152" s="675">
        <v>0</v>
      </c>
      <c r="IO152" s="675">
        <v>0</v>
      </c>
      <c r="IP152" s="675">
        <v>0</v>
      </c>
      <c r="IQ152" s="675">
        <v>0</v>
      </c>
      <c r="IR152" s="675">
        <v>0</v>
      </c>
      <c r="IS152" s="675">
        <v>0</v>
      </c>
      <c r="IT152" s="675">
        <v>0</v>
      </c>
      <c r="IU152" s="675">
        <v>0</v>
      </c>
      <c r="IV152" s="675">
        <v>0</v>
      </c>
      <c r="IW152" s="675">
        <v>6160</v>
      </c>
      <c r="IX152" s="675">
        <v>0</v>
      </c>
      <c r="IY152" s="675">
        <v>0</v>
      </c>
      <c r="IZ152" s="675">
        <v>0</v>
      </c>
      <c r="JA152" s="675">
        <v>0</v>
      </c>
      <c r="JB152" s="675">
        <v>0</v>
      </c>
      <c r="JC152" s="675">
        <v>0</v>
      </c>
      <c r="JD152" s="675">
        <v>0</v>
      </c>
      <c r="JE152" s="675">
        <v>0</v>
      </c>
      <c r="JF152" s="675">
        <v>0</v>
      </c>
      <c r="JG152" s="675">
        <v>0</v>
      </c>
      <c r="JH152" s="675">
        <v>0</v>
      </c>
      <c r="JI152" s="675">
        <v>0</v>
      </c>
      <c r="JJ152" s="675">
        <v>0</v>
      </c>
      <c r="JK152" s="675">
        <v>0</v>
      </c>
      <c r="JL152" s="675">
        <v>0</v>
      </c>
      <c r="JM152" s="675">
        <v>0</v>
      </c>
      <c r="JN152" s="675">
        <v>0</v>
      </c>
      <c r="JO152" s="675">
        <v>0</v>
      </c>
      <c r="JP152" s="675">
        <v>8.5920000000000005</v>
      </c>
      <c r="JQ152" s="675">
        <v>0</v>
      </c>
      <c r="JR152" s="675">
        <v>0</v>
      </c>
      <c r="JS152" s="675">
        <v>79877</v>
      </c>
      <c r="JT152" s="675">
        <v>0</v>
      </c>
      <c r="JU152" s="675">
        <v>0</v>
      </c>
      <c r="JV152" s="675">
        <v>0</v>
      </c>
      <c r="JW152" s="675">
        <v>0</v>
      </c>
      <c r="JX152" s="675">
        <v>0</v>
      </c>
      <c r="JY152" s="675">
        <v>0</v>
      </c>
      <c r="JZ152" s="675">
        <v>0</v>
      </c>
      <c r="KA152" s="675">
        <v>0</v>
      </c>
      <c r="KB152" s="675">
        <v>0</v>
      </c>
      <c r="KC152" s="675">
        <v>0</v>
      </c>
      <c r="KD152" s="675">
        <v>0</v>
      </c>
      <c r="KE152" s="675">
        <v>7263</v>
      </c>
      <c r="KF152" s="675">
        <v>480595</v>
      </c>
      <c r="KG152" s="675">
        <v>0</v>
      </c>
      <c r="KH152" s="675">
        <v>0</v>
      </c>
      <c r="KI152" s="675">
        <v>0</v>
      </c>
    </row>
    <row r="153" spans="1:295" ht="12.5" x14ac:dyDescent="0.25">
      <c r="A153" s="675">
        <v>35795</v>
      </c>
      <c r="B153" s="675">
        <v>57840</v>
      </c>
      <c r="C153" s="675">
        <v>7</v>
      </c>
      <c r="D153" s="675">
        <v>2022</v>
      </c>
      <c r="E153" s="675">
        <v>6160</v>
      </c>
      <c r="F153" s="675">
        <v>0</v>
      </c>
      <c r="G153" s="675">
        <v>322.47000000000003</v>
      </c>
      <c r="H153" s="675">
        <v>236.42400000000001</v>
      </c>
      <c r="I153" s="675">
        <v>236.42400000000001</v>
      </c>
      <c r="J153" s="675">
        <v>322.47000000000003</v>
      </c>
      <c r="K153" s="675">
        <v>0</v>
      </c>
      <c r="L153" s="675">
        <v>6160</v>
      </c>
      <c r="M153" s="675">
        <v>0</v>
      </c>
      <c r="N153" s="675">
        <v>0</v>
      </c>
      <c r="O153" s="675">
        <v>0</v>
      </c>
      <c r="P153" s="675">
        <v>480.851</v>
      </c>
      <c r="Q153" s="675">
        <v>0</v>
      </c>
      <c r="R153" s="675">
        <v>193508</v>
      </c>
      <c r="S153" s="675">
        <v>402.428</v>
      </c>
      <c r="T153" s="675">
        <v>0</v>
      </c>
      <c r="U153" s="675">
        <v>102903</v>
      </c>
      <c r="V153" s="675">
        <v>22.055</v>
      </c>
      <c r="W153" s="675">
        <v>13586</v>
      </c>
      <c r="X153" s="675">
        <v>13586</v>
      </c>
      <c r="Y153" s="675">
        <v>0</v>
      </c>
      <c r="Z153" s="675">
        <v>0</v>
      </c>
      <c r="AA153" s="675">
        <v>0</v>
      </c>
      <c r="AB153" s="675">
        <v>0</v>
      </c>
      <c r="AC153" s="675">
        <v>0</v>
      </c>
      <c r="AD153" s="675" t="s">
        <v>316</v>
      </c>
      <c r="AE153" s="675">
        <v>0</v>
      </c>
      <c r="AF153" s="675">
        <v>0</v>
      </c>
      <c r="AG153" s="675">
        <v>0</v>
      </c>
      <c r="AH153" s="675">
        <v>0</v>
      </c>
      <c r="AI153" s="675">
        <v>0</v>
      </c>
      <c r="AJ153" s="675">
        <v>6160</v>
      </c>
      <c r="AK153" s="675" t="s">
        <v>671</v>
      </c>
      <c r="AL153" s="675" t="s">
        <v>330</v>
      </c>
      <c r="AM153" s="675">
        <v>0</v>
      </c>
      <c r="AN153" s="675">
        <v>0</v>
      </c>
      <c r="AO153" s="675">
        <v>0</v>
      </c>
      <c r="AP153" s="675">
        <v>0</v>
      </c>
      <c r="AQ153" s="675">
        <v>0</v>
      </c>
      <c r="AR153" s="675">
        <v>0</v>
      </c>
      <c r="AS153" s="675">
        <v>0</v>
      </c>
      <c r="AT153" s="675">
        <v>0</v>
      </c>
      <c r="AU153" s="675">
        <v>0</v>
      </c>
      <c r="AV153" s="675">
        <v>-18824</v>
      </c>
      <c r="AW153" s="675">
        <v>3299729</v>
      </c>
      <c r="AX153" s="675">
        <v>3242795</v>
      </c>
      <c r="AY153" s="675">
        <v>2476575</v>
      </c>
      <c r="AZ153" s="675">
        <v>193508</v>
      </c>
      <c r="BA153" s="675">
        <v>0</v>
      </c>
      <c r="BB153" s="675">
        <v>0</v>
      </c>
      <c r="BC153" s="675">
        <v>0</v>
      </c>
      <c r="BD153" s="675">
        <v>0</v>
      </c>
      <c r="BE153" s="675">
        <v>0</v>
      </c>
      <c r="BF153" s="675">
        <v>3057815</v>
      </c>
      <c r="BG153" s="675">
        <v>0</v>
      </c>
      <c r="BH153" s="675">
        <v>0</v>
      </c>
      <c r="BI153" s="675">
        <v>0</v>
      </c>
      <c r="BJ153" s="675">
        <v>12</v>
      </c>
      <c r="BK153" s="675">
        <v>0</v>
      </c>
      <c r="BL153" s="675">
        <v>0</v>
      </c>
      <c r="BM153" s="675">
        <v>0</v>
      </c>
      <c r="BN153" s="675">
        <v>0</v>
      </c>
      <c r="BO153" s="675">
        <v>0</v>
      </c>
      <c r="BP153" s="675">
        <v>0</v>
      </c>
      <c r="BQ153" s="675">
        <v>734</v>
      </c>
      <c r="BR153" s="675">
        <v>0</v>
      </c>
      <c r="BS153" s="675">
        <v>0</v>
      </c>
      <c r="BT153" s="675">
        <v>0</v>
      </c>
      <c r="BU153" s="675">
        <v>0</v>
      </c>
      <c r="BV153" s="675">
        <v>0</v>
      </c>
      <c r="BW153" s="675">
        <v>0</v>
      </c>
      <c r="BX153" s="675">
        <v>0</v>
      </c>
      <c r="BY153" s="675">
        <v>0</v>
      </c>
      <c r="BZ153" s="675">
        <v>0</v>
      </c>
      <c r="CA153" s="675">
        <v>0</v>
      </c>
      <c r="CB153" s="675">
        <v>0</v>
      </c>
      <c r="CC153" s="675">
        <v>0</v>
      </c>
      <c r="CD153" s="675">
        <v>0</v>
      </c>
      <c r="CE153" s="675">
        <v>0</v>
      </c>
      <c r="CF153" s="675">
        <v>0</v>
      </c>
      <c r="CG153" s="675">
        <v>0</v>
      </c>
      <c r="CH153" s="675">
        <v>56934</v>
      </c>
      <c r="CI153" s="675">
        <v>0</v>
      </c>
      <c r="CJ153" s="675">
        <v>4</v>
      </c>
      <c r="CK153" s="675">
        <v>0</v>
      </c>
      <c r="CL153" s="675">
        <v>0</v>
      </c>
      <c r="CM153" s="675">
        <v>0</v>
      </c>
      <c r="CN153" s="675">
        <v>0</v>
      </c>
      <c r="CO153" s="675">
        <v>1</v>
      </c>
      <c r="CP153" s="675">
        <v>0</v>
      </c>
      <c r="CQ153" s="675">
        <v>0</v>
      </c>
      <c r="CR153" s="675">
        <v>468.82800000000003</v>
      </c>
      <c r="CS153" s="675">
        <v>0</v>
      </c>
      <c r="CT153" s="675">
        <v>0</v>
      </c>
      <c r="CU153" s="675">
        <v>0</v>
      </c>
      <c r="CV153" s="675">
        <v>0</v>
      </c>
      <c r="CW153" s="675">
        <v>0</v>
      </c>
      <c r="CX153" s="675">
        <v>0</v>
      </c>
      <c r="CY153" s="675">
        <v>0</v>
      </c>
      <c r="CZ153" s="675">
        <v>0</v>
      </c>
      <c r="DA153" s="675">
        <v>0</v>
      </c>
      <c r="DB153" s="675">
        <v>1449336</v>
      </c>
      <c r="DC153" s="675">
        <v>0</v>
      </c>
      <c r="DD153" s="675">
        <v>0</v>
      </c>
      <c r="DE153" s="675">
        <v>15323</v>
      </c>
      <c r="DF153" s="675">
        <v>15323</v>
      </c>
      <c r="DG153" s="675">
        <v>2.488</v>
      </c>
      <c r="DH153" s="675">
        <v>0</v>
      </c>
      <c r="DI153" s="675">
        <v>0</v>
      </c>
      <c r="DJ153" s="675">
        <v>0</v>
      </c>
      <c r="DK153" s="675">
        <v>3360</v>
      </c>
      <c r="DL153" s="675">
        <v>0</v>
      </c>
      <c r="DM153" s="675">
        <v>7029</v>
      </c>
      <c r="DN153" s="675">
        <v>0</v>
      </c>
      <c r="DO153" s="675">
        <v>0</v>
      </c>
      <c r="DP153" s="675">
        <v>0</v>
      </c>
      <c r="DQ153" s="675">
        <v>0</v>
      </c>
      <c r="DR153" s="675">
        <v>0</v>
      </c>
      <c r="DS153" s="675">
        <v>0</v>
      </c>
      <c r="DT153" s="675">
        <v>0</v>
      </c>
      <c r="DU153" s="675">
        <v>0</v>
      </c>
      <c r="DV153" s="675">
        <v>0</v>
      </c>
      <c r="DW153" s="675">
        <v>0</v>
      </c>
      <c r="DX153" s="675">
        <v>0</v>
      </c>
      <c r="DY153" s="675">
        <v>0</v>
      </c>
      <c r="DZ153" s="675">
        <v>0</v>
      </c>
      <c r="EA153" s="675">
        <v>0</v>
      </c>
      <c r="EB153" s="675">
        <v>0</v>
      </c>
      <c r="EC153" s="675">
        <v>0</v>
      </c>
      <c r="ED153" s="675">
        <v>0</v>
      </c>
      <c r="EE153" s="675">
        <v>0</v>
      </c>
      <c r="EF153" s="675">
        <v>0</v>
      </c>
      <c r="EG153" s="675">
        <v>0</v>
      </c>
      <c r="EH153" s="675">
        <v>0</v>
      </c>
      <c r="EI153" s="675">
        <v>0</v>
      </c>
      <c r="EJ153" s="675">
        <v>0</v>
      </c>
      <c r="EK153" s="675">
        <v>0</v>
      </c>
      <c r="EL153" s="675">
        <v>0</v>
      </c>
      <c r="EM153" s="675">
        <v>0</v>
      </c>
      <c r="EN153" s="675">
        <v>0</v>
      </c>
      <c r="EO153" s="675">
        <v>0</v>
      </c>
      <c r="EP153" s="675">
        <v>0</v>
      </c>
      <c r="EQ153" s="675">
        <v>0</v>
      </c>
      <c r="ER153" s="675">
        <v>0</v>
      </c>
      <c r="ES153" s="675">
        <v>0</v>
      </c>
      <c r="ET153" s="675">
        <v>0</v>
      </c>
      <c r="EU153" s="675">
        <v>0</v>
      </c>
      <c r="EV153" s="675">
        <v>0</v>
      </c>
      <c r="EW153" s="675">
        <v>0</v>
      </c>
      <c r="EX153" s="675">
        <v>0</v>
      </c>
      <c r="EY153" s="675">
        <v>0</v>
      </c>
      <c r="EZ153" s="675">
        <v>2867421</v>
      </c>
      <c r="FA153" s="675">
        <v>0</v>
      </c>
      <c r="FB153" s="675">
        <v>3060929</v>
      </c>
      <c r="FC153" s="675">
        <v>0</v>
      </c>
      <c r="FD153" s="675">
        <v>0</v>
      </c>
      <c r="FE153" s="675">
        <v>311042</v>
      </c>
      <c r="FF153" s="675">
        <v>64332</v>
      </c>
      <c r="FG153" s="675">
        <v>6.3574999999999993E-2</v>
      </c>
      <c r="FH153" s="675">
        <v>2.6297999999999998E-2</v>
      </c>
      <c r="FI153" s="675">
        <v>0</v>
      </c>
      <c r="FJ153" s="675">
        <v>0</v>
      </c>
      <c r="FK153" s="675">
        <v>496.40100000000001</v>
      </c>
      <c r="FL153" s="675">
        <v>3493237</v>
      </c>
      <c r="FM153" s="675">
        <v>0</v>
      </c>
      <c r="FN153" s="675">
        <v>0</v>
      </c>
      <c r="FO153" s="675">
        <v>0</v>
      </c>
      <c r="FP153" s="675">
        <v>0</v>
      </c>
      <c r="FQ153" s="675">
        <v>0</v>
      </c>
      <c r="FR153" s="675">
        <v>0</v>
      </c>
      <c r="FS153" s="675">
        <v>0</v>
      </c>
      <c r="FT153" s="675">
        <v>0</v>
      </c>
      <c r="FU153" s="675">
        <v>0</v>
      </c>
      <c r="FV153" s="675">
        <v>0</v>
      </c>
      <c r="FW153" s="675">
        <v>0</v>
      </c>
      <c r="FX153" s="675">
        <v>0</v>
      </c>
      <c r="FY153" s="675">
        <v>0</v>
      </c>
      <c r="FZ153" s="675">
        <v>0</v>
      </c>
      <c r="GA153" s="675">
        <v>0</v>
      </c>
      <c r="GB153" s="675">
        <v>867631</v>
      </c>
      <c r="GC153" s="675">
        <v>867631</v>
      </c>
      <c r="GD153" s="675">
        <v>86.046000000000006</v>
      </c>
      <c r="GE153" s="675">
        <v>0</v>
      </c>
      <c r="GF153" s="675">
        <v>0</v>
      </c>
      <c r="GG153" s="675">
        <v>0</v>
      </c>
      <c r="GH153" s="675">
        <v>0</v>
      </c>
      <c r="GI153" s="675">
        <v>0</v>
      </c>
      <c r="GJ153" s="675">
        <v>0</v>
      </c>
      <c r="GK153" s="675">
        <v>0</v>
      </c>
      <c r="GL153" s="675">
        <v>0</v>
      </c>
      <c r="GM153" s="675">
        <v>0</v>
      </c>
      <c r="GN153" s="675">
        <v>0</v>
      </c>
      <c r="GO153" s="675">
        <v>0</v>
      </c>
      <c r="GP153" s="675">
        <v>0</v>
      </c>
      <c r="GQ153" s="675">
        <v>0</v>
      </c>
      <c r="GR153" s="675">
        <v>0</v>
      </c>
      <c r="GS153" s="675">
        <v>0</v>
      </c>
      <c r="GT153" s="675">
        <v>0</v>
      </c>
      <c r="GU153" s="675">
        <v>0</v>
      </c>
      <c r="GV153" s="675">
        <v>0</v>
      </c>
      <c r="GW153" s="675">
        <v>0</v>
      </c>
      <c r="GX153" s="675">
        <v>0</v>
      </c>
      <c r="GY153" s="675">
        <v>0</v>
      </c>
      <c r="GZ153" s="675">
        <v>0</v>
      </c>
      <c r="HA153" s="675">
        <v>0</v>
      </c>
      <c r="HB153" s="675">
        <v>308877260</v>
      </c>
      <c r="HC153" s="675">
        <v>4.4138999999999998E-2</v>
      </c>
      <c r="HD153" s="675">
        <v>56934</v>
      </c>
      <c r="HE153" s="675">
        <v>0</v>
      </c>
      <c r="HF153" s="675">
        <v>260776</v>
      </c>
      <c r="HG153" s="675">
        <v>0</v>
      </c>
      <c r="HH153" s="675">
        <v>0</v>
      </c>
      <c r="HI153" s="675">
        <v>0</v>
      </c>
      <c r="HJ153" s="675">
        <v>3134</v>
      </c>
      <c r="HK153" s="675">
        <v>0</v>
      </c>
      <c r="HL153" s="675">
        <v>3114</v>
      </c>
      <c r="HM153" s="675">
        <v>441000</v>
      </c>
      <c r="HN153" s="675">
        <v>0</v>
      </c>
      <c r="HO153" s="675">
        <v>0</v>
      </c>
      <c r="HP153" s="675">
        <v>0</v>
      </c>
      <c r="HQ153" s="675">
        <v>0</v>
      </c>
      <c r="HR153" s="675">
        <v>0</v>
      </c>
      <c r="HS153" s="675">
        <v>2867421</v>
      </c>
      <c r="HT153" s="675">
        <v>64332</v>
      </c>
      <c r="HU153" s="675">
        <v>0</v>
      </c>
      <c r="HV153" s="675">
        <v>0</v>
      </c>
      <c r="HW153" s="675">
        <v>0</v>
      </c>
      <c r="HX153" s="675">
        <v>3</v>
      </c>
      <c r="HY153" s="675">
        <v>2</v>
      </c>
      <c r="HZ153" s="675">
        <v>0</v>
      </c>
      <c r="IA153" s="675">
        <v>3</v>
      </c>
      <c r="IB153" s="675">
        <v>2</v>
      </c>
      <c r="IC153" s="675">
        <v>10</v>
      </c>
      <c r="ID153" s="675">
        <v>0</v>
      </c>
      <c r="IE153" s="675">
        <v>0</v>
      </c>
      <c r="IF153" s="675">
        <v>0</v>
      </c>
      <c r="IG153" s="675">
        <v>0</v>
      </c>
      <c r="IH153" s="675">
        <v>0</v>
      </c>
      <c r="II153" s="675">
        <v>0</v>
      </c>
      <c r="IJ153" s="675">
        <v>22.055</v>
      </c>
      <c r="IK153" s="675">
        <v>0</v>
      </c>
      <c r="IL153" s="675">
        <v>21</v>
      </c>
      <c r="IM153" s="675">
        <v>112</v>
      </c>
      <c r="IN153" s="675">
        <v>0</v>
      </c>
      <c r="IO153" s="675">
        <v>133</v>
      </c>
      <c r="IP153" s="675">
        <v>0</v>
      </c>
      <c r="IQ153" s="675">
        <v>22.055</v>
      </c>
      <c r="IR153" s="675">
        <v>13586</v>
      </c>
      <c r="IS153" s="675">
        <v>0</v>
      </c>
      <c r="IT153" s="675">
        <v>105000</v>
      </c>
      <c r="IU153" s="675">
        <v>336000</v>
      </c>
      <c r="IV153" s="675">
        <v>0</v>
      </c>
      <c r="IW153" s="675">
        <v>6160</v>
      </c>
      <c r="IX153" s="675">
        <v>0</v>
      </c>
      <c r="IY153" s="675">
        <v>0</v>
      </c>
      <c r="IZ153" s="675">
        <v>0</v>
      </c>
      <c r="JA153" s="675">
        <v>0</v>
      </c>
      <c r="JB153" s="675">
        <v>0</v>
      </c>
      <c r="JC153" s="675">
        <v>0</v>
      </c>
      <c r="JD153" s="675">
        <v>0</v>
      </c>
      <c r="JE153" s="675">
        <v>0</v>
      </c>
      <c r="JF153" s="675">
        <v>0</v>
      </c>
      <c r="JG153" s="675">
        <v>0</v>
      </c>
      <c r="JH153" s="675">
        <v>0</v>
      </c>
      <c r="JI153" s="675">
        <v>0</v>
      </c>
      <c r="JJ153" s="675">
        <v>0</v>
      </c>
      <c r="JK153" s="675">
        <v>0</v>
      </c>
      <c r="JL153" s="675">
        <v>0</v>
      </c>
      <c r="JM153" s="675">
        <v>0</v>
      </c>
      <c r="JN153" s="675">
        <v>32469</v>
      </c>
      <c r="JO153" s="675">
        <v>7.0180000000000007</v>
      </c>
      <c r="JP153" s="675">
        <v>23.326000000000001</v>
      </c>
      <c r="JQ153" s="675">
        <v>55.702000000000005</v>
      </c>
      <c r="JR153" s="675">
        <v>56069</v>
      </c>
      <c r="JS153" s="675">
        <v>216853</v>
      </c>
      <c r="JT153" s="675">
        <v>594709</v>
      </c>
      <c r="JU153" s="675">
        <v>0</v>
      </c>
      <c r="JV153" s="675">
        <v>0</v>
      </c>
      <c r="JW153" s="675">
        <v>0</v>
      </c>
      <c r="JX153" s="675">
        <v>0</v>
      </c>
      <c r="JY153" s="675">
        <v>0</v>
      </c>
      <c r="JZ153" s="675">
        <v>0</v>
      </c>
      <c r="KA153" s="675">
        <v>0</v>
      </c>
      <c r="KB153" s="675">
        <v>0</v>
      </c>
      <c r="KC153" s="675">
        <v>0</v>
      </c>
      <c r="KD153" s="675">
        <v>0</v>
      </c>
      <c r="KE153" s="675">
        <v>7263</v>
      </c>
      <c r="KF153" s="675">
        <v>0</v>
      </c>
      <c r="KG153" s="675">
        <v>0</v>
      </c>
      <c r="KH153" s="675">
        <v>0</v>
      </c>
      <c r="KI153" s="675">
        <v>0</v>
      </c>
    </row>
    <row r="154" spans="1:295" ht="12.5" x14ac:dyDescent="0.25">
      <c r="A154" s="675">
        <v>35795</v>
      </c>
      <c r="B154" s="675">
        <v>101840</v>
      </c>
      <c r="C154" s="675">
        <v>7</v>
      </c>
      <c r="D154" s="675">
        <v>2022</v>
      </c>
      <c r="E154" s="675">
        <v>6160</v>
      </c>
      <c r="F154" s="675">
        <v>0</v>
      </c>
      <c r="G154" s="675">
        <v>315.66300000000001</v>
      </c>
      <c r="H154" s="675">
        <v>304.45800000000003</v>
      </c>
      <c r="I154" s="675">
        <v>304.45800000000003</v>
      </c>
      <c r="J154" s="675">
        <v>315.66300000000001</v>
      </c>
      <c r="K154" s="675">
        <v>0</v>
      </c>
      <c r="L154" s="675">
        <v>6160</v>
      </c>
      <c r="M154" s="675">
        <v>0</v>
      </c>
      <c r="N154" s="675">
        <v>0</v>
      </c>
      <c r="O154" s="675">
        <v>0</v>
      </c>
      <c r="P154" s="675">
        <v>318.94900000000001</v>
      </c>
      <c r="Q154" s="675">
        <v>0</v>
      </c>
      <c r="R154" s="675">
        <v>128354</v>
      </c>
      <c r="S154" s="675">
        <v>402.428</v>
      </c>
      <c r="T154" s="675">
        <v>0</v>
      </c>
      <c r="U154" s="675">
        <v>68257</v>
      </c>
      <c r="V154" s="675">
        <v>5.6230000000000002</v>
      </c>
      <c r="W154" s="675">
        <v>3464</v>
      </c>
      <c r="X154" s="675">
        <v>3464</v>
      </c>
      <c r="Y154" s="675">
        <v>0</v>
      </c>
      <c r="Z154" s="675">
        <v>0</v>
      </c>
      <c r="AA154" s="675">
        <v>0</v>
      </c>
      <c r="AB154" s="675">
        <v>0</v>
      </c>
      <c r="AC154" s="675">
        <v>0</v>
      </c>
      <c r="AD154" s="675" t="s">
        <v>316</v>
      </c>
      <c r="AE154" s="675">
        <v>0</v>
      </c>
      <c r="AF154" s="675">
        <v>0</v>
      </c>
      <c r="AG154" s="675">
        <v>0</v>
      </c>
      <c r="AH154" s="675">
        <v>0</v>
      </c>
      <c r="AI154" s="675">
        <v>0</v>
      </c>
      <c r="AJ154" s="675">
        <v>6160</v>
      </c>
      <c r="AK154" s="675" t="s">
        <v>671</v>
      </c>
      <c r="AL154" s="675" t="s">
        <v>29</v>
      </c>
      <c r="AM154" s="675">
        <v>0</v>
      </c>
      <c r="AN154" s="675">
        <v>0</v>
      </c>
      <c r="AO154" s="675">
        <v>0</v>
      </c>
      <c r="AP154" s="675">
        <v>0</v>
      </c>
      <c r="AQ154" s="675">
        <v>0</v>
      </c>
      <c r="AR154" s="675">
        <v>0</v>
      </c>
      <c r="AS154" s="675">
        <v>0</v>
      </c>
      <c r="AT154" s="675">
        <v>0</v>
      </c>
      <c r="AU154" s="675">
        <v>0</v>
      </c>
      <c r="AV154" s="675">
        <v>0</v>
      </c>
      <c r="AW154" s="675">
        <v>3548133</v>
      </c>
      <c r="AX154" s="675">
        <v>3493313</v>
      </c>
      <c r="AY154" s="675">
        <v>2468015</v>
      </c>
      <c r="AZ154" s="675">
        <v>128354</v>
      </c>
      <c r="BA154" s="675">
        <v>0</v>
      </c>
      <c r="BB154" s="675">
        <v>5606</v>
      </c>
      <c r="BC154" s="675">
        <v>5570</v>
      </c>
      <c r="BD154" s="675">
        <v>13</v>
      </c>
      <c r="BE154" s="675">
        <v>36</v>
      </c>
      <c r="BF154" s="675">
        <v>3225685</v>
      </c>
      <c r="BG154" s="675">
        <v>0</v>
      </c>
      <c r="BH154" s="675">
        <v>0</v>
      </c>
      <c r="BI154" s="675">
        <v>0</v>
      </c>
      <c r="BJ154" s="675">
        <v>12</v>
      </c>
      <c r="BK154" s="675">
        <v>0</v>
      </c>
      <c r="BL154" s="675">
        <v>0</v>
      </c>
      <c r="BM154" s="675">
        <v>0</v>
      </c>
      <c r="BN154" s="675">
        <v>0</v>
      </c>
      <c r="BO154" s="675">
        <v>0</v>
      </c>
      <c r="BP154" s="675">
        <v>0</v>
      </c>
      <c r="BQ154" s="675">
        <v>723</v>
      </c>
      <c r="BR154" s="675">
        <v>0</v>
      </c>
      <c r="BS154" s="675">
        <v>0</v>
      </c>
      <c r="BT154" s="675">
        <v>0</v>
      </c>
      <c r="BU154" s="675">
        <v>0</v>
      </c>
      <c r="BV154" s="675">
        <v>0</v>
      </c>
      <c r="BW154" s="675">
        <v>0</v>
      </c>
      <c r="BX154" s="675">
        <v>0</v>
      </c>
      <c r="BY154" s="675">
        <v>0</v>
      </c>
      <c r="BZ154" s="675">
        <v>0</v>
      </c>
      <c r="CA154" s="675">
        <v>0</v>
      </c>
      <c r="CB154" s="675">
        <v>0</v>
      </c>
      <c r="CC154" s="675">
        <v>0</v>
      </c>
      <c r="CD154" s="675">
        <v>0</v>
      </c>
      <c r="CE154" s="675">
        <v>0</v>
      </c>
      <c r="CF154" s="675">
        <v>0</v>
      </c>
      <c r="CG154" s="675">
        <v>0</v>
      </c>
      <c r="CH154" s="675">
        <v>55732</v>
      </c>
      <c r="CI154" s="675">
        <v>0</v>
      </c>
      <c r="CJ154" s="675">
        <v>4</v>
      </c>
      <c r="CK154" s="675">
        <v>0</v>
      </c>
      <c r="CL154" s="675">
        <v>0</v>
      </c>
      <c r="CM154" s="675">
        <v>0</v>
      </c>
      <c r="CN154" s="675">
        <v>0</v>
      </c>
      <c r="CO154" s="675">
        <v>1</v>
      </c>
      <c r="CP154" s="675">
        <v>0</v>
      </c>
      <c r="CQ154" s="675">
        <v>0</v>
      </c>
      <c r="CR154" s="675">
        <v>346.904</v>
      </c>
      <c r="CS154" s="675">
        <v>0</v>
      </c>
      <c r="CT154" s="675">
        <v>0</v>
      </c>
      <c r="CU154" s="675">
        <v>0</v>
      </c>
      <c r="CV154" s="675">
        <v>0</v>
      </c>
      <c r="CW154" s="675">
        <v>0</v>
      </c>
      <c r="CX154" s="675">
        <v>0</v>
      </c>
      <c r="CY154" s="675">
        <v>0</v>
      </c>
      <c r="CZ154" s="675">
        <v>0</v>
      </c>
      <c r="DA154" s="675">
        <v>0</v>
      </c>
      <c r="DB154" s="675">
        <v>1875453</v>
      </c>
      <c r="DC154" s="675">
        <v>0</v>
      </c>
      <c r="DD154" s="675">
        <v>0</v>
      </c>
      <c r="DE154" s="675">
        <v>660426</v>
      </c>
      <c r="DF154" s="675">
        <v>660426</v>
      </c>
      <c r="DG154" s="675">
        <v>107.21300000000001</v>
      </c>
      <c r="DH154" s="675">
        <v>0</v>
      </c>
      <c r="DI154" s="675">
        <v>0</v>
      </c>
      <c r="DJ154" s="675">
        <v>0</v>
      </c>
      <c r="DK154" s="675">
        <v>3192</v>
      </c>
      <c r="DL154" s="675">
        <v>0</v>
      </c>
      <c r="DM154" s="675">
        <v>232886</v>
      </c>
      <c r="DN154" s="675">
        <v>876</v>
      </c>
      <c r="DO154" s="675">
        <v>0</v>
      </c>
      <c r="DP154" s="675">
        <v>0</v>
      </c>
      <c r="DQ154" s="675">
        <v>0</v>
      </c>
      <c r="DR154" s="675">
        <v>0</v>
      </c>
      <c r="DS154" s="675">
        <v>0</v>
      </c>
      <c r="DT154" s="675">
        <v>0</v>
      </c>
      <c r="DU154" s="675">
        <v>0</v>
      </c>
      <c r="DV154" s="675">
        <v>0</v>
      </c>
      <c r="DW154" s="675">
        <v>0</v>
      </c>
      <c r="DX154" s="675">
        <v>0</v>
      </c>
      <c r="DY154" s="675">
        <v>0</v>
      </c>
      <c r="DZ154" s="675">
        <v>0</v>
      </c>
      <c r="EA154" s="675">
        <v>0</v>
      </c>
      <c r="EB154" s="675">
        <v>0</v>
      </c>
      <c r="EC154" s="675">
        <v>3.137</v>
      </c>
      <c r="ED154" s="675">
        <v>22222</v>
      </c>
      <c r="EE154" s="675">
        <v>0</v>
      </c>
      <c r="EF154" s="675">
        <v>0</v>
      </c>
      <c r="EG154" s="675">
        <v>0</v>
      </c>
      <c r="EH154" s="675">
        <v>211540</v>
      </c>
      <c r="EI154" s="675">
        <v>0</v>
      </c>
      <c r="EJ154" s="675">
        <v>0</v>
      </c>
      <c r="EK154" s="675">
        <v>10.842000000000001</v>
      </c>
      <c r="EL154" s="675">
        <v>0</v>
      </c>
      <c r="EM154" s="675">
        <v>0</v>
      </c>
      <c r="EN154" s="675">
        <v>0.36300000000000004</v>
      </c>
      <c r="EO154" s="675">
        <v>0</v>
      </c>
      <c r="EP154" s="675">
        <v>0</v>
      </c>
      <c r="EQ154" s="675">
        <v>11.205</v>
      </c>
      <c r="ER154" s="675">
        <v>0</v>
      </c>
      <c r="ES154" s="675">
        <v>34.341000000000001</v>
      </c>
      <c r="ET154" s="675">
        <v>0</v>
      </c>
      <c r="EU154" s="675">
        <v>0</v>
      </c>
      <c r="EV154" s="675">
        <v>0</v>
      </c>
      <c r="EW154" s="675">
        <v>0</v>
      </c>
      <c r="EX154" s="675">
        <v>0</v>
      </c>
      <c r="EY154" s="675">
        <v>0</v>
      </c>
      <c r="EZ154" s="675">
        <v>3097331</v>
      </c>
      <c r="FA154" s="675">
        <v>0</v>
      </c>
      <c r="FB154" s="675">
        <v>3224773</v>
      </c>
      <c r="FC154" s="675">
        <v>0</v>
      </c>
      <c r="FD154" s="675">
        <v>0</v>
      </c>
      <c r="FE154" s="675">
        <v>328118</v>
      </c>
      <c r="FF154" s="675">
        <v>67864</v>
      </c>
      <c r="FG154" s="675">
        <v>6.3574999999999993E-2</v>
      </c>
      <c r="FH154" s="675">
        <v>2.6297999999999998E-2</v>
      </c>
      <c r="FI154" s="675">
        <v>0</v>
      </c>
      <c r="FJ154" s="675">
        <v>0</v>
      </c>
      <c r="FK154" s="675">
        <v>523.65300000000002</v>
      </c>
      <c r="FL154" s="675">
        <v>3676487</v>
      </c>
      <c r="FM154" s="675">
        <v>0</v>
      </c>
      <c r="FN154" s="675">
        <v>0</v>
      </c>
      <c r="FO154" s="675">
        <v>0</v>
      </c>
      <c r="FP154" s="675">
        <v>0</v>
      </c>
      <c r="FQ154" s="675">
        <v>0</v>
      </c>
      <c r="FR154" s="675">
        <v>0</v>
      </c>
      <c r="FS154" s="675">
        <v>0</v>
      </c>
      <c r="FT154" s="675">
        <v>0</v>
      </c>
      <c r="FU154" s="675">
        <v>0</v>
      </c>
      <c r="FV154" s="675">
        <v>0</v>
      </c>
      <c r="FW154" s="675">
        <v>0</v>
      </c>
      <c r="FX154" s="675">
        <v>0</v>
      </c>
      <c r="FY154" s="675">
        <v>0</v>
      </c>
      <c r="FZ154" s="675">
        <v>0</v>
      </c>
      <c r="GA154" s="675">
        <v>0</v>
      </c>
      <c r="GB154" s="675">
        <v>0</v>
      </c>
      <c r="GC154" s="675">
        <v>0</v>
      </c>
      <c r="GD154" s="675">
        <v>0</v>
      </c>
      <c r="GE154" s="675">
        <v>0</v>
      </c>
      <c r="GF154" s="675">
        <v>0</v>
      </c>
      <c r="GG154" s="675">
        <v>0</v>
      </c>
      <c r="GH154" s="675">
        <v>0</v>
      </c>
      <c r="GI154" s="675">
        <v>0</v>
      </c>
      <c r="GJ154" s="675">
        <v>0</v>
      </c>
      <c r="GK154" s="675">
        <v>0</v>
      </c>
      <c r="GL154" s="675">
        <v>0</v>
      </c>
      <c r="GM154" s="675">
        <v>0</v>
      </c>
      <c r="GN154" s="675">
        <v>0</v>
      </c>
      <c r="GO154" s="675">
        <v>0</v>
      </c>
      <c r="GP154" s="675">
        <v>0</v>
      </c>
      <c r="GQ154" s="675">
        <v>0</v>
      </c>
      <c r="GR154" s="675">
        <v>0</v>
      </c>
      <c r="GS154" s="675">
        <v>0</v>
      </c>
      <c r="GT154" s="675">
        <v>0</v>
      </c>
      <c r="GU154" s="675">
        <v>0</v>
      </c>
      <c r="GV154" s="675">
        <v>0</v>
      </c>
      <c r="GW154" s="675">
        <v>0</v>
      </c>
      <c r="GX154" s="675">
        <v>0</v>
      </c>
      <c r="GY154" s="675">
        <v>0</v>
      </c>
      <c r="GZ154" s="675">
        <v>0</v>
      </c>
      <c r="HA154" s="675">
        <v>0</v>
      </c>
      <c r="HB154" s="675">
        <v>308877260</v>
      </c>
      <c r="HC154" s="675">
        <v>4.4138999999999998E-2</v>
      </c>
      <c r="HD154" s="675">
        <v>55732</v>
      </c>
      <c r="HE154" s="675">
        <v>0</v>
      </c>
      <c r="HF154" s="675">
        <v>335817</v>
      </c>
      <c r="HG154" s="675">
        <v>0</v>
      </c>
      <c r="HH154" s="675">
        <v>108089</v>
      </c>
      <c r="HI154" s="675">
        <v>0</v>
      </c>
      <c r="HJ154" s="675">
        <v>3068</v>
      </c>
      <c r="HK154" s="675">
        <v>0</v>
      </c>
      <c r="HL154" s="675">
        <v>0</v>
      </c>
      <c r="HM154" s="675">
        <v>0</v>
      </c>
      <c r="HN154" s="675">
        <v>0</v>
      </c>
      <c r="HO154" s="675">
        <v>0</v>
      </c>
      <c r="HP154" s="675">
        <v>0</v>
      </c>
      <c r="HQ154" s="675">
        <v>0</v>
      </c>
      <c r="HR154" s="675">
        <v>0</v>
      </c>
      <c r="HS154" s="675">
        <v>3096419</v>
      </c>
      <c r="HT154" s="675">
        <v>67864</v>
      </c>
      <c r="HU154" s="675">
        <v>0</v>
      </c>
      <c r="HV154" s="675">
        <v>0</v>
      </c>
      <c r="HW154" s="675">
        <v>0</v>
      </c>
      <c r="HX154" s="675">
        <v>52</v>
      </c>
      <c r="HY154" s="675">
        <v>45</v>
      </c>
      <c r="HZ154" s="675">
        <v>49</v>
      </c>
      <c r="IA154" s="675">
        <v>68</v>
      </c>
      <c r="IB154" s="675">
        <v>199</v>
      </c>
      <c r="IC154" s="675">
        <v>413</v>
      </c>
      <c r="ID154" s="675">
        <v>0</v>
      </c>
      <c r="IE154" s="675">
        <v>0</v>
      </c>
      <c r="IF154" s="675">
        <v>0</v>
      </c>
      <c r="IG154" s="675">
        <v>0</v>
      </c>
      <c r="IH154" s="675">
        <v>175.47</v>
      </c>
      <c r="II154" s="675">
        <v>0</v>
      </c>
      <c r="IJ154" s="675">
        <v>5.6230000000000002</v>
      </c>
      <c r="IK154" s="675">
        <v>0</v>
      </c>
      <c r="IL154" s="675">
        <v>0</v>
      </c>
      <c r="IM154" s="675">
        <v>0</v>
      </c>
      <c r="IN154" s="675">
        <v>0</v>
      </c>
      <c r="IO154" s="675">
        <v>0</v>
      </c>
      <c r="IP154" s="675">
        <v>0</v>
      </c>
      <c r="IQ154" s="675">
        <v>5.6230000000000002</v>
      </c>
      <c r="IR154" s="675">
        <v>3464</v>
      </c>
      <c r="IS154" s="675">
        <v>0</v>
      </c>
      <c r="IT154" s="675">
        <v>0</v>
      </c>
      <c r="IU154" s="675">
        <v>0</v>
      </c>
      <c r="IV154" s="675">
        <v>0</v>
      </c>
      <c r="IW154" s="675">
        <v>6160</v>
      </c>
      <c r="IX154" s="675">
        <v>0</v>
      </c>
      <c r="IY154" s="675">
        <v>0</v>
      </c>
      <c r="IZ154" s="675">
        <v>0</v>
      </c>
      <c r="JA154" s="675">
        <v>0</v>
      </c>
      <c r="JB154" s="675">
        <v>0</v>
      </c>
      <c r="JC154" s="675">
        <v>0</v>
      </c>
      <c r="JD154" s="675">
        <v>0</v>
      </c>
      <c r="JE154" s="675">
        <v>0</v>
      </c>
      <c r="JF154" s="675">
        <v>0</v>
      </c>
      <c r="JG154" s="675">
        <v>0</v>
      </c>
      <c r="JH154" s="675">
        <v>0</v>
      </c>
      <c r="JI154" s="675">
        <v>0</v>
      </c>
      <c r="JJ154" s="675">
        <v>0</v>
      </c>
      <c r="JK154" s="675">
        <v>0</v>
      </c>
      <c r="JL154" s="675">
        <v>0</v>
      </c>
      <c r="JM154" s="675">
        <v>0</v>
      </c>
      <c r="JN154" s="675">
        <v>32469</v>
      </c>
      <c r="JO154" s="675">
        <v>0</v>
      </c>
      <c r="JP154" s="675">
        <v>0</v>
      </c>
      <c r="JQ154" s="675">
        <v>0</v>
      </c>
      <c r="JR154" s="675">
        <v>0</v>
      </c>
      <c r="JS154" s="675">
        <v>0</v>
      </c>
      <c r="JT154" s="675">
        <v>0</v>
      </c>
      <c r="JU154" s="675">
        <v>5606</v>
      </c>
      <c r="JV154" s="675">
        <v>0</v>
      </c>
      <c r="JW154" s="675">
        <v>0</v>
      </c>
      <c r="JX154" s="675">
        <v>0</v>
      </c>
      <c r="JY154" s="675">
        <v>0</v>
      </c>
      <c r="JZ154" s="675">
        <v>0</v>
      </c>
      <c r="KA154" s="675">
        <v>0</v>
      </c>
      <c r="KB154" s="675">
        <v>0</v>
      </c>
      <c r="KC154" s="675">
        <v>0</v>
      </c>
      <c r="KD154" s="675">
        <v>5606</v>
      </c>
      <c r="KE154" s="675">
        <v>7263</v>
      </c>
      <c r="KF154" s="675">
        <v>0</v>
      </c>
      <c r="KG154" s="675">
        <v>0</v>
      </c>
      <c r="KH154" s="675">
        <v>0</v>
      </c>
      <c r="KI154" s="675">
        <v>0</v>
      </c>
    </row>
    <row r="155" spans="1:295" ht="12.5" x14ac:dyDescent="0.25">
      <c r="A155" s="675">
        <v>35795</v>
      </c>
      <c r="B155" s="675">
        <v>15841</v>
      </c>
      <c r="C155" s="675">
        <v>7</v>
      </c>
      <c r="D155" s="675">
        <v>2022</v>
      </c>
      <c r="E155" s="675">
        <v>6160</v>
      </c>
      <c r="F155" s="675">
        <v>0</v>
      </c>
      <c r="G155" s="675">
        <v>415.71600000000001</v>
      </c>
      <c r="H155" s="675">
        <v>415.71600000000001</v>
      </c>
      <c r="I155" s="675">
        <v>415.71600000000001</v>
      </c>
      <c r="J155" s="675">
        <v>415.71600000000001</v>
      </c>
      <c r="K155" s="675">
        <v>0</v>
      </c>
      <c r="L155" s="675">
        <v>6160</v>
      </c>
      <c r="M155" s="675">
        <v>0</v>
      </c>
      <c r="N155" s="675">
        <v>0</v>
      </c>
      <c r="O155" s="675">
        <v>0</v>
      </c>
      <c r="P155" s="675">
        <v>326.25300000000004</v>
      </c>
      <c r="Q155" s="675">
        <v>0</v>
      </c>
      <c r="R155" s="675">
        <v>131293</v>
      </c>
      <c r="S155" s="675">
        <v>402.428</v>
      </c>
      <c r="T155" s="675">
        <v>0</v>
      </c>
      <c r="U155" s="675">
        <v>69818</v>
      </c>
      <c r="V155" s="675">
        <v>4.5650000000000004</v>
      </c>
      <c r="W155" s="675">
        <v>2812</v>
      </c>
      <c r="X155" s="675">
        <v>2812</v>
      </c>
      <c r="Y155" s="675">
        <v>0</v>
      </c>
      <c r="Z155" s="675">
        <v>0</v>
      </c>
      <c r="AA155" s="675">
        <v>0</v>
      </c>
      <c r="AB155" s="675">
        <v>0</v>
      </c>
      <c r="AC155" s="675">
        <v>0</v>
      </c>
      <c r="AD155" s="675" t="s">
        <v>316</v>
      </c>
      <c r="AE155" s="675">
        <v>0</v>
      </c>
      <c r="AF155" s="675">
        <v>0</v>
      </c>
      <c r="AG155" s="675">
        <v>0</v>
      </c>
      <c r="AH155" s="675">
        <v>0</v>
      </c>
      <c r="AI155" s="675">
        <v>0</v>
      </c>
      <c r="AJ155" s="675">
        <v>6160</v>
      </c>
      <c r="AK155" s="675" t="s">
        <v>671</v>
      </c>
      <c r="AL155" s="675" t="s">
        <v>546</v>
      </c>
      <c r="AM155" s="675">
        <v>0</v>
      </c>
      <c r="AN155" s="675">
        <v>0</v>
      </c>
      <c r="AO155" s="675">
        <v>0</v>
      </c>
      <c r="AP155" s="675">
        <v>0</v>
      </c>
      <c r="AQ155" s="675">
        <v>0</v>
      </c>
      <c r="AR155" s="675">
        <v>0</v>
      </c>
      <c r="AS155" s="675">
        <v>0</v>
      </c>
      <c r="AT155" s="675">
        <v>0</v>
      </c>
      <c r="AU155" s="675">
        <v>0</v>
      </c>
      <c r="AV155" s="675">
        <v>-184</v>
      </c>
      <c r="AW155" s="675">
        <v>4740794</v>
      </c>
      <c r="AX155" s="675">
        <v>4142969</v>
      </c>
      <c r="AY155" s="675">
        <v>3663338</v>
      </c>
      <c r="AZ155" s="675">
        <v>131293</v>
      </c>
      <c r="BA155" s="675">
        <v>0</v>
      </c>
      <c r="BB155" s="675">
        <v>0</v>
      </c>
      <c r="BC155" s="675">
        <v>0</v>
      </c>
      <c r="BD155" s="675">
        <v>0</v>
      </c>
      <c r="BE155" s="675">
        <v>0</v>
      </c>
      <c r="BF155" s="675">
        <v>3593900</v>
      </c>
      <c r="BG155" s="675">
        <v>0</v>
      </c>
      <c r="BH155" s="675">
        <v>0</v>
      </c>
      <c r="BI155" s="675">
        <v>0</v>
      </c>
      <c r="BJ155" s="675">
        <v>12</v>
      </c>
      <c r="BK155" s="675">
        <v>0</v>
      </c>
      <c r="BL155" s="675">
        <v>0</v>
      </c>
      <c r="BM155" s="675">
        <v>0</v>
      </c>
      <c r="BN155" s="675">
        <v>0</v>
      </c>
      <c r="BO155" s="675">
        <v>0</v>
      </c>
      <c r="BP155" s="675">
        <v>0</v>
      </c>
      <c r="BQ155" s="675">
        <v>706</v>
      </c>
      <c r="BR155" s="675">
        <v>0</v>
      </c>
      <c r="BS155" s="675">
        <v>0</v>
      </c>
      <c r="BT155" s="675">
        <v>0</v>
      </c>
      <c r="BU155" s="675">
        <v>0</v>
      </c>
      <c r="BV155" s="675">
        <v>0</v>
      </c>
      <c r="BW155" s="675">
        <v>0</v>
      </c>
      <c r="BX155" s="675">
        <v>0</v>
      </c>
      <c r="BY155" s="675">
        <v>0</v>
      </c>
      <c r="BZ155" s="675">
        <v>0</v>
      </c>
      <c r="CA155" s="675">
        <v>280.47200000000004</v>
      </c>
      <c r="CB155" s="675">
        <v>239179</v>
      </c>
      <c r="CC155" s="675">
        <v>0</v>
      </c>
      <c r="CD155" s="675">
        <v>0</v>
      </c>
      <c r="CE155" s="675">
        <v>0</v>
      </c>
      <c r="CF155" s="675">
        <v>0</v>
      </c>
      <c r="CG155" s="675">
        <v>0</v>
      </c>
      <c r="CH155" s="675">
        <v>597825</v>
      </c>
      <c r="CI155" s="675">
        <v>0</v>
      </c>
      <c r="CJ155" s="675">
        <v>5</v>
      </c>
      <c r="CK155" s="675">
        <v>0</v>
      </c>
      <c r="CL155" s="675">
        <v>0</v>
      </c>
      <c r="CM155" s="675">
        <v>0</v>
      </c>
      <c r="CN155" s="675">
        <v>0</v>
      </c>
      <c r="CO155" s="675">
        <v>1</v>
      </c>
      <c r="CP155" s="675">
        <v>0</v>
      </c>
      <c r="CQ155" s="675">
        <v>0</v>
      </c>
      <c r="CR155" s="675">
        <v>325.327</v>
      </c>
      <c r="CS155" s="675">
        <v>0</v>
      </c>
      <c r="CT155" s="675">
        <v>0</v>
      </c>
      <c r="CU155" s="675">
        <v>0</v>
      </c>
      <c r="CV155" s="675">
        <v>0</v>
      </c>
      <c r="CW155" s="675">
        <v>0</v>
      </c>
      <c r="CX155" s="675">
        <v>0</v>
      </c>
      <c r="CY155" s="675">
        <v>0</v>
      </c>
      <c r="CZ155" s="675">
        <v>0</v>
      </c>
      <c r="DA155" s="675">
        <v>0</v>
      </c>
      <c r="DB155" s="675">
        <v>2560799</v>
      </c>
      <c r="DC155" s="675">
        <v>0</v>
      </c>
      <c r="DD155" s="675">
        <v>0</v>
      </c>
      <c r="DE155" s="675">
        <v>411409</v>
      </c>
      <c r="DF155" s="675">
        <v>411409</v>
      </c>
      <c r="DG155" s="675">
        <v>66.787999999999997</v>
      </c>
      <c r="DH155" s="675">
        <v>0</v>
      </c>
      <c r="DI155" s="675">
        <v>0</v>
      </c>
      <c r="DJ155" s="675">
        <v>0</v>
      </c>
      <c r="DK155" s="675">
        <v>2918</v>
      </c>
      <c r="DL155" s="675">
        <v>0</v>
      </c>
      <c r="DM155" s="675">
        <v>0</v>
      </c>
      <c r="DN155" s="675">
        <v>0</v>
      </c>
      <c r="DO155" s="675">
        <v>0</v>
      </c>
      <c r="DP155" s="675">
        <v>0</v>
      </c>
      <c r="DQ155" s="675">
        <v>0</v>
      </c>
      <c r="DR155" s="675">
        <v>0</v>
      </c>
      <c r="DS155" s="675">
        <v>0</v>
      </c>
      <c r="DT155" s="675">
        <v>0</v>
      </c>
      <c r="DU155" s="675">
        <v>0</v>
      </c>
      <c r="DV155" s="675">
        <v>0</v>
      </c>
      <c r="DW155" s="675">
        <v>0</v>
      </c>
      <c r="DX155" s="675">
        <v>0</v>
      </c>
      <c r="DY155" s="675">
        <v>0</v>
      </c>
      <c r="DZ155" s="675">
        <v>0</v>
      </c>
      <c r="EA155" s="675">
        <v>0</v>
      </c>
      <c r="EB155" s="675">
        <v>0</v>
      </c>
      <c r="EC155" s="675">
        <v>0</v>
      </c>
      <c r="ED155" s="675">
        <v>0</v>
      </c>
      <c r="EE155" s="675">
        <v>0</v>
      </c>
      <c r="EF155" s="675">
        <v>0</v>
      </c>
      <c r="EG155" s="675">
        <v>0</v>
      </c>
      <c r="EH155" s="675">
        <v>0</v>
      </c>
      <c r="EI155" s="675">
        <v>0</v>
      </c>
      <c r="EJ155" s="675">
        <v>0</v>
      </c>
      <c r="EK155" s="675">
        <v>0</v>
      </c>
      <c r="EL155" s="675">
        <v>0</v>
      </c>
      <c r="EM155" s="675">
        <v>0</v>
      </c>
      <c r="EN155" s="675">
        <v>0</v>
      </c>
      <c r="EO155" s="675">
        <v>0</v>
      </c>
      <c r="EP155" s="675">
        <v>0</v>
      </c>
      <c r="EQ155" s="675">
        <v>0</v>
      </c>
      <c r="ER155" s="675">
        <v>0</v>
      </c>
      <c r="ES155" s="675">
        <v>0</v>
      </c>
      <c r="ET155" s="675">
        <v>0</v>
      </c>
      <c r="EU155" s="675">
        <v>0</v>
      </c>
      <c r="EV155" s="675">
        <v>0</v>
      </c>
      <c r="EW155" s="675">
        <v>0</v>
      </c>
      <c r="EX155" s="675">
        <v>0</v>
      </c>
      <c r="EY155" s="675">
        <v>0</v>
      </c>
      <c r="EZ155" s="675">
        <v>3701786</v>
      </c>
      <c r="FA155" s="675">
        <v>0</v>
      </c>
      <c r="FB155" s="675">
        <v>3833079</v>
      </c>
      <c r="FC155" s="675">
        <v>0</v>
      </c>
      <c r="FD155" s="675">
        <v>0</v>
      </c>
      <c r="FE155" s="675">
        <v>365573</v>
      </c>
      <c r="FF155" s="675">
        <v>75610</v>
      </c>
      <c r="FG155" s="675">
        <v>6.3574999999999993E-2</v>
      </c>
      <c r="FH155" s="675">
        <v>2.6297999999999998E-2</v>
      </c>
      <c r="FI155" s="675">
        <v>0</v>
      </c>
      <c r="FJ155" s="675">
        <v>0</v>
      </c>
      <c r="FK155" s="675">
        <v>583.428</v>
      </c>
      <c r="FL155" s="675">
        <v>4872087</v>
      </c>
      <c r="FM155" s="675">
        <v>0</v>
      </c>
      <c r="FN155" s="675">
        <v>0</v>
      </c>
      <c r="FO155" s="675">
        <v>0</v>
      </c>
      <c r="FP155" s="675">
        <v>0</v>
      </c>
      <c r="FQ155" s="675">
        <v>0</v>
      </c>
      <c r="FR155" s="675">
        <v>0</v>
      </c>
      <c r="FS155" s="675">
        <v>0</v>
      </c>
      <c r="FT155" s="675">
        <v>0</v>
      </c>
      <c r="FU155" s="675">
        <v>0</v>
      </c>
      <c r="FV155" s="675">
        <v>0</v>
      </c>
      <c r="FW155" s="675">
        <v>0</v>
      </c>
      <c r="FX155" s="675">
        <v>0</v>
      </c>
      <c r="FY155" s="675">
        <v>0</v>
      </c>
      <c r="FZ155" s="675">
        <v>0</v>
      </c>
      <c r="GA155" s="675">
        <v>0</v>
      </c>
      <c r="GB155" s="675">
        <v>0</v>
      </c>
      <c r="GC155" s="675">
        <v>0</v>
      </c>
      <c r="GD155" s="675">
        <v>0</v>
      </c>
      <c r="GE155" s="675">
        <v>0</v>
      </c>
      <c r="GF155" s="675">
        <v>0</v>
      </c>
      <c r="GG155" s="675">
        <v>0</v>
      </c>
      <c r="GH155" s="675">
        <v>0</v>
      </c>
      <c r="GI155" s="675">
        <v>0</v>
      </c>
      <c r="GJ155" s="675">
        <v>0</v>
      </c>
      <c r="GK155" s="675">
        <v>0</v>
      </c>
      <c r="GL155" s="675">
        <v>0</v>
      </c>
      <c r="GM155" s="675">
        <v>0</v>
      </c>
      <c r="GN155" s="675">
        <v>0</v>
      </c>
      <c r="GO155" s="675">
        <v>0</v>
      </c>
      <c r="GP155" s="675">
        <v>0</v>
      </c>
      <c r="GQ155" s="675">
        <v>0</v>
      </c>
      <c r="GR155" s="675">
        <v>0</v>
      </c>
      <c r="GS155" s="675">
        <v>0</v>
      </c>
      <c r="GT155" s="675">
        <v>0</v>
      </c>
      <c r="GU155" s="675">
        <v>0</v>
      </c>
      <c r="GV155" s="675">
        <v>0</v>
      </c>
      <c r="GW155" s="675">
        <v>0</v>
      </c>
      <c r="GX155" s="675">
        <v>0</v>
      </c>
      <c r="GY155" s="675">
        <v>0</v>
      </c>
      <c r="GZ155" s="675">
        <v>0</v>
      </c>
      <c r="HA155" s="675">
        <v>0</v>
      </c>
      <c r="HB155" s="675">
        <v>0</v>
      </c>
      <c r="HC155" s="675">
        <v>4.4138999999999998E-2</v>
      </c>
      <c r="HD155" s="675">
        <v>0</v>
      </c>
      <c r="HE155" s="675">
        <v>0</v>
      </c>
      <c r="HF155" s="675">
        <v>458535</v>
      </c>
      <c r="HG155" s="675">
        <v>7392</v>
      </c>
      <c r="HH155" s="675">
        <v>148912</v>
      </c>
      <c r="HI155" s="675">
        <v>0</v>
      </c>
      <c r="HJ155" s="675">
        <v>4041</v>
      </c>
      <c r="HK155" s="675">
        <v>0</v>
      </c>
      <c r="HL155" s="675">
        <v>0</v>
      </c>
      <c r="HM155" s="675">
        <v>0</v>
      </c>
      <c r="HN155" s="675">
        <v>0</v>
      </c>
      <c r="HO155" s="675">
        <v>0</v>
      </c>
      <c r="HP155" s="675">
        <v>0</v>
      </c>
      <c r="HQ155" s="675">
        <v>0</v>
      </c>
      <c r="HR155" s="675">
        <v>0</v>
      </c>
      <c r="HS155" s="675">
        <v>3701786</v>
      </c>
      <c r="HT155" s="675">
        <v>75610</v>
      </c>
      <c r="HU155" s="675">
        <v>0</v>
      </c>
      <c r="HV155" s="675">
        <v>0</v>
      </c>
      <c r="HW155" s="675">
        <v>0</v>
      </c>
      <c r="HX155" s="675">
        <v>45</v>
      </c>
      <c r="HY155" s="675">
        <v>58</v>
      </c>
      <c r="HZ155" s="675">
        <v>71</v>
      </c>
      <c r="IA155" s="675">
        <v>57</v>
      </c>
      <c r="IB155" s="675">
        <v>37</v>
      </c>
      <c r="IC155" s="675">
        <v>268</v>
      </c>
      <c r="ID155" s="675">
        <v>0</v>
      </c>
      <c r="IE155" s="675">
        <v>0</v>
      </c>
      <c r="IF155" s="675">
        <v>0</v>
      </c>
      <c r="IG155" s="675">
        <v>12</v>
      </c>
      <c r="IH155" s="675">
        <v>241.74100000000001</v>
      </c>
      <c r="II155" s="675">
        <v>0</v>
      </c>
      <c r="IJ155" s="675">
        <v>4.5650000000000004</v>
      </c>
      <c r="IK155" s="675">
        <v>0</v>
      </c>
      <c r="IL155" s="675">
        <v>0</v>
      </c>
      <c r="IM155" s="675">
        <v>0</v>
      </c>
      <c r="IN155" s="675">
        <v>0</v>
      </c>
      <c r="IO155" s="675">
        <v>0</v>
      </c>
      <c r="IP155" s="675">
        <v>0</v>
      </c>
      <c r="IQ155" s="675">
        <v>4.5650000000000004</v>
      </c>
      <c r="IR155" s="675">
        <v>2812</v>
      </c>
      <c r="IS155" s="675">
        <v>0</v>
      </c>
      <c r="IT155" s="675">
        <v>0</v>
      </c>
      <c r="IU155" s="675">
        <v>0</v>
      </c>
      <c r="IV155" s="675">
        <v>0</v>
      </c>
      <c r="IW155" s="675">
        <v>6160</v>
      </c>
      <c r="IX155" s="675">
        <v>0</v>
      </c>
      <c r="IY155" s="675">
        <v>0</v>
      </c>
      <c r="IZ155" s="675">
        <v>0</v>
      </c>
      <c r="JA155" s="675">
        <v>0</v>
      </c>
      <c r="JB155" s="675">
        <v>0</v>
      </c>
      <c r="JC155" s="675">
        <v>0</v>
      </c>
      <c r="JD155" s="675">
        <v>0</v>
      </c>
      <c r="JE155" s="675">
        <v>0</v>
      </c>
      <c r="JF155" s="675">
        <v>0</v>
      </c>
      <c r="JG155" s="675">
        <v>0</v>
      </c>
      <c r="JH155" s="675">
        <v>0</v>
      </c>
      <c r="JI155" s="675">
        <v>0</v>
      </c>
      <c r="JJ155" s="675">
        <v>0</v>
      </c>
      <c r="JK155" s="675">
        <v>0</v>
      </c>
      <c r="JL155" s="675">
        <v>0</v>
      </c>
      <c r="JM155" s="675">
        <v>0</v>
      </c>
      <c r="JN155" s="675">
        <v>0</v>
      </c>
      <c r="JO155" s="675">
        <v>0</v>
      </c>
      <c r="JP155" s="675">
        <v>0</v>
      </c>
      <c r="JQ155" s="675">
        <v>0</v>
      </c>
      <c r="JR155" s="675">
        <v>0</v>
      </c>
      <c r="JS155" s="675">
        <v>0</v>
      </c>
      <c r="JT155" s="675">
        <v>0</v>
      </c>
      <c r="JU155" s="675">
        <v>0</v>
      </c>
      <c r="JV155" s="675">
        <v>0</v>
      </c>
      <c r="JW155" s="675">
        <v>0</v>
      </c>
      <c r="JX155" s="675">
        <v>0</v>
      </c>
      <c r="JY155" s="675">
        <v>0</v>
      </c>
      <c r="JZ155" s="675">
        <v>0</v>
      </c>
      <c r="KA155" s="675">
        <v>0</v>
      </c>
      <c r="KB155" s="675">
        <v>0</v>
      </c>
      <c r="KC155" s="675">
        <v>0</v>
      </c>
      <c r="KD155" s="675">
        <v>0</v>
      </c>
      <c r="KE155" s="675">
        <v>7263</v>
      </c>
      <c r="KF155" s="675">
        <v>597825</v>
      </c>
      <c r="KG155" s="675">
        <v>0</v>
      </c>
      <c r="KH155" s="675">
        <v>0</v>
      </c>
      <c r="KI155" s="675">
        <v>0</v>
      </c>
    </row>
    <row r="156" spans="1:295" ht="12.5" x14ac:dyDescent="0.25">
      <c r="A156" s="675">
        <v>35795</v>
      </c>
      <c r="B156" s="675">
        <v>57841</v>
      </c>
      <c r="C156" s="675">
        <v>7</v>
      </c>
      <c r="D156" s="675">
        <v>2022</v>
      </c>
      <c r="E156" s="675">
        <v>6160</v>
      </c>
      <c r="F156" s="675">
        <v>0</v>
      </c>
      <c r="G156" s="675">
        <v>1012.341</v>
      </c>
      <c r="H156" s="675">
        <v>997.53300000000002</v>
      </c>
      <c r="I156" s="675">
        <v>997.53300000000002</v>
      </c>
      <c r="J156" s="675">
        <v>1012.341</v>
      </c>
      <c r="K156" s="675">
        <v>0</v>
      </c>
      <c r="L156" s="675">
        <v>6160</v>
      </c>
      <c r="M156" s="675">
        <v>0</v>
      </c>
      <c r="N156" s="675">
        <v>0</v>
      </c>
      <c r="O156" s="675">
        <v>0</v>
      </c>
      <c r="P156" s="675">
        <v>975.01600000000008</v>
      </c>
      <c r="Q156" s="675">
        <v>0</v>
      </c>
      <c r="R156" s="675">
        <v>392374</v>
      </c>
      <c r="S156" s="675">
        <v>402.428</v>
      </c>
      <c r="T156" s="675">
        <v>0</v>
      </c>
      <c r="U156" s="675">
        <v>208656</v>
      </c>
      <c r="V156" s="675">
        <v>563.4</v>
      </c>
      <c r="W156" s="675">
        <v>347053</v>
      </c>
      <c r="X156" s="675">
        <v>347053</v>
      </c>
      <c r="Y156" s="675">
        <v>0</v>
      </c>
      <c r="Z156" s="675">
        <v>0</v>
      </c>
      <c r="AA156" s="675">
        <v>0</v>
      </c>
      <c r="AB156" s="675">
        <v>0</v>
      </c>
      <c r="AC156" s="675">
        <v>0</v>
      </c>
      <c r="AD156" s="675" t="s">
        <v>316</v>
      </c>
      <c r="AE156" s="675">
        <v>0</v>
      </c>
      <c r="AF156" s="675">
        <v>0</v>
      </c>
      <c r="AG156" s="675">
        <v>0</v>
      </c>
      <c r="AH156" s="675">
        <v>0</v>
      </c>
      <c r="AI156" s="675">
        <v>0</v>
      </c>
      <c r="AJ156" s="675">
        <v>6160</v>
      </c>
      <c r="AK156" s="675" t="s">
        <v>671</v>
      </c>
      <c r="AL156" s="675" t="s">
        <v>331</v>
      </c>
      <c r="AM156" s="675">
        <v>0</v>
      </c>
      <c r="AN156" s="675">
        <v>0</v>
      </c>
      <c r="AO156" s="675">
        <v>0</v>
      </c>
      <c r="AP156" s="675">
        <v>0</v>
      </c>
      <c r="AQ156" s="675">
        <v>0</v>
      </c>
      <c r="AR156" s="675">
        <v>0</v>
      </c>
      <c r="AS156" s="675">
        <v>0</v>
      </c>
      <c r="AT156" s="675">
        <v>0</v>
      </c>
      <c r="AU156" s="675">
        <v>0</v>
      </c>
      <c r="AV156" s="675">
        <v>0</v>
      </c>
      <c r="AW156" s="675">
        <v>11774928</v>
      </c>
      <c r="AX156" s="675">
        <v>11599059</v>
      </c>
      <c r="AY156" s="675">
        <v>8112068</v>
      </c>
      <c r="AZ156" s="675">
        <v>392374</v>
      </c>
      <c r="BA156" s="675">
        <v>0</v>
      </c>
      <c r="BB156" s="675">
        <v>0</v>
      </c>
      <c r="BC156" s="675">
        <v>0</v>
      </c>
      <c r="BD156" s="675">
        <v>0</v>
      </c>
      <c r="BE156" s="675">
        <v>0</v>
      </c>
      <c r="BF156" s="675">
        <v>10604625</v>
      </c>
      <c r="BG156" s="675">
        <v>0</v>
      </c>
      <c r="BH156" s="675">
        <v>0</v>
      </c>
      <c r="BI156" s="675">
        <v>0</v>
      </c>
      <c r="BJ156" s="675">
        <v>12</v>
      </c>
      <c r="BK156" s="675">
        <v>0</v>
      </c>
      <c r="BL156" s="675">
        <v>0</v>
      </c>
      <c r="BM156" s="675">
        <v>0</v>
      </c>
      <c r="BN156" s="675">
        <v>0</v>
      </c>
      <c r="BO156" s="675">
        <v>0</v>
      </c>
      <c r="BP156" s="675">
        <v>0</v>
      </c>
      <c r="BQ156" s="675">
        <v>616</v>
      </c>
      <c r="BR156" s="675">
        <v>0</v>
      </c>
      <c r="BS156" s="675">
        <v>0</v>
      </c>
      <c r="BT156" s="675">
        <v>0</v>
      </c>
      <c r="BU156" s="675">
        <v>0</v>
      </c>
      <c r="BV156" s="675">
        <v>0</v>
      </c>
      <c r="BW156" s="675">
        <v>0</v>
      </c>
      <c r="BX156" s="675">
        <v>0</v>
      </c>
      <c r="BY156" s="675">
        <v>0</v>
      </c>
      <c r="BZ156" s="675">
        <v>0</v>
      </c>
      <c r="CA156" s="675">
        <v>99.67</v>
      </c>
      <c r="CB156" s="675">
        <v>84996</v>
      </c>
      <c r="CC156" s="675">
        <v>0</v>
      </c>
      <c r="CD156" s="675">
        <v>0</v>
      </c>
      <c r="CE156" s="675">
        <v>0</v>
      </c>
      <c r="CF156" s="675">
        <v>0</v>
      </c>
      <c r="CG156" s="675">
        <v>0</v>
      </c>
      <c r="CH156" s="675">
        <v>178734</v>
      </c>
      <c r="CI156" s="675">
        <v>0</v>
      </c>
      <c r="CJ156" s="675">
        <v>4</v>
      </c>
      <c r="CK156" s="675">
        <v>0</v>
      </c>
      <c r="CL156" s="675">
        <v>0</v>
      </c>
      <c r="CM156" s="675">
        <v>0</v>
      </c>
      <c r="CN156" s="675">
        <v>0</v>
      </c>
      <c r="CO156" s="675">
        <v>1</v>
      </c>
      <c r="CP156" s="675">
        <v>0</v>
      </c>
      <c r="CQ156" s="675">
        <v>0</v>
      </c>
      <c r="CR156" s="675">
        <v>1049.2240000000002</v>
      </c>
      <c r="CS156" s="675">
        <v>0</v>
      </c>
      <c r="CT156" s="675">
        <v>0</v>
      </c>
      <c r="CU156" s="675">
        <v>0</v>
      </c>
      <c r="CV156" s="675">
        <v>0</v>
      </c>
      <c r="CW156" s="675">
        <v>0</v>
      </c>
      <c r="CX156" s="675">
        <v>0</v>
      </c>
      <c r="CY156" s="675">
        <v>0</v>
      </c>
      <c r="CZ156" s="675">
        <v>0</v>
      </c>
      <c r="DA156" s="675">
        <v>0</v>
      </c>
      <c r="DB156" s="675">
        <v>6144775</v>
      </c>
      <c r="DC156" s="675">
        <v>0</v>
      </c>
      <c r="DD156" s="675">
        <v>0</v>
      </c>
      <c r="DE156" s="675">
        <v>1841831</v>
      </c>
      <c r="DF156" s="675">
        <v>1841831</v>
      </c>
      <c r="DG156" s="675">
        <v>299</v>
      </c>
      <c r="DH156" s="675">
        <v>0</v>
      </c>
      <c r="DI156" s="675">
        <v>0</v>
      </c>
      <c r="DJ156" s="675">
        <v>0</v>
      </c>
      <c r="DK156" s="675">
        <v>1484</v>
      </c>
      <c r="DL156" s="675">
        <v>0</v>
      </c>
      <c r="DM156" s="675">
        <v>761728</v>
      </c>
      <c r="DN156" s="675">
        <v>2865</v>
      </c>
      <c r="DO156" s="675">
        <v>0</v>
      </c>
      <c r="DP156" s="675">
        <v>0</v>
      </c>
      <c r="DQ156" s="675">
        <v>0</v>
      </c>
      <c r="DR156" s="675">
        <v>0</v>
      </c>
      <c r="DS156" s="675">
        <v>0</v>
      </c>
      <c r="DT156" s="675">
        <v>0</v>
      </c>
      <c r="DU156" s="675">
        <v>0</v>
      </c>
      <c r="DV156" s="675">
        <v>0</v>
      </c>
      <c r="DW156" s="675">
        <v>0</v>
      </c>
      <c r="DX156" s="675">
        <v>0</v>
      </c>
      <c r="DY156" s="675">
        <v>0</v>
      </c>
      <c r="DZ156" s="675">
        <v>0</v>
      </c>
      <c r="EA156" s="675">
        <v>0</v>
      </c>
      <c r="EB156" s="675">
        <v>0</v>
      </c>
      <c r="EC156" s="675">
        <v>65.378</v>
      </c>
      <c r="ED156" s="675">
        <v>463136</v>
      </c>
      <c r="EE156" s="675">
        <v>0</v>
      </c>
      <c r="EF156" s="675">
        <v>0</v>
      </c>
      <c r="EG156" s="675">
        <v>0</v>
      </c>
      <c r="EH156" s="675">
        <v>301457</v>
      </c>
      <c r="EI156" s="675">
        <v>0</v>
      </c>
      <c r="EJ156" s="675">
        <v>0</v>
      </c>
      <c r="EK156" s="675">
        <v>12.551</v>
      </c>
      <c r="EL156" s="675">
        <v>0</v>
      </c>
      <c r="EM156" s="675">
        <v>0</v>
      </c>
      <c r="EN156" s="675">
        <v>2.2570000000000001</v>
      </c>
      <c r="EO156" s="675">
        <v>0</v>
      </c>
      <c r="EP156" s="675">
        <v>0</v>
      </c>
      <c r="EQ156" s="675">
        <v>14.808</v>
      </c>
      <c r="ER156" s="675">
        <v>0</v>
      </c>
      <c r="ES156" s="675">
        <v>48.938000000000002</v>
      </c>
      <c r="ET156" s="675">
        <v>0</v>
      </c>
      <c r="EU156" s="675">
        <v>0</v>
      </c>
      <c r="EV156" s="675">
        <v>0</v>
      </c>
      <c r="EW156" s="675">
        <v>0</v>
      </c>
      <c r="EX156" s="675">
        <v>0</v>
      </c>
      <c r="EY156" s="675">
        <v>0</v>
      </c>
      <c r="EZ156" s="675">
        <v>10297247</v>
      </c>
      <c r="FA156" s="675">
        <v>0</v>
      </c>
      <c r="FB156" s="675">
        <v>10686756</v>
      </c>
      <c r="FC156" s="675">
        <v>0</v>
      </c>
      <c r="FD156" s="675">
        <v>0</v>
      </c>
      <c r="FE156" s="675">
        <v>1078707</v>
      </c>
      <c r="FF156" s="675">
        <v>223105</v>
      </c>
      <c r="FG156" s="675">
        <v>6.3574999999999993E-2</v>
      </c>
      <c r="FH156" s="675">
        <v>2.6297999999999998E-2</v>
      </c>
      <c r="FI156" s="675">
        <v>0</v>
      </c>
      <c r="FJ156" s="675">
        <v>0</v>
      </c>
      <c r="FK156" s="675">
        <v>1721.538</v>
      </c>
      <c r="FL156" s="675">
        <v>12167302</v>
      </c>
      <c r="FM156" s="675">
        <v>0</v>
      </c>
      <c r="FN156" s="675">
        <v>0</v>
      </c>
      <c r="FO156" s="675">
        <v>0</v>
      </c>
      <c r="FP156" s="675">
        <v>0</v>
      </c>
      <c r="FQ156" s="675">
        <v>0</v>
      </c>
      <c r="FR156" s="675">
        <v>0</v>
      </c>
      <c r="FS156" s="675">
        <v>0</v>
      </c>
      <c r="FT156" s="675">
        <v>0</v>
      </c>
      <c r="FU156" s="675">
        <v>0</v>
      </c>
      <c r="FV156" s="675">
        <v>0</v>
      </c>
      <c r="FW156" s="675">
        <v>0</v>
      </c>
      <c r="FX156" s="675">
        <v>0</v>
      </c>
      <c r="FY156" s="675">
        <v>0</v>
      </c>
      <c r="FZ156" s="675">
        <v>0</v>
      </c>
      <c r="GA156" s="675">
        <v>0</v>
      </c>
      <c r="GB156" s="675">
        <v>0</v>
      </c>
      <c r="GC156" s="675">
        <v>0</v>
      </c>
      <c r="GD156" s="675">
        <v>0</v>
      </c>
      <c r="GE156" s="675">
        <v>0</v>
      </c>
      <c r="GF156" s="675">
        <v>0</v>
      </c>
      <c r="GG156" s="675">
        <v>0</v>
      </c>
      <c r="GH156" s="675">
        <v>0</v>
      </c>
      <c r="GI156" s="675">
        <v>0</v>
      </c>
      <c r="GJ156" s="675">
        <v>0</v>
      </c>
      <c r="GK156" s="675">
        <v>0</v>
      </c>
      <c r="GL156" s="675">
        <v>0</v>
      </c>
      <c r="GM156" s="675">
        <v>0</v>
      </c>
      <c r="GN156" s="675">
        <v>0</v>
      </c>
      <c r="GO156" s="675">
        <v>0</v>
      </c>
      <c r="GP156" s="675">
        <v>0</v>
      </c>
      <c r="GQ156" s="675">
        <v>0</v>
      </c>
      <c r="GR156" s="675">
        <v>0</v>
      </c>
      <c r="GS156" s="675">
        <v>0</v>
      </c>
      <c r="GT156" s="675">
        <v>0</v>
      </c>
      <c r="GU156" s="675">
        <v>0</v>
      </c>
      <c r="GV156" s="675">
        <v>0</v>
      </c>
      <c r="GW156" s="675">
        <v>0</v>
      </c>
      <c r="GX156" s="675">
        <v>0</v>
      </c>
      <c r="GY156" s="675">
        <v>0</v>
      </c>
      <c r="GZ156" s="675">
        <v>0</v>
      </c>
      <c r="HA156" s="675">
        <v>0</v>
      </c>
      <c r="HB156" s="675">
        <v>308877260</v>
      </c>
      <c r="HC156" s="675">
        <v>4.4138999999999998E-2</v>
      </c>
      <c r="HD156" s="675">
        <v>178734</v>
      </c>
      <c r="HE156" s="675">
        <v>0</v>
      </c>
      <c r="HF156" s="675">
        <v>1100279</v>
      </c>
      <c r="HG156" s="675">
        <v>27720</v>
      </c>
      <c r="HH156" s="675">
        <v>368534</v>
      </c>
      <c r="HI156" s="675">
        <v>0</v>
      </c>
      <c r="HJ156" s="675">
        <v>9840</v>
      </c>
      <c r="HK156" s="675">
        <v>0</v>
      </c>
      <c r="HL156" s="675">
        <v>0</v>
      </c>
      <c r="HM156" s="675">
        <v>0</v>
      </c>
      <c r="HN156" s="675">
        <v>0</v>
      </c>
      <c r="HO156" s="675">
        <v>0</v>
      </c>
      <c r="HP156" s="675">
        <v>0</v>
      </c>
      <c r="HQ156" s="675">
        <v>0</v>
      </c>
      <c r="HR156" s="675">
        <v>0</v>
      </c>
      <c r="HS156" s="675">
        <v>10294382</v>
      </c>
      <c r="HT156" s="675">
        <v>223105</v>
      </c>
      <c r="HU156" s="675">
        <v>0</v>
      </c>
      <c r="HV156" s="675">
        <v>0</v>
      </c>
      <c r="HW156" s="675">
        <v>0</v>
      </c>
      <c r="HX156" s="675">
        <v>61</v>
      </c>
      <c r="HY156" s="675">
        <v>131</v>
      </c>
      <c r="HZ156" s="675">
        <v>202</v>
      </c>
      <c r="IA156" s="675">
        <v>361</v>
      </c>
      <c r="IB156" s="675">
        <v>396</v>
      </c>
      <c r="IC156" s="675">
        <v>1151</v>
      </c>
      <c r="ID156" s="675">
        <v>0</v>
      </c>
      <c r="IE156" s="675">
        <v>0</v>
      </c>
      <c r="IF156" s="675">
        <v>0</v>
      </c>
      <c r="IG156" s="675">
        <v>45</v>
      </c>
      <c r="IH156" s="675">
        <v>598.27300000000002</v>
      </c>
      <c r="II156" s="675">
        <v>0</v>
      </c>
      <c r="IJ156" s="675">
        <v>563.4</v>
      </c>
      <c r="IK156" s="675">
        <v>0</v>
      </c>
      <c r="IL156" s="675">
        <v>0</v>
      </c>
      <c r="IM156" s="675">
        <v>0</v>
      </c>
      <c r="IN156" s="675">
        <v>0</v>
      </c>
      <c r="IO156" s="675">
        <v>0</v>
      </c>
      <c r="IP156" s="675">
        <v>0</v>
      </c>
      <c r="IQ156" s="675">
        <v>563.4</v>
      </c>
      <c r="IR156" s="675">
        <v>347053</v>
      </c>
      <c r="IS156" s="675">
        <v>0</v>
      </c>
      <c r="IT156" s="675">
        <v>0</v>
      </c>
      <c r="IU156" s="675">
        <v>0</v>
      </c>
      <c r="IV156" s="675">
        <v>0</v>
      </c>
      <c r="IW156" s="675">
        <v>6160</v>
      </c>
      <c r="IX156" s="675">
        <v>0</v>
      </c>
      <c r="IY156" s="675">
        <v>0</v>
      </c>
      <c r="IZ156" s="675">
        <v>0</v>
      </c>
      <c r="JA156" s="675">
        <v>0</v>
      </c>
      <c r="JB156" s="675">
        <v>0</v>
      </c>
      <c r="JC156" s="675">
        <v>0</v>
      </c>
      <c r="JD156" s="675">
        <v>0</v>
      </c>
      <c r="JE156" s="675">
        <v>0</v>
      </c>
      <c r="JF156" s="675">
        <v>0</v>
      </c>
      <c r="JG156" s="675">
        <v>0</v>
      </c>
      <c r="JH156" s="675">
        <v>0</v>
      </c>
      <c r="JI156" s="675">
        <v>0</v>
      </c>
      <c r="JJ156" s="675">
        <v>0</v>
      </c>
      <c r="JK156" s="675">
        <v>0</v>
      </c>
      <c r="JL156" s="675">
        <v>0</v>
      </c>
      <c r="JM156" s="675">
        <v>0</v>
      </c>
      <c r="JN156" s="675">
        <v>32469</v>
      </c>
      <c r="JO156" s="675">
        <v>0</v>
      </c>
      <c r="JP156" s="675">
        <v>0</v>
      </c>
      <c r="JQ156" s="675">
        <v>0</v>
      </c>
      <c r="JR156" s="675">
        <v>0</v>
      </c>
      <c r="JS156" s="675">
        <v>0</v>
      </c>
      <c r="JT156" s="675">
        <v>0</v>
      </c>
      <c r="JU156" s="675">
        <v>0</v>
      </c>
      <c r="JV156" s="675">
        <v>0</v>
      </c>
      <c r="JW156" s="675">
        <v>0</v>
      </c>
      <c r="JX156" s="675">
        <v>0</v>
      </c>
      <c r="JY156" s="675">
        <v>0</v>
      </c>
      <c r="JZ156" s="675">
        <v>0</v>
      </c>
      <c r="KA156" s="675">
        <v>0</v>
      </c>
      <c r="KB156" s="675">
        <v>0</v>
      </c>
      <c r="KC156" s="675">
        <v>0</v>
      </c>
      <c r="KD156" s="675">
        <v>0</v>
      </c>
      <c r="KE156" s="675">
        <v>7263</v>
      </c>
      <c r="KF156" s="675">
        <v>0</v>
      </c>
      <c r="KG156" s="675">
        <v>0</v>
      </c>
      <c r="KH156" s="675">
        <v>0</v>
      </c>
      <c r="KI156" s="675">
        <v>0</v>
      </c>
    </row>
    <row r="157" spans="1:295" ht="12.5" x14ac:dyDescent="0.25">
      <c r="A157" s="675">
        <v>35795</v>
      </c>
      <c r="B157" s="675">
        <v>15842</v>
      </c>
      <c r="C157" s="675">
        <v>7</v>
      </c>
      <c r="D157" s="675">
        <v>2022</v>
      </c>
      <c r="E157" s="675">
        <v>6160</v>
      </c>
      <c r="F157" s="675">
        <v>0</v>
      </c>
      <c r="G157" s="675">
        <v>90.113</v>
      </c>
      <c r="H157" s="675">
        <v>90.113</v>
      </c>
      <c r="I157" s="675">
        <v>90.113</v>
      </c>
      <c r="J157" s="675">
        <v>90.113</v>
      </c>
      <c r="K157" s="675">
        <v>0</v>
      </c>
      <c r="L157" s="675">
        <v>6160</v>
      </c>
      <c r="M157" s="675">
        <v>0</v>
      </c>
      <c r="N157" s="675">
        <v>0</v>
      </c>
      <c r="O157" s="675">
        <v>0</v>
      </c>
      <c r="P157" s="675">
        <v>0</v>
      </c>
      <c r="Q157" s="675">
        <v>0</v>
      </c>
      <c r="R157" s="675">
        <v>0</v>
      </c>
      <c r="S157" s="675">
        <v>402.428</v>
      </c>
      <c r="T157" s="675">
        <v>0</v>
      </c>
      <c r="U157" s="675">
        <v>0</v>
      </c>
      <c r="V157" s="675">
        <v>8.1280000000000001</v>
      </c>
      <c r="W157" s="675">
        <v>5007</v>
      </c>
      <c r="X157" s="675">
        <v>5007</v>
      </c>
      <c r="Y157" s="675">
        <v>0</v>
      </c>
      <c r="Z157" s="675">
        <v>0</v>
      </c>
      <c r="AA157" s="675">
        <v>0</v>
      </c>
      <c r="AB157" s="675">
        <v>0</v>
      </c>
      <c r="AC157" s="675">
        <v>0</v>
      </c>
      <c r="AD157" s="675" t="s">
        <v>316</v>
      </c>
      <c r="AE157" s="675">
        <v>0</v>
      </c>
      <c r="AF157" s="675">
        <v>0</v>
      </c>
      <c r="AG157" s="675">
        <v>0</v>
      </c>
      <c r="AH157" s="675">
        <v>0</v>
      </c>
      <c r="AI157" s="675">
        <v>0</v>
      </c>
      <c r="AJ157" s="675">
        <v>6160</v>
      </c>
      <c r="AK157" s="675" t="s">
        <v>671</v>
      </c>
      <c r="AL157" s="675" t="s">
        <v>794</v>
      </c>
      <c r="AM157" s="675">
        <v>0</v>
      </c>
      <c r="AN157" s="675">
        <v>0</v>
      </c>
      <c r="AO157" s="675">
        <v>0</v>
      </c>
      <c r="AP157" s="675">
        <v>0</v>
      </c>
      <c r="AQ157" s="675">
        <v>0</v>
      </c>
      <c r="AR157" s="675">
        <v>0</v>
      </c>
      <c r="AS157" s="675">
        <v>0</v>
      </c>
      <c r="AT157" s="675">
        <v>0</v>
      </c>
      <c r="AU157" s="675">
        <v>0</v>
      </c>
      <c r="AV157" s="675">
        <v>0</v>
      </c>
      <c r="AW157" s="675">
        <v>1247288</v>
      </c>
      <c r="AX157" s="675">
        <v>1247294</v>
      </c>
      <c r="AY157" s="675">
        <v>1197315</v>
      </c>
      <c r="AZ157" s="675">
        <v>0</v>
      </c>
      <c r="BA157" s="675">
        <v>0</v>
      </c>
      <c r="BB157" s="675">
        <v>862</v>
      </c>
      <c r="BC157" s="675">
        <v>856</v>
      </c>
      <c r="BD157" s="675">
        <v>2</v>
      </c>
      <c r="BE157" s="675">
        <v>6</v>
      </c>
      <c r="BF157" s="675">
        <v>892174</v>
      </c>
      <c r="BG157" s="675">
        <v>0</v>
      </c>
      <c r="BH157" s="675">
        <v>0</v>
      </c>
      <c r="BI157" s="675">
        <v>0</v>
      </c>
      <c r="BJ157" s="675">
        <v>12</v>
      </c>
      <c r="BK157" s="675">
        <v>0</v>
      </c>
      <c r="BL157" s="675">
        <v>0</v>
      </c>
      <c r="BM157" s="675">
        <v>0</v>
      </c>
      <c r="BN157" s="675">
        <v>0</v>
      </c>
      <c r="BO157" s="675">
        <v>0</v>
      </c>
      <c r="BP157" s="675">
        <v>0</v>
      </c>
      <c r="BQ157" s="675">
        <v>756</v>
      </c>
      <c r="BR157" s="675">
        <v>0</v>
      </c>
      <c r="BS157" s="675">
        <v>0</v>
      </c>
      <c r="BT157" s="675">
        <v>0</v>
      </c>
      <c r="BU157" s="675">
        <v>0</v>
      </c>
      <c r="BV157" s="675">
        <v>0</v>
      </c>
      <c r="BW157" s="675">
        <v>0</v>
      </c>
      <c r="BX157" s="675">
        <v>0</v>
      </c>
      <c r="BY157" s="675">
        <v>0</v>
      </c>
      <c r="BZ157" s="675">
        <v>0</v>
      </c>
      <c r="CA157" s="675">
        <v>288</v>
      </c>
      <c r="CB157" s="675">
        <v>245598</v>
      </c>
      <c r="CC157" s="675">
        <v>0</v>
      </c>
      <c r="CD157" s="675">
        <v>0</v>
      </c>
      <c r="CE157" s="675">
        <v>0</v>
      </c>
      <c r="CF157" s="675">
        <v>0</v>
      </c>
      <c r="CG157" s="675">
        <v>0</v>
      </c>
      <c r="CH157" s="675">
        <v>0</v>
      </c>
      <c r="CI157" s="675">
        <v>0</v>
      </c>
      <c r="CJ157" s="675">
        <v>4</v>
      </c>
      <c r="CK157" s="675">
        <v>0</v>
      </c>
      <c r="CL157" s="675">
        <v>0</v>
      </c>
      <c r="CM157" s="675">
        <v>0</v>
      </c>
      <c r="CN157" s="675">
        <v>0</v>
      </c>
      <c r="CO157" s="675">
        <v>0</v>
      </c>
      <c r="CP157" s="675">
        <v>0</v>
      </c>
      <c r="CQ157" s="675">
        <v>0</v>
      </c>
      <c r="CR157" s="675">
        <v>0</v>
      </c>
      <c r="CS157" s="675">
        <v>0</v>
      </c>
      <c r="CT157" s="675">
        <v>0</v>
      </c>
      <c r="CU157" s="675">
        <v>0</v>
      </c>
      <c r="CV157" s="675">
        <v>0</v>
      </c>
      <c r="CW157" s="675">
        <v>0</v>
      </c>
      <c r="CX157" s="675">
        <v>0</v>
      </c>
      <c r="CY157" s="675">
        <v>0</v>
      </c>
      <c r="CZ157" s="675">
        <v>0</v>
      </c>
      <c r="DA157" s="675">
        <v>0</v>
      </c>
      <c r="DB157" s="675">
        <v>555094</v>
      </c>
      <c r="DC157" s="675">
        <v>0</v>
      </c>
      <c r="DD157" s="675">
        <v>0</v>
      </c>
      <c r="DE157" s="675">
        <v>173480</v>
      </c>
      <c r="DF157" s="675">
        <v>173480</v>
      </c>
      <c r="DG157" s="675">
        <v>28.163</v>
      </c>
      <c r="DH157" s="675">
        <v>0</v>
      </c>
      <c r="DI157" s="675">
        <v>0</v>
      </c>
      <c r="DJ157" s="675">
        <v>0</v>
      </c>
      <c r="DK157" s="675">
        <v>3720</v>
      </c>
      <c r="DL157" s="675">
        <v>0</v>
      </c>
      <c r="DM157" s="675">
        <v>0</v>
      </c>
      <c r="DN157" s="675">
        <v>0</v>
      </c>
      <c r="DO157" s="675">
        <v>0</v>
      </c>
      <c r="DP157" s="675">
        <v>0</v>
      </c>
      <c r="DQ157" s="675">
        <v>0</v>
      </c>
      <c r="DR157" s="675">
        <v>0</v>
      </c>
      <c r="DS157" s="675">
        <v>0</v>
      </c>
      <c r="DT157" s="675">
        <v>0</v>
      </c>
      <c r="DU157" s="675">
        <v>0</v>
      </c>
      <c r="DV157" s="675">
        <v>0</v>
      </c>
      <c r="DW157" s="675">
        <v>0</v>
      </c>
      <c r="DX157" s="675">
        <v>0</v>
      </c>
      <c r="DY157" s="675">
        <v>0</v>
      </c>
      <c r="DZ157" s="675">
        <v>0</v>
      </c>
      <c r="EA157" s="675">
        <v>0</v>
      </c>
      <c r="EB157" s="675">
        <v>0</v>
      </c>
      <c r="EC157" s="675">
        <v>0</v>
      </c>
      <c r="ED157" s="675">
        <v>0</v>
      </c>
      <c r="EE157" s="675">
        <v>0</v>
      </c>
      <c r="EF157" s="675">
        <v>0</v>
      </c>
      <c r="EG157" s="675">
        <v>0</v>
      </c>
      <c r="EH157" s="675">
        <v>0</v>
      </c>
      <c r="EI157" s="675">
        <v>0</v>
      </c>
      <c r="EJ157" s="675">
        <v>0</v>
      </c>
      <c r="EK157" s="675">
        <v>0</v>
      </c>
      <c r="EL157" s="675">
        <v>0</v>
      </c>
      <c r="EM157" s="675">
        <v>0</v>
      </c>
      <c r="EN157" s="675">
        <v>0</v>
      </c>
      <c r="EO157" s="675">
        <v>0</v>
      </c>
      <c r="EP157" s="675">
        <v>0</v>
      </c>
      <c r="EQ157" s="675">
        <v>0</v>
      </c>
      <c r="ER157" s="675">
        <v>0</v>
      </c>
      <c r="ES157" s="675">
        <v>0</v>
      </c>
      <c r="ET157" s="675">
        <v>0</v>
      </c>
      <c r="EU157" s="675">
        <v>0</v>
      </c>
      <c r="EV157" s="675">
        <v>0</v>
      </c>
      <c r="EW157" s="675">
        <v>0</v>
      </c>
      <c r="EX157" s="675">
        <v>0</v>
      </c>
      <c r="EY157" s="675">
        <v>0</v>
      </c>
      <c r="EZ157" s="675">
        <v>1137772</v>
      </c>
      <c r="FA157" s="675">
        <v>0</v>
      </c>
      <c r="FB157" s="675">
        <v>1137766</v>
      </c>
      <c r="FC157" s="675">
        <v>0</v>
      </c>
      <c r="FD157" s="675">
        <v>0</v>
      </c>
      <c r="FE157" s="675">
        <v>90752</v>
      </c>
      <c r="FF157" s="675">
        <v>18770</v>
      </c>
      <c r="FG157" s="675">
        <v>6.3574999999999993E-2</v>
      </c>
      <c r="FH157" s="675">
        <v>2.6297999999999998E-2</v>
      </c>
      <c r="FI157" s="675">
        <v>0</v>
      </c>
      <c r="FJ157" s="675">
        <v>0</v>
      </c>
      <c r="FK157" s="675">
        <v>144.834</v>
      </c>
      <c r="FL157" s="675">
        <v>1247288</v>
      </c>
      <c r="FM157" s="675">
        <v>0</v>
      </c>
      <c r="FN157" s="675">
        <v>0</v>
      </c>
      <c r="FO157" s="675">
        <v>0</v>
      </c>
      <c r="FP157" s="675">
        <v>0</v>
      </c>
      <c r="FQ157" s="675">
        <v>0</v>
      </c>
      <c r="FR157" s="675">
        <v>0</v>
      </c>
      <c r="FS157" s="675">
        <v>0</v>
      </c>
      <c r="FT157" s="675">
        <v>0</v>
      </c>
      <c r="FU157" s="675">
        <v>0</v>
      </c>
      <c r="FV157" s="675">
        <v>0</v>
      </c>
      <c r="FW157" s="675">
        <v>0</v>
      </c>
      <c r="FX157" s="675">
        <v>0</v>
      </c>
      <c r="FY157" s="675">
        <v>0</v>
      </c>
      <c r="FZ157" s="675">
        <v>0</v>
      </c>
      <c r="GA157" s="675">
        <v>0</v>
      </c>
      <c r="GB157" s="675">
        <v>0</v>
      </c>
      <c r="GC157" s="675">
        <v>0</v>
      </c>
      <c r="GD157" s="675">
        <v>0</v>
      </c>
      <c r="GE157" s="675">
        <v>0</v>
      </c>
      <c r="GF157" s="675">
        <v>0</v>
      </c>
      <c r="GG157" s="675">
        <v>0</v>
      </c>
      <c r="GH157" s="675">
        <v>0</v>
      </c>
      <c r="GI157" s="675">
        <v>0</v>
      </c>
      <c r="GJ157" s="675">
        <v>0</v>
      </c>
      <c r="GK157" s="675">
        <v>0</v>
      </c>
      <c r="GL157" s="675">
        <v>0</v>
      </c>
      <c r="GM157" s="675">
        <v>0</v>
      </c>
      <c r="GN157" s="675">
        <v>0</v>
      </c>
      <c r="GO157" s="675">
        <v>0</v>
      </c>
      <c r="GP157" s="675">
        <v>0</v>
      </c>
      <c r="GQ157" s="675">
        <v>0</v>
      </c>
      <c r="GR157" s="675">
        <v>0</v>
      </c>
      <c r="GS157" s="675">
        <v>0</v>
      </c>
      <c r="GT157" s="675">
        <v>0</v>
      </c>
      <c r="GU157" s="675">
        <v>0</v>
      </c>
      <c r="GV157" s="675">
        <v>0</v>
      </c>
      <c r="GW157" s="675">
        <v>0</v>
      </c>
      <c r="GX157" s="675">
        <v>0</v>
      </c>
      <c r="GY157" s="675">
        <v>0</v>
      </c>
      <c r="GZ157" s="675">
        <v>0</v>
      </c>
      <c r="HA157" s="675">
        <v>0</v>
      </c>
      <c r="HB157" s="675">
        <v>0</v>
      </c>
      <c r="HC157" s="675">
        <v>4.4138999999999998E-2</v>
      </c>
      <c r="HD157" s="675">
        <v>0</v>
      </c>
      <c r="HE157" s="675">
        <v>0</v>
      </c>
      <c r="HF157" s="675">
        <v>99395</v>
      </c>
      <c r="HG157" s="675">
        <v>0</v>
      </c>
      <c r="HH157" s="675">
        <v>57460</v>
      </c>
      <c r="HI157" s="675">
        <v>0</v>
      </c>
      <c r="HJ157" s="675">
        <v>876</v>
      </c>
      <c r="HK157" s="675">
        <v>0</v>
      </c>
      <c r="HL157" s="675">
        <v>0</v>
      </c>
      <c r="HM157" s="675">
        <v>0</v>
      </c>
      <c r="HN157" s="675">
        <v>0</v>
      </c>
      <c r="HO157" s="675">
        <v>0</v>
      </c>
      <c r="HP157" s="675">
        <v>0</v>
      </c>
      <c r="HQ157" s="675">
        <v>0</v>
      </c>
      <c r="HR157" s="675">
        <v>0</v>
      </c>
      <c r="HS157" s="675">
        <v>1137766</v>
      </c>
      <c r="HT157" s="675">
        <v>18770</v>
      </c>
      <c r="HU157" s="675">
        <v>0</v>
      </c>
      <c r="HV157" s="675">
        <v>0</v>
      </c>
      <c r="HW157" s="675">
        <v>0</v>
      </c>
      <c r="HX157" s="675">
        <v>12</v>
      </c>
      <c r="HY157" s="675">
        <v>3</v>
      </c>
      <c r="HZ157" s="675">
        <v>16</v>
      </c>
      <c r="IA157" s="675">
        <v>34</v>
      </c>
      <c r="IB157" s="675">
        <v>43</v>
      </c>
      <c r="IC157" s="675">
        <v>108</v>
      </c>
      <c r="ID157" s="675">
        <v>0</v>
      </c>
      <c r="IE157" s="675">
        <v>0</v>
      </c>
      <c r="IF157" s="675">
        <v>0</v>
      </c>
      <c r="IG157" s="675">
        <v>0</v>
      </c>
      <c r="IH157" s="675">
        <v>93.28</v>
      </c>
      <c r="II157" s="675">
        <v>0</v>
      </c>
      <c r="IJ157" s="675">
        <v>8.1280000000000001</v>
      </c>
      <c r="IK157" s="675">
        <v>0</v>
      </c>
      <c r="IL157" s="675">
        <v>0</v>
      </c>
      <c r="IM157" s="675">
        <v>0</v>
      </c>
      <c r="IN157" s="675">
        <v>0</v>
      </c>
      <c r="IO157" s="675">
        <v>0</v>
      </c>
      <c r="IP157" s="675">
        <v>0</v>
      </c>
      <c r="IQ157" s="675">
        <v>8.1280000000000001</v>
      </c>
      <c r="IR157" s="675">
        <v>5007</v>
      </c>
      <c r="IS157" s="675">
        <v>0</v>
      </c>
      <c r="IT157" s="675">
        <v>0</v>
      </c>
      <c r="IU157" s="675">
        <v>0</v>
      </c>
      <c r="IV157" s="675">
        <v>0</v>
      </c>
      <c r="IW157" s="675">
        <v>6160</v>
      </c>
      <c r="IX157" s="675">
        <v>0</v>
      </c>
      <c r="IY157" s="675">
        <v>0</v>
      </c>
      <c r="IZ157" s="675">
        <v>0</v>
      </c>
      <c r="JA157" s="675">
        <v>0</v>
      </c>
      <c r="JB157" s="675">
        <v>0</v>
      </c>
      <c r="JC157" s="675">
        <v>0</v>
      </c>
      <c r="JD157" s="675">
        <v>0</v>
      </c>
      <c r="JE157" s="675">
        <v>0</v>
      </c>
      <c r="JF157" s="675">
        <v>0</v>
      </c>
      <c r="JG157" s="675">
        <v>0</v>
      </c>
      <c r="JH157" s="675">
        <v>0</v>
      </c>
      <c r="JI157" s="675">
        <v>0</v>
      </c>
      <c r="JJ157" s="675">
        <v>0</v>
      </c>
      <c r="JK157" s="675">
        <v>0</v>
      </c>
      <c r="JL157" s="675">
        <v>0</v>
      </c>
      <c r="JM157" s="675">
        <v>0</v>
      </c>
      <c r="JN157" s="675">
        <v>0</v>
      </c>
      <c r="JO157" s="675">
        <v>0</v>
      </c>
      <c r="JP157" s="675">
        <v>0</v>
      </c>
      <c r="JQ157" s="675">
        <v>0</v>
      </c>
      <c r="JR157" s="675">
        <v>0</v>
      </c>
      <c r="JS157" s="675">
        <v>0</v>
      </c>
      <c r="JT157" s="675">
        <v>0</v>
      </c>
      <c r="JU157" s="675">
        <v>862</v>
      </c>
      <c r="JV157" s="675">
        <v>0</v>
      </c>
      <c r="JW157" s="675">
        <v>0</v>
      </c>
      <c r="JX157" s="675">
        <v>0</v>
      </c>
      <c r="JY157" s="675">
        <v>0</v>
      </c>
      <c r="JZ157" s="675">
        <v>0</v>
      </c>
      <c r="KA157" s="675">
        <v>0</v>
      </c>
      <c r="KB157" s="675">
        <v>0</v>
      </c>
      <c r="KC157" s="675">
        <v>0</v>
      </c>
      <c r="KD157" s="675">
        <v>862</v>
      </c>
      <c r="KE157" s="675">
        <v>7263</v>
      </c>
      <c r="KF157" s="675">
        <v>0</v>
      </c>
      <c r="KG157" s="675">
        <v>0</v>
      </c>
      <c r="KH157" s="675">
        <v>0</v>
      </c>
      <c r="KI157" s="675">
        <v>0</v>
      </c>
    </row>
    <row r="158" spans="1:295" ht="12.5" x14ac:dyDescent="0.25">
      <c r="A158" s="675">
        <v>35795</v>
      </c>
      <c r="B158" s="675">
        <v>101842</v>
      </c>
      <c r="C158" s="675">
        <v>7</v>
      </c>
      <c r="D158" s="675">
        <v>2022</v>
      </c>
      <c r="E158" s="675">
        <v>6160</v>
      </c>
      <c r="F158" s="675">
        <v>0</v>
      </c>
      <c r="G158" s="675">
        <v>40.091999999999999</v>
      </c>
      <c r="H158" s="675">
        <v>19.774000000000001</v>
      </c>
      <c r="I158" s="675">
        <v>19.774000000000001</v>
      </c>
      <c r="J158" s="675">
        <v>40.091999999999999</v>
      </c>
      <c r="K158" s="675">
        <v>0</v>
      </c>
      <c r="L158" s="675">
        <v>6160</v>
      </c>
      <c r="M158" s="675">
        <v>0</v>
      </c>
      <c r="N158" s="675">
        <v>0</v>
      </c>
      <c r="O158" s="675">
        <v>0</v>
      </c>
      <c r="P158" s="675">
        <v>34.847000000000001</v>
      </c>
      <c r="Q158" s="675">
        <v>0</v>
      </c>
      <c r="R158" s="675">
        <v>14023</v>
      </c>
      <c r="S158" s="675">
        <v>402.428</v>
      </c>
      <c r="T158" s="675">
        <v>0</v>
      </c>
      <c r="U158" s="675">
        <v>7456</v>
      </c>
      <c r="V158" s="675">
        <v>10.4</v>
      </c>
      <c r="W158" s="675">
        <v>6406</v>
      </c>
      <c r="X158" s="675">
        <v>6406</v>
      </c>
      <c r="Y158" s="675">
        <v>0</v>
      </c>
      <c r="Z158" s="675">
        <v>0</v>
      </c>
      <c r="AA158" s="675">
        <v>0</v>
      </c>
      <c r="AB158" s="675">
        <v>0</v>
      </c>
      <c r="AC158" s="675">
        <v>0</v>
      </c>
      <c r="AD158" s="675" t="s">
        <v>316</v>
      </c>
      <c r="AE158" s="675">
        <v>0</v>
      </c>
      <c r="AF158" s="675">
        <v>0</v>
      </c>
      <c r="AG158" s="675">
        <v>0</v>
      </c>
      <c r="AH158" s="675">
        <v>0</v>
      </c>
      <c r="AI158" s="675">
        <v>0</v>
      </c>
      <c r="AJ158" s="675">
        <v>6160</v>
      </c>
      <c r="AK158" s="675" t="s">
        <v>671</v>
      </c>
      <c r="AL158" s="675" t="s">
        <v>30</v>
      </c>
      <c r="AM158" s="675">
        <v>0</v>
      </c>
      <c r="AN158" s="675">
        <v>0</v>
      </c>
      <c r="AO158" s="675">
        <v>0</v>
      </c>
      <c r="AP158" s="675">
        <v>0</v>
      </c>
      <c r="AQ158" s="675">
        <v>0</v>
      </c>
      <c r="AR158" s="675">
        <v>0</v>
      </c>
      <c r="AS158" s="675">
        <v>0</v>
      </c>
      <c r="AT158" s="675">
        <v>0</v>
      </c>
      <c r="AU158" s="675">
        <v>0</v>
      </c>
      <c r="AV158" s="675">
        <v>-31332</v>
      </c>
      <c r="AW158" s="675">
        <v>449694</v>
      </c>
      <c r="AX158" s="675">
        <v>442663</v>
      </c>
      <c r="AY158" s="675">
        <v>262577</v>
      </c>
      <c r="AZ158" s="675">
        <v>14023</v>
      </c>
      <c r="BA158" s="675">
        <v>0</v>
      </c>
      <c r="BB158" s="675">
        <v>0</v>
      </c>
      <c r="BC158" s="675">
        <v>0</v>
      </c>
      <c r="BD158" s="675">
        <v>0</v>
      </c>
      <c r="BE158" s="675">
        <v>0</v>
      </c>
      <c r="BF158" s="675">
        <v>406095</v>
      </c>
      <c r="BG158" s="675">
        <v>0</v>
      </c>
      <c r="BH158" s="675">
        <v>0</v>
      </c>
      <c r="BI158" s="675">
        <v>0</v>
      </c>
      <c r="BJ158" s="675">
        <v>12</v>
      </c>
      <c r="BK158" s="675">
        <v>0</v>
      </c>
      <c r="BL158" s="675">
        <v>0</v>
      </c>
      <c r="BM158" s="675">
        <v>0</v>
      </c>
      <c r="BN158" s="675">
        <v>0</v>
      </c>
      <c r="BO158" s="675">
        <v>0</v>
      </c>
      <c r="BP158" s="675">
        <v>0</v>
      </c>
      <c r="BQ158" s="675">
        <v>767</v>
      </c>
      <c r="BR158" s="675">
        <v>0</v>
      </c>
      <c r="BS158" s="675">
        <v>0</v>
      </c>
      <c r="BT158" s="675">
        <v>0</v>
      </c>
      <c r="BU158" s="675">
        <v>0</v>
      </c>
      <c r="BV158" s="675">
        <v>0</v>
      </c>
      <c r="BW158" s="675">
        <v>0</v>
      </c>
      <c r="BX158" s="675">
        <v>0</v>
      </c>
      <c r="BY158" s="675">
        <v>0</v>
      </c>
      <c r="BZ158" s="675">
        <v>0</v>
      </c>
      <c r="CA158" s="675">
        <v>0</v>
      </c>
      <c r="CB158" s="675">
        <v>0</v>
      </c>
      <c r="CC158" s="675">
        <v>0</v>
      </c>
      <c r="CD158" s="675">
        <v>0</v>
      </c>
      <c r="CE158" s="675">
        <v>0</v>
      </c>
      <c r="CF158" s="675">
        <v>0</v>
      </c>
      <c r="CG158" s="675">
        <v>0</v>
      </c>
      <c r="CH158" s="675">
        <v>7078</v>
      </c>
      <c r="CI158" s="675">
        <v>0</v>
      </c>
      <c r="CJ158" s="675">
        <v>4</v>
      </c>
      <c r="CK158" s="675">
        <v>0</v>
      </c>
      <c r="CL158" s="675">
        <v>0</v>
      </c>
      <c r="CM158" s="675">
        <v>0</v>
      </c>
      <c r="CN158" s="675">
        <v>0</v>
      </c>
      <c r="CO158" s="675">
        <v>1</v>
      </c>
      <c r="CP158" s="675">
        <v>0</v>
      </c>
      <c r="CQ158" s="675">
        <v>0</v>
      </c>
      <c r="CR158" s="675">
        <v>38.694000000000003</v>
      </c>
      <c r="CS158" s="675">
        <v>0</v>
      </c>
      <c r="CT158" s="675">
        <v>0</v>
      </c>
      <c r="CU158" s="675">
        <v>0</v>
      </c>
      <c r="CV158" s="675">
        <v>0</v>
      </c>
      <c r="CW158" s="675">
        <v>0</v>
      </c>
      <c r="CX158" s="675">
        <v>0</v>
      </c>
      <c r="CY158" s="675">
        <v>0</v>
      </c>
      <c r="CZ158" s="675">
        <v>0</v>
      </c>
      <c r="DA158" s="675">
        <v>0</v>
      </c>
      <c r="DB158" s="675">
        <v>110231</v>
      </c>
      <c r="DC158" s="675">
        <v>0</v>
      </c>
      <c r="DD158" s="675">
        <v>0</v>
      </c>
      <c r="DE158" s="675">
        <v>41195</v>
      </c>
      <c r="DF158" s="675">
        <v>41195</v>
      </c>
      <c r="DG158" s="675">
        <v>6.6880000000000006</v>
      </c>
      <c r="DH158" s="675">
        <v>0</v>
      </c>
      <c r="DI158" s="675">
        <v>0</v>
      </c>
      <c r="DJ158" s="675">
        <v>0</v>
      </c>
      <c r="DK158" s="675">
        <v>3894</v>
      </c>
      <c r="DL158" s="675">
        <v>0</v>
      </c>
      <c r="DM158" s="675">
        <v>24198</v>
      </c>
      <c r="DN158" s="675">
        <v>47</v>
      </c>
      <c r="DO158" s="675">
        <v>0</v>
      </c>
      <c r="DP158" s="675">
        <v>0</v>
      </c>
      <c r="DQ158" s="675">
        <v>0</v>
      </c>
      <c r="DR158" s="675">
        <v>0</v>
      </c>
      <c r="DS158" s="675">
        <v>0</v>
      </c>
      <c r="DT158" s="675">
        <v>0</v>
      </c>
      <c r="DU158" s="675">
        <v>0</v>
      </c>
      <c r="DV158" s="675">
        <v>0</v>
      </c>
      <c r="DW158" s="675">
        <v>0</v>
      </c>
      <c r="DX158" s="675">
        <v>0</v>
      </c>
      <c r="DY158" s="675">
        <v>0</v>
      </c>
      <c r="DZ158" s="675">
        <v>0</v>
      </c>
      <c r="EA158" s="675">
        <v>0</v>
      </c>
      <c r="EB158" s="675">
        <v>0</v>
      </c>
      <c r="EC158" s="675">
        <v>1.671</v>
      </c>
      <c r="ED158" s="675">
        <v>11837</v>
      </c>
      <c r="EE158" s="675">
        <v>0</v>
      </c>
      <c r="EF158" s="675">
        <v>0</v>
      </c>
      <c r="EG158" s="675">
        <v>0</v>
      </c>
      <c r="EH158" s="675">
        <v>832</v>
      </c>
      <c r="EI158" s="675">
        <v>0</v>
      </c>
      <c r="EJ158" s="675">
        <v>0</v>
      </c>
      <c r="EK158" s="675">
        <v>0</v>
      </c>
      <c r="EL158" s="675">
        <v>0</v>
      </c>
      <c r="EM158" s="675">
        <v>0</v>
      </c>
      <c r="EN158" s="675">
        <v>2.7E-2</v>
      </c>
      <c r="EO158" s="675">
        <v>0</v>
      </c>
      <c r="EP158" s="675">
        <v>0</v>
      </c>
      <c r="EQ158" s="675">
        <v>2.7E-2</v>
      </c>
      <c r="ER158" s="675">
        <v>0</v>
      </c>
      <c r="ES158" s="675">
        <v>0.13500000000000001</v>
      </c>
      <c r="ET158" s="675">
        <v>0</v>
      </c>
      <c r="EU158" s="675">
        <v>0</v>
      </c>
      <c r="EV158" s="675">
        <v>0</v>
      </c>
      <c r="EW158" s="675">
        <v>0</v>
      </c>
      <c r="EX158" s="675">
        <v>0</v>
      </c>
      <c r="EY158" s="675">
        <v>0</v>
      </c>
      <c r="EZ158" s="675">
        <v>392811</v>
      </c>
      <c r="FA158" s="675">
        <v>0</v>
      </c>
      <c r="FB158" s="675">
        <v>406787</v>
      </c>
      <c r="FC158" s="675">
        <v>0</v>
      </c>
      <c r="FD158" s="675">
        <v>0</v>
      </c>
      <c r="FE158" s="675">
        <v>41308</v>
      </c>
      <c r="FF158" s="675">
        <v>8544</v>
      </c>
      <c r="FG158" s="675">
        <v>6.3574999999999993E-2</v>
      </c>
      <c r="FH158" s="675">
        <v>2.6297999999999998E-2</v>
      </c>
      <c r="FI158" s="675">
        <v>0</v>
      </c>
      <c r="FJ158" s="675">
        <v>0</v>
      </c>
      <c r="FK158" s="675">
        <v>65.924999999999997</v>
      </c>
      <c r="FL158" s="675">
        <v>463717</v>
      </c>
      <c r="FM158" s="675">
        <v>0</v>
      </c>
      <c r="FN158" s="675">
        <v>0</v>
      </c>
      <c r="FO158" s="675">
        <v>0</v>
      </c>
      <c r="FP158" s="675">
        <v>0</v>
      </c>
      <c r="FQ158" s="675">
        <v>0</v>
      </c>
      <c r="FR158" s="675">
        <v>0</v>
      </c>
      <c r="FS158" s="675">
        <v>0</v>
      </c>
      <c r="FT158" s="675">
        <v>0</v>
      </c>
      <c r="FU158" s="675">
        <v>0</v>
      </c>
      <c r="FV158" s="675">
        <v>0</v>
      </c>
      <c r="FW158" s="675">
        <v>0</v>
      </c>
      <c r="FX158" s="675">
        <v>0</v>
      </c>
      <c r="FY158" s="675">
        <v>0</v>
      </c>
      <c r="FZ158" s="675">
        <v>0</v>
      </c>
      <c r="GA158" s="675">
        <v>0</v>
      </c>
      <c r="GB158" s="675">
        <v>193274</v>
      </c>
      <c r="GC158" s="675">
        <v>193274</v>
      </c>
      <c r="GD158" s="675">
        <v>20.291</v>
      </c>
      <c r="GE158" s="675">
        <v>0</v>
      </c>
      <c r="GF158" s="675">
        <v>0</v>
      </c>
      <c r="GG158" s="675">
        <v>0</v>
      </c>
      <c r="GH158" s="675">
        <v>0</v>
      </c>
      <c r="GI158" s="675">
        <v>0</v>
      </c>
      <c r="GJ158" s="675">
        <v>0</v>
      </c>
      <c r="GK158" s="675">
        <v>0</v>
      </c>
      <c r="GL158" s="675">
        <v>0</v>
      </c>
      <c r="GM158" s="675">
        <v>0</v>
      </c>
      <c r="GN158" s="675">
        <v>0</v>
      </c>
      <c r="GO158" s="675">
        <v>0</v>
      </c>
      <c r="GP158" s="675">
        <v>0</v>
      </c>
      <c r="GQ158" s="675">
        <v>0</v>
      </c>
      <c r="GR158" s="675">
        <v>0</v>
      </c>
      <c r="GS158" s="675">
        <v>0</v>
      </c>
      <c r="GT158" s="675">
        <v>0</v>
      </c>
      <c r="GU158" s="675">
        <v>0</v>
      </c>
      <c r="GV158" s="675">
        <v>0</v>
      </c>
      <c r="GW158" s="675">
        <v>0</v>
      </c>
      <c r="GX158" s="675">
        <v>0</v>
      </c>
      <c r="GY158" s="675">
        <v>0</v>
      </c>
      <c r="GZ158" s="675">
        <v>0</v>
      </c>
      <c r="HA158" s="675">
        <v>0</v>
      </c>
      <c r="HB158" s="675">
        <v>308877260</v>
      </c>
      <c r="HC158" s="675">
        <v>4.4138999999999998E-2</v>
      </c>
      <c r="HD158" s="675">
        <v>7078</v>
      </c>
      <c r="HE158" s="675">
        <v>0</v>
      </c>
      <c r="HF158" s="675">
        <v>21811</v>
      </c>
      <c r="HG158" s="675">
        <v>642</v>
      </c>
      <c r="HH158" s="675">
        <v>2901</v>
      </c>
      <c r="HI158" s="675">
        <v>0</v>
      </c>
      <c r="HJ158" s="675">
        <v>390</v>
      </c>
      <c r="HK158" s="675">
        <v>450</v>
      </c>
      <c r="HL158" s="675">
        <v>289</v>
      </c>
      <c r="HM158" s="675">
        <v>5000</v>
      </c>
      <c r="HN158" s="675">
        <v>0</v>
      </c>
      <c r="HO158" s="675">
        <v>0</v>
      </c>
      <c r="HP158" s="675">
        <v>0</v>
      </c>
      <c r="HQ158" s="675">
        <v>0</v>
      </c>
      <c r="HR158" s="675">
        <v>0</v>
      </c>
      <c r="HS158" s="675">
        <v>392764</v>
      </c>
      <c r="HT158" s="675">
        <v>8544</v>
      </c>
      <c r="HU158" s="675">
        <v>0</v>
      </c>
      <c r="HV158" s="675">
        <v>0</v>
      </c>
      <c r="HW158" s="675">
        <v>0</v>
      </c>
      <c r="HX158" s="675">
        <v>4</v>
      </c>
      <c r="HY158" s="675">
        <v>8</v>
      </c>
      <c r="HZ158" s="675">
        <v>5</v>
      </c>
      <c r="IA158" s="675">
        <v>9</v>
      </c>
      <c r="IB158" s="675">
        <v>1</v>
      </c>
      <c r="IC158" s="675">
        <v>27</v>
      </c>
      <c r="ID158" s="675">
        <v>0</v>
      </c>
      <c r="IE158" s="675">
        <v>0</v>
      </c>
      <c r="IF158" s="675">
        <v>0</v>
      </c>
      <c r="IG158" s="675">
        <v>1.042</v>
      </c>
      <c r="IH158" s="675">
        <v>4.7090000000000005</v>
      </c>
      <c r="II158" s="675">
        <v>0</v>
      </c>
      <c r="IJ158" s="675">
        <v>10.4</v>
      </c>
      <c r="IK158" s="675">
        <v>0</v>
      </c>
      <c r="IL158" s="675">
        <v>1</v>
      </c>
      <c r="IM158" s="675">
        <v>0</v>
      </c>
      <c r="IN158" s="675">
        <v>0</v>
      </c>
      <c r="IO158" s="675">
        <v>1</v>
      </c>
      <c r="IP158" s="675">
        <v>0</v>
      </c>
      <c r="IQ158" s="675">
        <v>10.4</v>
      </c>
      <c r="IR158" s="675">
        <v>6406</v>
      </c>
      <c r="IS158" s="675">
        <v>0</v>
      </c>
      <c r="IT158" s="675">
        <v>5000</v>
      </c>
      <c r="IU158" s="675">
        <v>0</v>
      </c>
      <c r="IV158" s="675">
        <v>0</v>
      </c>
      <c r="IW158" s="675">
        <v>6160</v>
      </c>
      <c r="IX158" s="675">
        <v>0</v>
      </c>
      <c r="IY158" s="675">
        <v>0</v>
      </c>
      <c r="IZ158" s="675">
        <v>0</v>
      </c>
      <c r="JA158" s="675">
        <v>0</v>
      </c>
      <c r="JB158" s="675">
        <v>0</v>
      </c>
      <c r="JC158" s="675">
        <v>0</v>
      </c>
      <c r="JD158" s="675">
        <v>0</v>
      </c>
      <c r="JE158" s="675">
        <v>0</v>
      </c>
      <c r="JF158" s="675">
        <v>0</v>
      </c>
      <c r="JG158" s="675">
        <v>0</v>
      </c>
      <c r="JH158" s="675">
        <v>0</v>
      </c>
      <c r="JI158" s="675">
        <v>0</v>
      </c>
      <c r="JJ158" s="675">
        <v>0</v>
      </c>
      <c r="JK158" s="675">
        <v>0</v>
      </c>
      <c r="JL158" s="675">
        <v>0</v>
      </c>
      <c r="JM158" s="675">
        <v>0</v>
      </c>
      <c r="JN158" s="675">
        <v>32469</v>
      </c>
      <c r="JO158" s="675">
        <v>3.7890000000000001</v>
      </c>
      <c r="JP158" s="675">
        <v>9.5530000000000008</v>
      </c>
      <c r="JQ158" s="675">
        <v>6.9490000000000007</v>
      </c>
      <c r="JR158" s="675">
        <v>30271</v>
      </c>
      <c r="JS158" s="675">
        <v>88811</v>
      </c>
      <c r="JT158" s="675">
        <v>74192</v>
      </c>
      <c r="JU158" s="675">
        <v>0</v>
      </c>
      <c r="JV158" s="675">
        <v>0</v>
      </c>
      <c r="JW158" s="675">
        <v>0</v>
      </c>
      <c r="JX158" s="675">
        <v>0</v>
      </c>
      <c r="JY158" s="675">
        <v>0</v>
      </c>
      <c r="JZ158" s="675">
        <v>0</v>
      </c>
      <c r="KA158" s="675">
        <v>0</v>
      </c>
      <c r="KB158" s="675">
        <v>0</v>
      </c>
      <c r="KC158" s="675">
        <v>0</v>
      </c>
      <c r="KD158" s="675">
        <v>0</v>
      </c>
      <c r="KE158" s="675">
        <v>7263</v>
      </c>
      <c r="KF158" s="675">
        <v>0</v>
      </c>
      <c r="KG158" s="675">
        <v>0</v>
      </c>
      <c r="KH158" s="675">
        <v>0</v>
      </c>
      <c r="KI158" s="675">
        <v>0</v>
      </c>
    </row>
    <row r="159" spans="1:295" ht="12.5" x14ac:dyDescent="0.25">
      <c r="A159" s="675">
        <v>35795</v>
      </c>
      <c r="B159" s="675">
        <v>15843</v>
      </c>
      <c r="C159" s="675">
        <v>7</v>
      </c>
      <c r="D159" s="675">
        <v>2022</v>
      </c>
      <c r="E159" s="675">
        <v>6160</v>
      </c>
      <c r="F159" s="675">
        <v>0</v>
      </c>
      <c r="G159" s="675">
        <v>23.616</v>
      </c>
      <c r="H159" s="675">
        <v>23.616</v>
      </c>
      <c r="I159" s="675">
        <v>23.616</v>
      </c>
      <c r="J159" s="675">
        <v>23.616</v>
      </c>
      <c r="K159" s="675">
        <v>0</v>
      </c>
      <c r="L159" s="675">
        <v>6160</v>
      </c>
      <c r="M159" s="675">
        <v>0</v>
      </c>
      <c r="N159" s="675">
        <v>0</v>
      </c>
      <c r="O159" s="675">
        <v>0</v>
      </c>
      <c r="P159" s="675">
        <v>0</v>
      </c>
      <c r="Q159" s="675">
        <v>0</v>
      </c>
      <c r="R159" s="675">
        <v>0</v>
      </c>
      <c r="S159" s="675">
        <v>402.428</v>
      </c>
      <c r="T159" s="675">
        <v>0</v>
      </c>
      <c r="U159" s="675">
        <v>0</v>
      </c>
      <c r="V159" s="675">
        <v>0</v>
      </c>
      <c r="W159" s="675">
        <v>0</v>
      </c>
      <c r="X159" s="675">
        <v>0</v>
      </c>
      <c r="Y159" s="675">
        <v>0</v>
      </c>
      <c r="Z159" s="675">
        <v>0</v>
      </c>
      <c r="AA159" s="675">
        <v>0</v>
      </c>
      <c r="AB159" s="675">
        <v>0</v>
      </c>
      <c r="AC159" s="675">
        <v>0</v>
      </c>
      <c r="AD159" s="675" t="s">
        <v>316</v>
      </c>
      <c r="AE159" s="675">
        <v>0</v>
      </c>
      <c r="AF159" s="675">
        <v>0</v>
      </c>
      <c r="AG159" s="675">
        <v>0</v>
      </c>
      <c r="AH159" s="675">
        <v>0</v>
      </c>
      <c r="AI159" s="675">
        <v>0</v>
      </c>
      <c r="AJ159" s="675">
        <v>6160</v>
      </c>
      <c r="AK159" s="675" t="s">
        <v>671</v>
      </c>
      <c r="AL159" s="675" t="s">
        <v>795</v>
      </c>
      <c r="AM159" s="675">
        <v>0</v>
      </c>
      <c r="AN159" s="675">
        <v>0</v>
      </c>
      <c r="AO159" s="675">
        <v>0</v>
      </c>
      <c r="AP159" s="675">
        <v>0</v>
      </c>
      <c r="AQ159" s="675">
        <v>0</v>
      </c>
      <c r="AR159" s="675">
        <v>0</v>
      </c>
      <c r="AS159" s="675">
        <v>0</v>
      </c>
      <c r="AT159" s="675">
        <v>0</v>
      </c>
      <c r="AU159" s="675">
        <v>0</v>
      </c>
      <c r="AV159" s="675">
        <v>0</v>
      </c>
      <c r="AW159" s="675">
        <v>433822</v>
      </c>
      <c r="AX159" s="675">
        <v>433822</v>
      </c>
      <c r="AY159" s="675">
        <v>346984</v>
      </c>
      <c r="AZ159" s="675">
        <v>0</v>
      </c>
      <c r="BA159" s="675">
        <v>0</v>
      </c>
      <c r="BB159" s="675">
        <v>0</v>
      </c>
      <c r="BC159" s="675">
        <v>0</v>
      </c>
      <c r="BD159" s="675">
        <v>0</v>
      </c>
      <c r="BE159" s="675">
        <v>0</v>
      </c>
      <c r="BF159" s="675">
        <v>222329</v>
      </c>
      <c r="BG159" s="675">
        <v>0</v>
      </c>
      <c r="BH159" s="675">
        <v>0</v>
      </c>
      <c r="BI159" s="675">
        <v>0</v>
      </c>
      <c r="BJ159" s="675">
        <v>12</v>
      </c>
      <c r="BK159" s="675">
        <v>0</v>
      </c>
      <c r="BL159" s="675">
        <v>0</v>
      </c>
      <c r="BM159" s="675">
        <v>0</v>
      </c>
      <c r="BN159" s="675">
        <v>0</v>
      </c>
      <c r="BO159" s="675">
        <v>0</v>
      </c>
      <c r="BP159" s="675">
        <v>0</v>
      </c>
      <c r="BQ159" s="675">
        <v>766</v>
      </c>
      <c r="BR159" s="675">
        <v>0</v>
      </c>
      <c r="BS159" s="675">
        <v>0</v>
      </c>
      <c r="BT159" s="675">
        <v>0</v>
      </c>
      <c r="BU159" s="675">
        <v>0</v>
      </c>
      <c r="BV159" s="675">
        <v>0</v>
      </c>
      <c r="BW159" s="675">
        <v>0</v>
      </c>
      <c r="BX159" s="675">
        <v>0</v>
      </c>
      <c r="BY159" s="675">
        <v>0</v>
      </c>
      <c r="BZ159" s="675">
        <v>0</v>
      </c>
      <c r="CA159" s="675">
        <v>216</v>
      </c>
      <c r="CB159" s="675">
        <v>184199</v>
      </c>
      <c r="CC159" s="675">
        <v>0</v>
      </c>
      <c r="CD159" s="675">
        <v>0</v>
      </c>
      <c r="CE159" s="675">
        <v>0</v>
      </c>
      <c r="CF159" s="675">
        <v>0</v>
      </c>
      <c r="CG159" s="675">
        <v>0</v>
      </c>
      <c r="CH159" s="675">
        <v>0</v>
      </c>
      <c r="CI159" s="675">
        <v>0</v>
      </c>
      <c r="CJ159" s="675">
        <v>4</v>
      </c>
      <c r="CK159" s="675">
        <v>0</v>
      </c>
      <c r="CL159" s="675">
        <v>0</v>
      </c>
      <c r="CM159" s="675">
        <v>0</v>
      </c>
      <c r="CN159" s="675">
        <v>0</v>
      </c>
      <c r="CO159" s="675">
        <v>1</v>
      </c>
      <c r="CP159" s="675">
        <v>0</v>
      </c>
      <c r="CQ159" s="675">
        <v>0</v>
      </c>
      <c r="CR159" s="675">
        <v>0</v>
      </c>
      <c r="CS159" s="675">
        <v>0</v>
      </c>
      <c r="CT159" s="675">
        <v>0</v>
      </c>
      <c r="CU159" s="675">
        <v>0</v>
      </c>
      <c r="CV159" s="675">
        <v>0</v>
      </c>
      <c r="CW159" s="675">
        <v>0</v>
      </c>
      <c r="CX159" s="675">
        <v>0</v>
      </c>
      <c r="CY159" s="675">
        <v>0</v>
      </c>
      <c r="CZ159" s="675">
        <v>0</v>
      </c>
      <c r="DA159" s="675">
        <v>0</v>
      </c>
      <c r="DB159" s="675">
        <v>145474</v>
      </c>
      <c r="DC159" s="675">
        <v>0</v>
      </c>
      <c r="DD159" s="675">
        <v>0</v>
      </c>
      <c r="DE159" s="675">
        <v>39501</v>
      </c>
      <c r="DF159" s="675">
        <v>39501</v>
      </c>
      <c r="DG159" s="675">
        <v>6.4130000000000003</v>
      </c>
      <c r="DH159" s="675">
        <v>0</v>
      </c>
      <c r="DI159" s="675">
        <v>0</v>
      </c>
      <c r="DJ159" s="675">
        <v>0</v>
      </c>
      <c r="DK159" s="675">
        <v>3884</v>
      </c>
      <c r="DL159" s="675">
        <v>0</v>
      </c>
      <c r="DM159" s="675">
        <v>0</v>
      </c>
      <c r="DN159" s="675">
        <v>0</v>
      </c>
      <c r="DO159" s="675">
        <v>0</v>
      </c>
      <c r="DP159" s="675">
        <v>0</v>
      </c>
      <c r="DQ159" s="675">
        <v>0</v>
      </c>
      <c r="DR159" s="675">
        <v>0</v>
      </c>
      <c r="DS159" s="675">
        <v>0</v>
      </c>
      <c r="DT159" s="675">
        <v>0</v>
      </c>
      <c r="DU159" s="675">
        <v>0</v>
      </c>
      <c r="DV159" s="675">
        <v>0</v>
      </c>
      <c r="DW159" s="675">
        <v>0</v>
      </c>
      <c r="DX159" s="675">
        <v>0</v>
      </c>
      <c r="DY159" s="675">
        <v>0</v>
      </c>
      <c r="DZ159" s="675">
        <v>0</v>
      </c>
      <c r="EA159" s="675">
        <v>0</v>
      </c>
      <c r="EB159" s="675">
        <v>0</v>
      </c>
      <c r="EC159" s="675">
        <v>0</v>
      </c>
      <c r="ED159" s="675">
        <v>0</v>
      </c>
      <c r="EE159" s="675">
        <v>0</v>
      </c>
      <c r="EF159" s="675">
        <v>0</v>
      </c>
      <c r="EG159" s="675">
        <v>0</v>
      </c>
      <c r="EH159" s="675">
        <v>0</v>
      </c>
      <c r="EI159" s="675">
        <v>0</v>
      </c>
      <c r="EJ159" s="675">
        <v>0</v>
      </c>
      <c r="EK159" s="675">
        <v>0</v>
      </c>
      <c r="EL159" s="675">
        <v>0</v>
      </c>
      <c r="EM159" s="675">
        <v>0</v>
      </c>
      <c r="EN159" s="675">
        <v>0</v>
      </c>
      <c r="EO159" s="675">
        <v>0</v>
      </c>
      <c r="EP159" s="675">
        <v>0</v>
      </c>
      <c r="EQ159" s="675">
        <v>0</v>
      </c>
      <c r="ER159" s="675">
        <v>0</v>
      </c>
      <c r="ES159" s="675">
        <v>0</v>
      </c>
      <c r="ET159" s="675">
        <v>0</v>
      </c>
      <c r="EU159" s="675">
        <v>0</v>
      </c>
      <c r="EV159" s="675">
        <v>0</v>
      </c>
      <c r="EW159" s="675">
        <v>0</v>
      </c>
      <c r="EX159" s="675">
        <v>0</v>
      </c>
      <c r="EY159" s="675">
        <v>0</v>
      </c>
      <c r="EZ159" s="675">
        <v>406528</v>
      </c>
      <c r="FA159" s="675">
        <v>0</v>
      </c>
      <c r="FB159" s="675">
        <v>406528</v>
      </c>
      <c r="FC159" s="675">
        <v>0</v>
      </c>
      <c r="FD159" s="675">
        <v>0</v>
      </c>
      <c r="FE159" s="675">
        <v>22616</v>
      </c>
      <c r="FF159" s="675">
        <v>4678</v>
      </c>
      <c r="FG159" s="675">
        <v>6.3574999999999993E-2</v>
      </c>
      <c r="FH159" s="675">
        <v>2.6297999999999998E-2</v>
      </c>
      <c r="FI159" s="675">
        <v>0</v>
      </c>
      <c r="FJ159" s="675">
        <v>0</v>
      </c>
      <c r="FK159" s="675">
        <v>36.093000000000004</v>
      </c>
      <c r="FL159" s="675">
        <v>433822</v>
      </c>
      <c r="FM159" s="675">
        <v>0</v>
      </c>
      <c r="FN159" s="675">
        <v>0</v>
      </c>
      <c r="FO159" s="675">
        <v>0</v>
      </c>
      <c r="FP159" s="675">
        <v>0</v>
      </c>
      <c r="FQ159" s="675">
        <v>0</v>
      </c>
      <c r="FR159" s="675">
        <v>0</v>
      </c>
      <c r="FS159" s="675">
        <v>0</v>
      </c>
      <c r="FT159" s="675">
        <v>0</v>
      </c>
      <c r="FU159" s="675">
        <v>0</v>
      </c>
      <c r="FV159" s="675">
        <v>0</v>
      </c>
      <c r="FW159" s="675">
        <v>0</v>
      </c>
      <c r="FX159" s="675">
        <v>0</v>
      </c>
      <c r="FY159" s="675">
        <v>0</v>
      </c>
      <c r="FZ159" s="675">
        <v>0</v>
      </c>
      <c r="GA159" s="675">
        <v>0</v>
      </c>
      <c r="GB159" s="675">
        <v>0</v>
      </c>
      <c r="GC159" s="675">
        <v>0</v>
      </c>
      <c r="GD159" s="675">
        <v>0</v>
      </c>
      <c r="GE159" s="675">
        <v>0</v>
      </c>
      <c r="GF159" s="675">
        <v>0</v>
      </c>
      <c r="GG159" s="675">
        <v>0</v>
      </c>
      <c r="GH159" s="675">
        <v>0</v>
      </c>
      <c r="GI159" s="675">
        <v>0</v>
      </c>
      <c r="GJ159" s="675">
        <v>0</v>
      </c>
      <c r="GK159" s="675">
        <v>0</v>
      </c>
      <c r="GL159" s="675">
        <v>0</v>
      </c>
      <c r="GM159" s="675">
        <v>0</v>
      </c>
      <c r="GN159" s="675">
        <v>0</v>
      </c>
      <c r="GO159" s="675">
        <v>0</v>
      </c>
      <c r="GP159" s="675">
        <v>0</v>
      </c>
      <c r="GQ159" s="675">
        <v>0</v>
      </c>
      <c r="GR159" s="675">
        <v>0</v>
      </c>
      <c r="GS159" s="675">
        <v>0</v>
      </c>
      <c r="GT159" s="675">
        <v>0</v>
      </c>
      <c r="GU159" s="675">
        <v>0</v>
      </c>
      <c r="GV159" s="675">
        <v>0</v>
      </c>
      <c r="GW159" s="675">
        <v>0</v>
      </c>
      <c r="GX159" s="675">
        <v>0</v>
      </c>
      <c r="GY159" s="675">
        <v>0</v>
      </c>
      <c r="GZ159" s="675">
        <v>0</v>
      </c>
      <c r="HA159" s="675">
        <v>0</v>
      </c>
      <c r="HB159" s="675">
        <v>0</v>
      </c>
      <c r="HC159" s="675">
        <v>4.4138999999999998E-2</v>
      </c>
      <c r="HD159" s="675">
        <v>0</v>
      </c>
      <c r="HE159" s="675">
        <v>0</v>
      </c>
      <c r="HF159" s="675">
        <v>26048</v>
      </c>
      <c r="HG159" s="675">
        <v>0</v>
      </c>
      <c r="HH159" s="675">
        <v>11076</v>
      </c>
      <c r="HI159" s="675">
        <v>0</v>
      </c>
      <c r="HJ159" s="675">
        <v>230</v>
      </c>
      <c r="HK159" s="675">
        <v>0</v>
      </c>
      <c r="HL159" s="675">
        <v>0</v>
      </c>
      <c r="HM159" s="675">
        <v>0</v>
      </c>
      <c r="HN159" s="675">
        <v>0</v>
      </c>
      <c r="HO159" s="675">
        <v>0</v>
      </c>
      <c r="HP159" s="675">
        <v>0</v>
      </c>
      <c r="HQ159" s="675">
        <v>0</v>
      </c>
      <c r="HR159" s="675">
        <v>0</v>
      </c>
      <c r="HS159" s="675">
        <v>406528</v>
      </c>
      <c r="HT159" s="675">
        <v>4678</v>
      </c>
      <c r="HU159" s="675">
        <v>0</v>
      </c>
      <c r="HV159" s="675">
        <v>0</v>
      </c>
      <c r="HW159" s="675">
        <v>0</v>
      </c>
      <c r="HX159" s="675">
        <v>1</v>
      </c>
      <c r="HY159" s="675">
        <v>5</v>
      </c>
      <c r="HZ159" s="675">
        <v>6</v>
      </c>
      <c r="IA159" s="675">
        <v>6</v>
      </c>
      <c r="IB159" s="675">
        <v>7</v>
      </c>
      <c r="IC159" s="675">
        <v>25</v>
      </c>
      <c r="ID159" s="675">
        <v>0</v>
      </c>
      <c r="IE159" s="675">
        <v>0</v>
      </c>
      <c r="IF159" s="675">
        <v>0</v>
      </c>
      <c r="IG159" s="675">
        <v>0</v>
      </c>
      <c r="IH159" s="675">
        <v>17.98</v>
      </c>
      <c r="II159" s="675">
        <v>0</v>
      </c>
      <c r="IJ159" s="675">
        <v>0</v>
      </c>
      <c r="IK159" s="675">
        <v>0</v>
      </c>
      <c r="IL159" s="675">
        <v>0</v>
      </c>
      <c r="IM159" s="675">
        <v>0</v>
      </c>
      <c r="IN159" s="675">
        <v>0</v>
      </c>
      <c r="IO159" s="675">
        <v>0</v>
      </c>
      <c r="IP159" s="675">
        <v>0</v>
      </c>
      <c r="IQ159" s="675">
        <v>0</v>
      </c>
      <c r="IR159" s="675">
        <v>0</v>
      </c>
      <c r="IS159" s="675">
        <v>0</v>
      </c>
      <c r="IT159" s="675">
        <v>0</v>
      </c>
      <c r="IU159" s="675">
        <v>0</v>
      </c>
      <c r="IV159" s="675">
        <v>0</v>
      </c>
      <c r="IW159" s="675">
        <v>6160</v>
      </c>
      <c r="IX159" s="675">
        <v>0</v>
      </c>
      <c r="IY159" s="675">
        <v>0</v>
      </c>
      <c r="IZ159" s="675">
        <v>0</v>
      </c>
      <c r="JA159" s="675">
        <v>0</v>
      </c>
      <c r="JB159" s="675">
        <v>0</v>
      </c>
      <c r="JC159" s="675">
        <v>0</v>
      </c>
      <c r="JD159" s="675">
        <v>0</v>
      </c>
      <c r="JE159" s="675">
        <v>0</v>
      </c>
      <c r="JF159" s="675">
        <v>0</v>
      </c>
      <c r="JG159" s="675">
        <v>0</v>
      </c>
      <c r="JH159" s="675">
        <v>0</v>
      </c>
      <c r="JI159" s="675">
        <v>0</v>
      </c>
      <c r="JJ159" s="675">
        <v>0</v>
      </c>
      <c r="JK159" s="675">
        <v>0</v>
      </c>
      <c r="JL159" s="675">
        <v>0</v>
      </c>
      <c r="JM159" s="675">
        <v>0</v>
      </c>
      <c r="JN159" s="675">
        <v>0</v>
      </c>
      <c r="JO159" s="675">
        <v>0</v>
      </c>
      <c r="JP159" s="675">
        <v>0</v>
      </c>
      <c r="JQ159" s="675">
        <v>0</v>
      </c>
      <c r="JR159" s="675">
        <v>0</v>
      </c>
      <c r="JS159" s="675">
        <v>0</v>
      </c>
      <c r="JT159" s="675">
        <v>0</v>
      </c>
      <c r="JU159" s="675">
        <v>0</v>
      </c>
      <c r="JV159" s="675">
        <v>0</v>
      </c>
      <c r="JW159" s="675">
        <v>0</v>
      </c>
      <c r="JX159" s="675">
        <v>0</v>
      </c>
      <c r="JY159" s="675">
        <v>0</v>
      </c>
      <c r="JZ159" s="675">
        <v>0</v>
      </c>
      <c r="KA159" s="675">
        <v>0</v>
      </c>
      <c r="KB159" s="675">
        <v>0</v>
      </c>
      <c r="KC159" s="675">
        <v>0</v>
      </c>
      <c r="KD159" s="675">
        <v>0</v>
      </c>
      <c r="KE159" s="675">
        <v>7263</v>
      </c>
      <c r="KF159" s="675">
        <v>0</v>
      </c>
      <c r="KG159" s="675">
        <v>0</v>
      </c>
      <c r="KH159" s="675">
        <v>0</v>
      </c>
      <c r="KI159" s="675">
        <v>0</v>
      </c>
    </row>
    <row r="160" spans="1:295" ht="12.5" x14ac:dyDescent="0.25">
      <c r="A160" s="675">
        <v>35795</v>
      </c>
      <c r="B160" s="675">
        <v>57844</v>
      </c>
      <c r="C160" s="675">
        <v>7</v>
      </c>
      <c r="D160" s="675">
        <v>2022</v>
      </c>
      <c r="E160" s="675">
        <v>6160</v>
      </c>
      <c r="F160" s="675">
        <v>0</v>
      </c>
      <c r="G160" s="675">
        <v>489.25300000000004</v>
      </c>
      <c r="H160" s="675">
        <v>464.08800000000002</v>
      </c>
      <c r="I160" s="675">
        <v>464.08800000000002</v>
      </c>
      <c r="J160" s="675">
        <v>489.25300000000004</v>
      </c>
      <c r="K160" s="675">
        <v>0</v>
      </c>
      <c r="L160" s="675">
        <v>6160</v>
      </c>
      <c r="M160" s="675">
        <v>0</v>
      </c>
      <c r="N160" s="675">
        <v>0</v>
      </c>
      <c r="O160" s="675">
        <v>0</v>
      </c>
      <c r="P160" s="675">
        <v>594.53100000000006</v>
      </c>
      <c r="Q160" s="675">
        <v>0</v>
      </c>
      <c r="R160" s="675">
        <v>239256</v>
      </c>
      <c r="S160" s="675">
        <v>402.428</v>
      </c>
      <c r="T160" s="675">
        <v>0</v>
      </c>
      <c r="U160" s="675">
        <v>127230</v>
      </c>
      <c r="V160" s="675">
        <v>199.94300000000001</v>
      </c>
      <c r="W160" s="675">
        <v>123164</v>
      </c>
      <c r="X160" s="675">
        <v>123164</v>
      </c>
      <c r="Y160" s="675">
        <v>0</v>
      </c>
      <c r="Z160" s="675">
        <v>0</v>
      </c>
      <c r="AA160" s="675">
        <v>0</v>
      </c>
      <c r="AB160" s="675">
        <v>0</v>
      </c>
      <c r="AC160" s="675">
        <v>0</v>
      </c>
      <c r="AD160" s="675" t="s">
        <v>316</v>
      </c>
      <c r="AE160" s="675">
        <v>0</v>
      </c>
      <c r="AF160" s="675">
        <v>0</v>
      </c>
      <c r="AG160" s="675">
        <v>0</v>
      </c>
      <c r="AH160" s="675">
        <v>0</v>
      </c>
      <c r="AI160" s="675">
        <v>0</v>
      </c>
      <c r="AJ160" s="675">
        <v>6160</v>
      </c>
      <c r="AK160" s="675" t="s">
        <v>671</v>
      </c>
      <c r="AL160" s="675" t="s">
        <v>332</v>
      </c>
      <c r="AM160" s="675">
        <v>0</v>
      </c>
      <c r="AN160" s="675">
        <v>0</v>
      </c>
      <c r="AO160" s="675">
        <v>0</v>
      </c>
      <c r="AP160" s="675">
        <v>0</v>
      </c>
      <c r="AQ160" s="675">
        <v>0</v>
      </c>
      <c r="AR160" s="675">
        <v>0</v>
      </c>
      <c r="AS160" s="675">
        <v>0</v>
      </c>
      <c r="AT160" s="675">
        <v>0</v>
      </c>
      <c r="AU160" s="675">
        <v>0</v>
      </c>
      <c r="AV160" s="675">
        <v>-13446</v>
      </c>
      <c r="AW160" s="675">
        <v>4975981</v>
      </c>
      <c r="AX160" s="675">
        <v>4890715</v>
      </c>
      <c r="AY160" s="675">
        <v>3473660</v>
      </c>
      <c r="AZ160" s="675">
        <v>239256</v>
      </c>
      <c r="BA160" s="675">
        <v>0</v>
      </c>
      <c r="BB160" s="675">
        <v>862</v>
      </c>
      <c r="BC160" s="675">
        <v>856</v>
      </c>
      <c r="BD160" s="675">
        <v>2</v>
      </c>
      <c r="BE160" s="675">
        <v>6</v>
      </c>
      <c r="BF160" s="675">
        <v>4536820</v>
      </c>
      <c r="BG160" s="675">
        <v>0</v>
      </c>
      <c r="BH160" s="675">
        <v>0</v>
      </c>
      <c r="BI160" s="675">
        <v>0</v>
      </c>
      <c r="BJ160" s="675">
        <v>12</v>
      </c>
      <c r="BK160" s="675">
        <v>0</v>
      </c>
      <c r="BL160" s="675">
        <v>0</v>
      </c>
      <c r="BM160" s="675">
        <v>0</v>
      </c>
      <c r="BN160" s="675">
        <v>0</v>
      </c>
      <c r="BO160" s="675">
        <v>0</v>
      </c>
      <c r="BP160" s="675">
        <v>0</v>
      </c>
      <c r="BQ160" s="675">
        <v>699</v>
      </c>
      <c r="BR160" s="675">
        <v>0</v>
      </c>
      <c r="BS160" s="675">
        <v>0</v>
      </c>
      <c r="BT160" s="675">
        <v>0</v>
      </c>
      <c r="BU160" s="675">
        <v>0</v>
      </c>
      <c r="BV160" s="675">
        <v>0</v>
      </c>
      <c r="BW160" s="675">
        <v>0</v>
      </c>
      <c r="BX160" s="675">
        <v>0</v>
      </c>
      <c r="BY160" s="675">
        <v>0</v>
      </c>
      <c r="BZ160" s="675">
        <v>0</v>
      </c>
      <c r="CA160" s="675">
        <v>0</v>
      </c>
      <c r="CB160" s="675">
        <v>0</v>
      </c>
      <c r="CC160" s="675">
        <v>0</v>
      </c>
      <c r="CD160" s="675">
        <v>0</v>
      </c>
      <c r="CE160" s="675">
        <v>0</v>
      </c>
      <c r="CF160" s="675">
        <v>0</v>
      </c>
      <c r="CG160" s="675">
        <v>0</v>
      </c>
      <c r="CH160" s="675">
        <v>86380</v>
      </c>
      <c r="CI160" s="675">
        <v>0</v>
      </c>
      <c r="CJ160" s="675">
        <v>4</v>
      </c>
      <c r="CK160" s="675">
        <v>0</v>
      </c>
      <c r="CL160" s="675">
        <v>0</v>
      </c>
      <c r="CM160" s="675">
        <v>0</v>
      </c>
      <c r="CN160" s="675">
        <v>0</v>
      </c>
      <c r="CO160" s="675">
        <v>1</v>
      </c>
      <c r="CP160" s="675">
        <v>0</v>
      </c>
      <c r="CQ160" s="675">
        <v>0</v>
      </c>
      <c r="CR160" s="675">
        <v>598.26</v>
      </c>
      <c r="CS160" s="675">
        <v>0</v>
      </c>
      <c r="CT160" s="675">
        <v>0</v>
      </c>
      <c r="CU160" s="675">
        <v>0</v>
      </c>
      <c r="CV160" s="675">
        <v>0</v>
      </c>
      <c r="CW160" s="675">
        <v>0</v>
      </c>
      <c r="CX160" s="675">
        <v>0</v>
      </c>
      <c r="CY160" s="675">
        <v>0</v>
      </c>
      <c r="CZ160" s="675">
        <v>0</v>
      </c>
      <c r="DA160" s="675">
        <v>0</v>
      </c>
      <c r="DB160" s="675">
        <v>2719947</v>
      </c>
      <c r="DC160" s="675">
        <v>0</v>
      </c>
      <c r="DD160" s="675">
        <v>0</v>
      </c>
      <c r="DE160" s="675">
        <v>508429</v>
      </c>
      <c r="DF160" s="675">
        <v>508429</v>
      </c>
      <c r="DG160" s="675">
        <v>82.538000000000011</v>
      </c>
      <c r="DH160" s="675">
        <v>0</v>
      </c>
      <c r="DI160" s="675">
        <v>0</v>
      </c>
      <c r="DJ160" s="675">
        <v>0</v>
      </c>
      <c r="DK160" s="675">
        <v>2799</v>
      </c>
      <c r="DL160" s="675">
        <v>0</v>
      </c>
      <c r="DM160" s="675">
        <v>433387</v>
      </c>
      <c r="DN160" s="675">
        <v>1108</v>
      </c>
      <c r="DO160" s="675">
        <v>0</v>
      </c>
      <c r="DP160" s="675">
        <v>0</v>
      </c>
      <c r="DQ160" s="675">
        <v>0</v>
      </c>
      <c r="DR160" s="675">
        <v>0</v>
      </c>
      <c r="DS160" s="675">
        <v>0</v>
      </c>
      <c r="DT160" s="675">
        <v>0</v>
      </c>
      <c r="DU160" s="675">
        <v>0</v>
      </c>
      <c r="DV160" s="675">
        <v>0</v>
      </c>
      <c r="DW160" s="675">
        <v>0</v>
      </c>
      <c r="DX160" s="675">
        <v>0</v>
      </c>
      <c r="DY160" s="675">
        <v>0</v>
      </c>
      <c r="DZ160" s="675">
        <v>0</v>
      </c>
      <c r="EA160" s="675">
        <v>0</v>
      </c>
      <c r="EB160" s="675">
        <v>0</v>
      </c>
      <c r="EC160" s="675">
        <v>1.0070000000000001</v>
      </c>
      <c r="ED160" s="675">
        <v>7134</v>
      </c>
      <c r="EE160" s="675">
        <v>0</v>
      </c>
      <c r="EF160" s="675">
        <v>0</v>
      </c>
      <c r="EG160" s="675">
        <v>0</v>
      </c>
      <c r="EH160" s="675">
        <v>288539</v>
      </c>
      <c r="EI160" s="675">
        <v>0</v>
      </c>
      <c r="EJ160" s="675">
        <v>0</v>
      </c>
      <c r="EK160" s="675">
        <v>9.0510000000000002</v>
      </c>
      <c r="EL160" s="675">
        <v>0</v>
      </c>
      <c r="EM160" s="675">
        <v>5.4409999999999998</v>
      </c>
      <c r="EN160" s="675">
        <v>0.67300000000000004</v>
      </c>
      <c r="EO160" s="675">
        <v>0</v>
      </c>
      <c r="EP160" s="675">
        <v>0</v>
      </c>
      <c r="EQ160" s="675">
        <v>15.165000000000001</v>
      </c>
      <c r="ER160" s="675">
        <v>0</v>
      </c>
      <c r="ES160" s="675">
        <v>46.841000000000001</v>
      </c>
      <c r="ET160" s="675">
        <v>0</v>
      </c>
      <c r="EU160" s="675">
        <v>0</v>
      </c>
      <c r="EV160" s="675">
        <v>0</v>
      </c>
      <c r="EW160" s="675">
        <v>0</v>
      </c>
      <c r="EX160" s="675">
        <v>0</v>
      </c>
      <c r="EY160" s="675">
        <v>0</v>
      </c>
      <c r="EZ160" s="675">
        <v>4333780</v>
      </c>
      <c r="FA160" s="675">
        <v>0</v>
      </c>
      <c r="FB160" s="675">
        <v>4571922</v>
      </c>
      <c r="FC160" s="675">
        <v>0</v>
      </c>
      <c r="FD160" s="675">
        <v>0</v>
      </c>
      <c r="FE160" s="675">
        <v>461487</v>
      </c>
      <c r="FF160" s="675">
        <v>95448</v>
      </c>
      <c r="FG160" s="675">
        <v>6.3574999999999993E-2</v>
      </c>
      <c r="FH160" s="675">
        <v>2.6297999999999998E-2</v>
      </c>
      <c r="FI160" s="675">
        <v>0</v>
      </c>
      <c r="FJ160" s="675">
        <v>0</v>
      </c>
      <c r="FK160" s="675">
        <v>736.5</v>
      </c>
      <c r="FL160" s="675">
        <v>5215237</v>
      </c>
      <c r="FM160" s="675">
        <v>0</v>
      </c>
      <c r="FN160" s="675">
        <v>0</v>
      </c>
      <c r="FO160" s="675">
        <v>35100</v>
      </c>
      <c r="FP160" s="675">
        <v>0</v>
      </c>
      <c r="FQ160" s="675">
        <v>35100</v>
      </c>
      <c r="FR160" s="675">
        <v>35100</v>
      </c>
      <c r="FS160" s="675">
        <v>0</v>
      </c>
      <c r="FT160" s="675">
        <v>0</v>
      </c>
      <c r="FU160" s="675">
        <v>0</v>
      </c>
      <c r="FV160" s="675">
        <v>0</v>
      </c>
      <c r="FW160" s="675">
        <v>0</v>
      </c>
      <c r="FX160" s="675">
        <v>0</v>
      </c>
      <c r="FY160" s="675">
        <v>0</v>
      </c>
      <c r="FZ160" s="675">
        <v>0</v>
      </c>
      <c r="GA160" s="675">
        <v>0</v>
      </c>
      <c r="GB160" s="675">
        <v>93738</v>
      </c>
      <c r="GC160" s="675">
        <v>93738</v>
      </c>
      <c r="GD160" s="675">
        <v>10</v>
      </c>
      <c r="GE160" s="675">
        <v>0</v>
      </c>
      <c r="GF160" s="675">
        <v>0</v>
      </c>
      <c r="GG160" s="675">
        <v>0</v>
      </c>
      <c r="GH160" s="675">
        <v>0</v>
      </c>
      <c r="GI160" s="675">
        <v>0</v>
      </c>
      <c r="GJ160" s="675">
        <v>0</v>
      </c>
      <c r="GK160" s="675">
        <v>0</v>
      </c>
      <c r="GL160" s="675">
        <v>0</v>
      </c>
      <c r="GM160" s="675">
        <v>0</v>
      </c>
      <c r="GN160" s="675">
        <v>0</v>
      </c>
      <c r="GO160" s="675">
        <v>0</v>
      </c>
      <c r="GP160" s="675">
        <v>0</v>
      </c>
      <c r="GQ160" s="675">
        <v>0</v>
      </c>
      <c r="GR160" s="675">
        <v>0</v>
      </c>
      <c r="GS160" s="675">
        <v>0</v>
      </c>
      <c r="GT160" s="675">
        <v>0</v>
      </c>
      <c r="GU160" s="675">
        <v>0</v>
      </c>
      <c r="GV160" s="675">
        <v>0</v>
      </c>
      <c r="GW160" s="675">
        <v>0</v>
      </c>
      <c r="GX160" s="675">
        <v>0</v>
      </c>
      <c r="GY160" s="675">
        <v>0</v>
      </c>
      <c r="GZ160" s="675">
        <v>0</v>
      </c>
      <c r="HA160" s="675">
        <v>0</v>
      </c>
      <c r="HB160" s="675">
        <v>308877260</v>
      </c>
      <c r="HC160" s="675">
        <v>4.4138999999999998E-2</v>
      </c>
      <c r="HD160" s="675">
        <v>86380</v>
      </c>
      <c r="HE160" s="675">
        <v>0</v>
      </c>
      <c r="HF160" s="675">
        <v>511889</v>
      </c>
      <c r="HG160" s="675">
        <v>3696</v>
      </c>
      <c r="HH160" s="675">
        <v>94844</v>
      </c>
      <c r="HI160" s="675">
        <v>0</v>
      </c>
      <c r="HJ160" s="675">
        <v>4756</v>
      </c>
      <c r="HK160" s="675">
        <v>1116</v>
      </c>
      <c r="HL160" s="675">
        <v>0</v>
      </c>
      <c r="HM160" s="675">
        <v>41000</v>
      </c>
      <c r="HN160" s="675">
        <v>0</v>
      </c>
      <c r="HO160" s="675">
        <v>0</v>
      </c>
      <c r="HP160" s="675">
        <v>0</v>
      </c>
      <c r="HQ160" s="675">
        <v>0</v>
      </c>
      <c r="HR160" s="675">
        <v>0</v>
      </c>
      <c r="HS160" s="675">
        <v>4332666</v>
      </c>
      <c r="HT160" s="675">
        <v>95448</v>
      </c>
      <c r="HU160" s="675">
        <v>0</v>
      </c>
      <c r="HV160" s="675">
        <v>0</v>
      </c>
      <c r="HW160" s="675">
        <v>0</v>
      </c>
      <c r="HX160" s="675">
        <v>50</v>
      </c>
      <c r="HY160" s="675">
        <v>88</v>
      </c>
      <c r="HZ160" s="675">
        <v>53</v>
      </c>
      <c r="IA160" s="675">
        <v>109</v>
      </c>
      <c r="IB160" s="675">
        <v>31</v>
      </c>
      <c r="IC160" s="675">
        <v>331</v>
      </c>
      <c r="ID160" s="675">
        <v>0</v>
      </c>
      <c r="IE160" s="675">
        <v>0</v>
      </c>
      <c r="IF160" s="675">
        <v>0</v>
      </c>
      <c r="IG160" s="675">
        <v>6</v>
      </c>
      <c r="IH160" s="675">
        <v>153.96899999999999</v>
      </c>
      <c r="II160" s="675">
        <v>0</v>
      </c>
      <c r="IJ160" s="675">
        <v>199.94300000000001</v>
      </c>
      <c r="IK160" s="675">
        <v>0</v>
      </c>
      <c r="IL160" s="675">
        <v>6</v>
      </c>
      <c r="IM160" s="675">
        <v>3</v>
      </c>
      <c r="IN160" s="675">
        <v>1</v>
      </c>
      <c r="IO160" s="675">
        <v>10</v>
      </c>
      <c r="IP160" s="675">
        <v>0</v>
      </c>
      <c r="IQ160" s="675">
        <v>199.94300000000001</v>
      </c>
      <c r="IR160" s="675">
        <v>123164</v>
      </c>
      <c r="IS160" s="675">
        <v>0</v>
      </c>
      <c r="IT160" s="675">
        <v>30000</v>
      </c>
      <c r="IU160" s="675">
        <v>9000</v>
      </c>
      <c r="IV160" s="675">
        <v>2000</v>
      </c>
      <c r="IW160" s="675">
        <v>6160</v>
      </c>
      <c r="IX160" s="675">
        <v>0</v>
      </c>
      <c r="IY160" s="675">
        <v>0</v>
      </c>
      <c r="IZ160" s="675">
        <v>0</v>
      </c>
      <c r="JA160" s="675">
        <v>0</v>
      </c>
      <c r="JB160" s="675">
        <v>0</v>
      </c>
      <c r="JC160" s="675">
        <v>0</v>
      </c>
      <c r="JD160" s="675">
        <v>0</v>
      </c>
      <c r="JE160" s="675">
        <v>0</v>
      </c>
      <c r="JF160" s="675">
        <v>0</v>
      </c>
      <c r="JG160" s="675">
        <v>0</v>
      </c>
      <c r="JH160" s="675">
        <v>0</v>
      </c>
      <c r="JI160" s="675">
        <v>0</v>
      </c>
      <c r="JJ160" s="675">
        <v>0</v>
      </c>
      <c r="JK160" s="675">
        <v>0</v>
      </c>
      <c r="JL160" s="675">
        <v>0</v>
      </c>
      <c r="JM160" s="675">
        <v>0</v>
      </c>
      <c r="JN160" s="675">
        <v>32469</v>
      </c>
      <c r="JO160" s="675">
        <v>0</v>
      </c>
      <c r="JP160" s="675">
        <v>9.4410000000000007</v>
      </c>
      <c r="JQ160" s="675">
        <v>0.55900000000000005</v>
      </c>
      <c r="JR160" s="675">
        <v>0</v>
      </c>
      <c r="JS160" s="675">
        <v>87770</v>
      </c>
      <c r="JT160" s="675">
        <v>5968</v>
      </c>
      <c r="JU160" s="675">
        <v>862</v>
      </c>
      <c r="JV160" s="675">
        <v>0</v>
      </c>
      <c r="JW160" s="675">
        <v>0</v>
      </c>
      <c r="JX160" s="675">
        <v>0</v>
      </c>
      <c r="JY160" s="675">
        <v>0</v>
      </c>
      <c r="JZ160" s="675">
        <v>0</v>
      </c>
      <c r="KA160" s="675">
        <v>0</v>
      </c>
      <c r="KB160" s="675">
        <v>0</v>
      </c>
      <c r="KC160" s="675">
        <v>0</v>
      </c>
      <c r="KD160" s="675">
        <v>862</v>
      </c>
      <c r="KE160" s="675">
        <v>7263</v>
      </c>
      <c r="KF160" s="675">
        <v>0</v>
      </c>
      <c r="KG160" s="675">
        <v>0</v>
      </c>
      <c r="KH160" s="675">
        <v>0</v>
      </c>
      <c r="KI160" s="675">
        <v>0</v>
      </c>
    </row>
    <row r="161" spans="1:295" ht="12.5" x14ac:dyDescent="0.25">
      <c r="A161" s="675">
        <v>35795</v>
      </c>
      <c r="B161" s="675">
        <v>57845</v>
      </c>
      <c r="C161" s="675">
        <v>7</v>
      </c>
      <c r="D161" s="675">
        <v>2022</v>
      </c>
      <c r="E161" s="675">
        <v>6160</v>
      </c>
      <c r="F161" s="675">
        <v>0</v>
      </c>
      <c r="G161" s="675">
        <v>1301.136</v>
      </c>
      <c r="H161" s="675">
        <v>1250.443</v>
      </c>
      <c r="I161" s="675">
        <v>1250.443</v>
      </c>
      <c r="J161" s="675">
        <v>1301.136</v>
      </c>
      <c r="K161" s="675">
        <v>0</v>
      </c>
      <c r="L161" s="675">
        <v>6160</v>
      </c>
      <c r="M161" s="675">
        <v>0</v>
      </c>
      <c r="N161" s="675">
        <v>0</v>
      </c>
      <c r="O161" s="675">
        <v>0</v>
      </c>
      <c r="P161" s="675">
        <v>1217.989</v>
      </c>
      <c r="Q161" s="675">
        <v>0</v>
      </c>
      <c r="R161" s="675">
        <v>490153</v>
      </c>
      <c r="S161" s="675">
        <v>402.428</v>
      </c>
      <c r="T161" s="675">
        <v>0</v>
      </c>
      <c r="U161" s="675">
        <v>260653</v>
      </c>
      <c r="V161" s="675">
        <v>92.716999999999999</v>
      </c>
      <c r="W161" s="675">
        <v>57113</v>
      </c>
      <c r="X161" s="675">
        <v>57113</v>
      </c>
      <c r="Y161" s="675">
        <v>0</v>
      </c>
      <c r="Z161" s="675">
        <v>0</v>
      </c>
      <c r="AA161" s="675">
        <v>0</v>
      </c>
      <c r="AB161" s="675">
        <v>0</v>
      </c>
      <c r="AC161" s="675">
        <v>0</v>
      </c>
      <c r="AD161" s="675" t="s">
        <v>316</v>
      </c>
      <c r="AE161" s="675">
        <v>0</v>
      </c>
      <c r="AF161" s="675">
        <v>0</v>
      </c>
      <c r="AG161" s="675">
        <v>0</v>
      </c>
      <c r="AH161" s="675">
        <v>0</v>
      </c>
      <c r="AI161" s="675">
        <v>0</v>
      </c>
      <c r="AJ161" s="675">
        <v>6160</v>
      </c>
      <c r="AK161" s="675" t="s">
        <v>671</v>
      </c>
      <c r="AL161" s="675" t="s">
        <v>116</v>
      </c>
      <c r="AM161" s="675">
        <v>0</v>
      </c>
      <c r="AN161" s="675">
        <v>0</v>
      </c>
      <c r="AO161" s="675">
        <v>0</v>
      </c>
      <c r="AP161" s="675">
        <v>0</v>
      </c>
      <c r="AQ161" s="675">
        <v>0</v>
      </c>
      <c r="AR161" s="675">
        <v>0</v>
      </c>
      <c r="AS161" s="675">
        <v>0</v>
      </c>
      <c r="AT161" s="675">
        <v>0</v>
      </c>
      <c r="AU161" s="675">
        <v>0</v>
      </c>
      <c r="AV161" s="675">
        <v>0</v>
      </c>
      <c r="AW161" s="675">
        <v>12202887</v>
      </c>
      <c r="AX161" s="675">
        <v>11975243</v>
      </c>
      <c r="AY161" s="675">
        <v>8670980</v>
      </c>
      <c r="AZ161" s="675">
        <v>490153</v>
      </c>
      <c r="BA161" s="675">
        <v>0</v>
      </c>
      <c r="BB161" s="675">
        <v>0</v>
      </c>
      <c r="BC161" s="675">
        <v>0</v>
      </c>
      <c r="BD161" s="675">
        <v>0</v>
      </c>
      <c r="BE161" s="675">
        <v>0</v>
      </c>
      <c r="BF161" s="675">
        <v>11098994</v>
      </c>
      <c r="BG161" s="675">
        <v>0</v>
      </c>
      <c r="BH161" s="675">
        <v>0</v>
      </c>
      <c r="BI161" s="675">
        <v>0</v>
      </c>
      <c r="BJ161" s="675">
        <v>12</v>
      </c>
      <c r="BK161" s="675">
        <v>0</v>
      </c>
      <c r="BL161" s="675">
        <v>0</v>
      </c>
      <c r="BM161" s="675">
        <v>0</v>
      </c>
      <c r="BN161" s="675">
        <v>0</v>
      </c>
      <c r="BO161" s="675">
        <v>0</v>
      </c>
      <c r="BP161" s="675">
        <v>0</v>
      </c>
      <c r="BQ161" s="675">
        <v>577</v>
      </c>
      <c r="BR161" s="675">
        <v>0</v>
      </c>
      <c r="BS161" s="675">
        <v>0</v>
      </c>
      <c r="BT161" s="675">
        <v>0</v>
      </c>
      <c r="BU161" s="675">
        <v>0</v>
      </c>
      <c r="BV161" s="675">
        <v>0</v>
      </c>
      <c r="BW161" s="675">
        <v>0</v>
      </c>
      <c r="BX161" s="675">
        <v>0</v>
      </c>
      <c r="BY161" s="675">
        <v>0</v>
      </c>
      <c r="BZ161" s="675">
        <v>0</v>
      </c>
      <c r="CA161" s="675">
        <v>0</v>
      </c>
      <c r="CB161" s="675">
        <v>0</v>
      </c>
      <c r="CC161" s="675">
        <v>0</v>
      </c>
      <c r="CD161" s="675">
        <v>0</v>
      </c>
      <c r="CE161" s="675">
        <v>0</v>
      </c>
      <c r="CF161" s="675">
        <v>0</v>
      </c>
      <c r="CG161" s="675">
        <v>0</v>
      </c>
      <c r="CH161" s="675">
        <v>229723</v>
      </c>
      <c r="CI161" s="675">
        <v>0</v>
      </c>
      <c r="CJ161" s="675">
        <v>5</v>
      </c>
      <c r="CK161" s="675">
        <v>0</v>
      </c>
      <c r="CL161" s="675">
        <v>0</v>
      </c>
      <c r="CM161" s="675">
        <v>0</v>
      </c>
      <c r="CN161" s="675">
        <v>0</v>
      </c>
      <c r="CO161" s="675">
        <v>1</v>
      </c>
      <c r="CP161" s="675">
        <v>0</v>
      </c>
      <c r="CQ161" s="675">
        <v>0</v>
      </c>
      <c r="CR161" s="675">
        <v>1378.546</v>
      </c>
      <c r="CS161" s="675">
        <v>0</v>
      </c>
      <c r="CT161" s="675">
        <v>0</v>
      </c>
      <c r="CU161" s="675">
        <v>0</v>
      </c>
      <c r="CV161" s="675">
        <v>0</v>
      </c>
      <c r="CW161" s="675">
        <v>0</v>
      </c>
      <c r="CX161" s="675">
        <v>0</v>
      </c>
      <c r="CY161" s="675">
        <v>0</v>
      </c>
      <c r="CZ161" s="675">
        <v>0</v>
      </c>
      <c r="DA161" s="675">
        <v>0</v>
      </c>
      <c r="DB161" s="675">
        <v>7702693</v>
      </c>
      <c r="DC161" s="675">
        <v>0</v>
      </c>
      <c r="DD161" s="675">
        <v>0</v>
      </c>
      <c r="DE161" s="675">
        <v>900280</v>
      </c>
      <c r="DF161" s="675">
        <v>900280</v>
      </c>
      <c r="DG161" s="675">
        <v>146.15</v>
      </c>
      <c r="DH161" s="675">
        <v>0</v>
      </c>
      <c r="DI161" s="675">
        <v>0</v>
      </c>
      <c r="DJ161" s="675">
        <v>0</v>
      </c>
      <c r="DK161" s="675">
        <v>861</v>
      </c>
      <c r="DL161" s="675">
        <v>0</v>
      </c>
      <c r="DM161" s="675">
        <v>552730</v>
      </c>
      <c r="DN161" s="675">
        <v>2079</v>
      </c>
      <c r="DO161" s="675">
        <v>0</v>
      </c>
      <c r="DP161" s="675">
        <v>0</v>
      </c>
      <c r="DQ161" s="675">
        <v>0</v>
      </c>
      <c r="DR161" s="675">
        <v>0</v>
      </c>
      <c r="DS161" s="675">
        <v>0</v>
      </c>
      <c r="DT161" s="675">
        <v>0</v>
      </c>
      <c r="DU161" s="675">
        <v>0</v>
      </c>
      <c r="DV161" s="675">
        <v>0</v>
      </c>
      <c r="DW161" s="675">
        <v>0</v>
      </c>
      <c r="DX161" s="675">
        <v>0</v>
      </c>
      <c r="DY161" s="675">
        <v>0</v>
      </c>
      <c r="DZ161" s="675">
        <v>0</v>
      </c>
      <c r="EA161" s="675">
        <v>0</v>
      </c>
      <c r="EB161" s="675">
        <v>0</v>
      </c>
      <c r="EC161" s="675">
        <v>15.153</v>
      </c>
      <c r="ED161" s="675">
        <v>107343</v>
      </c>
      <c r="EE161" s="675">
        <v>0</v>
      </c>
      <c r="EF161" s="675">
        <v>0</v>
      </c>
      <c r="EG161" s="675">
        <v>0</v>
      </c>
      <c r="EH161" s="675">
        <v>447466</v>
      </c>
      <c r="EI161" s="675">
        <v>0</v>
      </c>
      <c r="EJ161" s="675">
        <v>0</v>
      </c>
      <c r="EK161" s="675">
        <v>20.762</v>
      </c>
      <c r="EL161" s="675">
        <v>0</v>
      </c>
      <c r="EM161" s="675">
        <v>0</v>
      </c>
      <c r="EN161" s="675">
        <v>2.0710000000000002</v>
      </c>
      <c r="EO161" s="675">
        <v>0</v>
      </c>
      <c r="EP161" s="675">
        <v>0</v>
      </c>
      <c r="EQ161" s="675">
        <v>22.833000000000002</v>
      </c>
      <c r="ER161" s="675">
        <v>0</v>
      </c>
      <c r="ES161" s="675">
        <v>72.641000000000005</v>
      </c>
      <c r="ET161" s="675">
        <v>0</v>
      </c>
      <c r="EU161" s="675">
        <v>0</v>
      </c>
      <c r="EV161" s="675">
        <v>0</v>
      </c>
      <c r="EW161" s="675">
        <v>0</v>
      </c>
      <c r="EX161" s="675">
        <v>0</v>
      </c>
      <c r="EY161" s="675">
        <v>0</v>
      </c>
      <c r="EZ161" s="675">
        <v>10612742</v>
      </c>
      <c r="FA161" s="675">
        <v>0</v>
      </c>
      <c r="FB161" s="675">
        <v>11100816</v>
      </c>
      <c r="FC161" s="675">
        <v>0</v>
      </c>
      <c r="FD161" s="675">
        <v>0</v>
      </c>
      <c r="FE161" s="675">
        <v>1128995</v>
      </c>
      <c r="FF161" s="675">
        <v>233506</v>
      </c>
      <c r="FG161" s="675">
        <v>6.3574999999999993E-2</v>
      </c>
      <c r="FH161" s="675">
        <v>2.6297999999999998E-2</v>
      </c>
      <c r="FI161" s="675">
        <v>0</v>
      </c>
      <c r="FJ161" s="675">
        <v>0</v>
      </c>
      <c r="FK161" s="675">
        <v>1801.7930000000001</v>
      </c>
      <c r="FL161" s="675">
        <v>12693040</v>
      </c>
      <c r="FM161" s="675">
        <v>0</v>
      </c>
      <c r="FN161" s="675">
        <v>0</v>
      </c>
      <c r="FO161" s="675">
        <v>0</v>
      </c>
      <c r="FP161" s="675">
        <v>0</v>
      </c>
      <c r="FQ161" s="675">
        <v>0</v>
      </c>
      <c r="FR161" s="675">
        <v>0</v>
      </c>
      <c r="FS161" s="675">
        <v>0</v>
      </c>
      <c r="FT161" s="675">
        <v>0</v>
      </c>
      <c r="FU161" s="675">
        <v>0</v>
      </c>
      <c r="FV161" s="675">
        <v>0</v>
      </c>
      <c r="FW161" s="675">
        <v>0</v>
      </c>
      <c r="FX161" s="675">
        <v>0</v>
      </c>
      <c r="FY161" s="675">
        <v>0</v>
      </c>
      <c r="FZ161" s="675">
        <v>0</v>
      </c>
      <c r="GA161" s="675">
        <v>0</v>
      </c>
      <c r="GB161" s="675">
        <v>277426</v>
      </c>
      <c r="GC161" s="675">
        <v>277426</v>
      </c>
      <c r="GD161" s="675">
        <v>27.86</v>
      </c>
      <c r="GE161" s="675">
        <v>0</v>
      </c>
      <c r="GF161" s="675">
        <v>0</v>
      </c>
      <c r="GG161" s="675">
        <v>0</v>
      </c>
      <c r="GH161" s="675">
        <v>0</v>
      </c>
      <c r="GI161" s="675">
        <v>0</v>
      </c>
      <c r="GJ161" s="675">
        <v>0</v>
      </c>
      <c r="GK161" s="675">
        <v>0</v>
      </c>
      <c r="GL161" s="675">
        <v>0</v>
      </c>
      <c r="GM161" s="675">
        <v>0</v>
      </c>
      <c r="GN161" s="675">
        <v>0</v>
      </c>
      <c r="GO161" s="675">
        <v>0</v>
      </c>
      <c r="GP161" s="675">
        <v>0</v>
      </c>
      <c r="GQ161" s="675">
        <v>0</v>
      </c>
      <c r="GR161" s="675">
        <v>0</v>
      </c>
      <c r="GS161" s="675">
        <v>0</v>
      </c>
      <c r="GT161" s="675">
        <v>0</v>
      </c>
      <c r="GU161" s="675">
        <v>0</v>
      </c>
      <c r="GV161" s="675">
        <v>0</v>
      </c>
      <c r="GW161" s="675">
        <v>0</v>
      </c>
      <c r="GX161" s="675">
        <v>0</v>
      </c>
      <c r="GY161" s="675">
        <v>0</v>
      </c>
      <c r="GZ161" s="675">
        <v>0</v>
      </c>
      <c r="HA161" s="675">
        <v>0</v>
      </c>
      <c r="HB161" s="675">
        <v>308877260</v>
      </c>
      <c r="HC161" s="675">
        <v>4.4138999999999998E-2</v>
      </c>
      <c r="HD161" s="675">
        <v>229723</v>
      </c>
      <c r="HE161" s="675">
        <v>0</v>
      </c>
      <c r="HF161" s="675">
        <v>1379239</v>
      </c>
      <c r="HG161" s="675">
        <v>52360</v>
      </c>
      <c r="HH161" s="675">
        <v>144427</v>
      </c>
      <c r="HI161" s="675">
        <v>0</v>
      </c>
      <c r="HJ161" s="675">
        <v>12647</v>
      </c>
      <c r="HK161" s="675">
        <v>3762</v>
      </c>
      <c r="HL161" s="675">
        <v>139</v>
      </c>
      <c r="HM161" s="675">
        <v>18000</v>
      </c>
      <c r="HN161" s="675">
        <v>0</v>
      </c>
      <c r="HO161" s="675">
        <v>0</v>
      </c>
      <c r="HP161" s="675">
        <v>0</v>
      </c>
      <c r="HQ161" s="675">
        <v>0</v>
      </c>
      <c r="HR161" s="675">
        <v>0</v>
      </c>
      <c r="HS161" s="675">
        <v>10610663</v>
      </c>
      <c r="HT161" s="675">
        <v>233506</v>
      </c>
      <c r="HU161" s="675">
        <v>0</v>
      </c>
      <c r="HV161" s="675">
        <v>0</v>
      </c>
      <c r="HW161" s="675">
        <v>0</v>
      </c>
      <c r="HX161" s="675">
        <v>123</v>
      </c>
      <c r="HY161" s="675">
        <v>118</v>
      </c>
      <c r="HZ161" s="675">
        <v>118</v>
      </c>
      <c r="IA161" s="675">
        <v>140</v>
      </c>
      <c r="IB161" s="675">
        <v>88</v>
      </c>
      <c r="IC161" s="675">
        <v>587</v>
      </c>
      <c r="ID161" s="675">
        <v>0</v>
      </c>
      <c r="IE161" s="675">
        <v>0</v>
      </c>
      <c r="IF161" s="675">
        <v>0</v>
      </c>
      <c r="IG161" s="675">
        <v>85</v>
      </c>
      <c r="IH161" s="675">
        <v>234.46</v>
      </c>
      <c r="II161" s="675">
        <v>0</v>
      </c>
      <c r="IJ161" s="675">
        <v>92.716999999999999</v>
      </c>
      <c r="IK161" s="675">
        <v>0</v>
      </c>
      <c r="IL161" s="675">
        <v>0</v>
      </c>
      <c r="IM161" s="675">
        <v>6</v>
      </c>
      <c r="IN161" s="675">
        <v>0</v>
      </c>
      <c r="IO161" s="675">
        <v>6</v>
      </c>
      <c r="IP161" s="675">
        <v>0</v>
      </c>
      <c r="IQ161" s="675">
        <v>92.716999999999999</v>
      </c>
      <c r="IR161" s="675">
        <v>57113</v>
      </c>
      <c r="IS161" s="675">
        <v>0</v>
      </c>
      <c r="IT161" s="675">
        <v>0</v>
      </c>
      <c r="IU161" s="675">
        <v>18000</v>
      </c>
      <c r="IV161" s="675">
        <v>0</v>
      </c>
      <c r="IW161" s="675">
        <v>6160</v>
      </c>
      <c r="IX161" s="675">
        <v>0</v>
      </c>
      <c r="IY161" s="675">
        <v>0</v>
      </c>
      <c r="IZ161" s="675">
        <v>0</v>
      </c>
      <c r="JA161" s="675">
        <v>0</v>
      </c>
      <c r="JB161" s="675">
        <v>0</v>
      </c>
      <c r="JC161" s="675">
        <v>0</v>
      </c>
      <c r="JD161" s="675">
        <v>0</v>
      </c>
      <c r="JE161" s="675">
        <v>0</v>
      </c>
      <c r="JF161" s="675">
        <v>0</v>
      </c>
      <c r="JG161" s="675">
        <v>0</v>
      </c>
      <c r="JH161" s="675">
        <v>0</v>
      </c>
      <c r="JI161" s="675">
        <v>0</v>
      </c>
      <c r="JJ161" s="675">
        <v>0</v>
      </c>
      <c r="JK161" s="675">
        <v>0</v>
      </c>
      <c r="JL161" s="675">
        <v>0</v>
      </c>
      <c r="JM161" s="675">
        <v>0</v>
      </c>
      <c r="JN161" s="675">
        <v>32469</v>
      </c>
      <c r="JO161" s="675">
        <v>0</v>
      </c>
      <c r="JP161" s="675">
        <v>14.511000000000001</v>
      </c>
      <c r="JQ161" s="675">
        <v>13.349</v>
      </c>
      <c r="JR161" s="675">
        <v>0</v>
      </c>
      <c r="JS161" s="675">
        <v>134904</v>
      </c>
      <c r="JT161" s="675">
        <v>142522</v>
      </c>
      <c r="JU161" s="675">
        <v>0</v>
      </c>
      <c r="JV161" s="675">
        <v>0</v>
      </c>
      <c r="JW161" s="675">
        <v>0</v>
      </c>
      <c r="JX161" s="675">
        <v>0</v>
      </c>
      <c r="JY161" s="675">
        <v>0</v>
      </c>
      <c r="JZ161" s="675">
        <v>0</v>
      </c>
      <c r="KA161" s="675">
        <v>0</v>
      </c>
      <c r="KB161" s="675">
        <v>0</v>
      </c>
      <c r="KC161" s="675">
        <v>0</v>
      </c>
      <c r="KD161" s="675">
        <v>0</v>
      </c>
      <c r="KE161" s="675">
        <v>7263</v>
      </c>
      <c r="KF161" s="675">
        <v>0</v>
      </c>
      <c r="KG161" s="675">
        <v>0</v>
      </c>
      <c r="KH161" s="675">
        <v>0</v>
      </c>
      <c r="KI161" s="675">
        <v>0</v>
      </c>
    </row>
    <row r="162" spans="1:295" ht="12.5" x14ac:dyDescent="0.25">
      <c r="A162" s="675">
        <v>35795</v>
      </c>
      <c r="B162" s="675">
        <v>101845</v>
      </c>
      <c r="C162" s="675">
        <v>7</v>
      </c>
      <c r="D162" s="675">
        <v>2022</v>
      </c>
      <c r="E162" s="675">
        <v>6160</v>
      </c>
      <c r="F162" s="675">
        <v>0</v>
      </c>
      <c r="G162" s="675">
        <v>13728.78</v>
      </c>
      <c r="H162" s="675">
        <v>12668.413</v>
      </c>
      <c r="I162" s="675">
        <v>12668.413</v>
      </c>
      <c r="J162" s="675">
        <v>13728.78</v>
      </c>
      <c r="K162" s="675">
        <v>0</v>
      </c>
      <c r="L162" s="675">
        <v>6160</v>
      </c>
      <c r="M162" s="675">
        <v>0</v>
      </c>
      <c r="N162" s="675">
        <v>0</v>
      </c>
      <c r="O162" s="675">
        <v>0</v>
      </c>
      <c r="P162" s="675">
        <v>12770.581</v>
      </c>
      <c r="Q162" s="675">
        <v>0</v>
      </c>
      <c r="R162" s="675">
        <v>5139239</v>
      </c>
      <c r="S162" s="675">
        <v>402.428</v>
      </c>
      <c r="T162" s="675">
        <v>0</v>
      </c>
      <c r="U162" s="675">
        <v>2732921</v>
      </c>
      <c r="V162" s="675">
        <v>4821.4250000000002</v>
      </c>
      <c r="W162" s="675">
        <v>2969984</v>
      </c>
      <c r="X162" s="675">
        <v>2969984</v>
      </c>
      <c r="Y162" s="675">
        <v>0</v>
      </c>
      <c r="Z162" s="675">
        <v>0</v>
      </c>
      <c r="AA162" s="675">
        <v>0</v>
      </c>
      <c r="AB162" s="675">
        <v>0</v>
      </c>
      <c r="AC162" s="675">
        <v>0</v>
      </c>
      <c r="AD162" s="675" t="s">
        <v>316</v>
      </c>
      <c r="AE162" s="675">
        <v>0</v>
      </c>
      <c r="AF162" s="675">
        <v>0</v>
      </c>
      <c r="AG162" s="675">
        <v>0</v>
      </c>
      <c r="AH162" s="675">
        <v>0</v>
      </c>
      <c r="AI162" s="675">
        <v>0</v>
      </c>
      <c r="AJ162" s="675">
        <v>6160</v>
      </c>
      <c r="AK162" s="675" t="s">
        <v>671</v>
      </c>
      <c r="AL162" s="675" t="s">
        <v>102</v>
      </c>
      <c r="AM162" s="675">
        <v>0</v>
      </c>
      <c r="AN162" s="675">
        <v>0</v>
      </c>
      <c r="AO162" s="675">
        <v>0</v>
      </c>
      <c r="AP162" s="675">
        <v>0</v>
      </c>
      <c r="AQ162" s="675">
        <v>0</v>
      </c>
      <c r="AR162" s="675">
        <v>0</v>
      </c>
      <c r="AS162" s="675">
        <v>0</v>
      </c>
      <c r="AT162" s="675">
        <v>0</v>
      </c>
      <c r="AU162" s="675">
        <v>0</v>
      </c>
      <c r="AV162" s="675">
        <v>-398440</v>
      </c>
      <c r="AW162" s="675">
        <v>151455919</v>
      </c>
      <c r="AX162" s="675">
        <v>149065890</v>
      </c>
      <c r="AY162" s="675">
        <v>96814932</v>
      </c>
      <c r="AZ162" s="675">
        <v>5139239</v>
      </c>
      <c r="BA162" s="675">
        <v>0</v>
      </c>
      <c r="BB162" s="675">
        <v>0</v>
      </c>
      <c r="BC162" s="675">
        <v>0</v>
      </c>
      <c r="BD162" s="675">
        <v>0</v>
      </c>
      <c r="BE162" s="675">
        <v>0</v>
      </c>
      <c r="BF162" s="675">
        <v>135809094</v>
      </c>
      <c r="BG162" s="675">
        <v>0</v>
      </c>
      <c r="BH162" s="675">
        <v>0</v>
      </c>
      <c r="BI162" s="675">
        <v>0</v>
      </c>
      <c r="BJ162" s="675">
        <v>12</v>
      </c>
      <c r="BK162" s="675">
        <v>0</v>
      </c>
      <c r="BL162" s="675">
        <v>0</v>
      </c>
      <c r="BM162" s="675">
        <v>0</v>
      </c>
      <c r="BN162" s="675">
        <v>0</v>
      </c>
      <c r="BO162" s="675">
        <v>0</v>
      </c>
      <c r="BP162" s="675">
        <v>0</v>
      </c>
      <c r="BQ162" s="675">
        <v>0</v>
      </c>
      <c r="BR162" s="675">
        <v>0</v>
      </c>
      <c r="BS162" s="675">
        <v>0</v>
      </c>
      <c r="BT162" s="675">
        <v>0</v>
      </c>
      <c r="BU162" s="675">
        <v>0</v>
      </c>
      <c r="BV162" s="675">
        <v>0</v>
      </c>
      <c r="BW162" s="675">
        <v>0</v>
      </c>
      <c r="BX162" s="675">
        <v>0</v>
      </c>
      <c r="BY162" s="675">
        <v>0</v>
      </c>
      <c r="BZ162" s="675">
        <v>0</v>
      </c>
      <c r="CA162" s="675">
        <v>1053.114</v>
      </c>
      <c r="CB162" s="675">
        <v>898068</v>
      </c>
      <c r="CC162" s="675">
        <v>0</v>
      </c>
      <c r="CD162" s="675">
        <v>0</v>
      </c>
      <c r="CE162" s="675">
        <v>0</v>
      </c>
      <c r="CF162" s="675">
        <v>0</v>
      </c>
      <c r="CG162" s="675">
        <v>0</v>
      </c>
      <c r="CH162" s="675">
        <v>2423892</v>
      </c>
      <c r="CI162" s="675">
        <v>0</v>
      </c>
      <c r="CJ162" s="675">
        <v>4</v>
      </c>
      <c r="CK162" s="675">
        <v>0</v>
      </c>
      <c r="CL162" s="675">
        <v>0</v>
      </c>
      <c r="CM162" s="675">
        <v>0</v>
      </c>
      <c r="CN162" s="675">
        <v>0</v>
      </c>
      <c r="CO162" s="675">
        <v>1</v>
      </c>
      <c r="CP162" s="675">
        <v>2.5449999999999999</v>
      </c>
      <c r="CQ162" s="675">
        <v>0</v>
      </c>
      <c r="CR162" s="675">
        <v>12655.837</v>
      </c>
      <c r="CS162" s="675">
        <v>0</v>
      </c>
      <c r="CT162" s="675">
        <v>0</v>
      </c>
      <c r="CU162" s="675">
        <v>0</v>
      </c>
      <c r="CV162" s="675">
        <v>0</v>
      </c>
      <c r="CW162" s="675">
        <v>0</v>
      </c>
      <c r="CX162" s="675">
        <v>0</v>
      </c>
      <c r="CY162" s="675">
        <v>0</v>
      </c>
      <c r="CZ162" s="675">
        <v>0</v>
      </c>
      <c r="DA162" s="675">
        <v>0</v>
      </c>
      <c r="DB162" s="675">
        <v>78037062</v>
      </c>
      <c r="DC162" s="675">
        <v>0</v>
      </c>
      <c r="DD162" s="675">
        <v>0</v>
      </c>
      <c r="DE162" s="675">
        <v>21040383</v>
      </c>
      <c r="DF162" s="675">
        <v>21078165</v>
      </c>
      <c r="DG162" s="675">
        <v>3415.663</v>
      </c>
      <c r="DH162" s="675">
        <v>0</v>
      </c>
      <c r="DI162" s="675">
        <v>37782</v>
      </c>
      <c r="DJ162" s="675">
        <v>0</v>
      </c>
      <c r="DK162" s="675">
        <v>0</v>
      </c>
      <c r="DL162" s="675">
        <v>0</v>
      </c>
      <c r="DM162" s="675">
        <v>9001782</v>
      </c>
      <c r="DN162" s="675">
        <v>33863</v>
      </c>
      <c r="DO162" s="675">
        <v>0</v>
      </c>
      <c r="DP162" s="675">
        <v>0</v>
      </c>
      <c r="DQ162" s="675">
        <v>0</v>
      </c>
      <c r="DR162" s="675">
        <v>0</v>
      </c>
      <c r="DS162" s="675">
        <v>0</v>
      </c>
      <c r="DT162" s="675">
        <v>0</v>
      </c>
      <c r="DU162" s="675">
        <v>0</v>
      </c>
      <c r="DV162" s="675">
        <v>0</v>
      </c>
      <c r="DW162" s="675">
        <v>0</v>
      </c>
      <c r="DX162" s="675">
        <v>0</v>
      </c>
      <c r="DY162" s="675">
        <v>0</v>
      </c>
      <c r="DZ162" s="675">
        <v>0</v>
      </c>
      <c r="EA162" s="675">
        <v>7.4999999999999997E-2</v>
      </c>
      <c r="EB162" s="675">
        <v>0</v>
      </c>
      <c r="EC162" s="675">
        <v>595.02600000000007</v>
      </c>
      <c r="ED162" s="675">
        <v>4215145</v>
      </c>
      <c r="EE162" s="675">
        <v>0</v>
      </c>
      <c r="EF162" s="675">
        <v>0</v>
      </c>
      <c r="EG162" s="675">
        <v>0</v>
      </c>
      <c r="EH162" s="675">
        <v>4820500</v>
      </c>
      <c r="EI162" s="675">
        <v>0</v>
      </c>
      <c r="EJ162" s="675">
        <v>0</v>
      </c>
      <c r="EK162" s="675">
        <v>181.446</v>
      </c>
      <c r="EL162" s="675">
        <v>0</v>
      </c>
      <c r="EM162" s="675">
        <v>53.475999999999999</v>
      </c>
      <c r="EN162" s="675">
        <v>12.846</v>
      </c>
      <c r="EO162" s="675">
        <v>0</v>
      </c>
      <c r="EP162" s="675">
        <v>0</v>
      </c>
      <c r="EQ162" s="675">
        <v>253.57400000000001</v>
      </c>
      <c r="ER162" s="675">
        <v>5.7309999999999999</v>
      </c>
      <c r="ES162" s="675">
        <v>782.55200000000002</v>
      </c>
      <c r="ET162" s="675">
        <v>0</v>
      </c>
      <c r="EU162" s="675">
        <v>0</v>
      </c>
      <c r="EV162" s="675">
        <v>0</v>
      </c>
      <c r="EW162" s="675">
        <v>0</v>
      </c>
      <c r="EX162" s="675">
        <v>0</v>
      </c>
      <c r="EY162" s="675">
        <v>0</v>
      </c>
      <c r="EZ162" s="675">
        <v>132394106</v>
      </c>
      <c r="FA162" s="675">
        <v>0</v>
      </c>
      <c r="FB162" s="675">
        <v>137499482</v>
      </c>
      <c r="FC162" s="675">
        <v>0</v>
      </c>
      <c r="FD162" s="675">
        <v>0</v>
      </c>
      <c r="FE162" s="675">
        <v>13814565</v>
      </c>
      <c r="FF162" s="675">
        <v>2857219</v>
      </c>
      <c r="FG162" s="675">
        <v>6.3574999999999993E-2</v>
      </c>
      <c r="FH162" s="675">
        <v>2.6297999999999998E-2</v>
      </c>
      <c r="FI162" s="675">
        <v>0</v>
      </c>
      <c r="FJ162" s="675">
        <v>0</v>
      </c>
      <c r="FK162" s="675">
        <v>22047.032999999999</v>
      </c>
      <c r="FL162" s="675">
        <v>156595158</v>
      </c>
      <c r="FM162" s="675">
        <v>0</v>
      </c>
      <c r="FN162" s="675">
        <v>0</v>
      </c>
      <c r="FO162" s="675">
        <v>755038</v>
      </c>
      <c r="FP162" s="675">
        <v>0</v>
      </c>
      <c r="FQ162" s="675">
        <v>755038</v>
      </c>
      <c r="FR162" s="675">
        <v>755038</v>
      </c>
      <c r="FS162" s="675">
        <v>0</v>
      </c>
      <c r="FT162" s="675">
        <v>0</v>
      </c>
      <c r="FU162" s="675">
        <v>0</v>
      </c>
      <c r="FV162" s="675">
        <v>0</v>
      </c>
      <c r="FW162" s="675">
        <v>0</v>
      </c>
      <c r="FX162" s="675">
        <v>0</v>
      </c>
      <c r="FY162" s="675">
        <v>0</v>
      </c>
      <c r="FZ162" s="675">
        <v>0</v>
      </c>
      <c r="GA162" s="675">
        <v>0</v>
      </c>
      <c r="GB162" s="675">
        <v>7247282</v>
      </c>
      <c r="GC162" s="675">
        <v>7247282</v>
      </c>
      <c r="GD162" s="675">
        <v>806.79300000000001</v>
      </c>
      <c r="GE162" s="675">
        <v>0</v>
      </c>
      <c r="GF162" s="675">
        <v>0</v>
      </c>
      <c r="GG162" s="675">
        <v>0</v>
      </c>
      <c r="GH162" s="675">
        <v>0</v>
      </c>
      <c r="GI162" s="675">
        <v>0</v>
      </c>
      <c r="GJ162" s="675">
        <v>0</v>
      </c>
      <c r="GK162" s="675">
        <v>0</v>
      </c>
      <c r="GL162" s="675">
        <v>0</v>
      </c>
      <c r="GM162" s="675">
        <v>0</v>
      </c>
      <c r="GN162" s="675">
        <v>0</v>
      </c>
      <c r="GO162" s="675">
        <v>0</v>
      </c>
      <c r="GP162" s="675">
        <v>0</v>
      </c>
      <c r="GQ162" s="675">
        <v>0</v>
      </c>
      <c r="GR162" s="675">
        <v>0</v>
      </c>
      <c r="GS162" s="675">
        <v>0</v>
      </c>
      <c r="GT162" s="675">
        <v>0</v>
      </c>
      <c r="GU162" s="675">
        <v>0</v>
      </c>
      <c r="GV162" s="675">
        <v>0</v>
      </c>
      <c r="GW162" s="675">
        <v>0</v>
      </c>
      <c r="GX162" s="675">
        <v>0</v>
      </c>
      <c r="GY162" s="675">
        <v>0</v>
      </c>
      <c r="GZ162" s="675">
        <v>0</v>
      </c>
      <c r="HA162" s="675">
        <v>0</v>
      </c>
      <c r="HB162" s="675">
        <v>308877260</v>
      </c>
      <c r="HC162" s="675">
        <v>4.4138999999999998E-2</v>
      </c>
      <c r="HD162" s="675">
        <v>2423892</v>
      </c>
      <c r="HE162" s="675">
        <v>0</v>
      </c>
      <c r="HF162" s="675">
        <v>13973260</v>
      </c>
      <c r="HG162" s="675">
        <v>123815</v>
      </c>
      <c r="HH162" s="675">
        <v>871310</v>
      </c>
      <c r="HI162" s="675">
        <v>0</v>
      </c>
      <c r="HJ162" s="675">
        <v>133444</v>
      </c>
      <c r="HK162" s="675">
        <v>71145</v>
      </c>
      <c r="HL162" s="675">
        <v>0</v>
      </c>
      <c r="HM162" s="675">
        <v>1361000</v>
      </c>
      <c r="HN162" s="675">
        <v>978127</v>
      </c>
      <c r="HO162" s="675">
        <v>0</v>
      </c>
      <c r="HP162" s="675">
        <v>0</v>
      </c>
      <c r="HQ162" s="675">
        <v>0</v>
      </c>
      <c r="HR162" s="675">
        <v>0</v>
      </c>
      <c r="HS162" s="675">
        <v>132360243</v>
      </c>
      <c r="HT162" s="675">
        <v>2857219</v>
      </c>
      <c r="HU162" s="675">
        <v>0</v>
      </c>
      <c r="HV162" s="675">
        <v>0</v>
      </c>
      <c r="HW162" s="675">
        <v>0</v>
      </c>
      <c r="HX162" s="675">
        <v>874</v>
      </c>
      <c r="HY162" s="675">
        <v>1199</v>
      </c>
      <c r="HZ162" s="675">
        <v>2178</v>
      </c>
      <c r="IA162" s="675">
        <v>3476</v>
      </c>
      <c r="IB162" s="675">
        <v>5372</v>
      </c>
      <c r="IC162" s="675">
        <v>13099</v>
      </c>
      <c r="ID162" s="675">
        <v>0</v>
      </c>
      <c r="IE162" s="675">
        <v>0</v>
      </c>
      <c r="IF162" s="675">
        <v>0</v>
      </c>
      <c r="IG162" s="675">
        <v>201</v>
      </c>
      <c r="IH162" s="675">
        <v>1414.471</v>
      </c>
      <c r="II162" s="675">
        <v>0</v>
      </c>
      <c r="IJ162" s="675">
        <v>4821.4250000000002</v>
      </c>
      <c r="IK162" s="675">
        <v>0</v>
      </c>
      <c r="IL162" s="675">
        <v>207</v>
      </c>
      <c r="IM162" s="675">
        <v>108</v>
      </c>
      <c r="IN162" s="675">
        <v>1</v>
      </c>
      <c r="IO162" s="675">
        <v>316</v>
      </c>
      <c r="IP162" s="675">
        <v>0</v>
      </c>
      <c r="IQ162" s="675">
        <v>4821.4250000000002</v>
      </c>
      <c r="IR162" s="675">
        <v>2969984</v>
      </c>
      <c r="IS162" s="675">
        <v>0</v>
      </c>
      <c r="IT162" s="675">
        <v>1035000</v>
      </c>
      <c r="IU162" s="675">
        <v>324000</v>
      </c>
      <c r="IV162" s="675">
        <v>2000</v>
      </c>
      <c r="IW162" s="675">
        <v>6160</v>
      </c>
      <c r="IX162" s="675">
        <v>0</v>
      </c>
      <c r="IY162" s="675">
        <v>0</v>
      </c>
      <c r="IZ162" s="675">
        <v>0</v>
      </c>
      <c r="JA162" s="675">
        <v>0</v>
      </c>
      <c r="JB162" s="675">
        <v>11</v>
      </c>
      <c r="JC162" s="675">
        <v>276421</v>
      </c>
      <c r="JD162" s="675">
        <v>36</v>
      </c>
      <c r="JE162" s="675">
        <v>488425</v>
      </c>
      <c r="JF162" s="675">
        <v>26</v>
      </c>
      <c r="JG162" s="675">
        <v>178281</v>
      </c>
      <c r="JH162" s="675">
        <v>35000</v>
      </c>
      <c r="JI162" s="675">
        <v>0</v>
      </c>
      <c r="JJ162" s="675">
        <v>0</v>
      </c>
      <c r="JK162" s="675">
        <v>0</v>
      </c>
      <c r="JL162" s="675">
        <v>0</v>
      </c>
      <c r="JM162" s="675">
        <v>0</v>
      </c>
      <c r="JN162" s="675">
        <v>32469</v>
      </c>
      <c r="JO162" s="675">
        <v>286.25800000000004</v>
      </c>
      <c r="JP162" s="675">
        <v>432.81300000000005</v>
      </c>
      <c r="JQ162" s="675">
        <v>87.722000000000008</v>
      </c>
      <c r="JR162" s="675">
        <v>2287001</v>
      </c>
      <c r="JS162" s="675">
        <v>4023707</v>
      </c>
      <c r="JT162" s="675">
        <v>936574</v>
      </c>
      <c r="JU162" s="675">
        <v>0</v>
      </c>
      <c r="JV162" s="675">
        <v>0</v>
      </c>
      <c r="JW162" s="675">
        <v>0</v>
      </c>
      <c r="JX162" s="675">
        <v>0</v>
      </c>
      <c r="JY162" s="675">
        <v>0</v>
      </c>
      <c r="JZ162" s="675">
        <v>0</v>
      </c>
      <c r="KA162" s="675">
        <v>0</v>
      </c>
      <c r="KB162" s="675">
        <v>0</v>
      </c>
      <c r="KC162" s="675">
        <v>0</v>
      </c>
      <c r="KD162" s="675">
        <v>0</v>
      </c>
      <c r="KE162" s="675">
        <v>7263</v>
      </c>
      <c r="KF162" s="675">
        <v>0</v>
      </c>
      <c r="KG162" s="675">
        <v>0</v>
      </c>
      <c r="KH162" s="675">
        <v>0</v>
      </c>
      <c r="KI162" s="675">
        <v>0</v>
      </c>
    </row>
    <row r="163" spans="1:295" ht="12.5" x14ac:dyDescent="0.25">
      <c r="A163" s="675">
        <v>35795</v>
      </c>
      <c r="B163" s="675">
        <v>57846</v>
      </c>
      <c r="C163" s="675">
        <v>7</v>
      </c>
      <c r="D163" s="675">
        <v>2022</v>
      </c>
      <c r="E163" s="675">
        <v>6160</v>
      </c>
      <c r="F163" s="675">
        <v>0</v>
      </c>
      <c r="G163" s="675">
        <v>1390.0610000000001</v>
      </c>
      <c r="H163" s="675">
        <v>1265.4740000000002</v>
      </c>
      <c r="I163" s="675">
        <v>1265.4740000000002</v>
      </c>
      <c r="J163" s="675">
        <v>1390.0610000000001</v>
      </c>
      <c r="K163" s="675">
        <v>0</v>
      </c>
      <c r="L163" s="675">
        <v>6160</v>
      </c>
      <c r="M163" s="675">
        <v>0</v>
      </c>
      <c r="N163" s="675">
        <v>0</v>
      </c>
      <c r="O163" s="675">
        <v>0</v>
      </c>
      <c r="P163" s="675">
        <v>1445.412</v>
      </c>
      <c r="Q163" s="675">
        <v>0</v>
      </c>
      <c r="R163" s="675">
        <v>581674</v>
      </c>
      <c r="S163" s="675">
        <v>402.428</v>
      </c>
      <c r="T163" s="675">
        <v>0</v>
      </c>
      <c r="U163" s="675">
        <v>309320</v>
      </c>
      <c r="V163" s="675">
        <v>540.58299999999997</v>
      </c>
      <c r="W163" s="675">
        <v>410791</v>
      </c>
      <c r="X163" s="675">
        <v>410791</v>
      </c>
      <c r="Y163" s="675">
        <v>0</v>
      </c>
      <c r="Z163" s="675">
        <v>0</v>
      </c>
      <c r="AA163" s="675">
        <v>0</v>
      </c>
      <c r="AB163" s="675">
        <v>0</v>
      </c>
      <c r="AC163" s="675">
        <v>0</v>
      </c>
      <c r="AD163" s="675" t="s">
        <v>316</v>
      </c>
      <c r="AE163" s="675">
        <v>0</v>
      </c>
      <c r="AF163" s="675">
        <v>0</v>
      </c>
      <c r="AG163" s="675">
        <v>0</v>
      </c>
      <c r="AH163" s="675">
        <v>0</v>
      </c>
      <c r="AI163" s="675">
        <v>0</v>
      </c>
      <c r="AJ163" s="675">
        <v>6160</v>
      </c>
      <c r="AK163" s="675" t="s">
        <v>671</v>
      </c>
      <c r="AL163" s="675" t="s">
        <v>117</v>
      </c>
      <c r="AM163" s="675">
        <v>0</v>
      </c>
      <c r="AN163" s="675">
        <v>0</v>
      </c>
      <c r="AO163" s="675">
        <v>0</v>
      </c>
      <c r="AP163" s="675">
        <v>0</v>
      </c>
      <c r="AQ163" s="675">
        <v>0</v>
      </c>
      <c r="AR163" s="675">
        <v>0</v>
      </c>
      <c r="AS163" s="675">
        <v>0</v>
      </c>
      <c r="AT163" s="675">
        <v>0</v>
      </c>
      <c r="AU163" s="675">
        <v>0</v>
      </c>
      <c r="AV163" s="675">
        <v>-70853</v>
      </c>
      <c r="AW163" s="675">
        <v>14946116</v>
      </c>
      <c r="AX163" s="675">
        <v>14703739</v>
      </c>
      <c r="AY163" s="675">
        <v>9830518</v>
      </c>
      <c r="AZ163" s="675">
        <v>581674</v>
      </c>
      <c r="BA163" s="675">
        <v>0</v>
      </c>
      <c r="BB163" s="675">
        <v>28890</v>
      </c>
      <c r="BC163" s="675">
        <v>28703</v>
      </c>
      <c r="BD163" s="675">
        <v>67</v>
      </c>
      <c r="BE163" s="675">
        <v>187</v>
      </c>
      <c r="BF163" s="675">
        <v>13606940</v>
      </c>
      <c r="BG163" s="675">
        <v>0</v>
      </c>
      <c r="BH163" s="675">
        <v>0</v>
      </c>
      <c r="BI163" s="675">
        <v>0</v>
      </c>
      <c r="BJ163" s="675">
        <v>12</v>
      </c>
      <c r="BK163" s="675">
        <v>0</v>
      </c>
      <c r="BL163" s="675">
        <v>0</v>
      </c>
      <c r="BM163" s="675">
        <v>0</v>
      </c>
      <c r="BN163" s="675">
        <v>0</v>
      </c>
      <c r="BO163" s="675">
        <v>0</v>
      </c>
      <c r="BP163" s="675">
        <v>0</v>
      </c>
      <c r="BQ163" s="675">
        <v>575</v>
      </c>
      <c r="BR163" s="675">
        <v>0</v>
      </c>
      <c r="BS163" s="675">
        <v>0</v>
      </c>
      <c r="BT163" s="675">
        <v>0</v>
      </c>
      <c r="BU163" s="675">
        <v>0</v>
      </c>
      <c r="BV163" s="675">
        <v>0</v>
      </c>
      <c r="BW163" s="675">
        <v>0</v>
      </c>
      <c r="BX163" s="675">
        <v>0</v>
      </c>
      <c r="BY163" s="675">
        <v>0</v>
      </c>
      <c r="BZ163" s="675">
        <v>0</v>
      </c>
      <c r="CA163" s="675">
        <v>0</v>
      </c>
      <c r="CB163" s="675">
        <v>0</v>
      </c>
      <c r="CC163" s="675">
        <v>0</v>
      </c>
      <c r="CD163" s="675">
        <v>0</v>
      </c>
      <c r="CE163" s="675">
        <v>0</v>
      </c>
      <c r="CF163" s="675">
        <v>0</v>
      </c>
      <c r="CG163" s="675">
        <v>0</v>
      </c>
      <c r="CH163" s="675">
        <v>245423</v>
      </c>
      <c r="CI163" s="675">
        <v>0</v>
      </c>
      <c r="CJ163" s="675">
        <v>4</v>
      </c>
      <c r="CK163" s="675">
        <v>0</v>
      </c>
      <c r="CL163" s="675">
        <v>0</v>
      </c>
      <c r="CM163" s="675">
        <v>0</v>
      </c>
      <c r="CN163" s="675">
        <v>0</v>
      </c>
      <c r="CO163" s="675">
        <v>1</v>
      </c>
      <c r="CP163" s="675">
        <v>5.3000000000000005E-2</v>
      </c>
      <c r="CQ163" s="675">
        <v>0</v>
      </c>
      <c r="CR163" s="675">
        <v>1463.008</v>
      </c>
      <c r="CS163" s="675">
        <v>0</v>
      </c>
      <c r="CT163" s="675">
        <v>0</v>
      </c>
      <c r="CU163" s="675">
        <v>0</v>
      </c>
      <c r="CV163" s="675">
        <v>0</v>
      </c>
      <c r="CW163" s="675">
        <v>0</v>
      </c>
      <c r="CX163" s="675">
        <v>0</v>
      </c>
      <c r="CY163" s="675">
        <v>0</v>
      </c>
      <c r="CZ163" s="675">
        <v>0</v>
      </c>
      <c r="DA163" s="675">
        <v>0</v>
      </c>
      <c r="DB163" s="675">
        <v>7671355</v>
      </c>
      <c r="DC163" s="675">
        <v>0</v>
      </c>
      <c r="DD163" s="675">
        <v>0</v>
      </c>
      <c r="DE163" s="675">
        <v>1852611</v>
      </c>
      <c r="DF163" s="675">
        <v>1853398</v>
      </c>
      <c r="DG163" s="675">
        <v>300.75</v>
      </c>
      <c r="DH163" s="675">
        <v>0</v>
      </c>
      <c r="DI163" s="675">
        <v>787</v>
      </c>
      <c r="DJ163" s="675">
        <v>0</v>
      </c>
      <c r="DK163" s="675">
        <v>824</v>
      </c>
      <c r="DL163" s="675">
        <v>0</v>
      </c>
      <c r="DM163" s="675">
        <v>883961</v>
      </c>
      <c r="DN163" s="675">
        <v>2859</v>
      </c>
      <c r="DO163" s="675">
        <v>0</v>
      </c>
      <c r="DP163" s="675">
        <v>0</v>
      </c>
      <c r="DQ163" s="675">
        <v>0</v>
      </c>
      <c r="DR163" s="675">
        <v>0</v>
      </c>
      <c r="DS163" s="675">
        <v>0</v>
      </c>
      <c r="DT163" s="675">
        <v>0</v>
      </c>
      <c r="DU163" s="675">
        <v>0</v>
      </c>
      <c r="DV163" s="675">
        <v>0</v>
      </c>
      <c r="DW163" s="675">
        <v>0</v>
      </c>
      <c r="DX163" s="675">
        <v>0</v>
      </c>
      <c r="DY163" s="675">
        <v>0</v>
      </c>
      <c r="DZ163" s="675">
        <v>0</v>
      </c>
      <c r="EA163" s="675">
        <v>0</v>
      </c>
      <c r="EB163" s="675">
        <v>0</v>
      </c>
      <c r="EC163" s="675">
        <v>45.457000000000001</v>
      </c>
      <c r="ED163" s="675">
        <v>322016</v>
      </c>
      <c r="EE163" s="675">
        <v>0</v>
      </c>
      <c r="EF163" s="675">
        <v>0</v>
      </c>
      <c r="EG163" s="675">
        <v>0</v>
      </c>
      <c r="EH163" s="675">
        <v>440875</v>
      </c>
      <c r="EI163" s="675">
        <v>0</v>
      </c>
      <c r="EJ163" s="675">
        <v>0</v>
      </c>
      <c r="EK163" s="675">
        <v>21.038</v>
      </c>
      <c r="EL163" s="675">
        <v>0</v>
      </c>
      <c r="EM163" s="675">
        <v>0.39400000000000002</v>
      </c>
      <c r="EN163" s="675">
        <v>1.4550000000000001</v>
      </c>
      <c r="EO163" s="675">
        <v>0</v>
      </c>
      <c r="EP163" s="675">
        <v>0</v>
      </c>
      <c r="EQ163" s="675">
        <v>22.887</v>
      </c>
      <c r="ER163" s="675">
        <v>0</v>
      </c>
      <c r="ES163" s="675">
        <v>71.570999999999998</v>
      </c>
      <c r="ET163" s="675">
        <v>0</v>
      </c>
      <c r="EU163" s="675">
        <v>0</v>
      </c>
      <c r="EV163" s="675">
        <v>0</v>
      </c>
      <c r="EW163" s="675">
        <v>0</v>
      </c>
      <c r="EX163" s="675">
        <v>0</v>
      </c>
      <c r="EY163" s="675">
        <v>0</v>
      </c>
      <c r="EZ163" s="675">
        <v>13033365</v>
      </c>
      <c r="FA163" s="675">
        <v>0</v>
      </c>
      <c r="FB163" s="675">
        <v>13611993</v>
      </c>
      <c r="FC163" s="675">
        <v>0</v>
      </c>
      <c r="FD163" s="675">
        <v>0</v>
      </c>
      <c r="FE163" s="675">
        <v>1384104</v>
      </c>
      <c r="FF163" s="675">
        <v>286270</v>
      </c>
      <c r="FG163" s="675">
        <v>6.3574999999999993E-2</v>
      </c>
      <c r="FH163" s="675">
        <v>2.6297999999999998E-2</v>
      </c>
      <c r="FI163" s="675">
        <v>0</v>
      </c>
      <c r="FJ163" s="675">
        <v>0</v>
      </c>
      <c r="FK163" s="675">
        <v>2208.9290000000001</v>
      </c>
      <c r="FL163" s="675">
        <v>15527790</v>
      </c>
      <c r="FM163" s="675">
        <v>0</v>
      </c>
      <c r="FN163" s="675">
        <v>0</v>
      </c>
      <c r="FO163" s="675">
        <v>0</v>
      </c>
      <c r="FP163" s="675">
        <v>0</v>
      </c>
      <c r="FQ163" s="675">
        <v>0</v>
      </c>
      <c r="FR163" s="675">
        <v>0</v>
      </c>
      <c r="FS163" s="675">
        <v>0</v>
      </c>
      <c r="FT163" s="675">
        <v>0</v>
      </c>
      <c r="FU163" s="675">
        <v>0</v>
      </c>
      <c r="FV163" s="675">
        <v>0</v>
      </c>
      <c r="FW163" s="675">
        <v>0</v>
      </c>
      <c r="FX163" s="675">
        <v>0</v>
      </c>
      <c r="FY163" s="675">
        <v>0</v>
      </c>
      <c r="FZ163" s="675">
        <v>0</v>
      </c>
      <c r="GA163" s="675">
        <v>0</v>
      </c>
      <c r="GB163" s="675">
        <v>1024576</v>
      </c>
      <c r="GC163" s="675">
        <v>1024576</v>
      </c>
      <c r="GD163" s="675">
        <v>101.7</v>
      </c>
      <c r="GE163" s="675">
        <v>0</v>
      </c>
      <c r="GF163" s="675">
        <v>0</v>
      </c>
      <c r="GG163" s="675">
        <v>0</v>
      </c>
      <c r="GH163" s="675">
        <v>0</v>
      </c>
      <c r="GI163" s="675">
        <v>0</v>
      </c>
      <c r="GJ163" s="675">
        <v>0</v>
      </c>
      <c r="GK163" s="675">
        <v>0</v>
      </c>
      <c r="GL163" s="675">
        <v>0</v>
      </c>
      <c r="GM163" s="675">
        <v>0</v>
      </c>
      <c r="GN163" s="675">
        <v>0</v>
      </c>
      <c r="GO163" s="675">
        <v>0</v>
      </c>
      <c r="GP163" s="675">
        <v>0</v>
      </c>
      <c r="GQ163" s="675">
        <v>0</v>
      </c>
      <c r="GR163" s="675">
        <v>0</v>
      </c>
      <c r="GS163" s="675">
        <v>0</v>
      </c>
      <c r="GT163" s="675">
        <v>0</v>
      </c>
      <c r="GU163" s="675">
        <v>0</v>
      </c>
      <c r="GV163" s="675">
        <v>0</v>
      </c>
      <c r="GW163" s="675">
        <v>0</v>
      </c>
      <c r="GX163" s="675">
        <v>0</v>
      </c>
      <c r="GY163" s="675">
        <v>0</v>
      </c>
      <c r="GZ163" s="675">
        <v>0</v>
      </c>
      <c r="HA163" s="675">
        <v>0</v>
      </c>
      <c r="HB163" s="675">
        <v>308877260</v>
      </c>
      <c r="HC163" s="675">
        <v>4.4138999999999998E-2</v>
      </c>
      <c r="HD163" s="675">
        <v>245423</v>
      </c>
      <c r="HE163" s="675">
        <v>0</v>
      </c>
      <c r="HF163" s="675">
        <v>1395818</v>
      </c>
      <c r="HG163" s="675">
        <v>27720</v>
      </c>
      <c r="HH163" s="675">
        <v>271095</v>
      </c>
      <c r="HI163" s="675">
        <v>0</v>
      </c>
      <c r="HJ163" s="675">
        <v>13511</v>
      </c>
      <c r="HK163" s="675">
        <v>4482</v>
      </c>
      <c r="HL163" s="675">
        <v>3617</v>
      </c>
      <c r="HM163" s="675">
        <v>11000</v>
      </c>
      <c r="HN163" s="675">
        <v>11966</v>
      </c>
      <c r="HO163" s="675">
        <v>0</v>
      </c>
      <c r="HP163" s="675">
        <v>0</v>
      </c>
      <c r="HQ163" s="675">
        <v>0</v>
      </c>
      <c r="HR163" s="675">
        <v>0</v>
      </c>
      <c r="HS163" s="675">
        <v>13030319</v>
      </c>
      <c r="HT163" s="675">
        <v>286270</v>
      </c>
      <c r="HU163" s="675">
        <v>0</v>
      </c>
      <c r="HV163" s="675">
        <v>0</v>
      </c>
      <c r="HW163" s="675">
        <v>0</v>
      </c>
      <c r="HX163" s="675">
        <v>124</v>
      </c>
      <c r="HY163" s="675">
        <v>120</v>
      </c>
      <c r="HZ163" s="675">
        <v>235</v>
      </c>
      <c r="IA163" s="675">
        <v>354</v>
      </c>
      <c r="IB163" s="675">
        <v>337</v>
      </c>
      <c r="IC163" s="675">
        <v>1170</v>
      </c>
      <c r="ID163" s="675">
        <v>0</v>
      </c>
      <c r="IE163" s="675">
        <v>84.192000000000007</v>
      </c>
      <c r="IF163" s="675">
        <v>0</v>
      </c>
      <c r="IG163" s="675">
        <v>45</v>
      </c>
      <c r="IH163" s="675">
        <v>440.09100000000001</v>
      </c>
      <c r="II163" s="675">
        <v>0</v>
      </c>
      <c r="IJ163" s="675">
        <v>624.77499999999998</v>
      </c>
      <c r="IK163" s="675">
        <v>0</v>
      </c>
      <c r="IL163" s="675">
        <v>0</v>
      </c>
      <c r="IM163" s="675">
        <v>3</v>
      </c>
      <c r="IN163" s="675">
        <v>1</v>
      </c>
      <c r="IO163" s="675">
        <v>4</v>
      </c>
      <c r="IP163" s="675">
        <v>0</v>
      </c>
      <c r="IQ163" s="675">
        <v>540.58299999999997</v>
      </c>
      <c r="IR163" s="675">
        <v>332998</v>
      </c>
      <c r="IS163" s="675">
        <v>0</v>
      </c>
      <c r="IT163" s="675">
        <v>0</v>
      </c>
      <c r="IU163" s="675">
        <v>9000</v>
      </c>
      <c r="IV163" s="675">
        <v>2000</v>
      </c>
      <c r="IW163" s="675">
        <v>6160</v>
      </c>
      <c r="IX163" s="675">
        <v>77793</v>
      </c>
      <c r="IY163" s="675">
        <v>0</v>
      </c>
      <c r="IZ163" s="675">
        <v>0</v>
      </c>
      <c r="JA163" s="675">
        <v>0</v>
      </c>
      <c r="JB163" s="675">
        <v>0</v>
      </c>
      <c r="JC163" s="675">
        <v>0</v>
      </c>
      <c r="JD163" s="675">
        <v>0</v>
      </c>
      <c r="JE163" s="675">
        <v>0</v>
      </c>
      <c r="JF163" s="675">
        <v>2</v>
      </c>
      <c r="JG163" s="675">
        <v>10966</v>
      </c>
      <c r="JH163" s="675">
        <v>1000</v>
      </c>
      <c r="JI163" s="675">
        <v>0</v>
      </c>
      <c r="JJ163" s="675">
        <v>0</v>
      </c>
      <c r="JK163" s="675">
        <v>0</v>
      </c>
      <c r="JL163" s="675">
        <v>0</v>
      </c>
      <c r="JM163" s="675">
        <v>0</v>
      </c>
      <c r="JN163" s="675">
        <v>32469</v>
      </c>
      <c r="JO163" s="675">
        <v>0</v>
      </c>
      <c r="JP163" s="675">
        <v>44.374000000000002</v>
      </c>
      <c r="JQ163" s="675">
        <v>57.326000000000001</v>
      </c>
      <c r="JR163" s="675">
        <v>0</v>
      </c>
      <c r="JS163" s="675">
        <v>412529</v>
      </c>
      <c r="JT163" s="675">
        <v>612047</v>
      </c>
      <c r="JU163" s="675">
        <v>28890</v>
      </c>
      <c r="JV163" s="675">
        <v>0</v>
      </c>
      <c r="JW163" s="675">
        <v>0</v>
      </c>
      <c r="JX163" s="675">
        <v>0</v>
      </c>
      <c r="JY163" s="675">
        <v>0</v>
      </c>
      <c r="JZ163" s="675">
        <v>0</v>
      </c>
      <c r="KA163" s="675">
        <v>0</v>
      </c>
      <c r="KB163" s="675">
        <v>0</v>
      </c>
      <c r="KC163" s="675">
        <v>0</v>
      </c>
      <c r="KD163" s="675">
        <v>28890</v>
      </c>
      <c r="KE163" s="675">
        <v>7263</v>
      </c>
      <c r="KF163" s="675">
        <v>0</v>
      </c>
      <c r="KG163" s="675">
        <v>0</v>
      </c>
      <c r="KH163" s="675">
        <v>0</v>
      </c>
      <c r="KI163" s="675">
        <v>0</v>
      </c>
    </row>
    <row r="164" spans="1:295" ht="12.5" x14ac:dyDescent="0.25">
      <c r="A164" s="675">
        <v>35795</v>
      </c>
      <c r="B164" s="675">
        <v>101846</v>
      </c>
      <c r="C164" s="675">
        <v>7</v>
      </c>
      <c r="D164" s="675">
        <v>2022</v>
      </c>
      <c r="E164" s="675">
        <v>6160</v>
      </c>
      <c r="F164" s="675">
        <v>0</v>
      </c>
      <c r="G164" s="675">
        <v>3380.183</v>
      </c>
      <c r="H164" s="675">
        <v>3057.4090000000001</v>
      </c>
      <c r="I164" s="675">
        <v>3057.4090000000001</v>
      </c>
      <c r="J164" s="675">
        <v>3380.183</v>
      </c>
      <c r="K164" s="675">
        <v>0</v>
      </c>
      <c r="L164" s="675">
        <v>6160</v>
      </c>
      <c r="M164" s="675">
        <v>0</v>
      </c>
      <c r="N164" s="675">
        <v>0</v>
      </c>
      <c r="O164" s="675">
        <v>0</v>
      </c>
      <c r="P164" s="675">
        <v>3491.627</v>
      </c>
      <c r="Q164" s="675">
        <v>0</v>
      </c>
      <c r="R164" s="675">
        <v>1405128</v>
      </c>
      <c r="S164" s="675">
        <v>402.428</v>
      </c>
      <c r="T164" s="675">
        <v>0</v>
      </c>
      <c r="U164" s="675">
        <v>747212</v>
      </c>
      <c r="V164" s="675">
        <v>1215.635</v>
      </c>
      <c r="W164" s="675">
        <v>748828</v>
      </c>
      <c r="X164" s="675">
        <v>748828</v>
      </c>
      <c r="Y164" s="675">
        <v>0</v>
      </c>
      <c r="Z164" s="675">
        <v>0</v>
      </c>
      <c r="AA164" s="675">
        <v>0</v>
      </c>
      <c r="AB164" s="675">
        <v>0</v>
      </c>
      <c r="AC164" s="675">
        <v>0</v>
      </c>
      <c r="AD164" s="675" t="s">
        <v>316</v>
      </c>
      <c r="AE164" s="675">
        <v>0</v>
      </c>
      <c r="AF164" s="675">
        <v>0</v>
      </c>
      <c r="AG164" s="675">
        <v>0</v>
      </c>
      <c r="AH164" s="675">
        <v>0</v>
      </c>
      <c r="AI164" s="675">
        <v>0</v>
      </c>
      <c r="AJ164" s="675">
        <v>6160</v>
      </c>
      <c r="AK164" s="675" t="s">
        <v>671</v>
      </c>
      <c r="AL164" s="675" t="s">
        <v>906</v>
      </c>
      <c r="AM164" s="675">
        <v>0</v>
      </c>
      <c r="AN164" s="675">
        <v>0</v>
      </c>
      <c r="AO164" s="675">
        <v>0</v>
      </c>
      <c r="AP164" s="675">
        <v>0</v>
      </c>
      <c r="AQ164" s="675">
        <v>0</v>
      </c>
      <c r="AR164" s="675">
        <v>0</v>
      </c>
      <c r="AS164" s="675">
        <v>0</v>
      </c>
      <c r="AT164" s="675">
        <v>0</v>
      </c>
      <c r="AU164" s="675">
        <v>0</v>
      </c>
      <c r="AV164" s="675">
        <v>-345011</v>
      </c>
      <c r="AW164" s="675">
        <v>37558358</v>
      </c>
      <c r="AX164" s="675">
        <v>36972385</v>
      </c>
      <c r="AY164" s="675">
        <v>24524998</v>
      </c>
      <c r="AZ164" s="675">
        <v>1405128</v>
      </c>
      <c r="BA164" s="675">
        <v>0</v>
      </c>
      <c r="BB164" s="675">
        <v>71579</v>
      </c>
      <c r="BC164" s="675">
        <v>71116</v>
      </c>
      <c r="BD164" s="675">
        <v>166</v>
      </c>
      <c r="BE164" s="675">
        <v>463</v>
      </c>
      <c r="BF164" s="675">
        <v>34162058</v>
      </c>
      <c r="BG164" s="675">
        <v>0</v>
      </c>
      <c r="BH164" s="675">
        <v>0</v>
      </c>
      <c r="BI164" s="675">
        <v>0</v>
      </c>
      <c r="BJ164" s="675">
        <v>12</v>
      </c>
      <c r="BK164" s="675">
        <v>0</v>
      </c>
      <c r="BL164" s="675">
        <v>0</v>
      </c>
      <c r="BM164" s="675">
        <v>0</v>
      </c>
      <c r="BN164" s="675">
        <v>0</v>
      </c>
      <c r="BO164" s="675">
        <v>0</v>
      </c>
      <c r="BP164" s="675">
        <v>0</v>
      </c>
      <c r="BQ164" s="675">
        <v>299</v>
      </c>
      <c r="BR164" s="675">
        <v>0</v>
      </c>
      <c r="BS164" s="675">
        <v>0</v>
      </c>
      <c r="BT164" s="675">
        <v>0</v>
      </c>
      <c r="BU164" s="675">
        <v>0</v>
      </c>
      <c r="BV164" s="675">
        <v>0</v>
      </c>
      <c r="BW164" s="675">
        <v>0</v>
      </c>
      <c r="BX164" s="675">
        <v>0</v>
      </c>
      <c r="BY164" s="675">
        <v>0</v>
      </c>
      <c r="BZ164" s="675">
        <v>0</v>
      </c>
      <c r="CA164" s="675">
        <v>0</v>
      </c>
      <c r="CB164" s="675">
        <v>0</v>
      </c>
      <c r="CC164" s="675">
        <v>0</v>
      </c>
      <c r="CD164" s="675">
        <v>0</v>
      </c>
      <c r="CE164" s="675">
        <v>0</v>
      </c>
      <c r="CF164" s="675">
        <v>0</v>
      </c>
      <c r="CG164" s="675">
        <v>0</v>
      </c>
      <c r="CH164" s="675">
        <v>596790</v>
      </c>
      <c r="CI164" s="675">
        <v>0</v>
      </c>
      <c r="CJ164" s="675">
        <v>4</v>
      </c>
      <c r="CK164" s="675">
        <v>0</v>
      </c>
      <c r="CL164" s="675">
        <v>0</v>
      </c>
      <c r="CM164" s="675">
        <v>0</v>
      </c>
      <c r="CN164" s="675">
        <v>0</v>
      </c>
      <c r="CO164" s="675">
        <v>1</v>
      </c>
      <c r="CP164" s="675">
        <v>0</v>
      </c>
      <c r="CQ164" s="675">
        <v>0</v>
      </c>
      <c r="CR164" s="675">
        <v>3512.0750000000003</v>
      </c>
      <c r="CS164" s="675">
        <v>0</v>
      </c>
      <c r="CT164" s="675">
        <v>0</v>
      </c>
      <c r="CU164" s="675">
        <v>0</v>
      </c>
      <c r="CV164" s="675">
        <v>0</v>
      </c>
      <c r="CW164" s="675">
        <v>0</v>
      </c>
      <c r="CX164" s="675">
        <v>0</v>
      </c>
      <c r="CY164" s="675">
        <v>0</v>
      </c>
      <c r="CZ164" s="675">
        <v>0</v>
      </c>
      <c r="DA164" s="675">
        <v>0</v>
      </c>
      <c r="DB164" s="675">
        <v>18833552</v>
      </c>
      <c r="DC164" s="675">
        <v>0</v>
      </c>
      <c r="DD164" s="675">
        <v>0</v>
      </c>
      <c r="DE164" s="675">
        <v>4860217</v>
      </c>
      <c r="DF164" s="675">
        <v>4860217</v>
      </c>
      <c r="DG164" s="675">
        <v>789</v>
      </c>
      <c r="DH164" s="675">
        <v>0</v>
      </c>
      <c r="DI164" s="675">
        <v>0</v>
      </c>
      <c r="DJ164" s="675">
        <v>0</v>
      </c>
      <c r="DK164" s="675">
        <v>0</v>
      </c>
      <c r="DL164" s="675">
        <v>0</v>
      </c>
      <c r="DM164" s="675">
        <v>2752340</v>
      </c>
      <c r="DN164" s="675">
        <v>10354</v>
      </c>
      <c r="DO164" s="675">
        <v>0</v>
      </c>
      <c r="DP164" s="675">
        <v>0</v>
      </c>
      <c r="DQ164" s="675">
        <v>0</v>
      </c>
      <c r="DR164" s="675">
        <v>0</v>
      </c>
      <c r="DS164" s="675">
        <v>0</v>
      </c>
      <c r="DT164" s="675">
        <v>0</v>
      </c>
      <c r="DU164" s="675">
        <v>0</v>
      </c>
      <c r="DV164" s="675">
        <v>0</v>
      </c>
      <c r="DW164" s="675">
        <v>0</v>
      </c>
      <c r="DX164" s="675">
        <v>0</v>
      </c>
      <c r="DY164" s="675">
        <v>0</v>
      </c>
      <c r="DZ164" s="675">
        <v>0</v>
      </c>
      <c r="EA164" s="675">
        <v>0</v>
      </c>
      <c r="EB164" s="675">
        <v>0</v>
      </c>
      <c r="EC164" s="675">
        <v>63.249000000000002</v>
      </c>
      <c r="ED164" s="675">
        <v>448054</v>
      </c>
      <c r="EE164" s="675">
        <v>0</v>
      </c>
      <c r="EF164" s="675">
        <v>0</v>
      </c>
      <c r="EG164" s="675">
        <v>0</v>
      </c>
      <c r="EH164" s="675">
        <v>2314640</v>
      </c>
      <c r="EI164" s="675">
        <v>0</v>
      </c>
      <c r="EJ164" s="675">
        <v>0</v>
      </c>
      <c r="EK164" s="675">
        <v>103.617</v>
      </c>
      <c r="EL164" s="675">
        <v>0</v>
      </c>
      <c r="EM164" s="675">
        <v>13.338000000000001</v>
      </c>
      <c r="EN164" s="675">
        <v>4.9780000000000006</v>
      </c>
      <c r="EO164" s="675">
        <v>0</v>
      </c>
      <c r="EP164" s="675">
        <v>0</v>
      </c>
      <c r="EQ164" s="675">
        <v>121.93300000000001</v>
      </c>
      <c r="ER164" s="675">
        <v>0</v>
      </c>
      <c r="ES164" s="675">
        <v>375.755</v>
      </c>
      <c r="ET164" s="675">
        <v>0</v>
      </c>
      <c r="EU164" s="675">
        <v>0</v>
      </c>
      <c r="EV164" s="675">
        <v>0</v>
      </c>
      <c r="EW164" s="675">
        <v>0</v>
      </c>
      <c r="EX164" s="675">
        <v>0</v>
      </c>
      <c r="EY164" s="675">
        <v>0</v>
      </c>
      <c r="EZ164" s="675">
        <v>32778687</v>
      </c>
      <c r="FA164" s="675">
        <v>0</v>
      </c>
      <c r="FB164" s="675">
        <v>34172998</v>
      </c>
      <c r="FC164" s="675">
        <v>0</v>
      </c>
      <c r="FD164" s="675">
        <v>0</v>
      </c>
      <c r="FE164" s="675">
        <v>3474980</v>
      </c>
      <c r="FF164" s="675">
        <v>718718</v>
      </c>
      <c r="FG164" s="675">
        <v>6.3574999999999993E-2</v>
      </c>
      <c r="FH164" s="675">
        <v>2.6297999999999998E-2</v>
      </c>
      <c r="FI164" s="675">
        <v>0</v>
      </c>
      <c r="FJ164" s="675">
        <v>0</v>
      </c>
      <c r="FK164" s="675">
        <v>5545.8140000000003</v>
      </c>
      <c r="FL164" s="675">
        <v>38963486</v>
      </c>
      <c r="FM164" s="675">
        <v>0</v>
      </c>
      <c r="FN164" s="675">
        <v>0</v>
      </c>
      <c r="FO164" s="675">
        <v>0</v>
      </c>
      <c r="FP164" s="675">
        <v>0</v>
      </c>
      <c r="FQ164" s="675">
        <v>0</v>
      </c>
      <c r="FR164" s="675">
        <v>0</v>
      </c>
      <c r="FS164" s="675">
        <v>0</v>
      </c>
      <c r="FT164" s="675">
        <v>0</v>
      </c>
      <c r="FU164" s="675">
        <v>0</v>
      </c>
      <c r="FV164" s="675">
        <v>0</v>
      </c>
      <c r="FW164" s="675">
        <v>0</v>
      </c>
      <c r="FX164" s="675">
        <v>0</v>
      </c>
      <c r="FY164" s="675">
        <v>0</v>
      </c>
      <c r="FZ164" s="675">
        <v>0</v>
      </c>
      <c r="GA164" s="675">
        <v>0</v>
      </c>
      <c r="GB164" s="675">
        <v>1995801</v>
      </c>
      <c r="GC164" s="675">
        <v>1995801</v>
      </c>
      <c r="GD164" s="675">
        <v>200.84100000000001</v>
      </c>
      <c r="GE164" s="675">
        <v>0</v>
      </c>
      <c r="GF164" s="675">
        <v>0</v>
      </c>
      <c r="GG164" s="675">
        <v>0</v>
      </c>
      <c r="GH164" s="675">
        <v>0</v>
      </c>
      <c r="GI164" s="675">
        <v>0</v>
      </c>
      <c r="GJ164" s="675">
        <v>0</v>
      </c>
      <c r="GK164" s="675">
        <v>0</v>
      </c>
      <c r="GL164" s="675">
        <v>0</v>
      </c>
      <c r="GM164" s="675">
        <v>0</v>
      </c>
      <c r="GN164" s="675">
        <v>0</v>
      </c>
      <c r="GO164" s="675">
        <v>0</v>
      </c>
      <c r="GP164" s="675">
        <v>0</v>
      </c>
      <c r="GQ164" s="675">
        <v>0</v>
      </c>
      <c r="GR164" s="675">
        <v>0</v>
      </c>
      <c r="GS164" s="675">
        <v>0</v>
      </c>
      <c r="GT164" s="675">
        <v>0</v>
      </c>
      <c r="GU164" s="675">
        <v>0</v>
      </c>
      <c r="GV164" s="675">
        <v>0</v>
      </c>
      <c r="GW164" s="675">
        <v>0</v>
      </c>
      <c r="GX164" s="675">
        <v>0</v>
      </c>
      <c r="GY164" s="675">
        <v>0</v>
      </c>
      <c r="GZ164" s="675">
        <v>0</v>
      </c>
      <c r="HA164" s="675">
        <v>0</v>
      </c>
      <c r="HB164" s="675">
        <v>308877260</v>
      </c>
      <c r="HC164" s="675">
        <v>4.4138999999999998E-2</v>
      </c>
      <c r="HD164" s="675">
        <v>596790</v>
      </c>
      <c r="HE164" s="675">
        <v>0</v>
      </c>
      <c r="HF164" s="675">
        <v>3372322</v>
      </c>
      <c r="HG164" s="675">
        <v>33880</v>
      </c>
      <c r="HH164" s="675">
        <v>595844</v>
      </c>
      <c r="HI164" s="675">
        <v>0</v>
      </c>
      <c r="HJ164" s="675">
        <v>32855</v>
      </c>
      <c r="HK164" s="675">
        <v>13347</v>
      </c>
      <c r="HL164" s="675">
        <v>8410</v>
      </c>
      <c r="HM164" s="675">
        <v>403000</v>
      </c>
      <c r="HN164" s="675">
        <v>352486</v>
      </c>
      <c r="HO164" s="675">
        <v>99000</v>
      </c>
      <c r="HP164" s="675">
        <v>0</v>
      </c>
      <c r="HQ164" s="675">
        <v>0</v>
      </c>
      <c r="HR164" s="675">
        <v>0</v>
      </c>
      <c r="HS164" s="675">
        <v>32767870</v>
      </c>
      <c r="HT164" s="675">
        <v>718718</v>
      </c>
      <c r="HU164" s="675">
        <v>0</v>
      </c>
      <c r="HV164" s="675">
        <v>0</v>
      </c>
      <c r="HW164" s="675">
        <v>0</v>
      </c>
      <c r="HX164" s="675">
        <v>323</v>
      </c>
      <c r="HY164" s="675">
        <v>436</v>
      </c>
      <c r="HZ164" s="675">
        <v>726</v>
      </c>
      <c r="IA164" s="675">
        <v>698</v>
      </c>
      <c r="IB164" s="675">
        <v>902</v>
      </c>
      <c r="IC164" s="675">
        <v>3085</v>
      </c>
      <c r="ID164" s="675">
        <v>0</v>
      </c>
      <c r="IE164" s="675">
        <v>0</v>
      </c>
      <c r="IF164" s="675">
        <v>0</v>
      </c>
      <c r="IG164" s="675">
        <v>55</v>
      </c>
      <c r="IH164" s="675">
        <v>967.28300000000002</v>
      </c>
      <c r="II164" s="675">
        <v>0</v>
      </c>
      <c r="IJ164" s="675">
        <v>1215.635</v>
      </c>
      <c r="IK164" s="675">
        <v>0</v>
      </c>
      <c r="IL164" s="675">
        <v>67</v>
      </c>
      <c r="IM164" s="675">
        <v>22</v>
      </c>
      <c r="IN164" s="675">
        <v>1</v>
      </c>
      <c r="IO164" s="675">
        <v>90</v>
      </c>
      <c r="IP164" s="675">
        <v>0</v>
      </c>
      <c r="IQ164" s="675">
        <v>1215.635</v>
      </c>
      <c r="IR164" s="675">
        <v>748828</v>
      </c>
      <c r="IS164" s="675">
        <v>0</v>
      </c>
      <c r="IT164" s="675">
        <v>335000</v>
      </c>
      <c r="IU164" s="675">
        <v>66000</v>
      </c>
      <c r="IV164" s="675">
        <v>2000</v>
      </c>
      <c r="IW164" s="675">
        <v>6160</v>
      </c>
      <c r="IX164" s="675">
        <v>0</v>
      </c>
      <c r="IY164" s="675">
        <v>0</v>
      </c>
      <c r="IZ164" s="675">
        <v>0</v>
      </c>
      <c r="JA164" s="675">
        <v>0</v>
      </c>
      <c r="JB164" s="675">
        <v>5</v>
      </c>
      <c r="JC164" s="675">
        <v>113811</v>
      </c>
      <c r="JD164" s="675">
        <v>11</v>
      </c>
      <c r="JE164" s="675">
        <v>138181</v>
      </c>
      <c r="JF164" s="675">
        <v>13</v>
      </c>
      <c r="JG164" s="675">
        <v>81994</v>
      </c>
      <c r="JH164" s="675">
        <v>18500</v>
      </c>
      <c r="JI164" s="675">
        <v>0</v>
      </c>
      <c r="JJ164" s="675">
        <v>0</v>
      </c>
      <c r="JK164" s="675">
        <v>0</v>
      </c>
      <c r="JL164" s="675">
        <v>0</v>
      </c>
      <c r="JM164" s="675">
        <v>0</v>
      </c>
      <c r="JN164" s="675">
        <v>32469</v>
      </c>
      <c r="JO164" s="675">
        <v>0</v>
      </c>
      <c r="JP164" s="675">
        <v>107.611</v>
      </c>
      <c r="JQ164" s="675">
        <v>93.23</v>
      </c>
      <c r="JR164" s="675">
        <v>0</v>
      </c>
      <c r="JS164" s="675">
        <v>1000421</v>
      </c>
      <c r="JT164" s="675">
        <v>995380</v>
      </c>
      <c r="JU164" s="675">
        <v>71579</v>
      </c>
      <c r="JV164" s="675">
        <v>0</v>
      </c>
      <c r="JW164" s="675">
        <v>0</v>
      </c>
      <c r="JX164" s="675">
        <v>0</v>
      </c>
      <c r="JY164" s="675">
        <v>0</v>
      </c>
      <c r="JZ164" s="675">
        <v>0</v>
      </c>
      <c r="KA164" s="675">
        <v>0</v>
      </c>
      <c r="KB164" s="675">
        <v>0</v>
      </c>
      <c r="KC164" s="675">
        <v>0</v>
      </c>
      <c r="KD164" s="675">
        <v>71579</v>
      </c>
      <c r="KE164" s="675">
        <v>7263</v>
      </c>
      <c r="KF164" s="675">
        <v>0</v>
      </c>
      <c r="KG164" s="675">
        <v>0</v>
      </c>
      <c r="KH164" s="675">
        <v>0</v>
      </c>
      <c r="KI164" s="675">
        <v>0</v>
      </c>
    </row>
    <row r="165" spans="1:295" ht="12.5" x14ac:dyDescent="0.25">
      <c r="A165" s="675">
        <v>35795</v>
      </c>
      <c r="B165" s="675">
        <v>57847</v>
      </c>
      <c r="C165" s="675">
        <v>7</v>
      </c>
      <c r="D165" s="675">
        <v>2022</v>
      </c>
      <c r="E165" s="675">
        <v>6160</v>
      </c>
      <c r="F165" s="675">
        <v>0</v>
      </c>
      <c r="G165" s="675">
        <v>1113.1600000000001</v>
      </c>
      <c r="H165" s="675">
        <v>1008.2030000000001</v>
      </c>
      <c r="I165" s="675">
        <v>1008.2030000000001</v>
      </c>
      <c r="J165" s="675">
        <v>1113.1600000000001</v>
      </c>
      <c r="K165" s="675">
        <v>0</v>
      </c>
      <c r="L165" s="675">
        <v>6160</v>
      </c>
      <c r="M165" s="675">
        <v>0</v>
      </c>
      <c r="N165" s="675">
        <v>0</v>
      </c>
      <c r="O165" s="675">
        <v>0</v>
      </c>
      <c r="P165" s="675">
        <v>1096.5030000000002</v>
      </c>
      <c r="Q165" s="675">
        <v>0</v>
      </c>
      <c r="R165" s="675">
        <v>441264</v>
      </c>
      <c r="S165" s="675">
        <v>402.428</v>
      </c>
      <c r="T165" s="675">
        <v>0</v>
      </c>
      <c r="U165" s="675">
        <v>234653</v>
      </c>
      <c r="V165" s="675">
        <v>29.767000000000003</v>
      </c>
      <c r="W165" s="675">
        <v>18336</v>
      </c>
      <c r="X165" s="675">
        <v>18336</v>
      </c>
      <c r="Y165" s="675">
        <v>0</v>
      </c>
      <c r="Z165" s="675">
        <v>0</v>
      </c>
      <c r="AA165" s="675">
        <v>0</v>
      </c>
      <c r="AB165" s="675">
        <v>0</v>
      </c>
      <c r="AC165" s="675">
        <v>0</v>
      </c>
      <c r="AD165" s="675" t="s">
        <v>316</v>
      </c>
      <c r="AE165" s="675">
        <v>0</v>
      </c>
      <c r="AF165" s="675">
        <v>0</v>
      </c>
      <c r="AG165" s="675">
        <v>0</v>
      </c>
      <c r="AH165" s="675">
        <v>0</v>
      </c>
      <c r="AI165" s="675">
        <v>0</v>
      </c>
      <c r="AJ165" s="675">
        <v>6160</v>
      </c>
      <c r="AK165" s="675" t="s">
        <v>671</v>
      </c>
      <c r="AL165" s="675" t="s">
        <v>333</v>
      </c>
      <c r="AM165" s="675">
        <v>0</v>
      </c>
      <c r="AN165" s="675">
        <v>0</v>
      </c>
      <c r="AO165" s="675">
        <v>0</v>
      </c>
      <c r="AP165" s="675">
        <v>0</v>
      </c>
      <c r="AQ165" s="675">
        <v>0</v>
      </c>
      <c r="AR165" s="675">
        <v>0</v>
      </c>
      <c r="AS165" s="675">
        <v>0</v>
      </c>
      <c r="AT165" s="675">
        <v>0</v>
      </c>
      <c r="AU165" s="675">
        <v>0</v>
      </c>
      <c r="AV165" s="675">
        <v>0</v>
      </c>
      <c r="AW165" s="675">
        <v>10791188</v>
      </c>
      <c r="AX165" s="675">
        <v>10596903</v>
      </c>
      <c r="AY165" s="675">
        <v>7233191</v>
      </c>
      <c r="AZ165" s="675">
        <v>441264</v>
      </c>
      <c r="BA165" s="675">
        <v>0</v>
      </c>
      <c r="BB165" s="675">
        <v>0</v>
      </c>
      <c r="BC165" s="675">
        <v>0</v>
      </c>
      <c r="BD165" s="675">
        <v>0</v>
      </c>
      <c r="BE165" s="675">
        <v>0</v>
      </c>
      <c r="BF165" s="675">
        <v>9825852</v>
      </c>
      <c r="BG165" s="675">
        <v>0</v>
      </c>
      <c r="BH165" s="675">
        <v>0</v>
      </c>
      <c r="BI165" s="675">
        <v>0</v>
      </c>
      <c r="BJ165" s="675">
        <v>12</v>
      </c>
      <c r="BK165" s="675">
        <v>0</v>
      </c>
      <c r="BL165" s="675">
        <v>0</v>
      </c>
      <c r="BM165" s="675">
        <v>0</v>
      </c>
      <c r="BN165" s="675">
        <v>0</v>
      </c>
      <c r="BO165" s="675">
        <v>0</v>
      </c>
      <c r="BP165" s="675">
        <v>0</v>
      </c>
      <c r="BQ165" s="675">
        <v>615</v>
      </c>
      <c r="BR165" s="675">
        <v>0</v>
      </c>
      <c r="BS165" s="675">
        <v>0</v>
      </c>
      <c r="BT165" s="675">
        <v>0</v>
      </c>
      <c r="BU165" s="675">
        <v>0</v>
      </c>
      <c r="BV165" s="675">
        <v>0</v>
      </c>
      <c r="BW165" s="675">
        <v>0</v>
      </c>
      <c r="BX165" s="675">
        <v>0</v>
      </c>
      <c r="BY165" s="675">
        <v>0</v>
      </c>
      <c r="BZ165" s="675">
        <v>0</v>
      </c>
      <c r="CA165" s="675">
        <v>0</v>
      </c>
      <c r="CB165" s="675">
        <v>0</v>
      </c>
      <c r="CC165" s="675">
        <v>0</v>
      </c>
      <c r="CD165" s="675">
        <v>0</v>
      </c>
      <c r="CE165" s="675">
        <v>0</v>
      </c>
      <c r="CF165" s="675">
        <v>0</v>
      </c>
      <c r="CG165" s="675">
        <v>0</v>
      </c>
      <c r="CH165" s="675">
        <v>196535</v>
      </c>
      <c r="CI165" s="675">
        <v>0</v>
      </c>
      <c r="CJ165" s="675">
        <v>4</v>
      </c>
      <c r="CK165" s="675">
        <v>0</v>
      </c>
      <c r="CL165" s="675">
        <v>0</v>
      </c>
      <c r="CM165" s="675">
        <v>0</v>
      </c>
      <c r="CN165" s="675">
        <v>0</v>
      </c>
      <c r="CO165" s="675">
        <v>1</v>
      </c>
      <c r="CP165" s="675">
        <v>0</v>
      </c>
      <c r="CQ165" s="675">
        <v>0</v>
      </c>
      <c r="CR165" s="675">
        <v>1209.566</v>
      </c>
      <c r="CS165" s="675">
        <v>0</v>
      </c>
      <c r="CT165" s="675">
        <v>0</v>
      </c>
      <c r="CU165" s="675">
        <v>0</v>
      </c>
      <c r="CV165" s="675">
        <v>0</v>
      </c>
      <c r="CW165" s="675">
        <v>0</v>
      </c>
      <c r="CX165" s="675">
        <v>0</v>
      </c>
      <c r="CY165" s="675">
        <v>0</v>
      </c>
      <c r="CZ165" s="675">
        <v>0</v>
      </c>
      <c r="DA165" s="675">
        <v>0</v>
      </c>
      <c r="DB165" s="675">
        <v>6210502</v>
      </c>
      <c r="DC165" s="675">
        <v>0</v>
      </c>
      <c r="DD165" s="675">
        <v>0</v>
      </c>
      <c r="DE165" s="675">
        <v>859008</v>
      </c>
      <c r="DF165" s="675">
        <v>859008</v>
      </c>
      <c r="DG165" s="675">
        <v>139.45000000000002</v>
      </c>
      <c r="DH165" s="675">
        <v>0</v>
      </c>
      <c r="DI165" s="675">
        <v>0</v>
      </c>
      <c r="DJ165" s="675">
        <v>0</v>
      </c>
      <c r="DK165" s="675">
        <v>1458</v>
      </c>
      <c r="DL165" s="675">
        <v>0</v>
      </c>
      <c r="DM165" s="675">
        <v>598143</v>
      </c>
      <c r="DN165" s="675">
        <v>2250</v>
      </c>
      <c r="DO165" s="675">
        <v>0</v>
      </c>
      <c r="DP165" s="675">
        <v>0</v>
      </c>
      <c r="DQ165" s="675">
        <v>0</v>
      </c>
      <c r="DR165" s="675">
        <v>0</v>
      </c>
      <c r="DS165" s="675">
        <v>0</v>
      </c>
      <c r="DT165" s="675">
        <v>0</v>
      </c>
      <c r="DU165" s="675">
        <v>0</v>
      </c>
      <c r="DV165" s="675">
        <v>0</v>
      </c>
      <c r="DW165" s="675">
        <v>0</v>
      </c>
      <c r="DX165" s="675">
        <v>0</v>
      </c>
      <c r="DY165" s="675">
        <v>0</v>
      </c>
      <c r="DZ165" s="675">
        <v>0</v>
      </c>
      <c r="EA165" s="675">
        <v>0</v>
      </c>
      <c r="EB165" s="675">
        <v>0</v>
      </c>
      <c r="EC165" s="675">
        <v>30.452000000000002</v>
      </c>
      <c r="ED165" s="675">
        <v>215721</v>
      </c>
      <c r="EE165" s="675">
        <v>0</v>
      </c>
      <c r="EF165" s="675">
        <v>0</v>
      </c>
      <c r="EG165" s="675">
        <v>0</v>
      </c>
      <c r="EH165" s="675">
        <v>384672</v>
      </c>
      <c r="EI165" s="675">
        <v>0</v>
      </c>
      <c r="EJ165" s="675">
        <v>0</v>
      </c>
      <c r="EK165" s="675">
        <v>15.648000000000001</v>
      </c>
      <c r="EL165" s="675">
        <v>0</v>
      </c>
      <c r="EM165" s="675">
        <v>2.206</v>
      </c>
      <c r="EN165" s="675">
        <v>1.7770000000000001</v>
      </c>
      <c r="EO165" s="675">
        <v>0</v>
      </c>
      <c r="EP165" s="675">
        <v>0</v>
      </c>
      <c r="EQ165" s="675">
        <v>19.631</v>
      </c>
      <c r="ER165" s="675">
        <v>0</v>
      </c>
      <c r="ES165" s="675">
        <v>62.447000000000003</v>
      </c>
      <c r="ET165" s="675">
        <v>0</v>
      </c>
      <c r="EU165" s="675">
        <v>0</v>
      </c>
      <c r="EV165" s="675">
        <v>0</v>
      </c>
      <c r="EW165" s="675">
        <v>0</v>
      </c>
      <c r="EX165" s="675">
        <v>0</v>
      </c>
      <c r="EY165" s="675">
        <v>0</v>
      </c>
      <c r="EZ165" s="675">
        <v>9390692</v>
      </c>
      <c r="FA165" s="675">
        <v>0</v>
      </c>
      <c r="FB165" s="675">
        <v>9829706</v>
      </c>
      <c r="FC165" s="675">
        <v>0</v>
      </c>
      <c r="FD165" s="675">
        <v>0</v>
      </c>
      <c r="FE165" s="675">
        <v>999490</v>
      </c>
      <c r="FF165" s="675">
        <v>206721</v>
      </c>
      <c r="FG165" s="675">
        <v>6.3574999999999993E-2</v>
      </c>
      <c r="FH165" s="675">
        <v>2.6297999999999998E-2</v>
      </c>
      <c r="FI165" s="675">
        <v>0</v>
      </c>
      <c r="FJ165" s="675">
        <v>0</v>
      </c>
      <c r="FK165" s="675">
        <v>1595.1130000000001</v>
      </c>
      <c r="FL165" s="675">
        <v>11232452</v>
      </c>
      <c r="FM165" s="675">
        <v>0</v>
      </c>
      <c r="FN165" s="675">
        <v>0</v>
      </c>
      <c r="FO165" s="675">
        <v>0</v>
      </c>
      <c r="FP165" s="675">
        <v>0</v>
      </c>
      <c r="FQ165" s="675">
        <v>0</v>
      </c>
      <c r="FR165" s="675">
        <v>0</v>
      </c>
      <c r="FS165" s="675">
        <v>0</v>
      </c>
      <c r="FT165" s="675">
        <v>0</v>
      </c>
      <c r="FU165" s="675">
        <v>0</v>
      </c>
      <c r="FV165" s="675">
        <v>0</v>
      </c>
      <c r="FW165" s="675">
        <v>0</v>
      </c>
      <c r="FX165" s="675">
        <v>0</v>
      </c>
      <c r="FY165" s="675">
        <v>0</v>
      </c>
      <c r="FZ165" s="675">
        <v>0</v>
      </c>
      <c r="GA165" s="675">
        <v>0</v>
      </c>
      <c r="GB165" s="675">
        <v>793245</v>
      </c>
      <c r="GC165" s="675">
        <v>793245</v>
      </c>
      <c r="GD165" s="675">
        <v>85.326000000000008</v>
      </c>
      <c r="GE165" s="675">
        <v>0</v>
      </c>
      <c r="GF165" s="675">
        <v>0</v>
      </c>
      <c r="GG165" s="675">
        <v>0</v>
      </c>
      <c r="GH165" s="675">
        <v>0</v>
      </c>
      <c r="GI165" s="675">
        <v>0</v>
      </c>
      <c r="GJ165" s="675">
        <v>0</v>
      </c>
      <c r="GK165" s="675">
        <v>0</v>
      </c>
      <c r="GL165" s="675">
        <v>0</v>
      </c>
      <c r="GM165" s="675">
        <v>0</v>
      </c>
      <c r="GN165" s="675">
        <v>0</v>
      </c>
      <c r="GO165" s="675">
        <v>0</v>
      </c>
      <c r="GP165" s="675">
        <v>0</v>
      </c>
      <c r="GQ165" s="675">
        <v>0</v>
      </c>
      <c r="GR165" s="675">
        <v>0</v>
      </c>
      <c r="GS165" s="675">
        <v>0</v>
      </c>
      <c r="GT165" s="675">
        <v>0</v>
      </c>
      <c r="GU165" s="675">
        <v>0</v>
      </c>
      <c r="GV165" s="675">
        <v>0</v>
      </c>
      <c r="GW165" s="675">
        <v>0</v>
      </c>
      <c r="GX165" s="675">
        <v>0</v>
      </c>
      <c r="GY165" s="675">
        <v>0</v>
      </c>
      <c r="GZ165" s="675">
        <v>0</v>
      </c>
      <c r="HA165" s="675">
        <v>0</v>
      </c>
      <c r="HB165" s="675">
        <v>308877260</v>
      </c>
      <c r="HC165" s="675">
        <v>4.4138999999999998E-2</v>
      </c>
      <c r="HD165" s="675">
        <v>196535</v>
      </c>
      <c r="HE165" s="675">
        <v>0</v>
      </c>
      <c r="HF165" s="675">
        <v>1112048</v>
      </c>
      <c r="HG165" s="675">
        <v>36344</v>
      </c>
      <c r="HH165" s="675">
        <v>125156</v>
      </c>
      <c r="HI165" s="675">
        <v>0</v>
      </c>
      <c r="HJ165" s="675">
        <v>10820</v>
      </c>
      <c r="HK165" s="675">
        <v>3429</v>
      </c>
      <c r="HL165" s="675">
        <v>2675</v>
      </c>
      <c r="HM165" s="675">
        <v>33000</v>
      </c>
      <c r="HN165" s="675">
        <v>0</v>
      </c>
      <c r="HO165" s="675">
        <v>27000</v>
      </c>
      <c r="HP165" s="675">
        <v>0</v>
      </c>
      <c r="HQ165" s="675">
        <v>0</v>
      </c>
      <c r="HR165" s="675">
        <v>0</v>
      </c>
      <c r="HS165" s="675">
        <v>9388442</v>
      </c>
      <c r="HT165" s="675">
        <v>206721</v>
      </c>
      <c r="HU165" s="675">
        <v>0</v>
      </c>
      <c r="HV165" s="675">
        <v>0</v>
      </c>
      <c r="HW165" s="675">
        <v>0</v>
      </c>
      <c r="HX165" s="675">
        <v>178</v>
      </c>
      <c r="HY165" s="675">
        <v>144</v>
      </c>
      <c r="HZ165" s="675">
        <v>79</v>
      </c>
      <c r="IA165" s="675">
        <v>126</v>
      </c>
      <c r="IB165" s="675">
        <v>45</v>
      </c>
      <c r="IC165" s="675">
        <v>572</v>
      </c>
      <c r="ID165" s="675">
        <v>0</v>
      </c>
      <c r="IE165" s="675">
        <v>0</v>
      </c>
      <c r="IF165" s="675">
        <v>0</v>
      </c>
      <c r="IG165" s="675">
        <v>59</v>
      </c>
      <c r="IH165" s="675">
        <v>203.17600000000002</v>
      </c>
      <c r="II165" s="675">
        <v>0</v>
      </c>
      <c r="IJ165" s="675">
        <v>29.767000000000003</v>
      </c>
      <c r="IK165" s="675">
        <v>0</v>
      </c>
      <c r="IL165" s="675">
        <v>0</v>
      </c>
      <c r="IM165" s="675">
        <v>11</v>
      </c>
      <c r="IN165" s="675">
        <v>0</v>
      </c>
      <c r="IO165" s="675">
        <v>11</v>
      </c>
      <c r="IP165" s="675">
        <v>0</v>
      </c>
      <c r="IQ165" s="675">
        <v>29.767000000000003</v>
      </c>
      <c r="IR165" s="675">
        <v>18336</v>
      </c>
      <c r="IS165" s="675">
        <v>0</v>
      </c>
      <c r="IT165" s="675">
        <v>0</v>
      </c>
      <c r="IU165" s="675">
        <v>33000</v>
      </c>
      <c r="IV165" s="675">
        <v>0</v>
      </c>
      <c r="IW165" s="675">
        <v>6160</v>
      </c>
      <c r="IX165" s="675">
        <v>0</v>
      </c>
      <c r="IY165" s="675">
        <v>0</v>
      </c>
      <c r="IZ165" s="675">
        <v>0</v>
      </c>
      <c r="JA165" s="675">
        <v>0</v>
      </c>
      <c r="JB165" s="675">
        <v>0</v>
      </c>
      <c r="JC165" s="675">
        <v>0</v>
      </c>
      <c r="JD165" s="675">
        <v>0</v>
      </c>
      <c r="JE165" s="675">
        <v>0</v>
      </c>
      <c r="JF165" s="675">
        <v>0</v>
      </c>
      <c r="JG165" s="675">
        <v>0</v>
      </c>
      <c r="JH165" s="675">
        <v>0</v>
      </c>
      <c r="JI165" s="675">
        <v>0</v>
      </c>
      <c r="JJ165" s="675">
        <v>0</v>
      </c>
      <c r="JK165" s="675">
        <v>0</v>
      </c>
      <c r="JL165" s="675">
        <v>0</v>
      </c>
      <c r="JM165" s="675">
        <v>0</v>
      </c>
      <c r="JN165" s="675">
        <v>32469</v>
      </c>
      <c r="JO165" s="675">
        <v>0</v>
      </c>
      <c r="JP165" s="675">
        <v>85.326000000000008</v>
      </c>
      <c r="JQ165" s="675">
        <v>0</v>
      </c>
      <c r="JR165" s="675">
        <v>0</v>
      </c>
      <c r="JS165" s="675">
        <v>793245</v>
      </c>
      <c r="JT165" s="675">
        <v>0</v>
      </c>
      <c r="JU165" s="675">
        <v>0</v>
      </c>
      <c r="JV165" s="675">
        <v>0</v>
      </c>
      <c r="JW165" s="675">
        <v>0</v>
      </c>
      <c r="JX165" s="675">
        <v>0</v>
      </c>
      <c r="JY165" s="675">
        <v>0</v>
      </c>
      <c r="JZ165" s="675">
        <v>0</v>
      </c>
      <c r="KA165" s="675">
        <v>0</v>
      </c>
      <c r="KB165" s="675">
        <v>0</v>
      </c>
      <c r="KC165" s="675">
        <v>0</v>
      </c>
      <c r="KD165" s="675">
        <v>0</v>
      </c>
      <c r="KE165" s="675">
        <v>7263</v>
      </c>
      <c r="KF165" s="675">
        <v>0</v>
      </c>
      <c r="KG165" s="675">
        <v>0</v>
      </c>
      <c r="KH165" s="675">
        <v>0</v>
      </c>
      <c r="KI165" s="675">
        <v>0</v>
      </c>
    </row>
    <row r="166" spans="1:295" ht="12.5" x14ac:dyDescent="0.25">
      <c r="A166" s="675">
        <v>35795</v>
      </c>
      <c r="B166" s="675">
        <v>101847</v>
      </c>
      <c r="C166" s="675">
        <v>7</v>
      </c>
      <c r="D166" s="675">
        <v>2022</v>
      </c>
      <c r="E166" s="675">
        <v>6160</v>
      </c>
      <c r="F166" s="675">
        <v>0</v>
      </c>
      <c r="G166" s="675">
        <v>440.34300000000002</v>
      </c>
      <c r="H166" s="675">
        <v>437.47200000000004</v>
      </c>
      <c r="I166" s="675">
        <v>437.47200000000004</v>
      </c>
      <c r="J166" s="675">
        <v>440.34300000000002</v>
      </c>
      <c r="K166" s="675">
        <v>0</v>
      </c>
      <c r="L166" s="675">
        <v>6160</v>
      </c>
      <c r="M166" s="675">
        <v>0</v>
      </c>
      <c r="N166" s="675">
        <v>0</v>
      </c>
      <c r="O166" s="675">
        <v>0</v>
      </c>
      <c r="P166" s="675">
        <v>450.71000000000004</v>
      </c>
      <c r="Q166" s="675">
        <v>0</v>
      </c>
      <c r="R166" s="675">
        <v>181378</v>
      </c>
      <c r="S166" s="675">
        <v>402.428</v>
      </c>
      <c r="T166" s="675">
        <v>0</v>
      </c>
      <c r="U166" s="675">
        <v>96453</v>
      </c>
      <c r="V166" s="675">
        <v>0</v>
      </c>
      <c r="W166" s="675">
        <v>0</v>
      </c>
      <c r="X166" s="675">
        <v>0</v>
      </c>
      <c r="Y166" s="675">
        <v>0</v>
      </c>
      <c r="Z166" s="675">
        <v>0</v>
      </c>
      <c r="AA166" s="675">
        <v>0</v>
      </c>
      <c r="AB166" s="675">
        <v>0</v>
      </c>
      <c r="AC166" s="675">
        <v>0</v>
      </c>
      <c r="AD166" s="675" t="s">
        <v>316</v>
      </c>
      <c r="AE166" s="675">
        <v>0</v>
      </c>
      <c r="AF166" s="675">
        <v>0</v>
      </c>
      <c r="AG166" s="675">
        <v>0</v>
      </c>
      <c r="AH166" s="675">
        <v>0</v>
      </c>
      <c r="AI166" s="675">
        <v>0</v>
      </c>
      <c r="AJ166" s="675">
        <v>6160</v>
      </c>
      <c r="AK166" s="675" t="s">
        <v>671</v>
      </c>
      <c r="AL166" s="675" t="s">
        <v>32</v>
      </c>
      <c r="AM166" s="675">
        <v>0</v>
      </c>
      <c r="AN166" s="675">
        <v>0</v>
      </c>
      <c r="AO166" s="675">
        <v>0</v>
      </c>
      <c r="AP166" s="675">
        <v>0</v>
      </c>
      <c r="AQ166" s="675">
        <v>0</v>
      </c>
      <c r="AR166" s="675">
        <v>0</v>
      </c>
      <c r="AS166" s="675">
        <v>0</v>
      </c>
      <c r="AT166" s="675">
        <v>0</v>
      </c>
      <c r="AU166" s="675">
        <v>0</v>
      </c>
      <c r="AV166" s="675">
        <v>0</v>
      </c>
      <c r="AW166" s="675">
        <v>4371570</v>
      </c>
      <c r="AX166" s="675">
        <v>4294622</v>
      </c>
      <c r="AY166" s="675">
        <v>2834218</v>
      </c>
      <c r="AZ166" s="675">
        <v>181378</v>
      </c>
      <c r="BA166" s="675">
        <v>0</v>
      </c>
      <c r="BB166" s="675">
        <v>0</v>
      </c>
      <c r="BC166" s="675">
        <v>0</v>
      </c>
      <c r="BD166" s="675">
        <v>0</v>
      </c>
      <c r="BE166" s="675">
        <v>0</v>
      </c>
      <c r="BF166" s="675">
        <v>3986608</v>
      </c>
      <c r="BG166" s="675">
        <v>0</v>
      </c>
      <c r="BH166" s="675">
        <v>0</v>
      </c>
      <c r="BI166" s="675">
        <v>0</v>
      </c>
      <c r="BJ166" s="675">
        <v>12</v>
      </c>
      <c r="BK166" s="675">
        <v>0</v>
      </c>
      <c r="BL166" s="675">
        <v>0</v>
      </c>
      <c r="BM166" s="675">
        <v>0</v>
      </c>
      <c r="BN166" s="675">
        <v>0</v>
      </c>
      <c r="BO166" s="675">
        <v>0</v>
      </c>
      <c r="BP166" s="675">
        <v>0</v>
      </c>
      <c r="BQ166" s="675">
        <v>703</v>
      </c>
      <c r="BR166" s="675">
        <v>0</v>
      </c>
      <c r="BS166" s="675">
        <v>0</v>
      </c>
      <c r="BT166" s="675">
        <v>0</v>
      </c>
      <c r="BU166" s="675">
        <v>0</v>
      </c>
      <c r="BV166" s="675">
        <v>0</v>
      </c>
      <c r="BW166" s="675">
        <v>0</v>
      </c>
      <c r="BX166" s="675">
        <v>0</v>
      </c>
      <c r="BY166" s="675">
        <v>0</v>
      </c>
      <c r="BZ166" s="675">
        <v>0</v>
      </c>
      <c r="CA166" s="675">
        <v>0</v>
      </c>
      <c r="CB166" s="675">
        <v>0</v>
      </c>
      <c r="CC166" s="675">
        <v>0</v>
      </c>
      <c r="CD166" s="675">
        <v>0</v>
      </c>
      <c r="CE166" s="675">
        <v>0</v>
      </c>
      <c r="CF166" s="675">
        <v>0</v>
      </c>
      <c r="CG166" s="675">
        <v>0</v>
      </c>
      <c r="CH166" s="675">
        <v>77745</v>
      </c>
      <c r="CI166" s="675">
        <v>0</v>
      </c>
      <c r="CJ166" s="675">
        <v>4</v>
      </c>
      <c r="CK166" s="675">
        <v>0</v>
      </c>
      <c r="CL166" s="675">
        <v>0</v>
      </c>
      <c r="CM166" s="675">
        <v>0</v>
      </c>
      <c r="CN166" s="675">
        <v>0</v>
      </c>
      <c r="CO166" s="675">
        <v>1</v>
      </c>
      <c r="CP166" s="675">
        <v>0</v>
      </c>
      <c r="CQ166" s="675">
        <v>0</v>
      </c>
      <c r="CR166" s="675">
        <v>450.34500000000003</v>
      </c>
      <c r="CS166" s="675">
        <v>0</v>
      </c>
      <c r="CT166" s="675">
        <v>0</v>
      </c>
      <c r="CU166" s="675">
        <v>0</v>
      </c>
      <c r="CV166" s="675">
        <v>0</v>
      </c>
      <c r="CW166" s="675">
        <v>0</v>
      </c>
      <c r="CX166" s="675">
        <v>0</v>
      </c>
      <c r="CY166" s="675">
        <v>0</v>
      </c>
      <c r="CZ166" s="675">
        <v>0</v>
      </c>
      <c r="DA166" s="675">
        <v>0</v>
      </c>
      <c r="DB166" s="675">
        <v>2694815</v>
      </c>
      <c r="DC166" s="675">
        <v>0</v>
      </c>
      <c r="DD166" s="675">
        <v>0</v>
      </c>
      <c r="DE166" s="675">
        <v>508121</v>
      </c>
      <c r="DF166" s="675">
        <v>508121</v>
      </c>
      <c r="DG166" s="675">
        <v>82.488</v>
      </c>
      <c r="DH166" s="675">
        <v>0</v>
      </c>
      <c r="DI166" s="675">
        <v>0</v>
      </c>
      <c r="DJ166" s="675">
        <v>0</v>
      </c>
      <c r="DK166" s="675">
        <v>2864</v>
      </c>
      <c r="DL166" s="675">
        <v>0</v>
      </c>
      <c r="DM166" s="675">
        <v>211891</v>
      </c>
      <c r="DN166" s="675">
        <v>797</v>
      </c>
      <c r="DO166" s="675">
        <v>0</v>
      </c>
      <c r="DP166" s="675">
        <v>0</v>
      </c>
      <c r="DQ166" s="675">
        <v>0</v>
      </c>
      <c r="DR166" s="675">
        <v>0</v>
      </c>
      <c r="DS166" s="675">
        <v>0</v>
      </c>
      <c r="DT166" s="675">
        <v>0</v>
      </c>
      <c r="DU166" s="675">
        <v>0</v>
      </c>
      <c r="DV166" s="675">
        <v>0</v>
      </c>
      <c r="DW166" s="675">
        <v>0</v>
      </c>
      <c r="DX166" s="675">
        <v>0</v>
      </c>
      <c r="DY166" s="675">
        <v>0</v>
      </c>
      <c r="DZ166" s="675">
        <v>0</v>
      </c>
      <c r="EA166" s="675">
        <v>0</v>
      </c>
      <c r="EB166" s="675">
        <v>0</v>
      </c>
      <c r="EC166" s="675">
        <v>21.95</v>
      </c>
      <c r="ED166" s="675">
        <v>155493</v>
      </c>
      <c r="EE166" s="675">
        <v>0</v>
      </c>
      <c r="EF166" s="675">
        <v>0</v>
      </c>
      <c r="EG166" s="675">
        <v>0</v>
      </c>
      <c r="EH166" s="675">
        <v>57195</v>
      </c>
      <c r="EI166" s="675">
        <v>0</v>
      </c>
      <c r="EJ166" s="675">
        <v>0</v>
      </c>
      <c r="EK166" s="675">
        <v>2.5350000000000001</v>
      </c>
      <c r="EL166" s="675">
        <v>0</v>
      </c>
      <c r="EM166" s="675">
        <v>0</v>
      </c>
      <c r="EN166" s="675">
        <v>0.33600000000000002</v>
      </c>
      <c r="EO166" s="675">
        <v>0</v>
      </c>
      <c r="EP166" s="675">
        <v>0</v>
      </c>
      <c r="EQ166" s="675">
        <v>2.871</v>
      </c>
      <c r="ER166" s="675">
        <v>0</v>
      </c>
      <c r="ES166" s="675">
        <v>9.2850000000000001</v>
      </c>
      <c r="ET166" s="675">
        <v>0</v>
      </c>
      <c r="EU166" s="675">
        <v>0</v>
      </c>
      <c r="EV166" s="675">
        <v>0</v>
      </c>
      <c r="EW166" s="675">
        <v>0</v>
      </c>
      <c r="EX166" s="675">
        <v>0</v>
      </c>
      <c r="EY166" s="675">
        <v>0</v>
      </c>
      <c r="EZ166" s="675">
        <v>3805230</v>
      </c>
      <c r="FA166" s="675">
        <v>0</v>
      </c>
      <c r="FB166" s="675">
        <v>3985811</v>
      </c>
      <c r="FC166" s="675">
        <v>0</v>
      </c>
      <c r="FD166" s="675">
        <v>0</v>
      </c>
      <c r="FE166" s="675">
        <v>405520</v>
      </c>
      <c r="FF166" s="675">
        <v>83872</v>
      </c>
      <c r="FG166" s="675">
        <v>6.3574999999999993E-2</v>
      </c>
      <c r="FH166" s="675">
        <v>2.6297999999999998E-2</v>
      </c>
      <c r="FI166" s="675">
        <v>0</v>
      </c>
      <c r="FJ166" s="675">
        <v>0</v>
      </c>
      <c r="FK166" s="675">
        <v>647.18000000000006</v>
      </c>
      <c r="FL166" s="675">
        <v>4552948</v>
      </c>
      <c r="FM166" s="675">
        <v>0</v>
      </c>
      <c r="FN166" s="675">
        <v>0</v>
      </c>
      <c r="FO166" s="675">
        <v>0</v>
      </c>
      <c r="FP166" s="675">
        <v>0</v>
      </c>
      <c r="FQ166" s="675">
        <v>0</v>
      </c>
      <c r="FR166" s="675">
        <v>0</v>
      </c>
      <c r="FS166" s="675">
        <v>0</v>
      </c>
      <c r="FT166" s="675">
        <v>0</v>
      </c>
      <c r="FU166" s="675">
        <v>0</v>
      </c>
      <c r="FV166" s="675">
        <v>0</v>
      </c>
      <c r="FW166" s="675">
        <v>0</v>
      </c>
      <c r="FX166" s="675">
        <v>0</v>
      </c>
      <c r="FY166" s="675">
        <v>0</v>
      </c>
      <c r="FZ166" s="675">
        <v>0</v>
      </c>
      <c r="GA166" s="675">
        <v>0</v>
      </c>
      <c r="GB166" s="675">
        <v>0</v>
      </c>
      <c r="GC166" s="675">
        <v>0</v>
      </c>
      <c r="GD166" s="675">
        <v>0</v>
      </c>
      <c r="GE166" s="675">
        <v>0</v>
      </c>
      <c r="GF166" s="675">
        <v>0</v>
      </c>
      <c r="GG166" s="675">
        <v>0</v>
      </c>
      <c r="GH166" s="675">
        <v>0</v>
      </c>
      <c r="GI166" s="675">
        <v>0</v>
      </c>
      <c r="GJ166" s="675">
        <v>0</v>
      </c>
      <c r="GK166" s="675">
        <v>0</v>
      </c>
      <c r="GL166" s="675">
        <v>0</v>
      </c>
      <c r="GM166" s="675">
        <v>0</v>
      </c>
      <c r="GN166" s="675">
        <v>0</v>
      </c>
      <c r="GO166" s="675">
        <v>0</v>
      </c>
      <c r="GP166" s="675">
        <v>0</v>
      </c>
      <c r="GQ166" s="675">
        <v>0</v>
      </c>
      <c r="GR166" s="675">
        <v>0</v>
      </c>
      <c r="GS166" s="675">
        <v>0</v>
      </c>
      <c r="GT166" s="675">
        <v>0</v>
      </c>
      <c r="GU166" s="675">
        <v>0</v>
      </c>
      <c r="GV166" s="675">
        <v>0</v>
      </c>
      <c r="GW166" s="675">
        <v>0</v>
      </c>
      <c r="GX166" s="675">
        <v>0</v>
      </c>
      <c r="GY166" s="675">
        <v>0</v>
      </c>
      <c r="GZ166" s="675">
        <v>0</v>
      </c>
      <c r="HA166" s="675">
        <v>0</v>
      </c>
      <c r="HB166" s="675">
        <v>308877260</v>
      </c>
      <c r="HC166" s="675">
        <v>4.4138999999999998E-2</v>
      </c>
      <c r="HD166" s="675">
        <v>77745</v>
      </c>
      <c r="HE166" s="675">
        <v>0</v>
      </c>
      <c r="HF166" s="675">
        <v>482532</v>
      </c>
      <c r="HG166" s="675">
        <v>0</v>
      </c>
      <c r="HH166" s="675">
        <v>84172</v>
      </c>
      <c r="HI166" s="675">
        <v>0</v>
      </c>
      <c r="HJ166" s="675">
        <v>4280</v>
      </c>
      <c r="HK166" s="675">
        <v>0</v>
      </c>
      <c r="HL166" s="675">
        <v>0</v>
      </c>
      <c r="HM166" s="675">
        <v>0</v>
      </c>
      <c r="HN166" s="675">
        <v>0</v>
      </c>
      <c r="HO166" s="675">
        <v>0</v>
      </c>
      <c r="HP166" s="675">
        <v>0</v>
      </c>
      <c r="HQ166" s="675">
        <v>0</v>
      </c>
      <c r="HR166" s="675">
        <v>0</v>
      </c>
      <c r="HS166" s="675">
        <v>3804433</v>
      </c>
      <c r="HT166" s="675">
        <v>83872</v>
      </c>
      <c r="HU166" s="675">
        <v>0</v>
      </c>
      <c r="HV166" s="675">
        <v>0</v>
      </c>
      <c r="HW166" s="675">
        <v>0</v>
      </c>
      <c r="HX166" s="675">
        <v>46</v>
      </c>
      <c r="HY166" s="675">
        <v>51</v>
      </c>
      <c r="HZ166" s="675">
        <v>79</v>
      </c>
      <c r="IA166" s="675">
        <v>56</v>
      </c>
      <c r="IB166" s="675">
        <v>93</v>
      </c>
      <c r="IC166" s="675">
        <v>325</v>
      </c>
      <c r="ID166" s="675">
        <v>0</v>
      </c>
      <c r="IE166" s="675">
        <v>0</v>
      </c>
      <c r="IF166" s="675">
        <v>0</v>
      </c>
      <c r="IG166" s="675">
        <v>0</v>
      </c>
      <c r="IH166" s="675">
        <v>136.643</v>
      </c>
      <c r="II166" s="675">
        <v>0</v>
      </c>
      <c r="IJ166" s="675">
        <v>0</v>
      </c>
      <c r="IK166" s="675">
        <v>0</v>
      </c>
      <c r="IL166" s="675">
        <v>0</v>
      </c>
      <c r="IM166" s="675">
        <v>0</v>
      </c>
      <c r="IN166" s="675">
        <v>0</v>
      </c>
      <c r="IO166" s="675">
        <v>0</v>
      </c>
      <c r="IP166" s="675">
        <v>0</v>
      </c>
      <c r="IQ166" s="675">
        <v>0</v>
      </c>
      <c r="IR166" s="675">
        <v>0</v>
      </c>
      <c r="IS166" s="675">
        <v>0</v>
      </c>
      <c r="IT166" s="675">
        <v>0</v>
      </c>
      <c r="IU166" s="675">
        <v>0</v>
      </c>
      <c r="IV166" s="675">
        <v>0</v>
      </c>
      <c r="IW166" s="675">
        <v>6160</v>
      </c>
      <c r="IX166" s="675">
        <v>0</v>
      </c>
      <c r="IY166" s="675">
        <v>0</v>
      </c>
      <c r="IZ166" s="675">
        <v>0</v>
      </c>
      <c r="JA166" s="675">
        <v>0</v>
      </c>
      <c r="JB166" s="675">
        <v>0</v>
      </c>
      <c r="JC166" s="675">
        <v>0</v>
      </c>
      <c r="JD166" s="675">
        <v>0</v>
      </c>
      <c r="JE166" s="675">
        <v>0</v>
      </c>
      <c r="JF166" s="675">
        <v>0</v>
      </c>
      <c r="JG166" s="675">
        <v>0</v>
      </c>
      <c r="JH166" s="675">
        <v>0</v>
      </c>
      <c r="JI166" s="675">
        <v>0</v>
      </c>
      <c r="JJ166" s="675">
        <v>0</v>
      </c>
      <c r="JK166" s="675">
        <v>0</v>
      </c>
      <c r="JL166" s="675">
        <v>0</v>
      </c>
      <c r="JM166" s="675">
        <v>0</v>
      </c>
      <c r="JN166" s="675">
        <v>32469</v>
      </c>
      <c r="JO166" s="675">
        <v>0</v>
      </c>
      <c r="JP166" s="675">
        <v>0</v>
      </c>
      <c r="JQ166" s="675">
        <v>0</v>
      </c>
      <c r="JR166" s="675">
        <v>0</v>
      </c>
      <c r="JS166" s="675">
        <v>0</v>
      </c>
      <c r="JT166" s="675">
        <v>0</v>
      </c>
      <c r="JU166" s="675">
        <v>0</v>
      </c>
      <c r="JV166" s="675">
        <v>0</v>
      </c>
      <c r="JW166" s="675">
        <v>0</v>
      </c>
      <c r="JX166" s="675">
        <v>0</v>
      </c>
      <c r="JY166" s="675">
        <v>0</v>
      </c>
      <c r="JZ166" s="675">
        <v>0</v>
      </c>
      <c r="KA166" s="675">
        <v>0</v>
      </c>
      <c r="KB166" s="675">
        <v>0</v>
      </c>
      <c r="KC166" s="675">
        <v>0</v>
      </c>
      <c r="KD166" s="675">
        <v>0</v>
      </c>
      <c r="KE166" s="675">
        <v>7263</v>
      </c>
      <c r="KF166" s="675">
        <v>0</v>
      </c>
      <c r="KG166" s="675">
        <v>0</v>
      </c>
      <c r="KH166" s="675">
        <v>0</v>
      </c>
      <c r="KI166" s="675">
        <v>0</v>
      </c>
    </row>
    <row r="167" spans="1:295" ht="12.5" x14ac:dyDescent="0.25">
      <c r="A167" s="675">
        <v>35795</v>
      </c>
      <c r="B167" s="675">
        <v>57848</v>
      </c>
      <c r="C167" s="675">
        <v>7</v>
      </c>
      <c r="D167" s="675">
        <v>2022</v>
      </c>
      <c r="E167" s="675">
        <v>6160</v>
      </c>
      <c r="F167" s="675">
        <v>0</v>
      </c>
      <c r="G167" s="675">
        <v>19329.766</v>
      </c>
      <c r="H167" s="675">
        <v>17904.294000000002</v>
      </c>
      <c r="I167" s="675">
        <v>17904.294000000002</v>
      </c>
      <c r="J167" s="675">
        <v>19329.766</v>
      </c>
      <c r="K167" s="675">
        <v>0</v>
      </c>
      <c r="L167" s="675">
        <v>6160</v>
      </c>
      <c r="M167" s="675">
        <v>0</v>
      </c>
      <c r="N167" s="675">
        <v>0</v>
      </c>
      <c r="O167" s="675">
        <v>0</v>
      </c>
      <c r="P167" s="675">
        <v>19751.718000000001</v>
      </c>
      <c r="Q167" s="675">
        <v>0</v>
      </c>
      <c r="R167" s="675">
        <v>7948644</v>
      </c>
      <c r="S167" s="675">
        <v>402.428</v>
      </c>
      <c r="T167" s="675">
        <v>0</v>
      </c>
      <c r="U167" s="675">
        <v>4226892</v>
      </c>
      <c r="V167" s="675">
        <v>6518.05</v>
      </c>
      <c r="W167" s="675">
        <v>4266333</v>
      </c>
      <c r="X167" s="675">
        <v>4266333</v>
      </c>
      <c r="Y167" s="675">
        <v>0</v>
      </c>
      <c r="Z167" s="675">
        <v>0</v>
      </c>
      <c r="AA167" s="675">
        <v>0</v>
      </c>
      <c r="AB167" s="675">
        <v>0</v>
      </c>
      <c r="AC167" s="675">
        <v>0</v>
      </c>
      <c r="AD167" s="675" t="s">
        <v>316</v>
      </c>
      <c r="AE167" s="675">
        <v>0</v>
      </c>
      <c r="AF167" s="675">
        <v>0</v>
      </c>
      <c r="AG167" s="675">
        <v>0</v>
      </c>
      <c r="AH167" s="675">
        <v>0</v>
      </c>
      <c r="AI167" s="675">
        <v>0</v>
      </c>
      <c r="AJ167" s="675">
        <v>6160</v>
      </c>
      <c r="AK167" s="675" t="s">
        <v>671</v>
      </c>
      <c r="AL167" s="675" t="s">
        <v>464</v>
      </c>
      <c r="AM167" s="675">
        <v>0</v>
      </c>
      <c r="AN167" s="675">
        <v>0</v>
      </c>
      <c r="AO167" s="675">
        <v>0</v>
      </c>
      <c r="AP167" s="675">
        <v>0</v>
      </c>
      <c r="AQ167" s="675">
        <v>0</v>
      </c>
      <c r="AR167" s="675">
        <v>0</v>
      </c>
      <c r="AS167" s="675">
        <v>0</v>
      </c>
      <c r="AT167" s="675">
        <v>0</v>
      </c>
      <c r="AU167" s="675">
        <v>0</v>
      </c>
      <c r="AV167" s="675">
        <v>-346</v>
      </c>
      <c r="AW167" s="675">
        <v>195272266</v>
      </c>
      <c r="AX167" s="675">
        <v>191892216</v>
      </c>
      <c r="AY167" s="675">
        <v>129490854</v>
      </c>
      <c r="AZ167" s="675">
        <v>7948644</v>
      </c>
      <c r="BA167" s="675">
        <v>0</v>
      </c>
      <c r="BB167" s="675">
        <v>403601</v>
      </c>
      <c r="BC167" s="675">
        <v>400990</v>
      </c>
      <c r="BD167" s="675">
        <v>936</v>
      </c>
      <c r="BE167" s="675">
        <v>2611</v>
      </c>
      <c r="BF167" s="675">
        <v>177511206</v>
      </c>
      <c r="BG167" s="675">
        <v>0</v>
      </c>
      <c r="BH167" s="675">
        <v>0</v>
      </c>
      <c r="BI167" s="675">
        <v>0</v>
      </c>
      <c r="BJ167" s="675">
        <v>12</v>
      </c>
      <c r="BK167" s="675">
        <v>0</v>
      </c>
      <c r="BL167" s="675">
        <v>0</v>
      </c>
      <c r="BM167" s="675">
        <v>0</v>
      </c>
      <c r="BN167" s="675">
        <v>0</v>
      </c>
      <c r="BO167" s="675">
        <v>0</v>
      </c>
      <c r="BP167" s="675">
        <v>0</v>
      </c>
      <c r="BQ167" s="675">
        <v>0</v>
      </c>
      <c r="BR167" s="675">
        <v>0</v>
      </c>
      <c r="BS167" s="675">
        <v>0</v>
      </c>
      <c r="BT167" s="675">
        <v>0</v>
      </c>
      <c r="BU167" s="675">
        <v>0</v>
      </c>
      <c r="BV167" s="675">
        <v>0</v>
      </c>
      <c r="BW167" s="675">
        <v>0</v>
      </c>
      <c r="BX167" s="675">
        <v>0</v>
      </c>
      <c r="BY167" s="675">
        <v>0</v>
      </c>
      <c r="BZ167" s="675">
        <v>0</v>
      </c>
      <c r="CA167" s="675">
        <v>537.90899999999999</v>
      </c>
      <c r="CB167" s="675">
        <v>458714</v>
      </c>
      <c r="CC167" s="675">
        <v>0</v>
      </c>
      <c r="CD167" s="675">
        <v>0</v>
      </c>
      <c r="CE167" s="675">
        <v>0</v>
      </c>
      <c r="CF167" s="675">
        <v>0</v>
      </c>
      <c r="CG167" s="675">
        <v>0</v>
      </c>
      <c r="CH167" s="675">
        <v>3412776</v>
      </c>
      <c r="CI167" s="675">
        <v>0</v>
      </c>
      <c r="CJ167" s="675">
        <v>4</v>
      </c>
      <c r="CK167" s="675">
        <v>0</v>
      </c>
      <c r="CL167" s="675">
        <v>0</v>
      </c>
      <c r="CM167" s="675">
        <v>0</v>
      </c>
      <c r="CN167" s="675">
        <v>0</v>
      </c>
      <c r="CO167" s="675">
        <v>1</v>
      </c>
      <c r="CP167" s="675">
        <v>0.24200000000000002</v>
      </c>
      <c r="CQ167" s="675">
        <v>0</v>
      </c>
      <c r="CR167" s="675">
        <v>19932.914000000001</v>
      </c>
      <c r="CS167" s="675">
        <v>0</v>
      </c>
      <c r="CT167" s="675">
        <v>0</v>
      </c>
      <c r="CU167" s="675">
        <v>0</v>
      </c>
      <c r="CV167" s="675">
        <v>0</v>
      </c>
      <c r="CW167" s="675">
        <v>0</v>
      </c>
      <c r="CX167" s="675">
        <v>0</v>
      </c>
      <c r="CY167" s="675">
        <v>0</v>
      </c>
      <c r="CZ167" s="675">
        <v>0</v>
      </c>
      <c r="DA167" s="675">
        <v>0</v>
      </c>
      <c r="DB167" s="675">
        <v>110289939</v>
      </c>
      <c r="DC167" s="675">
        <v>0</v>
      </c>
      <c r="DD167" s="675">
        <v>0</v>
      </c>
      <c r="DE167" s="675">
        <v>19356247</v>
      </c>
      <c r="DF167" s="675">
        <v>19359840</v>
      </c>
      <c r="DG167" s="675">
        <v>3142.2630000000004</v>
      </c>
      <c r="DH167" s="675">
        <v>0</v>
      </c>
      <c r="DI167" s="675">
        <v>3593</v>
      </c>
      <c r="DJ167" s="675">
        <v>0</v>
      </c>
      <c r="DK167" s="675">
        <v>0</v>
      </c>
      <c r="DL167" s="675">
        <v>0</v>
      </c>
      <c r="DM167" s="675">
        <v>8005417</v>
      </c>
      <c r="DN167" s="675">
        <v>30115</v>
      </c>
      <c r="DO167" s="675">
        <v>0</v>
      </c>
      <c r="DP167" s="675">
        <v>0</v>
      </c>
      <c r="DQ167" s="675">
        <v>0</v>
      </c>
      <c r="DR167" s="675">
        <v>0</v>
      </c>
      <c r="DS167" s="675">
        <v>0</v>
      </c>
      <c r="DT167" s="675">
        <v>0</v>
      </c>
      <c r="DU167" s="675">
        <v>0</v>
      </c>
      <c r="DV167" s="675">
        <v>0</v>
      </c>
      <c r="DW167" s="675">
        <v>0</v>
      </c>
      <c r="DX167" s="675">
        <v>0</v>
      </c>
      <c r="DY167" s="675">
        <v>0</v>
      </c>
      <c r="DZ167" s="675">
        <v>0</v>
      </c>
      <c r="EA167" s="675">
        <v>5.3999999999999999E-2</v>
      </c>
      <c r="EB167" s="675">
        <v>0</v>
      </c>
      <c r="EC167" s="675">
        <v>255.69</v>
      </c>
      <c r="ED167" s="675">
        <v>1811300</v>
      </c>
      <c r="EE167" s="675">
        <v>0</v>
      </c>
      <c r="EF167" s="675">
        <v>0</v>
      </c>
      <c r="EG167" s="675">
        <v>0</v>
      </c>
      <c r="EH167" s="675">
        <v>6224232</v>
      </c>
      <c r="EI167" s="675">
        <v>0</v>
      </c>
      <c r="EJ167" s="675">
        <v>0</v>
      </c>
      <c r="EK167" s="675">
        <v>244.19300000000001</v>
      </c>
      <c r="EL167" s="675">
        <v>0</v>
      </c>
      <c r="EM167" s="675">
        <v>48.411000000000001</v>
      </c>
      <c r="EN167" s="675">
        <v>26.47</v>
      </c>
      <c r="EO167" s="675">
        <v>0</v>
      </c>
      <c r="EP167" s="675">
        <v>0</v>
      </c>
      <c r="EQ167" s="675">
        <v>319.12800000000004</v>
      </c>
      <c r="ER167" s="675">
        <v>0</v>
      </c>
      <c r="ES167" s="675">
        <v>1010.432</v>
      </c>
      <c r="ET167" s="675">
        <v>0</v>
      </c>
      <c r="EU167" s="675">
        <v>0</v>
      </c>
      <c r="EV167" s="675">
        <v>0</v>
      </c>
      <c r="EW167" s="675">
        <v>0</v>
      </c>
      <c r="EX167" s="675">
        <v>0</v>
      </c>
      <c r="EY167" s="675">
        <v>0</v>
      </c>
      <c r="EZ167" s="675">
        <v>170101123</v>
      </c>
      <c r="FA167" s="675">
        <v>0</v>
      </c>
      <c r="FB167" s="675">
        <v>178017041</v>
      </c>
      <c r="FC167" s="675">
        <v>0</v>
      </c>
      <c r="FD167" s="675">
        <v>0</v>
      </c>
      <c r="FE167" s="675">
        <v>18056524</v>
      </c>
      <c r="FF167" s="675">
        <v>3734569</v>
      </c>
      <c r="FG167" s="675">
        <v>6.3574999999999993E-2</v>
      </c>
      <c r="FH167" s="675">
        <v>2.6297999999999998E-2</v>
      </c>
      <c r="FI167" s="675">
        <v>0</v>
      </c>
      <c r="FJ167" s="675">
        <v>0</v>
      </c>
      <c r="FK167" s="675">
        <v>28816.887999999999</v>
      </c>
      <c r="FL167" s="675">
        <v>203220910</v>
      </c>
      <c r="FM167" s="675">
        <v>0</v>
      </c>
      <c r="FN167" s="675">
        <v>0</v>
      </c>
      <c r="FO167" s="675">
        <v>22392</v>
      </c>
      <c r="FP167" s="675">
        <v>0</v>
      </c>
      <c r="FQ167" s="675">
        <v>22392</v>
      </c>
      <c r="FR167" s="675">
        <v>22392</v>
      </c>
      <c r="FS167" s="675">
        <v>0</v>
      </c>
      <c r="FT167" s="675">
        <v>0</v>
      </c>
      <c r="FU167" s="675">
        <v>0.4</v>
      </c>
      <c r="FV167" s="675">
        <v>0</v>
      </c>
      <c r="FW167" s="675">
        <v>0</v>
      </c>
      <c r="FX167" s="675">
        <v>0</v>
      </c>
      <c r="FY167" s="675">
        <v>0</v>
      </c>
      <c r="FZ167" s="675">
        <v>0</v>
      </c>
      <c r="GA167" s="675">
        <v>0</v>
      </c>
      <c r="GB167" s="675">
        <v>10761733</v>
      </c>
      <c r="GC167" s="675">
        <v>10761733</v>
      </c>
      <c r="GD167" s="675">
        <v>1106.3440000000001</v>
      </c>
      <c r="GE167" s="675">
        <v>0</v>
      </c>
      <c r="GF167" s="675">
        <v>0</v>
      </c>
      <c r="GG167" s="675">
        <v>0</v>
      </c>
      <c r="GH167" s="675">
        <v>0</v>
      </c>
      <c r="GI167" s="675">
        <v>0</v>
      </c>
      <c r="GJ167" s="675">
        <v>0</v>
      </c>
      <c r="GK167" s="675">
        <v>0</v>
      </c>
      <c r="GL167" s="675">
        <v>0</v>
      </c>
      <c r="GM167" s="675">
        <v>0</v>
      </c>
      <c r="GN167" s="675">
        <v>0</v>
      </c>
      <c r="GO167" s="675">
        <v>0</v>
      </c>
      <c r="GP167" s="675">
        <v>0</v>
      </c>
      <c r="GQ167" s="675">
        <v>0</v>
      </c>
      <c r="GR167" s="675">
        <v>0</v>
      </c>
      <c r="GS167" s="675">
        <v>0</v>
      </c>
      <c r="GT167" s="675">
        <v>0</v>
      </c>
      <c r="GU167" s="675">
        <v>0</v>
      </c>
      <c r="GV167" s="675">
        <v>0</v>
      </c>
      <c r="GW167" s="675">
        <v>0</v>
      </c>
      <c r="GX167" s="675">
        <v>0</v>
      </c>
      <c r="GY167" s="675">
        <v>0</v>
      </c>
      <c r="GZ167" s="675">
        <v>0</v>
      </c>
      <c r="HA167" s="675">
        <v>0</v>
      </c>
      <c r="HB167" s="675">
        <v>308877260</v>
      </c>
      <c r="HC167" s="675">
        <v>4.4138999999999998E-2</v>
      </c>
      <c r="HD167" s="675">
        <v>3412776</v>
      </c>
      <c r="HE167" s="675">
        <v>0</v>
      </c>
      <c r="HF167" s="675">
        <v>19748436</v>
      </c>
      <c r="HG167" s="675">
        <v>153999</v>
      </c>
      <c r="HH167" s="675">
        <v>3990757</v>
      </c>
      <c r="HI167" s="675">
        <v>0</v>
      </c>
      <c r="HJ167" s="675">
        <v>187885</v>
      </c>
      <c r="HK167" s="675">
        <v>38880</v>
      </c>
      <c r="HL167" s="675">
        <v>18575</v>
      </c>
      <c r="HM167" s="675">
        <v>55000</v>
      </c>
      <c r="HN167" s="675">
        <v>258151</v>
      </c>
      <c r="HO167" s="675">
        <v>0</v>
      </c>
      <c r="HP167" s="675">
        <v>0</v>
      </c>
      <c r="HQ167" s="675">
        <v>0</v>
      </c>
      <c r="HR167" s="675">
        <v>0</v>
      </c>
      <c r="HS167" s="675">
        <v>170068397</v>
      </c>
      <c r="HT167" s="675">
        <v>3734569</v>
      </c>
      <c r="HU167" s="675">
        <v>0</v>
      </c>
      <c r="HV167" s="675">
        <v>0</v>
      </c>
      <c r="HW167" s="675">
        <v>0</v>
      </c>
      <c r="HX167" s="675">
        <v>2635</v>
      </c>
      <c r="HY167" s="675">
        <v>2827</v>
      </c>
      <c r="HZ167" s="675">
        <v>2597</v>
      </c>
      <c r="IA167" s="675">
        <v>2308</v>
      </c>
      <c r="IB167" s="675">
        <v>2265</v>
      </c>
      <c r="IC167" s="675">
        <v>12632</v>
      </c>
      <c r="ID167" s="675">
        <v>0</v>
      </c>
      <c r="IE167" s="675">
        <v>157.999</v>
      </c>
      <c r="IF167" s="675">
        <v>341.7</v>
      </c>
      <c r="IG167" s="675">
        <v>250</v>
      </c>
      <c r="IH167" s="675">
        <v>6478.5320000000002</v>
      </c>
      <c r="II167" s="675">
        <v>0</v>
      </c>
      <c r="IJ167" s="675">
        <v>7017.7490000000007</v>
      </c>
      <c r="IK167" s="675">
        <v>0</v>
      </c>
      <c r="IL167" s="675">
        <v>11</v>
      </c>
      <c r="IM167" s="675">
        <v>0</v>
      </c>
      <c r="IN167" s="675">
        <v>0</v>
      </c>
      <c r="IO167" s="675">
        <v>11</v>
      </c>
      <c r="IP167" s="675">
        <v>0</v>
      </c>
      <c r="IQ167" s="675">
        <v>6518.05</v>
      </c>
      <c r="IR167" s="675">
        <v>4015100</v>
      </c>
      <c r="IS167" s="675">
        <v>0</v>
      </c>
      <c r="IT167" s="675">
        <v>55000</v>
      </c>
      <c r="IU167" s="675">
        <v>0</v>
      </c>
      <c r="IV167" s="675">
        <v>0</v>
      </c>
      <c r="IW167" s="675">
        <v>6160</v>
      </c>
      <c r="IX167" s="675">
        <v>145990</v>
      </c>
      <c r="IY167" s="675">
        <v>105243</v>
      </c>
      <c r="IZ167" s="675">
        <v>0</v>
      </c>
      <c r="JA167" s="675">
        <v>0</v>
      </c>
      <c r="JB167" s="675">
        <v>9</v>
      </c>
      <c r="JC167" s="675">
        <v>155418</v>
      </c>
      <c r="JD167" s="675">
        <v>7</v>
      </c>
      <c r="JE167" s="675">
        <v>70644</v>
      </c>
      <c r="JF167" s="675">
        <v>7</v>
      </c>
      <c r="JG167" s="675">
        <v>31089</v>
      </c>
      <c r="JH167" s="675">
        <v>1000</v>
      </c>
      <c r="JI167" s="675">
        <v>0</v>
      </c>
      <c r="JJ167" s="675">
        <v>0</v>
      </c>
      <c r="JK167" s="675">
        <v>0</v>
      </c>
      <c r="JL167" s="675">
        <v>0</v>
      </c>
      <c r="JM167" s="675">
        <v>0</v>
      </c>
      <c r="JN167" s="675">
        <v>32469</v>
      </c>
      <c r="JO167" s="675">
        <v>107.07100000000001</v>
      </c>
      <c r="JP167" s="675">
        <v>552.57500000000005</v>
      </c>
      <c r="JQ167" s="675">
        <v>446.69800000000004</v>
      </c>
      <c r="JR167" s="675">
        <v>855422</v>
      </c>
      <c r="JS167" s="675">
        <v>5137091</v>
      </c>
      <c r="JT167" s="675">
        <v>4769220</v>
      </c>
      <c r="JU167" s="675">
        <v>403601</v>
      </c>
      <c r="JV167" s="675">
        <v>0</v>
      </c>
      <c r="JW167" s="675">
        <v>0</v>
      </c>
      <c r="JX167" s="675">
        <v>0</v>
      </c>
      <c r="JY167" s="675">
        <v>0</v>
      </c>
      <c r="JZ167" s="675">
        <v>0</v>
      </c>
      <c r="KA167" s="675">
        <v>0</v>
      </c>
      <c r="KB167" s="675">
        <v>0</v>
      </c>
      <c r="KC167" s="675">
        <v>0</v>
      </c>
      <c r="KD167" s="675">
        <v>403601</v>
      </c>
      <c r="KE167" s="675">
        <v>7263</v>
      </c>
      <c r="KF167" s="675">
        <v>0</v>
      </c>
      <c r="KG167" s="675">
        <v>0</v>
      </c>
      <c r="KH167" s="675">
        <v>0</v>
      </c>
      <c r="KI167" s="675">
        <v>0</v>
      </c>
    </row>
    <row r="168" spans="1:295" ht="12.5" x14ac:dyDescent="0.25">
      <c r="A168" s="675">
        <v>35795</v>
      </c>
      <c r="B168" s="675">
        <v>101849</v>
      </c>
      <c r="C168" s="675">
        <v>7</v>
      </c>
      <c r="D168" s="675">
        <v>2022</v>
      </c>
      <c r="E168" s="675">
        <v>6160</v>
      </c>
      <c r="F168" s="675">
        <v>0</v>
      </c>
      <c r="G168" s="675">
        <v>195.45700000000002</v>
      </c>
      <c r="H168" s="675">
        <v>195.31300000000002</v>
      </c>
      <c r="I168" s="675">
        <v>195.31300000000002</v>
      </c>
      <c r="J168" s="675">
        <v>195.45700000000002</v>
      </c>
      <c r="K168" s="675">
        <v>0</v>
      </c>
      <c r="L168" s="675">
        <v>6160</v>
      </c>
      <c r="M168" s="675">
        <v>0</v>
      </c>
      <c r="N168" s="675">
        <v>0</v>
      </c>
      <c r="O168" s="675">
        <v>0</v>
      </c>
      <c r="P168" s="675">
        <v>216.00800000000001</v>
      </c>
      <c r="Q168" s="675">
        <v>0</v>
      </c>
      <c r="R168" s="675">
        <v>86928</v>
      </c>
      <c r="S168" s="675">
        <v>402.428</v>
      </c>
      <c r="T168" s="675">
        <v>0</v>
      </c>
      <c r="U168" s="675">
        <v>46226</v>
      </c>
      <c r="V168" s="675">
        <v>65.741</v>
      </c>
      <c r="W168" s="675">
        <v>40496</v>
      </c>
      <c r="X168" s="675">
        <v>40496</v>
      </c>
      <c r="Y168" s="675">
        <v>0</v>
      </c>
      <c r="Z168" s="675">
        <v>0</v>
      </c>
      <c r="AA168" s="675">
        <v>0</v>
      </c>
      <c r="AB168" s="675">
        <v>0</v>
      </c>
      <c r="AC168" s="675">
        <v>0</v>
      </c>
      <c r="AD168" s="675" t="s">
        <v>316</v>
      </c>
      <c r="AE168" s="675">
        <v>0</v>
      </c>
      <c r="AF168" s="675">
        <v>0</v>
      </c>
      <c r="AG168" s="675">
        <v>0</v>
      </c>
      <c r="AH168" s="675">
        <v>0</v>
      </c>
      <c r="AI168" s="675">
        <v>0</v>
      </c>
      <c r="AJ168" s="675">
        <v>6160</v>
      </c>
      <c r="AK168" s="675" t="s">
        <v>671</v>
      </c>
      <c r="AL168" s="675" t="s">
        <v>14</v>
      </c>
      <c r="AM168" s="675">
        <v>0</v>
      </c>
      <c r="AN168" s="675">
        <v>0</v>
      </c>
      <c r="AO168" s="675">
        <v>0</v>
      </c>
      <c r="AP168" s="675">
        <v>0</v>
      </c>
      <c r="AQ168" s="675">
        <v>0</v>
      </c>
      <c r="AR168" s="675">
        <v>0</v>
      </c>
      <c r="AS168" s="675">
        <v>0</v>
      </c>
      <c r="AT168" s="675">
        <v>0</v>
      </c>
      <c r="AU168" s="675">
        <v>0</v>
      </c>
      <c r="AV168" s="675">
        <v>-60815</v>
      </c>
      <c r="AW168" s="675">
        <v>2018649</v>
      </c>
      <c r="AX168" s="675">
        <v>1984157</v>
      </c>
      <c r="AY168" s="675">
        <v>1335363</v>
      </c>
      <c r="AZ168" s="675">
        <v>86928</v>
      </c>
      <c r="BA168" s="675">
        <v>0</v>
      </c>
      <c r="BB168" s="675">
        <v>0</v>
      </c>
      <c r="BC168" s="675">
        <v>0</v>
      </c>
      <c r="BD168" s="675">
        <v>0</v>
      </c>
      <c r="BE168" s="675">
        <v>0</v>
      </c>
      <c r="BF168" s="675">
        <v>1844639</v>
      </c>
      <c r="BG168" s="675">
        <v>0</v>
      </c>
      <c r="BH168" s="675">
        <v>0</v>
      </c>
      <c r="BI168" s="675">
        <v>0</v>
      </c>
      <c r="BJ168" s="675">
        <v>12</v>
      </c>
      <c r="BK168" s="675">
        <v>0</v>
      </c>
      <c r="BL168" s="675">
        <v>0</v>
      </c>
      <c r="BM168" s="675">
        <v>0</v>
      </c>
      <c r="BN168" s="675">
        <v>0</v>
      </c>
      <c r="BO168" s="675">
        <v>0</v>
      </c>
      <c r="BP168" s="675">
        <v>0</v>
      </c>
      <c r="BQ168" s="675">
        <v>740</v>
      </c>
      <c r="BR168" s="675">
        <v>0</v>
      </c>
      <c r="BS168" s="675">
        <v>0</v>
      </c>
      <c r="BT168" s="675">
        <v>0</v>
      </c>
      <c r="BU168" s="675">
        <v>0</v>
      </c>
      <c r="BV168" s="675">
        <v>0</v>
      </c>
      <c r="BW168" s="675">
        <v>0</v>
      </c>
      <c r="BX168" s="675">
        <v>0</v>
      </c>
      <c r="BY168" s="675">
        <v>0</v>
      </c>
      <c r="BZ168" s="675">
        <v>0</v>
      </c>
      <c r="CA168" s="675">
        <v>0</v>
      </c>
      <c r="CB168" s="675">
        <v>0</v>
      </c>
      <c r="CC168" s="675">
        <v>0</v>
      </c>
      <c r="CD168" s="675">
        <v>0</v>
      </c>
      <c r="CE168" s="675">
        <v>0</v>
      </c>
      <c r="CF168" s="675">
        <v>0</v>
      </c>
      <c r="CG168" s="675">
        <v>0</v>
      </c>
      <c r="CH168" s="675">
        <v>34509</v>
      </c>
      <c r="CI168" s="675">
        <v>0</v>
      </c>
      <c r="CJ168" s="675">
        <v>4</v>
      </c>
      <c r="CK168" s="675">
        <v>0</v>
      </c>
      <c r="CL168" s="675">
        <v>0</v>
      </c>
      <c r="CM168" s="675">
        <v>0</v>
      </c>
      <c r="CN168" s="675">
        <v>0</v>
      </c>
      <c r="CO168" s="675">
        <v>1</v>
      </c>
      <c r="CP168" s="675">
        <v>0</v>
      </c>
      <c r="CQ168" s="675">
        <v>0</v>
      </c>
      <c r="CR168" s="675">
        <v>206.471</v>
      </c>
      <c r="CS168" s="675">
        <v>0</v>
      </c>
      <c r="CT168" s="675">
        <v>0</v>
      </c>
      <c r="CU168" s="675">
        <v>0</v>
      </c>
      <c r="CV168" s="675">
        <v>0</v>
      </c>
      <c r="CW168" s="675">
        <v>0</v>
      </c>
      <c r="CX168" s="675">
        <v>0</v>
      </c>
      <c r="CY168" s="675">
        <v>0</v>
      </c>
      <c r="CZ168" s="675">
        <v>0</v>
      </c>
      <c r="DA168" s="675">
        <v>0</v>
      </c>
      <c r="DB168" s="675">
        <v>1176048</v>
      </c>
      <c r="DC168" s="675">
        <v>0</v>
      </c>
      <c r="DD168" s="675">
        <v>0</v>
      </c>
      <c r="DE168" s="675">
        <v>307614</v>
      </c>
      <c r="DF168" s="675">
        <v>307614</v>
      </c>
      <c r="DG168" s="675">
        <v>49.938000000000002</v>
      </c>
      <c r="DH168" s="675">
        <v>0</v>
      </c>
      <c r="DI168" s="675">
        <v>0</v>
      </c>
      <c r="DJ168" s="675">
        <v>0</v>
      </c>
      <c r="DK168" s="675">
        <v>3461</v>
      </c>
      <c r="DL168" s="675">
        <v>0</v>
      </c>
      <c r="DM168" s="675">
        <v>31492</v>
      </c>
      <c r="DN168" s="675">
        <v>17</v>
      </c>
      <c r="DO168" s="675">
        <v>0</v>
      </c>
      <c r="DP168" s="675">
        <v>0</v>
      </c>
      <c r="DQ168" s="675">
        <v>0</v>
      </c>
      <c r="DR168" s="675">
        <v>0</v>
      </c>
      <c r="DS168" s="675">
        <v>0</v>
      </c>
      <c r="DT168" s="675">
        <v>0</v>
      </c>
      <c r="DU168" s="675">
        <v>0</v>
      </c>
      <c r="DV168" s="675">
        <v>0</v>
      </c>
      <c r="DW168" s="675">
        <v>0</v>
      </c>
      <c r="DX168" s="675">
        <v>0</v>
      </c>
      <c r="DY168" s="675">
        <v>0</v>
      </c>
      <c r="DZ168" s="675">
        <v>0</v>
      </c>
      <c r="EA168" s="675">
        <v>0</v>
      </c>
      <c r="EB168" s="675">
        <v>0</v>
      </c>
      <c r="EC168" s="675">
        <v>0</v>
      </c>
      <c r="ED168" s="675">
        <v>0</v>
      </c>
      <c r="EE168" s="675">
        <v>0</v>
      </c>
      <c r="EF168" s="675">
        <v>0</v>
      </c>
      <c r="EG168" s="675">
        <v>0</v>
      </c>
      <c r="EH168" s="675">
        <v>4435</v>
      </c>
      <c r="EI168" s="675">
        <v>0</v>
      </c>
      <c r="EJ168" s="675">
        <v>0</v>
      </c>
      <c r="EK168" s="675">
        <v>0</v>
      </c>
      <c r="EL168" s="675">
        <v>0</v>
      </c>
      <c r="EM168" s="675">
        <v>0</v>
      </c>
      <c r="EN168" s="675">
        <v>0.14400000000000002</v>
      </c>
      <c r="EO168" s="675">
        <v>0</v>
      </c>
      <c r="EP168" s="675">
        <v>0</v>
      </c>
      <c r="EQ168" s="675">
        <v>0.14400000000000002</v>
      </c>
      <c r="ER168" s="675">
        <v>0</v>
      </c>
      <c r="ES168" s="675">
        <v>0.72</v>
      </c>
      <c r="ET168" s="675">
        <v>0</v>
      </c>
      <c r="EU168" s="675">
        <v>0</v>
      </c>
      <c r="EV168" s="675">
        <v>0</v>
      </c>
      <c r="EW168" s="675">
        <v>0</v>
      </c>
      <c r="EX168" s="675">
        <v>0</v>
      </c>
      <c r="EY168" s="675">
        <v>0</v>
      </c>
      <c r="EZ168" s="675">
        <v>1757711</v>
      </c>
      <c r="FA168" s="675">
        <v>0</v>
      </c>
      <c r="FB168" s="675">
        <v>1844622</v>
      </c>
      <c r="FC168" s="675">
        <v>0</v>
      </c>
      <c r="FD168" s="675">
        <v>0</v>
      </c>
      <c r="FE168" s="675">
        <v>187638</v>
      </c>
      <c r="FF168" s="675">
        <v>38808</v>
      </c>
      <c r="FG168" s="675">
        <v>6.3574999999999993E-2</v>
      </c>
      <c r="FH168" s="675">
        <v>2.6297999999999998E-2</v>
      </c>
      <c r="FI168" s="675">
        <v>0</v>
      </c>
      <c r="FJ168" s="675">
        <v>0</v>
      </c>
      <c r="FK168" s="675">
        <v>299.45600000000002</v>
      </c>
      <c r="FL168" s="675">
        <v>2105577</v>
      </c>
      <c r="FM168" s="675">
        <v>0</v>
      </c>
      <c r="FN168" s="675">
        <v>0</v>
      </c>
      <c r="FO168" s="675">
        <v>0</v>
      </c>
      <c r="FP168" s="675">
        <v>0</v>
      </c>
      <c r="FQ168" s="675">
        <v>0</v>
      </c>
      <c r="FR168" s="675">
        <v>0</v>
      </c>
      <c r="FS168" s="675">
        <v>0</v>
      </c>
      <c r="FT168" s="675">
        <v>0</v>
      </c>
      <c r="FU168" s="675">
        <v>0</v>
      </c>
      <c r="FV168" s="675">
        <v>0</v>
      </c>
      <c r="FW168" s="675">
        <v>0</v>
      </c>
      <c r="FX168" s="675">
        <v>0</v>
      </c>
      <c r="FY168" s="675">
        <v>0</v>
      </c>
      <c r="FZ168" s="675">
        <v>0</v>
      </c>
      <c r="GA168" s="675">
        <v>0</v>
      </c>
      <c r="GB168" s="675">
        <v>0</v>
      </c>
      <c r="GC168" s="675">
        <v>0</v>
      </c>
      <c r="GD168" s="675">
        <v>0</v>
      </c>
      <c r="GE168" s="675">
        <v>0</v>
      </c>
      <c r="GF168" s="675">
        <v>0</v>
      </c>
      <c r="GG168" s="675">
        <v>0</v>
      </c>
      <c r="GH168" s="675">
        <v>0</v>
      </c>
      <c r="GI168" s="675">
        <v>0</v>
      </c>
      <c r="GJ168" s="675">
        <v>0</v>
      </c>
      <c r="GK168" s="675">
        <v>0</v>
      </c>
      <c r="GL168" s="675">
        <v>0</v>
      </c>
      <c r="GM168" s="675">
        <v>0</v>
      </c>
      <c r="GN168" s="675">
        <v>0</v>
      </c>
      <c r="GO168" s="675">
        <v>0</v>
      </c>
      <c r="GP168" s="675">
        <v>0</v>
      </c>
      <c r="GQ168" s="675">
        <v>0</v>
      </c>
      <c r="GR168" s="675">
        <v>0</v>
      </c>
      <c r="GS168" s="675">
        <v>0</v>
      </c>
      <c r="GT168" s="675">
        <v>0</v>
      </c>
      <c r="GU168" s="675">
        <v>0</v>
      </c>
      <c r="GV168" s="675">
        <v>0</v>
      </c>
      <c r="GW168" s="675">
        <v>0</v>
      </c>
      <c r="GX168" s="675">
        <v>0</v>
      </c>
      <c r="GY168" s="675">
        <v>0</v>
      </c>
      <c r="GZ168" s="675">
        <v>0</v>
      </c>
      <c r="HA168" s="675">
        <v>0</v>
      </c>
      <c r="HB168" s="675">
        <v>308877260</v>
      </c>
      <c r="HC168" s="675">
        <v>4.4138999999999998E-2</v>
      </c>
      <c r="HD168" s="675">
        <v>34509</v>
      </c>
      <c r="HE168" s="675">
        <v>0</v>
      </c>
      <c r="HF168" s="675">
        <v>215430</v>
      </c>
      <c r="HG168" s="675">
        <v>0</v>
      </c>
      <c r="HH168" s="675">
        <v>71642</v>
      </c>
      <c r="HI168" s="675">
        <v>0</v>
      </c>
      <c r="HJ168" s="675">
        <v>1900</v>
      </c>
      <c r="HK168" s="675">
        <v>0</v>
      </c>
      <c r="HL168" s="675">
        <v>0</v>
      </c>
      <c r="HM168" s="675">
        <v>0</v>
      </c>
      <c r="HN168" s="675">
        <v>0</v>
      </c>
      <c r="HO168" s="675">
        <v>0</v>
      </c>
      <c r="HP168" s="675">
        <v>0</v>
      </c>
      <c r="HQ168" s="675">
        <v>0</v>
      </c>
      <c r="HR168" s="675">
        <v>0</v>
      </c>
      <c r="HS168" s="675">
        <v>1757694</v>
      </c>
      <c r="HT168" s="675">
        <v>38808</v>
      </c>
      <c r="HU168" s="675">
        <v>0</v>
      </c>
      <c r="HV168" s="675">
        <v>0</v>
      </c>
      <c r="HW168" s="675">
        <v>0</v>
      </c>
      <c r="HX168" s="675">
        <v>25</v>
      </c>
      <c r="HY168" s="675">
        <v>39</v>
      </c>
      <c r="HZ168" s="675">
        <v>72</v>
      </c>
      <c r="IA168" s="675">
        <v>22</v>
      </c>
      <c r="IB168" s="675">
        <v>41</v>
      </c>
      <c r="IC168" s="675">
        <v>199</v>
      </c>
      <c r="ID168" s="675">
        <v>0</v>
      </c>
      <c r="IE168" s="675">
        <v>0</v>
      </c>
      <c r="IF168" s="675">
        <v>0</v>
      </c>
      <c r="IG168" s="675">
        <v>0</v>
      </c>
      <c r="IH168" s="675">
        <v>116.30300000000001</v>
      </c>
      <c r="II168" s="675">
        <v>0</v>
      </c>
      <c r="IJ168" s="675">
        <v>65.741</v>
      </c>
      <c r="IK168" s="675">
        <v>0</v>
      </c>
      <c r="IL168" s="675">
        <v>0</v>
      </c>
      <c r="IM168" s="675">
        <v>0</v>
      </c>
      <c r="IN168" s="675">
        <v>0</v>
      </c>
      <c r="IO168" s="675">
        <v>0</v>
      </c>
      <c r="IP168" s="675">
        <v>0</v>
      </c>
      <c r="IQ168" s="675">
        <v>65.741</v>
      </c>
      <c r="IR168" s="675">
        <v>40496</v>
      </c>
      <c r="IS168" s="675">
        <v>0</v>
      </c>
      <c r="IT168" s="675">
        <v>0</v>
      </c>
      <c r="IU168" s="675">
        <v>0</v>
      </c>
      <c r="IV168" s="675">
        <v>0</v>
      </c>
      <c r="IW168" s="675">
        <v>6160</v>
      </c>
      <c r="IX168" s="675">
        <v>0</v>
      </c>
      <c r="IY168" s="675">
        <v>0</v>
      </c>
      <c r="IZ168" s="675">
        <v>0</v>
      </c>
      <c r="JA168" s="675">
        <v>0</v>
      </c>
      <c r="JB168" s="675">
        <v>0</v>
      </c>
      <c r="JC168" s="675">
        <v>0</v>
      </c>
      <c r="JD168" s="675">
        <v>0</v>
      </c>
      <c r="JE168" s="675">
        <v>0</v>
      </c>
      <c r="JF168" s="675">
        <v>0</v>
      </c>
      <c r="JG168" s="675">
        <v>0</v>
      </c>
      <c r="JH168" s="675">
        <v>0</v>
      </c>
      <c r="JI168" s="675">
        <v>0</v>
      </c>
      <c r="JJ168" s="675">
        <v>0</v>
      </c>
      <c r="JK168" s="675">
        <v>0</v>
      </c>
      <c r="JL168" s="675">
        <v>0</v>
      </c>
      <c r="JM168" s="675">
        <v>0</v>
      </c>
      <c r="JN168" s="675">
        <v>32469</v>
      </c>
      <c r="JO168" s="675">
        <v>0</v>
      </c>
      <c r="JP168" s="675">
        <v>0</v>
      </c>
      <c r="JQ168" s="675">
        <v>0</v>
      </c>
      <c r="JR168" s="675">
        <v>0</v>
      </c>
      <c r="JS168" s="675">
        <v>0</v>
      </c>
      <c r="JT168" s="675">
        <v>0</v>
      </c>
      <c r="JU168" s="675">
        <v>0</v>
      </c>
      <c r="JV168" s="675">
        <v>0</v>
      </c>
      <c r="JW168" s="675">
        <v>0</v>
      </c>
      <c r="JX168" s="675">
        <v>0</v>
      </c>
      <c r="JY168" s="675">
        <v>0</v>
      </c>
      <c r="JZ168" s="675">
        <v>0</v>
      </c>
      <c r="KA168" s="675">
        <v>0</v>
      </c>
      <c r="KB168" s="675">
        <v>0</v>
      </c>
      <c r="KC168" s="675">
        <v>0</v>
      </c>
      <c r="KD168" s="675">
        <v>0</v>
      </c>
      <c r="KE168" s="675">
        <v>7263</v>
      </c>
      <c r="KF168" s="675">
        <v>0</v>
      </c>
      <c r="KG168" s="675">
        <v>0</v>
      </c>
      <c r="KH168" s="675">
        <v>0</v>
      </c>
      <c r="KI168" s="675">
        <v>0</v>
      </c>
    </row>
    <row r="169" spans="1:295" ht="12.5" x14ac:dyDescent="0.25">
      <c r="A169" s="675">
        <v>35795</v>
      </c>
      <c r="B169" s="675">
        <v>57850</v>
      </c>
      <c r="C169" s="675">
        <v>7</v>
      </c>
      <c r="D169" s="675">
        <v>2022</v>
      </c>
      <c r="E169" s="675">
        <v>6160</v>
      </c>
      <c r="F169" s="675">
        <v>0</v>
      </c>
      <c r="G169" s="675">
        <v>2098.9180000000001</v>
      </c>
      <c r="H169" s="675">
        <v>1971.5330000000001</v>
      </c>
      <c r="I169" s="675">
        <v>1971.5330000000001</v>
      </c>
      <c r="J169" s="675">
        <v>2098.9180000000001</v>
      </c>
      <c r="K169" s="675">
        <v>0</v>
      </c>
      <c r="L169" s="675">
        <v>6160</v>
      </c>
      <c r="M169" s="675">
        <v>0</v>
      </c>
      <c r="N169" s="675">
        <v>0</v>
      </c>
      <c r="O169" s="675">
        <v>0</v>
      </c>
      <c r="P169" s="675">
        <v>1621.403</v>
      </c>
      <c r="Q169" s="675">
        <v>0</v>
      </c>
      <c r="R169" s="675">
        <v>652498</v>
      </c>
      <c r="S169" s="675">
        <v>402.428</v>
      </c>
      <c r="T169" s="675">
        <v>0</v>
      </c>
      <c r="U169" s="675">
        <v>346981</v>
      </c>
      <c r="V169" s="675">
        <v>378.1</v>
      </c>
      <c r="W169" s="675">
        <v>232909</v>
      </c>
      <c r="X169" s="675">
        <v>232909</v>
      </c>
      <c r="Y169" s="675">
        <v>0</v>
      </c>
      <c r="Z169" s="675">
        <v>0</v>
      </c>
      <c r="AA169" s="675">
        <v>0</v>
      </c>
      <c r="AB169" s="675">
        <v>0</v>
      </c>
      <c r="AC169" s="675">
        <v>0</v>
      </c>
      <c r="AD169" s="675" t="s">
        <v>316</v>
      </c>
      <c r="AE169" s="675">
        <v>0</v>
      </c>
      <c r="AF169" s="675">
        <v>0</v>
      </c>
      <c r="AG169" s="675">
        <v>0</v>
      </c>
      <c r="AH169" s="675">
        <v>0</v>
      </c>
      <c r="AI169" s="675">
        <v>0</v>
      </c>
      <c r="AJ169" s="675">
        <v>6160</v>
      </c>
      <c r="AK169" s="675" t="s">
        <v>671</v>
      </c>
      <c r="AL169" s="675" t="s">
        <v>388</v>
      </c>
      <c r="AM169" s="675">
        <v>0</v>
      </c>
      <c r="AN169" s="675">
        <v>0</v>
      </c>
      <c r="AO169" s="675">
        <v>0</v>
      </c>
      <c r="AP169" s="675">
        <v>0</v>
      </c>
      <c r="AQ169" s="675">
        <v>0</v>
      </c>
      <c r="AR169" s="675">
        <v>0</v>
      </c>
      <c r="AS169" s="675">
        <v>0</v>
      </c>
      <c r="AT169" s="675">
        <v>0</v>
      </c>
      <c r="AU169" s="675">
        <v>0</v>
      </c>
      <c r="AV169" s="675">
        <v>-74292</v>
      </c>
      <c r="AW169" s="675">
        <v>20582015</v>
      </c>
      <c r="AX169" s="675">
        <v>20215502</v>
      </c>
      <c r="AY169" s="675">
        <v>13705558</v>
      </c>
      <c r="AZ169" s="675">
        <v>652498</v>
      </c>
      <c r="BA169" s="675">
        <v>0</v>
      </c>
      <c r="BB169" s="675">
        <v>45252</v>
      </c>
      <c r="BC169" s="675">
        <v>44959</v>
      </c>
      <c r="BD169" s="675">
        <v>104.946</v>
      </c>
      <c r="BE169" s="675">
        <v>293</v>
      </c>
      <c r="BF169" s="675">
        <v>18582508</v>
      </c>
      <c r="BG169" s="675">
        <v>0</v>
      </c>
      <c r="BH169" s="675">
        <v>0</v>
      </c>
      <c r="BI169" s="675">
        <v>0</v>
      </c>
      <c r="BJ169" s="675">
        <v>12</v>
      </c>
      <c r="BK169" s="675">
        <v>0</v>
      </c>
      <c r="BL169" s="675">
        <v>0</v>
      </c>
      <c r="BM169" s="675">
        <v>0</v>
      </c>
      <c r="BN169" s="675">
        <v>0</v>
      </c>
      <c r="BO169" s="675">
        <v>0</v>
      </c>
      <c r="BP169" s="675">
        <v>0</v>
      </c>
      <c r="BQ169" s="675">
        <v>466</v>
      </c>
      <c r="BR169" s="675">
        <v>0</v>
      </c>
      <c r="BS169" s="675">
        <v>0</v>
      </c>
      <c r="BT169" s="675">
        <v>0</v>
      </c>
      <c r="BU169" s="675">
        <v>0</v>
      </c>
      <c r="BV169" s="675">
        <v>0</v>
      </c>
      <c r="BW169" s="675">
        <v>0</v>
      </c>
      <c r="BX169" s="675">
        <v>0</v>
      </c>
      <c r="BY169" s="675">
        <v>0</v>
      </c>
      <c r="BZ169" s="675">
        <v>0</v>
      </c>
      <c r="CA169" s="675">
        <v>0</v>
      </c>
      <c r="CB169" s="675">
        <v>0</v>
      </c>
      <c r="CC169" s="675">
        <v>0</v>
      </c>
      <c r="CD169" s="675">
        <v>0</v>
      </c>
      <c r="CE169" s="675">
        <v>0</v>
      </c>
      <c r="CF169" s="675">
        <v>0</v>
      </c>
      <c r="CG169" s="675">
        <v>0</v>
      </c>
      <c r="CH169" s="675">
        <v>370576</v>
      </c>
      <c r="CI169" s="675">
        <v>0</v>
      </c>
      <c r="CJ169" s="675">
        <v>4</v>
      </c>
      <c r="CK169" s="675">
        <v>0</v>
      </c>
      <c r="CL169" s="675">
        <v>0</v>
      </c>
      <c r="CM169" s="675">
        <v>0</v>
      </c>
      <c r="CN169" s="675">
        <v>0</v>
      </c>
      <c r="CO169" s="675">
        <v>1</v>
      </c>
      <c r="CP169" s="675">
        <v>0</v>
      </c>
      <c r="CQ169" s="675">
        <v>0</v>
      </c>
      <c r="CR169" s="675">
        <v>1642.2850000000001</v>
      </c>
      <c r="CS169" s="675">
        <v>0</v>
      </c>
      <c r="CT169" s="675">
        <v>0</v>
      </c>
      <c r="CU169" s="675">
        <v>0</v>
      </c>
      <c r="CV169" s="675">
        <v>0</v>
      </c>
      <c r="CW169" s="675">
        <v>0</v>
      </c>
      <c r="CX169" s="675">
        <v>0</v>
      </c>
      <c r="CY169" s="675">
        <v>0</v>
      </c>
      <c r="CZ169" s="675">
        <v>0</v>
      </c>
      <c r="DA169" s="675">
        <v>0</v>
      </c>
      <c r="DB169" s="675">
        <v>12144587</v>
      </c>
      <c r="DC169" s="675">
        <v>0</v>
      </c>
      <c r="DD169" s="675">
        <v>0</v>
      </c>
      <c r="DE169" s="675">
        <v>1883796</v>
      </c>
      <c r="DF169" s="675">
        <v>1883796</v>
      </c>
      <c r="DG169" s="675">
        <v>305.81299999999999</v>
      </c>
      <c r="DH169" s="675">
        <v>0</v>
      </c>
      <c r="DI169" s="675">
        <v>0</v>
      </c>
      <c r="DJ169" s="675">
        <v>0</v>
      </c>
      <c r="DK169" s="675">
        <v>0</v>
      </c>
      <c r="DL169" s="675">
        <v>0</v>
      </c>
      <c r="DM169" s="675">
        <v>1002177</v>
      </c>
      <c r="DN169" s="675">
        <v>3770</v>
      </c>
      <c r="DO169" s="675">
        <v>0</v>
      </c>
      <c r="DP169" s="675">
        <v>0</v>
      </c>
      <c r="DQ169" s="675">
        <v>0</v>
      </c>
      <c r="DR169" s="675">
        <v>0</v>
      </c>
      <c r="DS169" s="675">
        <v>0</v>
      </c>
      <c r="DT169" s="675">
        <v>0</v>
      </c>
      <c r="DU169" s="675">
        <v>0</v>
      </c>
      <c r="DV169" s="675">
        <v>0</v>
      </c>
      <c r="DW169" s="675">
        <v>0</v>
      </c>
      <c r="DX169" s="675">
        <v>0</v>
      </c>
      <c r="DY169" s="675">
        <v>0</v>
      </c>
      <c r="DZ169" s="675">
        <v>0</v>
      </c>
      <c r="EA169" s="675">
        <v>0</v>
      </c>
      <c r="EB169" s="675">
        <v>0</v>
      </c>
      <c r="EC169" s="675">
        <v>77.593000000000004</v>
      </c>
      <c r="ED169" s="675">
        <v>549666</v>
      </c>
      <c r="EE169" s="675">
        <v>0</v>
      </c>
      <c r="EF169" s="675">
        <v>0</v>
      </c>
      <c r="EG169" s="675">
        <v>0</v>
      </c>
      <c r="EH169" s="675">
        <v>456281</v>
      </c>
      <c r="EI169" s="675">
        <v>0</v>
      </c>
      <c r="EJ169" s="675">
        <v>0</v>
      </c>
      <c r="EK169" s="675">
        <v>7.4450000000000003</v>
      </c>
      <c r="EL169" s="675">
        <v>0</v>
      </c>
      <c r="EM169" s="675">
        <v>13.149000000000001</v>
      </c>
      <c r="EN169" s="675">
        <v>2.4580000000000002</v>
      </c>
      <c r="EO169" s="675">
        <v>0</v>
      </c>
      <c r="EP169" s="675">
        <v>0</v>
      </c>
      <c r="EQ169" s="675">
        <v>23.052</v>
      </c>
      <c r="ER169" s="675">
        <v>0</v>
      </c>
      <c r="ES169" s="675">
        <v>74.072000000000003</v>
      </c>
      <c r="ET169" s="675">
        <v>0</v>
      </c>
      <c r="EU169" s="675">
        <v>0</v>
      </c>
      <c r="EV169" s="675">
        <v>0</v>
      </c>
      <c r="EW169" s="675">
        <v>0</v>
      </c>
      <c r="EX169" s="675">
        <v>0</v>
      </c>
      <c r="EY169" s="675">
        <v>0</v>
      </c>
      <c r="EZ169" s="675">
        <v>17934332</v>
      </c>
      <c r="FA169" s="675">
        <v>0</v>
      </c>
      <c r="FB169" s="675">
        <v>18582767</v>
      </c>
      <c r="FC169" s="675">
        <v>0</v>
      </c>
      <c r="FD169" s="675">
        <v>0</v>
      </c>
      <c r="FE169" s="675">
        <v>1890222</v>
      </c>
      <c r="FF169" s="675">
        <v>390948</v>
      </c>
      <c r="FG169" s="675">
        <v>6.3574999999999993E-2</v>
      </c>
      <c r="FH169" s="675">
        <v>2.6297999999999998E-2</v>
      </c>
      <c r="FI169" s="675">
        <v>0</v>
      </c>
      <c r="FJ169" s="675">
        <v>0</v>
      </c>
      <c r="FK169" s="675">
        <v>3016.6550000000002</v>
      </c>
      <c r="FL169" s="675">
        <v>21234513</v>
      </c>
      <c r="FM169" s="675">
        <v>0</v>
      </c>
      <c r="FN169" s="675">
        <v>0</v>
      </c>
      <c r="FO169" s="675">
        <v>0</v>
      </c>
      <c r="FP169" s="675">
        <v>0</v>
      </c>
      <c r="FQ169" s="675">
        <v>0</v>
      </c>
      <c r="FR169" s="675">
        <v>0</v>
      </c>
      <c r="FS169" s="675">
        <v>0</v>
      </c>
      <c r="FT169" s="675">
        <v>0</v>
      </c>
      <c r="FU169" s="675">
        <v>0</v>
      </c>
      <c r="FV169" s="675">
        <v>0</v>
      </c>
      <c r="FW169" s="675">
        <v>0</v>
      </c>
      <c r="FX169" s="675">
        <v>0</v>
      </c>
      <c r="FY169" s="675">
        <v>0</v>
      </c>
      <c r="FZ169" s="675">
        <v>0</v>
      </c>
      <c r="GA169" s="675">
        <v>0</v>
      </c>
      <c r="GB169" s="675">
        <v>891555</v>
      </c>
      <c r="GC169" s="675">
        <v>891555</v>
      </c>
      <c r="GD169" s="675">
        <v>104.333</v>
      </c>
      <c r="GE169" s="675">
        <v>0</v>
      </c>
      <c r="GF169" s="675">
        <v>0</v>
      </c>
      <c r="GG169" s="675">
        <v>0</v>
      </c>
      <c r="GH169" s="675">
        <v>0</v>
      </c>
      <c r="GI169" s="675">
        <v>0</v>
      </c>
      <c r="GJ169" s="675">
        <v>0</v>
      </c>
      <c r="GK169" s="675">
        <v>0</v>
      </c>
      <c r="GL169" s="675">
        <v>0</v>
      </c>
      <c r="GM169" s="675">
        <v>0</v>
      </c>
      <c r="GN169" s="675">
        <v>0</v>
      </c>
      <c r="GO169" s="675">
        <v>0</v>
      </c>
      <c r="GP169" s="675">
        <v>0</v>
      </c>
      <c r="GQ169" s="675">
        <v>0</v>
      </c>
      <c r="GR169" s="675">
        <v>0</v>
      </c>
      <c r="GS169" s="675">
        <v>0</v>
      </c>
      <c r="GT169" s="675">
        <v>0</v>
      </c>
      <c r="GU169" s="675">
        <v>0</v>
      </c>
      <c r="GV169" s="675">
        <v>0</v>
      </c>
      <c r="GW169" s="675">
        <v>0</v>
      </c>
      <c r="GX169" s="675">
        <v>0</v>
      </c>
      <c r="GY169" s="675">
        <v>0</v>
      </c>
      <c r="GZ169" s="675">
        <v>0</v>
      </c>
      <c r="HA169" s="675">
        <v>0</v>
      </c>
      <c r="HB169" s="675">
        <v>308877260</v>
      </c>
      <c r="HC169" s="675">
        <v>4.4138999999999998E-2</v>
      </c>
      <c r="HD169" s="675">
        <v>370576</v>
      </c>
      <c r="HE169" s="675">
        <v>0</v>
      </c>
      <c r="HF169" s="675">
        <v>2174601</v>
      </c>
      <c r="HG169" s="675">
        <v>52360</v>
      </c>
      <c r="HH169" s="675">
        <v>131100</v>
      </c>
      <c r="HI169" s="675">
        <v>0</v>
      </c>
      <c r="HJ169" s="675">
        <v>20401</v>
      </c>
      <c r="HK169" s="675">
        <v>4311</v>
      </c>
      <c r="HL169" s="675">
        <v>11</v>
      </c>
      <c r="HM169" s="675">
        <v>0</v>
      </c>
      <c r="HN169" s="675">
        <v>0</v>
      </c>
      <c r="HO169" s="675">
        <v>0</v>
      </c>
      <c r="HP169" s="675">
        <v>0</v>
      </c>
      <c r="HQ169" s="675">
        <v>0</v>
      </c>
      <c r="HR169" s="675">
        <v>0</v>
      </c>
      <c r="HS169" s="675">
        <v>17930269</v>
      </c>
      <c r="HT169" s="675">
        <v>390948</v>
      </c>
      <c r="HU169" s="675">
        <v>0</v>
      </c>
      <c r="HV169" s="675">
        <v>0</v>
      </c>
      <c r="HW169" s="675">
        <v>0</v>
      </c>
      <c r="HX169" s="675">
        <v>529</v>
      </c>
      <c r="HY169" s="675">
        <v>197</v>
      </c>
      <c r="HZ169" s="675">
        <v>138</v>
      </c>
      <c r="IA169" s="675">
        <v>206</v>
      </c>
      <c r="IB169" s="675">
        <v>187</v>
      </c>
      <c r="IC169" s="675">
        <v>1257</v>
      </c>
      <c r="ID169" s="675">
        <v>0</v>
      </c>
      <c r="IE169" s="675">
        <v>0</v>
      </c>
      <c r="IF169" s="675">
        <v>0</v>
      </c>
      <c r="IG169" s="675">
        <v>85</v>
      </c>
      <c r="IH169" s="675">
        <v>212.82600000000002</v>
      </c>
      <c r="II169" s="675">
        <v>0</v>
      </c>
      <c r="IJ169" s="675">
        <v>378.1</v>
      </c>
      <c r="IK169" s="675">
        <v>0</v>
      </c>
      <c r="IL169" s="675">
        <v>0</v>
      </c>
      <c r="IM169" s="675">
        <v>0</v>
      </c>
      <c r="IN169" s="675">
        <v>0</v>
      </c>
      <c r="IO169" s="675">
        <v>0</v>
      </c>
      <c r="IP169" s="675">
        <v>0</v>
      </c>
      <c r="IQ169" s="675">
        <v>378.1</v>
      </c>
      <c r="IR169" s="675">
        <v>232909</v>
      </c>
      <c r="IS169" s="675">
        <v>0</v>
      </c>
      <c r="IT169" s="675">
        <v>0</v>
      </c>
      <c r="IU169" s="675">
        <v>0</v>
      </c>
      <c r="IV169" s="675">
        <v>0</v>
      </c>
      <c r="IW169" s="675">
        <v>6160</v>
      </c>
      <c r="IX169" s="675">
        <v>0</v>
      </c>
      <c r="IY169" s="675">
        <v>0</v>
      </c>
      <c r="IZ169" s="675">
        <v>0</v>
      </c>
      <c r="JA169" s="675">
        <v>0</v>
      </c>
      <c r="JB169" s="675">
        <v>0</v>
      </c>
      <c r="JC169" s="675">
        <v>0</v>
      </c>
      <c r="JD169" s="675">
        <v>0</v>
      </c>
      <c r="JE169" s="675">
        <v>0</v>
      </c>
      <c r="JF169" s="675">
        <v>0</v>
      </c>
      <c r="JG169" s="675">
        <v>0</v>
      </c>
      <c r="JH169" s="675">
        <v>0</v>
      </c>
      <c r="JI169" s="675">
        <v>0</v>
      </c>
      <c r="JJ169" s="675">
        <v>0</v>
      </c>
      <c r="JK169" s="675">
        <v>0</v>
      </c>
      <c r="JL169" s="675">
        <v>0</v>
      </c>
      <c r="JM169" s="675">
        <v>0</v>
      </c>
      <c r="JN169" s="675">
        <v>32469</v>
      </c>
      <c r="JO169" s="675">
        <v>73.332999999999998</v>
      </c>
      <c r="JP169" s="675">
        <v>18.333000000000002</v>
      </c>
      <c r="JQ169" s="675">
        <v>12.667</v>
      </c>
      <c r="JR169" s="675">
        <v>585879</v>
      </c>
      <c r="JS169" s="675">
        <v>170435</v>
      </c>
      <c r="JT169" s="675">
        <v>135241</v>
      </c>
      <c r="JU169" s="675">
        <v>45252</v>
      </c>
      <c r="JV169" s="675">
        <v>0</v>
      </c>
      <c r="JW169" s="675">
        <v>0</v>
      </c>
      <c r="JX169" s="675">
        <v>0</v>
      </c>
      <c r="JY169" s="675">
        <v>0</v>
      </c>
      <c r="JZ169" s="675">
        <v>0</v>
      </c>
      <c r="KA169" s="675">
        <v>0</v>
      </c>
      <c r="KB169" s="675">
        <v>0</v>
      </c>
      <c r="KC169" s="675">
        <v>0</v>
      </c>
      <c r="KD169" s="675">
        <v>45707</v>
      </c>
      <c r="KE169" s="675">
        <v>7263</v>
      </c>
      <c r="KF169" s="675">
        <v>0</v>
      </c>
      <c r="KG169" s="675">
        <v>0</v>
      </c>
      <c r="KH169" s="675">
        <v>0</v>
      </c>
      <c r="KI169" s="675">
        <v>0</v>
      </c>
    </row>
    <row r="170" spans="1:295" ht="12.5" x14ac:dyDescent="0.25">
      <c r="A170" s="675">
        <v>35795</v>
      </c>
      <c r="B170" s="675">
        <v>57851</v>
      </c>
      <c r="C170" s="675">
        <v>7</v>
      </c>
      <c r="D170" s="675">
        <v>2022</v>
      </c>
      <c r="E170" s="675">
        <v>6160</v>
      </c>
      <c r="F170" s="675">
        <v>0</v>
      </c>
      <c r="G170" s="675">
        <v>70.817000000000007</v>
      </c>
      <c r="H170" s="675">
        <v>63.72</v>
      </c>
      <c r="I170" s="675">
        <v>63.72</v>
      </c>
      <c r="J170" s="675">
        <v>70.817000000000007</v>
      </c>
      <c r="K170" s="675">
        <v>0</v>
      </c>
      <c r="L170" s="675">
        <v>6160</v>
      </c>
      <c r="M170" s="675">
        <v>0</v>
      </c>
      <c r="N170" s="675">
        <v>0</v>
      </c>
      <c r="O170" s="675">
        <v>0</v>
      </c>
      <c r="P170" s="675">
        <v>75.094000000000008</v>
      </c>
      <c r="Q170" s="675">
        <v>0</v>
      </c>
      <c r="R170" s="675">
        <v>30220</v>
      </c>
      <c r="S170" s="675">
        <v>402.428</v>
      </c>
      <c r="T170" s="675">
        <v>0</v>
      </c>
      <c r="U170" s="675">
        <v>16069</v>
      </c>
      <c r="V170" s="675">
        <v>18.875</v>
      </c>
      <c r="W170" s="675">
        <v>11627</v>
      </c>
      <c r="X170" s="675">
        <v>11627</v>
      </c>
      <c r="Y170" s="675">
        <v>0</v>
      </c>
      <c r="Z170" s="675">
        <v>0</v>
      </c>
      <c r="AA170" s="675">
        <v>0</v>
      </c>
      <c r="AB170" s="675">
        <v>0</v>
      </c>
      <c r="AC170" s="675">
        <v>0</v>
      </c>
      <c r="AD170" s="675" t="s">
        <v>316</v>
      </c>
      <c r="AE170" s="675">
        <v>0</v>
      </c>
      <c r="AF170" s="675">
        <v>0</v>
      </c>
      <c r="AG170" s="675">
        <v>0</v>
      </c>
      <c r="AH170" s="675">
        <v>0</v>
      </c>
      <c r="AI170" s="675">
        <v>0</v>
      </c>
      <c r="AJ170" s="675">
        <v>6160</v>
      </c>
      <c r="AK170" s="675" t="s">
        <v>671</v>
      </c>
      <c r="AL170" s="675" t="s">
        <v>442</v>
      </c>
      <c r="AM170" s="675">
        <v>0</v>
      </c>
      <c r="AN170" s="675">
        <v>0</v>
      </c>
      <c r="AO170" s="675">
        <v>0</v>
      </c>
      <c r="AP170" s="675">
        <v>0</v>
      </c>
      <c r="AQ170" s="675">
        <v>0</v>
      </c>
      <c r="AR170" s="675">
        <v>0</v>
      </c>
      <c r="AS170" s="675">
        <v>0</v>
      </c>
      <c r="AT170" s="675">
        <v>0</v>
      </c>
      <c r="AU170" s="675">
        <v>0</v>
      </c>
      <c r="AV170" s="675">
        <v>-1845</v>
      </c>
      <c r="AW170" s="675">
        <v>785847</v>
      </c>
      <c r="AX170" s="675">
        <v>786369</v>
      </c>
      <c r="AY170" s="675">
        <v>538564</v>
      </c>
      <c r="AZ170" s="675">
        <v>30220</v>
      </c>
      <c r="BA170" s="675">
        <v>0</v>
      </c>
      <c r="BB170" s="675">
        <v>0</v>
      </c>
      <c r="BC170" s="675">
        <v>0</v>
      </c>
      <c r="BD170" s="675">
        <v>0</v>
      </c>
      <c r="BE170" s="675">
        <v>0</v>
      </c>
      <c r="BF170" s="675">
        <v>727306</v>
      </c>
      <c r="BG170" s="675">
        <v>0</v>
      </c>
      <c r="BH170" s="675">
        <v>0</v>
      </c>
      <c r="BI170" s="675">
        <v>0</v>
      </c>
      <c r="BJ170" s="675">
        <v>12</v>
      </c>
      <c r="BK170" s="675">
        <v>0</v>
      </c>
      <c r="BL170" s="675">
        <v>0</v>
      </c>
      <c r="BM170" s="675">
        <v>0</v>
      </c>
      <c r="BN170" s="675">
        <v>0</v>
      </c>
      <c r="BO170" s="675">
        <v>0</v>
      </c>
      <c r="BP170" s="675">
        <v>0</v>
      </c>
      <c r="BQ170" s="675">
        <v>760</v>
      </c>
      <c r="BR170" s="675">
        <v>0</v>
      </c>
      <c r="BS170" s="675">
        <v>0</v>
      </c>
      <c r="BT170" s="675">
        <v>0</v>
      </c>
      <c r="BU170" s="675">
        <v>0</v>
      </c>
      <c r="BV170" s="675">
        <v>0</v>
      </c>
      <c r="BW170" s="675">
        <v>0</v>
      </c>
      <c r="BX170" s="675">
        <v>0</v>
      </c>
      <c r="BY170" s="675">
        <v>0</v>
      </c>
      <c r="BZ170" s="675">
        <v>0</v>
      </c>
      <c r="CA170" s="675">
        <v>0</v>
      </c>
      <c r="CB170" s="675">
        <v>0</v>
      </c>
      <c r="CC170" s="675">
        <v>0</v>
      </c>
      <c r="CD170" s="675">
        <v>0</v>
      </c>
      <c r="CE170" s="675">
        <v>0</v>
      </c>
      <c r="CF170" s="675">
        <v>0</v>
      </c>
      <c r="CG170" s="675">
        <v>0</v>
      </c>
      <c r="CH170" s="675">
        <v>0</v>
      </c>
      <c r="CI170" s="675">
        <v>0</v>
      </c>
      <c r="CJ170" s="675">
        <v>4</v>
      </c>
      <c r="CK170" s="675">
        <v>0</v>
      </c>
      <c r="CL170" s="675">
        <v>0</v>
      </c>
      <c r="CM170" s="675">
        <v>0</v>
      </c>
      <c r="CN170" s="675">
        <v>0</v>
      </c>
      <c r="CO170" s="675">
        <v>1</v>
      </c>
      <c r="CP170" s="675">
        <v>0</v>
      </c>
      <c r="CQ170" s="675">
        <v>0</v>
      </c>
      <c r="CR170" s="675">
        <v>78.749000000000009</v>
      </c>
      <c r="CS170" s="675">
        <v>0</v>
      </c>
      <c r="CT170" s="675">
        <v>0</v>
      </c>
      <c r="CU170" s="675">
        <v>0</v>
      </c>
      <c r="CV170" s="675">
        <v>0</v>
      </c>
      <c r="CW170" s="675">
        <v>0</v>
      </c>
      <c r="CX170" s="675">
        <v>0</v>
      </c>
      <c r="CY170" s="675">
        <v>0</v>
      </c>
      <c r="CZ170" s="675">
        <v>0</v>
      </c>
      <c r="DA170" s="675">
        <v>0</v>
      </c>
      <c r="DB170" s="675">
        <v>392513</v>
      </c>
      <c r="DC170" s="675">
        <v>0</v>
      </c>
      <c r="DD170" s="675">
        <v>0</v>
      </c>
      <c r="DE170" s="675">
        <v>91322</v>
      </c>
      <c r="DF170" s="675">
        <v>91322</v>
      </c>
      <c r="DG170" s="675">
        <v>14.825000000000001</v>
      </c>
      <c r="DH170" s="675">
        <v>0</v>
      </c>
      <c r="DI170" s="675">
        <v>0</v>
      </c>
      <c r="DJ170" s="675">
        <v>0</v>
      </c>
      <c r="DK170" s="675">
        <v>3785</v>
      </c>
      <c r="DL170" s="675">
        <v>0</v>
      </c>
      <c r="DM170" s="675">
        <v>138663</v>
      </c>
      <c r="DN170" s="675">
        <v>522</v>
      </c>
      <c r="DO170" s="675">
        <v>0</v>
      </c>
      <c r="DP170" s="675">
        <v>0</v>
      </c>
      <c r="DQ170" s="675">
        <v>0</v>
      </c>
      <c r="DR170" s="675">
        <v>0</v>
      </c>
      <c r="DS170" s="675">
        <v>0</v>
      </c>
      <c r="DT170" s="675">
        <v>0</v>
      </c>
      <c r="DU170" s="675">
        <v>0</v>
      </c>
      <c r="DV170" s="675">
        <v>0</v>
      </c>
      <c r="DW170" s="675">
        <v>0</v>
      </c>
      <c r="DX170" s="675">
        <v>0</v>
      </c>
      <c r="DY170" s="675">
        <v>0</v>
      </c>
      <c r="DZ170" s="675">
        <v>0</v>
      </c>
      <c r="EA170" s="675">
        <v>0.14800000000000002</v>
      </c>
      <c r="EB170" s="675">
        <v>0</v>
      </c>
      <c r="EC170" s="675">
        <v>0</v>
      </c>
      <c r="ED170" s="675">
        <v>0</v>
      </c>
      <c r="EE170" s="675">
        <v>0</v>
      </c>
      <c r="EF170" s="675">
        <v>0</v>
      </c>
      <c r="EG170" s="675">
        <v>0</v>
      </c>
      <c r="EH170" s="675">
        <v>139185</v>
      </c>
      <c r="EI170" s="675">
        <v>0</v>
      </c>
      <c r="EJ170" s="675">
        <v>0</v>
      </c>
      <c r="EK170" s="675">
        <v>6.4450000000000003</v>
      </c>
      <c r="EL170" s="675">
        <v>0</v>
      </c>
      <c r="EM170" s="675">
        <v>0</v>
      </c>
      <c r="EN170" s="675">
        <v>0.504</v>
      </c>
      <c r="EO170" s="675">
        <v>0</v>
      </c>
      <c r="EP170" s="675">
        <v>0</v>
      </c>
      <c r="EQ170" s="675">
        <v>7.0970000000000004</v>
      </c>
      <c r="ER170" s="675">
        <v>0</v>
      </c>
      <c r="ES170" s="675">
        <v>22.595000000000002</v>
      </c>
      <c r="ET170" s="675">
        <v>0</v>
      </c>
      <c r="EU170" s="675">
        <v>0</v>
      </c>
      <c r="EV170" s="675">
        <v>0</v>
      </c>
      <c r="EW170" s="675">
        <v>0</v>
      </c>
      <c r="EX170" s="675">
        <v>0</v>
      </c>
      <c r="EY170" s="675">
        <v>0</v>
      </c>
      <c r="EZ170" s="675">
        <v>697086</v>
      </c>
      <c r="FA170" s="675">
        <v>0</v>
      </c>
      <c r="FB170" s="675">
        <v>726784</v>
      </c>
      <c r="FC170" s="675">
        <v>0</v>
      </c>
      <c r="FD170" s="675">
        <v>0</v>
      </c>
      <c r="FE170" s="675">
        <v>73982</v>
      </c>
      <c r="FF170" s="675">
        <v>15301</v>
      </c>
      <c r="FG170" s="675">
        <v>6.3574999999999993E-2</v>
      </c>
      <c r="FH170" s="675">
        <v>2.6297999999999998E-2</v>
      </c>
      <c r="FI170" s="675">
        <v>0</v>
      </c>
      <c r="FJ170" s="675">
        <v>0</v>
      </c>
      <c r="FK170" s="675">
        <v>118.07000000000001</v>
      </c>
      <c r="FL170" s="675">
        <v>816067</v>
      </c>
      <c r="FM170" s="675">
        <v>0</v>
      </c>
      <c r="FN170" s="675">
        <v>0</v>
      </c>
      <c r="FO170" s="675">
        <v>0</v>
      </c>
      <c r="FP170" s="675">
        <v>0</v>
      </c>
      <c r="FQ170" s="675">
        <v>0</v>
      </c>
      <c r="FR170" s="675">
        <v>0</v>
      </c>
      <c r="FS170" s="675">
        <v>0</v>
      </c>
      <c r="FT170" s="675">
        <v>0</v>
      </c>
      <c r="FU170" s="675">
        <v>0</v>
      </c>
      <c r="FV170" s="675">
        <v>0</v>
      </c>
      <c r="FW170" s="675">
        <v>0</v>
      </c>
      <c r="FX170" s="675">
        <v>0</v>
      </c>
      <c r="FY170" s="675">
        <v>0</v>
      </c>
      <c r="FZ170" s="675">
        <v>0</v>
      </c>
      <c r="GA170" s="675">
        <v>0</v>
      </c>
      <c r="GB170" s="675">
        <v>0</v>
      </c>
      <c r="GC170" s="675">
        <v>0</v>
      </c>
      <c r="GD170" s="675">
        <v>0</v>
      </c>
      <c r="GE170" s="675">
        <v>0</v>
      </c>
      <c r="GF170" s="675">
        <v>0</v>
      </c>
      <c r="GG170" s="675">
        <v>0</v>
      </c>
      <c r="GH170" s="675">
        <v>0</v>
      </c>
      <c r="GI170" s="675">
        <v>0</v>
      </c>
      <c r="GJ170" s="675">
        <v>0</v>
      </c>
      <c r="GK170" s="675">
        <v>0</v>
      </c>
      <c r="GL170" s="675">
        <v>0</v>
      </c>
      <c r="GM170" s="675">
        <v>0</v>
      </c>
      <c r="GN170" s="675">
        <v>0</v>
      </c>
      <c r="GO170" s="675">
        <v>0</v>
      </c>
      <c r="GP170" s="675">
        <v>0</v>
      </c>
      <c r="GQ170" s="675">
        <v>0</v>
      </c>
      <c r="GR170" s="675">
        <v>0</v>
      </c>
      <c r="GS170" s="675">
        <v>0</v>
      </c>
      <c r="GT170" s="675">
        <v>0</v>
      </c>
      <c r="GU170" s="675">
        <v>0</v>
      </c>
      <c r="GV170" s="675">
        <v>0</v>
      </c>
      <c r="GW170" s="675">
        <v>0</v>
      </c>
      <c r="GX170" s="675">
        <v>0</v>
      </c>
      <c r="GY170" s="675">
        <v>0</v>
      </c>
      <c r="GZ170" s="675">
        <v>0</v>
      </c>
      <c r="HA170" s="675">
        <v>0</v>
      </c>
      <c r="HB170" s="675">
        <v>0</v>
      </c>
      <c r="HC170" s="675">
        <v>4.4138999999999998E-2</v>
      </c>
      <c r="HD170" s="675">
        <v>0</v>
      </c>
      <c r="HE170" s="675">
        <v>0</v>
      </c>
      <c r="HF170" s="675">
        <v>70283</v>
      </c>
      <c r="HG170" s="675">
        <v>3080</v>
      </c>
      <c r="HH170" s="675">
        <v>18608</v>
      </c>
      <c r="HI170" s="675">
        <v>0</v>
      </c>
      <c r="HJ170" s="675">
        <v>688</v>
      </c>
      <c r="HK170" s="675">
        <v>0</v>
      </c>
      <c r="HL170" s="675">
        <v>0</v>
      </c>
      <c r="HM170" s="675">
        <v>0</v>
      </c>
      <c r="HN170" s="675">
        <v>0</v>
      </c>
      <c r="HO170" s="675">
        <v>0</v>
      </c>
      <c r="HP170" s="675">
        <v>0</v>
      </c>
      <c r="HQ170" s="675">
        <v>0</v>
      </c>
      <c r="HR170" s="675">
        <v>0</v>
      </c>
      <c r="HS170" s="675">
        <v>696564</v>
      </c>
      <c r="HT170" s="675">
        <v>15301</v>
      </c>
      <c r="HU170" s="675">
        <v>0</v>
      </c>
      <c r="HV170" s="675">
        <v>0</v>
      </c>
      <c r="HW170" s="675">
        <v>0</v>
      </c>
      <c r="HX170" s="675">
        <v>8</v>
      </c>
      <c r="HY170" s="675">
        <v>14</v>
      </c>
      <c r="HZ170" s="675">
        <v>11</v>
      </c>
      <c r="IA170" s="675">
        <v>16</v>
      </c>
      <c r="IB170" s="675">
        <v>10</v>
      </c>
      <c r="IC170" s="675">
        <v>59</v>
      </c>
      <c r="ID170" s="675">
        <v>0</v>
      </c>
      <c r="IE170" s="675">
        <v>0</v>
      </c>
      <c r="IF170" s="675">
        <v>0</v>
      </c>
      <c r="IG170" s="675">
        <v>5</v>
      </c>
      <c r="IH170" s="675">
        <v>30.208000000000002</v>
      </c>
      <c r="II170" s="675">
        <v>0</v>
      </c>
      <c r="IJ170" s="675">
        <v>18.875</v>
      </c>
      <c r="IK170" s="675">
        <v>0</v>
      </c>
      <c r="IL170" s="675">
        <v>0</v>
      </c>
      <c r="IM170" s="675">
        <v>0</v>
      </c>
      <c r="IN170" s="675">
        <v>0</v>
      </c>
      <c r="IO170" s="675">
        <v>0</v>
      </c>
      <c r="IP170" s="675">
        <v>0</v>
      </c>
      <c r="IQ170" s="675">
        <v>18.875</v>
      </c>
      <c r="IR170" s="675">
        <v>11627</v>
      </c>
      <c r="IS170" s="675">
        <v>0</v>
      </c>
      <c r="IT170" s="675">
        <v>0</v>
      </c>
      <c r="IU170" s="675">
        <v>0</v>
      </c>
      <c r="IV170" s="675">
        <v>0</v>
      </c>
      <c r="IW170" s="675">
        <v>6160</v>
      </c>
      <c r="IX170" s="675">
        <v>0</v>
      </c>
      <c r="IY170" s="675">
        <v>0</v>
      </c>
      <c r="IZ170" s="675">
        <v>0</v>
      </c>
      <c r="JA170" s="675">
        <v>0</v>
      </c>
      <c r="JB170" s="675">
        <v>0</v>
      </c>
      <c r="JC170" s="675">
        <v>0</v>
      </c>
      <c r="JD170" s="675">
        <v>0</v>
      </c>
      <c r="JE170" s="675">
        <v>0</v>
      </c>
      <c r="JF170" s="675">
        <v>0</v>
      </c>
      <c r="JG170" s="675">
        <v>0</v>
      </c>
      <c r="JH170" s="675">
        <v>0</v>
      </c>
      <c r="JI170" s="675">
        <v>0</v>
      </c>
      <c r="JJ170" s="675">
        <v>0</v>
      </c>
      <c r="JK170" s="675">
        <v>0</v>
      </c>
      <c r="JL170" s="675">
        <v>0</v>
      </c>
      <c r="JM170" s="675">
        <v>0</v>
      </c>
      <c r="JN170" s="675">
        <v>32469</v>
      </c>
      <c r="JO170" s="675">
        <v>0</v>
      </c>
      <c r="JP170" s="675">
        <v>0</v>
      </c>
      <c r="JQ170" s="675">
        <v>0</v>
      </c>
      <c r="JR170" s="675">
        <v>0</v>
      </c>
      <c r="JS170" s="675">
        <v>0</v>
      </c>
      <c r="JT170" s="675">
        <v>0</v>
      </c>
      <c r="JU170" s="675">
        <v>0</v>
      </c>
      <c r="JV170" s="675">
        <v>0</v>
      </c>
      <c r="JW170" s="675">
        <v>0</v>
      </c>
      <c r="JX170" s="675">
        <v>0</v>
      </c>
      <c r="JY170" s="675">
        <v>0</v>
      </c>
      <c r="JZ170" s="675">
        <v>0</v>
      </c>
      <c r="KA170" s="675">
        <v>0</v>
      </c>
      <c r="KB170" s="675">
        <v>0</v>
      </c>
      <c r="KC170" s="675">
        <v>0</v>
      </c>
      <c r="KD170" s="675">
        <v>0</v>
      </c>
      <c r="KE170" s="675">
        <v>7263</v>
      </c>
      <c r="KF170" s="675">
        <v>0</v>
      </c>
      <c r="KG170" s="675">
        <v>0</v>
      </c>
      <c r="KH170" s="675">
        <v>0</v>
      </c>
      <c r="KI170" s="675">
        <v>0</v>
      </c>
    </row>
    <row r="171" spans="1:295" ht="12.5" x14ac:dyDescent="0.25">
      <c r="A171" s="675">
        <v>35795</v>
      </c>
      <c r="B171" s="675">
        <v>101853</v>
      </c>
      <c r="C171" s="675">
        <v>7</v>
      </c>
      <c r="D171" s="675">
        <v>2022</v>
      </c>
      <c r="E171" s="675">
        <v>6160</v>
      </c>
      <c r="F171" s="675">
        <v>0</v>
      </c>
      <c r="G171" s="675">
        <v>1102.971</v>
      </c>
      <c r="H171" s="675">
        <v>1072.4590000000001</v>
      </c>
      <c r="I171" s="675">
        <v>1072.4590000000001</v>
      </c>
      <c r="J171" s="675">
        <v>1102.971</v>
      </c>
      <c r="K171" s="675">
        <v>0</v>
      </c>
      <c r="L171" s="675">
        <v>6160</v>
      </c>
      <c r="M171" s="675">
        <v>0</v>
      </c>
      <c r="N171" s="675">
        <v>0</v>
      </c>
      <c r="O171" s="675">
        <v>0</v>
      </c>
      <c r="P171" s="675">
        <v>1005.7220000000001</v>
      </c>
      <c r="Q171" s="675">
        <v>0</v>
      </c>
      <c r="R171" s="675">
        <v>404731</v>
      </c>
      <c r="S171" s="675">
        <v>402.428</v>
      </c>
      <c r="T171" s="675">
        <v>0</v>
      </c>
      <c r="U171" s="675">
        <v>215225</v>
      </c>
      <c r="V171" s="675">
        <v>424.47800000000001</v>
      </c>
      <c r="W171" s="675">
        <v>261477</v>
      </c>
      <c r="X171" s="675">
        <v>261477</v>
      </c>
      <c r="Y171" s="675">
        <v>0</v>
      </c>
      <c r="Z171" s="675">
        <v>0</v>
      </c>
      <c r="AA171" s="675">
        <v>0</v>
      </c>
      <c r="AB171" s="675">
        <v>0</v>
      </c>
      <c r="AC171" s="675">
        <v>0</v>
      </c>
      <c r="AD171" s="675" t="s">
        <v>316</v>
      </c>
      <c r="AE171" s="675">
        <v>0</v>
      </c>
      <c r="AF171" s="675">
        <v>0</v>
      </c>
      <c r="AG171" s="675">
        <v>0</v>
      </c>
      <c r="AH171" s="675">
        <v>0</v>
      </c>
      <c r="AI171" s="675">
        <v>0</v>
      </c>
      <c r="AJ171" s="675">
        <v>6160</v>
      </c>
      <c r="AK171" s="675" t="s">
        <v>671</v>
      </c>
      <c r="AL171" s="675" t="s">
        <v>99</v>
      </c>
      <c r="AM171" s="675">
        <v>0</v>
      </c>
      <c r="AN171" s="675">
        <v>0</v>
      </c>
      <c r="AO171" s="675">
        <v>0</v>
      </c>
      <c r="AP171" s="675">
        <v>0</v>
      </c>
      <c r="AQ171" s="675">
        <v>0</v>
      </c>
      <c r="AR171" s="675">
        <v>0</v>
      </c>
      <c r="AS171" s="675">
        <v>0</v>
      </c>
      <c r="AT171" s="675">
        <v>0</v>
      </c>
      <c r="AU171" s="675">
        <v>0</v>
      </c>
      <c r="AV171" s="675">
        <v>0</v>
      </c>
      <c r="AW171" s="675">
        <v>13148012</v>
      </c>
      <c r="AX171" s="675">
        <v>12955884</v>
      </c>
      <c r="AY171" s="675">
        <v>9018662</v>
      </c>
      <c r="AZ171" s="675">
        <v>404731</v>
      </c>
      <c r="BA171" s="675">
        <v>0</v>
      </c>
      <c r="BB171" s="675">
        <v>0</v>
      </c>
      <c r="BC171" s="675">
        <v>0</v>
      </c>
      <c r="BD171" s="675">
        <v>0</v>
      </c>
      <c r="BE171" s="675">
        <v>0</v>
      </c>
      <c r="BF171" s="675">
        <v>11899807</v>
      </c>
      <c r="BG171" s="675">
        <v>0</v>
      </c>
      <c r="BH171" s="675">
        <v>0</v>
      </c>
      <c r="BI171" s="675">
        <v>0</v>
      </c>
      <c r="BJ171" s="675">
        <v>12</v>
      </c>
      <c r="BK171" s="675">
        <v>0</v>
      </c>
      <c r="BL171" s="675">
        <v>0</v>
      </c>
      <c r="BM171" s="675">
        <v>0</v>
      </c>
      <c r="BN171" s="675">
        <v>0</v>
      </c>
      <c r="BO171" s="675">
        <v>0</v>
      </c>
      <c r="BP171" s="675">
        <v>0</v>
      </c>
      <c r="BQ171" s="675">
        <v>605</v>
      </c>
      <c r="BR171" s="675">
        <v>0</v>
      </c>
      <c r="BS171" s="675">
        <v>0</v>
      </c>
      <c r="BT171" s="675">
        <v>0</v>
      </c>
      <c r="BU171" s="675">
        <v>0</v>
      </c>
      <c r="BV171" s="675">
        <v>0</v>
      </c>
      <c r="BW171" s="675">
        <v>0</v>
      </c>
      <c r="BX171" s="675">
        <v>0</v>
      </c>
      <c r="BY171" s="675">
        <v>0</v>
      </c>
      <c r="BZ171" s="675">
        <v>0</v>
      </c>
      <c r="CA171" s="675">
        <v>0</v>
      </c>
      <c r="CB171" s="675">
        <v>0</v>
      </c>
      <c r="CC171" s="675">
        <v>0</v>
      </c>
      <c r="CD171" s="675">
        <v>0</v>
      </c>
      <c r="CE171" s="675">
        <v>0</v>
      </c>
      <c r="CF171" s="675">
        <v>0</v>
      </c>
      <c r="CG171" s="675">
        <v>0</v>
      </c>
      <c r="CH171" s="675">
        <v>194736</v>
      </c>
      <c r="CI171" s="675">
        <v>0</v>
      </c>
      <c r="CJ171" s="675">
        <v>4</v>
      </c>
      <c r="CK171" s="675">
        <v>0</v>
      </c>
      <c r="CL171" s="675">
        <v>0</v>
      </c>
      <c r="CM171" s="675">
        <v>0</v>
      </c>
      <c r="CN171" s="675">
        <v>0</v>
      </c>
      <c r="CO171" s="675">
        <v>1</v>
      </c>
      <c r="CP171" s="675">
        <v>0</v>
      </c>
      <c r="CQ171" s="675">
        <v>0</v>
      </c>
      <c r="CR171" s="675">
        <v>1102.566</v>
      </c>
      <c r="CS171" s="675">
        <v>0</v>
      </c>
      <c r="CT171" s="675">
        <v>0</v>
      </c>
      <c r="CU171" s="675">
        <v>0</v>
      </c>
      <c r="CV171" s="675">
        <v>0</v>
      </c>
      <c r="CW171" s="675">
        <v>0</v>
      </c>
      <c r="CX171" s="675">
        <v>0</v>
      </c>
      <c r="CY171" s="675">
        <v>0</v>
      </c>
      <c r="CZ171" s="675">
        <v>0</v>
      </c>
      <c r="DA171" s="675">
        <v>0</v>
      </c>
      <c r="DB171" s="675">
        <v>6606317</v>
      </c>
      <c r="DC171" s="675">
        <v>0</v>
      </c>
      <c r="DD171" s="675">
        <v>0</v>
      </c>
      <c r="DE171" s="675">
        <v>2748656</v>
      </c>
      <c r="DF171" s="675">
        <v>2748656</v>
      </c>
      <c r="DG171" s="675">
        <v>446.21300000000002</v>
      </c>
      <c r="DH171" s="675">
        <v>0</v>
      </c>
      <c r="DI171" s="675">
        <v>0</v>
      </c>
      <c r="DJ171" s="675">
        <v>0</v>
      </c>
      <c r="DK171" s="675">
        <v>1300</v>
      </c>
      <c r="DL171" s="675">
        <v>0</v>
      </c>
      <c r="DM171" s="675">
        <v>693239</v>
      </c>
      <c r="DN171" s="675">
        <v>2608</v>
      </c>
      <c r="DO171" s="675">
        <v>0</v>
      </c>
      <c r="DP171" s="675">
        <v>0</v>
      </c>
      <c r="DQ171" s="675">
        <v>0</v>
      </c>
      <c r="DR171" s="675">
        <v>0</v>
      </c>
      <c r="DS171" s="675">
        <v>0</v>
      </c>
      <c r="DT171" s="675">
        <v>0</v>
      </c>
      <c r="DU171" s="675">
        <v>0</v>
      </c>
      <c r="DV171" s="675">
        <v>0</v>
      </c>
      <c r="DW171" s="675">
        <v>0</v>
      </c>
      <c r="DX171" s="675">
        <v>0</v>
      </c>
      <c r="DY171" s="675">
        <v>0</v>
      </c>
      <c r="DZ171" s="675">
        <v>0</v>
      </c>
      <c r="EA171" s="675">
        <v>0</v>
      </c>
      <c r="EB171" s="675">
        <v>0</v>
      </c>
      <c r="EC171" s="675">
        <v>11.571</v>
      </c>
      <c r="ED171" s="675">
        <v>81969</v>
      </c>
      <c r="EE171" s="675">
        <v>0</v>
      </c>
      <c r="EF171" s="675">
        <v>0</v>
      </c>
      <c r="EG171" s="675">
        <v>0</v>
      </c>
      <c r="EH171" s="675">
        <v>613878</v>
      </c>
      <c r="EI171" s="675">
        <v>0</v>
      </c>
      <c r="EJ171" s="675">
        <v>0</v>
      </c>
      <c r="EK171" s="675">
        <v>24.589000000000002</v>
      </c>
      <c r="EL171" s="675">
        <v>0</v>
      </c>
      <c r="EM171" s="675">
        <v>1.863</v>
      </c>
      <c r="EN171" s="675">
        <v>4.0600000000000005</v>
      </c>
      <c r="EO171" s="675">
        <v>0</v>
      </c>
      <c r="EP171" s="675">
        <v>0</v>
      </c>
      <c r="EQ171" s="675">
        <v>30.512</v>
      </c>
      <c r="ER171" s="675">
        <v>0</v>
      </c>
      <c r="ES171" s="675">
        <v>99.656000000000006</v>
      </c>
      <c r="ET171" s="675">
        <v>0</v>
      </c>
      <c r="EU171" s="675">
        <v>0</v>
      </c>
      <c r="EV171" s="675">
        <v>0</v>
      </c>
      <c r="EW171" s="675">
        <v>0</v>
      </c>
      <c r="EX171" s="675">
        <v>0</v>
      </c>
      <c r="EY171" s="675">
        <v>0</v>
      </c>
      <c r="EZ171" s="675">
        <v>11495076</v>
      </c>
      <c r="FA171" s="675">
        <v>0</v>
      </c>
      <c r="FB171" s="675">
        <v>11897199</v>
      </c>
      <c r="FC171" s="675">
        <v>0</v>
      </c>
      <c r="FD171" s="675">
        <v>0</v>
      </c>
      <c r="FE171" s="675">
        <v>1210454</v>
      </c>
      <c r="FF171" s="675">
        <v>250354</v>
      </c>
      <c r="FG171" s="675">
        <v>6.3574999999999993E-2</v>
      </c>
      <c r="FH171" s="675">
        <v>2.6297999999999998E-2</v>
      </c>
      <c r="FI171" s="675">
        <v>0</v>
      </c>
      <c r="FJ171" s="675">
        <v>0</v>
      </c>
      <c r="FK171" s="675">
        <v>1931.796</v>
      </c>
      <c r="FL171" s="675">
        <v>13552743</v>
      </c>
      <c r="FM171" s="675">
        <v>0</v>
      </c>
      <c r="FN171" s="675">
        <v>0</v>
      </c>
      <c r="FO171" s="675">
        <v>0</v>
      </c>
      <c r="FP171" s="675">
        <v>0</v>
      </c>
      <c r="FQ171" s="675">
        <v>0</v>
      </c>
      <c r="FR171" s="675">
        <v>0</v>
      </c>
      <c r="FS171" s="675">
        <v>0</v>
      </c>
      <c r="FT171" s="675">
        <v>0</v>
      </c>
      <c r="FU171" s="675">
        <v>0</v>
      </c>
      <c r="FV171" s="675">
        <v>0</v>
      </c>
      <c r="FW171" s="675">
        <v>0</v>
      </c>
      <c r="FX171" s="675">
        <v>0</v>
      </c>
      <c r="FY171" s="675">
        <v>0</v>
      </c>
      <c r="FZ171" s="675">
        <v>0</v>
      </c>
      <c r="GA171" s="675">
        <v>0</v>
      </c>
      <c r="GB171" s="675">
        <v>0</v>
      </c>
      <c r="GC171" s="675">
        <v>0</v>
      </c>
      <c r="GD171" s="675">
        <v>0</v>
      </c>
      <c r="GE171" s="675">
        <v>0</v>
      </c>
      <c r="GF171" s="675">
        <v>0</v>
      </c>
      <c r="GG171" s="675">
        <v>0</v>
      </c>
      <c r="GH171" s="675">
        <v>0</v>
      </c>
      <c r="GI171" s="675">
        <v>0</v>
      </c>
      <c r="GJ171" s="675">
        <v>0</v>
      </c>
      <c r="GK171" s="675">
        <v>0</v>
      </c>
      <c r="GL171" s="675">
        <v>0</v>
      </c>
      <c r="GM171" s="675">
        <v>0</v>
      </c>
      <c r="GN171" s="675">
        <v>0</v>
      </c>
      <c r="GO171" s="675">
        <v>0</v>
      </c>
      <c r="GP171" s="675">
        <v>0</v>
      </c>
      <c r="GQ171" s="675">
        <v>0</v>
      </c>
      <c r="GR171" s="675">
        <v>0</v>
      </c>
      <c r="GS171" s="675">
        <v>0</v>
      </c>
      <c r="GT171" s="675">
        <v>0</v>
      </c>
      <c r="GU171" s="675">
        <v>0</v>
      </c>
      <c r="GV171" s="675">
        <v>0</v>
      </c>
      <c r="GW171" s="675">
        <v>0</v>
      </c>
      <c r="GX171" s="675">
        <v>0</v>
      </c>
      <c r="GY171" s="675">
        <v>0</v>
      </c>
      <c r="GZ171" s="675">
        <v>0</v>
      </c>
      <c r="HA171" s="675">
        <v>0</v>
      </c>
      <c r="HB171" s="675">
        <v>308877260</v>
      </c>
      <c r="HC171" s="675">
        <v>4.4138999999999998E-2</v>
      </c>
      <c r="HD171" s="675">
        <v>194736</v>
      </c>
      <c r="HE171" s="675">
        <v>0</v>
      </c>
      <c r="HF171" s="675">
        <v>1182922</v>
      </c>
      <c r="HG171" s="675">
        <v>0</v>
      </c>
      <c r="HH171" s="675">
        <v>354267</v>
      </c>
      <c r="HI171" s="675">
        <v>0</v>
      </c>
      <c r="HJ171" s="675">
        <v>10721</v>
      </c>
      <c r="HK171" s="675">
        <v>0</v>
      </c>
      <c r="HL171" s="675">
        <v>0</v>
      </c>
      <c r="HM171" s="675">
        <v>0</v>
      </c>
      <c r="HN171" s="675">
        <v>0</v>
      </c>
      <c r="HO171" s="675">
        <v>39600</v>
      </c>
      <c r="HP171" s="675">
        <v>0</v>
      </c>
      <c r="HQ171" s="675">
        <v>0</v>
      </c>
      <c r="HR171" s="675">
        <v>0</v>
      </c>
      <c r="HS171" s="675">
        <v>11492468</v>
      </c>
      <c r="HT171" s="675">
        <v>250354</v>
      </c>
      <c r="HU171" s="675">
        <v>0</v>
      </c>
      <c r="HV171" s="675">
        <v>0</v>
      </c>
      <c r="HW171" s="675">
        <v>0</v>
      </c>
      <c r="HX171" s="675">
        <v>90</v>
      </c>
      <c r="HY171" s="675">
        <v>116</v>
      </c>
      <c r="HZ171" s="675">
        <v>297</v>
      </c>
      <c r="IA171" s="675">
        <v>489</v>
      </c>
      <c r="IB171" s="675">
        <v>712</v>
      </c>
      <c r="IC171" s="675">
        <v>1704</v>
      </c>
      <c r="ID171" s="675">
        <v>0</v>
      </c>
      <c r="IE171" s="675">
        <v>0</v>
      </c>
      <c r="IF171" s="675">
        <v>0</v>
      </c>
      <c r="IG171" s="675">
        <v>0</v>
      </c>
      <c r="IH171" s="675">
        <v>575.11200000000008</v>
      </c>
      <c r="II171" s="675">
        <v>0</v>
      </c>
      <c r="IJ171" s="675">
        <v>424.47800000000001</v>
      </c>
      <c r="IK171" s="675">
        <v>0</v>
      </c>
      <c r="IL171" s="675">
        <v>0</v>
      </c>
      <c r="IM171" s="675">
        <v>0</v>
      </c>
      <c r="IN171" s="675">
        <v>0</v>
      </c>
      <c r="IO171" s="675">
        <v>0</v>
      </c>
      <c r="IP171" s="675">
        <v>0</v>
      </c>
      <c r="IQ171" s="675">
        <v>424.47800000000001</v>
      </c>
      <c r="IR171" s="675">
        <v>261477</v>
      </c>
      <c r="IS171" s="675">
        <v>0</v>
      </c>
      <c r="IT171" s="675">
        <v>0</v>
      </c>
      <c r="IU171" s="675">
        <v>0</v>
      </c>
      <c r="IV171" s="675">
        <v>0</v>
      </c>
      <c r="IW171" s="675">
        <v>6160</v>
      </c>
      <c r="IX171" s="675">
        <v>0</v>
      </c>
      <c r="IY171" s="675">
        <v>0</v>
      </c>
      <c r="IZ171" s="675">
        <v>0</v>
      </c>
      <c r="JA171" s="675">
        <v>0</v>
      </c>
      <c r="JB171" s="675">
        <v>0</v>
      </c>
      <c r="JC171" s="675">
        <v>0</v>
      </c>
      <c r="JD171" s="675">
        <v>0</v>
      </c>
      <c r="JE171" s="675">
        <v>0</v>
      </c>
      <c r="JF171" s="675">
        <v>0</v>
      </c>
      <c r="JG171" s="675">
        <v>0</v>
      </c>
      <c r="JH171" s="675">
        <v>0</v>
      </c>
      <c r="JI171" s="675">
        <v>0</v>
      </c>
      <c r="JJ171" s="675">
        <v>0</v>
      </c>
      <c r="JK171" s="675">
        <v>0</v>
      </c>
      <c r="JL171" s="675">
        <v>0</v>
      </c>
      <c r="JM171" s="675">
        <v>0</v>
      </c>
      <c r="JN171" s="675">
        <v>32469</v>
      </c>
      <c r="JO171" s="675">
        <v>0</v>
      </c>
      <c r="JP171" s="675">
        <v>0</v>
      </c>
      <c r="JQ171" s="675">
        <v>0</v>
      </c>
      <c r="JR171" s="675">
        <v>0</v>
      </c>
      <c r="JS171" s="675">
        <v>0</v>
      </c>
      <c r="JT171" s="675">
        <v>0</v>
      </c>
      <c r="JU171" s="675">
        <v>0</v>
      </c>
      <c r="JV171" s="675">
        <v>0</v>
      </c>
      <c r="JW171" s="675">
        <v>0</v>
      </c>
      <c r="JX171" s="675">
        <v>0</v>
      </c>
      <c r="JY171" s="675">
        <v>0</v>
      </c>
      <c r="JZ171" s="675">
        <v>0</v>
      </c>
      <c r="KA171" s="675">
        <v>0</v>
      </c>
      <c r="KB171" s="675">
        <v>0</v>
      </c>
      <c r="KC171" s="675">
        <v>0</v>
      </c>
      <c r="KD171" s="675">
        <v>0</v>
      </c>
      <c r="KE171" s="675">
        <v>7263</v>
      </c>
      <c r="KF171" s="675">
        <v>0</v>
      </c>
      <c r="KG171" s="675">
        <v>0</v>
      </c>
      <c r="KH171" s="675">
        <v>0</v>
      </c>
      <c r="KI171" s="675">
        <v>0</v>
      </c>
    </row>
    <row r="172" spans="1:295" ht="12.5" x14ac:dyDescent="0.25">
      <c r="A172" s="675">
        <v>35795</v>
      </c>
      <c r="B172" s="675">
        <v>101855</v>
      </c>
      <c r="C172" s="675">
        <v>7</v>
      </c>
      <c r="D172" s="675">
        <v>2022</v>
      </c>
      <c r="E172" s="675">
        <v>6160</v>
      </c>
      <c r="F172" s="675">
        <v>0</v>
      </c>
      <c r="G172" s="675">
        <v>229.62800000000001</v>
      </c>
      <c r="H172" s="675">
        <v>225.422</v>
      </c>
      <c r="I172" s="675">
        <v>225.422</v>
      </c>
      <c r="J172" s="675">
        <v>229.62800000000001</v>
      </c>
      <c r="K172" s="675">
        <v>0</v>
      </c>
      <c r="L172" s="675">
        <v>6160</v>
      </c>
      <c r="M172" s="675">
        <v>0</v>
      </c>
      <c r="N172" s="675">
        <v>0</v>
      </c>
      <c r="O172" s="675">
        <v>0</v>
      </c>
      <c r="P172" s="675">
        <v>221.82400000000001</v>
      </c>
      <c r="Q172" s="675">
        <v>0</v>
      </c>
      <c r="R172" s="675">
        <v>89268</v>
      </c>
      <c r="S172" s="675">
        <v>402.428</v>
      </c>
      <c r="T172" s="675">
        <v>0</v>
      </c>
      <c r="U172" s="675">
        <v>47471</v>
      </c>
      <c r="V172" s="675">
        <v>3.2410000000000001</v>
      </c>
      <c r="W172" s="675">
        <v>1996</v>
      </c>
      <c r="X172" s="675">
        <v>1996</v>
      </c>
      <c r="Y172" s="675">
        <v>0</v>
      </c>
      <c r="Z172" s="675">
        <v>0</v>
      </c>
      <c r="AA172" s="675">
        <v>0</v>
      </c>
      <c r="AB172" s="675">
        <v>0</v>
      </c>
      <c r="AC172" s="675">
        <v>0</v>
      </c>
      <c r="AD172" s="675" t="s">
        <v>316</v>
      </c>
      <c r="AE172" s="675">
        <v>0</v>
      </c>
      <c r="AF172" s="675">
        <v>0</v>
      </c>
      <c r="AG172" s="675">
        <v>0</v>
      </c>
      <c r="AH172" s="675">
        <v>0</v>
      </c>
      <c r="AI172" s="675">
        <v>0</v>
      </c>
      <c r="AJ172" s="675">
        <v>6160</v>
      </c>
      <c r="AK172" s="675" t="s">
        <v>671</v>
      </c>
      <c r="AL172" s="675" t="s">
        <v>2</v>
      </c>
      <c r="AM172" s="675">
        <v>0</v>
      </c>
      <c r="AN172" s="675">
        <v>0</v>
      </c>
      <c r="AO172" s="675">
        <v>0</v>
      </c>
      <c r="AP172" s="675">
        <v>0</v>
      </c>
      <c r="AQ172" s="675">
        <v>0</v>
      </c>
      <c r="AR172" s="675">
        <v>0</v>
      </c>
      <c r="AS172" s="675">
        <v>0</v>
      </c>
      <c r="AT172" s="675">
        <v>0</v>
      </c>
      <c r="AU172" s="675">
        <v>0</v>
      </c>
      <c r="AV172" s="675">
        <v>0</v>
      </c>
      <c r="AW172" s="675">
        <v>2421399</v>
      </c>
      <c r="AX172" s="675">
        <v>2381211</v>
      </c>
      <c r="AY172" s="675">
        <v>1621460</v>
      </c>
      <c r="AZ172" s="675">
        <v>89268</v>
      </c>
      <c r="BA172" s="675">
        <v>0</v>
      </c>
      <c r="BB172" s="675">
        <v>0</v>
      </c>
      <c r="BC172" s="675">
        <v>0</v>
      </c>
      <c r="BD172" s="675">
        <v>0</v>
      </c>
      <c r="BE172" s="675">
        <v>0</v>
      </c>
      <c r="BF172" s="675">
        <v>2194408</v>
      </c>
      <c r="BG172" s="675">
        <v>0</v>
      </c>
      <c r="BH172" s="675">
        <v>0</v>
      </c>
      <c r="BI172" s="675">
        <v>0</v>
      </c>
      <c r="BJ172" s="675">
        <v>12</v>
      </c>
      <c r="BK172" s="675">
        <v>0</v>
      </c>
      <c r="BL172" s="675">
        <v>0</v>
      </c>
      <c r="BM172" s="675">
        <v>0</v>
      </c>
      <c r="BN172" s="675">
        <v>0</v>
      </c>
      <c r="BO172" s="675">
        <v>0</v>
      </c>
      <c r="BP172" s="675">
        <v>0</v>
      </c>
      <c r="BQ172" s="675">
        <v>735</v>
      </c>
      <c r="BR172" s="675">
        <v>0</v>
      </c>
      <c r="BS172" s="675">
        <v>0</v>
      </c>
      <c r="BT172" s="675">
        <v>0</v>
      </c>
      <c r="BU172" s="675">
        <v>0</v>
      </c>
      <c r="BV172" s="675">
        <v>0</v>
      </c>
      <c r="BW172" s="675">
        <v>0</v>
      </c>
      <c r="BX172" s="675">
        <v>0</v>
      </c>
      <c r="BY172" s="675">
        <v>0</v>
      </c>
      <c r="BZ172" s="675">
        <v>0</v>
      </c>
      <c r="CA172" s="675">
        <v>0</v>
      </c>
      <c r="CB172" s="675">
        <v>0</v>
      </c>
      <c r="CC172" s="675">
        <v>0</v>
      </c>
      <c r="CD172" s="675">
        <v>0</v>
      </c>
      <c r="CE172" s="675">
        <v>0</v>
      </c>
      <c r="CF172" s="675">
        <v>0</v>
      </c>
      <c r="CG172" s="675">
        <v>0</v>
      </c>
      <c r="CH172" s="675">
        <v>40542</v>
      </c>
      <c r="CI172" s="675">
        <v>0</v>
      </c>
      <c r="CJ172" s="675">
        <v>4</v>
      </c>
      <c r="CK172" s="675">
        <v>0</v>
      </c>
      <c r="CL172" s="675">
        <v>0</v>
      </c>
      <c r="CM172" s="675">
        <v>0</v>
      </c>
      <c r="CN172" s="675">
        <v>0</v>
      </c>
      <c r="CO172" s="675">
        <v>1</v>
      </c>
      <c r="CP172" s="675">
        <v>0</v>
      </c>
      <c r="CQ172" s="675">
        <v>0</v>
      </c>
      <c r="CR172" s="675">
        <v>230.21900000000002</v>
      </c>
      <c r="CS172" s="675">
        <v>0</v>
      </c>
      <c r="CT172" s="675">
        <v>0</v>
      </c>
      <c r="CU172" s="675">
        <v>0</v>
      </c>
      <c r="CV172" s="675">
        <v>0</v>
      </c>
      <c r="CW172" s="675">
        <v>0</v>
      </c>
      <c r="CX172" s="675">
        <v>0</v>
      </c>
      <c r="CY172" s="675">
        <v>0</v>
      </c>
      <c r="CZ172" s="675">
        <v>0</v>
      </c>
      <c r="DA172" s="675">
        <v>0</v>
      </c>
      <c r="DB172" s="675">
        <v>1388593</v>
      </c>
      <c r="DC172" s="675">
        <v>0</v>
      </c>
      <c r="DD172" s="675">
        <v>0</v>
      </c>
      <c r="DE172" s="675">
        <v>377606</v>
      </c>
      <c r="DF172" s="675">
        <v>377606</v>
      </c>
      <c r="DG172" s="675">
        <v>61.300000000000004</v>
      </c>
      <c r="DH172" s="675">
        <v>0</v>
      </c>
      <c r="DI172" s="675">
        <v>0</v>
      </c>
      <c r="DJ172" s="675">
        <v>0</v>
      </c>
      <c r="DK172" s="675">
        <v>3387</v>
      </c>
      <c r="DL172" s="675">
        <v>0</v>
      </c>
      <c r="DM172" s="675">
        <v>94053</v>
      </c>
      <c r="DN172" s="675">
        <v>354</v>
      </c>
      <c r="DO172" s="675">
        <v>0</v>
      </c>
      <c r="DP172" s="675">
        <v>0</v>
      </c>
      <c r="DQ172" s="675">
        <v>0</v>
      </c>
      <c r="DR172" s="675">
        <v>0</v>
      </c>
      <c r="DS172" s="675">
        <v>0</v>
      </c>
      <c r="DT172" s="675">
        <v>0</v>
      </c>
      <c r="DU172" s="675">
        <v>0</v>
      </c>
      <c r="DV172" s="675">
        <v>0</v>
      </c>
      <c r="DW172" s="675">
        <v>0</v>
      </c>
      <c r="DX172" s="675">
        <v>0</v>
      </c>
      <c r="DY172" s="675">
        <v>0</v>
      </c>
      <c r="DZ172" s="675">
        <v>0</v>
      </c>
      <c r="EA172" s="675">
        <v>0</v>
      </c>
      <c r="EB172" s="675">
        <v>0</v>
      </c>
      <c r="EC172" s="675">
        <v>1.212</v>
      </c>
      <c r="ED172" s="675">
        <v>8586</v>
      </c>
      <c r="EE172" s="675">
        <v>0</v>
      </c>
      <c r="EF172" s="675">
        <v>0</v>
      </c>
      <c r="EG172" s="675">
        <v>0</v>
      </c>
      <c r="EH172" s="675">
        <v>85821</v>
      </c>
      <c r="EI172" s="675">
        <v>0</v>
      </c>
      <c r="EJ172" s="675">
        <v>0</v>
      </c>
      <c r="EK172" s="675">
        <v>3.5490000000000004</v>
      </c>
      <c r="EL172" s="675">
        <v>0</v>
      </c>
      <c r="EM172" s="675">
        <v>0</v>
      </c>
      <c r="EN172" s="675">
        <v>0.65700000000000003</v>
      </c>
      <c r="EO172" s="675">
        <v>0</v>
      </c>
      <c r="EP172" s="675">
        <v>0</v>
      </c>
      <c r="EQ172" s="675">
        <v>4.2060000000000004</v>
      </c>
      <c r="ER172" s="675">
        <v>0</v>
      </c>
      <c r="ES172" s="675">
        <v>13.932</v>
      </c>
      <c r="ET172" s="675">
        <v>0</v>
      </c>
      <c r="EU172" s="675">
        <v>0</v>
      </c>
      <c r="EV172" s="675">
        <v>0</v>
      </c>
      <c r="EW172" s="675">
        <v>0</v>
      </c>
      <c r="EX172" s="675">
        <v>0</v>
      </c>
      <c r="EY172" s="675">
        <v>0</v>
      </c>
      <c r="EZ172" s="675">
        <v>2111828</v>
      </c>
      <c r="FA172" s="675">
        <v>0</v>
      </c>
      <c r="FB172" s="675">
        <v>2200742</v>
      </c>
      <c r="FC172" s="675">
        <v>0</v>
      </c>
      <c r="FD172" s="675">
        <v>0</v>
      </c>
      <c r="FE172" s="675">
        <v>223216</v>
      </c>
      <c r="FF172" s="675">
        <v>46167</v>
      </c>
      <c r="FG172" s="675">
        <v>6.3574999999999993E-2</v>
      </c>
      <c r="FH172" s="675">
        <v>2.6297999999999998E-2</v>
      </c>
      <c r="FI172" s="675">
        <v>0</v>
      </c>
      <c r="FJ172" s="675">
        <v>0</v>
      </c>
      <c r="FK172" s="675">
        <v>356.23700000000002</v>
      </c>
      <c r="FL172" s="675">
        <v>2510667</v>
      </c>
      <c r="FM172" s="675">
        <v>0</v>
      </c>
      <c r="FN172" s="675">
        <v>0</v>
      </c>
      <c r="FO172" s="675">
        <v>6688</v>
      </c>
      <c r="FP172" s="675">
        <v>0</v>
      </c>
      <c r="FQ172" s="675">
        <v>6688</v>
      </c>
      <c r="FR172" s="675">
        <v>6688</v>
      </c>
      <c r="FS172" s="675">
        <v>0</v>
      </c>
      <c r="FT172" s="675">
        <v>0</v>
      </c>
      <c r="FU172" s="675">
        <v>0</v>
      </c>
      <c r="FV172" s="675">
        <v>0</v>
      </c>
      <c r="FW172" s="675">
        <v>0</v>
      </c>
      <c r="FX172" s="675">
        <v>0</v>
      </c>
      <c r="FY172" s="675">
        <v>0</v>
      </c>
      <c r="FZ172" s="675">
        <v>0</v>
      </c>
      <c r="GA172" s="675">
        <v>0</v>
      </c>
      <c r="GB172" s="675">
        <v>0</v>
      </c>
      <c r="GC172" s="675">
        <v>0</v>
      </c>
      <c r="GD172" s="675">
        <v>0</v>
      </c>
      <c r="GE172" s="675">
        <v>0</v>
      </c>
      <c r="GF172" s="675">
        <v>0</v>
      </c>
      <c r="GG172" s="675">
        <v>0</v>
      </c>
      <c r="GH172" s="675">
        <v>0</v>
      </c>
      <c r="GI172" s="675">
        <v>0</v>
      </c>
      <c r="GJ172" s="675">
        <v>0</v>
      </c>
      <c r="GK172" s="675">
        <v>0</v>
      </c>
      <c r="GL172" s="675">
        <v>0</v>
      </c>
      <c r="GM172" s="675">
        <v>0</v>
      </c>
      <c r="GN172" s="675">
        <v>0</v>
      </c>
      <c r="GO172" s="675">
        <v>0</v>
      </c>
      <c r="GP172" s="675">
        <v>0</v>
      </c>
      <c r="GQ172" s="675">
        <v>0</v>
      </c>
      <c r="GR172" s="675">
        <v>0</v>
      </c>
      <c r="GS172" s="675">
        <v>0</v>
      </c>
      <c r="GT172" s="675">
        <v>0</v>
      </c>
      <c r="GU172" s="675">
        <v>0</v>
      </c>
      <c r="GV172" s="675">
        <v>0</v>
      </c>
      <c r="GW172" s="675">
        <v>0</v>
      </c>
      <c r="GX172" s="675">
        <v>0</v>
      </c>
      <c r="GY172" s="675">
        <v>0</v>
      </c>
      <c r="GZ172" s="675">
        <v>0</v>
      </c>
      <c r="HA172" s="675">
        <v>0</v>
      </c>
      <c r="HB172" s="675">
        <v>308877260</v>
      </c>
      <c r="HC172" s="675">
        <v>4.4138999999999998E-2</v>
      </c>
      <c r="HD172" s="675">
        <v>40542</v>
      </c>
      <c r="HE172" s="675">
        <v>0</v>
      </c>
      <c r="HF172" s="675">
        <v>248640</v>
      </c>
      <c r="HG172" s="675">
        <v>0</v>
      </c>
      <c r="HH172" s="675">
        <v>80934</v>
      </c>
      <c r="HI172" s="675">
        <v>0</v>
      </c>
      <c r="HJ172" s="675">
        <v>2232</v>
      </c>
      <c r="HK172" s="675">
        <v>0</v>
      </c>
      <c r="HL172" s="675">
        <v>0</v>
      </c>
      <c r="HM172" s="675">
        <v>0</v>
      </c>
      <c r="HN172" s="675">
        <v>0</v>
      </c>
      <c r="HO172" s="675">
        <v>0</v>
      </c>
      <c r="HP172" s="675">
        <v>0</v>
      </c>
      <c r="HQ172" s="675">
        <v>0</v>
      </c>
      <c r="HR172" s="675">
        <v>0</v>
      </c>
      <c r="HS172" s="675">
        <v>2111474</v>
      </c>
      <c r="HT172" s="675">
        <v>46167</v>
      </c>
      <c r="HU172" s="675">
        <v>0</v>
      </c>
      <c r="HV172" s="675">
        <v>0</v>
      </c>
      <c r="HW172" s="675">
        <v>0</v>
      </c>
      <c r="HX172" s="675">
        <v>22</v>
      </c>
      <c r="HY172" s="675">
        <v>48</v>
      </c>
      <c r="HZ172" s="675">
        <v>73</v>
      </c>
      <c r="IA172" s="675">
        <v>42</v>
      </c>
      <c r="IB172" s="675">
        <v>57</v>
      </c>
      <c r="IC172" s="675">
        <v>242</v>
      </c>
      <c r="ID172" s="675">
        <v>0</v>
      </c>
      <c r="IE172" s="675">
        <v>0</v>
      </c>
      <c r="IF172" s="675">
        <v>0</v>
      </c>
      <c r="IG172" s="675">
        <v>0</v>
      </c>
      <c r="IH172" s="675">
        <v>131.387</v>
      </c>
      <c r="II172" s="675">
        <v>0</v>
      </c>
      <c r="IJ172" s="675">
        <v>3.2410000000000001</v>
      </c>
      <c r="IK172" s="675">
        <v>0</v>
      </c>
      <c r="IL172" s="675">
        <v>0</v>
      </c>
      <c r="IM172" s="675">
        <v>0</v>
      </c>
      <c r="IN172" s="675">
        <v>0</v>
      </c>
      <c r="IO172" s="675">
        <v>0</v>
      </c>
      <c r="IP172" s="675">
        <v>0</v>
      </c>
      <c r="IQ172" s="675">
        <v>3.2410000000000001</v>
      </c>
      <c r="IR172" s="675">
        <v>1996</v>
      </c>
      <c r="IS172" s="675">
        <v>0</v>
      </c>
      <c r="IT172" s="675">
        <v>0</v>
      </c>
      <c r="IU172" s="675">
        <v>0</v>
      </c>
      <c r="IV172" s="675">
        <v>0</v>
      </c>
      <c r="IW172" s="675">
        <v>6160</v>
      </c>
      <c r="IX172" s="675">
        <v>0</v>
      </c>
      <c r="IY172" s="675">
        <v>0</v>
      </c>
      <c r="IZ172" s="675">
        <v>0</v>
      </c>
      <c r="JA172" s="675">
        <v>0</v>
      </c>
      <c r="JB172" s="675">
        <v>0</v>
      </c>
      <c r="JC172" s="675">
        <v>0</v>
      </c>
      <c r="JD172" s="675">
        <v>0</v>
      </c>
      <c r="JE172" s="675">
        <v>0</v>
      </c>
      <c r="JF172" s="675">
        <v>0</v>
      </c>
      <c r="JG172" s="675">
        <v>0</v>
      </c>
      <c r="JH172" s="675">
        <v>0</v>
      </c>
      <c r="JI172" s="675">
        <v>0</v>
      </c>
      <c r="JJ172" s="675">
        <v>0</v>
      </c>
      <c r="JK172" s="675">
        <v>0</v>
      </c>
      <c r="JL172" s="675">
        <v>0</v>
      </c>
      <c r="JM172" s="675">
        <v>0</v>
      </c>
      <c r="JN172" s="675">
        <v>32469</v>
      </c>
      <c r="JO172" s="675">
        <v>0</v>
      </c>
      <c r="JP172" s="675">
        <v>0</v>
      </c>
      <c r="JQ172" s="675">
        <v>0</v>
      </c>
      <c r="JR172" s="675">
        <v>0</v>
      </c>
      <c r="JS172" s="675">
        <v>0</v>
      </c>
      <c r="JT172" s="675">
        <v>0</v>
      </c>
      <c r="JU172" s="675">
        <v>0</v>
      </c>
      <c r="JV172" s="675">
        <v>0</v>
      </c>
      <c r="JW172" s="675">
        <v>0</v>
      </c>
      <c r="JX172" s="675">
        <v>0</v>
      </c>
      <c r="JY172" s="675">
        <v>0</v>
      </c>
      <c r="JZ172" s="675">
        <v>0</v>
      </c>
      <c r="KA172" s="675">
        <v>0</v>
      </c>
      <c r="KB172" s="675">
        <v>0</v>
      </c>
      <c r="KC172" s="675">
        <v>0</v>
      </c>
      <c r="KD172" s="675">
        <v>0</v>
      </c>
      <c r="KE172" s="675">
        <v>7263</v>
      </c>
      <c r="KF172" s="675">
        <v>0</v>
      </c>
      <c r="KG172" s="675">
        <v>0</v>
      </c>
      <c r="KH172" s="675">
        <v>0</v>
      </c>
      <c r="KI172" s="675">
        <v>0</v>
      </c>
    </row>
    <row r="173" spans="1:295" ht="12.5" x14ac:dyDescent="0.25">
      <c r="A173" s="675">
        <v>35795</v>
      </c>
      <c r="B173" s="675">
        <v>101856</v>
      </c>
      <c r="C173" s="675">
        <v>7</v>
      </c>
      <c r="D173" s="675">
        <v>2022</v>
      </c>
      <c r="E173" s="675">
        <v>6160</v>
      </c>
      <c r="F173" s="675">
        <v>0</v>
      </c>
      <c r="G173" s="675">
        <v>615.23500000000001</v>
      </c>
      <c r="H173" s="675">
        <v>607.90499999999997</v>
      </c>
      <c r="I173" s="675">
        <v>607.90499999999997</v>
      </c>
      <c r="J173" s="675">
        <v>615.23500000000001</v>
      </c>
      <c r="K173" s="675">
        <v>0</v>
      </c>
      <c r="L173" s="675">
        <v>6160</v>
      </c>
      <c r="M173" s="675">
        <v>0</v>
      </c>
      <c r="N173" s="675">
        <v>0</v>
      </c>
      <c r="O173" s="675">
        <v>0</v>
      </c>
      <c r="P173" s="675">
        <v>632.69500000000005</v>
      </c>
      <c r="Q173" s="675">
        <v>0</v>
      </c>
      <c r="R173" s="675">
        <v>254614</v>
      </c>
      <c r="S173" s="675">
        <v>402.428</v>
      </c>
      <c r="T173" s="675">
        <v>0</v>
      </c>
      <c r="U173" s="675">
        <v>135398</v>
      </c>
      <c r="V173" s="675">
        <v>142.08199999999999</v>
      </c>
      <c r="W173" s="675">
        <v>467642</v>
      </c>
      <c r="X173" s="675">
        <v>467642</v>
      </c>
      <c r="Y173" s="675">
        <v>0</v>
      </c>
      <c r="Z173" s="675">
        <v>0</v>
      </c>
      <c r="AA173" s="675">
        <v>0</v>
      </c>
      <c r="AB173" s="675">
        <v>0</v>
      </c>
      <c r="AC173" s="675">
        <v>0</v>
      </c>
      <c r="AD173" s="675" t="s">
        <v>316</v>
      </c>
      <c r="AE173" s="675">
        <v>0</v>
      </c>
      <c r="AF173" s="675">
        <v>0</v>
      </c>
      <c r="AG173" s="675">
        <v>0</v>
      </c>
      <c r="AH173" s="675">
        <v>0</v>
      </c>
      <c r="AI173" s="675">
        <v>0</v>
      </c>
      <c r="AJ173" s="675">
        <v>6160</v>
      </c>
      <c r="AK173" s="675" t="s">
        <v>671</v>
      </c>
      <c r="AL173" s="675" t="s">
        <v>33</v>
      </c>
      <c r="AM173" s="675">
        <v>0</v>
      </c>
      <c r="AN173" s="675">
        <v>0</v>
      </c>
      <c r="AO173" s="675">
        <v>0</v>
      </c>
      <c r="AP173" s="675">
        <v>0</v>
      </c>
      <c r="AQ173" s="675">
        <v>0</v>
      </c>
      <c r="AR173" s="675">
        <v>0</v>
      </c>
      <c r="AS173" s="675">
        <v>0</v>
      </c>
      <c r="AT173" s="675">
        <v>0</v>
      </c>
      <c r="AU173" s="675">
        <v>0</v>
      </c>
      <c r="AV173" s="675">
        <v>0</v>
      </c>
      <c r="AW173" s="675">
        <v>7143491</v>
      </c>
      <c r="AX173" s="675">
        <v>7035404</v>
      </c>
      <c r="AY173" s="675">
        <v>4808748</v>
      </c>
      <c r="AZ173" s="675">
        <v>254614</v>
      </c>
      <c r="BA173" s="675">
        <v>0</v>
      </c>
      <c r="BB173" s="675">
        <v>0</v>
      </c>
      <c r="BC173" s="675">
        <v>0</v>
      </c>
      <c r="BD173" s="675">
        <v>0</v>
      </c>
      <c r="BE173" s="675">
        <v>0</v>
      </c>
      <c r="BF173" s="675">
        <v>6492950</v>
      </c>
      <c r="BG173" s="675">
        <v>0</v>
      </c>
      <c r="BH173" s="675">
        <v>0</v>
      </c>
      <c r="BI173" s="675">
        <v>0</v>
      </c>
      <c r="BJ173" s="675">
        <v>12</v>
      </c>
      <c r="BK173" s="675">
        <v>0</v>
      </c>
      <c r="BL173" s="675">
        <v>0</v>
      </c>
      <c r="BM173" s="675">
        <v>0</v>
      </c>
      <c r="BN173" s="675">
        <v>0</v>
      </c>
      <c r="BO173" s="675">
        <v>0</v>
      </c>
      <c r="BP173" s="675">
        <v>0</v>
      </c>
      <c r="BQ173" s="675">
        <v>676</v>
      </c>
      <c r="BR173" s="675">
        <v>0</v>
      </c>
      <c r="BS173" s="675">
        <v>0</v>
      </c>
      <c r="BT173" s="675">
        <v>0</v>
      </c>
      <c r="BU173" s="675">
        <v>0</v>
      </c>
      <c r="BV173" s="675">
        <v>0</v>
      </c>
      <c r="BW173" s="675">
        <v>0</v>
      </c>
      <c r="BX173" s="675">
        <v>0</v>
      </c>
      <c r="BY173" s="675">
        <v>0</v>
      </c>
      <c r="BZ173" s="675">
        <v>0</v>
      </c>
      <c r="CA173" s="675">
        <v>0</v>
      </c>
      <c r="CB173" s="675">
        <v>0</v>
      </c>
      <c r="CC173" s="675">
        <v>0</v>
      </c>
      <c r="CD173" s="675">
        <v>0</v>
      </c>
      <c r="CE173" s="675">
        <v>0</v>
      </c>
      <c r="CF173" s="675">
        <v>0</v>
      </c>
      <c r="CG173" s="675">
        <v>0</v>
      </c>
      <c r="CH173" s="675">
        <v>108623</v>
      </c>
      <c r="CI173" s="675">
        <v>0</v>
      </c>
      <c r="CJ173" s="675">
        <v>4</v>
      </c>
      <c r="CK173" s="675">
        <v>0</v>
      </c>
      <c r="CL173" s="675">
        <v>0</v>
      </c>
      <c r="CM173" s="675">
        <v>0</v>
      </c>
      <c r="CN173" s="675">
        <v>0</v>
      </c>
      <c r="CO173" s="675">
        <v>1</v>
      </c>
      <c r="CP173" s="675">
        <v>0</v>
      </c>
      <c r="CQ173" s="675">
        <v>0</v>
      </c>
      <c r="CR173" s="675">
        <v>636.40899999999999</v>
      </c>
      <c r="CS173" s="675">
        <v>0</v>
      </c>
      <c r="CT173" s="675">
        <v>0</v>
      </c>
      <c r="CU173" s="675">
        <v>0</v>
      </c>
      <c r="CV173" s="675">
        <v>0</v>
      </c>
      <c r="CW173" s="675">
        <v>0</v>
      </c>
      <c r="CX173" s="675">
        <v>0</v>
      </c>
      <c r="CY173" s="675">
        <v>0</v>
      </c>
      <c r="CZ173" s="675">
        <v>0</v>
      </c>
      <c r="DA173" s="675">
        <v>0</v>
      </c>
      <c r="DB173" s="675">
        <v>3744677</v>
      </c>
      <c r="DC173" s="675">
        <v>0</v>
      </c>
      <c r="DD173" s="675">
        <v>0</v>
      </c>
      <c r="DE173" s="675">
        <v>1132357</v>
      </c>
      <c r="DF173" s="675">
        <v>1132357</v>
      </c>
      <c r="DG173" s="675">
        <v>183.82500000000002</v>
      </c>
      <c r="DH173" s="675">
        <v>0</v>
      </c>
      <c r="DI173" s="675">
        <v>0</v>
      </c>
      <c r="DJ173" s="675">
        <v>0</v>
      </c>
      <c r="DK173" s="675">
        <v>2445</v>
      </c>
      <c r="DL173" s="675">
        <v>0</v>
      </c>
      <c r="DM173" s="675">
        <v>142375</v>
      </c>
      <c r="DN173" s="675">
        <v>536</v>
      </c>
      <c r="DO173" s="675">
        <v>0</v>
      </c>
      <c r="DP173" s="675">
        <v>0</v>
      </c>
      <c r="DQ173" s="675">
        <v>0</v>
      </c>
      <c r="DR173" s="675">
        <v>0</v>
      </c>
      <c r="DS173" s="675">
        <v>0</v>
      </c>
      <c r="DT173" s="675">
        <v>0</v>
      </c>
      <c r="DU173" s="675">
        <v>0</v>
      </c>
      <c r="DV173" s="675">
        <v>0</v>
      </c>
      <c r="DW173" s="675">
        <v>0</v>
      </c>
      <c r="DX173" s="675">
        <v>0</v>
      </c>
      <c r="DY173" s="675">
        <v>0</v>
      </c>
      <c r="DZ173" s="675">
        <v>0</v>
      </c>
      <c r="EA173" s="675">
        <v>0</v>
      </c>
      <c r="EB173" s="675">
        <v>0</v>
      </c>
      <c r="EC173" s="675">
        <v>0</v>
      </c>
      <c r="ED173" s="675">
        <v>0</v>
      </c>
      <c r="EE173" s="675">
        <v>0</v>
      </c>
      <c r="EF173" s="675">
        <v>0</v>
      </c>
      <c r="EG173" s="675">
        <v>0</v>
      </c>
      <c r="EH173" s="675">
        <v>142911</v>
      </c>
      <c r="EI173" s="675">
        <v>0</v>
      </c>
      <c r="EJ173" s="675">
        <v>0</v>
      </c>
      <c r="EK173" s="675">
        <v>6.7250000000000005</v>
      </c>
      <c r="EL173" s="675">
        <v>0</v>
      </c>
      <c r="EM173" s="675">
        <v>0</v>
      </c>
      <c r="EN173" s="675">
        <v>0.60499999999999998</v>
      </c>
      <c r="EO173" s="675">
        <v>0</v>
      </c>
      <c r="EP173" s="675">
        <v>0</v>
      </c>
      <c r="EQ173" s="675">
        <v>7.33</v>
      </c>
      <c r="ER173" s="675">
        <v>0</v>
      </c>
      <c r="ES173" s="675">
        <v>23.2</v>
      </c>
      <c r="ET173" s="675">
        <v>0</v>
      </c>
      <c r="EU173" s="675">
        <v>0</v>
      </c>
      <c r="EV173" s="675">
        <v>0</v>
      </c>
      <c r="EW173" s="675">
        <v>0</v>
      </c>
      <c r="EX173" s="675">
        <v>0</v>
      </c>
      <c r="EY173" s="675">
        <v>0</v>
      </c>
      <c r="EZ173" s="675">
        <v>6238336</v>
      </c>
      <c r="FA173" s="675">
        <v>0</v>
      </c>
      <c r="FB173" s="675">
        <v>6492414</v>
      </c>
      <c r="FC173" s="675">
        <v>0</v>
      </c>
      <c r="FD173" s="675">
        <v>0</v>
      </c>
      <c r="FE173" s="675">
        <v>660466</v>
      </c>
      <c r="FF173" s="675">
        <v>136602</v>
      </c>
      <c r="FG173" s="675">
        <v>6.3574999999999993E-2</v>
      </c>
      <c r="FH173" s="675">
        <v>2.6297999999999998E-2</v>
      </c>
      <c r="FI173" s="675">
        <v>0</v>
      </c>
      <c r="FJ173" s="675">
        <v>0</v>
      </c>
      <c r="FK173" s="675">
        <v>1054.0550000000001</v>
      </c>
      <c r="FL173" s="675">
        <v>7398105</v>
      </c>
      <c r="FM173" s="675">
        <v>0</v>
      </c>
      <c r="FN173" s="675">
        <v>0</v>
      </c>
      <c r="FO173" s="675">
        <v>0</v>
      </c>
      <c r="FP173" s="675">
        <v>0</v>
      </c>
      <c r="FQ173" s="675">
        <v>0</v>
      </c>
      <c r="FR173" s="675">
        <v>0</v>
      </c>
      <c r="FS173" s="675">
        <v>0</v>
      </c>
      <c r="FT173" s="675">
        <v>0</v>
      </c>
      <c r="FU173" s="675">
        <v>0</v>
      </c>
      <c r="FV173" s="675">
        <v>0</v>
      </c>
      <c r="FW173" s="675">
        <v>0</v>
      </c>
      <c r="FX173" s="675">
        <v>0</v>
      </c>
      <c r="FY173" s="675">
        <v>0</v>
      </c>
      <c r="FZ173" s="675">
        <v>0</v>
      </c>
      <c r="GA173" s="675">
        <v>0</v>
      </c>
      <c r="GB173" s="675">
        <v>0</v>
      </c>
      <c r="GC173" s="675">
        <v>0</v>
      </c>
      <c r="GD173" s="675">
        <v>0</v>
      </c>
      <c r="GE173" s="675">
        <v>0</v>
      </c>
      <c r="GF173" s="675">
        <v>0</v>
      </c>
      <c r="GG173" s="675">
        <v>0</v>
      </c>
      <c r="GH173" s="675">
        <v>0</v>
      </c>
      <c r="GI173" s="675">
        <v>0</v>
      </c>
      <c r="GJ173" s="675">
        <v>0</v>
      </c>
      <c r="GK173" s="675">
        <v>0</v>
      </c>
      <c r="GL173" s="675">
        <v>0</v>
      </c>
      <c r="GM173" s="675">
        <v>0</v>
      </c>
      <c r="GN173" s="675">
        <v>0</v>
      </c>
      <c r="GO173" s="675">
        <v>0</v>
      </c>
      <c r="GP173" s="675">
        <v>0</v>
      </c>
      <c r="GQ173" s="675">
        <v>0</v>
      </c>
      <c r="GR173" s="675">
        <v>0</v>
      </c>
      <c r="GS173" s="675">
        <v>0</v>
      </c>
      <c r="GT173" s="675">
        <v>0</v>
      </c>
      <c r="GU173" s="675">
        <v>0</v>
      </c>
      <c r="GV173" s="675">
        <v>0</v>
      </c>
      <c r="GW173" s="675">
        <v>0</v>
      </c>
      <c r="GX173" s="675">
        <v>0</v>
      </c>
      <c r="GY173" s="675">
        <v>0</v>
      </c>
      <c r="GZ173" s="675">
        <v>0</v>
      </c>
      <c r="HA173" s="675">
        <v>0</v>
      </c>
      <c r="HB173" s="675">
        <v>308877260</v>
      </c>
      <c r="HC173" s="675">
        <v>4.4138999999999998E-2</v>
      </c>
      <c r="HD173" s="675">
        <v>108623</v>
      </c>
      <c r="HE173" s="675">
        <v>0</v>
      </c>
      <c r="HF173" s="675">
        <v>670519</v>
      </c>
      <c r="HG173" s="675">
        <v>0</v>
      </c>
      <c r="HH173" s="675">
        <v>328864</v>
      </c>
      <c r="HI173" s="675">
        <v>0</v>
      </c>
      <c r="HJ173" s="675">
        <v>5980</v>
      </c>
      <c r="HK173" s="675">
        <v>0</v>
      </c>
      <c r="HL173" s="675">
        <v>0</v>
      </c>
      <c r="HM173" s="675">
        <v>0</v>
      </c>
      <c r="HN173" s="675">
        <v>0</v>
      </c>
      <c r="HO173" s="675">
        <v>0</v>
      </c>
      <c r="HP173" s="675">
        <v>0</v>
      </c>
      <c r="HQ173" s="675">
        <v>0</v>
      </c>
      <c r="HR173" s="675">
        <v>0</v>
      </c>
      <c r="HS173" s="675">
        <v>6237800</v>
      </c>
      <c r="HT173" s="675">
        <v>136602</v>
      </c>
      <c r="HU173" s="675">
        <v>0</v>
      </c>
      <c r="HV173" s="675">
        <v>0</v>
      </c>
      <c r="HW173" s="675">
        <v>0</v>
      </c>
      <c r="HX173" s="675">
        <v>31</v>
      </c>
      <c r="HY173" s="675">
        <v>17</v>
      </c>
      <c r="HZ173" s="675">
        <v>74</v>
      </c>
      <c r="IA173" s="675">
        <v>195</v>
      </c>
      <c r="IB173" s="675">
        <v>375</v>
      </c>
      <c r="IC173" s="675">
        <v>692</v>
      </c>
      <c r="ID173" s="675">
        <v>0</v>
      </c>
      <c r="IE173" s="675">
        <v>411.387</v>
      </c>
      <c r="IF173" s="675">
        <v>0</v>
      </c>
      <c r="IG173" s="675">
        <v>0</v>
      </c>
      <c r="IH173" s="675">
        <v>533.87300000000005</v>
      </c>
      <c r="II173" s="675">
        <v>0</v>
      </c>
      <c r="IJ173" s="675">
        <v>553.46900000000005</v>
      </c>
      <c r="IK173" s="675">
        <v>0</v>
      </c>
      <c r="IL173" s="675">
        <v>0</v>
      </c>
      <c r="IM173" s="675">
        <v>0</v>
      </c>
      <c r="IN173" s="675">
        <v>0</v>
      </c>
      <c r="IO173" s="675">
        <v>0</v>
      </c>
      <c r="IP173" s="675">
        <v>0</v>
      </c>
      <c r="IQ173" s="675">
        <v>142.08199999999999</v>
      </c>
      <c r="IR173" s="675">
        <v>87522</v>
      </c>
      <c r="IS173" s="675">
        <v>0</v>
      </c>
      <c r="IT173" s="675">
        <v>0</v>
      </c>
      <c r="IU173" s="675">
        <v>0</v>
      </c>
      <c r="IV173" s="675">
        <v>0</v>
      </c>
      <c r="IW173" s="675">
        <v>6160</v>
      </c>
      <c r="IX173" s="675">
        <v>380120</v>
      </c>
      <c r="IY173" s="675">
        <v>0</v>
      </c>
      <c r="IZ173" s="675">
        <v>0</v>
      </c>
      <c r="JA173" s="675">
        <v>0</v>
      </c>
      <c r="JB173" s="675">
        <v>0</v>
      </c>
      <c r="JC173" s="675">
        <v>0</v>
      </c>
      <c r="JD173" s="675">
        <v>0</v>
      </c>
      <c r="JE173" s="675">
        <v>0</v>
      </c>
      <c r="JF173" s="675">
        <v>0</v>
      </c>
      <c r="JG173" s="675">
        <v>0</v>
      </c>
      <c r="JH173" s="675">
        <v>0</v>
      </c>
      <c r="JI173" s="675">
        <v>0</v>
      </c>
      <c r="JJ173" s="675">
        <v>0</v>
      </c>
      <c r="JK173" s="675">
        <v>0</v>
      </c>
      <c r="JL173" s="675">
        <v>0</v>
      </c>
      <c r="JM173" s="675">
        <v>0</v>
      </c>
      <c r="JN173" s="675">
        <v>32469</v>
      </c>
      <c r="JO173" s="675">
        <v>0</v>
      </c>
      <c r="JP173" s="675">
        <v>0</v>
      </c>
      <c r="JQ173" s="675">
        <v>0</v>
      </c>
      <c r="JR173" s="675">
        <v>0</v>
      </c>
      <c r="JS173" s="675">
        <v>0</v>
      </c>
      <c r="JT173" s="675">
        <v>0</v>
      </c>
      <c r="JU173" s="675">
        <v>0</v>
      </c>
      <c r="JV173" s="675">
        <v>0</v>
      </c>
      <c r="JW173" s="675">
        <v>0</v>
      </c>
      <c r="JX173" s="675">
        <v>0</v>
      </c>
      <c r="JY173" s="675">
        <v>0</v>
      </c>
      <c r="JZ173" s="675">
        <v>0</v>
      </c>
      <c r="KA173" s="675">
        <v>0</v>
      </c>
      <c r="KB173" s="675">
        <v>0</v>
      </c>
      <c r="KC173" s="675">
        <v>0</v>
      </c>
      <c r="KD173" s="675">
        <v>0</v>
      </c>
      <c r="KE173" s="675">
        <v>7263</v>
      </c>
      <c r="KF173" s="675">
        <v>0</v>
      </c>
      <c r="KG173" s="675">
        <v>0</v>
      </c>
      <c r="KH173" s="675">
        <v>0</v>
      </c>
      <c r="KI173" s="675">
        <v>0</v>
      </c>
    </row>
    <row r="174" spans="1:295" ht="12.5" x14ac:dyDescent="0.25">
      <c r="A174" s="675">
        <v>35795</v>
      </c>
      <c r="B174" s="675">
        <v>101858</v>
      </c>
      <c r="C174" s="675">
        <v>7</v>
      </c>
      <c r="D174" s="675">
        <v>2022</v>
      </c>
      <c r="E174" s="675">
        <v>6160</v>
      </c>
      <c r="F174" s="675">
        <v>0</v>
      </c>
      <c r="G174" s="675">
        <v>5549.4040000000005</v>
      </c>
      <c r="H174" s="675">
        <v>5162.6400000000003</v>
      </c>
      <c r="I174" s="675">
        <v>5162.6400000000003</v>
      </c>
      <c r="J174" s="675">
        <v>5549.4040000000005</v>
      </c>
      <c r="K174" s="675">
        <v>0</v>
      </c>
      <c r="L174" s="675">
        <v>6160</v>
      </c>
      <c r="M174" s="675">
        <v>0</v>
      </c>
      <c r="N174" s="675">
        <v>0</v>
      </c>
      <c r="O174" s="675">
        <v>0</v>
      </c>
      <c r="P174" s="675">
        <v>5674.7620000000006</v>
      </c>
      <c r="Q174" s="675">
        <v>0</v>
      </c>
      <c r="R174" s="675">
        <v>2283683</v>
      </c>
      <c r="S174" s="675">
        <v>402.428</v>
      </c>
      <c r="T174" s="675">
        <v>0</v>
      </c>
      <c r="U174" s="675">
        <v>1214407</v>
      </c>
      <c r="V174" s="675">
        <v>1434.009</v>
      </c>
      <c r="W174" s="675">
        <v>883345</v>
      </c>
      <c r="X174" s="675">
        <v>883345</v>
      </c>
      <c r="Y174" s="675">
        <v>0</v>
      </c>
      <c r="Z174" s="675">
        <v>0</v>
      </c>
      <c r="AA174" s="675">
        <v>0</v>
      </c>
      <c r="AB174" s="675">
        <v>0</v>
      </c>
      <c r="AC174" s="675">
        <v>0</v>
      </c>
      <c r="AD174" s="675" t="s">
        <v>316</v>
      </c>
      <c r="AE174" s="675">
        <v>0</v>
      </c>
      <c r="AF174" s="675">
        <v>0</v>
      </c>
      <c r="AG174" s="675">
        <v>0</v>
      </c>
      <c r="AH174" s="675">
        <v>0</v>
      </c>
      <c r="AI174" s="675">
        <v>0</v>
      </c>
      <c r="AJ174" s="675">
        <v>6160</v>
      </c>
      <c r="AK174" s="675" t="s">
        <v>671</v>
      </c>
      <c r="AL174" s="675" t="s">
        <v>907</v>
      </c>
      <c r="AM174" s="675">
        <v>0</v>
      </c>
      <c r="AN174" s="675">
        <v>0</v>
      </c>
      <c r="AO174" s="675">
        <v>0</v>
      </c>
      <c r="AP174" s="675">
        <v>0</v>
      </c>
      <c r="AQ174" s="675">
        <v>0</v>
      </c>
      <c r="AR174" s="675">
        <v>0</v>
      </c>
      <c r="AS174" s="675">
        <v>0</v>
      </c>
      <c r="AT174" s="675">
        <v>0</v>
      </c>
      <c r="AU174" s="675">
        <v>0</v>
      </c>
      <c r="AV174" s="675">
        <v>0</v>
      </c>
      <c r="AW174" s="675">
        <v>58314621</v>
      </c>
      <c r="AX174" s="675">
        <v>57349457</v>
      </c>
      <c r="AY174" s="675">
        <v>38300354</v>
      </c>
      <c r="AZ174" s="675">
        <v>2283683</v>
      </c>
      <c r="BA174" s="675">
        <v>0</v>
      </c>
      <c r="BB174" s="675">
        <v>116855</v>
      </c>
      <c r="BC174" s="675">
        <v>116099</v>
      </c>
      <c r="BD174" s="675">
        <v>271</v>
      </c>
      <c r="BE174" s="675">
        <v>756</v>
      </c>
      <c r="BF174" s="675">
        <v>53098630</v>
      </c>
      <c r="BG174" s="675">
        <v>0</v>
      </c>
      <c r="BH174" s="675">
        <v>0</v>
      </c>
      <c r="BI174" s="675">
        <v>0</v>
      </c>
      <c r="BJ174" s="675">
        <v>12</v>
      </c>
      <c r="BK174" s="675">
        <v>0</v>
      </c>
      <c r="BL174" s="675">
        <v>0</v>
      </c>
      <c r="BM174" s="675">
        <v>0</v>
      </c>
      <c r="BN174" s="675">
        <v>0</v>
      </c>
      <c r="BO174" s="675">
        <v>0</v>
      </c>
      <c r="BP174" s="675">
        <v>0</v>
      </c>
      <c r="BQ174" s="675">
        <v>0</v>
      </c>
      <c r="BR174" s="675">
        <v>0</v>
      </c>
      <c r="BS174" s="675">
        <v>0</v>
      </c>
      <c r="BT174" s="675">
        <v>0</v>
      </c>
      <c r="BU174" s="675">
        <v>0</v>
      </c>
      <c r="BV174" s="675">
        <v>0</v>
      </c>
      <c r="BW174" s="675">
        <v>0</v>
      </c>
      <c r="BX174" s="675">
        <v>0</v>
      </c>
      <c r="BY174" s="675">
        <v>0</v>
      </c>
      <c r="BZ174" s="675">
        <v>0</v>
      </c>
      <c r="CA174" s="675">
        <v>0</v>
      </c>
      <c r="CB174" s="675">
        <v>0</v>
      </c>
      <c r="CC174" s="675">
        <v>0</v>
      </c>
      <c r="CD174" s="675">
        <v>0</v>
      </c>
      <c r="CE174" s="675">
        <v>0</v>
      </c>
      <c r="CF174" s="675">
        <v>0</v>
      </c>
      <c r="CG174" s="675">
        <v>0</v>
      </c>
      <c r="CH174" s="675">
        <v>979778</v>
      </c>
      <c r="CI174" s="675">
        <v>0</v>
      </c>
      <c r="CJ174" s="675">
        <v>4</v>
      </c>
      <c r="CK174" s="675">
        <v>0</v>
      </c>
      <c r="CL174" s="675">
        <v>0</v>
      </c>
      <c r="CM174" s="675">
        <v>0</v>
      </c>
      <c r="CN174" s="675">
        <v>0</v>
      </c>
      <c r="CO174" s="675">
        <v>1</v>
      </c>
      <c r="CP174" s="675">
        <v>0</v>
      </c>
      <c r="CQ174" s="675">
        <v>0</v>
      </c>
      <c r="CR174" s="675">
        <v>5712.3630000000003</v>
      </c>
      <c r="CS174" s="675">
        <v>0</v>
      </c>
      <c r="CT174" s="675">
        <v>0</v>
      </c>
      <c r="CU174" s="675">
        <v>0</v>
      </c>
      <c r="CV174" s="675">
        <v>0</v>
      </c>
      <c r="CW174" s="675">
        <v>0</v>
      </c>
      <c r="CX174" s="675">
        <v>0</v>
      </c>
      <c r="CY174" s="675">
        <v>0</v>
      </c>
      <c r="CZ174" s="675">
        <v>0</v>
      </c>
      <c r="DA174" s="675">
        <v>0</v>
      </c>
      <c r="DB174" s="675">
        <v>31801715</v>
      </c>
      <c r="DC174" s="675">
        <v>0</v>
      </c>
      <c r="DD174" s="675">
        <v>0</v>
      </c>
      <c r="DE174" s="675">
        <v>6550437</v>
      </c>
      <c r="DF174" s="675">
        <v>6550437</v>
      </c>
      <c r="DG174" s="675">
        <v>1063.3880000000001</v>
      </c>
      <c r="DH174" s="675">
        <v>0</v>
      </c>
      <c r="DI174" s="675">
        <v>0</v>
      </c>
      <c r="DJ174" s="675">
        <v>0</v>
      </c>
      <c r="DK174" s="675">
        <v>0</v>
      </c>
      <c r="DL174" s="675">
        <v>0</v>
      </c>
      <c r="DM174" s="675">
        <v>3683960</v>
      </c>
      <c r="DN174" s="675">
        <v>13858</v>
      </c>
      <c r="DO174" s="675">
        <v>0</v>
      </c>
      <c r="DP174" s="675">
        <v>0</v>
      </c>
      <c r="DQ174" s="675">
        <v>0</v>
      </c>
      <c r="DR174" s="675">
        <v>0</v>
      </c>
      <c r="DS174" s="675">
        <v>0</v>
      </c>
      <c r="DT174" s="675">
        <v>0</v>
      </c>
      <c r="DU174" s="675">
        <v>0</v>
      </c>
      <c r="DV174" s="675">
        <v>0</v>
      </c>
      <c r="DW174" s="675">
        <v>0</v>
      </c>
      <c r="DX174" s="675">
        <v>0</v>
      </c>
      <c r="DY174" s="675">
        <v>0</v>
      </c>
      <c r="DZ174" s="675">
        <v>0</v>
      </c>
      <c r="EA174" s="675">
        <v>0</v>
      </c>
      <c r="EB174" s="675">
        <v>0</v>
      </c>
      <c r="EC174" s="675">
        <v>103.286</v>
      </c>
      <c r="ED174" s="675">
        <v>731675</v>
      </c>
      <c r="EE174" s="675">
        <v>0</v>
      </c>
      <c r="EF174" s="675">
        <v>0</v>
      </c>
      <c r="EG174" s="675">
        <v>0</v>
      </c>
      <c r="EH174" s="675">
        <v>2966143</v>
      </c>
      <c r="EI174" s="675">
        <v>0</v>
      </c>
      <c r="EJ174" s="675">
        <v>0</v>
      </c>
      <c r="EK174" s="675">
        <v>122.57000000000001</v>
      </c>
      <c r="EL174" s="675">
        <v>0</v>
      </c>
      <c r="EM174" s="675">
        <v>21.068000000000001</v>
      </c>
      <c r="EN174" s="675">
        <v>10.121</v>
      </c>
      <c r="EO174" s="675">
        <v>0</v>
      </c>
      <c r="EP174" s="675">
        <v>0</v>
      </c>
      <c r="EQ174" s="675">
        <v>153.75900000000001</v>
      </c>
      <c r="ER174" s="675">
        <v>0</v>
      </c>
      <c r="ES174" s="675">
        <v>481.51900000000001</v>
      </c>
      <c r="ET174" s="675">
        <v>0</v>
      </c>
      <c r="EU174" s="675">
        <v>0</v>
      </c>
      <c r="EV174" s="675">
        <v>0</v>
      </c>
      <c r="EW174" s="675">
        <v>0</v>
      </c>
      <c r="EX174" s="675">
        <v>0</v>
      </c>
      <c r="EY174" s="675">
        <v>0</v>
      </c>
      <c r="EZ174" s="675">
        <v>50831125</v>
      </c>
      <c r="FA174" s="675">
        <v>0</v>
      </c>
      <c r="FB174" s="675">
        <v>53100194</v>
      </c>
      <c r="FC174" s="675">
        <v>0</v>
      </c>
      <c r="FD174" s="675">
        <v>0</v>
      </c>
      <c r="FE174" s="675">
        <v>5401217</v>
      </c>
      <c r="FF174" s="675">
        <v>1117115</v>
      </c>
      <c r="FG174" s="675">
        <v>6.3574999999999993E-2</v>
      </c>
      <c r="FH174" s="675">
        <v>2.6297999999999998E-2</v>
      </c>
      <c r="FI174" s="675">
        <v>0</v>
      </c>
      <c r="FJ174" s="675">
        <v>0</v>
      </c>
      <c r="FK174" s="675">
        <v>8619.9470000000001</v>
      </c>
      <c r="FL174" s="675">
        <v>60598304</v>
      </c>
      <c r="FM174" s="675">
        <v>0</v>
      </c>
      <c r="FN174" s="675">
        <v>0</v>
      </c>
      <c r="FO174" s="675">
        <v>0</v>
      </c>
      <c r="FP174" s="675">
        <v>0</v>
      </c>
      <c r="FQ174" s="675">
        <v>0</v>
      </c>
      <c r="FR174" s="675">
        <v>0</v>
      </c>
      <c r="FS174" s="675">
        <v>0</v>
      </c>
      <c r="FT174" s="675">
        <v>0</v>
      </c>
      <c r="FU174" s="675">
        <v>0</v>
      </c>
      <c r="FV174" s="675">
        <v>0</v>
      </c>
      <c r="FW174" s="675">
        <v>0</v>
      </c>
      <c r="FX174" s="675">
        <v>0</v>
      </c>
      <c r="FY174" s="675">
        <v>0</v>
      </c>
      <c r="FZ174" s="675">
        <v>0</v>
      </c>
      <c r="GA174" s="675">
        <v>0</v>
      </c>
      <c r="GB174" s="675">
        <v>2208969</v>
      </c>
      <c r="GC174" s="675">
        <v>2208969</v>
      </c>
      <c r="GD174" s="675">
        <v>233.00500000000002</v>
      </c>
      <c r="GE174" s="675">
        <v>0</v>
      </c>
      <c r="GF174" s="675">
        <v>0</v>
      </c>
      <c r="GG174" s="675">
        <v>0</v>
      </c>
      <c r="GH174" s="675">
        <v>0</v>
      </c>
      <c r="GI174" s="675">
        <v>0</v>
      </c>
      <c r="GJ174" s="675">
        <v>0</v>
      </c>
      <c r="GK174" s="675">
        <v>0</v>
      </c>
      <c r="GL174" s="675">
        <v>0</v>
      </c>
      <c r="GM174" s="675">
        <v>0</v>
      </c>
      <c r="GN174" s="675">
        <v>0</v>
      </c>
      <c r="GO174" s="675">
        <v>0</v>
      </c>
      <c r="GP174" s="675">
        <v>0</v>
      </c>
      <c r="GQ174" s="675">
        <v>0</v>
      </c>
      <c r="GR174" s="675">
        <v>0</v>
      </c>
      <c r="GS174" s="675">
        <v>0</v>
      </c>
      <c r="GT174" s="675">
        <v>0</v>
      </c>
      <c r="GU174" s="675">
        <v>0</v>
      </c>
      <c r="GV174" s="675">
        <v>0</v>
      </c>
      <c r="GW174" s="675">
        <v>0</v>
      </c>
      <c r="GX174" s="675">
        <v>0</v>
      </c>
      <c r="GY174" s="675">
        <v>0</v>
      </c>
      <c r="GZ174" s="675">
        <v>0</v>
      </c>
      <c r="HA174" s="675">
        <v>0</v>
      </c>
      <c r="HB174" s="675">
        <v>308877260</v>
      </c>
      <c r="HC174" s="675">
        <v>4.4138999999999998E-2</v>
      </c>
      <c r="HD174" s="675">
        <v>979778</v>
      </c>
      <c r="HE174" s="675">
        <v>0</v>
      </c>
      <c r="HF174" s="675">
        <v>5694392</v>
      </c>
      <c r="HG174" s="675">
        <v>57904</v>
      </c>
      <c r="HH174" s="675">
        <v>1140243</v>
      </c>
      <c r="HI174" s="675">
        <v>0</v>
      </c>
      <c r="HJ174" s="675">
        <v>53940</v>
      </c>
      <c r="HK174" s="675">
        <v>12240</v>
      </c>
      <c r="HL174" s="675">
        <v>3938</v>
      </c>
      <c r="HM174" s="675">
        <v>432000</v>
      </c>
      <c r="HN174" s="675">
        <v>461012</v>
      </c>
      <c r="HO174" s="675">
        <v>0</v>
      </c>
      <c r="HP174" s="675">
        <v>0</v>
      </c>
      <c r="HQ174" s="675">
        <v>0</v>
      </c>
      <c r="HR174" s="675">
        <v>0</v>
      </c>
      <c r="HS174" s="675">
        <v>50816511</v>
      </c>
      <c r="HT174" s="675">
        <v>1117115</v>
      </c>
      <c r="HU174" s="675">
        <v>0</v>
      </c>
      <c r="HV174" s="675">
        <v>0</v>
      </c>
      <c r="HW174" s="675">
        <v>0</v>
      </c>
      <c r="HX174" s="675">
        <v>704</v>
      </c>
      <c r="HY174" s="675">
        <v>1357</v>
      </c>
      <c r="HZ174" s="675">
        <v>965</v>
      </c>
      <c r="IA174" s="675">
        <v>690</v>
      </c>
      <c r="IB174" s="675">
        <v>583</v>
      </c>
      <c r="IC174" s="675">
        <v>4299</v>
      </c>
      <c r="ID174" s="675">
        <v>0</v>
      </c>
      <c r="IE174" s="675">
        <v>0</v>
      </c>
      <c r="IF174" s="675">
        <v>0</v>
      </c>
      <c r="IG174" s="675">
        <v>94</v>
      </c>
      <c r="IH174" s="675">
        <v>1851.0520000000001</v>
      </c>
      <c r="II174" s="675">
        <v>0</v>
      </c>
      <c r="IJ174" s="675">
        <v>1434.009</v>
      </c>
      <c r="IK174" s="675">
        <v>0</v>
      </c>
      <c r="IL174" s="675">
        <v>53</v>
      </c>
      <c r="IM174" s="675">
        <v>55</v>
      </c>
      <c r="IN174" s="675">
        <v>1</v>
      </c>
      <c r="IO174" s="675">
        <v>109</v>
      </c>
      <c r="IP174" s="675">
        <v>0</v>
      </c>
      <c r="IQ174" s="675">
        <v>1434.009</v>
      </c>
      <c r="IR174" s="675">
        <v>883345</v>
      </c>
      <c r="IS174" s="675">
        <v>0</v>
      </c>
      <c r="IT174" s="675">
        <v>265000</v>
      </c>
      <c r="IU174" s="675">
        <v>165000</v>
      </c>
      <c r="IV174" s="675">
        <v>2000</v>
      </c>
      <c r="IW174" s="675">
        <v>6160</v>
      </c>
      <c r="IX174" s="675">
        <v>0</v>
      </c>
      <c r="IY174" s="675">
        <v>0</v>
      </c>
      <c r="IZ174" s="675">
        <v>0</v>
      </c>
      <c r="JA174" s="675">
        <v>0</v>
      </c>
      <c r="JB174" s="675">
        <v>6</v>
      </c>
      <c r="JC174" s="675">
        <v>101900</v>
      </c>
      <c r="JD174" s="675">
        <v>18</v>
      </c>
      <c r="JE174" s="675">
        <v>166348</v>
      </c>
      <c r="JF174" s="675">
        <v>34</v>
      </c>
      <c r="JG174" s="675">
        <v>164264</v>
      </c>
      <c r="JH174" s="675">
        <v>28500</v>
      </c>
      <c r="JI174" s="675">
        <v>0</v>
      </c>
      <c r="JJ174" s="675">
        <v>0</v>
      </c>
      <c r="JK174" s="675">
        <v>0</v>
      </c>
      <c r="JL174" s="675">
        <v>0</v>
      </c>
      <c r="JM174" s="675">
        <v>0</v>
      </c>
      <c r="JN174" s="675">
        <v>32469</v>
      </c>
      <c r="JO174" s="675">
        <v>37.103999999999999</v>
      </c>
      <c r="JP174" s="675">
        <v>129.738</v>
      </c>
      <c r="JQ174" s="675">
        <v>66.164000000000001</v>
      </c>
      <c r="JR174" s="675">
        <v>296435</v>
      </c>
      <c r="JS174" s="675">
        <v>1206127</v>
      </c>
      <c r="JT174" s="675">
        <v>706407</v>
      </c>
      <c r="JU174" s="675">
        <v>116855</v>
      </c>
      <c r="JV174" s="675">
        <v>0</v>
      </c>
      <c r="JW174" s="675">
        <v>0</v>
      </c>
      <c r="JX174" s="675">
        <v>0</v>
      </c>
      <c r="JY174" s="675">
        <v>0</v>
      </c>
      <c r="JZ174" s="675">
        <v>0</v>
      </c>
      <c r="KA174" s="675">
        <v>0</v>
      </c>
      <c r="KB174" s="675">
        <v>0</v>
      </c>
      <c r="KC174" s="675">
        <v>0</v>
      </c>
      <c r="KD174" s="675">
        <v>116855</v>
      </c>
      <c r="KE174" s="675">
        <v>7263</v>
      </c>
      <c r="KF174" s="675">
        <v>0</v>
      </c>
      <c r="KG174" s="675">
        <v>0</v>
      </c>
      <c r="KH174" s="675">
        <v>0</v>
      </c>
      <c r="KI174" s="675">
        <v>0</v>
      </c>
    </row>
    <row r="175" spans="1:295" ht="12.5" x14ac:dyDescent="0.25">
      <c r="A175" s="675">
        <v>35795</v>
      </c>
      <c r="B175" s="675">
        <v>101859</v>
      </c>
      <c r="C175" s="675">
        <v>7</v>
      </c>
      <c r="D175" s="675">
        <v>2022</v>
      </c>
      <c r="E175" s="675">
        <v>6160</v>
      </c>
      <c r="F175" s="675">
        <v>0</v>
      </c>
      <c r="G175" s="675">
        <v>539.423</v>
      </c>
      <c r="H175" s="675">
        <v>499.02700000000004</v>
      </c>
      <c r="I175" s="675">
        <v>499.02700000000004</v>
      </c>
      <c r="J175" s="675">
        <v>539.423</v>
      </c>
      <c r="K175" s="675">
        <v>0</v>
      </c>
      <c r="L175" s="675">
        <v>6160</v>
      </c>
      <c r="M175" s="675">
        <v>0</v>
      </c>
      <c r="N175" s="675">
        <v>0</v>
      </c>
      <c r="O175" s="675">
        <v>0</v>
      </c>
      <c r="P175" s="675">
        <v>483.35300000000001</v>
      </c>
      <c r="Q175" s="675">
        <v>0</v>
      </c>
      <c r="R175" s="675">
        <v>194515</v>
      </c>
      <c r="S175" s="675">
        <v>402.428</v>
      </c>
      <c r="T175" s="675">
        <v>0</v>
      </c>
      <c r="U175" s="675">
        <v>103438</v>
      </c>
      <c r="V175" s="675">
        <v>308.53300000000002</v>
      </c>
      <c r="W175" s="675">
        <v>190055</v>
      </c>
      <c r="X175" s="675">
        <v>190055</v>
      </c>
      <c r="Y175" s="675">
        <v>0</v>
      </c>
      <c r="Z175" s="675">
        <v>0</v>
      </c>
      <c r="AA175" s="675">
        <v>0</v>
      </c>
      <c r="AB175" s="675">
        <v>0</v>
      </c>
      <c r="AC175" s="675">
        <v>0</v>
      </c>
      <c r="AD175" s="675" t="s">
        <v>316</v>
      </c>
      <c r="AE175" s="675">
        <v>0</v>
      </c>
      <c r="AF175" s="675">
        <v>0</v>
      </c>
      <c r="AG175" s="675">
        <v>0</v>
      </c>
      <c r="AH175" s="675">
        <v>0</v>
      </c>
      <c r="AI175" s="675">
        <v>0</v>
      </c>
      <c r="AJ175" s="675">
        <v>6160</v>
      </c>
      <c r="AK175" s="675" t="s">
        <v>671</v>
      </c>
      <c r="AL175" s="675" t="s">
        <v>349</v>
      </c>
      <c r="AM175" s="675">
        <v>0</v>
      </c>
      <c r="AN175" s="675">
        <v>0</v>
      </c>
      <c r="AO175" s="675">
        <v>0</v>
      </c>
      <c r="AP175" s="675">
        <v>0</v>
      </c>
      <c r="AQ175" s="675">
        <v>0</v>
      </c>
      <c r="AR175" s="675">
        <v>0</v>
      </c>
      <c r="AS175" s="675">
        <v>0</v>
      </c>
      <c r="AT175" s="675">
        <v>0</v>
      </c>
      <c r="AU175" s="675">
        <v>0</v>
      </c>
      <c r="AV175" s="675">
        <v>-4085</v>
      </c>
      <c r="AW175" s="675">
        <v>6290792</v>
      </c>
      <c r="AX175" s="675">
        <v>6198583</v>
      </c>
      <c r="AY175" s="675">
        <v>3920986</v>
      </c>
      <c r="AZ175" s="675">
        <v>194515</v>
      </c>
      <c r="BA175" s="675">
        <v>0</v>
      </c>
      <c r="BB175" s="675">
        <v>0</v>
      </c>
      <c r="BC175" s="675">
        <v>0</v>
      </c>
      <c r="BD175" s="675">
        <v>0</v>
      </c>
      <c r="BE175" s="675">
        <v>0</v>
      </c>
      <c r="BF175" s="675">
        <v>5694097</v>
      </c>
      <c r="BG175" s="675">
        <v>0</v>
      </c>
      <c r="BH175" s="675">
        <v>0</v>
      </c>
      <c r="BI175" s="675">
        <v>0</v>
      </c>
      <c r="BJ175" s="675">
        <v>12</v>
      </c>
      <c r="BK175" s="675">
        <v>0</v>
      </c>
      <c r="BL175" s="675">
        <v>0</v>
      </c>
      <c r="BM175" s="675">
        <v>0</v>
      </c>
      <c r="BN175" s="675">
        <v>0</v>
      </c>
      <c r="BO175" s="675">
        <v>0</v>
      </c>
      <c r="BP175" s="675">
        <v>0</v>
      </c>
      <c r="BQ175" s="675">
        <v>693</v>
      </c>
      <c r="BR175" s="675">
        <v>0</v>
      </c>
      <c r="BS175" s="675">
        <v>0</v>
      </c>
      <c r="BT175" s="675">
        <v>0</v>
      </c>
      <c r="BU175" s="675">
        <v>0</v>
      </c>
      <c r="BV175" s="675">
        <v>0</v>
      </c>
      <c r="BW175" s="675">
        <v>0</v>
      </c>
      <c r="BX175" s="675">
        <v>0</v>
      </c>
      <c r="BY175" s="675">
        <v>0</v>
      </c>
      <c r="BZ175" s="675">
        <v>0</v>
      </c>
      <c r="CA175" s="675">
        <v>0</v>
      </c>
      <c r="CB175" s="675">
        <v>0</v>
      </c>
      <c r="CC175" s="675">
        <v>0</v>
      </c>
      <c r="CD175" s="675">
        <v>0</v>
      </c>
      <c r="CE175" s="675">
        <v>0</v>
      </c>
      <c r="CF175" s="675">
        <v>0</v>
      </c>
      <c r="CG175" s="675">
        <v>0</v>
      </c>
      <c r="CH175" s="675">
        <v>95238</v>
      </c>
      <c r="CI175" s="675">
        <v>0</v>
      </c>
      <c r="CJ175" s="675">
        <v>4</v>
      </c>
      <c r="CK175" s="675">
        <v>0</v>
      </c>
      <c r="CL175" s="675">
        <v>0</v>
      </c>
      <c r="CM175" s="675">
        <v>0</v>
      </c>
      <c r="CN175" s="675">
        <v>0</v>
      </c>
      <c r="CO175" s="675">
        <v>1</v>
      </c>
      <c r="CP175" s="675">
        <v>0</v>
      </c>
      <c r="CQ175" s="675">
        <v>0</v>
      </c>
      <c r="CR175" s="675">
        <v>466.22</v>
      </c>
      <c r="CS175" s="675">
        <v>0</v>
      </c>
      <c r="CT175" s="675">
        <v>0</v>
      </c>
      <c r="CU175" s="675">
        <v>0</v>
      </c>
      <c r="CV175" s="675">
        <v>0</v>
      </c>
      <c r="CW175" s="675">
        <v>0</v>
      </c>
      <c r="CX175" s="675">
        <v>0</v>
      </c>
      <c r="CY175" s="675">
        <v>0</v>
      </c>
      <c r="CZ175" s="675">
        <v>0</v>
      </c>
      <c r="DA175" s="675">
        <v>0</v>
      </c>
      <c r="DB175" s="675">
        <v>3073992</v>
      </c>
      <c r="DC175" s="675">
        <v>0</v>
      </c>
      <c r="DD175" s="675">
        <v>0</v>
      </c>
      <c r="DE175" s="675">
        <v>901743</v>
      </c>
      <c r="DF175" s="675">
        <v>901743</v>
      </c>
      <c r="DG175" s="675">
        <v>146.38800000000001</v>
      </c>
      <c r="DH175" s="675">
        <v>0</v>
      </c>
      <c r="DI175" s="675">
        <v>0</v>
      </c>
      <c r="DJ175" s="675">
        <v>0</v>
      </c>
      <c r="DK175" s="675">
        <v>2713</v>
      </c>
      <c r="DL175" s="675">
        <v>0</v>
      </c>
      <c r="DM175" s="675">
        <v>805200</v>
      </c>
      <c r="DN175" s="675">
        <v>3029</v>
      </c>
      <c r="DO175" s="675">
        <v>0</v>
      </c>
      <c r="DP175" s="675">
        <v>0</v>
      </c>
      <c r="DQ175" s="675">
        <v>0</v>
      </c>
      <c r="DR175" s="675">
        <v>0</v>
      </c>
      <c r="DS175" s="675">
        <v>0</v>
      </c>
      <c r="DT175" s="675">
        <v>0</v>
      </c>
      <c r="DU175" s="675">
        <v>0</v>
      </c>
      <c r="DV175" s="675">
        <v>0</v>
      </c>
      <c r="DW175" s="675">
        <v>0</v>
      </c>
      <c r="DX175" s="675">
        <v>0</v>
      </c>
      <c r="DY175" s="675">
        <v>0</v>
      </c>
      <c r="DZ175" s="675">
        <v>0</v>
      </c>
      <c r="EA175" s="675">
        <v>0</v>
      </c>
      <c r="EB175" s="675">
        <v>0</v>
      </c>
      <c r="EC175" s="675">
        <v>6.8440000000000003</v>
      </c>
      <c r="ED175" s="675">
        <v>48483</v>
      </c>
      <c r="EE175" s="675">
        <v>0</v>
      </c>
      <c r="EF175" s="675">
        <v>0</v>
      </c>
      <c r="EG175" s="675">
        <v>0</v>
      </c>
      <c r="EH175" s="675">
        <v>759746</v>
      </c>
      <c r="EI175" s="675">
        <v>0</v>
      </c>
      <c r="EJ175" s="675">
        <v>0</v>
      </c>
      <c r="EK175" s="675">
        <v>39.322000000000003</v>
      </c>
      <c r="EL175" s="675">
        <v>0</v>
      </c>
      <c r="EM175" s="675">
        <v>0</v>
      </c>
      <c r="EN175" s="675">
        <v>1.0740000000000001</v>
      </c>
      <c r="EO175" s="675">
        <v>0</v>
      </c>
      <c r="EP175" s="675">
        <v>0</v>
      </c>
      <c r="EQ175" s="675">
        <v>40.396000000000001</v>
      </c>
      <c r="ER175" s="675">
        <v>0</v>
      </c>
      <c r="ES175" s="675">
        <v>123.33600000000001</v>
      </c>
      <c r="ET175" s="675">
        <v>0</v>
      </c>
      <c r="EU175" s="675">
        <v>0</v>
      </c>
      <c r="EV175" s="675">
        <v>0</v>
      </c>
      <c r="EW175" s="675">
        <v>0</v>
      </c>
      <c r="EX175" s="675">
        <v>0</v>
      </c>
      <c r="EY175" s="675">
        <v>0</v>
      </c>
      <c r="EZ175" s="675">
        <v>5499582</v>
      </c>
      <c r="FA175" s="675">
        <v>0</v>
      </c>
      <c r="FB175" s="675">
        <v>5691068</v>
      </c>
      <c r="FC175" s="675">
        <v>0</v>
      </c>
      <c r="FD175" s="675">
        <v>0</v>
      </c>
      <c r="FE175" s="675">
        <v>579206</v>
      </c>
      <c r="FF175" s="675">
        <v>119795</v>
      </c>
      <c r="FG175" s="675">
        <v>6.3574999999999993E-2</v>
      </c>
      <c r="FH175" s="675">
        <v>2.6297999999999998E-2</v>
      </c>
      <c r="FI175" s="675">
        <v>0</v>
      </c>
      <c r="FJ175" s="675">
        <v>0</v>
      </c>
      <c r="FK175" s="675">
        <v>924.37100000000009</v>
      </c>
      <c r="FL175" s="675">
        <v>6485307</v>
      </c>
      <c r="FM175" s="675">
        <v>0</v>
      </c>
      <c r="FN175" s="675">
        <v>0</v>
      </c>
      <c r="FO175" s="675">
        <v>0</v>
      </c>
      <c r="FP175" s="675">
        <v>0</v>
      </c>
      <c r="FQ175" s="675">
        <v>0</v>
      </c>
      <c r="FR175" s="675">
        <v>0</v>
      </c>
      <c r="FS175" s="675">
        <v>0</v>
      </c>
      <c r="FT175" s="675">
        <v>0</v>
      </c>
      <c r="FU175" s="675">
        <v>0</v>
      </c>
      <c r="FV175" s="675">
        <v>0</v>
      </c>
      <c r="FW175" s="675">
        <v>0</v>
      </c>
      <c r="FX175" s="675">
        <v>0</v>
      </c>
      <c r="FY175" s="675">
        <v>0</v>
      </c>
      <c r="FZ175" s="675">
        <v>0</v>
      </c>
      <c r="GA175" s="675">
        <v>0</v>
      </c>
      <c r="GB175" s="675">
        <v>0</v>
      </c>
      <c r="GC175" s="675">
        <v>0</v>
      </c>
      <c r="GD175" s="675">
        <v>0</v>
      </c>
      <c r="GE175" s="675">
        <v>0</v>
      </c>
      <c r="GF175" s="675">
        <v>0</v>
      </c>
      <c r="GG175" s="675">
        <v>0</v>
      </c>
      <c r="GH175" s="675">
        <v>0</v>
      </c>
      <c r="GI175" s="675">
        <v>0</v>
      </c>
      <c r="GJ175" s="675">
        <v>0</v>
      </c>
      <c r="GK175" s="675">
        <v>0</v>
      </c>
      <c r="GL175" s="675">
        <v>0</v>
      </c>
      <c r="GM175" s="675">
        <v>0</v>
      </c>
      <c r="GN175" s="675">
        <v>0</v>
      </c>
      <c r="GO175" s="675">
        <v>0</v>
      </c>
      <c r="GP175" s="675">
        <v>0</v>
      </c>
      <c r="GQ175" s="675">
        <v>0</v>
      </c>
      <c r="GR175" s="675">
        <v>0</v>
      </c>
      <c r="GS175" s="675">
        <v>0</v>
      </c>
      <c r="GT175" s="675">
        <v>0</v>
      </c>
      <c r="GU175" s="675">
        <v>0</v>
      </c>
      <c r="GV175" s="675">
        <v>0</v>
      </c>
      <c r="GW175" s="675">
        <v>0</v>
      </c>
      <c r="GX175" s="675">
        <v>0</v>
      </c>
      <c r="GY175" s="675">
        <v>0</v>
      </c>
      <c r="GZ175" s="675">
        <v>0</v>
      </c>
      <c r="HA175" s="675">
        <v>0</v>
      </c>
      <c r="HB175" s="675">
        <v>308877260</v>
      </c>
      <c r="HC175" s="675">
        <v>4.4138999999999998E-2</v>
      </c>
      <c r="HD175" s="675">
        <v>95238</v>
      </c>
      <c r="HE175" s="675">
        <v>0</v>
      </c>
      <c r="HF175" s="675">
        <v>550427</v>
      </c>
      <c r="HG175" s="675">
        <v>0</v>
      </c>
      <c r="HH175" s="675">
        <v>164408</v>
      </c>
      <c r="HI175" s="675">
        <v>0</v>
      </c>
      <c r="HJ175" s="675">
        <v>5243</v>
      </c>
      <c r="HK175" s="675">
        <v>0</v>
      </c>
      <c r="HL175" s="675">
        <v>0</v>
      </c>
      <c r="HM175" s="675">
        <v>0</v>
      </c>
      <c r="HN175" s="675">
        <v>0</v>
      </c>
      <c r="HO175" s="675">
        <v>0</v>
      </c>
      <c r="HP175" s="675">
        <v>0</v>
      </c>
      <c r="HQ175" s="675">
        <v>0</v>
      </c>
      <c r="HR175" s="675">
        <v>0</v>
      </c>
      <c r="HS175" s="675">
        <v>5496553</v>
      </c>
      <c r="HT175" s="675">
        <v>119795</v>
      </c>
      <c r="HU175" s="675">
        <v>0</v>
      </c>
      <c r="HV175" s="675">
        <v>0</v>
      </c>
      <c r="HW175" s="675">
        <v>0</v>
      </c>
      <c r="HX175" s="675">
        <v>29</v>
      </c>
      <c r="HY175" s="675">
        <v>55</v>
      </c>
      <c r="HZ175" s="675">
        <v>80</v>
      </c>
      <c r="IA175" s="675">
        <v>124</v>
      </c>
      <c r="IB175" s="675">
        <v>270</v>
      </c>
      <c r="IC175" s="675">
        <v>558</v>
      </c>
      <c r="ID175" s="675">
        <v>0</v>
      </c>
      <c r="IE175" s="675">
        <v>0</v>
      </c>
      <c r="IF175" s="675">
        <v>0</v>
      </c>
      <c r="IG175" s="675">
        <v>0</v>
      </c>
      <c r="IH175" s="675">
        <v>266.89800000000002</v>
      </c>
      <c r="II175" s="675">
        <v>0</v>
      </c>
      <c r="IJ175" s="675">
        <v>308.53300000000002</v>
      </c>
      <c r="IK175" s="675">
        <v>0</v>
      </c>
      <c r="IL175" s="675">
        <v>0</v>
      </c>
      <c r="IM175" s="675">
        <v>0</v>
      </c>
      <c r="IN175" s="675">
        <v>0</v>
      </c>
      <c r="IO175" s="675">
        <v>0</v>
      </c>
      <c r="IP175" s="675">
        <v>0</v>
      </c>
      <c r="IQ175" s="675">
        <v>308.53300000000002</v>
      </c>
      <c r="IR175" s="675">
        <v>190055</v>
      </c>
      <c r="IS175" s="675">
        <v>0</v>
      </c>
      <c r="IT175" s="675">
        <v>0</v>
      </c>
      <c r="IU175" s="675">
        <v>0</v>
      </c>
      <c r="IV175" s="675">
        <v>0</v>
      </c>
      <c r="IW175" s="675">
        <v>6160</v>
      </c>
      <c r="IX175" s="675">
        <v>0</v>
      </c>
      <c r="IY175" s="675">
        <v>0</v>
      </c>
      <c r="IZ175" s="675">
        <v>0</v>
      </c>
      <c r="JA175" s="675">
        <v>0</v>
      </c>
      <c r="JB175" s="675">
        <v>0</v>
      </c>
      <c r="JC175" s="675">
        <v>0</v>
      </c>
      <c r="JD175" s="675">
        <v>0</v>
      </c>
      <c r="JE175" s="675">
        <v>0</v>
      </c>
      <c r="JF175" s="675">
        <v>0</v>
      </c>
      <c r="JG175" s="675">
        <v>0</v>
      </c>
      <c r="JH175" s="675">
        <v>0</v>
      </c>
      <c r="JI175" s="675">
        <v>0</v>
      </c>
      <c r="JJ175" s="675">
        <v>0</v>
      </c>
      <c r="JK175" s="675">
        <v>0</v>
      </c>
      <c r="JL175" s="675">
        <v>0</v>
      </c>
      <c r="JM175" s="675">
        <v>0</v>
      </c>
      <c r="JN175" s="675">
        <v>32469</v>
      </c>
      <c r="JO175" s="675">
        <v>0</v>
      </c>
      <c r="JP175" s="675">
        <v>0</v>
      </c>
      <c r="JQ175" s="675">
        <v>0</v>
      </c>
      <c r="JR175" s="675">
        <v>0</v>
      </c>
      <c r="JS175" s="675">
        <v>0</v>
      </c>
      <c r="JT175" s="675">
        <v>0</v>
      </c>
      <c r="JU175" s="675">
        <v>0</v>
      </c>
      <c r="JV175" s="675">
        <v>0</v>
      </c>
      <c r="JW175" s="675">
        <v>0</v>
      </c>
      <c r="JX175" s="675">
        <v>0</v>
      </c>
      <c r="JY175" s="675">
        <v>0</v>
      </c>
      <c r="JZ175" s="675">
        <v>0</v>
      </c>
      <c r="KA175" s="675">
        <v>0</v>
      </c>
      <c r="KB175" s="675">
        <v>0</v>
      </c>
      <c r="KC175" s="675">
        <v>0</v>
      </c>
      <c r="KD175" s="675">
        <v>0</v>
      </c>
      <c r="KE175" s="675">
        <v>7263</v>
      </c>
      <c r="KF175" s="675">
        <v>0</v>
      </c>
      <c r="KG175" s="675">
        <v>0</v>
      </c>
      <c r="KH175" s="675">
        <v>0</v>
      </c>
      <c r="KI175" s="675">
        <v>0</v>
      </c>
    </row>
    <row r="176" spans="1:295" ht="12.5" x14ac:dyDescent="0.25">
      <c r="A176" s="675">
        <v>35795</v>
      </c>
      <c r="B176" s="675">
        <v>101861</v>
      </c>
      <c r="C176" s="675">
        <v>7</v>
      </c>
      <c r="D176" s="675">
        <v>2022</v>
      </c>
      <c r="E176" s="675">
        <v>6160</v>
      </c>
      <c r="F176" s="675">
        <v>0</v>
      </c>
      <c r="G176" s="675">
        <v>505.31</v>
      </c>
      <c r="H176" s="675">
        <v>495.47700000000003</v>
      </c>
      <c r="I176" s="675">
        <v>495.47700000000003</v>
      </c>
      <c r="J176" s="675">
        <v>505.31</v>
      </c>
      <c r="K176" s="675">
        <v>0</v>
      </c>
      <c r="L176" s="675">
        <v>6160</v>
      </c>
      <c r="M176" s="675">
        <v>0</v>
      </c>
      <c r="N176" s="675">
        <v>0</v>
      </c>
      <c r="O176" s="675">
        <v>0</v>
      </c>
      <c r="P176" s="675">
        <v>601.90300000000002</v>
      </c>
      <c r="Q176" s="675">
        <v>0</v>
      </c>
      <c r="R176" s="675">
        <v>242223</v>
      </c>
      <c r="S176" s="675">
        <v>402.428</v>
      </c>
      <c r="T176" s="675">
        <v>0</v>
      </c>
      <c r="U176" s="675">
        <v>128807</v>
      </c>
      <c r="V176" s="675">
        <v>10.403</v>
      </c>
      <c r="W176" s="675">
        <v>6408</v>
      </c>
      <c r="X176" s="675">
        <v>6408</v>
      </c>
      <c r="Y176" s="675">
        <v>0</v>
      </c>
      <c r="Z176" s="675">
        <v>0</v>
      </c>
      <c r="AA176" s="675">
        <v>0</v>
      </c>
      <c r="AB176" s="675">
        <v>0</v>
      </c>
      <c r="AC176" s="675">
        <v>0</v>
      </c>
      <c r="AD176" s="675" t="s">
        <v>316</v>
      </c>
      <c r="AE176" s="675">
        <v>0</v>
      </c>
      <c r="AF176" s="675">
        <v>0</v>
      </c>
      <c r="AG176" s="675">
        <v>0</v>
      </c>
      <c r="AH176" s="675">
        <v>0</v>
      </c>
      <c r="AI176" s="675">
        <v>0</v>
      </c>
      <c r="AJ176" s="675">
        <v>6160</v>
      </c>
      <c r="AK176" s="675" t="s">
        <v>671</v>
      </c>
      <c r="AL176" s="675" t="s">
        <v>796</v>
      </c>
      <c r="AM176" s="675">
        <v>0</v>
      </c>
      <c r="AN176" s="675">
        <v>0</v>
      </c>
      <c r="AO176" s="675">
        <v>0</v>
      </c>
      <c r="AP176" s="675">
        <v>0</v>
      </c>
      <c r="AQ176" s="675">
        <v>0</v>
      </c>
      <c r="AR176" s="675">
        <v>0</v>
      </c>
      <c r="AS176" s="675">
        <v>0</v>
      </c>
      <c r="AT176" s="675">
        <v>0</v>
      </c>
      <c r="AU176" s="675">
        <v>0</v>
      </c>
      <c r="AV176" s="675">
        <v>-331318</v>
      </c>
      <c r="AW176" s="675">
        <v>5788993</v>
      </c>
      <c r="AX176" s="675">
        <v>5397846</v>
      </c>
      <c r="AY176" s="675">
        <v>4069266</v>
      </c>
      <c r="AZ176" s="675">
        <v>242223</v>
      </c>
      <c r="BA176" s="675">
        <v>0</v>
      </c>
      <c r="BB176" s="675">
        <v>4743</v>
      </c>
      <c r="BC176" s="675">
        <v>4712</v>
      </c>
      <c r="BD176" s="675">
        <v>11</v>
      </c>
      <c r="BE176" s="675">
        <v>31</v>
      </c>
      <c r="BF176" s="675">
        <v>4969965</v>
      </c>
      <c r="BG176" s="675">
        <v>0</v>
      </c>
      <c r="BH176" s="675">
        <v>0</v>
      </c>
      <c r="BI176" s="675">
        <v>0</v>
      </c>
      <c r="BJ176" s="675">
        <v>12</v>
      </c>
      <c r="BK176" s="675">
        <v>0</v>
      </c>
      <c r="BL176" s="675">
        <v>0</v>
      </c>
      <c r="BM176" s="675">
        <v>0</v>
      </c>
      <c r="BN176" s="675">
        <v>0</v>
      </c>
      <c r="BO176" s="675">
        <v>0</v>
      </c>
      <c r="BP176" s="675">
        <v>0</v>
      </c>
      <c r="BQ176" s="675">
        <v>694</v>
      </c>
      <c r="BR176" s="675">
        <v>0</v>
      </c>
      <c r="BS176" s="675">
        <v>0</v>
      </c>
      <c r="BT176" s="675">
        <v>0</v>
      </c>
      <c r="BU176" s="675">
        <v>0</v>
      </c>
      <c r="BV176" s="675">
        <v>0</v>
      </c>
      <c r="BW176" s="675">
        <v>0</v>
      </c>
      <c r="BX176" s="675">
        <v>0</v>
      </c>
      <c r="BY176" s="675">
        <v>0</v>
      </c>
      <c r="BZ176" s="675">
        <v>0</v>
      </c>
      <c r="CA176" s="675">
        <v>2.6640000000000001</v>
      </c>
      <c r="CB176" s="675">
        <v>2272</v>
      </c>
      <c r="CC176" s="675">
        <v>0</v>
      </c>
      <c r="CD176" s="675">
        <v>0</v>
      </c>
      <c r="CE176" s="675">
        <v>0</v>
      </c>
      <c r="CF176" s="675">
        <v>0</v>
      </c>
      <c r="CG176" s="675">
        <v>0</v>
      </c>
      <c r="CH176" s="675">
        <v>392539</v>
      </c>
      <c r="CI176" s="675">
        <v>0</v>
      </c>
      <c r="CJ176" s="675">
        <v>4</v>
      </c>
      <c r="CK176" s="675">
        <v>0</v>
      </c>
      <c r="CL176" s="675">
        <v>0</v>
      </c>
      <c r="CM176" s="675">
        <v>0</v>
      </c>
      <c r="CN176" s="675">
        <v>0</v>
      </c>
      <c r="CO176" s="675">
        <v>1</v>
      </c>
      <c r="CP176" s="675">
        <v>0</v>
      </c>
      <c r="CQ176" s="675">
        <v>0</v>
      </c>
      <c r="CR176" s="675">
        <v>637.76200000000006</v>
      </c>
      <c r="CS176" s="675">
        <v>0</v>
      </c>
      <c r="CT176" s="675">
        <v>0</v>
      </c>
      <c r="CU176" s="675">
        <v>0</v>
      </c>
      <c r="CV176" s="675">
        <v>0</v>
      </c>
      <c r="CW176" s="675">
        <v>0</v>
      </c>
      <c r="CX176" s="675">
        <v>0</v>
      </c>
      <c r="CY176" s="675">
        <v>0</v>
      </c>
      <c r="CZ176" s="675">
        <v>0</v>
      </c>
      <c r="DA176" s="675">
        <v>0</v>
      </c>
      <c r="DB176" s="675">
        <v>2883910</v>
      </c>
      <c r="DC176" s="675">
        <v>0</v>
      </c>
      <c r="DD176" s="675">
        <v>0</v>
      </c>
      <c r="DE176" s="675">
        <v>858931</v>
      </c>
      <c r="DF176" s="675">
        <v>858931</v>
      </c>
      <c r="DG176" s="675">
        <v>139.43800000000002</v>
      </c>
      <c r="DH176" s="675">
        <v>0</v>
      </c>
      <c r="DI176" s="675">
        <v>0</v>
      </c>
      <c r="DJ176" s="675">
        <v>0</v>
      </c>
      <c r="DK176" s="675">
        <v>2722</v>
      </c>
      <c r="DL176" s="675">
        <v>0</v>
      </c>
      <c r="DM176" s="675">
        <v>529989</v>
      </c>
      <c r="DN176" s="675">
        <v>1361</v>
      </c>
      <c r="DO176" s="675">
        <v>0</v>
      </c>
      <c r="DP176" s="675">
        <v>0</v>
      </c>
      <c r="DQ176" s="675">
        <v>0</v>
      </c>
      <c r="DR176" s="675">
        <v>0</v>
      </c>
      <c r="DS176" s="675">
        <v>0</v>
      </c>
      <c r="DT176" s="675">
        <v>0</v>
      </c>
      <c r="DU176" s="675">
        <v>0</v>
      </c>
      <c r="DV176" s="675">
        <v>0</v>
      </c>
      <c r="DW176" s="675">
        <v>0</v>
      </c>
      <c r="DX176" s="675">
        <v>0</v>
      </c>
      <c r="DY176" s="675">
        <v>0</v>
      </c>
      <c r="DZ176" s="675">
        <v>0</v>
      </c>
      <c r="EA176" s="675">
        <v>0</v>
      </c>
      <c r="EB176" s="675">
        <v>0</v>
      </c>
      <c r="EC176" s="675">
        <v>23.666</v>
      </c>
      <c r="ED176" s="675">
        <v>167649</v>
      </c>
      <c r="EE176" s="675">
        <v>0</v>
      </c>
      <c r="EF176" s="675">
        <v>0</v>
      </c>
      <c r="EG176" s="675">
        <v>0</v>
      </c>
      <c r="EH176" s="675">
        <v>195487</v>
      </c>
      <c r="EI176" s="675">
        <v>0</v>
      </c>
      <c r="EJ176" s="675">
        <v>0</v>
      </c>
      <c r="EK176" s="675">
        <v>8.7149999999999999</v>
      </c>
      <c r="EL176" s="675">
        <v>0</v>
      </c>
      <c r="EM176" s="675">
        <v>0</v>
      </c>
      <c r="EN176" s="675">
        <v>1.1180000000000001</v>
      </c>
      <c r="EO176" s="675">
        <v>0</v>
      </c>
      <c r="EP176" s="675">
        <v>0</v>
      </c>
      <c r="EQ176" s="675">
        <v>9.8330000000000002</v>
      </c>
      <c r="ER176" s="675">
        <v>0</v>
      </c>
      <c r="ES176" s="675">
        <v>31.735000000000003</v>
      </c>
      <c r="ET176" s="675">
        <v>0</v>
      </c>
      <c r="EU176" s="675">
        <v>0</v>
      </c>
      <c r="EV176" s="675">
        <v>0</v>
      </c>
      <c r="EW176" s="675">
        <v>0</v>
      </c>
      <c r="EX176" s="675">
        <v>0</v>
      </c>
      <c r="EY176" s="675">
        <v>0</v>
      </c>
      <c r="EZ176" s="675">
        <v>4787738</v>
      </c>
      <c r="FA176" s="675">
        <v>0</v>
      </c>
      <c r="FB176" s="675">
        <v>5028569</v>
      </c>
      <c r="FC176" s="675">
        <v>0</v>
      </c>
      <c r="FD176" s="675">
        <v>0</v>
      </c>
      <c r="FE176" s="675">
        <v>505547</v>
      </c>
      <c r="FF176" s="675">
        <v>104561</v>
      </c>
      <c r="FG176" s="675">
        <v>6.3574999999999993E-2</v>
      </c>
      <c r="FH176" s="675">
        <v>2.6297999999999998E-2</v>
      </c>
      <c r="FI176" s="675">
        <v>0</v>
      </c>
      <c r="FJ176" s="675">
        <v>0</v>
      </c>
      <c r="FK176" s="675">
        <v>806.81600000000003</v>
      </c>
      <c r="FL176" s="675">
        <v>6031216</v>
      </c>
      <c r="FM176" s="675">
        <v>0</v>
      </c>
      <c r="FN176" s="675">
        <v>0</v>
      </c>
      <c r="FO176" s="675">
        <v>57724</v>
      </c>
      <c r="FP176" s="675">
        <v>0</v>
      </c>
      <c r="FQ176" s="675">
        <v>57724</v>
      </c>
      <c r="FR176" s="675">
        <v>57724</v>
      </c>
      <c r="FS176" s="675">
        <v>0</v>
      </c>
      <c r="FT176" s="675">
        <v>0</v>
      </c>
      <c r="FU176" s="675">
        <v>0</v>
      </c>
      <c r="FV176" s="675">
        <v>0</v>
      </c>
      <c r="FW176" s="675">
        <v>0</v>
      </c>
      <c r="FX176" s="675">
        <v>0</v>
      </c>
      <c r="FY176" s="675">
        <v>0</v>
      </c>
      <c r="FZ176" s="675">
        <v>0</v>
      </c>
      <c r="GA176" s="675">
        <v>0</v>
      </c>
      <c r="GB176" s="675">
        <v>0</v>
      </c>
      <c r="GC176" s="675">
        <v>0</v>
      </c>
      <c r="GD176" s="675">
        <v>0</v>
      </c>
      <c r="GE176" s="675">
        <v>0</v>
      </c>
      <c r="GF176" s="675">
        <v>0</v>
      </c>
      <c r="GG176" s="675">
        <v>0</v>
      </c>
      <c r="GH176" s="675">
        <v>0</v>
      </c>
      <c r="GI176" s="675">
        <v>0</v>
      </c>
      <c r="GJ176" s="675">
        <v>0</v>
      </c>
      <c r="GK176" s="675">
        <v>0</v>
      </c>
      <c r="GL176" s="675">
        <v>0</v>
      </c>
      <c r="GM176" s="675">
        <v>0</v>
      </c>
      <c r="GN176" s="675">
        <v>0</v>
      </c>
      <c r="GO176" s="675">
        <v>0</v>
      </c>
      <c r="GP176" s="675">
        <v>0</v>
      </c>
      <c r="GQ176" s="675">
        <v>0</v>
      </c>
      <c r="GR176" s="675">
        <v>0</v>
      </c>
      <c r="GS176" s="675">
        <v>0</v>
      </c>
      <c r="GT176" s="675">
        <v>0</v>
      </c>
      <c r="GU176" s="675">
        <v>0</v>
      </c>
      <c r="GV176" s="675">
        <v>0</v>
      </c>
      <c r="GW176" s="675">
        <v>0</v>
      </c>
      <c r="GX176" s="675">
        <v>0</v>
      </c>
      <c r="GY176" s="675">
        <v>0</v>
      </c>
      <c r="GZ176" s="675">
        <v>0</v>
      </c>
      <c r="HA176" s="675">
        <v>0</v>
      </c>
      <c r="HB176" s="675">
        <v>308877260</v>
      </c>
      <c r="HC176" s="675">
        <v>4.4138999999999998E-2</v>
      </c>
      <c r="HD176" s="675">
        <v>89215</v>
      </c>
      <c r="HE176" s="675">
        <v>0</v>
      </c>
      <c r="HF176" s="675">
        <v>546511</v>
      </c>
      <c r="HG176" s="675">
        <v>6776</v>
      </c>
      <c r="HH176" s="675">
        <v>126424</v>
      </c>
      <c r="HI176" s="675">
        <v>0</v>
      </c>
      <c r="HJ176" s="675">
        <v>4912</v>
      </c>
      <c r="HK176" s="675">
        <v>0</v>
      </c>
      <c r="HL176" s="675">
        <v>0</v>
      </c>
      <c r="HM176" s="675">
        <v>0</v>
      </c>
      <c r="HN176" s="675">
        <v>0</v>
      </c>
      <c r="HO176" s="675">
        <v>0</v>
      </c>
      <c r="HP176" s="675">
        <v>0</v>
      </c>
      <c r="HQ176" s="675">
        <v>0</v>
      </c>
      <c r="HR176" s="675">
        <v>0</v>
      </c>
      <c r="HS176" s="675">
        <v>4786346</v>
      </c>
      <c r="HT176" s="675">
        <v>104561</v>
      </c>
      <c r="HU176" s="675">
        <v>0</v>
      </c>
      <c r="HV176" s="675">
        <v>0</v>
      </c>
      <c r="HW176" s="675">
        <v>0</v>
      </c>
      <c r="HX176" s="675">
        <v>46</v>
      </c>
      <c r="HY176" s="675">
        <v>136</v>
      </c>
      <c r="HZ176" s="675">
        <v>120</v>
      </c>
      <c r="IA176" s="675">
        <v>91</v>
      </c>
      <c r="IB176" s="675">
        <v>156</v>
      </c>
      <c r="IC176" s="675">
        <v>549</v>
      </c>
      <c r="ID176" s="675">
        <v>0</v>
      </c>
      <c r="IE176" s="675">
        <v>0</v>
      </c>
      <c r="IF176" s="675">
        <v>0</v>
      </c>
      <c r="IG176" s="675">
        <v>11</v>
      </c>
      <c r="IH176" s="675">
        <v>205.23400000000001</v>
      </c>
      <c r="II176" s="675">
        <v>0</v>
      </c>
      <c r="IJ176" s="675">
        <v>10.403</v>
      </c>
      <c r="IK176" s="675">
        <v>0</v>
      </c>
      <c r="IL176" s="675">
        <v>0</v>
      </c>
      <c r="IM176" s="675">
        <v>0</v>
      </c>
      <c r="IN176" s="675">
        <v>0</v>
      </c>
      <c r="IO176" s="675">
        <v>0</v>
      </c>
      <c r="IP176" s="675">
        <v>0</v>
      </c>
      <c r="IQ176" s="675">
        <v>10.403</v>
      </c>
      <c r="IR176" s="675">
        <v>6408</v>
      </c>
      <c r="IS176" s="675">
        <v>0</v>
      </c>
      <c r="IT176" s="675">
        <v>0</v>
      </c>
      <c r="IU176" s="675">
        <v>0</v>
      </c>
      <c r="IV176" s="675">
        <v>0</v>
      </c>
      <c r="IW176" s="675">
        <v>6160</v>
      </c>
      <c r="IX176" s="675">
        <v>0</v>
      </c>
      <c r="IY176" s="675">
        <v>0</v>
      </c>
      <c r="IZ176" s="675">
        <v>0</v>
      </c>
      <c r="JA176" s="675">
        <v>0</v>
      </c>
      <c r="JB176" s="675">
        <v>0</v>
      </c>
      <c r="JC176" s="675">
        <v>0</v>
      </c>
      <c r="JD176" s="675">
        <v>0</v>
      </c>
      <c r="JE176" s="675">
        <v>0</v>
      </c>
      <c r="JF176" s="675">
        <v>0</v>
      </c>
      <c r="JG176" s="675">
        <v>0</v>
      </c>
      <c r="JH176" s="675">
        <v>0</v>
      </c>
      <c r="JI176" s="675">
        <v>0</v>
      </c>
      <c r="JJ176" s="675">
        <v>0</v>
      </c>
      <c r="JK176" s="675">
        <v>0</v>
      </c>
      <c r="JL176" s="675">
        <v>0</v>
      </c>
      <c r="JM176" s="675">
        <v>0</v>
      </c>
      <c r="JN176" s="675">
        <v>32469</v>
      </c>
      <c r="JO176" s="675">
        <v>0</v>
      </c>
      <c r="JP176" s="675">
        <v>0</v>
      </c>
      <c r="JQ176" s="675">
        <v>0</v>
      </c>
      <c r="JR176" s="675">
        <v>0</v>
      </c>
      <c r="JS176" s="675">
        <v>0</v>
      </c>
      <c r="JT176" s="675">
        <v>0</v>
      </c>
      <c r="JU176" s="675">
        <v>4743</v>
      </c>
      <c r="JV176" s="675">
        <v>0</v>
      </c>
      <c r="JW176" s="675">
        <v>0</v>
      </c>
      <c r="JX176" s="675">
        <v>0</v>
      </c>
      <c r="JY176" s="675">
        <v>0</v>
      </c>
      <c r="JZ176" s="675">
        <v>0</v>
      </c>
      <c r="KA176" s="675">
        <v>0</v>
      </c>
      <c r="KB176" s="675">
        <v>0</v>
      </c>
      <c r="KC176" s="675">
        <v>0</v>
      </c>
      <c r="KD176" s="675">
        <v>4743</v>
      </c>
      <c r="KE176" s="675">
        <v>7263</v>
      </c>
      <c r="KF176" s="675">
        <v>303324</v>
      </c>
      <c r="KG176" s="675">
        <v>0</v>
      </c>
      <c r="KH176" s="675">
        <v>0</v>
      </c>
      <c r="KI176" s="675">
        <v>0</v>
      </c>
    </row>
    <row r="177" spans="1:295" ht="12.5" x14ac:dyDescent="0.25">
      <c r="A177" s="675">
        <v>35795</v>
      </c>
      <c r="B177" s="675">
        <v>101862</v>
      </c>
      <c r="C177" s="675">
        <v>7</v>
      </c>
      <c r="D177" s="675">
        <v>2022</v>
      </c>
      <c r="E177" s="675">
        <v>6160</v>
      </c>
      <c r="F177" s="675">
        <v>0</v>
      </c>
      <c r="G177" s="675">
        <v>3890.4860000000003</v>
      </c>
      <c r="H177" s="675">
        <v>3526.8980000000001</v>
      </c>
      <c r="I177" s="675">
        <v>3526.8980000000001</v>
      </c>
      <c r="J177" s="675">
        <v>3890.4860000000003</v>
      </c>
      <c r="K177" s="675">
        <v>0</v>
      </c>
      <c r="L177" s="675">
        <v>6160</v>
      </c>
      <c r="M177" s="675">
        <v>0</v>
      </c>
      <c r="N177" s="675">
        <v>0</v>
      </c>
      <c r="O177" s="675">
        <v>0</v>
      </c>
      <c r="P177" s="675">
        <v>3816.607</v>
      </c>
      <c r="Q177" s="675">
        <v>0</v>
      </c>
      <c r="R177" s="675">
        <v>1535910</v>
      </c>
      <c r="S177" s="675">
        <v>402.428</v>
      </c>
      <c r="T177" s="675">
        <v>0</v>
      </c>
      <c r="U177" s="675">
        <v>816758</v>
      </c>
      <c r="V177" s="675">
        <v>834.70100000000002</v>
      </c>
      <c r="W177" s="675">
        <v>514173</v>
      </c>
      <c r="X177" s="675">
        <v>514173</v>
      </c>
      <c r="Y177" s="675">
        <v>0</v>
      </c>
      <c r="Z177" s="675">
        <v>0</v>
      </c>
      <c r="AA177" s="675">
        <v>0</v>
      </c>
      <c r="AB177" s="675">
        <v>0</v>
      </c>
      <c r="AC177" s="675">
        <v>0</v>
      </c>
      <c r="AD177" s="675" t="s">
        <v>316</v>
      </c>
      <c r="AE177" s="675">
        <v>0</v>
      </c>
      <c r="AF177" s="675">
        <v>0</v>
      </c>
      <c r="AG177" s="675">
        <v>0</v>
      </c>
      <c r="AH177" s="675">
        <v>0</v>
      </c>
      <c r="AI177" s="675">
        <v>0</v>
      </c>
      <c r="AJ177" s="675">
        <v>6160</v>
      </c>
      <c r="AK177" s="675" t="s">
        <v>671</v>
      </c>
      <c r="AL177" s="675" t="s">
        <v>908</v>
      </c>
      <c r="AM177" s="675">
        <v>0</v>
      </c>
      <c r="AN177" s="675">
        <v>0</v>
      </c>
      <c r="AO177" s="675">
        <v>0</v>
      </c>
      <c r="AP177" s="675">
        <v>0</v>
      </c>
      <c r="AQ177" s="675">
        <v>0</v>
      </c>
      <c r="AR177" s="675">
        <v>0</v>
      </c>
      <c r="AS177" s="675">
        <v>0</v>
      </c>
      <c r="AT177" s="675">
        <v>0</v>
      </c>
      <c r="AU177" s="675">
        <v>0</v>
      </c>
      <c r="AV177" s="675">
        <v>-32396</v>
      </c>
      <c r="AW177" s="675">
        <v>39812158</v>
      </c>
      <c r="AX177" s="675">
        <v>39133649</v>
      </c>
      <c r="AY177" s="675">
        <v>26162286</v>
      </c>
      <c r="AZ177" s="675">
        <v>1535910</v>
      </c>
      <c r="BA177" s="675">
        <v>0</v>
      </c>
      <c r="BB177" s="675">
        <v>82790</v>
      </c>
      <c r="BC177" s="675">
        <v>82254</v>
      </c>
      <c r="BD177" s="675">
        <v>192</v>
      </c>
      <c r="BE177" s="675">
        <v>536</v>
      </c>
      <c r="BF177" s="675">
        <v>36201882</v>
      </c>
      <c r="BG177" s="675">
        <v>0</v>
      </c>
      <c r="BH177" s="675">
        <v>0</v>
      </c>
      <c r="BI177" s="675">
        <v>0</v>
      </c>
      <c r="BJ177" s="675">
        <v>12</v>
      </c>
      <c r="BK177" s="675">
        <v>0</v>
      </c>
      <c r="BL177" s="675">
        <v>0</v>
      </c>
      <c r="BM177" s="675">
        <v>0</v>
      </c>
      <c r="BN177" s="675">
        <v>0</v>
      </c>
      <c r="BO177" s="675">
        <v>0</v>
      </c>
      <c r="BP177" s="675">
        <v>0</v>
      </c>
      <c r="BQ177" s="675">
        <v>227</v>
      </c>
      <c r="BR177" s="675">
        <v>0</v>
      </c>
      <c r="BS177" s="675">
        <v>0</v>
      </c>
      <c r="BT177" s="675">
        <v>0</v>
      </c>
      <c r="BU177" s="675">
        <v>0</v>
      </c>
      <c r="BV177" s="675">
        <v>0</v>
      </c>
      <c r="BW177" s="675">
        <v>0</v>
      </c>
      <c r="BX177" s="675">
        <v>0</v>
      </c>
      <c r="BY177" s="675">
        <v>0</v>
      </c>
      <c r="BZ177" s="675">
        <v>0</v>
      </c>
      <c r="CA177" s="675">
        <v>0</v>
      </c>
      <c r="CB177" s="675">
        <v>0</v>
      </c>
      <c r="CC177" s="675">
        <v>0</v>
      </c>
      <c r="CD177" s="675">
        <v>0</v>
      </c>
      <c r="CE177" s="675">
        <v>0</v>
      </c>
      <c r="CF177" s="675">
        <v>0</v>
      </c>
      <c r="CG177" s="675">
        <v>0</v>
      </c>
      <c r="CH177" s="675">
        <v>686887</v>
      </c>
      <c r="CI177" s="675">
        <v>0</v>
      </c>
      <c r="CJ177" s="675">
        <v>4</v>
      </c>
      <c r="CK177" s="675">
        <v>0</v>
      </c>
      <c r="CL177" s="675">
        <v>0</v>
      </c>
      <c r="CM177" s="675">
        <v>0</v>
      </c>
      <c r="CN177" s="675">
        <v>0</v>
      </c>
      <c r="CO177" s="675">
        <v>1</v>
      </c>
      <c r="CP177" s="675">
        <v>0</v>
      </c>
      <c r="CQ177" s="675">
        <v>0</v>
      </c>
      <c r="CR177" s="675">
        <v>3832.049</v>
      </c>
      <c r="CS177" s="675">
        <v>0</v>
      </c>
      <c r="CT177" s="675">
        <v>0</v>
      </c>
      <c r="CU177" s="675">
        <v>0</v>
      </c>
      <c r="CV177" s="675">
        <v>0</v>
      </c>
      <c r="CW177" s="675">
        <v>0</v>
      </c>
      <c r="CX177" s="675">
        <v>0</v>
      </c>
      <c r="CY177" s="675">
        <v>0</v>
      </c>
      <c r="CZ177" s="675">
        <v>0</v>
      </c>
      <c r="DA177" s="675">
        <v>0</v>
      </c>
      <c r="DB177" s="675">
        <v>21725591</v>
      </c>
      <c r="DC177" s="675">
        <v>0</v>
      </c>
      <c r="DD177" s="675">
        <v>0</v>
      </c>
      <c r="DE177" s="675">
        <v>3695521</v>
      </c>
      <c r="DF177" s="675">
        <v>3695521</v>
      </c>
      <c r="DG177" s="675">
        <v>599.92500000000007</v>
      </c>
      <c r="DH177" s="675">
        <v>0</v>
      </c>
      <c r="DI177" s="675">
        <v>0</v>
      </c>
      <c r="DJ177" s="675">
        <v>0</v>
      </c>
      <c r="DK177" s="675">
        <v>0</v>
      </c>
      <c r="DL177" s="675">
        <v>0</v>
      </c>
      <c r="DM177" s="675">
        <v>2084650</v>
      </c>
      <c r="DN177" s="675">
        <v>7842</v>
      </c>
      <c r="DO177" s="675">
        <v>0</v>
      </c>
      <c r="DP177" s="675">
        <v>0</v>
      </c>
      <c r="DQ177" s="675">
        <v>0</v>
      </c>
      <c r="DR177" s="675">
        <v>0</v>
      </c>
      <c r="DS177" s="675">
        <v>0</v>
      </c>
      <c r="DT177" s="675">
        <v>0</v>
      </c>
      <c r="DU177" s="675">
        <v>0</v>
      </c>
      <c r="DV177" s="675">
        <v>0</v>
      </c>
      <c r="DW177" s="675">
        <v>0</v>
      </c>
      <c r="DX177" s="675">
        <v>0</v>
      </c>
      <c r="DY177" s="675">
        <v>0</v>
      </c>
      <c r="DZ177" s="675">
        <v>0</v>
      </c>
      <c r="EA177" s="675">
        <v>0</v>
      </c>
      <c r="EB177" s="675">
        <v>0</v>
      </c>
      <c r="EC177" s="675">
        <v>36.731999999999999</v>
      </c>
      <c r="ED177" s="675">
        <v>260208</v>
      </c>
      <c r="EE177" s="675">
        <v>12912</v>
      </c>
      <c r="EF177" s="675">
        <v>1.2330000000000001</v>
      </c>
      <c r="EG177" s="675">
        <v>0</v>
      </c>
      <c r="EH177" s="675">
        <v>1819372</v>
      </c>
      <c r="EI177" s="675">
        <v>0</v>
      </c>
      <c r="EJ177" s="675">
        <v>0</v>
      </c>
      <c r="EK177" s="675">
        <v>80.302000000000007</v>
      </c>
      <c r="EL177" s="675">
        <v>0</v>
      </c>
      <c r="EM177" s="675">
        <v>8.8260000000000005</v>
      </c>
      <c r="EN177" s="675">
        <v>5.5940000000000003</v>
      </c>
      <c r="EO177" s="675">
        <v>0</v>
      </c>
      <c r="EP177" s="675">
        <v>0</v>
      </c>
      <c r="EQ177" s="675">
        <v>94.722000000000008</v>
      </c>
      <c r="ER177" s="675">
        <v>0</v>
      </c>
      <c r="ES177" s="675">
        <v>295.35400000000004</v>
      </c>
      <c r="ET177" s="675">
        <v>0</v>
      </c>
      <c r="EU177" s="675">
        <v>0</v>
      </c>
      <c r="EV177" s="675">
        <v>0</v>
      </c>
      <c r="EW177" s="675">
        <v>0</v>
      </c>
      <c r="EX177" s="675">
        <v>0</v>
      </c>
      <c r="EY177" s="675">
        <v>0</v>
      </c>
      <c r="EZ177" s="675">
        <v>34689544</v>
      </c>
      <c r="FA177" s="675">
        <v>0</v>
      </c>
      <c r="FB177" s="675">
        <v>36217076</v>
      </c>
      <c r="FC177" s="675">
        <v>0</v>
      </c>
      <c r="FD177" s="675">
        <v>0</v>
      </c>
      <c r="FE177" s="675">
        <v>3682472</v>
      </c>
      <c r="FF177" s="675">
        <v>761633</v>
      </c>
      <c r="FG177" s="675">
        <v>6.3574999999999993E-2</v>
      </c>
      <c r="FH177" s="675">
        <v>2.6297999999999998E-2</v>
      </c>
      <c r="FI177" s="675">
        <v>0</v>
      </c>
      <c r="FJ177" s="675">
        <v>0</v>
      </c>
      <c r="FK177" s="675">
        <v>5876.9560000000001</v>
      </c>
      <c r="FL177" s="675">
        <v>41348068</v>
      </c>
      <c r="FM177" s="675">
        <v>0</v>
      </c>
      <c r="FN177" s="675">
        <v>0</v>
      </c>
      <c r="FO177" s="675">
        <v>0</v>
      </c>
      <c r="FP177" s="675">
        <v>0</v>
      </c>
      <c r="FQ177" s="675">
        <v>0</v>
      </c>
      <c r="FR177" s="675">
        <v>0</v>
      </c>
      <c r="FS177" s="675">
        <v>0</v>
      </c>
      <c r="FT177" s="675">
        <v>0</v>
      </c>
      <c r="FU177" s="675">
        <v>0</v>
      </c>
      <c r="FV177" s="675">
        <v>0</v>
      </c>
      <c r="FW177" s="675">
        <v>0</v>
      </c>
      <c r="FX177" s="675">
        <v>0</v>
      </c>
      <c r="FY177" s="675">
        <v>0</v>
      </c>
      <c r="FZ177" s="675">
        <v>0</v>
      </c>
      <c r="GA177" s="675">
        <v>0</v>
      </c>
      <c r="GB177" s="675">
        <v>2636740</v>
      </c>
      <c r="GC177" s="675">
        <v>2636740</v>
      </c>
      <c r="GD177" s="675">
        <v>268.86599999999999</v>
      </c>
      <c r="GE177" s="675">
        <v>0</v>
      </c>
      <c r="GF177" s="675">
        <v>0</v>
      </c>
      <c r="GG177" s="675">
        <v>0</v>
      </c>
      <c r="GH177" s="675">
        <v>0</v>
      </c>
      <c r="GI177" s="675">
        <v>0</v>
      </c>
      <c r="GJ177" s="675">
        <v>0</v>
      </c>
      <c r="GK177" s="675">
        <v>0</v>
      </c>
      <c r="GL177" s="675">
        <v>0</v>
      </c>
      <c r="GM177" s="675">
        <v>0</v>
      </c>
      <c r="GN177" s="675">
        <v>0</v>
      </c>
      <c r="GO177" s="675">
        <v>0</v>
      </c>
      <c r="GP177" s="675">
        <v>0</v>
      </c>
      <c r="GQ177" s="675">
        <v>0</v>
      </c>
      <c r="GR177" s="675">
        <v>0</v>
      </c>
      <c r="GS177" s="675">
        <v>0</v>
      </c>
      <c r="GT177" s="675">
        <v>0</v>
      </c>
      <c r="GU177" s="675">
        <v>0</v>
      </c>
      <c r="GV177" s="675">
        <v>0</v>
      </c>
      <c r="GW177" s="675">
        <v>0</v>
      </c>
      <c r="GX177" s="675">
        <v>0</v>
      </c>
      <c r="GY177" s="675">
        <v>0</v>
      </c>
      <c r="GZ177" s="675">
        <v>0</v>
      </c>
      <c r="HA177" s="675">
        <v>0</v>
      </c>
      <c r="HB177" s="675">
        <v>308877260</v>
      </c>
      <c r="HC177" s="675">
        <v>4.4138999999999998E-2</v>
      </c>
      <c r="HD177" s="675">
        <v>686887</v>
      </c>
      <c r="HE177" s="675">
        <v>0</v>
      </c>
      <c r="HF177" s="675">
        <v>3890168</v>
      </c>
      <c r="HG177" s="675">
        <v>31416</v>
      </c>
      <c r="HH177" s="675">
        <v>601359</v>
      </c>
      <c r="HI177" s="675">
        <v>0</v>
      </c>
      <c r="HJ177" s="675">
        <v>37816</v>
      </c>
      <c r="HK177" s="675">
        <v>13995</v>
      </c>
      <c r="HL177" s="675">
        <v>9577</v>
      </c>
      <c r="HM177" s="675">
        <v>433000</v>
      </c>
      <c r="HN177" s="675">
        <v>460816</v>
      </c>
      <c r="HO177" s="675">
        <v>0</v>
      </c>
      <c r="HP177" s="675">
        <v>0</v>
      </c>
      <c r="HQ177" s="675">
        <v>0</v>
      </c>
      <c r="HR177" s="675">
        <v>0</v>
      </c>
      <c r="HS177" s="675">
        <v>34681166</v>
      </c>
      <c r="HT177" s="675">
        <v>761633</v>
      </c>
      <c r="HU177" s="675">
        <v>0</v>
      </c>
      <c r="HV177" s="675">
        <v>0</v>
      </c>
      <c r="HW177" s="675">
        <v>0</v>
      </c>
      <c r="HX177" s="675">
        <v>1044</v>
      </c>
      <c r="HY177" s="675">
        <v>547</v>
      </c>
      <c r="HZ177" s="675">
        <v>311</v>
      </c>
      <c r="IA177" s="675">
        <v>347</v>
      </c>
      <c r="IB177" s="675">
        <v>241</v>
      </c>
      <c r="IC177" s="675">
        <v>2490</v>
      </c>
      <c r="ID177" s="675">
        <v>0</v>
      </c>
      <c r="IE177" s="675">
        <v>0</v>
      </c>
      <c r="IF177" s="675">
        <v>0</v>
      </c>
      <c r="IG177" s="675">
        <v>51</v>
      </c>
      <c r="IH177" s="675">
        <v>976.23700000000008</v>
      </c>
      <c r="II177" s="675">
        <v>0</v>
      </c>
      <c r="IJ177" s="675">
        <v>834.70100000000002</v>
      </c>
      <c r="IK177" s="675">
        <v>0</v>
      </c>
      <c r="IL177" s="675">
        <v>58</v>
      </c>
      <c r="IM177" s="675">
        <v>47</v>
      </c>
      <c r="IN177" s="675">
        <v>1</v>
      </c>
      <c r="IO177" s="675">
        <v>106</v>
      </c>
      <c r="IP177" s="675">
        <v>0</v>
      </c>
      <c r="IQ177" s="675">
        <v>834.70100000000002</v>
      </c>
      <c r="IR177" s="675">
        <v>514173</v>
      </c>
      <c r="IS177" s="675">
        <v>0</v>
      </c>
      <c r="IT177" s="675">
        <v>290000</v>
      </c>
      <c r="IU177" s="675">
        <v>141000</v>
      </c>
      <c r="IV177" s="675">
        <v>2000</v>
      </c>
      <c r="IW177" s="675">
        <v>6160</v>
      </c>
      <c r="IX177" s="675">
        <v>0</v>
      </c>
      <c r="IY177" s="675">
        <v>0</v>
      </c>
      <c r="IZ177" s="675">
        <v>0</v>
      </c>
      <c r="JA177" s="675">
        <v>0</v>
      </c>
      <c r="JB177" s="675">
        <v>8</v>
      </c>
      <c r="JC177" s="675">
        <v>121639</v>
      </c>
      <c r="JD177" s="675">
        <v>28</v>
      </c>
      <c r="JE177" s="675">
        <v>240716</v>
      </c>
      <c r="JF177" s="675">
        <v>20</v>
      </c>
      <c r="JG177" s="675">
        <v>83961</v>
      </c>
      <c r="JH177" s="675">
        <v>14500</v>
      </c>
      <c r="JI177" s="675">
        <v>0</v>
      </c>
      <c r="JJ177" s="675">
        <v>0</v>
      </c>
      <c r="JK177" s="675">
        <v>0</v>
      </c>
      <c r="JL177" s="675">
        <v>0</v>
      </c>
      <c r="JM177" s="675">
        <v>0</v>
      </c>
      <c r="JN177" s="675">
        <v>32469</v>
      </c>
      <c r="JO177" s="675">
        <v>0</v>
      </c>
      <c r="JP177" s="675">
        <v>169.45100000000002</v>
      </c>
      <c r="JQ177" s="675">
        <v>99.415000000000006</v>
      </c>
      <c r="JR177" s="675">
        <v>0</v>
      </c>
      <c r="JS177" s="675">
        <v>1575325</v>
      </c>
      <c r="JT177" s="675">
        <v>1061415</v>
      </c>
      <c r="JU177" s="675">
        <v>82790</v>
      </c>
      <c r="JV177" s="675">
        <v>0</v>
      </c>
      <c r="JW177" s="675">
        <v>0</v>
      </c>
      <c r="JX177" s="675">
        <v>0</v>
      </c>
      <c r="JY177" s="675">
        <v>0</v>
      </c>
      <c r="JZ177" s="675">
        <v>0</v>
      </c>
      <c r="KA177" s="675">
        <v>0</v>
      </c>
      <c r="KB177" s="675">
        <v>0</v>
      </c>
      <c r="KC177" s="675">
        <v>0</v>
      </c>
      <c r="KD177" s="675">
        <v>82790</v>
      </c>
      <c r="KE177" s="675">
        <v>7263</v>
      </c>
      <c r="KF177" s="675">
        <v>0</v>
      </c>
      <c r="KG177" s="675">
        <v>0</v>
      </c>
      <c r="KH177" s="675">
        <v>0</v>
      </c>
      <c r="KI177" s="675">
        <v>0</v>
      </c>
    </row>
    <row r="178" spans="1:295" ht="12.5" x14ac:dyDescent="0.25">
      <c r="A178" s="675">
        <v>35795</v>
      </c>
      <c r="B178" s="675">
        <v>101864</v>
      </c>
      <c r="C178" s="675">
        <v>7</v>
      </c>
      <c r="D178" s="675">
        <v>2022</v>
      </c>
      <c r="E178" s="675">
        <v>6160</v>
      </c>
      <c r="F178" s="675">
        <v>0</v>
      </c>
      <c r="G178" s="675">
        <v>153.71</v>
      </c>
      <c r="H178" s="675">
        <v>148.33000000000001</v>
      </c>
      <c r="I178" s="675">
        <v>148.33000000000001</v>
      </c>
      <c r="J178" s="675">
        <v>153.71</v>
      </c>
      <c r="K178" s="675">
        <v>0</v>
      </c>
      <c r="L178" s="675">
        <v>6160</v>
      </c>
      <c r="M178" s="675">
        <v>0</v>
      </c>
      <c r="N178" s="675">
        <v>0</v>
      </c>
      <c r="O178" s="675">
        <v>0</v>
      </c>
      <c r="P178" s="675">
        <v>166.595</v>
      </c>
      <c r="Q178" s="675">
        <v>0</v>
      </c>
      <c r="R178" s="675">
        <v>67042</v>
      </c>
      <c r="S178" s="675">
        <v>402.428</v>
      </c>
      <c r="T178" s="675">
        <v>0</v>
      </c>
      <c r="U178" s="675">
        <v>35652</v>
      </c>
      <c r="V178" s="675">
        <v>0</v>
      </c>
      <c r="W178" s="675">
        <v>0</v>
      </c>
      <c r="X178" s="675">
        <v>0</v>
      </c>
      <c r="Y178" s="675">
        <v>0</v>
      </c>
      <c r="Z178" s="675">
        <v>0</v>
      </c>
      <c r="AA178" s="675">
        <v>0</v>
      </c>
      <c r="AB178" s="675">
        <v>0</v>
      </c>
      <c r="AC178" s="675">
        <v>0</v>
      </c>
      <c r="AD178" s="675" t="s">
        <v>316</v>
      </c>
      <c r="AE178" s="675">
        <v>0</v>
      </c>
      <c r="AF178" s="675">
        <v>0</v>
      </c>
      <c r="AG178" s="675">
        <v>0</v>
      </c>
      <c r="AH178" s="675">
        <v>0</v>
      </c>
      <c r="AI178" s="675">
        <v>0</v>
      </c>
      <c r="AJ178" s="675">
        <v>6160</v>
      </c>
      <c r="AK178" s="675" t="s">
        <v>671</v>
      </c>
      <c r="AL178" s="675" t="s">
        <v>352</v>
      </c>
      <c r="AM178" s="675">
        <v>0</v>
      </c>
      <c r="AN178" s="675">
        <v>0</v>
      </c>
      <c r="AO178" s="675">
        <v>0</v>
      </c>
      <c r="AP178" s="675">
        <v>0</v>
      </c>
      <c r="AQ178" s="675">
        <v>0</v>
      </c>
      <c r="AR178" s="675">
        <v>0</v>
      </c>
      <c r="AS178" s="675">
        <v>0</v>
      </c>
      <c r="AT178" s="675">
        <v>0</v>
      </c>
      <c r="AU178" s="675">
        <v>0</v>
      </c>
      <c r="AV178" s="675">
        <v>0</v>
      </c>
      <c r="AW178" s="675">
        <v>1652670</v>
      </c>
      <c r="AX178" s="675">
        <v>1626154</v>
      </c>
      <c r="AY178" s="675">
        <v>1121056</v>
      </c>
      <c r="AZ178" s="675">
        <v>67042</v>
      </c>
      <c r="BA178" s="675">
        <v>0</v>
      </c>
      <c r="BB178" s="675">
        <v>0</v>
      </c>
      <c r="BC178" s="675">
        <v>0</v>
      </c>
      <c r="BD178" s="675">
        <v>0</v>
      </c>
      <c r="BE178" s="675">
        <v>0</v>
      </c>
      <c r="BF178" s="675">
        <v>1496463</v>
      </c>
      <c r="BG178" s="675">
        <v>0</v>
      </c>
      <c r="BH178" s="675">
        <v>0</v>
      </c>
      <c r="BI178" s="675">
        <v>0</v>
      </c>
      <c r="BJ178" s="675">
        <v>12</v>
      </c>
      <c r="BK178" s="675">
        <v>0</v>
      </c>
      <c r="BL178" s="675">
        <v>0</v>
      </c>
      <c r="BM178" s="675">
        <v>0</v>
      </c>
      <c r="BN178" s="675">
        <v>0</v>
      </c>
      <c r="BO178" s="675">
        <v>0</v>
      </c>
      <c r="BP178" s="675">
        <v>0</v>
      </c>
      <c r="BQ178" s="675">
        <v>747</v>
      </c>
      <c r="BR178" s="675">
        <v>0</v>
      </c>
      <c r="BS178" s="675">
        <v>0</v>
      </c>
      <c r="BT178" s="675">
        <v>0</v>
      </c>
      <c r="BU178" s="675">
        <v>0</v>
      </c>
      <c r="BV178" s="675">
        <v>0</v>
      </c>
      <c r="BW178" s="675">
        <v>0</v>
      </c>
      <c r="BX178" s="675">
        <v>0</v>
      </c>
      <c r="BY178" s="675">
        <v>0</v>
      </c>
      <c r="BZ178" s="675">
        <v>0</v>
      </c>
      <c r="CA178" s="675">
        <v>0</v>
      </c>
      <c r="CB178" s="675">
        <v>0</v>
      </c>
      <c r="CC178" s="675">
        <v>0</v>
      </c>
      <c r="CD178" s="675">
        <v>0</v>
      </c>
      <c r="CE178" s="675">
        <v>0</v>
      </c>
      <c r="CF178" s="675">
        <v>0</v>
      </c>
      <c r="CG178" s="675">
        <v>0</v>
      </c>
      <c r="CH178" s="675">
        <v>27138</v>
      </c>
      <c r="CI178" s="675">
        <v>0</v>
      </c>
      <c r="CJ178" s="675">
        <v>4</v>
      </c>
      <c r="CK178" s="675">
        <v>0</v>
      </c>
      <c r="CL178" s="675">
        <v>0</v>
      </c>
      <c r="CM178" s="675">
        <v>0</v>
      </c>
      <c r="CN178" s="675">
        <v>0</v>
      </c>
      <c r="CO178" s="675">
        <v>1</v>
      </c>
      <c r="CP178" s="675">
        <v>0</v>
      </c>
      <c r="CQ178" s="675">
        <v>0</v>
      </c>
      <c r="CR178" s="675">
        <v>173.465</v>
      </c>
      <c r="CS178" s="675">
        <v>0</v>
      </c>
      <c r="CT178" s="675">
        <v>0</v>
      </c>
      <c r="CU178" s="675">
        <v>0</v>
      </c>
      <c r="CV178" s="675">
        <v>0</v>
      </c>
      <c r="CW178" s="675">
        <v>0</v>
      </c>
      <c r="CX178" s="675">
        <v>0</v>
      </c>
      <c r="CY178" s="675">
        <v>0</v>
      </c>
      <c r="CZ178" s="675">
        <v>0</v>
      </c>
      <c r="DA178" s="675">
        <v>0</v>
      </c>
      <c r="DB178" s="675">
        <v>913709</v>
      </c>
      <c r="DC178" s="675">
        <v>0</v>
      </c>
      <c r="DD178" s="675">
        <v>0</v>
      </c>
      <c r="DE178" s="675">
        <v>250480</v>
      </c>
      <c r="DF178" s="675">
        <v>250480</v>
      </c>
      <c r="DG178" s="675">
        <v>40.663000000000004</v>
      </c>
      <c r="DH178" s="675">
        <v>0</v>
      </c>
      <c r="DI178" s="675">
        <v>0</v>
      </c>
      <c r="DJ178" s="675">
        <v>0</v>
      </c>
      <c r="DK178" s="675">
        <v>3577</v>
      </c>
      <c r="DL178" s="675">
        <v>0</v>
      </c>
      <c r="DM178" s="675">
        <v>165267</v>
      </c>
      <c r="DN178" s="675">
        <v>622</v>
      </c>
      <c r="DO178" s="675">
        <v>0</v>
      </c>
      <c r="DP178" s="675">
        <v>0</v>
      </c>
      <c r="DQ178" s="675">
        <v>0</v>
      </c>
      <c r="DR178" s="675">
        <v>0</v>
      </c>
      <c r="DS178" s="675">
        <v>0</v>
      </c>
      <c r="DT178" s="675">
        <v>0</v>
      </c>
      <c r="DU178" s="675">
        <v>0</v>
      </c>
      <c r="DV178" s="675">
        <v>0</v>
      </c>
      <c r="DW178" s="675">
        <v>0</v>
      </c>
      <c r="DX178" s="675">
        <v>0</v>
      </c>
      <c r="DY178" s="675">
        <v>0</v>
      </c>
      <c r="DZ178" s="675">
        <v>0</v>
      </c>
      <c r="EA178" s="675">
        <v>0</v>
      </c>
      <c r="EB178" s="675">
        <v>0</v>
      </c>
      <c r="EC178" s="675">
        <v>9.3480000000000008</v>
      </c>
      <c r="ED178" s="675">
        <v>66221</v>
      </c>
      <c r="EE178" s="675">
        <v>0</v>
      </c>
      <c r="EF178" s="675">
        <v>0</v>
      </c>
      <c r="EG178" s="675">
        <v>0</v>
      </c>
      <c r="EH178" s="675">
        <v>99668</v>
      </c>
      <c r="EI178" s="675">
        <v>0</v>
      </c>
      <c r="EJ178" s="675">
        <v>0</v>
      </c>
      <c r="EK178" s="675">
        <v>5.36</v>
      </c>
      <c r="EL178" s="675">
        <v>0</v>
      </c>
      <c r="EM178" s="675">
        <v>0</v>
      </c>
      <c r="EN178" s="675">
        <v>0.02</v>
      </c>
      <c r="EO178" s="675">
        <v>0</v>
      </c>
      <c r="EP178" s="675">
        <v>0</v>
      </c>
      <c r="EQ178" s="675">
        <v>5.38</v>
      </c>
      <c r="ER178" s="675">
        <v>0</v>
      </c>
      <c r="ES178" s="675">
        <v>16.18</v>
      </c>
      <c r="ET178" s="675">
        <v>0</v>
      </c>
      <c r="EU178" s="675">
        <v>0</v>
      </c>
      <c r="EV178" s="675">
        <v>0</v>
      </c>
      <c r="EW178" s="675">
        <v>0</v>
      </c>
      <c r="EX178" s="675">
        <v>0</v>
      </c>
      <c r="EY178" s="675">
        <v>0</v>
      </c>
      <c r="EZ178" s="675">
        <v>1442450</v>
      </c>
      <c r="FA178" s="675">
        <v>0</v>
      </c>
      <c r="FB178" s="675">
        <v>1508870</v>
      </c>
      <c r="FC178" s="675">
        <v>0</v>
      </c>
      <c r="FD178" s="675">
        <v>0</v>
      </c>
      <c r="FE178" s="675">
        <v>152221</v>
      </c>
      <c r="FF178" s="675">
        <v>31483</v>
      </c>
      <c r="FG178" s="675">
        <v>6.3574999999999993E-2</v>
      </c>
      <c r="FH178" s="675">
        <v>2.6297999999999998E-2</v>
      </c>
      <c r="FI178" s="675">
        <v>0</v>
      </c>
      <c r="FJ178" s="675">
        <v>0</v>
      </c>
      <c r="FK178" s="675">
        <v>242.93300000000002</v>
      </c>
      <c r="FL178" s="675">
        <v>1719712</v>
      </c>
      <c r="FM178" s="675">
        <v>0</v>
      </c>
      <c r="FN178" s="675">
        <v>0</v>
      </c>
      <c r="FO178" s="675">
        <v>13029</v>
      </c>
      <c r="FP178" s="675">
        <v>0</v>
      </c>
      <c r="FQ178" s="675">
        <v>13029</v>
      </c>
      <c r="FR178" s="675">
        <v>13029</v>
      </c>
      <c r="FS178" s="675">
        <v>0</v>
      </c>
      <c r="FT178" s="675">
        <v>0</v>
      </c>
      <c r="FU178" s="675">
        <v>0</v>
      </c>
      <c r="FV178" s="675">
        <v>0</v>
      </c>
      <c r="FW178" s="675">
        <v>0</v>
      </c>
      <c r="FX178" s="675">
        <v>0</v>
      </c>
      <c r="FY178" s="675">
        <v>0</v>
      </c>
      <c r="FZ178" s="675">
        <v>0</v>
      </c>
      <c r="GA178" s="675">
        <v>0</v>
      </c>
      <c r="GB178" s="675">
        <v>0</v>
      </c>
      <c r="GC178" s="675">
        <v>0</v>
      </c>
      <c r="GD178" s="675">
        <v>0</v>
      </c>
      <c r="GE178" s="675">
        <v>0</v>
      </c>
      <c r="GF178" s="675">
        <v>0</v>
      </c>
      <c r="GG178" s="675">
        <v>0</v>
      </c>
      <c r="GH178" s="675">
        <v>0</v>
      </c>
      <c r="GI178" s="675">
        <v>0</v>
      </c>
      <c r="GJ178" s="675">
        <v>0</v>
      </c>
      <c r="GK178" s="675">
        <v>0</v>
      </c>
      <c r="GL178" s="675">
        <v>0</v>
      </c>
      <c r="GM178" s="675">
        <v>0</v>
      </c>
      <c r="GN178" s="675">
        <v>0</v>
      </c>
      <c r="GO178" s="675">
        <v>0</v>
      </c>
      <c r="GP178" s="675">
        <v>0</v>
      </c>
      <c r="GQ178" s="675">
        <v>0</v>
      </c>
      <c r="GR178" s="675">
        <v>0</v>
      </c>
      <c r="GS178" s="675">
        <v>0</v>
      </c>
      <c r="GT178" s="675">
        <v>0</v>
      </c>
      <c r="GU178" s="675">
        <v>0</v>
      </c>
      <c r="GV178" s="675">
        <v>0</v>
      </c>
      <c r="GW178" s="675">
        <v>0</v>
      </c>
      <c r="GX178" s="675">
        <v>0</v>
      </c>
      <c r="GY178" s="675">
        <v>0</v>
      </c>
      <c r="GZ178" s="675">
        <v>0</v>
      </c>
      <c r="HA178" s="675">
        <v>0</v>
      </c>
      <c r="HB178" s="675">
        <v>308877260</v>
      </c>
      <c r="HC178" s="675">
        <v>4.4138999999999998E-2</v>
      </c>
      <c r="HD178" s="675">
        <v>27138</v>
      </c>
      <c r="HE178" s="675">
        <v>0</v>
      </c>
      <c r="HF178" s="675">
        <v>163608</v>
      </c>
      <c r="HG178" s="675">
        <v>1283</v>
      </c>
      <c r="HH178" s="675">
        <v>0</v>
      </c>
      <c r="HI178" s="675">
        <v>0</v>
      </c>
      <c r="HJ178" s="675">
        <v>1494</v>
      </c>
      <c r="HK178" s="675">
        <v>0</v>
      </c>
      <c r="HL178" s="675">
        <v>0</v>
      </c>
      <c r="HM178" s="675">
        <v>0</v>
      </c>
      <c r="HN178" s="675">
        <v>0</v>
      </c>
      <c r="HO178" s="675">
        <v>0</v>
      </c>
      <c r="HP178" s="675">
        <v>0</v>
      </c>
      <c r="HQ178" s="675">
        <v>0</v>
      </c>
      <c r="HR178" s="675">
        <v>0</v>
      </c>
      <c r="HS178" s="675">
        <v>1441828</v>
      </c>
      <c r="HT178" s="675">
        <v>31483</v>
      </c>
      <c r="HU178" s="675">
        <v>0</v>
      </c>
      <c r="HV178" s="675">
        <v>0</v>
      </c>
      <c r="HW178" s="675">
        <v>0</v>
      </c>
      <c r="HX178" s="675">
        <v>14</v>
      </c>
      <c r="HY178" s="675">
        <v>7</v>
      </c>
      <c r="HZ178" s="675">
        <v>23</v>
      </c>
      <c r="IA178" s="675">
        <v>34</v>
      </c>
      <c r="IB178" s="675">
        <v>77</v>
      </c>
      <c r="IC178" s="675">
        <v>155</v>
      </c>
      <c r="ID178" s="675">
        <v>0</v>
      </c>
      <c r="IE178" s="675">
        <v>0</v>
      </c>
      <c r="IF178" s="675">
        <v>0</v>
      </c>
      <c r="IG178" s="675">
        <v>2.0830000000000002</v>
      </c>
      <c r="IH178" s="675">
        <v>0</v>
      </c>
      <c r="II178" s="675">
        <v>0</v>
      </c>
      <c r="IJ178" s="675">
        <v>0</v>
      </c>
      <c r="IK178" s="675">
        <v>0</v>
      </c>
      <c r="IL178" s="675">
        <v>0</v>
      </c>
      <c r="IM178" s="675">
        <v>0</v>
      </c>
      <c r="IN178" s="675">
        <v>0</v>
      </c>
      <c r="IO178" s="675">
        <v>0</v>
      </c>
      <c r="IP178" s="675">
        <v>0</v>
      </c>
      <c r="IQ178" s="675">
        <v>0</v>
      </c>
      <c r="IR178" s="675">
        <v>0</v>
      </c>
      <c r="IS178" s="675">
        <v>0</v>
      </c>
      <c r="IT178" s="675">
        <v>0</v>
      </c>
      <c r="IU178" s="675">
        <v>0</v>
      </c>
      <c r="IV178" s="675">
        <v>0</v>
      </c>
      <c r="IW178" s="675">
        <v>6160</v>
      </c>
      <c r="IX178" s="675">
        <v>0</v>
      </c>
      <c r="IY178" s="675">
        <v>0</v>
      </c>
      <c r="IZ178" s="675">
        <v>0</v>
      </c>
      <c r="JA178" s="675">
        <v>0</v>
      </c>
      <c r="JB178" s="675">
        <v>0</v>
      </c>
      <c r="JC178" s="675">
        <v>0</v>
      </c>
      <c r="JD178" s="675">
        <v>0</v>
      </c>
      <c r="JE178" s="675">
        <v>0</v>
      </c>
      <c r="JF178" s="675">
        <v>0</v>
      </c>
      <c r="JG178" s="675">
        <v>0</v>
      </c>
      <c r="JH178" s="675">
        <v>0</v>
      </c>
      <c r="JI178" s="675">
        <v>0</v>
      </c>
      <c r="JJ178" s="675">
        <v>0</v>
      </c>
      <c r="JK178" s="675">
        <v>0</v>
      </c>
      <c r="JL178" s="675">
        <v>0</v>
      </c>
      <c r="JM178" s="675">
        <v>0</v>
      </c>
      <c r="JN178" s="675">
        <v>32469</v>
      </c>
      <c r="JO178" s="675">
        <v>0</v>
      </c>
      <c r="JP178" s="675">
        <v>0</v>
      </c>
      <c r="JQ178" s="675">
        <v>0</v>
      </c>
      <c r="JR178" s="675">
        <v>0</v>
      </c>
      <c r="JS178" s="675">
        <v>0</v>
      </c>
      <c r="JT178" s="675">
        <v>0</v>
      </c>
      <c r="JU178" s="675">
        <v>0</v>
      </c>
      <c r="JV178" s="675">
        <v>0</v>
      </c>
      <c r="JW178" s="675">
        <v>0</v>
      </c>
      <c r="JX178" s="675">
        <v>0</v>
      </c>
      <c r="JY178" s="675">
        <v>0</v>
      </c>
      <c r="JZ178" s="675">
        <v>0</v>
      </c>
      <c r="KA178" s="675">
        <v>0</v>
      </c>
      <c r="KB178" s="675">
        <v>0</v>
      </c>
      <c r="KC178" s="675">
        <v>0</v>
      </c>
      <c r="KD178" s="675">
        <v>0</v>
      </c>
      <c r="KE178" s="675">
        <v>7263</v>
      </c>
      <c r="KF178" s="675">
        <v>0</v>
      </c>
      <c r="KG178" s="675">
        <v>0</v>
      </c>
      <c r="KH178" s="675">
        <v>0</v>
      </c>
      <c r="KI178" s="675">
        <v>0</v>
      </c>
    </row>
    <row r="179" spans="1:295" ht="12.5" x14ac:dyDescent="0.25">
      <c r="A179" s="675">
        <v>35795</v>
      </c>
      <c r="B179" s="675">
        <v>101868</v>
      </c>
      <c r="C179" s="675">
        <v>7</v>
      </c>
      <c r="D179" s="675">
        <v>2022</v>
      </c>
      <c r="E179" s="675">
        <v>6160</v>
      </c>
      <c r="F179" s="675">
        <v>0</v>
      </c>
      <c r="G179" s="675">
        <v>341.59000000000003</v>
      </c>
      <c r="H179" s="675">
        <v>284.34700000000004</v>
      </c>
      <c r="I179" s="675">
        <v>284.34700000000004</v>
      </c>
      <c r="J179" s="675">
        <v>341.59000000000003</v>
      </c>
      <c r="K179" s="675">
        <v>0</v>
      </c>
      <c r="L179" s="675">
        <v>6160</v>
      </c>
      <c r="M179" s="675">
        <v>0</v>
      </c>
      <c r="N179" s="675">
        <v>0</v>
      </c>
      <c r="O179" s="675">
        <v>0</v>
      </c>
      <c r="P179" s="675">
        <v>374.22500000000002</v>
      </c>
      <c r="Q179" s="675">
        <v>0</v>
      </c>
      <c r="R179" s="675">
        <v>150599</v>
      </c>
      <c r="S179" s="675">
        <v>402.428</v>
      </c>
      <c r="T179" s="675">
        <v>0</v>
      </c>
      <c r="U179" s="675">
        <v>80086</v>
      </c>
      <c r="V179" s="675">
        <v>0</v>
      </c>
      <c r="W179" s="675">
        <v>0</v>
      </c>
      <c r="X179" s="675">
        <v>0</v>
      </c>
      <c r="Y179" s="675">
        <v>0</v>
      </c>
      <c r="Z179" s="675">
        <v>0</v>
      </c>
      <c r="AA179" s="675">
        <v>0</v>
      </c>
      <c r="AB179" s="675">
        <v>0</v>
      </c>
      <c r="AC179" s="675">
        <v>0</v>
      </c>
      <c r="AD179" s="675" t="s">
        <v>316</v>
      </c>
      <c r="AE179" s="675">
        <v>0</v>
      </c>
      <c r="AF179" s="675">
        <v>0</v>
      </c>
      <c r="AG179" s="675">
        <v>0</v>
      </c>
      <c r="AH179" s="675">
        <v>0</v>
      </c>
      <c r="AI179" s="675">
        <v>0</v>
      </c>
      <c r="AJ179" s="675">
        <v>6160</v>
      </c>
      <c r="AK179" s="675" t="s">
        <v>671</v>
      </c>
      <c r="AL179" s="675" t="s">
        <v>353</v>
      </c>
      <c r="AM179" s="675">
        <v>0</v>
      </c>
      <c r="AN179" s="675">
        <v>0</v>
      </c>
      <c r="AO179" s="675">
        <v>0</v>
      </c>
      <c r="AP179" s="675">
        <v>0</v>
      </c>
      <c r="AQ179" s="675">
        <v>0</v>
      </c>
      <c r="AR179" s="675">
        <v>0</v>
      </c>
      <c r="AS179" s="675">
        <v>0</v>
      </c>
      <c r="AT179" s="675">
        <v>0</v>
      </c>
      <c r="AU179" s="675">
        <v>0</v>
      </c>
      <c r="AV179" s="675">
        <v>-3595</v>
      </c>
      <c r="AW179" s="675">
        <v>3859771</v>
      </c>
      <c r="AX179" s="675">
        <v>3800616</v>
      </c>
      <c r="AY179" s="675">
        <v>2602565</v>
      </c>
      <c r="AZ179" s="675">
        <v>150599</v>
      </c>
      <c r="BA179" s="675">
        <v>0</v>
      </c>
      <c r="BB179" s="675">
        <v>0</v>
      </c>
      <c r="BC179" s="675">
        <v>0</v>
      </c>
      <c r="BD179" s="675">
        <v>0</v>
      </c>
      <c r="BE179" s="675">
        <v>0</v>
      </c>
      <c r="BF179" s="675">
        <v>3490157</v>
      </c>
      <c r="BG179" s="675">
        <v>0</v>
      </c>
      <c r="BH179" s="675">
        <v>0</v>
      </c>
      <c r="BI179" s="675">
        <v>0</v>
      </c>
      <c r="BJ179" s="675">
        <v>12</v>
      </c>
      <c r="BK179" s="675">
        <v>0</v>
      </c>
      <c r="BL179" s="675">
        <v>0</v>
      </c>
      <c r="BM179" s="675">
        <v>0</v>
      </c>
      <c r="BN179" s="675">
        <v>0</v>
      </c>
      <c r="BO179" s="675">
        <v>0</v>
      </c>
      <c r="BP179" s="675">
        <v>0</v>
      </c>
      <c r="BQ179" s="675">
        <v>726</v>
      </c>
      <c r="BR179" s="675">
        <v>0</v>
      </c>
      <c r="BS179" s="675">
        <v>0</v>
      </c>
      <c r="BT179" s="675">
        <v>0</v>
      </c>
      <c r="BU179" s="675">
        <v>0</v>
      </c>
      <c r="BV179" s="675">
        <v>0</v>
      </c>
      <c r="BW179" s="675">
        <v>0</v>
      </c>
      <c r="BX179" s="675">
        <v>0</v>
      </c>
      <c r="BY179" s="675">
        <v>0</v>
      </c>
      <c r="BZ179" s="675">
        <v>0</v>
      </c>
      <c r="CA179" s="675">
        <v>0</v>
      </c>
      <c r="CB179" s="675">
        <v>0</v>
      </c>
      <c r="CC179" s="675">
        <v>0</v>
      </c>
      <c r="CD179" s="675">
        <v>0</v>
      </c>
      <c r="CE179" s="675">
        <v>0</v>
      </c>
      <c r="CF179" s="675">
        <v>0</v>
      </c>
      <c r="CG179" s="675">
        <v>0</v>
      </c>
      <c r="CH179" s="675">
        <v>60310</v>
      </c>
      <c r="CI179" s="675">
        <v>0</v>
      </c>
      <c r="CJ179" s="675">
        <v>4</v>
      </c>
      <c r="CK179" s="675">
        <v>0</v>
      </c>
      <c r="CL179" s="675">
        <v>0</v>
      </c>
      <c r="CM179" s="675">
        <v>0</v>
      </c>
      <c r="CN179" s="675">
        <v>0</v>
      </c>
      <c r="CO179" s="675">
        <v>1</v>
      </c>
      <c r="CP179" s="675">
        <v>7.3000000000000009E-2</v>
      </c>
      <c r="CQ179" s="675">
        <v>0</v>
      </c>
      <c r="CR179" s="675">
        <v>382.95699999999999</v>
      </c>
      <c r="CS179" s="675">
        <v>0</v>
      </c>
      <c r="CT179" s="675">
        <v>0</v>
      </c>
      <c r="CU179" s="675">
        <v>0</v>
      </c>
      <c r="CV179" s="675">
        <v>0</v>
      </c>
      <c r="CW179" s="675">
        <v>0</v>
      </c>
      <c r="CX179" s="675">
        <v>0</v>
      </c>
      <c r="CY179" s="675">
        <v>0</v>
      </c>
      <c r="CZ179" s="675">
        <v>0</v>
      </c>
      <c r="DA179" s="675">
        <v>0</v>
      </c>
      <c r="DB179" s="675">
        <v>1547359</v>
      </c>
      <c r="DC179" s="675">
        <v>0</v>
      </c>
      <c r="DD179" s="675">
        <v>0</v>
      </c>
      <c r="DE179" s="675">
        <v>598980</v>
      </c>
      <c r="DF179" s="675">
        <v>600064</v>
      </c>
      <c r="DG179" s="675">
        <v>97.238</v>
      </c>
      <c r="DH179" s="675">
        <v>0</v>
      </c>
      <c r="DI179" s="675">
        <v>1084</v>
      </c>
      <c r="DJ179" s="675">
        <v>0</v>
      </c>
      <c r="DK179" s="675">
        <v>3242</v>
      </c>
      <c r="DL179" s="675">
        <v>0</v>
      </c>
      <c r="DM179" s="675">
        <v>511327</v>
      </c>
      <c r="DN179" s="675">
        <v>1155</v>
      </c>
      <c r="DO179" s="675">
        <v>0</v>
      </c>
      <c r="DP179" s="675">
        <v>0</v>
      </c>
      <c r="DQ179" s="675">
        <v>0</v>
      </c>
      <c r="DR179" s="675">
        <v>0</v>
      </c>
      <c r="DS179" s="675">
        <v>0</v>
      </c>
      <c r="DT179" s="675">
        <v>0</v>
      </c>
      <c r="DU179" s="675">
        <v>0</v>
      </c>
      <c r="DV179" s="675">
        <v>0</v>
      </c>
      <c r="DW179" s="675">
        <v>0</v>
      </c>
      <c r="DX179" s="675">
        <v>0</v>
      </c>
      <c r="DY179" s="675">
        <v>0</v>
      </c>
      <c r="DZ179" s="675">
        <v>0</v>
      </c>
      <c r="EA179" s="675">
        <v>0</v>
      </c>
      <c r="EB179" s="675">
        <v>0</v>
      </c>
      <c r="EC179" s="675">
        <v>29.829000000000001</v>
      </c>
      <c r="ED179" s="675">
        <v>211308</v>
      </c>
      <c r="EE179" s="675">
        <v>0</v>
      </c>
      <c r="EF179" s="675">
        <v>0</v>
      </c>
      <c r="EG179" s="675">
        <v>0</v>
      </c>
      <c r="EH179" s="675">
        <v>96964</v>
      </c>
      <c r="EI179" s="675">
        <v>0</v>
      </c>
      <c r="EJ179" s="675">
        <v>0</v>
      </c>
      <c r="EK179" s="675">
        <v>5.2469999999999999</v>
      </c>
      <c r="EL179" s="675">
        <v>0</v>
      </c>
      <c r="EM179" s="675">
        <v>0</v>
      </c>
      <c r="EN179" s="675">
        <v>0</v>
      </c>
      <c r="EO179" s="675">
        <v>0</v>
      </c>
      <c r="EP179" s="675">
        <v>0</v>
      </c>
      <c r="EQ179" s="675">
        <v>5.2469999999999999</v>
      </c>
      <c r="ER179" s="675">
        <v>0</v>
      </c>
      <c r="ES179" s="675">
        <v>15.741000000000001</v>
      </c>
      <c r="ET179" s="675">
        <v>0</v>
      </c>
      <c r="EU179" s="675">
        <v>0</v>
      </c>
      <c r="EV179" s="675">
        <v>0</v>
      </c>
      <c r="EW179" s="675">
        <v>0</v>
      </c>
      <c r="EX179" s="675">
        <v>0</v>
      </c>
      <c r="EY179" s="675">
        <v>0</v>
      </c>
      <c r="EZ179" s="675">
        <v>3372167</v>
      </c>
      <c r="FA179" s="675">
        <v>0</v>
      </c>
      <c r="FB179" s="675">
        <v>3521611</v>
      </c>
      <c r="FC179" s="675">
        <v>0</v>
      </c>
      <c r="FD179" s="675">
        <v>0</v>
      </c>
      <c r="FE179" s="675">
        <v>355021</v>
      </c>
      <c r="FF179" s="675">
        <v>73428</v>
      </c>
      <c r="FG179" s="675">
        <v>6.3574999999999993E-2</v>
      </c>
      <c r="FH179" s="675">
        <v>2.6297999999999998E-2</v>
      </c>
      <c r="FI179" s="675">
        <v>0</v>
      </c>
      <c r="FJ179" s="675">
        <v>0</v>
      </c>
      <c r="FK179" s="675">
        <v>566.58699999999999</v>
      </c>
      <c r="FL179" s="675">
        <v>4010370</v>
      </c>
      <c r="FM179" s="675">
        <v>0</v>
      </c>
      <c r="FN179" s="675">
        <v>0</v>
      </c>
      <c r="FO179" s="675">
        <v>28612</v>
      </c>
      <c r="FP179" s="675">
        <v>0</v>
      </c>
      <c r="FQ179" s="675">
        <v>28612</v>
      </c>
      <c r="FR179" s="675">
        <v>28612</v>
      </c>
      <c r="FS179" s="675">
        <v>0</v>
      </c>
      <c r="FT179" s="675">
        <v>0</v>
      </c>
      <c r="FU179" s="675">
        <v>0</v>
      </c>
      <c r="FV179" s="675">
        <v>0</v>
      </c>
      <c r="FW179" s="675">
        <v>0</v>
      </c>
      <c r="FX179" s="675">
        <v>0</v>
      </c>
      <c r="FY179" s="675">
        <v>0</v>
      </c>
      <c r="FZ179" s="675">
        <v>0</v>
      </c>
      <c r="GA179" s="675">
        <v>0</v>
      </c>
      <c r="GB179" s="675">
        <v>498558</v>
      </c>
      <c r="GC179" s="675">
        <v>498558</v>
      </c>
      <c r="GD179" s="675">
        <v>51.996000000000002</v>
      </c>
      <c r="GE179" s="675">
        <v>0</v>
      </c>
      <c r="GF179" s="675">
        <v>0</v>
      </c>
      <c r="GG179" s="675">
        <v>0</v>
      </c>
      <c r="GH179" s="675">
        <v>0</v>
      </c>
      <c r="GI179" s="675">
        <v>0</v>
      </c>
      <c r="GJ179" s="675">
        <v>0</v>
      </c>
      <c r="GK179" s="675">
        <v>0</v>
      </c>
      <c r="GL179" s="675">
        <v>0</v>
      </c>
      <c r="GM179" s="675">
        <v>0</v>
      </c>
      <c r="GN179" s="675">
        <v>0</v>
      </c>
      <c r="GO179" s="675">
        <v>0</v>
      </c>
      <c r="GP179" s="675">
        <v>0</v>
      </c>
      <c r="GQ179" s="675">
        <v>0</v>
      </c>
      <c r="GR179" s="675">
        <v>0</v>
      </c>
      <c r="GS179" s="675">
        <v>0</v>
      </c>
      <c r="GT179" s="675">
        <v>0</v>
      </c>
      <c r="GU179" s="675">
        <v>0</v>
      </c>
      <c r="GV179" s="675">
        <v>0</v>
      </c>
      <c r="GW179" s="675">
        <v>0</v>
      </c>
      <c r="GX179" s="675">
        <v>0</v>
      </c>
      <c r="GY179" s="675">
        <v>0</v>
      </c>
      <c r="GZ179" s="675">
        <v>0</v>
      </c>
      <c r="HA179" s="675">
        <v>0</v>
      </c>
      <c r="HB179" s="675">
        <v>308877260</v>
      </c>
      <c r="HC179" s="675">
        <v>4.4138999999999998E-2</v>
      </c>
      <c r="HD179" s="675">
        <v>60310</v>
      </c>
      <c r="HE179" s="675">
        <v>0</v>
      </c>
      <c r="HF179" s="675">
        <v>313635</v>
      </c>
      <c r="HG179" s="675">
        <v>9240</v>
      </c>
      <c r="HH179" s="675">
        <v>5499</v>
      </c>
      <c r="HI179" s="675">
        <v>0</v>
      </c>
      <c r="HJ179" s="675">
        <v>3320</v>
      </c>
      <c r="HK179" s="675">
        <v>2592</v>
      </c>
      <c r="HL179" s="675">
        <v>342</v>
      </c>
      <c r="HM179" s="675">
        <v>0</v>
      </c>
      <c r="HN179" s="675">
        <v>0</v>
      </c>
      <c r="HO179" s="675">
        <v>0</v>
      </c>
      <c r="HP179" s="675">
        <v>0</v>
      </c>
      <c r="HQ179" s="675">
        <v>0</v>
      </c>
      <c r="HR179" s="675">
        <v>0</v>
      </c>
      <c r="HS179" s="675">
        <v>3371012</v>
      </c>
      <c r="HT179" s="675">
        <v>73428</v>
      </c>
      <c r="HU179" s="675">
        <v>0</v>
      </c>
      <c r="HV179" s="675">
        <v>0</v>
      </c>
      <c r="HW179" s="675">
        <v>0</v>
      </c>
      <c r="HX179" s="675">
        <v>29</v>
      </c>
      <c r="HY179" s="675">
        <v>25</v>
      </c>
      <c r="HZ179" s="675">
        <v>80</v>
      </c>
      <c r="IA179" s="675">
        <v>76</v>
      </c>
      <c r="IB179" s="675">
        <v>163</v>
      </c>
      <c r="IC179" s="675">
        <v>373</v>
      </c>
      <c r="ID179" s="675">
        <v>0</v>
      </c>
      <c r="IE179" s="675">
        <v>0</v>
      </c>
      <c r="IF179" s="675">
        <v>0</v>
      </c>
      <c r="IG179" s="675">
        <v>15</v>
      </c>
      <c r="IH179" s="675">
        <v>8.9269999999999996</v>
      </c>
      <c r="II179" s="675">
        <v>0</v>
      </c>
      <c r="IJ179" s="675">
        <v>0</v>
      </c>
      <c r="IK179" s="675">
        <v>3.867</v>
      </c>
      <c r="IL179" s="675">
        <v>0</v>
      </c>
      <c r="IM179" s="675">
        <v>0</v>
      </c>
      <c r="IN179" s="675">
        <v>0</v>
      </c>
      <c r="IO179" s="675">
        <v>0</v>
      </c>
      <c r="IP179" s="675">
        <v>3.867</v>
      </c>
      <c r="IQ179" s="675">
        <v>0</v>
      </c>
      <c r="IR179" s="675">
        <v>0</v>
      </c>
      <c r="IS179" s="675">
        <v>1063</v>
      </c>
      <c r="IT179" s="675">
        <v>0</v>
      </c>
      <c r="IU179" s="675">
        <v>0</v>
      </c>
      <c r="IV179" s="675">
        <v>0</v>
      </c>
      <c r="IW179" s="675">
        <v>6160</v>
      </c>
      <c r="IX179" s="675">
        <v>0</v>
      </c>
      <c r="IY179" s="675">
        <v>0</v>
      </c>
      <c r="IZ179" s="675">
        <v>1063</v>
      </c>
      <c r="JA179" s="675">
        <v>0</v>
      </c>
      <c r="JB179" s="675">
        <v>0</v>
      </c>
      <c r="JC179" s="675">
        <v>0</v>
      </c>
      <c r="JD179" s="675">
        <v>0</v>
      </c>
      <c r="JE179" s="675">
        <v>0</v>
      </c>
      <c r="JF179" s="675">
        <v>0</v>
      </c>
      <c r="JG179" s="675">
        <v>0</v>
      </c>
      <c r="JH179" s="675">
        <v>0</v>
      </c>
      <c r="JI179" s="675">
        <v>0</v>
      </c>
      <c r="JJ179" s="675">
        <v>0</v>
      </c>
      <c r="JK179" s="675">
        <v>0</v>
      </c>
      <c r="JL179" s="675">
        <v>0</v>
      </c>
      <c r="JM179" s="675">
        <v>0</v>
      </c>
      <c r="JN179" s="675">
        <v>32469</v>
      </c>
      <c r="JO179" s="675">
        <v>4.0810000000000004</v>
      </c>
      <c r="JP179" s="675">
        <v>33.055</v>
      </c>
      <c r="JQ179" s="675">
        <v>14.86</v>
      </c>
      <c r="JR179" s="675">
        <v>32604</v>
      </c>
      <c r="JS179" s="675">
        <v>307300</v>
      </c>
      <c r="JT179" s="675">
        <v>158654</v>
      </c>
      <c r="JU179" s="675">
        <v>0</v>
      </c>
      <c r="JV179" s="675">
        <v>0</v>
      </c>
      <c r="JW179" s="675">
        <v>0</v>
      </c>
      <c r="JX179" s="675">
        <v>0</v>
      </c>
      <c r="JY179" s="675">
        <v>0</v>
      </c>
      <c r="JZ179" s="675">
        <v>0</v>
      </c>
      <c r="KA179" s="675">
        <v>0</v>
      </c>
      <c r="KB179" s="675">
        <v>0</v>
      </c>
      <c r="KC179" s="675">
        <v>0</v>
      </c>
      <c r="KD179" s="675">
        <v>0</v>
      </c>
      <c r="KE179" s="675">
        <v>7263</v>
      </c>
      <c r="KF179" s="675">
        <v>0</v>
      </c>
      <c r="KG179" s="675">
        <v>0</v>
      </c>
      <c r="KH179" s="675">
        <v>0</v>
      </c>
      <c r="KI179" s="675">
        <v>0</v>
      </c>
    </row>
    <row r="180" spans="1:295" ht="12.5" x14ac:dyDescent="0.25">
      <c r="A180" s="675">
        <v>35795</v>
      </c>
      <c r="B180" s="675">
        <v>101870</v>
      </c>
      <c r="C180" s="675">
        <v>7</v>
      </c>
      <c r="D180" s="675">
        <v>2022</v>
      </c>
      <c r="E180" s="675">
        <v>6160</v>
      </c>
      <c r="F180" s="675">
        <v>0</v>
      </c>
      <c r="G180" s="675">
        <v>1163.742</v>
      </c>
      <c r="H180" s="675">
        <v>1146.1680000000001</v>
      </c>
      <c r="I180" s="675">
        <v>1146.1680000000001</v>
      </c>
      <c r="J180" s="675">
        <v>1163.742</v>
      </c>
      <c r="K180" s="675">
        <v>0</v>
      </c>
      <c r="L180" s="675">
        <v>6160</v>
      </c>
      <c r="M180" s="675">
        <v>0</v>
      </c>
      <c r="N180" s="675">
        <v>0</v>
      </c>
      <c r="O180" s="675">
        <v>0</v>
      </c>
      <c r="P180" s="675">
        <v>1085.2270000000001</v>
      </c>
      <c r="Q180" s="675">
        <v>0</v>
      </c>
      <c r="R180" s="675">
        <v>436726</v>
      </c>
      <c r="S180" s="675">
        <v>402.428</v>
      </c>
      <c r="T180" s="675">
        <v>0</v>
      </c>
      <c r="U180" s="675">
        <v>232240</v>
      </c>
      <c r="V180" s="675">
        <v>219.74700000000001</v>
      </c>
      <c r="W180" s="675">
        <v>135364</v>
      </c>
      <c r="X180" s="675">
        <v>135364</v>
      </c>
      <c r="Y180" s="675">
        <v>0</v>
      </c>
      <c r="Z180" s="675">
        <v>0</v>
      </c>
      <c r="AA180" s="675">
        <v>0</v>
      </c>
      <c r="AB180" s="675">
        <v>0</v>
      </c>
      <c r="AC180" s="675">
        <v>0</v>
      </c>
      <c r="AD180" s="675" t="s">
        <v>316</v>
      </c>
      <c r="AE180" s="675">
        <v>0</v>
      </c>
      <c r="AF180" s="675">
        <v>0</v>
      </c>
      <c r="AG180" s="675">
        <v>0</v>
      </c>
      <c r="AH180" s="675">
        <v>0</v>
      </c>
      <c r="AI180" s="675">
        <v>0</v>
      </c>
      <c r="AJ180" s="675">
        <v>6160</v>
      </c>
      <c r="AK180" s="675" t="s">
        <v>671</v>
      </c>
      <c r="AL180" s="675" t="s">
        <v>371</v>
      </c>
      <c r="AM180" s="675">
        <v>0</v>
      </c>
      <c r="AN180" s="675">
        <v>0</v>
      </c>
      <c r="AO180" s="675">
        <v>0</v>
      </c>
      <c r="AP180" s="675">
        <v>0</v>
      </c>
      <c r="AQ180" s="675">
        <v>0</v>
      </c>
      <c r="AR180" s="675">
        <v>0</v>
      </c>
      <c r="AS180" s="675">
        <v>0</v>
      </c>
      <c r="AT180" s="675">
        <v>0</v>
      </c>
      <c r="AU180" s="675">
        <v>0</v>
      </c>
      <c r="AV180" s="675">
        <v>0</v>
      </c>
      <c r="AW180" s="675">
        <v>11760042</v>
      </c>
      <c r="AX180" s="675">
        <v>11556117</v>
      </c>
      <c r="AY180" s="675">
        <v>8024205</v>
      </c>
      <c r="AZ180" s="675">
        <v>436726</v>
      </c>
      <c r="BA180" s="675">
        <v>0</v>
      </c>
      <c r="BB180" s="675">
        <v>0</v>
      </c>
      <c r="BC180" s="675">
        <v>0</v>
      </c>
      <c r="BD180" s="675">
        <v>0</v>
      </c>
      <c r="BE180" s="675">
        <v>0</v>
      </c>
      <c r="BF180" s="675">
        <v>10680462</v>
      </c>
      <c r="BG180" s="675">
        <v>0</v>
      </c>
      <c r="BH180" s="675">
        <v>0</v>
      </c>
      <c r="BI180" s="675">
        <v>0</v>
      </c>
      <c r="BJ180" s="675">
        <v>12</v>
      </c>
      <c r="BK180" s="675">
        <v>0</v>
      </c>
      <c r="BL180" s="675">
        <v>0</v>
      </c>
      <c r="BM180" s="675">
        <v>0</v>
      </c>
      <c r="BN180" s="675">
        <v>0</v>
      </c>
      <c r="BO180" s="675">
        <v>0</v>
      </c>
      <c r="BP180" s="675">
        <v>0</v>
      </c>
      <c r="BQ180" s="675">
        <v>593</v>
      </c>
      <c r="BR180" s="675">
        <v>0</v>
      </c>
      <c r="BS180" s="675">
        <v>0</v>
      </c>
      <c r="BT180" s="675">
        <v>0</v>
      </c>
      <c r="BU180" s="675">
        <v>0</v>
      </c>
      <c r="BV180" s="675">
        <v>0</v>
      </c>
      <c r="BW180" s="675">
        <v>0</v>
      </c>
      <c r="BX180" s="675">
        <v>0</v>
      </c>
      <c r="BY180" s="675">
        <v>0</v>
      </c>
      <c r="BZ180" s="675">
        <v>0</v>
      </c>
      <c r="CA180" s="675">
        <v>0</v>
      </c>
      <c r="CB180" s="675">
        <v>0</v>
      </c>
      <c r="CC180" s="675">
        <v>0</v>
      </c>
      <c r="CD180" s="675">
        <v>0</v>
      </c>
      <c r="CE180" s="675">
        <v>0</v>
      </c>
      <c r="CF180" s="675">
        <v>0</v>
      </c>
      <c r="CG180" s="675">
        <v>0</v>
      </c>
      <c r="CH180" s="675">
        <v>205465</v>
      </c>
      <c r="CI180" s="675">
        <v>0</v>
      </c>
      <c r="CJ180" s="675">
        <v>4</v>
      </c>
      <c r="CK180" s="675">
        <v>0</v>
      </c>
      <c r="CL180" s="675">
        <v>0</v>
      </c>
      <c r="CM180" s="675">
        <v>0</v>
      </c>
      <c r="CN180" s="675">
        <v>0</v>
      </c>
      <c r="CO180" s="675">
        <v>1</v>
      </c>
      <c r="CP180" s="675">
        <v>0</v>
      </c>
      <c r="CQ180" s="675">
        <v>0</v>
      </c>
      <c r="CR180" s="675">
        <v>1069.854</v>
      </c>
      <c r="CS180" s="675">
        <v>0</v>
      </c>
      <c r="CT180" s="675">
        <v>0</v>
      </c>
      <c r="CU180" s="675">
        <v>0</v>
      </c>
      <c r="CV180" s="675">
        <v>0</v>
      </c>
      <c r="CW180" s="675">
        <v>0</v>
      </c>
      <c r="CX180" s="675">
        <v>0</v>
      </c>
      <c r="CY180" s="675">
        <v>0</v>
      </c>
      <c r="CZ180" s="675">
        <v>0</v>
      </c>
      <c r="DA180" s="675">
        <v>0</v>
      </c>
      <c r="DB180" s="675">
        <v>7047069</v>
      </c>
      <c r="DC180" s="675">
        <v>0</v>
      </c>
      <c r="DD180" s="675">
        <v>0</v>
      </c>
      <c r="DE180" s="675">
        <v>1443358</v>
      </c>
      <c r="DF180" s="675">
        <v>1443358</v>
      </c>
      <c r="DG180" s="675">
        <v>234.31300000000002</v>
      </c>
      <c r="DH180" s="675">
        <v>0</v>
      </c>
      <c r="DI180" s="675">
        <v>0</v>
      </c>
      <c r="DJ180" s="675">
        <v>0</v>
      </c>
      <c r="DK180" s="675">
        <v>1118</v>
      </c>
      <c r="DL180" s="675">
        <v>0</v>
      </c>
      <c r="DM180" s="675">
        <v>422619</v>
      </c>
      <c r="DN180" s="675">
        <v>1540</v>
      </c>
      <c r="DO180" s="675">
        <v>0</v>
      </c>
      <c r="DP180" s="675">
        <v>0</v>
      </c>
      <c r="DQ180" s="675">
        <v>0</v>
      </c>
      <c r="DR180" s="675">
        <v>0</v>
      </c>
      <c r="DS180" s="675">
        <v>0</v>
      </c>
      <c r="DT180" s="675">
        <v>0</v>
      </c>
      <c r="DU180" s="675">
        <v>0</v>
      </c>
      <c r="DV180" s="675">
        <v>0</v>
      </c>
      <c r="DW180" s="675">
        <v>0</v>
      </c>
      <c r="DX180" s="675">
        <v>0</v>
      </c>
      <c r="DY180" s="675">
        <v>0</v>
      </c>
      <c r="DZ180" s="675">
        <v>0</v>
      </c>
      <c r="EA180" s="675">
        <v>0</v>
      </c>
      <c r="EB180" s="675">
        <v>0</v>
      </c>
      <c r="EC180" s="675">
        <v>23.116</v>
      </c>
      <c r="ED180" s="675">
        <v>163753</v>
      </c>
      <c r="EE180" s="675">
        <v>0</v>
      </c>
      <c r="EF180" s="675">
        <v>0</v>
      </c>
      <c r="EG180" s="675">
        <v>0</v>
      </c>
      <c r="EH180" s="675">
        <v>247113</v>
      </c>
      <c r="EI180" s="675">
        <v>0</v>
      </c>
      <c r="EJ180" s="675">
        <v>0</v>
      </c>
      <c r="EK180" s="675">
        <v>9.5140000000000011</v>
      </c>
      <c r="EL180" s="675">
        <v>0</v>
      </c>
      <c r="EM180" s="675">
        <v>1.258</v>
      </c>
      <c r="EN180" s="675">
        <v>1.56</v>
      </c>
      <c r="EO180" s="675">
        <v>0</v>
      </c>
      <c r="EP180" s="675">
        <v>0</v>
      </c>
      <c r="EQ180" s="675">
        <v>12.332000000000001</v>
      </c>
      <c r="ER180" s="675">
        <v>0</v>
      </c>
      <c r="ES180" s="675">
        <v>40.116</v>
      </c>
      <c r="ET180" s="675">
        <v>0</v>
      </c>
      <c r="EU180" s="675">
        <v>0</v>
      </c>
      <c r="EV180" s="675">
        <v>0</v>
      </c>
      <c r="EW180" s="675">
        <v>0</v>
      </c>
      <c r="EX180" s="675">
        <v>0</v>
      </c>
      <c r="EY180" s="675">
        <v>0</v>
      </c>
      <c r="EZ180" s="675">
        <v>10244995</v>
      </c>
      <c r="FA180" s="675">
        <v>0</v>
      </c>
      <c r="FB180" s="675">
        <v>10680181</v>
      </c>
      <c r="FC180" s="675">
        <v>0</v>
      </c>
      <c r="FD180" s="675">
        <v>0</v>
      </c>
      <c r="FE180" s="675">
        <v>1086421</v>
      </c>
      <c r="FF180" s="675">
        <v>224701</v>
      </c>
      <c r="FG180" s="675">
        <v>6.3574999999999993E-2</v>
      </c>
      <c r="FH180" s="675">
        <v>2.6297999999999998E-2</v>
      </c>
      <c r="FI180" s="675">
        <v>0</v>
      </c>
      <c r="FJ180" s="675">
        <v>0</v>
      </c>
      <c r="FK180" s="675">
        <v>1733.8490000000002</v>
      </c>
      <c r="FL180" s="675">
        <v>12196768</v>
      </c>
      <c r="FM180" s="675">
        <v>0</v>
      </c>
      <c r="FN180" s="675">
        <v>0</v>
      </c>
      <c r="FO180" s="675">
        <v>0</v>
      </c>
      <c r="FP180" s="675">
        <v>0</v>
      </c>
      <c r="FQ180" s="675">
        <v>0</v>
      </c>
      <c r="FR180" s="675">
        <v>0</v>
      </c>
      <c r="FS180" s="675">
        <v>0</v>
      </c>
      <c r="FT180" s="675">
        <v>0</v>
      </c>
      <c r="FU180" s="675">
        <v>0</v>
      </c>
      <c r="FV180" s="675">
        <v>0</v>
      </c>
      <c r="FW180" s="675">
        <v>0</v>
      </c>
      <c r="FX180" s="675">
        <v>0</v>
      </c>
      <c r="FY180" s="675">
        <v>0</v>
      </c>
      <c r="FZ180" s="675">
        <v>0</v>
      </c>
      <c r="GA180" s="675">
        <v>0</v>
      </c>
      <c r="GB180" s="675">
        <v>41880</v>
      </c>
      <c r="GC180" s="675">
        <v>41880</v>
      </c>
      <c r="GD180" s="675">
        <v>5.242</v>
      </c>
      <c r="GE180" s="675">
        <v>0</v>
      </c>
      <c r="GF180" s="675">
        <v>0</v>
      </c>
      <c r="GG180" s="675">
        <v>0</v>
      </c>
      <c r="GH180" s="675">
        <v>0</v>
      </c>
      <c r="GI180" s="675">
        <v>0</v>
      </c>
      <c r="GJ180" s="675">
        <v>0</v>
      </c>
      <c r="GK180" s="675">
        <v>0</v>
      </c>
      <c r="GL180" s="675">
        <v>0</v>
      </c>
      <c r="GM180" s="675">
        <v>0</v>
      </c>
      <c r="GN180" s="675">
        <v>0</v>
      </c>
      <c r="GO180" s="675">
        <v>0</v>
      </c>
      <c r="GP180" s="675">
        <v>0</v>
      </c>
      <c r="GQ180" s="675">
        <v>0</v>
      </c>
      <c r="GR180" s="675">
        <v>0</v>
      </c>
      <c r="GS180" s="675">
        <v>0</v>
      </c>
      <c r="GT180" s="675">
        <v>0</v>
      </c>
      <c r="GU180" s="675">
        <v>0</v>
      </c>
      <c r="GV180" s="675">
        <v>0</v>
      </c>
      <c r="GW180" s="675">
        <v>0</v>
      </c>
      <c r="GX180" s="675">
        <v>0</v>
      </c>
      <c r="GY180" s="675">
        <v>0</v>
      </c>
      <c r="GZ180" s="675">
        <v>0</v>
      </c>
      <c r="HA180" s="675">
        <v>0</v>
      </c>
      <c r="HB180" s="675">
        <v>308877260</v>
      </c>
      <c r="HC180" s="675">
        <v>4.4138999999999998E-2</v>
      </c>
      <c r="HD180" s="675">
        <v>205465</v>
      </c>
      <c r="HE180" s="675">
        <v>0</v>
      </c>
      <c r="HF180" s="675">
        <v>1264223</v>
      </c>
      <c r="HG180" s="675">
        <v>12320</v>
      </c>
      <c r="HH180" s="675">
        <v>300777</v>
      </c>
      <c r="HI180" s="675">
        <v>0</v>
      </c>
      <c r="HJ180" s="675">
        <v>11312</v>
      </c>
      <c r="HK180" s="675">
        <v>1098</v>
      </c>
      <c r="HL180" s="675">
        <v>161</v>
      </c>
      <c r="HM180" s="675">
        <v>0</v>
      </c>
      <c r="HN180" s="675">
        <v>0</v>
      </c>
      <c r="HO180" s="675">
        <v>0</v>
      </c>
      <c r="HP180" s="675">
        <v>0</v>
      </c>
      <c r="HQ180" s="675">
        <v>0</v>
      </c>
      <c r="HR180" s="675">
        <v>0</v>
      </c>
      <c r="HS180" s="675">
        <v>10243455</v>
      </c>
      <c r="HT180" s="675">
        <v>224701</v>
      </c>
      <c r="HU180" s="675">
        <v>0</v>
      </c>
      <c r="HV180" s="675">
        <v>0</v>
      </c>
      <c r="HW180" s="675">
        <v>0</v>
      </c>
      <c r="HX180" s="675">
        <v>170</v>
      </c>
      <c r="HY180" s="675">
        <v>175</v>
      </c>
      <c r="HZ180" s="675">
        <v>240</v>
      </c>
      <c r="IA180" s="675">
        <v>184</v>
      </c>
      <c r="IB180" s="675">
        <v>168</v>
      </c>
      <c r="IC180" s="675">
        <v>937</v>
      </c>
      <c r="ID180" s="675">
        <v>0</v>
      </c>
      <c r="IE180" s="675">
        <v>0</v>
      </c>
      <c r="IF180" s="675">
        <v>0</v>
      </c>
      <c r="IG180" s="675">
        <v>20</v>
      </c>
      <c r="IH180" s="675">
        <v>488.27600000000001</v>
      </c>
      <c r="II180" s="675">
        <v>0</v>
      </c>
      <c r="IJ180" s="675">
        <v>219.74700000000001</v>
      </c>
      <c r="IK180" s="675">
        <v>0</v>
      </c>
      <c r="IL180" s="675">
        <v>0</v>
      </c>
      <c r="IM180" s="675">
        <v>0</v>
      </c>
      <c r="IN180" s="675">
        <v>0</v>
      </c>
      <c r="IO180" s="675">
        <v>0</v>
      </c>
      <c r="IP180" s="675">
        <v>0</v>
      </c>
      <c r="IQ180" s="675">
        <v>219.74700000000001</v>
      </c>
      <c r="IR180" s="675">
        <v>135364</v>
      </c>
      <c r="IS180" s="675">
        <v>0</v>
      </c>
      <c r="IT180" s="675">
        <v>0</v>
      </c>
      <c r="IU180" s="675">
        <v>0</v>
      </c>
      <c r="IV180" s="675">
        <v>0</v>
      </c>
      <c r="IW180" s="675">
        <v>6160</v>
      </c>
      <c r="IX180" s="675">
        <v>0</v>
      </c>
      <c r="IY180" s="675">
        <v>0</v>
      </c>
      <c r="IZ180" s="675">
        <v>0</v>
      </c>
      <c r="JA180" s="675">
        <v>0</v>
      </c>
      <c r="JB180" s="675">
        <v>0</v>
      </c>
      <c r="JC180" s="675">
        <v>0</v>
      </c>
      <c r="JD180" s="675">
        <v>0</v>
      </c>
      <c r="JE180" s="675">
        <v>0</v>
      </c>
      <c r="JF180" s="675">
        <v>0</v>
      </c>
      <c r="JG180" s="675">
        <v>0</v>
      </c>
      <c r="JH180" s="675">
        <v>0</v>
      </c>
      <c r="JI180" s="675">
        <v>0</v>
      </c>
      <c r="JJ180" s="675">
        <v>0</v>
      </c>
      <c r="JK180" s="675">
        <v>0</v>
      </c>
      <c r="JL180" s="675">
        <v>0</v>
      </c>
      <c r="JM180" s="675">
        <v>0</v>
      </c>
      <c r="JN180" s="675">
        <v>32469</v>
      </c>
      <c r="JO180" s="675">
        <v>5.242</v>
      </c>
      <c r="JP180" s="675">
        <v>0</v>
      </c>
      <c r="JQ180" s="675">
        <v>0</v>
      </c>
      <c r="JR180" s="675">
        <v>41880</v>
      </c>
      <c r="JS180" s="675">
        <v>0</v>
      </c>
      <c r="JT180" s="675">
        <v>0</v>
      </c>
      <c r="JU180" s="675">
        <v>0</v>
      </c>
      <c r="JV180" s="675">
        <v>0</v>
      </c>
      <c r="JW180" s="675">
        <v>0</v>
      </c>
      <c r="JX180" s="675">
        <v>0</v>
      </c>
      <c r="JY180" s="675">
        <v>0</v>
      </c>
      <c r="JZ180" s="675">
        <v>0</v>
      </c>
      <c r="KA180" s="675">
        <v>0</v>
      </c>
      <c r="KB180" s="675">
        <v>0</v>
      </c>
      <c r="KC180" s="675">
        <v>0</v>
      </c>
      <c r="KD180" s="675">
        <v>0</v>
      </c>
      <c r="KE180" s="675">
        <v>7263</v>
      </c>
      <c r="KF180" s="675">
        <v>0</v>
      </c>
      <c r="KG180" s="675">
        <v>0</v>
      </c>
      <c r="KH180" s="675">
        <v>0</v>
      </c>
      <c r="KI180" s="675">
        <v>0</v>
      </c>
    </row>
    <row r="181" spans="1:295" ht="12.5" x14ac:dyDescent="0.25">
      <c r="A181" s="675">
        <v>35795</v>
      </c>
      <c r="B181" s="675">
        <v>101871</v>
      </c>
      <c r="C181" s="675">
        <v>7</v>
      </c>
      <c r="D181" s="675">
        <v>2022</v>
      </c>
      <c r="E181" s="675">
        <v>6160</v>
      </c>
      <c r="F181" s="675">
        <v>0</v>
      </c>
      <c r="G181" s="675">
        <v>127.137</v>
      </c>
      <c r="H181" s="675">
        <v>126.63200000000001</v>
      </c>
      <c r="I181" s="675">
        <v>126.63200000000001</v>
      </c>
      <c r="J181" s="675">
        <v>127.137</v>
      </c>
      <c r="K181" s="675">
        <v>0</v>
      </c>
      <c r="L181" s="675">
        <v>6160</v>
      </c>
      <c r="M181" s="675">
        <v>0</v>
      </c>
      <c r="N181" s="675">
        <v>0</v>
      </c>
      <c r="O181" s="675">
        <v>0</v>
      </c>
      <c r="P181" s="675">
        <v>134.161</v>
      </c>
      <c r="Q181" s="675">
        <v>0</v>
      </c>
      <c r="R181" s="675">
        <v>53990</v>
      </c>
      <c r="S181" s="675">
        <v>402.428</v>
      </c>
      <c r="T181" s="675">
        <v>0</v>
      </c>
      <c r="U181" s="675">
        <v>28712</v>
      </c>
      <c r="V181" s="675">
        <v>10.999000000000001</v>
      </c>
      <c r="W181" s="675">
        <v>6775</v>
      </c>
      <c r="X181" s="675">
        <v>6775</v>
      </c>
      <c r="Y181" s="675">
        <v>0</v>
      </c>
      <c r="Z181" s="675">
        <v>0</v>
      </c>
      <c r="AA181" s="675">
        <v>0</v>
      </c>
      <c r="AB181" s="675">
        <v>0</v>
      </c>
      <c r="AC181" s="675">
        <v>0</v>
      </c>
      <c r="AD181" s="675" t="s">
        <v>316</v>
      </c>
      <c r="AE181" s="675">
        <v>0</v>
      </c>
      <c r="AF181" s="675">
        <v>0</v>
      </c>
      <c r="AG181" s="675">
        <v>0</v>
      </c>
      <c r="AH181" s="675">
        <v>0</v>
      </c>
      <c r="AI181" s="675">
        <v>0</v>
      </c>
      <c r="AJ181" s="675">
        <v>6160</v>
      </c>
      <c r="AK181" s="675" t="s">
        <v>671</v>
      </c>
      <c r="AL181" s="675" t="s">
        <v>387</v>
      </c>
      <c r="AM181" s="675">
        <v>0</v>
      </c>
      <c r="AN181" s="675">
        <v>0</v>
      </c>
      <c r="AO181" s="675">
        <v>0</v>
      </c>
      <c r="AP181" s="675">
        <v>0</v>
      </c>
      <c r="AQ181" s="675">
        <v>0</v>
      </c>
      <c r="AR181" s="675">
        <v>0</v>
      </c>
      <c r="AS181" s="675">
        <v>0</v>
      </c>
      <c r="AT181" s="675">
        <v>0</v>
      </c>
      <c r="AU181" s="675">
        <v>0</v>
      </c>
      <c r="AV181" s="675">
        <v>-18401</v>
      </c>
      <c r="AW181" s="675">
        <v>1487722</v>
      </c>
      <c r="AX181" s="675">
        <v>1466219</v>
      </c>
      <c r="AY181" s="675">
        <v>994327</v>
      </c>
      <c r="AZ181" s="675">
        <v>53990</v>
      </c>
      <c r="BA181" s="675">
        <v>0</v>
      </c>
      <c r="BB181" s="675">
        <v>0</v>
      </c>
      <c r="BC181" s="675">
        <v>0</v>
      </c>
      <c r="BD181" s="675">
        <v>0</v>
      </c>
      <c r="BE181" s="675">
        <v>0</v>
      </c>
      <c r="BF181" s="675">
        <v>1353994</v>
      </c>
      <c r="BG181" s="675">
        <v>0</v>
      </c>
      <c r="BH181" s="675">
        <v>0</v>
      </c>
      <c r="BI181" s="675">
        <v>0</v>
      </c>
      <c r="BJ181" s="675">
        <v>12</v>
      </c>
      <c r="BK181" s="675">
        <v>0</v>
      </c>
      <c r="BL181" s="675">
        <v>0</v>
      </c>
      <c r="BM181" s="675">
        <v>0</v>
      </c>
      <c r="BN181" s="675">
        <v>0</v>
      </c>
      <c r="BO181" s="675">
        <v>0</v>
      </c>
      <c r="BP181" s="675">
        <v>0</v>
      </c>
      <c r="BQ181" s="675">
        <v>750</v>
      </c>
      <c r="BR181" s="675">
        <v>0</v>
      </c>
      <c r="BS181" s="675">
        <v>0</v>
      </c>
      <c r="BT181" s="675">
        <v>0</v>
      </c>
      <c r="BU181" s="675">
        <v>0</v>
      </c>
      <c r="BV181" s="675">
        <v>0</v>
      </c>
      <c r="BW181" s="675">
        <v>0</v>
      </c>
      <c r="BX181" s="675">
        <v>0</v>
      </c>
      <c r="BY181" s="675">
        <v>0</v>
      </c>
      <c r="BZ181" s="675">
        <v>0</v>
      </c>
      <c r="CA181" s="675">
        <v>0</v>
      </c>
      <c r="CB181" s="675">
        <v>0</v>
      </c>
      <c r="CC181" s="675">
        <v>0</v>
      </c>
      <c r="CD181" s="675">
        <v>0</v>
      </c>
      <c r="CE181" s="675">
        <v>0</v>
      </c>
      <c r="CF181" s="675">
        <v>0</v>
      </c>
      <c r="CG181" s="675">
        <v>0</v>
      </c>
      <c r="CH181" s="675">
        <v>22447</v>
      </c>
      <c r="CI181" s="675">
        <v>0</v>
      </c>
      <c r="CJ181" s="675">
        <v>4</v>
      </c>
      <c r="CK181" s="675">
        <v>0</v>
      </c>
      <c r="CL181" s="675">
        <v>0</v>
      </c>
      <c r="CM181" s="675">
        <v>0</v>
      </c>
      <c r="CN181" s="675">
        <v>0</v>
      </c>
      <c r="CO181" s="675">
        <v>1</v>
      </c>
      <c r="CP181" s="675">
        <v>0</v>
      </c>
      <c r="CQ181" s="675">
        <v>0</v>
      </c>
      <c r="CR181" s="675">
        <v>139.88900000000001</v>
      </c>
      <c r="CS181" s="675">
        <v>0</v>
      </c>
      <c r="CT181" s="675">
        <v>0</v>
      </c>
      <c r="CU181" s="675">
        <v>0</v>
      </c>
      <c r="CV181" s="675">
        <v>0</v>
      </c>
      <c r="CW181" s="675">
        <v>0</v>
      </c>
      <c r="CX181" s="675">
        <v>0</v>
      </c>
      <c r="CY181" s="675">
        <v>0</v>
      </c>
      <c r="CZ181" s="675">
        <v>0</v>
      </c>
      <c r="DA181" s="675">
        <v>0</v>
      </c>
      <c r="DB181" s="675">
        <v>780050</v>
      </c>
      <c r="DC181" s="675">
        <v>0</v>
      </c>
      <c r="DD181" s="675">
        <v>0</v>
      </c>
      <c r="DE181" s="675">
        <v>173172</v>
      </c>
      <c r="DF181" s="675">
        <v>173172</v>
      </c>
      <c r="DG181" s="675">
        <v>28.113000000000003</v>
      </c>
      <c r="DH181" s="675">
        <v>0</v>
      </c>
      <c r="DI181" s="675">
        <v>0</v>
      </c>
      <c r="DJ181" s="675">
        <v>0</v>
      </c>
      <c r="DK181" s="675">
        <v>3630</v>
      </c>
      <c r="DL181" s="675">
        <v>0</v>
      </c>
      <c r="DM181" s="675">
        <v>250910</v>
      </c>
      <c r="DN181" s="675">
        <v>944</v>
      </c>
      <c r="DO181" s="675">
        <v>0</v>
      </c>
      <c r="DP181" s="675">
        <v>0</v>
      </c>
      <c r="DQ181" s="675">
        <v>0</v>
      </c>
      <c r="DR181" s="675">
        <v>0</v>
      </c>
      <c r="DS181" s="675">
        <v>0</v>
      </c>
      <c r="DT181" s="675">
        <v>0</v>
      </c>
      <c r="DU181" s="675">
        <v>0</v>
      </c>
      <c r="DV181" s="675">
        <v>0</v>
      </c>
      <c r="DW181" s="675">
        <v>0</v>
      </c>
      <c r="DX181" s="675">
        <v>0</v>
      </c>
      <c r="DY181" s="675">
        <v>0</v>
      </c>
      <c r="DZ181" s="675">
        <v>0</v>
      </c>
      <c r="EA181" s="675">
        <v>0</v>
      </c>
      <c r="EB181" s="675">
        <v>0</v>
      </c>
      <c r="EC181" s="675">
        <v>33.356999999999999</v>
      </c>
      <c r="ED181" s="675">
        <v>236300</v>
      </c>
      <c r="EE181" s="675">
        <v>0</v>
      </c>
      <c r="EF181" s="675">
        <v>0</v>
      </c>
      <c r="EG181" s="675">
        <v>0</v>
      </c>
      <c r="EH181" s="675">
        <v>15554</v>
      </c>
      <c r="EI181" s="675">
        <v>0</v>
      </c>
      <c r="EJ181" s="675">
        <v>0</v>
      </c>
      <c r="EK181" s="675">
        <v>0</v>
      </c>
      <c r="EL181" s="675">
        <v>0</v>
      </c>
      <c r="EM181" s="675">
        <v>0</v>
      </c>
      <c r="EN181" s="675">
        <v>0.505</v>
      </c>
      <c r="EO181" s="675">
        <v>0</v>
      </c>
      <c r="EP181" s="675">
        <v>0</v>
      </c>
      <c r="EQ181" s="675">
        <v>0.505</v>
      </c>
      <c r="ER181" s="675">
        <v>0</v>
      </c>
      <c r="ES181" s="675">
        <v>2.5249999999999999</v>
      </c>
      <c r="ET181" s="675">
        <v>0</v>
      </c>
      <c r="EU181" s="675">
        <v>0</v>
      </c>
      <c r="EV181" s="675">
        <v>0</v>
      </c>
      <c r="EW181" s="675">
        <v>0</v>
      </c>
      <c r="EX181" s="675">
        <v>0</v>
      </c>
      <c r="EY181" s="675">
        <v>0</v>
      </c>
      <c r="EZ181" s="675">
        <v>1300004</v>
      </c>
      <c r="FA181" s="675">
        <v>0</v>
      </c>
      <c r="FB181" s="675">
        <v>1353050</v>
      </c>
      <c r="FC181" s="675">
        <v>0</v>
      </c>
      <c r="FD181" s="675">
        <v>0</v>
      </c>
      <c r="FE181" s="675">
        <v>137729</v>
      </c>
      <c r="FF181" s="675">
        <v>28486</v>
      </c>
      <c r="FG181" s="675">
        <v>6.3574999999999993E-2</v>
      </c>
      <c r="FH181" s="675">
        <v>2.6297999999999998E-2</v>
      </c>
      <c r="FI181" s="675">
        <v>0</v>
      </c>
      <c r="FJ181" s="675">
        <v>0</v>
      </c>
      <c r="FK181" s="675">
        <v>219.80500000000001</v>
      </c>
      <c r="FL181" s="675">
        <v>1541712</v>
      </c>
      <c r="FM181" s="675">
        <v>0</v>
      </c>
      <c r="FN181" s="675">
        <v>0</v>
      </c>
      <c r="FO181" s="675">
        <v>0</v>
      </c>
      <c r="FP181" s="675">
        <v>0</v>
      </c>
      <c r="FQ181" s="675">
        <v>0</v>
      </c>
      <c r="FR181" s="675">
        <v>0</v>
      </c>
      <c r="FS181" s="675">
        <v>0</v>
      </c>
      <c r="FT181" s="675">
        <v>0</v>
      </c>
      <c r="FU181" s="675">
        <v>0</v>
      </c>
      <c r="FV181" s="675">
        <v>0</v>
      </c>
      <c r="FW181" s="675">
        <v>0</v>
      </c>
      <c r="FX181" s="675">
        <v>0</v>
      </c>
      <c r="FY181" s="675">
        <v>0</v>
      </c>
      <c r="FZ181" s="675">
        <v>0</v>
      </c>
      <c r="GA181" s="675">
        <v>0</v>
      </c>
      <c r="GB181" s="675">
        <v>0</v>
      </c>
      <c r="GC181" s="675">
        <v>0</v>
      </c>
      <c r="GD181" s="675">
        <v>0</v>
      </c>
      <c r="GE181" s="675">
        <v>0</v>
      </c>
      <c r="GF181" s="675">
        <v>0</v>
      </c>
      <c r="GG181" s="675">
        <v>0</v>
      </c>
      <c r="GH181" s="675">
        <v>0</v>
      </c>
      <c r="GI181" s="675">
        <v>0</v>
      </c>
      <c r="GJ181" s="675">
        <v>0</v>
      </c>
      <c r="GK181" s="675">
        <v>0</v>
      </c>
      <c r="GL181" s="675">
        <v>0</v>
      </c>
      <c r="GM181" s="675">
        <v>0</v>
      </c>
      <c r="GN181" s="675">
        <v>0</v>
      </c>
      <c r="GO181" s="675">
        <v>0</v>
      </c>
      <c r="GP181" s="675">
        <v>0</v>
      </c>
      <c r="GQ181" s="675">
        <v>0</v>
      </c>
      <c r="GR181" s="675">
        <v>0</v>
      </c>
      <c r="GS181" s="675">
        <v>0</v>
      </c>
      <c r="GT181" s="675">
        <v>0</v>
      </c>
      <c r="GU181" s="675">
        <v>0</v>
      </c>
      <c r="GV181" s="675">
        <v>0</v>
      </c>
      <c r="GW181" s="675">
        <v>0</v>
      </c>
      <c r="GX181" s="675">
        <v>0</v>
      </c>
      <c r="GY181" s="675">
        <v>0</v>
      </c>
      <c r="GZ181" s="675">
        <v>0</v>
      </c>
      <c r="HA181" s="675">
        <v>0</v>
      </c>
      <c r="HB181" s="675">
        <v>308877260</v>
      </c>
      <c r="HC181" s="675">
        <v>4.4138999999999998E-2</v>
      </c>
      <c r="HD181" s="675">
        <v>22447</v>
      </c>
      <c r="HE181" s="675">
        <v>0</v>
      </c>
      <c r="HF181" s="675">
        <v>139675</v>
      </c>
      <c r="HG181" s="675">
        <v>1232</v>
      </c>
      <c r="HH181" s="675">
        <v>0</v>
      </c>
      <c r="HI181" s="675">
        <v>0</v>
      </c>
      <c r="HJ181" s="675">
        <v>1236</v>
      </c>
      <c r="HK181" s="675">
        <v>0</v>
      </c>
      <c r="HL181" s="675">
        <v>0</v>
      </c>
      <c r="HM181" s="675">
        <v>0</v>
      </c>
      <c r="HN181" s="675">
        <v>0</v>
      </c>
      <c r="HO181" s="675">
        <v>0</v>
      </c>
      <c r="HP181" s="675">
        <v>0</v>
      </c>
      <c r="HQ181" s="675">
        <v>0</v>
      </c>
      <c r="HR181" s="675">
        <v>0</v>
      </c>
      <c r="HS181" s="675">
        <v>1299060</v>
      </c>
      <c r="HT181" s="675">
        <v>28486</v>
      </c>
      <c r="HU181" s="675">
        <v>0</v>
      </c>
      <c r="HV181" s="675">
        <v>0</v>
      </c>
      <c r="HW181" s="675">
        <v>0</v>
      </c>
      <c r="HX181" s="675">
        <v>11</v>
      </c>
      <c r="HY181" s="675">
        <v>10</v>
      </c>
      <c r="HZ181" s="675">
        <v>25</v>
      </c>
      <c r="IA181" s="675">
        <v>25</v>
      </c>
      <c r="IB181" s="675">
        <v>38</v>
      </c>
      <c r="IC181" s="675">
        <v>109</v>
      </c>
      <c r="ID181" s="675">
        <v>0</v>
      </c>
      <c r="IE181" s="675">
        <v>0</v>
      </c>
      <c r="IF181" s="675">
        <v>0</v>
      </c>
      <c r="IG181" s="675">
        <v>2</v>
      </c>
      <c r="IH181" s="675">
        <v>0</v>
      </c>
      <c r="II181" s="675">
        <v>0</v>
      </c>
      <c r="IJ181" s="675">
        <v>10.999000000000001</v>
      </c>
      <c r="IK181" s="675">
        <v>0</v>
      </c>
      <c r="IL181" s="675">
        <v>0</v>
      </c>
      <c r="IM181" s="675">
        <v>0</v>
      </c>
      <c r="IN181" s="675">
        <v>0</v>
      </c>
      <c r="IO181" s="675">
        <v>0</v>
      </c>
      <c r="IP181" s="675">
        <v>0</v>
      </c>
      <c r="IQ181" s="675">
        <v>10.999000000000001</v>
      </c>
      <c r="IR181" s="675">
        <v>6775</v>
      </c>
      <c r="IS181" s="675">
        <v>0</v>
      </c>
      <c r="IT181" s="675">
        <v>0</v>
      </c>
      <c r="IU181" s="675">
        <v>0</v>
      </c>
      <c r="IV181" s="675">
        <v>0</v>
      </c>
      <c r="IW181" s="675">
        <v>6160</v>
      </c>
      <c r="IX181" s="675">
        <v>0</v>
      </c>
      <c r="IY181" s="675">
        <v>0</v>
      </c>
      <c r="IZ181" s="675">
        <v>0</v>
      </c>
      <c r="JA181" s="675">
        <v>0</v>
      </c>
      <c r="JB181" s="675">
        <v>0</v>
      </c>
      <c r="JC181" s="675">
        <v>0</v>
      </c>
      <c r="JD181" s="675">
        <v>0</v>
      </c>
      <c r="JE181" s="675">
        <v>0</v>
      </c>
      <c r="JF181" s="675">
        <v>0</v>
      </c>
      <c r="JG181" s="675">
        <v>0</v>
      </c>
      <c r="JH181" s="675">
        <v>0</v>
      </c>
      <c r="JI181" s="675">
        <v>0</v>
      </c>
      <c r="JJ181" s="675">
        <v>0</v>
      </c>
      <c r="JK181" s="675">
        <v>0</v>
      </c>
      <c r="JL181" s="675">
        <v>0</v>
      </c>
      <c r="JM181" s="675">
        <v>0</v>
      </c>
      <c r="JN181" s="675">
        <v>32469</v>
      </c>
      <c r="JO181" s="675">
        <v>0</v>
      </c>
      <c r="JP181" s="675">
        <v>0</v>
      </c>
      <c r="JQ181" s="675">
        <v>0</v>
      </c>
      <c r="JR181" s="675">
        <v>0</v>
      </c>
      <c r="JS181" s="675">
        <v>0</v>
      </c>
      <c r="JT181" s="675">
        <v>0</v>
      </c>
      <c r="JU181" s="675">
        <v>0</v>
      </c>
      <c r="JV181" s="675">
        <v>0</v>
      </c>
      <c r="JW181" s="675">
        <v>0</v>
      </c>
      <c r="JX181" s="675">
        <v>0</v>
      </c>
      <c r="JY181" s="675">
        <v>0</v>
      </c>
      <c r="JZ181" s="675">
        <v>0</v>
      </c>
      <c r="KA181" s="675">
        <v>0</v>
      </c>
      <c r="KB181" s="675">
        <v>0</v>
      </c>
      <c r="KC181" s="675">
        <v>0</v>
      </c>
      <c r="KD181" s="675">
        <v>0</v>
      </c>
      <c r="KE181" s="675">
        <v>7263</v>
      </c>
      <c r="KF181" s="675">
        <v>0</v>
      </c>
      <c r="KG181" s="675">
        <v>0</v>
      </c>
      <c r="KH181" s="675">
        <v>0</v>
      </c>
      <c r="KI181" s="675">
        <v>0</v>
      </c>
    </row>
    <row r="182" spans="1:295" ht="12.5" x14ac:dyDescent="0.25">
      <c r="A182" s="675">
        <v>35795</v>
      </c>
      <c r="B182" s="675">
        <v>101872</v>
      </c>
      <c r="C182" s="675">
        <v>7</v>
      </c>
      <c r="D182" s="675">
        <v>2022</v>
      </c>
      <c r="E182" s="675">
        <v>6160</v>
      </c>
      <c r="F182" s="675">
        <v>0</v>
      </c>
      <c r="G182" s="675">
        <v>335.93200000000002</v>
      </c>
      <c r="H182" s="675">
        <v>333.36500000000001</v>
      </c>
      <c r="I182" s="675">
        <v>333.36500000000001</v>
      </c>
      <c r="J182" s="675">
        <v>335.93200000000002</v>
      </c>
      <c r="K182" s="675">
        <v>0</v>
      </c>
      <c r="L182" s="675">
        <v>6160</v>
      </c>
      <c r="M182" s="675">
        <v>0</v>
      </c>
      <c r="N182" s="675">
        <v>0</v>
      </c>
      <c r="O182" s="675">
        <v>0</v>
      </c>
      <c r="P182" s="675">
        <v>214.05</v>
      </c>
      <c r="Q182" s="675">
        <v>0</v>
      </c>
      <c r="R182" s="675">
        <v>86140</v>
      </c>
      <c r="S182" s="675">
        <v>402.428</v>
      </c>
      <c r="T182" s="675">
        <v>0</v>
      </c>
      <c r="U182" s="675">
        <v>45807</v>
      </c>
      <c r="V182" s="675">
        <v>188.44</v>
      </c>
      <c r="W182" s="675">
        <v>116079</v>
      </c>
      <c r="X182" s="675">
        <v>116079</v>
      </c>
      <c r="Y182" s="675">
        <v>0</v>
      </c>
      <c r="Z182" s="675">
        <v>0</v>
      </c>
      <c r="AA182" s="675">
        <v>0</v>
      </c>
      <c r="AB182" s="675">
        <v>0</v>
      </c>
      <c r="AC182" s="675">
        <v>0</v>
      </c>
      <c r="AD182" s="675" t="s">
        <v>316</v>
      </c>
      <c r="AE182" s="675">
        <v>0</v>
      </c>
      <c r="AF182" s="675">
        <v>0</v>
      </c>
      <c r="AG182" s="675">
        <v>0</v>
      </c>
      <c r="AH182" s="675">
        <v>0</v>
      </c>
      <c r="AI182" s="675">
        <v>0</v>
      </c>
      <c r="AJ182" s="675">
        <v>6160</v>
      </c>
      <c r="AK182" s="675" t="s">
        <v>671</v>
      </c>
      <c r="AL182" s="675" t="s">
        <v>443</v>
      </c>
      <c r="AM182" s="675">
        <v>0</v>
      </c>
      <c r="AN182" s="675">
        <v>0</v>
      </c>
      <c r="AO182" s="675">
        <v>0</v>
      </c>
      <c r="AP182" s="675">
        <v>0</v>
      </c>
      <c r="AQ182" s="675">
        <v>0</v>
      </c>
      <c r="AR182" s="675">
        <v>0</v>
      </c>
      <c r="AS182" s="675">
        <v>0</v>
      </c>
      <c r="AT182" s="675">
        <v>0</v>
      </c>
      <c r="AU182" s="675">
        <v>0</v>
      </c>
      <c r="AV182" s="675">
        <v>-3069</v>
      </c>
      <c r="AW182" s="675">
        <v>3804577</v>
      </c>
      <c r="AX182" s="675">
        <v>3746350</v>
      </c>
      <c r="AY182" s="675">
        <v>2444519</v>
      </c>
      <c r="AZ182" s="675">
        <v>86140</v>
      </c>
      <c r="BA182" s="675">
        <v>0</v>
      </c>
      <c r="BB182" s="675">
        <v>0</v>
      </c>
      <c r="BC182" s="675">
        <v>0</v>
      </c>
      <c r="BD182" s="675">
        <v>0</v>
      </c>
      <c r="BE182" s="675">
        <v>0</v>
      </c>
      <c r="BF182" s="675">
        <v>3381326</v>
      </c>
      <c r="BG182" s="675">
        <v>0</v>
      </c>
      <c r="BH182" s="675">
        <v>0</v>
      </c>
      <c r="BI182" s="675">
        <v>0</v>
      </c>
      <c r="BJ182" s="675">
        <v>12</v>
      </c>
      <c r="BK182" s="675">
        <v>0</v>
      </c>
      <c r="BL182" s="675">
        <v>0</v>
      </c>
      <c r="BM182" s="675">
        <v>0</v>
      </c>
      <c r="BN182" s="675">
        <v>0</v>
      </c>
      <c r="BO182" s="675">
        <v>0</v>
      </c>
      <c r="BP182" s="675">
        <v>0</v>
      </c>
      <c r="BQ182" s="675">
        <v>719</v>
      </c>
      <c r="BR182" s="675">
        <v>0</v>
      </c>
      <c r="BS182" s="675">
        <v>0</v>
      </c>
      <c r="BT182" s="675">
        <v>0</v>
      </c>
      <c r="BU182" s="675">
        <v>0</v>
      </c>
      <c r="BV182" s="675">
        <v>0</v>
      </c>
      <c r="BW182" s="675">
        <v>0</v>
      </c>
      <c r="BX182" s="675">
        <v>0</v>
      </c>
      <c r="BY182" s="675">
        <v>0</v>
      </c>
      <c r="BZ182" s="675">
        <v>0</v>
      </c>
      <c r="CA182" s="675">
        <v>0</v>
      </c>
      <c r="CB182" s="675">
        <v>0</v>
      </c>
      <c r="CC182" s="675">
        <v>0</v>
      </c>
      <c r="CD182" s="675">
        <v>0</v>
      </c>
      <c r="CE182" s="675">
        <v>0</v>
      </c>
      <c r="CF182" s="675">
        <v>0</v>
      </c>
      <c r="CG182" s="675">
        <v>0</v>
      </c>
      <c r="CH182" s="675">
        <v>59311</v>
      </c>
      <c r="CI182" s="675">
        <v>0</v>
      </c>
      <c r="CJ182" s="675">
        <v>5</v>
      </c>
      <c r="CK182" s="675">
        <v>0</v>
      </c>
      <c r="CL182" s="675">
        <v>0</v>
      </c>
      <c r="CM182" s="675">
        <v>0</v>
      </c>
      <c r="CN182" s="675">
        <v>0</v>
      </c>
      <c r="CO182" s="675">
        <v>1</v>
      </c>
      <c r="CP182" s="675">
        <v>0</v>
      </c>
      <c r="CQ182" s="675">
        <v>0</v>
      </c>
      <c r="CR182" s="675">
        <v>208.16900000000001</v>
      </c>
      <c r="CS182" s="675">
        <v>0</v>
      </c>
      <c r="CT182" s="675">
        <v>0</v>
      </c>
      <c r="CU182" s="675">
        <v>0</v>
      </c>
      <c r="CV182" s="675">
        <v>0</v>
      </c>
      <c r="CW182" s="675">
        <v>0</v>
      </c>
      <c r="CX182" s="675">
        <v>0</v>
      </c>
      <c r="CY182" s="675">
        <v>0</v>
      </c>
      <c r="CZ182" s="675">
        <v>0</v>
      </c>
      <c r="DA182" s="675">
        <v>0</v>
      </c>
      <c r="DB182" s="675">
        <v>2053519</v>
      </c>
      <c r="DC182" s="675">
        <v>0</v>
      </c>
      <c r="DD182" s="675">
        <v>0</v>
      </c>
      <c r="DE182" s="675">
        <v>551548</v>
      </c>
      <c r="DF182" s="675">
        <v>551548</v>
      </c>
      <c r="DG182" s="675">
        <v>89.538000000000011</v>
      </c>
      <c r="DH182" s="675">
        <v>0</v>
      </c>
      <c r="DI182" s="675">
        <v>0</v>
      </c>
      <c r="DJ182" s="675">
        <v>0</v>
      </c>
      <c r="DK182" s="675">
        <v>3121</v>
      </c>
      <c r="DL182" s="675">
        <v>0</v>
      </c>
      <c r="DM182" s="675">
        <v>288129</v>
      </c>
      <c r="DN182" s="675">
        <v>1084</v>
      </c>
      <c r="DO182" s="675">
        <v>0</v>
      </c>
      <c r="DP182" s="675">
        <v>0</v>
      </c>
      <c r="DQ182" s="675">
        <v>0</v>
      </c>
      <c r="DR182" s="675">
        <v>0</v>
      </c>
      <c r="DS182" s="675">
        <v>0</v>
      </c>
      <c r="DT182" s="675">
        <v>0</v>
      </c>
      <c r="DU182" s="675">
        <v>0</v>
      </c>
      <c r="DV182" s="675">
        <v>0</v>
      </c>
      <c r="DW182" s="675">
        <v>0</v>
      </c>
      <c r="DX182" s="675">
        <v>0</v>
      </c>
      <c r="DY182" s="675">
        <v>0</v>
      </c>
      <c r="DZ182" s="675">
        <v>0</v>
      </c>
      <c r="EA182" s="675">
        <v>0</v>
      </c>
      <c r="EB182" s="675">
        <v>0</v>
      </c>
      <c r="EC182" s="675">
        <v>33.582000000000001</v>
      </c>
      <c r="ED182" s="675">
        <v>237894</v>
      </c>
      <c r="EE182" s="675">
        <v>0</v>
      </c>
      <c r="EF182" s="675">
        <v>0</v>
      </c>
      <c r="EG182" s="675">
        <v>0</v>
      </c>
      <c r="EH182" s="675">
        <v>51319</v>
      </c>
      <c r="EI182" s="675">
        <v>0</v>
      </c>
      <c r="EJ182" s="675">
        <v>0</v>
      </c>
      <c r="EK182" s="675">
        <v>2.2520000000000002</v>
      </c>
      <c r="EL182" s="675">
        <v>0</v>
      </c>
      <c r="EM182" s="675">
        <v>0</v>
      </c>
      <c r="EN182" s="675">
        <v>0.315</v>
      </c>
      <c r="EO182" s="675">
        <v>0</v>
      </c>
      <c r="EP182" s="675">
        <v>0</v>
      </c>
      <c r="EQ182" s="675">
        <v>2.5670000000000002</v>
      </c>
      <c r="ER182" s="675">
        <v>0</v>
      </c>
      <c r="ES182" s="675">
        <v>8.3309999999999995</v>
      </c>
      <c r="ET182" s="675">
        <v>0</v>
      </c>
      <c r="EU182" s="675">
        <v>0</v>
      </c>
      <c r="EV182" s="675">
        <v>0</v>
      </c>
      <c r="EW182" s="675">
        <v>0</v>
      </c>
      <c r="EX182" s="675">
        <v>0</v>
      </c>
      <c r="EY182" s="675">
        <v>0</v>
      </c>
      <c r="EZ182" s="675">
        <v>3331262</v>
      </c>
      <c r="FA182" s="675">
        <v>0</v>
      </c>
      <c r="FB182" s="675">
        <v>3416318</v>
      </c>
      <c r="FC182" s="675">
        <v>0</v>
      </c>
      <c r="FD182" s="675">
        <v>0</v>
      </c>
      <c r="FE182" s="675">
        <v>343950</v>
      </c>
      <c r="FF182" s="675">
        <v>71138</v>
      </c>
      <c r="FG182" s="675">
        <v>6.3574999999999993E-2</v>
      </c>
      <c r="FH182" s="675">
        <v>2.6297999999999998E-2</v>
      </c>
      <c r="FI182" s="675">
        <v>0</v>
      </c>
      <c r="FJ182" s="675">
        <v>0</v>
      </c>
      <c r="FK182" s="675">
        <v>548.91899999999998</v>
      </c>
      <c r="FL182" s="675">
        <v>3890717</v>
      </c>
      <c r="FM182" s="675">
        <v>0</v>
      </c>
      <c r="FN182" s="675">
        <v>0</v>
      </c>
      <c r="FO182" s="675">
        <v>36076</v>
      </c>
      <c r="FP182" s="675">
        <v>0</v>
      </c>
      <c r="FQ182" s="675">
        <v>36076</v>
      </c>
      <c r="FR182" s="675">
        <v>36076</v>
      </c>
      <c r="FS182" s="675">
        <v>0</v>
      </c>
      <c r="FT182" s="675">
        <v>0</v>
      </c>
      <c r="FU182" s="675">
        <v>0</v>
      </c>
      <c r="FV182" s="675">
        <v>0</v>
      </c>
      <c r="FW182" s="675">
        <v>0</v>
      </c>
      <c r="FX182" s="675">
        <v>0</v>
      </c>
      <c r="FY182" s="675">
        <v>0</v>
      </c>
      <c r="FZ182" s="675">
        <v>0</v>
      </c>
      <c r="GA182" s="675">
        <v>0</v>
      </c>
      <c r="GB182" s="675">
        <v>0</v>
      </c>
      <c r="GC182" s="675">
        <v>0</v>
      </c>
      <c r="GD182" s="675">
        <v>0</v>
      </c>
      <c r="GE182" s="675">
        <v>0</v>
      </c>
      <c r="GF182" s="675">
        <v>0</v>
      </c>
      <c r="GG182" s="675">
        <v>0</v>
      </c>
      <c r="GH182" s="675">
        <v>0</v>
      </c>
      <c r="GI182" s="675">
        <v>0</v>
      </c>
      <c r="GJ182" s="675">
        <v>0</v>
      </c>
      <c r="GK182" s="675">
        <v>0</v>
      </c>
      <c r="GL182" s="675">
        <v>0</v>
      </c>
      <c r="GM182" s="675">
        <v>0</v>
      </c>
      <c r="GN182" s="675">
        <v>0</v>
      </c>
      <c r="GO182" s="675">
        <v>0</v>
      </c>
      <c r="GP182" s="675">
        <v>0</v>
      </c>
      <c r="GQ182" s="675">
        <v>0</v>
      </c>
      <c r="GR182" s="675">
        <v>0</v>
      </c>
      <c r="GS182" s="675">
        <v>0</v>
      </c>
      <c r="GT182" s="675">
        <v>0</v>
      </c>
      <c r="GU182" s="675">
        <v>0</v>
      </c>
      <c r="GV182" s="675">
        <v>0</v>
      </c>
      <c r="GW182" s="675">
        <v>0</v>
      </c>
      <c r="GX182" s="675">
        <v>0</v>
      </c>
      <c r="GY182" s="675">
        <v>0</v>
      </c>
      <c r="GZ182" s="675">
        <v>0</v>
      </c>
      <c r="HA182" s="675">
        <v>0</v>
      </c>
      <c r="HB182" s="675">
        <v>308877260</v>
      </c>
      <c r="HC182" s="675">
        <v>4.4138999999999998E-2</v>
      </c>
      <c r="HD182" s="675">
        <v>59311</v>
      </c>
      <c r="HE182" s="675">
        <v>0</v>
      </c>
      <c r="HF182" s="675">
        <v>367702</v>
      </c>
      <c r="HG182" s="675">
        <v>0</v>
      </c>
      <c r="HH182" s="675">
        <v>0</v>
      </c>
      <c r="HI182" s="675">
        <v>0</v>
      </c>
      <c r="HJ182" s="675">
        <v>3265</v>
      </c>
      <c r="HK182" s="675">
        <v>0</v>
      </c>
      <c r="HL182" s="675">
        <v>0</v>
      </c>
      <c r="HM182" s="675">
        <v>0</v>
      </c>
      <c r="HN182" s="675">
        <v>0</v>
      </c>
      <c r="HO182" s="675">
        <v>0</v>
      </c>
      <c r="HP182" s="675">
        <v>0</v>
      </c>
      <c r="HQ182" s="675">
        <v>0</v>
      </c>
      <c r="HR182" s="675">
        <v>0</v>
      </c>
      <c r="HS182" s="675">
        <v>3330178</v>
      </c>
      <c r="HT182" s="675">
        <v>71138</v>
      </c>
      <c r="HU182" s="675">
        <v>0</v>
      </c>
      <c r="HV182" s="675">
        <v>0</v>
      </c>
      <c r="HW182" s="675">
        <v>0</v>
      </c>
      <c r="HX182" s="675">
        <v>20</v>
      </c>
      <c r="HY182" s="675">
        <v>18</v>
      </c>
      <c r="HZ182" s="675">
        <v>54</v>
      </c>
      <c r="IA182" s="675">
        <v>75</v>
      </c>
      <c r="IB182" s="675">
        <v>173</v>
      </c>
      <c r="IC182" s="675">
        <v>340</v>
      </c>
      <c r="ID182" s="675">
        <v>0</v>
      </c>
      <c r="IE182" s="675">
        <v>0</v>
      </c>
      <c r="IF182" s="675">
        <v>0</v>
      </c>
      <c r="IG182" s="675">
        <v>0</v>
      </c>
      <c r="IH182" s="675">
        <v>0</v>
      </c>
      <c r="II182" s="675">
        <v>0</v>
      </c>
      <c r="IJ182" s="675">
        <v>188.44</v>
      </c>
      <c r="IK182" s="675">
        <v>0</v>
      </c>
      <c r="IL182" s="675">
        <v>0</v>
      </c>
      <c r="IM182" s="675">
        <v>0</v>
      </c>
      <c r="IN182" s="675">
        <v>0</v>
      </c>
      <c r="IO182" s="675">
        <v>0</v>
      </c>
      <c r="IP182" s="675">
        <v>0</v>
      </c>
      <c r="IQ182" s="675">
        <v>188.44</v>
      </c>
      <c r="IR182" s="675">
        <v>116079</v>
      </c>
      <c r="IS182" s="675">
        <v>0</v>
      </c>
      <c r="IT182" s="675">
        <v>0</v>
      </c>
      <c r="IU182" s="675">
        <v>0</v>
      </c>
      <c r="IV182" s="675">
        <v>0</v>
      </c>
      <c r="IW182" s="675">
        <v>6160</v>
      </c>
      <c r="IX182" s="675">
        <v>0</v>
      </c>
      <c r="IY182" s="675">
        <v>0</v>
      </c>
      <c r="IZ182" s="675">
        <v>0</v>
      </c>
      <c r="JA182" s="675">
        <v>0</v>
      </c>
      <c r="JB182" s="675">
        <v>0</v>
      </c>
      <c r="JC182" s="675">
        <v>0</v>
      </c>
      <c r="JD182" s="675">
        <v>0</v>
      </c>
      <c r="JE182" s="675">
        <v>0</v>
      </c>
      <c r="JF182" s="675">
        <v>0</v>
      </c>
      <c r="JG182" s="675">
        <v>0</v>
      </c>
      <c r="JH182" s="675">
        <v>0</v>
      </c>
      <c r="JI182" s="675">
        <v>0</v>
      </c>
      <c r="JJ182" s="675">
        <v>0</v>
      </c>
      <c r="JK182" s="675">
        <v>0</v>
      </c>
      <c r="JL182" s="675">
        <v>0</v>
      </c>
      <c r="JM182" s="675">
        <v>0</v>
      </c>
      <c r="JN182" s="675">
        <v>32469</v>
      </c>
      <c r="JO182" s="675">
        <v>0</v>
      </c>
      <c r="JP182" s="675">
        <v>0</v>
      </c>
      <c r="JQ182" s="675">
        <v>0</v>
      </c>
      <c r="JR182" s="675">
        <v>0</v>
      </c>
      <c r="JS182" s="675">
        <v>0</v>
      </c>
      <c r="JT182" s="675">
        <v>0</v>
      </c>
      <c r="JU182" s="675">
        <v>0</v>
      </c>
      <c r="JV182" s="675">
        <v>0</v>
      </c>
      <c r="JW182" s="675">
        <v>0</v>
      </c>
      <c r="JX182" s="675">
        <v>0</v>
      </c>
      <c r="JY182" s="675">
        <v>0</v>
      </c>
      <c r="JZ182" s="675">
        <v>0</v>
      </c>
      <c r="KA182" s="675">
        <v>0</v>
      </c>
      <c r="KB182" s="675">
        <v>0</v>
      </c>
      <c r="KC182" s="675">
        <v>0</v>
      </c>
      <c r="KD182" s="675">
        <v>0</v>
      </c>
      <c r="KE182" s="675">
        <v>7263</v>
      </c>
      <c r="KF182" s="675">
        <v>0</v>
      </c>
      <c r="KG182" s="675">
        <v>0</v>
      </c>
      <c r="KH182" s="675">
        <v>0</v>
      </c>
      <c r="KI182" s="675">
        <v>0</v>
      </c>
    </row>
    <row r="183" spans="1:295" ht="12.5" x14ac:dyDescent="0.25">
      <c r="A183" s="675">
        <v>35795</v>
      </c>
      <c r="B183" s="675">
        <v>101873</v>
      </c>
      <c r="C183" s="675">
        <v>7</v>
      </c>
      <c r="D183" s="675">
        <v>2022</v>
      </c>
      <c r="E183" s="675">
        <v>6160</v>
      </c>
      <c r="F183" s="675">
        <v>0</v>
      </c>
      <c r="G183" s="675">
        <v>139.316</v>
      </c>
      <c r="H183" s="675">
        <v>134.453</v>
      </c>
      <c r="I183" s="675">
        <v>134.453</v>
      </c>
      <c r="J183" s="675">
        <v>139.316</v>
      </c>
      <c r="K183" s="675">
        <v>0</v>
      </c>
      <c r="L183" s="675">
        <v>6160</v>
      </c>
      <c r="M183" s="675">
        <v>0</v>
      </c>
      <c r="N183" s="675">
        <v>0</v>
      </c>
      <c r="O183" s="675">
        <v>0</v>
      </c>
      <c r="P183" s="675">
        <v>204.542</v>
      </c>
      <c r="Q183" s="675">
        <v>0</v>
      </c>
      <c r="R183" s="675">
        <v>82313</v>
      </c>
      <c r="S183" s="675">
        <v>402.428</v>
      </c>
      <c r="T183" s="675">
        <v>0</v>
      </c>
      <c r="U183" s="675">
        <v>43773</v>
      </c>
      <c r="V183" s="675">
        <v>0</v>
      </c>
      <c r="W183" s="675">
        <v>0</v>
      </c>
      <c r="X183" s="675">
        <v>0</v>
      </c>
      <c r="Y183" s="675">
        <v>0</v>
      </c>
      <c r="Z183" s="675">
        <v>0</v>
      </c>
      <c r="AA183" s="675">
        <v>0</v>
      </c>
      <c r="AB183" s="675">
        <v>0</v>
      </c>
      <c r="AC183" s="675">
        <v>0</v>
      </c>
      <c r="AD183" s="675" t="s">
        <v>316</v>
      </c>
      <c r="AE183" s="675">
        <v>0</v>
      </c>
      <c r="AF183" s="675">
        <v>0</v>
      </c>
      <c r="AG183" s="675">
        <v>0</v>
      </c>
      <c r="AH183" s="675">
        <v>0</v>
      </c>
      <c r="AI183" s="675">
        <v>0</v>
      </c>
      <c r="AJ183" s="675">
        <v>6160</v>
      </c>
      <c r="AK183" s="675" t="s">
        <v>671</v>
      </c>
      <c r="AL183" s="675" t="s">
        <v>452</v>
      </c>
      <c r="AM183" s="675">
        <v>0</v>
      </c>
      <c r="AN183" s="675">
        <v>0</v>
      </c>
      <c r="AO183" s="675">
        <v>0</v>
      </c>
      <c r="AP183" s="675">
        <v>0</v>
      </c>
      <c r="AQ183" s="675">
        <v>0</v>
      </c>
      <c r="AR183" s="675">
        <v>0</v>
      </c>
      <c r="AS183" s="675">
        <v>0</v>
      </c>
      <c r="AT183" s="675">
        <v>0</v>
      </c>
      <c r="AU183" s="675">
        <v>0</v>
      </c>
      <c r="AV183" s="675">
        <v>-61246</v>
      </c>
      <c r="AW183" s="675">
        <v>1390922</v>
      </c>
      <c r="AX183" s="675">
        <v>1391259</v>
      </c>
      <c r="AY183" s="675">
        <v>953413</v>
      </c>
      <c r="AZ183" s="675">
        <v>82313</v>
      </c>
      <c r="BA183" s="675">
        <v>0</v>
      </c>
      <c r="BB183" s="675">
        <v>0</v>
      </c>
      <c r="BC183" s="675">
        <v>0</v>
      </c>
      <c r="BD183" s="675">
        <v>0</v>
      </c>
      <c r="BE183" s="675">
        <v>0</v>
      </c>
      <c r="BF183" s="675">
        <v>1312456</v>
      </c>
      <c r="BG183" s="675">
        <v>0</v>
      </c>
      <c r="BH183" s="675">
        <v>0</v>
      </c>
      <c r="BI183" s="675">
        <v>0</v>
      </c>
      <c r="BJ183" s="675">
        <v>12</v>
      </c>
      <c r="BK183" s="675">
        <v>0</v>
      </c>
      <c r="BL183" s="675">
        <v>0</v>
      </c>
      <c r="BM183" s="675">
        <v>0</v>
      </c>
      <c r="BN183" s="675">
        <v>0</v>
      </c>
      <c r="BO183" s="675">
        <v>0</v>
      </c>
      <c r="BP183" s="675">
        <v>0</v>
      </c>
      <c r="BQ183" s="675">
        <v>749</v>
      </c>
      <c r="BR183" s="675">
        <v>0</v>
      </c>
      <c r="BS183" s="675">
        <v>0</v>
      </c>
      <c r="BT183" s="675">
        <v>0</v>
      </c>
      <c r="BU183" s="675">
        <v>0</v>
      </c>
      <c r="BV183" s="675">
        <v>0</v>
      </c>
      <c r="BW183" s="675">
        <v>0</v>
      </c>
      <c r="BX183" s="675">
        <v>0</v>
      </c>
      <c r="BY183" s="675">
        <v>0</v>
      </c>
      <c r="BZ183" s="675">
        <v>0</v>
      </c>
      <c r="CA183" s="675">
        <v>0</v>
      </c>
      <c r="CB183" s="675">
        <v>0</v>
      </c>
      <c r="CC183" s="675">
        <v>0</v>
      </c>
      <c r="CD183" s="675">
        <v>0</v>
      </c>
      <c r="CE183" s="675">
        <v>0</v>
      </c>
      <c r="CF183" s="675">
        <v>0</v>
      </c>
      <c r="CG183" s="675">
        <v>0</v>
      </c>
      <c r="CH183" s="675">
        <v>0</v>
      </c>
      <c r="CI183" s="675">
        <v>0</v>
      </c>
      <c r="CJ183" s="675">
        <v>4</v>
      </c>
      <c r="CK183" s="675">
        <v>0</v>
      </c>
      <c r="CL183" s="675">
        <v>0</v>
      </c>
      <c r="CM183" s="675">
        <v>0</v>
      </c>
      <c r="CN183" s="675">
        <v>0</v>
      </c>
      <c r="CO183" s="675">
        <v>1</v>
      </c>
      <c r="CP183" s="675">
        <v>0</v>
      </c>
      <c r="CQ183" s="675">
        <v>0</v>
      </c>
      <c r="CR183" s="675">
        <v>200.76300000000001</v>
      </c>
      <c r="CS183" s="675">
        <v>0</v>
      </c>
      <c r="CT183" s="675">
        <v>0</v>
      </c>
      <c r="CU183" s="675">
        <v>0</v>
      </c>
      <c r="CV183" s="675">
        <v>0</v>
      </c>
      <c r="CW183" s="675">
        <v>0</v>
      </c>
      <c r="CX183" s="675">
        <v>0</v>
      </c>
      <c r="CY183" s="675">
        <v>0</v>
      </c>
      <c r="CZ183" s="675">
        <v>0</v>
      </c>
      <c r="DA183" s="675">
        <v>0</v>
      </c>
      <c r="DB183" s="675">
        <v>796801</v>
      </c>
      <c r="DC183" s="675">
        <v>0</v>
      </c>
      <c r="DD183" s="675">
        <v>0</v>
      </c>
      <c r="DE183" s="675">
        <v>243473</v>
      </c>
      <c r="DF183" s="675">
        <v>243473</v>
      </c>
      <c r="DG183" s="675">
        <v>39.524999999999999</v>
      </c>
      <c r="DH183" s="675">
        <v>0</v>
      </c>
      <c r="DI183" s="675">
        <v>0</v>
      </c>
      <c r="DJ183" s="675">
        <v>0</v>
      </c>
      <c r="DK183" s="675">
        <v>3611</v>
      </c>
      <c r="DL183" s="675">
        <v>0</v>
      </c>
      <c r="DM183" s="675">
        <v>120957</v>
      </c>
      <c r="DN183" s="675">
        <v>337</v>
      </c>
      <c r="DO183" s="675">
        <v>0</v>
      </c>
      <c r="DP183" s="675">
        <v>0</v>
      </c>
      <c r="DQ183" s="675">
        <v>0</v>
      </c>
      <c r="DR183" s="675">
        <v>0</v>
      </c>
      <c r="DS183" s="675">
        <v>0</v>
      </c>
      <c r="DT183" s="675">
        <v>0</v>
      </c>
      <c r="DU183" s="675">
        <v>0</v>
      </c>
      <c r="DV183" s="675">
        <v>0</v>
      </c>
      <c r="DW183" s="675">
        <v>0</v>
      </c>
      <c r="DX183" s="675">
        <v>0</v>
      </c>
      <c r="DY183" s="675">
        <v>0</v>
      </c>
      <c r="DZ183" s="675">
        <v>0</v>
      </c>
      <c r="EA183" s="675">
        <v>0</v>
      </c>
      <c r="EB183" s="675">
        <v>0</v>
      </c>
      <c r="EC183" s="675">
        <v>0</v>
      </c>
      <c r="ED183" s="675">
        <v>0</v>
      </c>
      <c r="EE183" s="675">
        <v>0</v>
      </c>
      <c r="EF183" s="675">
        <v>0</v>
      </c>
      <c r="EG183" s="675">
        <v>0</v>
      </c>
      <c r="EH183" s="675">
        <v>89868</v>
      </c>
      <c r="EI183" s="675">
        <v>0</v>
      </c>
      <c r="EJ183" s="675">
        <v>0</v>
      </c>
      <c r="EK183" s="675">
        <v>3.9430000000000001</v>
      </c>
      <c r="EL183" s="675">
        <v>0</v>
      </c>
      <c r="EM183" s="675">
        <v>0.92</v>
      </c>
      <c r="EN183" s="675">
        <v>0</v>
      </c>
      <c r="EO183" s="675">
        <v>0</v>
      </c>
      <c r="EP183" s="675">
        <v>0</v>
      </c>
      <c r="EQ183" s="675">
        <v>4.8630000000000004</v>
      </c>
      <c r="ER183" s="675">
        <v>0</v>
      </c>
      <c r="ES183" s="675">
        <v>14.589</v>
      </c>
      <c r="ET183" s="675">
        <v>0</v>
      </c>
      <c r="EU183" s="675">
        <v>0</v>
      </c>
      <c r="EV183" s="675">
        <v>0</v>
      </c>
      <c r="EW183" s="675">
        <v>0</v>
      </c>
      <c r="EX183" s="675">
        <v>0</v>
      </c>
      <c r="EY183" s="675">
        <v>0</v>
      </c>
      <c r="EZ183" s="675">
        <v>1230143</v>
      </c>
      <c r="FA183" s="675">
        <v>0</v>
      </c>
      <c r="FB183" s="675">
        <v>1312119</v>
      </c>
      <c r="FC183" s="675">
        <v>0</v>
      </c>
      <c r="FD183" s="675">
        <v>0</v>
      </c>
      <c r="FE183" s="675">
        <v>133504</v>
      </c>
      <c r="FF183" s="675">
        <v>27612</v>
      </c>
      <c r="FG183" s="675">
        <v>6.3574999999999993E-2</v>
      </c>
      <c r="FH183" s="675">
        <v>2.6297999999999998E-2</v>
      </c>
      <c r="FI183" s="675">
        <v>0</v>
      </c>
      <c r="FJ183" s="675">
        <v>0</v>
      </c>
      <c r="FK183" s="675">
        <v>213.06200000000001</v>
      </c>
      <c r="FL183" s="675">
        <v>1473235</v>
      </c>
      <c r="FM183" s="675">
        <v>0</v>
      </c>
      <c r="FN183" s="675">
        <v>0</v>
      </c>
      <c r="FO183" s="675">
        <v>0</v>
      </c>
      <c r="FP183" s="675">
        <v>0</v>
      </c>
      <c r="FQ183" s="675">
        <v>0</v>
      </c>
      <c r="FR183" s="675">
        <v>0</v>
      </c>
      <c r="FS183" s="675">
        <v>0</v>
      </c>
      <c r="FT183" s="675">
        <v>0</v>
      </c>
      <c r="FU183" s="675">
        <v>0</v>
      </c>
      <c r="FV183" s="675">
        <v>0</v>
      </c>
      <c r="FW183" s="675">
        <v>0</v>
      </c>
      <c r="FX183" s="675">
        <v>0</v>
      </c>
      <c r="FY183" s="675">
        <v>0</v>
      </c>
      <c r="FZ183" s="675">
        <v>0</v>
      </c>
      <c r="GA183" s="675">
        <v>0</v>
      </c>
      <c r="GB183" s="675">
        <v>0</v>
      </c>
      <c r="GC183" s="675">
        <v>0</v>
      </c>
      <c r="GD183" s="675">
        <v>0</v>
      </c>
      <c r="GE183" s="675">
        <v>0</v>
      </c>
      <c r="GF183" s="675">
        <v>0</v>
      </c>
      <c r="GG183" s="675">
        <v>0</v>
      </c>
      <c r="GH183" s="675">
        <v>0</v>
      </c>
      <c r="GI183" s="675">
        <v>0</v>
      </c>
      <c r="GJ183" s="675">
        <v>0</v>
      </c>
      <c r="GK183" s="675">
        <v>0</v>
      </c>
      <c r="GL183" s="675">
        <v>0</v>
      </c>
      <c r="GM183" s="675">
        <v>0</v>
      </c>
      <c r="GN183" s="675">
        <v>0</v>
      </c>
      <c r="GO183" s="675">
        <v>0</v>
      </c>
      <c r="GP183" s="675">
        <v>0</v>
      </c>
      <c r="GQ183" s="675">
        <v>0</v>
      </c>
      <c r="GR183" s="675">
        <v>0</v>
      </c>
      <c r="GS183" s="675">
        <v>0</v>
      </c>
      <c r="GT183" s="675">
        <v>0</v>
      </c>
      <c r="GU183" s="675">
        <v>0</v>
      </c>
      <c r="GV183" s="675">
        <v>0</v>
      </c>
      <c r="GW183" s="675">
        <v>0</v>
      </c>
      <c r="GX183" s="675">
        <v>0</v>
      </c>
      <c r="GY183" s="675">
        <v>0</v>
      </c>
      <c r="GZ183" s="675">
        <v>0</v>
      </c>
      <c r="HA183" s="675">
        <v>0</v>
      </c>
      <c r="HB183" s="675">
        <v>0</v>
      </c>
      <c r="HC183" s="675">
        <v>4.4138999999999998E-2</v>
      </c>
      <c r="HD183" s="675">
        <v>0</v>
      </c>
      <c r="HE183" s="675">
        <v>0</v>
      </c>
      <c r="HF183" s="675">
        <v>148302</v>
      </c>
      <c r="HG183" s="675">
        <v>1232</v>
      </c>
      <c r="HH183" s="675">
        <v>0</v>
      </c>
      <c r="HI183" s="675">
        <v>0</v>
      </c>
      <c r="HJ183" s="675">
        <v>1354</v>
      </c>
      <c r="HK183" s="675">
        <v>0</v>
      </c>
      <c r="HL183" s="675">
        <v>0</v>
      </c>
      <c r="HM183" s="675">
        <v>0</v>
      </c>
      <c r="HN183" s="675">
        <v>0</v>
      </c>
      <c r="HO183" s="675">
        <v>0</v>
      </c>
      <c r="HP183" s="675">
        <v>0</v>
      </c>
      <c r="HQ183" s="675">
        <v>0</v>
      </c>
      <c r="HR183" s="675">
        <v>0</v>
      </c>
      <c r="HS183" s="675">
        <v>1229806</v>
      </c>
      <c r="HT183" s="675">
        <v>27612</v>
      </c>
      <c r="HU183" s="675">
        <v>0</v>
      </c>
      <c r="HV183" s="675">
        <v>0</v>
      </c>
      <c r="HW183" s="675">
        <v>0</v>
      </c>
      <c r="HX183" s="675">
        <v>13</v>
      </c>
      <c r="HY183" s="675">
        <v>12</v>
      </c>
      <c r="HZ183" s="675">
        <v>22</v>
      </c>
      <c r="IA183" s="675">
        <v>28</v>
      </c>
      <c r="IB183" s="675">
        <v>76</v>
      </c>
      <c r="IC183" s="675">
        <v>151</v>
      </c>
      <c r="ID183" s="675">
        <v>0</v>
      </c>
      <c r="IE183" s="675">
        <v>0</v>
      </c>
      <c r="IF183" s="675">
        <v>0</v>
      </c>
      <c r="IG183" s="675">
        <v>2</v>
      </c>
      <c r="IH183" s="675">
        <v>0</v>
      </c>
      <c r="II183" s="675">
        <v>0</v>
      </c>
      <c r="IJ183" s="675">
        <v>0</v>
      </c>
      <c r="IK183" s="675">
        <v>0</v>
      </c>
      <c r="IL183" s="675">
        <v>0</v>
      </c>
      <c r="IM183" s="675">
        <v>0</v>
      </c>
      <c r="IN183" s="675">
        <v>0</v>
      </c>
      <c r="IO183" s="675">
        <v>0</v>
      </c>
      <c r="IP183" s="675">
        <v>0</v>
      </c>
      <c r="IQ183" s="675">
        <v>0</v>
      </c>
      <c r="IR183" s="675">
        <v>0</v>
      </c>
      <c r="IS183" s="675">
        <v>0</v>
      </c>
      <c r="IT183" s="675">
        <v>0</v>
      </c>
      <c r="IU183" s="675">
        <v>0</v>
      </c>
      <c r="IV183" s="675">
        <v>0</v>
      </c>
      <c r="IW183" s="675">
        <v>6160</v>
      </c>
      <c r="IX183" s="675">
        <v>0</v>
      </c>
      <c r="IY183" s="675">
        <v>0</v>
      </c>
      <c r="IZ183" s="675">
        <v>0</v>
      </c>
      <c r="JA183" s="675">
        <v>0</v>
      </c>
      <c r="JB183" s="675">
        <v>0</v>
      </c>
      <c r="JC183" s="675">
        <v>0</v>
      </c>
      <c r="JD183" s="675">
        <v>0</v>
      </c>
      <c r="JE183" s="675">
        <v>0</v>
      </c>
      <c r="JF183" s="675">
        <v>0</v>
      </c>
      <c r="JG183" s="675">
        <v>0</v>
      </c>
      <c r="JH183" s="675">
        <v>0</v>
      </c>
      <c r="JI183" s="675">
        <v>0</v>
      </c>
      <c r="JJ183" s="675">
        <v>0</v>
      </c>
      <c r="JK183" s="675">
        <v>0</v>
      </c>
      <c r="JL183" s="675">
        <v>0</v>
      </c>
      <c r="JM183" s="675">
        <v>0</v>
      </c>
      <c r="JN183" s="675">
        <v>32469</v>
      </c>
      <c r="JO183" s="675">
        <v>0</v>
      </c>
      <c r="JP183" s="675">
        <v>0</v>
      </c>
      <c r="JQ183" s="675">
        <v>0</v>
      </c>
      <c r="JR183" s="675">
        <v>0</v>
      </c>
      <c r="JS183" s="675">
        <v>0</v>
      </c>
      <c r="JT183" s="675">
        <v>0</v>
      </c>
      <c r="JU183" s="675">
        <v>0</v>
      </c>
      <c r="JV183" s="675">
        <v>0</v>
      </c>
      <c r="JW183" s="675">
        <v>0</v>
      </c>
      <c r="JX183" s="675">
        <v>0</v>
      </c>
      <c r="JY183" s="675">
        <v>0</v>
      </c>
      <c r="JZ183" s="675">
        <v>0</v>
      </c>
      <c r="KA183" s="675">
        <v>0</v>
      </c>
      <c r="KB183" s="675">
        <v>0</v>
      </c>
      <c r="KC183" s="675">
        <v>0</v>
      </c>
      <c r="KD183" s="675">
        <v>0</v>
      </c>
      <c r="KE183" s="675">
        <v>7263</v>
      </c>
      <c r="KF183" s="675">
        <v>0</v>
      </c>
      <c r="KG183" s="675">
        <v>0</v>
      </c>
      <c r="KH183" s="675">
        <v>0</v>
      </c>
      <c r="KI183" s="675">
        <v>0</v>
      </c>
    </row>
    <row r="184" spans="1:295" ht="12.5" x14ac:dyDescent="0.25">
      <c r="A184" s="675">
        <v>35795</v>
      </c>
      <c r="B184" s="675">
        <v>101874</v>
      </c>
      <c r="C184" s="675">
        <v>7</v>
      </c>
      <c r="D184" s="675">
        <v>2022</v>
      </c>
      <c r="E184" s="675">
        <v>6160</v>
      </c>
      <c r="F184" s="675">
        <v>0</v>
      </c>
      <c r="G184" s="675">
        <v>325.226</v>
      </c>
      <c r="H184" s="675">
        <v>285.226</v>
      </c>
      <c r="I184" s="675">
        <v>285.226</v>
      </c>
      <c r="J184" s="675">
        <v>325.226</v>
      </c>
      <c r="K184" s="675">
        <v>0</v>
      </c>
      <c r="L184" s="675">
        <v>6160</v>
      </c>
      <c r="M184" s="675">
        <v>0</v>
      </c>
      <c r="N184" s="675">
        <v>0</v>
      </c>
      <c r="O184" s="675">
        <v>0</v>
      </c>
      <c r="P184" s="675">
        <v>346.89699999999999</v>
      </c>
      <c r="Q184" s="675">
        <v>0</v>
      </c>
      <c r="R184" s="675">
        <v>139601</v>
      </c>
      <c r="S184" s="675">
        <v>402.428</v>
      </c>
      <c r="T184" s="675">
        <v>0</v>
      </c>
      <c r="U184" s="675">
        <v>74237</v>
      </c>
      <c r="V184" s="675">
        <v>6.3E-2</v>
      </c>
      <c r="W184" s="675">
        <v>39</v>
      </c>
      <c r="X184" s="675">
        <v>39</v>
      </c>
      <c r="Y184" s="675">
        <v>0</v>
      </c>
      <c r="Z184" s="675">
        <v>0</v>
      </c>
      <c r="AA184" s="675">
        <v>0</v>
      </c>
      <c r="AB184" s="675">
        <v>0</v>
      </c>
      <c r="AC184" s="675">
        <v>0</v>
      </c>
      <c r="AD184" s="675" t="s">
        <v>316</v>
      </c>
      <c r="AE184" s="675">
        <v>0</v>
      </c>
      <c r="AF184" s="675">
        <v>0</v>
      </c>
      <c r="AG184" s="675">
        <v>0</v>
      </c>
      <c r="AH184" s="675">
        <v>0</v>
      </c>
      <c r="AI184" s="675">
        <v>0</v>
      </c>
      <c r="AJ184" s="675">
        <v>6160</v>
      </c>
      <c r="AK184" s="675" t="s">
        <v>671</v>
      </c>
      <c r="AL184" s="675" t="s">
        <v>445</v>
      </c>
      <c r="AM184" s="675">
        <v>0</v>
      </c>
      <c r="AN184" s="675">
        <v>0</v>
      </c>
      <c r="AO184" s="675">
        <v>0</v>
      </c>
      <c r="AP184" s="675">
        <v>0</v>
      </c>
      <c r="AQ184" s="675">
        <v>0</v>
      </c>
      <c r="AR184" s="675">
        <v>0</v>
      </c>
      <c r="AS184" s="675">
        <v>0</v>
      </c>
      <c r="AT184" s="675">
        <v>0</v>
      </c>
      <c r="AU184" s="675">
        <v>0</v>
      </c>
      <c r="AV184" s="675">
        <v>0</v>
      </c>
      <c r="AW184" s="675">
        <v>3178944</v>
      </c>
      <c r="AX184" s="675">
        <v>3179326</v>
      </c>
      <c r="AY184" s="675">
        <v>2116496</v>
      </c>
      <c r="AZ184" s="675">
        <v>139601</v>
      </c>
      <c r="BA184" s="675">
        <v>0</v>
      </c>
      <c r="BB184" s="675">
        <v>0</v>
      </c>
      <c r="BC184" s="675">
        <v>0</v>
      </c>
      <c r="BD184" s="675">
        <v>0</v>
      </c>
      <c r="BE184" s="675">
        <v>0</v>
      </c>
      <c r="BF184" s="675">
        <v>2952832</v>
      </c>
      <c r="BG184" s="675">
        <v>0</v>
      </c>
      <c r="BH184" s="675">
        <v>0</v>
      </c>
      <c r="BI184" s="675">
        <v>0</v>
      </c>
      <c r="BJ184" s="675">
        <v>12</v>
      </c>
      <c r="BK184" s="675">
        <v>0</v>
      </c>
      <c r="BL184" s="675">
        <v>0</v>
      </c>
      <c r="BM184" s="675">
        <v>0</v>
      </c>
      <c r="BN184" s="675">
        <v>0</v>
      </c>
      <c r="BO184" s="675">
        <v>0</v>
      </c>
      <c r="BP184" s="675">
        <v>0</v>
      </c>
      <c r="BQ184" s="675">
        <v>726</v>
      </c>
      <c r="BR184" s="675">
        <v>0</v>
      </c>
      <c r="BS184" s="675">
        <v>0</v>
      </c>
      <c r="BT184" s="675">
        <v>0</v>
      </c>
      <c r="BU184" s="675">
        <v>0</v>
      </c>
      <c r="BV184" s="675">
        <v>0</v>
      </c>
      <c r="BW184" s="675">
        <v>0</v>
      </c>
      <c r="BX184" s="675">
        <v>0</v>
      </c>
      <c r="BY184" s="675">
        <v>0</v>
      </c>
      <c r="BZ184" s="675">
        <v>0</v>
      </c>
      <c r="CA184" s="675">
        <v>0</v>
      </c>
      <c r="CB184" s="675">
        <v>0</v>
      </c>
      <c r="CC184" s="675">
        <v>0</v>
      </c>
      <c r="CD184" s="675">
        <v>0</v>
      </c>
      <c r="CE184" s="675">
        <v>0</v>
      </c>
      <c r="CF184" s="675">
        <v>0</v>
      </c>
      <c r="CG184" s="675">
        <v>0</v>
      </c>
      <c r="CH184" s="675">
        <v>0</v>
      </c>
      <c r="CI184" s="675">
        <v>0</v>
      </c>
      <c r="CJ184" s="675">
        <v>4</v>
      </c>
      <c r="CK184" s="675">
        <v>0</v>
      </c>
      <c r="CL184" s="675">
        <v>0</v>
      </c>
      <c r="CM184" s="675">
        <v>0</v>
      </c>
      <c r="CN184" s="675">
        <v>0</v>
      </c>
      <c r="CO184" s="675">
        <v>1</v>
      </c>
      <c r="CP184" s="675">
        <v>0</v>
      </c>
      <c r="CQ184" s="675">
        <v>0</v>
      </c>
      <c r="CR184" s="675">
        <v>358.99600000000004</v>
      </c>
      <c r="CS184" s="675">
        <v>0</v>
      </c>
      <c r="CT184" s="675">
        <v>0</v>
      </c>
      <c r="CU184" s="675">
        <v>0</v>
      </c>
      <c r="CV184" s="675">
        <v>0</v>
      </c>
      <c r="CW184" s="675">
        <v>0</v>
      </c>
      <c r="CX184" s="675">
        <v>0</v>
      </c>
      <c r="CY184" s="675">
        <v>0</v>
      </c>
      <c r="CZ184" s="675">
        <v>0</v>
      </c>
      <c r="DA184" s="675">
        <v>0</v>
      </c>
      <c r="DB184" s="675">
        <v>1710520</v>
      </c>
      <c r="DC184" s="675">
        <v>0</v>
      </c>
      <c r="DD184" s="675">
        <v>0</v>
      </c>
      <c r="DE184" s="675">
        <v>387077</v>
      </c>
      <c r="DF184" s="675">
        <v>387077</v>
      </c>
      <c r="DG184" s="675">
        <v>62.838000000000001</v>
      </c>
      <c r="DH184" s="675">
        <v>0</v>
      </c>
      <c r="DI184" s="675">
        <v>0</v>
      </c>
      <c r="DJ184" s="675">
        <v>0</v>
      </c>
      <c r="DK184" s="675">
        <v>3240</v>
      </c>
      <c r="DL184" s="675">
        <v>0</v>
      </c>
      <c r="DM184" s="675">
        <v>148141</v>
      </c>
      <c r="DN184" s="675">
        <v>382</v>
      </c>
      <c r="DO184" s="675">
        <v>0</v>
      </c>
      <c r="DP184" s="675">
        <v>0</v>
      </c>
      <c r="DQ184" s="675">
        <v>0</v>
      </c>
      <c r="DR184" s="675">
        <v>0</v>
      </c>
      <c r="DS184" s="675">
        <v>0</v>
      </c>
      <c r="DT184" s="675">
        <v>0</v>
      </c>
      <c r="DU184" s="675">
        <v>0</v>
      </c>
      <c r="DV184" s="675">
        <v>0</v>
      </c>
      <c r="DW184" s="675">
        <v>0</v>
      </c>
      <c r="DX184" s="675">
        <v>0</v>
      </c>
      <c r="DY184" s="675">
        <v>0</v>
      </c>
      <c r="DZ184" s="675">
        <v>0</v>
      </c>
      <c r="EA184" s="675">
        <v>0</v>
      </c>
      <c r="EB184" s="675">
        <v>0</v>
      </c>
      <c r="EC184" s="675">
        <v>14.407</v>
      </c>
      <c r="ED184" s="675">
        <v>102059</v>
      </c>
      <c r="EE184" s="675">
        <v>0</v>
      </c>
      <c r="EF184" s="675">
        <v>0</v>
      </c>
      <c r="EG184" s="675">
        <v>0</v>
      </c>
      <c r="EH184" s="675">
        <v>0</v>
      </c>
      <c r="EI184" s="675">
        <v>0</v>
      </c>
      <c r="EJ184" s="675">
        <v>0</v>
      </c>
      <c r="EK184" s="675">
        <v>0</v>
      </c>
      <c r="EL184" s="675">
        <v>0</v>
      </c>
      <c r="EM184" s="675">
        <v>0</v>
      </c>
      <c r="EN184" s="675">
        <v>0</v>
      </c>
      <c r="EO184" s="675">
        <v>0</v>
      </c>
      <c r="EP184" s="675">
        <v>0</v>
      </c>
      <c r="EQ184" s="675">
        <v>0</v>
      </c>
      <c r="ER184" s="675">
        <v>0</v>
      </c>
      <c r="ES184" s="675">
        <v>0</v>
      </c>
      <c r="ET184" s="675">
        <v>0</v>
      </c>
      <c r="EU184" s="675">
        <v>0</v>
      </c>
      <c r="EV184" s="675">
        <v>0</v>
      </c>
      <c r="EW184" s="675">
        <v>0</v>
      </c>
      <c r="EX184" s="675">
        <v>0</v>
      </c>
      <c r="EY184" s="675">
        <v>0</v>
      </c>
      <c r="EZ184" s="675">
        <v>2816840</v>
      </c>
      <c r="FA184" s="675">
        <v>0</v>
      </c>
      <c r="FB184" s="675">
        <v>2956059</v>
      </c>
      <c r="FC184" s="675">
        <v>0</v>
      </c>
      <c r="FD184" s="675">
        <v>0</v>
      </c>
      <c r="FE184" s="675">
        <v>300363</v>
      </c>
      <c r="FF184" s="675">
        <v>62123</v>
      </c>
      <c r="FG184" s="675">
        <v>6.3574999999999993E-2</v>
      </c>
      <c r="FH184" s="675">
        <v>2.6297999999999998E-2</v>
      </c>
      <c r="FI184" s="675">
        <v>0</v>
      </c>
      <c r="FJ184" s="675">
        <v>0</v>
      </c>
      <c r="FK184" s="675">
        <v>479.358</v>
      </c>
      <c r="FL184" s="675">
        <v>3318545</v>
      </c>
      <c r="FM184" s="675">
        <v>0</v>
      </c>
      <c r="FN184" s="675">
        <v>0</v>
      </c>
      <c r="FO184" s="675">
        <v>0</v>
      </c>
      <c r="FP184" s="675">
        <v>0</v>
      </c>
      <c r="FQ184" s="675">
        <v>0</v>
      </c>
      <c r="FR184" s="675">
        <v>0</v>
      </c>
      <c r="FS184" s="675">
        <v>0</v>
      </c>
      <c r="FT184" s="675">
        <v>0</v>
      </c>
      <c r="FU184" s="675">
        <v>0</v>
      </c>
      <c r="FV184" s="675">
        <v>0</v>
      </c>
      <c r="FW184" s="675">
        <v>0</v>
      </c>
      <c r="FX184" s="675">
        <v>0</v>
      </c>
      <c r="FY184" s="675">
        <v>0</v>
      </c>
      <c r="FZ184" s="675">
        <v>0</v>
      </c>
      <c r="GA184" s="675">
        <v>0</v>
      </c>
      <c r="GB184" s="675">
        <v>384417</v>
      </c>
      <c r="GC184" s="675">
        <v>384417</v>
      </c>
      <c r="GD184" s="675">
        <v>40</v>
      </c>
      <c r="GE184" s="675">
        <v>0</v>
      </c>
      <c r="GF184" s="675">
        <v>0</v>
      </c>
      <c r="GG184" s="675">
        <v>0</v>
      </c>
      <c r="GH184" s="675">
        <v>0</v>
      </c>
      <c r="GI184" s="675">
        <v>0</v>
      </c>
      <c r="GJ184" s="675">
        <v>0</v>
      </c>
      <c r="GK184" s="675">
        <v>0</v>
      </c>
      <c r="GL184" s="675">
        <v>0</v>
      </c>
      <c r="GM184" s="675">
        <v>0</v>
      </c>
      <c r="GN184" s="675">
        <v>0</v>
      </c>
      <c r="GO184" s="675">
        <v>0</v>
      </c>
      <c r="GP184" s="675">
        <v>0</v>
      </c>
      <c r="GQ184" s="675">
        <v>0</v>
      </c>
      <c r="GR184" s="675">
        <v>0</v>
      </c>
      <c r="GS184" s="675">
        <v>0</v>
      </c>
      <c r="GT184" s="675">
        <v>0</v>
      </c>
      <c r="GU184" s="675">
        <v>0</v>
      </c>
      <c r="GV184" s="675">
        <v>0</v>
      </c>
      <c r="GW184" s="675">
        <v>0</v>
      </c>
      <c r="GX184" s="675">
        <v>0</v>
      </c>
      <c r="GY184" s="675">
        <v>0</v>
      </c>
      <c r="GZ184" s="675">
        <v>0</v>
      </c>
      <c r="HA184" s="675">
        <v>0</v>
      </c>
      <c r="HB184" s="675">
        <v>0</v>
      </c>
      <c r="HC184" s="675">
        <v>4.4138999999999998E-2</v>
      </c>
      <c r="HD184" s="675">
        <v>0</v>
      </c>
      <c r="HE184" s="675">
        <v>0</v>
      </c>
      <c r="HF184" s="675">
        <v>314604</v>
      </c>
      <c r="HG184" s="675">
        <v>4491</v>
      </c>
      <c r="HH184" s="675">
        <v>0</v>
      </c>
      <c r="HI184" s="675">
        <v>0</v>
      </c>
      <c r="HJ184" s="675">
        <v>3161</v>
      </c>
      <c r="HK184" s="675">
        <v>3213</v>
      </c>
      <c r="HL184" s="675">
        <v>396</v>
      </c>
      <c r="HM184" s="675">
        <v>0</v>
      </c>
      <c r="HN184" s="675">
        <v>0</v>
      </c>
      <c r="HO184" s="675">
        <v>0</v>
      </c>
      <c r="HP184" s="675">
        <v>0</v>
      </c>
      <c r="HQ184" s="675">
        <v>0</v>
      </c>
      <c r="HR184" s="675">
        <v>0</v>
      </c>
      <c r="HS184" s="675">
        <v>2816458</v>
      </c>
      <c r="HT184" s="675">
        <v>62123</v>
      </c>
      <c r="HU184" s="675">
        <v>0</v>
      </c>
      <c r="HV184" s="675">
        <v>0</v>
      </c>
      <c r="HW184" s="675">
        <v>0</v>
      </c>
      <c r="HX184" s="675">
        <v>59</v>
      </c>
      <c r="HY184" s="675">
        <v>71</v>
      </c>
      <c r="HZ184" s="675">
        <v>59</v>
      </c>
      <c r="IA184" s="675">
        <v>38</v>
      </c>
      <c r="IB184" s="675">
        <v>29</v>
      </c>
      <c r="IC184" s="675">
        <v>256</v>
      </c>
      <c r="ID184" s="675">
        <v>0</v>
      </c>
      <c r="IE184" s="675">
        <v>0</v>
      </c>
      <c r="IF184" s="675">
        <v>0</v>
      </c>
      <c r="IG184" s="675">
        <v>7.2910000000000004</v>
      </c>
      <c r="IH184" s="675">
        <v>0</v>
      </c>
      <c r="II184" s="675">
        <v>0</v>
      </c>
      <c r="IJ184" s="675">
        <v>6.3E-2</v>
      </c>
      <c r="IK184" s="675">
        <v>0</v>
      </c>
      <c r="IL184" s="675">
        <v>0</v>
      </c>
      <c r="IM184" s="675">
        <v>0</v>
      </c>
      <c r="IN184" s="675">
        <v>0</v>
      </c>
      <c r="IO184" s="675">
        <v>0</v>
      </c>
      <c r="IP184" s="675">
        <v>0</v>
      </c>
      <c r="IQ184" s="675">
        <v>6.3E-2</v>
      </c>
      <c r="IR184" s="675">
        <v>39</v>
      </c>
      <c r="IS184" s="675">
        <v>0</v>
      </c>
      <c r="IT184" s="675">
        <v>0</v>
      </c>
      <c r="IU184" s="675">
        <v>0</v>
      </c>
      <c r="IV184" s="675">
        <v>0</v>
      </c>
      <c r="IW184" s="675">
        <v>6160</v>
      </c>
      <c r="IX184" s="675">
        <v>0</v>
      </c>
      <c r="IY184" s="675">
        <v>0</v>
      </c>
      <c r="IZ184" s="675">
        <v>0</v>
      </c>
      <c r="JA184" s="675">
        <v>0</v>
      </c>
      <c r="JB184" s="675">
        <v>0</v>
      </c>
      <c r="JC184" s="675">
        <v>0</v>
      </c>
      <c r="JD184" s="675">
        <v>0</v>
      </c>
      <c r="JE184" s="675">
        <v>0</v>
      </c>
      <c r="JF184" s="675">
        <v>0</v>
      </c>
      <c r="JG184" s="675">
        <v>0</v>
      </c>
      <c r="JH184" s="675">
        <v>0</v>
      </c>
      <c r="JI184" s="675">
        <v>0</v>
      </c>
      <c r="JJ184" s="675">
        <v>0</v>
      </c>
      <c r="JK184" s="675">
        <v>0</v>
      </c>
      <c r="JL184" s="675">
        <v>0</v>
      </c>
      <c r="JM184" s="675">
        <v>0</v>
      </c>
      <c r="JN184" s="675">
        <v>32469</v>
      </c>
      <c r="JO184" s="675">
        <v>0</v>
      </c>
      <c r="JP184" s="675">
        <v>30.904</v>
      </c>
      <c r="JQ184" s="675">
        <v>9.0960000000000001</v>
      </c>
      <c r="JR184" s="675">
        <v>0</v>
      </c>
      <c r="JS184" s="675">
        <v>287303</v>
      </c>
      <c r="JT184" s="675">
        <v>97114</v>
      </c>
      <c r="JU184" s="675">
        <v>0</v>
      </c>
      <c r="JV184" s="675">
        <v>0</v>
      </c>
      <c r="JW184" s="675">
        <v>0</v>
      </c>
      <c r="JX184" s="675">
        <v>0</v>
      </c>
      <c r="JY184" s="675">
        <v>0</v>
      </c>
      <c r="JZ184" s="675">
        <v>0</v>
      </c>
      <c r="KA184" s="675">
        <v>0</v>
      </c>
      <c r="KB184" s="675">
        <v>0</v>
      </c>
      <c r="KC184" s="675">
        <v>0</v>
      </c>
      <c r="KD184" s="675">
        <v>0</v>
      </c>
      <c r="KE184" s="675">
        <v>7263</v>
      </c>
      <c r="KF184" s="675">
        <v>0</v>
      </c>
      <c r="KG184" s="675">
        <v>0</v>
      </c>
      <c r="KH184" s="675">
        <v>0</v>
      </c>
      <c r="KI184" s="675">
        <v>0</v>
      </c>
    </row>
    <row r="185" spans="1:295" ht="12.5" x14ac:dyDescent="0.25">
      <c r="A185" s="675">
        <v>35795</v>
      </c>
      <c r="B185" s="675">
        <v>101875</v>
      </c>
      <c r="C185" s="675">
        <v>7</v>
      </c>
      <c r="D185" s="675">
        <v>2022</v>
      </c>
      <c r="E185" s="675">
        <v>6160</v>
      </c>
      <c r="F185" s="675">
        <v>0</v>
      </c>
      <c r="G185" s="675">
        <v>170.922</v>
      </c>
      <c r="H185" s="675">
        <v>168.67600000000002</v>
      </c>
      <c r="I185" s="675">
        <v>168.67600000000002</v>
      </c>
      <c r="J185" s="675">
        <v>170.922</v>
      </c>
      <c r="K185" s="675">
        <v>0</v>
      </c>
      <c r="L185" s="675">
        <v>6160</v>
      </c>
      <c r="M185" s="675">
        <v>0</v>
      </c>
      <c r="N185" s="675">
        <v>0</v>
      </c>
      <c r="O185" s="675">
        <v>0</v>
      </c>
      <c r="P185" s="675">
        <v>79.906000000000006</v>
      </c>
      <c r="Q185" s="675">
        <v>0</v>
      </c>
      <c r="R185" s="675">
        <v>32156</v>
      </c>
      <c r="S185" s="675">
        <v>402.428</v>
      </c>
      <c r="T185" s="675">
        <v>0</v>
      </c>
      <c r="U185" s="675">
        <v>17102</v>
      </c>
      <c r="V185" s="675">
        <v>0</v>
      </c>
      <c r="W185" s="675">
        <v>0</v>
      </c>
      <c r="X185" s="675">
        <v>0</v>
      </c>
      <c r="Y185" s="675">
        <v>0</v>
      </c>
      <c r="Z185" s="675">
        <v>0</v>
      </c>
      <c r="AA185" s="675">
        <v>0</v>
      </c>
      <c r="AB185" s="675">
        <v>0</v>
      </c>
      <c r="AC185" s="675">
        <v>0</v>
      </c>
      <c r="AD185" s="675" t="s">
        <v>316</v>
      </c>
      <c r="AE185" s="675">
        <v>0</v>
      </c>
      <c r="AF185" s="675">
        <v>0</v>
      </c>
      <c r="AG185" s="675">
        <v>0</v>
      </c>
      <c r="AH185" s="675">
        <v>0</v>
      </c>
      <c r="AI185" s="675">
        <v>0</v>
      </c>
      <c r="AJ185" s="675">
        <v>6160</v>
      </c>
      <c r="AK185" s="675" t="s">
        <v>671</v>
      </c>
      <c r="AL185" s="675" t="s">
        <v>465</v>
      </c>
      <c r="AM185" s="675">
        <v>0</v>
      </c>
      <c r="AN185" s="675">
        <v>0</v>
      </c>
      <c r="AO185" s="675">
        <v>0</v>
      </c>
      <c r="AP185" s="675">
        <v>0</v>
      </c>
      <c r="AQ185" s="675">
        <v>0</v>
      </c>
      <c r="AR185" s="675">
        <v>0</v>
      </c>
      <c r="AS185" s="675">
        <v>0</v>
      </c>
      <c r="AT185" s="675">
        <v>0</v>
      </c>
      <c r="AU185" s="675">
        <v>0</v>
      </c>
      <c r="AV185" s="675">
        <v>-45</v>
      </c>
      <c r="AW185" s="675">
        <v>2186285</v>
      </c>
      <c r="AX185" s="675">
        <v>2186532</v>
      </c>
      <c r="AY185" s="675">
        <v>1467625</v>
      </c>
      <c r="AZ185" s="675">
        <v>32156</v>
      </c>
      <c r="BA185" s="675">
        <v>0</v>
      </c>
      <c r="BB185" s="675">
        <v>0</v>
      </c>
      <c r="BC185" s="675">
        <v>0</v>
      </c>
      <c r="BD185" s="675">
        <v>0</v>
      </c>
      <c r="BE185" s="675">
        <v>0</v>
      </c>
      <c r="BF185" s="675">
        <v>1629159</v>
      </c>
      <c r="BG185" s="675">
        <v>0</v>
      </c>
      <c r="BH185" s="675">
        <v>0</v>
      </c>
      <c r="BI185" s="675">
        <v>0</v>
      </c>
      <c r="BJ185" s="675">
        <v>12</v>
      </c>
      <c r="BK185" s="675">
        <v>0</v>
      </c>
      <c r="BL185" s="675">
        <v>0</v>
      </c>
      <c r="BM185" s="675">
        <v>0</v>
      </c>
      <c r="BN185" s="675">
        <v>0</v>
      </c>
      <c r="BO185" s="675">
        <v>0</v>
      </c>
      <c r="BP185" s="675">
        <v>0</v>
      </c>
      <c r="BQ185" s="675">
        <v>744</v>
      </c>
      <c r="BR185" s="675">
        <v>0</v>
      </c>
      <c r="BS185" s="675">
        <v>0</v>
      </c>
      <c r="BT185" s="675">
        <v>0</v>
      </c>
      <c r="BU185" s="675">
        <v>0</v>
      </c>
      <c r="BV185" s="675">
        <v>0</v>
      </c>
      <c r="BW185" s="675">
        <v>0</v>
      </c>
      <c r="BX185" s="675">
        <v>0</v>
      </c>
      <c r="BY185" s="675">
        <v>0</v>
      </c>
      <c r="BZ185" s="675">
        <v>0</v>
      </c>
      <c r="CA185" s="675">
        <v>456.786</v>
      </c>
      <c r="CB185" s="675">
        <v>389535</v>
      </c>
      <c r="CC185" s="675">
        <v>0</v>
      </c>
      <c r="CD185" s="675">
        <v>0</v>
      </c>
      <c r="CE185" s="675">
        <v>0</v>
      </c>
      <c r="CF185" s="675">
        <v>0</v>
      </c>
      <c r="CG185" s="675">
        <v>0</v>
      </c>
      <c r="CH185" s="675">
        <v>0</v>
      </c>
      <c r="CI185" s="675">
        <v>0</v>
      </c>
      <c r="CJ185" s="675">
        <v>4</v>
      </c>
      <c r="CK185" s="675">
        <v>0</v>
      </c>
      <c r="CL185" s="675">
        <v>0</v>
      </c>
      <c r="CM185" s="675">
        <v>0</v>
      </c>
      <c r="CN185" s="675">
        <v>0</v>
      </c>
      <c r="CO185" s="675">
        <v>1</v>
      </c>
      <c r="CP185" s="675">
        <v>0</v>
      </c>
      <c r="CQ185" s="675">
        <v>0</v>
      </c>
      <c r="CR185" s="675">
        <v>78.587000000000003</v>
      </c>
      <c r="CS185" s="675">
        <v>0</v>
      </c>
      <c r="CT185" s="675">
        <v>0</v>
      </c>
      <c r="CU185" s="675">
        <v>0</v>
      </c>
      <c r="CV185" s="675">
        <v>0</v>
      </c>
      <c r="CW185" s="675">
        <v>0</v>
      </c>
      <c r="CX185" s="675">
        <v>0</v>
      </c>
      <c r="CY185" s="675">
        <v>0</v>
      </c>
      <c r="CZ185" s="675">
        <v>0</v>
      </c>
      <c r="DA185" s="675">
        <v>0</v>
      </c>
      <c r="DB185" s="675">
        <v>1039039</v>
      </c>
      <c r="DC185" s="675">
        <v>0</v>
      </c>
      <c r="DD185" s="675">
        <v>0</v>
      </c>
      <c r="DE185" s="675">
        <v>235080</v>
      </c>
      <c r="DF185" s="675">
        <v>235080</v>
      </c>
      <c r="DG185" s="675">
        <v>38.163000000000004</v>
      </c>
      <c r="DH185" s="675">
        <v>0</v>
      </c>
      <c r="DI185" s="675">
        <v>0</v>
      </c>
      <c r="DJ185" s="675">
        <v>0</v>
      </c>
      <c r="DK185" s="675">
        <v>3527</v>
      </c>
      <c r="DL185" s="675">
        <v>0</v>
      </c>
      <c r="DM185" s="675">
        <v>65677</v>
      </c>
      <c r="DN185" s="675">
        <v>247</v>
      </c>
      <c r="DO185" s="675">
        <v>0</v>
      </c>
      <c r="DP185" s="675">
        <v>0</v>
      </c>
      <c r="DQ185" s="675">
        <v>0</v>
      </c>
      <c r="DR185" s="675">
        <v>0</v>
      </c>
      <c r="DS185" s="675">
        <v>0</v>
      </c>
      <c r="DT185" s="675">
        <v>0</v>
      </c>
      <c r="DU185" s="675">
        <v>0</v>
      </c>
      <c r="DV185" s="675">
        <v>0</v>
      </c>
      <c r="DW185" s="675">
        <v>0</v>
      </c>
      <c r="DX185" s="675">
        <v>0</v>
      </c>
      <c r="DY185" s="675">
        <v>0</v>
      </c>
      <c r="DZ185" s="675">
        <v>0</v>
      </c>
      <c r="EA185" s="675">
        <v>0</v>
      </c>
      <c r="EB185" s="675">
        <v>0</v>
      </c>
      <c r="EC185" s="675">
        <v>2.4470000000000001</v>
      </c>
      <c r="ED185" s="675">
        <v>17334</v>
      </c>
      <c r="EE185" s="675">
        <v>0</v>
      </c>
      <c r="EF185" s="675">
        <v>0</v>
      </c>
      <c r="EG185" s="675">
        <v>0</v>
      </c>
      <c r="EH185" s="675">
        <v>48590</v>
      </c>
      <c r="EI185" s="675">
        <v>0</v>
      </c>
      <c r="EJ185" s="675">
        <v>0</v>
      </c>
      <c r="EK185" s="675">
        <v>0.40700000000000003</v>
      </c>
      <c r="EL185" s="675">
        <v>0</v>
      </c>
      <c r="EM185" s="675">
        <v>1.264</v>
      </c>
      <c r="EN185" s="675">
        <v>0.57500000000000007</v>
      </c>
      <c r="EO185" s="675">
        <v>0</v>
      </c>
      <c r="EP185" s="675">
        <v>0</v>
      </c>
      <c r="EQ185" s="675">
        <v>2.246</v>
      </c>
      <c r="ER185" s="675">
        <v>0</v>
      </c>
      <c r="ES185" s="675">
        <v>7.8880000000000008</v>
      </c>
      <c r="ET185" s="675">
        <v>0</v>
      </c>
      <c r="EU185" s="675">
        <v>0</v>
      </c>
      <c r="EV185" s="675">
        <v>0</v>
      </c>
      <c r="EW185" s="675">
        <v>0</v>
      </c>
      <c r="EX185" s="675">
        <v>0</v>
      </c>
      <c r="EY185" s="675">
        <v>0</v>
      </c>
      <c r="EZ185" s="675">
        <v>1986538</v>
      </c>
      <c r="FA185" s="675">
        <v>0</v>
      </c>
      <c r="FB185" s="675">
        <v>2018447</v>
      </c>
      <c r="FC185" s="675">
        <v>0</v>
      </c>
      <c r="FD185" s="675">
        <v>0</v>
      </c>
      <c r="FE185" s="675">
        <v>165719</v>
      </c>
      <c r="FF185" s="675">
        <v>34275</v>
      </c>
      <c r="FG185" s="675">
        <v>6.3574999999999993E-2</v>
      </c>
      <c r="FH185" s="675">
        <v>2.6297999999999998E-2</v>
      </c>
      <c r="FI185" s="675">
        <v>0</v>
      </c>
      <c r="FJ185" s="675">
        <v>0</v>
      </c>
      <c r="FK185" s="675">
        <v>264.47500000000002</v>
      </c>
      <c r="FL185" s="675">
        <v>2218441</v>
      </c>
      <c r="FM185" s="675">
        <v>0</v>
      </c>
      <c r="FN185" s="675">
        <v>0</v>
      </c>
      <c r="FO185" s="675">
        <v>0</v>
      </c>
      <c r="FP185" s="675">
        <v>0</v>
      </c>
      <c r="FQ185" s="675">
        <v>0</v>
      </c>
      <c r="FR185" s="675">
        <v>0</v>
      </c>
      <c r="FS185" s="675">
        <v>0</v>
      </c>
      <c r="FT185" s="675">
        <v>0</v>
      </c>
      <c r="FU185" s="675">
        <v>0</v>
      </c>
      <c r="FV185" s="675">
        <v>0</v>
      </c>
      <c r="FW185" s="675">
        <v>0</v>
      </c>
      <c r="FX185" s="675">
        <v>0</v>
      </c>
      <c r="FY185" s="675">
        <v>0</v>
      </c>
      <c r="FZ185" s="675">
        <v>0</v>
      </c>
      <c r="GA185" s="675">
        <v>0</v>
      </c>
      <c r="GB185" s="675">
        <v>0</v>
      </c>
      <c r="GC185" s="675">
        <v>0</v>
      </c>
      <c r="GD185" s="675">
        <v>0</v>
      </c>
      <c r="GE185" s="675">
        <v>0</v>
      </c>
      <c r="GF185" s="675">
        <v>0</v>
      </c>
      <c r="GG185" s="675">
        <v>0</v>
      </c>
      <c r="GH185" s="675">
        <v>0</v>
      </c>
      <c r="GI185" s="675">
        <v>0</v>
      </c>
      <c r="GJ185" s="675">
        <v>0</v>
      </c>
      <c r="GK185" s="675">
        <v>0</v>
      </c>
      <c r="GL185" s="675">
        <v>0</v>
      </c>
      <c r="GM185" s="675">
        <v>0</v>
      </c>
      <c r="GN185" s="675">
        <v>0</v>
      </c>
      <c r="GO185" s="675">
        <v>0</v>
      </c>
      <c r="GP185" s="675">
        <v>0</v>
      </c>
      <c r="GQ185" s="675">
        <v>0</v>
      </c>
      <c r="GR185" s="675">
        <v>0</v>
      </c>
      <c r="GS185" s="675">
        <v>0</v>
      </c>
      <c r="GT185" s="675">
        <v>0</v>
      </c>
      <c r="GU185" s="675">
        <v>0</v>
      </c>
      <c r="GV185" s="675">
        <v>0</v>
      </c>
      <c r="GW185" s="675">
        <v>0</v>
      </c>
      <c r="GX185" s="675">
        <v>0</v>
      </c>
      <c r="GY185" s="675">
        <v>0</v>
      </c>
      <c r="GZ185" s="675">
        <v>0</v>
      </c>
      <c r="HA185" s="675">
        <v>0</v>
      </c>
      <c r="HB185" s="675">
        <v>0</v>
      </c>
      <c r="HC185" s="675">
        <v>4.4138999999999998E-2</v>
      </c>
      <c r="HD185" s="675">
        <v>0</v>
      </c>
      <c r="HE185" s="675">
        <v>0</v>
      </c>
      <c r="HF185" s="675">
        <v>186050</v>
      </c>
      <c r="HG185" s="675">
        <v>3080</v>
      </c>
      <c r="HH185" s="675">
        <v>98325</v>
      </c>
      <c r="HI185" s="675">
        <v>0</v>
      </c>
      <c r="HJ185" s="675">
        <v>1661</v>
      </c>
      <c r="HK185" s="675">
        <v>0</v>
      </c>
      <c r="HL185" s="675">
        <v>0</v>
      </c>
      <c r="HM185" s="675">
        <v>0</v>
      </c>
      <c r="HN185" s="675">
        <v>0</v>
      </c>
      <c r="HO185" s="675">
        <v>0</v>
      </c>
      <c r="HP185" s="675">
        <v>0</v>
      </c>
      <c r="HQ185" s="675">
        <v>0</v>
      </c>
      <c r="HR185" s="675">
        <v>0</v>
      </c>
      <c r="HS185" s="675">
        <v>1986291</v>
      </c>
      <c r="HT185" s="675">
        <v>34275</v>
      </c>
      <c r="HU185" s="675">
        <v>0</v>
      </c>
      <c r="HV185" s="675">
        <v>0</v>
      </c>
      <c r="HW185" s="675">
        <v>0</v>
      </c>
      <c r="HX185" s="675">
        <v>13</v>
      </c>
      <c r="HY185" s="675">
        <v>23</v>
      </c>
      <c r="HZ185" s="675">
        <v>29</v>
      </c>
      <c r="IA185" s="675">
        <v>24</v>
      </c>
      <c r="IB185" s="675">
        <v>59</v>
      </c>
      <c r="IC185" s="675">
        <v>148</v>
      </c>
      <c r="ID185" s="675">
        <v>0</v>
      </c>
      <c r="IE185" s="675">
        <v>0</v>
      </c>
      <c r="IF185" s="675">
        <v>0</v>
      </c>
      <c r="IG185" s="675">
        <v>5</v>
      </c>
      <c r="IH185" s="675">
        <v>159.619</v>
      </c>
      <c r="II185" s="675">
        <v>0</v>
      </c>
      <c r="IJ185" s="675">
        <v>0</v>
      </c>
      <c r="IK185" s="675">
        <v>0</v>
      </c>
      <c r="IL185" s="675">
        <v>0</v>
      </c>
      <c r="IM185" s="675">
        <v>0</v>
      </c>
      <c r="IN185" s="675">
        <v>0</v>
      </c>
      <c r="IO185" s="675">
        <v>0</v>
      </c>
      <c r="IP185" s="675">
        <v>0</v>
      </c>
      <c r="IQ185" s="675">
        <v>0</v>
      </c>
      <c r="IR185" s="675">
        <v>0</v>
      </c>
      <c r="IS185" s="675">
        <v>0</v>
      </c>
      <c r="IT185" s="675">
        <v>0</v>
      </c>
      <c r="IU185" s="675">
        <v>0</v>
      </c>
      <c r="IV185" s="675">
        <v>0</v>
      </c>
      <c r="IW185" s="675">
        <v>6160</v>
      </c>
      <c r="IX185" s="675">
        <v>0</v>
      </c>
      <c r="IY185" s="675">
        <v>0</v>
      </c>
      <c r="IZ185" s="675">
        <v>0</v>
      </c>
      <c r="JA185" s="675">
        <v>0</v>
      </c>
      <c r="JB185" s="675">
        <v>0</v>
      </c>
      <c r="JC185" s="675">
        <v>0</v>
      </c>
      <c r="JD185" s="675">
        <v>0</v>
      </c>
      <c r="JE185" s="675">
        <v>0</v>
      </c>
      <c r="JF185" s="675">
        <v>0</v>
      </c>
      <c r="JG185" s="675">
        <v>0</v>
      </c>
      <c r="JH185" s="675">
        <v>0</v>
      </c>
      <c r="JI185" s="675">
        <v>0</v>
      </c>
      <c r="JJ185" s="675">
        <v>0</v>
      </c>
      <c r="JK185" s="675">
        <v>0</v>
      </c>
      <c r="JL185" s="675">
        <v>0</v>
      </c>
      <c r="JM185" s="675">
        <v>0</v>
      </c>
      <c r="JN185" s="675">
        <v>32469</v>
      </c>
      <c r="JO185" s="675">
        <v>0</v>
      </c>
      <c r="JP185" s="675">
        <v>0</v>
      </c>
      <c r="JQ185" s="675">
        <v>0</v>
      </c>
      <c r="JR185" s="675">
        <v>0</v>
      </c>
      <c r="JS185" s="675">
        <v>0</v>
      </c>
      <c r="JT185" s="675">
        <v>0</v>
      </c>
      <c r="JU185" s="675">
        <v>0</v>
      </c>
      <c r="JV185" s="675">
        <v>0</v>
      </c>
      <c r="JW185" s="675">
        <v>0</v>
      </c>
      <c r="JX185" s="675">
        <v>0</v>
      </c>
      <c r="JY185" s="675">
        <v>0</v>
      </c>
      <c r="JZ185" s="675">
        <v>0</v>
      </c>
      <c r="KA185" s="675">
        <v>0</v>
      </c>
      <c r="KB185" s="675">
        <v>0</v>
      </c>
      <c r="KC185" s="675">
        <v>0</v>
      </c>
      <c r="KD185" s="675">
        <v>0</v>
      </c>
      <c r="KE185" s="675">
        <v>7263</v>
      </c>
      <c r="KF185" s="675">
        <v>0</v>
      </c>
      <c r="KG185" s="675">
        <v>0</v>
      </c>
      <c r="KH185" s="675">
        <v>0</v>
      </c>
      <c r="KI185" s="675">
        <v>0</v>
      </c>
    </row>
    <row r="186" spans="1:295" ht="12.5" x14ac:dyDescent="0.25">
      <c r="A186" s="675">
        <v>35795</v>
      </c>
      <c r="B186" s="675">
        <v>101876</v>
      </c>
      <c r="C186" s="675">
        <v>7</v>
      </c>
      <c r="D186" s="675">
        <v>2022</v>
      </c>
      <c r="E186" s="675">
        <v>6160</v>
      </c>
      <c r="F186" s="675">
        <v>0</v>
      </c>
      <c r="G186" s="675">
        <v>149.501</v>
      </c>
      <c r="H186" s="675">
        <v>148.488</v>
      </c>
      <c r="I186" s="675">
        <v>148.488</v>
      </c>
      <c r="J186" s="675">
        <v>149.501</v>
      </c>
      <c r="K186" s="675">
        <v>0</v>
      </c>
      <c r="L186" s="675">
        <v>6160</v>
      </c>
      <c r="M186" s="675">
        <v>0</v>
      </c>
      <c r="N186" s="675">
        <v>0</v>
      </c>
      <c r="O186" s="675">
        <v>0</v>
      </c>
      <c r="P186" s="675">
        <v>108.503</v>
      </c>
      <c r="Q186" s="675">
        <v>0</v>
      </c>
      <c r="R186" s="675">
        <v>43665</v>
      </c>
      <c r="S186" s="675">
        <v>402.428</v>
      </c>
      <c r="T186" s="675">
        <v>0</v>
      </c>
      <c r="U186" s="675">
        <v>23221</v>
      </c>
      <c r="V186" s="675">
        <v>34.204999999999998</v>
      </c>
      <c r="W186" s="675">
        <v>21070</v>
      </c>
      <c r="X186" s="675">
        <v>21070</v>
      </c>
      <c r="Y186" s="675">
        <v>0</v>
      </c>
      <c r="Z186" s="675">
        <v>0</v>
      </c>
      <c r="AA186" s="675">
        <v>0</v>
      </c>
      <c r="AB186" s="675">
        <v>0</v>
      </c>
      <c r="AC186" s="675">
        <v>0</v>
      </c>
      <c r="AD186" s="675" t="s">
        <v>316</v>
      </c>
      <c r="AE186" s="675">
        <v>0</v>
      </c>
      <c r="AF186" s="675">
        <v>0</v>
      </c>
      <c r="AG186" s="675">
        <v>0</v>
      </c>
      <c r="AH186" s="675">
        <v>0</v>
      </c>
      <c r="AI186" s="675">
        <v>0</v>
      </c>
      <c r="AJ186" s="675">
        <v>6160</v>
      </c>
      <c r="AK186" s="675" t="s">
        <v>671</v>
      </c>
      <c r="AL186" s="675" t="s">
        <v>466</v>
      </c>
      <c r="AM186" s="675">
        <v>0</v>
      </c>
      <c r="AN186" s="675">
        <v>0</v>
      </c>
      <c r="AO186" s="675">
        <v>0</v>
      </c>
      <c r="AP186" s="675">
        <v>0</v>
      </c>
      <c r="AQ186" s="675">
        <v>0</v>
      </c>
      <c r="AR186" s="675">
        <v>0</v>
      </c>
      <c r="AS186" s="675">
        <v>0</v>
      </c>
      <c r="AT186" s="675">
        <v>0</v>
      </c>
      <c r="AU186" s="675">
        <v>0</v>
      </c>
      <c r="AV186" s="675">
        <v>-212526</v>
      </c>
      <c r="AW186" s="675">
        <v>1708449</v>
      </c>
      <c r="AX186" s="675">
        <v>1585660</v>
      </c>
      <c r="AY186" s="675">
        <v>1033126</v>
      </c>
      <c r="AZ186" s="675">
        <v>43665</v>
      </c>
      <c r="BA186" s="675">
        <v>0</v>
      </c>
      <c r="BB186" s="675">
        <v>0</v>
      </c>
      <c r="BC186" s="675">
        <v>0</v>
      </c>
      <c r="BD186" s="675">
        <v>0</v>
      </c>
      <c r="BE186" s="675">
        <v>0</v>
      </c>
      <c r="BF186" s="675">
        <v>1431742</v>
      </c>
      <c r="BG186" s="675">
        <v>0</v>
      </c>
      <c r="BH186" s="675">
        <v>0</v>
      </c>
      <c r="BI186" s="675">
        <v>0</v>
      </c>
      <c r="BJ186" s="675">
        <v>12</v>
      </c>
      <c r="BK186" s="675">
        <v>0</v>
      </c>
      <c r="BL186" s="675">
        <v>0</v>
      </c>
      <c r="BM186" s="675">
        <v>0</v>
      </c>
      <c r="BN186" s="675">
        <v>0</v>
      </c>
      <c r="BO186" s="675">
        <v>0</v>
      </c>
      <c r="BP186" s="675">
        <v>0</v>
      </c>
      <c r="BQ186" s="675">
        <v>747</v>
      </c>
      <c r="BR186" s="675">
        <v>0</v>
      </c>
      <c r="BS186" s="675">
        <v>0</v>
      </c>
      <c r="BT186" s="675">
        <v>0</v>
      </c>
      <c r="BU186" s="675">
        <v>0</v>
      </c>
      <c r="BV186" s="675">
        <v>0</v>
      </c>
      <c r="BW186" s="675">
        <v>0</v>
      </c>
      <c r="BX186" s="675">
        <v>0</v>
      </c>
      <c r="BY186" s="675">
        <v>0</v>
      </c>
      <c r="BZ186" s="675">
        <v>0</v>
      </c>
      <c r="CA186" s="675">
        <v>0</v>
      </c>
      <c r="CB186" s="675">
        <v>0</v>
      </c>
      <c r="CC186" s="675">
        <v>0</v>
      </c>
      <c r="CD186" s="675">
        <v>0</v>
      </c>
      <c r="CE186" s="675">
        <v>0</v>
      </c>
      <c r="CF186" s="675">
        <v>0</v>
      </c>
      <c r="CG186" s="675">
        <v>0</v>
      </c>
      <c r="CH186" s="675">
        <v>122912</v>
      </c>
      <c r="CI186" s="675">
        <v>0</v>
      </c>
      <c r="CJ186" s="675">
        <v>5</v>
      </c>
      <c r="CK186" s="675">
        <v>0</v>
      </c>
      <c r="CL186" s="675">
        <v>0</v>
      </c>
      <c r="CM186" s="675">
        <v>0</v>
      </c>
      <c r="CN186" s="675">
        <v>0</v>
      </c>
      <c r="CO186" s="675">
        <v>1</v>
      </c>
      <c r="CP186" s="675">
        <v>0</v>
      </c>
      <c r="CQ186" s="675">
        <v>0</v>
      </c>
      <c r="CR186" s="675">
        <v>107.87100000000001</v>
      </c>
      <c r="CS186" s="675">
        <v>0</v>
      </c>
      <c r="CT186" s="675">
        <v>0</v>
      </c>
      <c r="CU186" s="675">
        <v>0</v>
      </c>
      <c r="CV186" s="675">
        <v>0</v>
      </c>
      <c r="CW186" s="675">
        <v>0</v>
      </c>
      <c r="CX186" s="675">
        <v>0</v>
      </c>
      <c r="CY186" s="675">
        <v>0</v>
      </c>
      <c r="CZ186" s="675">
        <v>0</v>
      </c>
      <c r="DA186" s="675">
        <v>0</v>
      </c>
      <c r="DB186" s="675">
        <v>914682</v>
      </c>
      <c r="DC186" s="675">
        <v>0</v>
      </c>
      <c r="DD186" s="675">
        <v>0</v>
      </c>
      <c r="DE186" s="675">
        <v>222375</v>
      </c>
      <c r="DF186" s="675">
        <v>222375</v>
      </c>
      <c r="DG186" s="675">
        <v>36.1</v>
      </c>
      <c r="DH186" s="675">
        <v>0</v>
      </c>
      <c r="DI186" s="675">
        <v>0</v>
      </c>
      <c r="DJ186" s="675">
        <v>0</v>
      </c>
      <c r="DK186" s="675">
        <v>3577</v>
      </c>
      <c r="DL186" s="675">
        <v>0</v>
      </c>
      <c r="DM186" s="675">
        <v>32715</v>
      </c>
      <c r="DN186" s="675">
        <v>123</v>
      </c>
      <c r="DO186" s="675">
        <v>0</v>
      </c>
      <c r="DP186" s="675">
        <v>0</v>
      </c>
      <c r="DQ186" s="675">
        <v>0</v>
      </c>
      <c r="DR186" s="675">
        <v>0</v>
      </c>
      <c r="DS186" s="675">
        <v>0</v>
      </c>
      <c r="DT186" s="675">
        <v>0</v>
      </c>
      <c r="DU186" s="675">
        <v>0</v>
      </c>
      <c r="DV186" s="675">
        <v>0</v>
      </c>
      <c r="DW186" s="675">
        <v>0</v>
      </c>
      <c r="DX186" s="675">
        <v>0</v>
      </c>
      <c r="DY186" s="675">
        <v>0</v>
      </c>
      <c r="DZ186" s="675">
        <v>0</v>
      </c>
      <c r="EA186" s="675">
        <v>0</v>
      </c>
      <c r="EB186" s="675">
        <v>0</v>
      </c>
      <c r="EC186" s="675">
        <v>1.546</v>
      </c>
      <c r="ED186" s="675">
        <v>10952</v>
      </c>
      <c r="EE186" s="675">
        <v>0</v>
      </c>
      <c r="EF186" s="675">
        <v>0</v>
      </c>
      <c r="EG186" s="675">
        <v>0</v>
      </c>
      <c r="EH186" s="675">
        <v>21886</v>
      </c>
      <c r="EI186" s="675">
        <v>0</v>
      </c>
      <c r="EJ186" s="675">
        <v>0</v>
      </c>
      <c r="EK186" s="675">
        <v>0.75600000000000001</v>
      </c>
      <c r="EL186" s="675">
        <v>0</v>
      </c>
      <c r="EM186" s="675">
        <v>0</v>
      </c>
      <c r="EN186" s="675">
        <v>0.25700000000000001</v>
      </c>
      <c r="EO186" s="675">
        <v>0</v>
      </c>
      <c r="EP186" s="675">
        <v>0</v>
      </c>
      <c r="EQ186" s="675">
        <v>1.0130000000000001</v>
      </c>
      <c r="ER186" s="675">
        <v>0</v>
      </c>
      <c r="ES186" s="675">
        <v>3.5530000000000004</v>
      </c>
      <c r="ET186" s="675">
        <v>0</v>
      </c>
      <c r="EU186" s="675">
        <v>0</v>
      </c>
      <c r="EV186" s="675">
        <v>0</v>
      </c>
      <c r="EW186" s="675">
        <v>0</v>
      </c>
      <c r="EX186" s="675">
        <v>0</v>
      </c>
      <c r="EY186" s="675">
        <v>0</v>
      </c>
      <c r="EZ186" s="675">
        <v>1409900</v>
      </c>
      <c r="FA186" s="675">
        <v>0</v>
      </c>
      <c r="FB186" s="675">
        <v>1453442</v>
      </c>
      <c r="FC186" s="675">
        <v>0</v>
      </c>
      <c r="FD186" s="675">
        <v>0</v>
      </c>
      <c r="FE186" s="675">
        <v>145638</v>
      </c>
      <c r="FF186" s="675">
        <v>30122</v>
      </c>
      <c r="FG186" s="675">
        <v>6.3574999999999993E-2</v>
      </c>
      <c r="FH186" s="675">
        <v>2.6297999999999998E-2</v>
      </c>
      <c r="FI186" s="675">
        <v>0</v>
      </c>
      <c r="FJ186" s="675">
        <v>0</v>
      </c>
      <c r="FK186" s="675">
        <v>232.42700000000002</v>
      </c>
      <c r="FL186" s="675">
        <v>1752114</v>
      </c>
      <c r="FM186" s="675">
        <v>0</v>
      </c>
      <c r="FN186" s="675">
        <v>0</v>
      </c>
      <c r="FO186" s="675">
        <v>21823</v>
      </c>
      <c r="FP186" s="675">
        <v>0</v>
      </c>
      <c r="FQ186" s="675">
        <v>21823</v>
      </c>
      <c r="FR186" s="675">
        <v>21823</v>
      </c>
      <c r="FS186" s="675">
        <v>0</v>
      </c>
      <c r="FT186" s="675">
        <v>0</v>
      </c>
      <c r="FU186" s="675">
        <v>0</v>
      </c>
      <c r="FV186" s="675">
        <v>0</v>
      </c>
      <c r="FW186" s="675">
        <v>0</v>
      </c>
      <c r="FX186" s="675">
        <v>0</v>
      </c>
      <c r="FY186" s="675">
        <v>0</v>
      </c>
      <c r="FZ186" s="675">
        <v>0</v>
      </c>
      <c r="GA186" s="675">
        <v>0</v>
      </c>
      <c r="GB186" s="675">
        <v>0</v>
      </c>
      <c r="GC186" s="675">
        <v>0</v>
      </c>
      <c r="GD186" s="675">
        <v>0</v>
      </c>
      <c r="GE186" s="675">
        <v>0</v>
      </c>
      <c r="GF186" s="675">
        <v>0</v>
      </c>
      <c r="GG186" s="675">
        <v>0</v>
      </c>
      <c r="GH186" s="675">
        <v>0</v>
      </c>
      <c r="GI186" s="675">
        <v>0</v>
      </c>
      <c r="GJ186" s="675">
        <v>0</v>
      </c>
      <c r="GK186" s="675">
        <v>0</v>
      </c>
      <c r="GL186" s="675">
        <v>0</v>
      </c>
      <c r="GM186" s="675">
        <v>0</v>
      </c>
      <c r="GN186" s="675">
        <v>0</v>
      </c>
      <c r="GO186" s="675">
        <v>0</v>
      </c>
      <c r="GP186" s="675">
        <v>0</v>
      </c>
      <c r="GQ186" s="675">
        <v>0</v>
      </c>
      <c r="GR186" s="675">
        <v>0</v>
      </c>
      <c r="GS186" s="675">
        <v>0</v>
      </c>
      <c r="GT186" s="675">
        <v>0</v>
      </c>
      <c r="GU186" s="675">
        <v>0</v>
      </c>
      <c r="GV186" s="675">
        <v>0</v>
      </c>
      <c r="GW186" s="675">
        <v>0</v>
      </c>
      <c r="GX186" s="675">
        <v>0</v>
      </c>
      <c r="GY186" s="675">
        <v>0</v>
      </c>
      <c r="GZ186" s="675">
        <v>0</v>
      </c>
      <c r="HA186" s="675">
        <v>0</v>
      </c>
      <c r="HB186" s="675">
        <v>0</v>
      </c>
      <c r="HC186" s="675">
        <v>4.4138999999999998E-2</v>
      </c>
      <c r="HD186" s="675">
        <v>0</v>
      </c>
      <c r="HE186" s="675">
        <v>0</v>
      </c>
      <c r="HF186" s="675">
        <v>163782</v>
      </c>
      <c r="HG186" s="675">
        <v>0</v>
      </c>
      <c r="HH186" s="675">
        <v>75542</v>
      </c>
      <c r="HI186" s="675">
        <v>0</v>
      </c>
      <c r="HJ186" s="675">
        <v>1453</v>
      </c>
      <c r="HK186" s="675">
        <v>0</v>
      </c>
      <c r="HL186" s="675">
        <v>0</v>
      </c>
      <c r="HM186" s="675">
        <v>0</v>
      </c>
      <c r="HN186" s="675">
        <v>0</v>
      </c>
      <c r="HO186" s="675">
        <v>0</v>
      </c>
      <c r="HP186" s="675">
        <v>0</v>
      </c>
      <c r="HQ186" s="675">
        <v>0</v>
      </c>
      <c r="HR186" s="675">
        <v>0</v>
      </c>
      <c r="HS186" s="675">
        <v>1409777</v>
      </c>
      <c r="HT186" s="675">
        <v>30122</v>
      </c>
      <c r="HU186" s="675">
        <v>0</v>
      </c>
      <c r="HV186" s="675">
        <v>0</v>
      </c>
      <c r="HW186" s="675">
        <v>0</v>
      </c>
      <c r="HX186" s="675">
        <v>4</v>
      </c>
      <c r="HY186" s="675">
        <v>18</v>
      </c>
      <c r="HZ186" s="675">
        <v>54</v>
      </c>
      <c r="IA186" s="675">
        <v>36</v>
      </c>
      <c r="IB186" s="675">
        <v>29</v>
      </c>
      <c r="IC186" s="675">
        <v>141</v>
      </c>
      <c r="ID186" s="675">
        <v>0</v>
      </c>
      <c r="IE186" s="675">
        <v>0</v>
      </c>
      <c r="IF186" s="675">
        <v>0</v>
      </c>
      <c r="IG186" s="675">
        <v>0</v>
      </c>
      <c r="IH186" s="675">
        <v>122.634</v>
      </c>
      <c r="II186" s="675">
        <v>0</v>
      </c>
      <c r="IJ186" s="675">
        <v>34.204999999999998</v>
      </c>
      <c r="IK186" s="675">
        <v>0</v>
      </c>
      <c r="IL186" s="675">
        <v>0</v>
      </c>
      <c r="IM186" s="675">
        <v>0</v>
      </c>
      <c r="IN186" s="675">
        <v>0</v>
      </c>
      <c r="IO186" s="675">
        <v>0</v>
      </c>
      <c r="IP186" s="675">
        <v>0</v>
      </c>
      <c r="IQ186" s="675">
        <v>34.204999999999998</v>
      </c>
      <c r="IR186" s="675">
        <v>21070</v>
      </c>
      <c r="IS186" s="675">
        <v>0</v>
      </c>
      <c r="IT186" s="675">
        <v>0</v>
      </c>
      <c r="IU186" s="675">
        <v>0</v>
      </c>
      <c r="IV186" s="675">
        <v>0</v>
      </c>
      <c r="IW186" s="675">
        <v>6160</v>
      </c>
      <c r="IX186" s="675">
        <v>0</v>
      </c>
      <c r="IY186" s="675">
        <v>0</v>
      </c>
      <c r="IZ186" s="675">
        <v>0</v>
      </c>
      <c r="JA186" s="675">
        <v>0</v>
      </c>
      <c r="JB186" s="675">
        <v>0</v>
      </c>
      <c r="JC186" s="675">
        <v>0</v>
      </c>
      <c r="JD186" s="675">
        <v>0</v>
      </c>
      <c r="JE186" s="675">
        <v>0</v>
      </c>
      <c r="JF186" s="675">
        <v>0</v>
      </c>
      <c r="JG186" s="675">
        <v>0</v>
      </c>
      <c r="JH186" s="675">
        <v>0</v>
      </c>
      <c r="JI186" s="675">
        <v>0</v>
      </c>
      <c r="JJ186" s="675">
        <v>0</v>
      </c>
      <c r="JK186" s="675">
        <v>0</v>
      </c>
      <c r="JL186" s="675">
        <v>0</v>
      </c>
      <c r="JM186" s="675">
        <v>0</v>
      </c>
      <c r="JN186" s="675">
        <v>32469</v>
      </c>
      <c r="JO186" s="675">
        <v>0</v>
      </c>
      <c r="JP186" s="675">
        <v>0</v>
      </c>
      <c r="JQ186" s="675">
        <v>0</v>
      </c>
      <c r="JR186" s="675">
        <v>0</v>
      </c>
      <c r="JS186" s="675">
        <v>0</v>
      </c>
      <c r="JT186" s="675">
        <v>0</v>
      </c>
      <c r="JU186" s="675">
        <v>0</v>
      </c>
      <c r="JV186" s="675">
        <v>0</v>
      </c>
      <c r="JW186" s="675">
        <v>0</v>
      </c>
      <c r="JX186" s="675">
        <v>0</v>
      </c>
      <c r="JY186" s="675">
        <v>0</v>
      </c>
      <c r="JZ186" s="675">
        <v>0</v>
      </c>
      <c r="KA186" s="675">
        <v>0</v>
      </c>
      <c r="KB186" s="675">
        <v>0</v>
      </c>
      <c r="KC186" s="675">
        <v>0</v>
      </c>
      <c r="KD186" s="675">
        <v>0</v>
      </c>
      <c r="KE186" s="675">
        <v>7263</v>
      </c>
      <c r="KF186" s="675">
        <v>122912</v>
      </c>
      <c r="KG186" s="675">
        <v>0</v>
      </c>
      <c r="KH186" s="675">
        <v>0</v>
      </c>
      <c r="KI186" s="675">
        <v>0</v>
      </c>
    </row>
    <row r="187" spans="1:295" ht="12.5" x14ac:dyDescent="0.25">
      <c r="A187" s="675">
        <v>35795</v>
      </c>
      <c r="B187" s="675">
        <v>101877</v>
      </c>
      <c r="C187" s="675">
        <v>7</v>
      </c>
      <c r="D187" s="675">
        <v>2022</v>
      </c>
      <c r="E187" s="675">
        <v>6160</v>
      </c>
      <c r="F187" s="675">
        <v>0</v>
      </c>
      <c r="G187" s="675">
        <v>34.283999999999999</v>
      </c>
      <c r="H187" s="675">
        <v>34.283999999999999</v>
      </c>
      <c r="I187" s="675">
        <v>34.283999999999999</v>
      </c>
      <c r="J187" s="675">
        <v>34.283999999999999</v>
      </c>
      <c r="K187" s="675">
        <v>0</v>
      </c>
      <c r="L187" s="675">
        <v>6160</v>
      </c>
      <c r="M187" s="675">
        <v>0</v>
      </c>
      <c r="N187" s="675">
        <v>0</v>
      </c>
      <c r="O187" s="675">
        <v>0</v>
      </c>
      <c r="P187" s="675">
        <v>0</v>
      </c>
      <c r="Q187" s="675">
        <v>0</v>
      </c>
      <c r="R187" s="675">
        <v>0</v>
      </c>
      <c r="S187" s="675">
        <v>402.428</v>
      </c>
      <c r="T187" s="675">
        <v>0</v>
      </c>
      <c r="U187" s="675">
        <v>0</v>
      </c>
      <c r="V187" s="675">
        <v>0</v>
      </c>
      <c r="W187" s="675">
        <v>0</v>
      </c>
      <c r="X187" s="675">
        <v>0</v>
      </c>
      <c r="Y187" s="675">
        <v>0</v>
      </c>
      <c r="Z187" s="675">
        <v>0</v>
      </c>
      <c r="AA187" s="675">
        <v>0</v>
      </c>
      <c r="AB187" s="675">
        <v>0</v>
      </c>
      <c r="AC187" s="675">
        <v>0</v>
      </c>
      <c r="AD187" s="675" t="s">
        <v>316</v>
      </c>
      <c r="AE187" s="675">
        <v>0</v>
      </c>
      <c r="AF187" s="675">
        <v>0</v>
      </c>
      <c r="AG187" s="675">
        <v>0</v>
      </c>
      <c r="AH187" s="675">
        <v>0</v>
      </c>
      <c r="AI187" s="675">
        <v>0</v>
      </c>
      <c r="AJ187" s="675">
        <v>6160</v>
      </c>
      <c r="AK187" s="675" t="s">
        <v>671</v>
      </c>
      <c r="AL187" s="675" t="s">
        <v>547</v>
      </c>
      <c r="AM187" s="675">
        <v>0</v>
      </c>
      <c r="AN187" s="675">
        <v>0</v>
      </c>
      <c r="AO187" s="675">
        <v>0</v>
      </c>
      <c r="AP187" s="675">
        <v>0</v>
      </c>
      <c r="AQ187" s="675">
        <v>0</v>
      </c>
      <c r="AR187" s="675">
        <v>0</v>
      </c>
      <c r="AS187" s="675">
        <v>0</v>
      </c>
      <c r="AT187" s="675">
        <v>0</v>
      </c>
      <c r="AU187" s="675">
        <v>0</v>
      </c>
      <c r="AV187" s="675">
        <v>0</v>
      </c>
      <c r="AW187" s="675">
        <v>373548</v>
      </c>
      <c r="AX187" s="675">
        <v>373548</v>
      </c>
      <c r="AY187" s="675">
        <v>302765</v>
      </c>
      <c r="AZ187" s="675">
        <v>0</v>
      </c>
      <c r="BA187" s="675">
        <v>0</v>
      </c>
      <c r="BB187" s="675">
        <v>0</v>
      </c>
      <c r="BC187" s="675">
        <v>0</v>
      </c>
      <c r="BD187" s="675">
        <v>0</v>
      </c>
      <c r="BE187" s="675">
        <v>0</v>
      </c>
      <c r="BF187" s="675">
        <v>332705</v>
      </c>
      <c r="BG187" s="675">
        <v>0</v>
      </c>
      <c r="BH187" s="675">
        <v>0</v>
      </c>
      <c r="BI187" s="675">
        <v>0</v>
      </c>
      <c r="BJ187" s="675">
        <v>12</v>
      </c>
      <c r="BK187" s="675">
        <v>0</v>
      </c>
      <c r="BL187" s="675">
        <v>0</v>
      </c>
      <c r="BM187" s="675">
        <v>0</v>
      </c>
      <c r="BN187" s="675">
        <v>0</v>
      </c>
      <c r="BO187" s="675">
        <v>0</v>
      </c>
      <c r="BP187" s="675">
        <v>0</v>
      </c>
      <c r="BQ187" s="675">
        <v>765</v>
      </c>
      <c r="BR187" s="675">
        <v>0</v>
      </c>
      <c r="BS187" s="675">
        <v>0</v>
      </c>
      <c r="BT187" s="675">
        <v>0</v>
      </c>
      <c r="BU187" s="675">
        <v>0</v>
      </c>
      <c r="BV187" s="675">
        <v>0</v>
      </c>
      <c r="BW187" s="675">
        <v>0</v>
      </c>
      <c r="BX187" s="675">
        <v>0</v>
      </c>
      <c r="BY187" s="675">
        <v>0</v>
      </c>
      <c r="BZ187" s="675">
        <v>0</v>
      </c>
      <c r="CA187" s="675">
        <v>0</v>
      </c>
      <c r="CB187" s="675">
        <v>0</v>
      </c>
      <c r="CC187" s="675">
        <v>0</v>
      </c>
      <c r="CD187" s="675">
        <v>0</v>
      </c>
      <c r="CE187" s="675">
        <v>0</v>
      </c>
      <c r="CF187" s="675">
        <v>0</v>
      </c>
      <c r="CG187" s="675">
        <v>0</v>
      </c>
      <c r="CH187" s="675">
        <v>0</v>
      </c>
      <c r="CI187" s="675">
        <v>0</v>
      </c>
      <c r="CJ187" s="675">
        <v>4</v>
      </c>
      <c r="CK187" s="675">
        <v>0</v>
      </c>
      <c r="CL187" s="675">
        <v>0</v>
      </c>
      <c r="CM187" s="675">
        <v>0</v>
      </c>
      <c r="CN187" s="675">
        <v>0</v>
      </c>
      <c r="CO187" s="675">
        <v>1</v>
      </c>
      <c r="CP187" s="675">
        <v>0</v>
      </c>
      <c r="CQ187" s="675">
        <v>0</v>
      </c>
      <c r="CR187" s="675">
        <v>0</v>
      </c>
      <c r="CS187" s="675">
        <v>0</v>
      </c>
      <c r="CT187" s="675">
        <v>0</v>
      </c>
      <c r="CU187" s="675">
        <v>0</v>
      </c>
      <c r="CV187" s="675">
        <v>0</v>
      </c>
      <c r="CW187" s="675">
        <v>0</v>
      </c>
      <c r="CX187" s="675">
        <v>0</v>
      </c>
      <c r="CY187" s="675">
        <v>0</v>
      </c>
      <c r="CZ187" s="675">
        <v>0</v>
      </c>
      <c r="DA187" s="675">
        <v>0</v>
      </c>
      <c r="DB187" s="675">
        <v>211188</v>
      </c>
      <c r="DC187" s="675">
        <v>0</v>
      </c>
      <c r="DD187" s="675">
        <v>0</v>
      </c>
      <c r="DE187" s="675">
        <v>69454</v>
      </c>
      <c r="DF187" s="675">
        <v>69454</v>
      </c>
      <c r="DG187" s="675">
        <v>11.275</v>
      </c>
      <c r="DH187" s="675">
        <v>0</v>
      </c>
      <c r="DI187" s="675">
        <v>0</v>
      </c>
      <c r="DJ187" s="675">
        <v>0</v>
      </c>
      <c r="DK187" s="675">
        <v>3858</v>
      </c>
      <c r="DL187" s="675">
        <v>0</v>
      </c>
      <c r="DM187" s="675">
        <v>0</v>
      </c>
      <c r="DN187" s="675">
        <v>0</v>
      </c>
      <c r="DO187" s="675">
        <v>0</v>
      </c>
      <c r="DP187" s="675">
        <v>0</v>
      </c>
      <c r="DQ187" s="675">
        <v>0</v>
      </c>
      <c r="DR187" s="675">
        <v>0</v>
      </c>
      <c r="DS187" s="675">
        <v>0</v>
      </c>
      <c r="DT187" s="675">
        <v>0</v>
      </c>
      <c r="DU187" s="675">
        <v>0</v>
      </c>
      <c r="DV187" s="675">
        <v>0</v>
      </c>
      <c r="DW187" s="675">
        <v>0</v>
      </c>
      <c r="DX187" s="675">
        <v>0</v>
      </c>
      <c r="DY187" s="675">
        <v>0</v>
      </c>
      <c r="DZ187" s="675">
        <v>0</v>
      </c>
      <c r="EA187" s="675">
        <v>0</v>
      </c>
      <c r="EB187" s="675">
        <v>0</v>
      </c>
      <c r="EC187" s="675">
        <v>0</v>
      </c>
      <c r="ED187" s="675">
        <v>0</v>
      </c>
      <c r="EE187" s="675">
        <v>0</v>
      </c>
      <c r="EF187" s="675">
        <v>0</v>
      </c>
      <c r="EG187" s="675">
        <v>0</v>
      </c>
      <c r="EH187" s="675">
        <v>0</v>
      </c>
      <c r="EI187" s="675">
        <v>0</v>
      </c>
      <c r="EJ187" s="675">
        <v>0</v>
      </c>
      <c r="EK187" s="675">
        <v>0</v>
      </c>
      <c r="EL187" s="675">
        <v>0</v>
      </c>
      <c r="EM187" s="675">
        <v>0</v>
      </c>
      <c r="EN187" s="675">
        <v>0</v>
      </c>
      <c r="EO187" s="675">
        <v>0</v>
      </c>
      <c r="EP187" s="675">
        <v>0</v>
      </c>
      <c r="EQ187" s="675">
        <v>0</v>
      </c>
      <c r="ER187" s="675">
        <v>0</v>
      </c>
      <c r="ES187" s="675">
        <v>0</v>
      </c>
      <c r="ET187" s="675">
        <v>0</v>
      </c>
      <c r="EU187" s="675">
        <v>0</v>
      </c>
      <c r="EV187" s="675">
        <v>0</v>
      </c>
      <c r="EW187" s="675">
        <v>0</v>
      </c>
      <c r="EX187" s="675">
        <v>0</v>
      </c>
      <c r="EY187" s="675">
        <v>0</v>
      </c>
      <c r="EZ187" s="675">
        <v>332705</v>
      </c>
      <c r="FA187" s="675">
        <v>0</v>
      </c>
      <c r="FB187" s="675">
        <v>332705</v>
      </c>
      <c r="FC187" s="675">
        <v>0</v>
      </c>
      <c r="FD187" s="675">
        <v>0</v>
      </c>
      <c r="FE187" s="675">
        <v>33843</v>
      </c>
      <c r="FF187" s="675">
        <v>7000</v>
      </c>
      <c r="FG187" s="675">
        <v>6.3574999999999993E-2</v>
      </c>
      <c r="FH187" s="675">
        <v>2.6297999999999998E-2</v>
      </c>
      <c r="FI187" s="675">
        <v>0</v>
      </c>
      <c r="FJ187" s="675">
        <v>0</v>
      </c>
      <c r="FK187" s="675">
        <v>54.011000000000003</v>
      </c>
      <c r="FL187" s="675">
        <v>373548</v>
      </c>
      <c r="FM187" s="675">
        <v>0</v>
      </c>
      <c r="FN187" s="675">
        <v>0</v>
      </c>
      <c r="FO187" s="675">
        <v>0</v>
      </c>
      <c r="FP187" s="675">
        <v>0</v>
      </c>
      <c r="FQ187" s="675">
        <v>0</v>
      </c>
      <c r="FR187" s="675">
        <v>0</v>
      </c>
      <c r="FS187" s="675">
        <v>0</v>
      </c>
      <c r="FT187" s="675">
        <v>0</v>
      </c>
      <c r="FU187" s="675">
        <v>0</v>
      </c>
      <c r="FV187" s="675">
        <v>0</v>
      </c>
      <c r="FW187" s="675">
        <v>0</v>
      </c>
      <c r="FX187" s="675">
        <v>0</v>
      </c>
      <c r="FY187" s="675">
        <v>0</v>
      </c>
      <c r="FZ187" s="675">
        <v>0</v>
      </c>
      <c r="GA187" s="675">
        <v>0</v>
      </c>
      <c r="GB187" s="675">
        <v>0</v>
      </c>
      <c r="GC187" s="675">
        <v>0</v>
      </c>
      <c r="GD187" s="675">
        <v>0</v>
      </c>
      <c r="GE187" s="675">
        <v>0</v>
      </c>
      <c r="GF187" s="675">
        <v>0</v>
      </c>
      <c r="GG187" s="675">
        <v>0</v>
      </c>
      <c r="GH187" s="675">
        <v>0</v>
      </c>
      <c r="GI187" s="675">
        <v>0</v>
      </c>
      <c r="GJ187" s="675">
        <v>0</v>
      </c>
      <c r="GK187" s="675">
        <v>0</v>
      </c>
      <c r="GL187" s="675">
        <v>0</v>
      </c>
      <c r="GM187" s="675">
        <v>0</v>
      </c>
      <c r="GN187" s="675">
        <v>0</v>
      </c>
      <c r="GO187" s="675">
        <v>0</v>
      </c>
      <c r="GP187" s="675">
        <v>0</v>
      </c>
      <c r="GQ187" s="675">
        <v>0</v>
      </c>
      <c r="GR187" s="675">
        <v>0</v>
      </c>
      <c r="GS187" s="675">
        <v>0</v>
      </c>
      <c r="GT187" s="675">
        <v>0</v>
      </c>
      <c r="GU187" s="675">
        <v>0</v>
      </c>
      <c r="GV187" s="675">
        <v>0</v>
      </c>
      <c r="GW187" s="675">
        <v>0</v>
      </c>
      <c r="GX187" s="675">
        <v>0</v>
      </c>
      <c r="GY187" s="675">
        <v>0</v>
      </c>
      <c r="GZ187" s="675">
        <v>0</v>
      </c>
      <c r="HA187" s="675">
        <v>0</v>
      </c>
      <c r="HB187" s="675">
        <v>0</v>
      </c>
      <c r="HC187" s="675">
        <v>4.4138999999999998E-2</v>
      </c>
      <c r="HD187" s="675">
        <v>0</v>
      </c>
      <c r="HE187" s="675">
        <v>0</v>
      </c>
      <c r="HF187" s="675">
        <v>37815</v>
      </c>
      <c r="HG187" s="675">
        <v>0</v>
      </c>
      <c r="HH187" s="675">
        <v>13915</v>
      </c>
      <c r="HI187" s="675">
        <v>0</v>
      </c>
      <c r="HJ187" s="675">
        <v>333</v>
      </c>
      <c r="HK187" s="675">
        <v>0</v>
      </c>
      <c r="HL187" s="675">
        <v>0</v>
      </c>
      <c r="HM187" s="675">
        <v>0</v>
      </c>
      <c r="HN187" s="675">
        <v>0</v>
      </c>
      <c r="HO187" s="675">
        <v>0</v>
      </c>
      <c r="HP187" s="675">
        <v>0</v>
      </c>
      <c r="HQ187" s="675">
        <v>0</v>
      </c>
      <c r="HR187" s="675">
        <v>0</v>
      </c>
      <c r="HS187" s="675">
        <v>332705</v>
      </c>
      <c r="HT187" s="675">
        <v>7000</v>
      </c>
      <c r="HU187" s="675">
        <v>0</v>
      </c>
      <c r="HV187" s="675">
        <v>0</v>
      </c>
      <c r="HW187" s="675">
        <v>0</v>
      </c>
      <c r="HX187" s="675">
        <v>6</v>
      </c>
      <c r="HY187" s="675">
        <v>3</v>
      </c>
      <c r="HZ187" s="675">
        <v>14</v>
      </c>
      <c r="IA187" s="675">
        <v>5</v>
      </c>
      <c r="IB187" s="675">
        <v>16</v>
      </c>
      <c r="IC187" s="675">
        <v>44</v>
      </c>
      <c r="ID187" s="675">
        <v>0</v>
      </c>
      <c r="IE187" s="675">
        <v>0</v>
      </c>
      <c r="IF187" s="675">
        <v>0</v>
      </c>
      <c r="IG187" s="675">
        <v>0</v>
      </c>
      <c r="IH187" s="675">
        <v>22.589000000000002</v>
      </c>
      <c r="II187" s="675">
        <v>0</v>
      </c>
      <c r="IJ187" s="675">
        <v>0</v>
      </c>
      <c r="IK187" s="675">
        <v>0</v>
      </c>
      <c r="IL187" s="675">
        <v>0</v>
      </c>
      <c r="IM187" s="675">
        <v>0</v>
      </c>
      <c r="IN187" s="675">
        <v>0</v>
      </c>
      <c r="IO187" s="675">
        <v>0</v>
      </c>
      <c r="IP187" s="675">
        <v>0</v>
      </c>
      <c r="IQ187" s="675">
        <v>0</v>
      </c>
      <c r="IR187" s="675">
        <v>0</v>
      </c>
      <c r="IS187" s="675">
        <v>0</v>
      </c>
      <c r="IT187" s="675">
        <v>0</v>
      </c>
      <c r="IU187" s="675">
        <v>0</v>
      </c>
      <c r="IV187" s="675">
        <v>0</v>
      </c>
      <c r="IW187" s="675">
        <v>6160</v>
      </c>
      <c r="IX187" s="675">
        <v>0</v>
      </c>
      <c r="IY187" s="675">
        <v>0</v>
      </c>
      <c r="IZ187" s="675">
        <v>0</v>
      </c>
      <c r="JA187" s="675">
        <v>0</v>
      </c>
      <c r="JB187" s="675">
        <v>0</v>
      </c>
      <c r="JC187" s="675">
        <v>0</v>
      </c>
      <c r="JD187" s="675">
        <v>0</v>
      </c>
      <c r="JE187" s="675">
        <v>0</v>
      </c>
      <c r="JF187" s="675">
        <v>0</v>
      </c>
      <c r="JG187" s="675">
        <v>0</v>
      </c>
      <c r="JH187" s="675">
        <v>0</v>
      </c>
      <c r="JI187" s="675">
        <v>0</v>
      </c>
      <c r="JJ187" s="675">
        <v>0</v>
      </c>
      <c r="JK187" s="675">
        <v>0</v>
      </c>
      <c r="JL187" s="675">
        <v>0</v>
      </c>
      <c r="JM187" s="675">
        <v>0</v>
      </c>
      <c r="JN187" s="675">
        <v>0</v>
      </c>
      <c r="JO187" s="675">
        <v>0</v>
      </c>
      <c r="JP187" s="675">
        <v>0</v>
      </c>
      <c r="JQ187" s="675">
        <v>0</v>
      </c>
      <c r="JR187" s="675">
        <v>0</v>
      </c>
      <c r="JS187" s="675">
        <v>0</v>
      </c>
      <c r="JT187" s="675">
        <v>0</v>
      </c>
      <c r="JU187" s="675">
        <v>0</v>
      </c>
      <c r="JV187" s="675">
        <v>0</v>
      </c>
      <c r="JW187" s="675">
        <v>0</v>
      </c>
      <c r="JX187" s="675">
        <v>0</v>
      </c>
      <c r="JY187" s="675">
        <v>0</v>
      </c>
      <c r="JZ187" s="675">
        <v>0</v>
      </c>
      <c r="KA187" s="675">
        <v>0</v>
      </c>
      <c r="KB187" s="675">
        <v>0</v>
      </c>
      <c r="KC187" s="675">
        <v>0</v>
      </c>
      <c r="KD187" s="675">
        <v>0</v>
      </c>
      <c r="KE187" s="675">
        <v>7263</v>
      </c>
      <c r="KF187" s="675">
        <v>0</v>
      </c>
      <c r="KG187" s="675">
        <v>0</v>
      </c>
      <c r="KH187" s="675">
        <v>0</v>
      </c>
      <c r="KI187" s="675">
        <v>0</v>
      </c>
    </row>
    <row r="188" spans="1:295" ht="12.5" x14ac:dyDescent="0.25">
      <c r="A188" s="675">
        <v>35795</v>
      </c>
      <c r="B188" s="675">
        <v>101878</v>
      </c>
      <c r="C188" s="675">
        <v>7</v>
      </c>
      <c r="D188" s="675">
        <v>2022</v>
      </c>
      <c r="E188" s="675">
        <v>6160</v>
      </c>
      <c r="F188" s="675">
        <v>0</v>
      </c>
      <c r="G188" s="675">
        <v>117.90300000000001</v>
      </c>
      <c r="H188" s="675">
        <v>117.90300000000001</v>
      </c>
      <c r="I188" s="675">
        <v>117.90300000000001</v>
      </c>
      <c r="J188" s="675">
        <v>117.90300000000001</v>
      </c>
      <c r="K188" s="675">
        <v>0</v>
      </c>
      <c r="L188" s="675">
        <v>6160</v>
      </c>
      <c r="M188" s="675">
        <v>0</v>
      </c>
      <c r="N188" s="675">
        <v>0</v>
      </c>
      <c r="O188" s="675">
        <v>0</v>
      </c>
      <c r="P188" s="675">
        <v>41.14</v>
      </c>
      <c r="Q188" s="675">
        <v>0</v>
      </c>
      <c r="R188" s="675">
        <v>16556</v>
      </c>
      <c r="S188" s="675">
        <v>402.428</v>
      </c>
      <c r="T188" s="675">
        <v>0</v>
      </c>
      <c r="U188" s="675">
        <v>8806</v>
      </c>
      <c r="V188" s="675">
        <v>6.4270000000000005</v>
      </c>
      <c r="W188" s="675">
        <v>3959</v>
      </c>
      <c r="X188" s="675">
        <v>3959</v>
      </c>
      <c r="Y188" s="675">
        <v>0</v>
      </c>
      <c r="Z188" s="675">
        <v>0</v>
      </c>
      <c r="AA188" s="675">
        <v>0</v>
      </c>
      <c r="AB188" s="675">
        <v>0</v>
      </c>
      <c r="AC188" s="675">
        <v>0</v>
      </c>
      <c r="AD188" s="675" t="s">
        <v>316</v>
      </c>
      <c r="AE188" s="675">
        <v>0</v>
      </c>
      <c r="AF188" s="675">
        <v>0</v>
      </c>
      <c r="AG188" s="675">
        <v>0</v>
      </c>
      <c r="AH188" s="675">
        <v>0</v>
      </c>
      <c r="AI188" s="675">
        <v>0</v>
      </c>
      <c r="AJ188" s="675">
        <v>6160</v>
      </c>
      <c r="AK188" s="675" t="s">
        <v>671</v>
      </c>
      <c r="AL188" s="675" t="s">
        <v>548</v>
      </c>
      <c r="AM188" s="675">
        <v>0</v>
      </c>
      <c r="AN188" s="675">
        <v>0</v>
      </c>
      <c r="AO188" s="675">
        <v>0</v>
      </c>
      <c r="AP188" s="675">
        <v>0</v>
      </c>
      <c r="AQ188" s="675">
        <v>0</v>
      </c>
      <c r="AR188" s="675">
        <v>0</v>
      </c>
      <c r="AS188" s="675">
        <v>0</v>
      </c>
      <c r="AT188" s="675">
        <v>0</v>
      </c>
      <c r="AU188" s="675">
        <v>0</v>
      </c>
      <c r="AV188" s="675">
        <v>-26</v>
      </c>
      <c r="AW188" s="675">
        <v>1166395</v>
      </c>
      <c r="AX188" s="675">
        <v>1166395</v>
      </c>
      <c r="AY188" s="675">
        <v>742740</v>
      </c>
      <c r="AZ188" s="675">
        <v>16556</v>
      </c>
      <c r="BA188" s="675">
        <v>0</v>
      </c>
      <c r="BB188" s="675">
        <v>0</v>
      </c>
      <c r="BC188" s="675">
        <v>0</v>
      </c>
      <c r="BD188" s="675">
        <v>0</v>
      </c>
      <c r="BE188" s="675">
        <v>0</v>
      </c>
      <c r="BF188" s="675">
        <v>1053611</v>
      </c>
      <c r="BG188" s="675">
        <v>0</v>
      </c>
      <c r="BH188" s="675">
        <v>0</v>
      </c>
      <c r="BI188" s="675">
        <v>0</v>
      </c>
      <c r="BJ188" s="675">
        <v>12</v>
      </c>
      <c r="BK188" s="675">
        <v>0</v>
      </c>
      <c r="BL188" s="675">
        <v>0</v>
      </c>
      <c r="BM188" s="675">
        <v>0</v>
      </c>
      <c r="BN188" s="675">
        <v>0</v>
      </c>
      <c r="BO188" s="675">
        <v>0</v>
      </c>
      <c r="BP188" s="675">
        <v>0</v>
      </c>
      <c r="BQ188" s="675">
        <v>752</v>
      </c>
      <c r="BR188" s="675">
        <v>0</v>
      </c>
      <c r="BS188" s="675">
        <v>0</v>
      </c>
      <c r="BT188" s="675">
        <v>0</v>
      </c>
      <c r="BU188" s="675">
        <v>0</v>
      </c>
      <c r="BV188" s="675">
        <v>0</v>
      </c>
      <c r="BW188" s="675">
        <v>0</v>
      </c>
      <c r="BX188" s="675">
        <v>0</v>
      </c>
      <c r="BY188" s="675">
        <v>0</v>
      </c>
      <c r="BZ188" s="675">
        <v>0</v>
      </c>
      <c r="CA188" s="675">
        <v>0</v>
      </c>
      <c r="CB188" s="675">
        <v>0</v>
      </c>
      <c r="CC188" s="675">
        <v>0</v>
      </c>
      <c r="CD188" s="675">
        <v>0</v>
      </c>
      <c r="CE188" s="675">
        <v>0</v>
      </c>
      <c r="CF188" s="675">
        <v>0</v>
      </c>
      <c r="CG188" s="675">
        <v>0</v>
      </c>
      <c r="CH188" s="675">
        <v>0</v>
      </c>
      <c r="CI188" s="675">
        <v>0</v>
      </c>
      <c r="CJ188" s="675">
        <v>4</v>
      </c>
      <c r="CK188" s="675">
        <v>0</v>
      </c>
      <c r="CL188" s="675">
        <v>0</v>
      </c>
      <c r="CM188" s="675">
        <v>0</v>
      </c>
      <c r="CN188" s="675">
        <v>0</v>
      </c>
      <c r="CO188" s="675">
        <v>1</v>
      </c>
      <c r="CP188" s="675">
        <v>0</v>
      </c>
      <c r="CQ188" s="675">
        <v>0</v>
      </c>
      <c r="CR188" s="675">
        <v>46.798000000000002</v>
      </c>
      <c r="CS188" s="675">
        <v>0</v>
      </c>
      <c r="CT188" s="675">
        <v>0</v>
      </c>
      <c r="CU188" s="675">
        <v>0</v>
      </c>
      <c r="CV188" s="675">
        <v>0</v>
      </c>
      <c r="CW188" s="675">
        <v>0</v>
      </c>
      <c r="CX188" s="675">
        <v>0</v>
      </c>
      <c r="CY188" s="675">
        <v>0</v>
      </c>
      <c r="CZ188" s="675">
        <v>0</v>
      </c>
      <c r="DA188" s="675">
        <v>0</v>
      </c>
      <c r="DB188" s="675">
        <v>726279</v>
      </c>
      <c r="DC188" s="675">
        <v>0</v>
      </c>
      <c r="DD188" s="675">
        <v>0</v>
      </c>
      <c r="DE188" s="675">
        <v>136751</v>
      </c>
      <c r="DF188" s="675">
        <v>136751</v>
      </c>
      <c r="DG188" s="675">
        <v>22.2</v>
      </c>
      <c r="DH188" s="675">
        <v>0</v>
      </c>
      <c r="DI188" s="675">
        <v>0</v>
      </c>
      <c r="DJ188" s="675">
        <v>0</v>
      </c>
      <c r="DK188" s="675">
        <v>3652</v>
      </c>
      <c r="DL188" s="675">
        <v>0</v>
      </c>
      <c r="DM188" s="675">
        <v>0</v>
      </c>
      <c r="DN188" s="675">
        <v>0</v>
      </c>
      <c r="DO188" s="675">
        <v>0</v>
      </c>
      <c r="DP188" s="675">
        <v>0</v>
      </c>
      <c r="DQ188" s="675">
        <v>0</v>
      </c>
      <c r="DR188" s="675">
        <v>0</v>
      </c>
      <c r="DS188" s="675">
        <v>0</v>
      </c>
      <c r="DT188" s="675">
        <v>0</v>
      </c>
      <c r="DU188" s="675">
        <v>0</v>
      </c>
      <c r="DV188" s="675">
        <v>0</v>
      </c>
      <c r="DW188" s="675">
        <v>0</v>
      </c>
      <c r="DX188" s="675">
        <v>0</v>
      </c>
      <c r="DY188" s="675">
        <v>0</v>
      </c>
      <c r="DZ188" s="675">
        <v>0</v>
      </c>
      <c r="EA188" s="675">
        <v>0</v>
      </c>
      <c r="EB188" s="675">
        <v>0</v>
      </c>
      <c r="EC188" s="675">
        <v>0</v>
      </c>
      <c r="ED188" s="675">
        <v>0</v>
      </c>
      <c r="EE188" s="675">
        <v>0</v>
      </c>
      <c r="EF188" s="675">
        <v>0</v>
      </c>
      <c r="EG188" s="675">
        <v>0</v>
      </c>
      <c r="EH188" s="675">
        <v>0</v>
      </c>
      <c r="EI188" s="675">
        <v>0</v>
      </c>
      <c r="EJ188" s="675">
        <v>0</v>
      </c>
      <c r="EK188" s="675">
        <v>0</v>
      </c>
      <c r="EL188" s="675">
        <v>0</v>
      </c>
      <c r="EM188" s="675">
        <v>0</v>
      </c>
      <c r="EN188" s="675">
        <v>0</v>
      </c>
      <c r="EO188" s="675">
        <v>0</v>
      </c>
      <c r="EP188" s="675">
        <v>0</v>
      </c>
      <c r="EQ188" s="675">
        <v>0</v>
      </c>
      <c r="ER188" s="675">
        <v>0</v>
      </c>
      <c r="ES188" s="675">
        <v>0</v>
      </c>
      <c r="ET188" s="675">
        <v>0</v>
      </c>
      <c r="EU188" s="675">
        <v>0</v>
      </c>
      <c r="EV188" s="675">
        <v>0</v>
      </c>
      <c r="EW188" s="675">
        <v>0</v>
      </c>
      <c r="EX188" s="675">
        <v>0</v>
      </c>
      <c r="EY188" s="675">
        <v>0</v>
      </c>
      <c r="EZ188" s="675">
        <v>1037055</v>
      </c>
      <c r="FA188" s="675">
        <v>0</v>
      </c>
      <c r="FB188" s="675">
        <v>1053611</v>
      </c>
      <c r="FC188" s="675">
        <v>0</v>
      </c>
      <c r="FD188" s="675">
        <v>0</v>
      </c>
      <c r="FE188" s="675">
        <v>107174</v>
      </c>
      <c r="FF188" s="675">
        <v>22166</v>
      </c>
      <c r="FG188" s="675">
        <v>6.3574999999999993E-2</v>
      </c>
      <c r="FH188" s="675">
        <v>2.6297999999999998E-2</v>
      </c>
      <c r="FI188" s="675">
        <v>0</v>
      </c>
      <c r="FJ188" s="675">
        <v>0</v>
      </c>
      <c r="FK188" s="675">
        <v>171.042</v>
      </c>
      <c r="FL188" s="675">
        <v>1182951</v>
      </c>
      <c r="FM188" s="675">
        <v>0</v>
      </c>
      <c r="FN188" s="675">
        <v>0</v>
      </c>
      <c r="FO188" s="675">
        <v>0</v>
      </c>
      <c r="FP188" s="675">
        <v>0</v>
      </c>
      <c r="FQ188" s="675">
        <v>0</v>
      </c>
      <c r="FR188" s="675">
        <v>0</v>
      </c>
      <c r="FS188" s="675">
        <v>0</v>
      </c>
      <c r="FT188" s="675">
        <v>0</v>
      </c>
      <c r="FU188" s="675">
        <v>0</v>
      </c>
      <c r="FV188" s="675">
        <v>0</v>
      </c>
      <c r="FW188" s="675">
        <v>0</v>
      </c>
      <c r="FX188" s="675">
        <v>0</v>
      </c>
      <c r="FY188" s="675">
        <v>0</v>
      </c>
      <c r="FZ188" s="675">
        <v>0</v>
      </c>
      <c r="GA188" s="675">
        <v>0</v>
      </c>
      <c r="GB188" s="675">
        <v>0</v>
      </c>
      <c r="GC188" s="675">
        <v>0</v>
      </c>
      <c r="GD188" s="675">
        <v>0</v>
      </c>
      <c r="GE188" s="675">
        <v>0</v>
      </c>
      <c r="GF188" s="675">
        <v>0</v>
      </c>
      <c r="GG188" s="675">
        <v>0</v>
      </c>
      <c r="GH188" s="675">
        <v>0</v>
      </c>
      <c r="GI188" s="675">
        <v>0</v>
      </c>
      <c r="GJ188" s="675">
        <v>0</v>
      </c>
      <c r="GK188" s="675">
        <v>0</v>
      </c>
      <c r="GL188" s="675">
        <v>0</v>
      </c>
      <c r="GM188" s="675">
        <v>0</v>
      </c>
      <c r="GN188" s="675">
        <v>0</v>
      </c>
      <c r="GO188" s="675">
        <v>0</v>
      </c>
      <c r="GP188" s="675">
        <v>0</v>
      </c>
      <c r="GQ188" s="675">
        <v>0</v>
      </c>
      <c r="GR188" s="675">
        <v>0</v>
      </c>
      <c r="GS188" s="675">
        <v>0</v>
      </c>
      <c r="GT188" s="675">
        <v>0</v>
      </c>
      <c r="GU188" s="675">
        <v>0</v>
      </c>
      <c r="GV188" s="675">
        <v>0</v>
      </c>
      <c r="GW188" s="675">
        <v>0</v>
      </c>
      <c r="GX188" s="675">
        <v>0</v>
      </c>
      <c r="GY188" s="675">
        <v>0</v>
      </c>
      <c r="GZ188" s="675">
        <v>0</v>
      </c>
      <c r="HA188" s="675">
        <v>0</v>
      </c>
      <c r="HB188" s="675">
        <v>0</v>
      </c>
      <c r="HC188" s="675">
        <v>4.4138999999999998E-2</v>
      </c>
      <c r="HD188" s="675">
        <v>0</v>
      </c>
      <c r="HE188" s="675">
        <v>0</v>
      </c>
      <c r="HF188" s="675">
        <v>130047</v>
      </c>
      <c r="HG188" s="675">
        <v>0</v>
      </c>
      <c r="HH188" s="675">
        <v>55429</v>
      </c>
      <c r="HI188" s="675">
        <v>0</v>
      </c>
      <c r="HJ188" s="675">
        <v>1146</v>
      </c>
      <c r="HK188" s="675">
        <v>0</v>
      </c>
      <c r="HL188" s="675">
        <v>0</v>
      </c>
      <c r="HM188" s="675">
        <v>0</v>
      </c>
      <c r="HN188" s="675">
        <v>0</v>
      </c>
      <c r="HO188" s="675">
        <v>0</v>
      </c>
      <c r="HP188" s="675">
        <v>0</v>
      </c>
      <c r="HQ188" s="675">
        <v>0</v>
      </c>
      <c r="HR188" s="675">
        <v>0</v>
      </c>
      <c r="HS188" s="675">
        <v>1037055</v>
      </c>
      <c r="HT188" s="675">
        <v>22166</v>
      </c>
      <c r="HU188" s="675">
        <v>0</v>
      </c>
      <c r="HV188" s="675">
        <v>0</v>
      </c>
      <c r="HW188" s="675">
        <v>0</v>
      </c>
      <c r="HX188" s="675">
        <v>12</v>
      </c>
      <c r="HY188" s="675">
        <v>19</v>
      </c>
      <c r="HZ188" s="675">
        <v>29</v>
      </c>
      <c r="IA188" s="675">
        <v>19</v>
      </c>
      <c r="IB188" s="675">
        <v>10</v>
      </c>
      <c r="IC188" s="675">
        <v>89</v>
      </c>
      <c r="ID188" s="675">
        <v>0</v>
      </c>
      <c r="IE188" s="675">
        <v>0</v>
      </c>
      <c r="IF188" s="675">
        <v>0</v>
      </c>
      <c r="IG188" s="675">
        <v>0</v>
      </c>
      <c r="IH188" s="675">
        <v>89.981999999999999</v>
      </c>
      <c r="II188" s="675">
        <v>0</v>
      </c>
      <c r="IJ188" s="675">
        <v>6.4270000000000005</v>
      </c>
      <c r="IK188" s="675">
        <v>0</v>
      </c>
      <c r="IL188" s="675">
        <v>0</v>
      </c>
      <c r="IM188" s="675">
        <v>0</v>
      </c>
      <c r="IN188" s="675">
        <v>0</v>
      </c>
      <c r="IO188" s="675">
        <v>0</v>
      </c>
      <c r="IP188" s="675">
        <v>0</v>
      </c>
      <c r="IQ188" s="675">
        <v>6.4270000000000005</v>
      </c>
      <c r="IR188" s="675">
        <v>3959</v>
      </c>
      <c r="IS188" s="675">
        <v>0</v>
      </c>
      <c r="IT188" s="675">
        <v>0</v>
      </c>
      <c r="IU188" s="675">
        <v>0</v>
      </c>
      <c r="IV188" s="675">
        <v>0</v>
      </c>
      <c r="IW188" s="675">
        <v>6160</v>
      </c>
      <c r="IX188" s="675">
        <v>0</v>
      </c>
      <c r="IY188" s="675">
        <v>0</v>
      </c>
      <c r="IZ188" s="675">
        <v>0</v>
      </c>
      <c r="JA188" s="675">
        <v>0</v>
      </c>
      <c r="JB188" s="675">
        <v>0</v>
      </c>
      <c r="JC188" s="675">
        <v>0</v>
      </c>
      <c r="JD188" s="675">
        <v>0</v>
      </c>
      <c r="JE188" s="675">
        <v>0</v>
      </c>
      <c r="JF188" s="675">
        <v>0</v>
      </c>
      <c r="JG188" s="675">
        <v>0</v>
      </c>
      <c r="JH188" s="675">
        <v>0</v>
      </c>
      <c r="JI188" s="675">
        <v>0</v>
      </c>
      <c r="JJ188" s="675">
        <v>0</v>
      </c>
      <c r="JK188" s="675">
        <v>0</v>
      </c>
      <c r="JL188" s="675">
        <v>0</v>
      </c>
      <c r="JM188" s="675">
        <v>0</v>
      </c>
      <c r="JN188" s="675">
        <v>0</v>
      </c>
      <c r="JO188" s="675">
        <v>0</v>
      </c>
      <c r="JP188" s="675">
        <v>0</v>
      </c>
      <c r="JQ188" s="675">
        <v>0</v>
      </c>
      <c r="JR188" s="675">
        <v>0</v>
      </c>
      <c r="JS188" s="675">
        <v>0</v>
      </c>
      <c r="JT188" s="675">
        <v>0</v>
      </c>
      <c r="JU188" s="675">
        <v>0</v>
      </c>
      <c r="JV188" s="675">
        <v>0</v>
      </c>
      <c r="JW188" s="675">
        <v>0</v>
      </c>
      <c r="JX188" s="675">
        <v>0</v>
      </c>
      <c r="JY188" s="675">
        <v>0</v>
      </c>
      <c r="JZ188" s="675">
        <v>0</v>
      </c>
      <c r="KA188" s="675">
        <v>0</v>
      </c>
      <c r="KB188" s="675">
        <v>0</v>
      </c>
      <c r="KC188" s="675">
        <v>0</v>
      </c>
      <c r="KD188" s="675">
        <v>0</v>
      </c>
      <c r="KE188" s="675">
        <v>7263</v>
      </c>
      <c r="KF188" s="675">
        <v>0</v>
      </c>
      <c r="KG188" s="675">
        <v>0</v>
      </c>
      <c r="KH188" s="675">
        <v>0</v>
      </c>
      <c r="KI188" s="675">
        <v>0</v>
      </c>
    </row>
    <row r="189" spans="1:295" x14ac:dyDescent="0.3">
      <c r="HD189" s="675">
        <f>SUM(HD4:HD188)</f>
        <v>59999992</v>
      </c>
    </row>
  </sheetData>
  <sheetProtection algorithmName="SHA-512" hashValue="9UAWjt6P3k5P4ZPoMCpAXKUMHdH7nNHstC77VN2dKo1surBpvIvf1tgz1KIjv9SOl485Sef95wQiEElSWkx5wQ==" saltValue="wop74Jtcjhk9U9V/x+BTIg==" spinCount="100000" sheet="1" objects="1" scenarios="1"/>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1A3-CEF5-4015-BF60-EDD0568E0366}">
  <sheetPr codeName="Sheet7">
    <tabColor theme="3" tint="-0.249977111117893"/>
  </sheetPr>
  <dimension ref="A1:X188"/>
  <sheetViews>
    <sheetView workbookViewId="0">
      <pane ySplit="1" topLeftCell="A2" activePane="bottomLeft" state="frozen"/>
      <selection pane="bottomLeft" activeCell="A3" sqref="A3"/>
    </sheetView>
  </sheetViews>
  <sheetFormatPr defaultColWidth="9.1796875" defaultRowHeight="12.5" x14ac:dyDescent="0.25"/>
  <cols>
    <col min="1" max="1" width="11.7265625" style="1" bestFit="1" customWidth="1"/>
    <col min="2" max="2" width="12.453125" style="1" bestFit="1" customWidth="1"/>
    <col min="3" max="3" width="16" style="1" bestFit="1" customWidth="1"/>
    <col min="4" max="4" width="15.7265625" style="1" bestFit="1" customWidth="1"/>
    <col min="5" max="5" width="14.453125" style="1" bestFit="1" customWidth="1"/>
    <col min="6" max="6" width="23.453125" style="1" bestFit="1" customWidth="1"/>
    <col min="7" max="7" width="11.1796875" style="1" bestFit="1" customWidth="1"/>
    <col min="8" max="8" width="18.453125" style="1" bestFit="1" customWidth="1"/>
    <col min="9" max="9" width="11.7265625" style="1" bestFit="1" customWidth="1"/>
    <col min="10" max="10" width="19.453125" style="1" bestFit="1" customWidth="1"/>
    <col min="11" max="11" width="15.1796875" style="1" bestFit="1" customWidth="1"/>
    <col min="12" max="12" width="16.81640625" style="1" bestFit="1" customWidth="1"/>
    <col min="13" max="13" width="11.1796875" style="1" bestFit="1" customWidth="1"/>
    <col min="14" max="15" width="9.1796875" style="1"/>
    <col min="16" max="16" width="18" style="1" bestFit="1" customWidth="1"/>
    <col min="17" max="17" width="23" style="1" bestFit="1" customWidth="1"/>
    <col min="18" max="20" width="9.1796875" style="1"/>
    <col min="21" max="21" width="26.453125" style="1" bestFit="1" customWidth="1"/>
    <col min="22" max="22" width="29.26953125" style="1" bestFit="1" customWidth="1"/>
    <col min="23" max="23" width="24.453125" style="1" bestFit="1" customWidth="1"/>
    <col min="24" max="24" width="11.7265625" style="1" bestFit="1" customWidth="1"/>
    <col min="25" max="16384" width="9.1796875" style="1"/>
  </cols>
  <sheetData>
    <row r="1" spans="1:24" x14ac:dyDescent="0.25">
      <c r="A1" s="1" t="s">
        <v>122</v>
      </c>
      <c r="B1" s="1" t="s">
        <v>121</v>
      </c>
      <c r="C1" s="1" t="s">
        <v>423</v>
      </c>
      <c r="D1" s="1" t="s">
        <v>549</v>
      </c>
      <c r="E1" s="1" t="s">
        <v>550</v>
      </c>
      <c r="F1" s="833" t="s">
        <v>551</v>
      </c>
      <c r="G1" s="1" t="s">
        <v>552</v>
      </c>
      <c r="H1" s="1" t="s">
        <v>553</v>
      </c>
      <c r="I1" s="1" t="s">
        <v>554</v>
      </c>
      <c r="J1" s="1" t="s">
        <v>555</v>
      </c>
      <c r="K1" s="1" t="s">
        <v>556</v>
      </c>
      <c r="L1" s="1" t="s">
        <v>557</v>
      </c>
      <c r="M1" s="1" t="s">
        <v>558</v>
      </c>
      <c r="N1" s="1" t="s">
        <v>696</v>
      </c>
      <c r="O1" s="1" t="s">
        <v>697</v>
      </c>
      <c r="P1" s="1" t="s">
        <v>698</v>
      </c>
      <c r="Q1" s="1" t="s">
        <v>699</v>
      </c>
      <c r="R1" s="1" t="s">
        <v>700</v>
      </c>
      <c r="S1" s="1" t="s">
        <v>701</v>
      </c>
      <c r="T1" s="1" t="s">
        <v>702</v>
      </c>
      <c r="U1" s="1" t="s">
        <v>703</v>
      </c>
      <c r="V1" s="1" t="s">
        <v>704</v>
      </c>
      <c r="W1" s="1" t="s">
        <v>776</v>
      </c>
      <c r="X1" s="1" t="s">
        <v>777</v>
      </c>
    </row>
    <row r="2" spans="1:24" x14ac:dyDescent="0.25">
      <c r="A2" s="1">
        <v>1</v>
      </c>
      <c r="B2" s="1">
        <v>2</v>
      </c>
      <c r="C2" s="1">
        <v>3</v>
      </c>
      <c r="D2" s="1">
        <v>4</v>
      </c>
      <c r="E2" s="1">
        <v>5</v>
      </c>
      <c r="F2" s="833">
        <v>6</v>
      </c>
      <c r="G2" s="1">
        <v>7</v>
      </c>
      <c r="H2" s="1">
        <v>8</v>
      </c>
      <c r="I2" s="1">
        <v>9</v>
      </c>
      <c r="J2" s="1">
        <v>10</v>
      </c>
      <c r="K2" s="1">
        <v>11</v>
      </c>
      <c r="L2" s="1">
        <v>12</v>
      </c>
      <c r="M2" s="1">
        <v>13</v>
      </c>
      <c r="N2" s="1">
        <v>14</v>
      </c>
      <c r="O2" s="1">
        <v>15</v>
      </c>
      <c r="P2" s="1">
        <v>16</v>
      </c>
      <c r="Q2" s="1">
        <v>17</v>
      </c>
      <c r="R2" s="1">
        <v>18</v>
      </c>
      <c r="S2" s="1">
        <v>19</v>
      </c>
      <c r="T2" s="1">
        <v>20</v>
      </c>
      <c r="U2" s="1">
        <v>21</v>
      </c>
      <c r="V2" s="1">
        <v>22</v>
      </c>
      <c r="W2" s="1">
        <v>23</v>
      </c>
      <c r="X2" s="1">
        <v>24</v>
      </c>
    </row>
    <row r="3" spans="1:24" x14ac:dyDescent="0.25">
      <c r="A3" s="1">
        <v>0</v>
      </c>
      <c r="B3" s="1">
        <v>0</v>
      </c>
      <c r="C3" s="1">
        <v>0</v>
      </c>
      <c r="D3" s="1">
        <v>0</v>
      </c>
      <c r="E3" s="1">
        <v>0</v>
      </c>
      <c r="F3" s="833">
        <v>9259</v>
      </c>
    </row>
    <row r="4" spans="1:24" x14ac:dyDescent="0.25">
      <c r="A4" s="1">
        <v>3801</v>
      </c>
      <c r="B4" s="1">
        <v>35795</v>
      </c>
      <c r="C4" s="1">
        <v>9</v>
      </c>
      <c r="D4" s="1">
        <v>9654783</v>
      </c>
      <c r="E4" s="1">
        <v>9778</v>
      </c>
      <c r="F4" s="1">
        <v>9259</v>
      </c>
      <c r="G4" s="1">
        <v>10071</v>
      </c>
      <c r="H4" s="1">
        <v>11852</v>
      </c>
      <c r="I4" s="1">
        <v>10071</v>
      </c>
      <c r="L4" s="1">
        <v>8275667</v>
      </c>
      <c r="M4" s="1">
        <v>8749757</v>
      </c>
      <c r="P4" s="1">
        <v>9343570</v>
      </c>
      <c r="Q4" s="1">
        <v>9654783</v>
      </c>
      <c r="R4" s="1">
        <v>0</v>
      </c>
      <c r="S4" s="1">
        <v>1</v>
      </c>
      <c r="W4" s="1">
        <v>0</v>
      </c>
      <c r="X4" s="1">
        <v>987.399</v>
      </c>
    </row>
    <row r="5" spans="1:24" x14ac:dyDescent="0.25">
      <c r="A5" s="1">
        <v>13801</v>
      </c>
      <c r="B5" s="1">
        <v>35795</v>
      </c>
      <c r="C5" s="1">
        <v>9</v>
      </c>
      <c r="D5" s="1">
        <v>3990223</v>
      </c>
      <c r="E5" s="1">
        <v>9863</v>
      </c>
      <c r="F5" s="1">
        <v>9259</v>
      </c>
      <c r="G5" s="1">
        <v>10159</v>
      </c>
      <c r="H5" s="1">
        <v>11852</v>
      </c>
      <c r="I5" s="1">
        <v>10159</v>
      </c>
      <c r="L5" s="1">
        <v>3788505</v>
      </c>
      <c r="M5" s="1">
        <v>4016480</v>
      </c>
      <c r="P5" s="1">
        <v>3860022</v>
      </c>
      <c r="Q5" s="1">
        <v>3990223</v>
      </c>
      <c r="R5" s="1">
        <v>0</v>
      </c>
      <c r="S5" s="1">
        <v>1</v>
      </c>
      <c r="W5" s="1">
        <v>0</v>
      </c>
      <c r="X5" s="1">
        <v>404.56800000000004</v>
      </c>
    </row>
    <row r="6" spans="1:24" x14ac:dyDescent="0.25">
      <c r="A6" s="1">
        <v>14801</v>
      </c>
      <c r="B6" s="1">
        <v>35795</v>
      </c>
      <c r="C6" s="1">
        <v>9</v>
      </c>
      <c r="D6" s="1">
        <v>17549860</v>
      </c>
      <c r="E6" s="1">
        <v>11413</v>
      </c>
      <c r="F6" s="1">
        <v>9259</v>
      </c>
      <c r="G6" s="1">
        <v>11755</v>
      </c>
      <c r="H6" s="1">
        <v>11852</v>
      </c>
      <c r="I6" s="1">
        <v>11755</v>
      </c>
      <c r="L6" s="1">
        <v>13601019</v>
      </c>
      <c r="M6" s="1">
        <v>14297047</v>
      </c>
      <c r="P6" s="1">
        <v>17048276</v>
      </c>
      <c r="Q6" s="1">
        <v>17549860</v>
      </c>
      <c r="R6" s="1">
        <v>0</v>
      </c>
      <c r="S6" s="1">
        <v>1</v>
      </c>
      <c r="W6" s="1">
        <v>0</v>
      </c>
      <c r="X6" s="1">
        <v>1537.7640000000001</v>
      </c>
    </row>
    <row r="7" spans="1:24" x14ac:dyDescent="0.25">
      <c r="A7" s="1">
        <v>14803</v>
      </c>
      <c r="B7" s="1">
        <v>35795</v>
      </c>
      <c r="C7" s="1">
        <v>9</v>
      </c>
      <c r="D7" s="1">
        <v>7109163</v>
      </c>
      <c r="E7" s="1">
        <v>10057</v>
      </c>
      <c r="F7" s="1">
        <v>9259</v>
      </c>
      <c r="G7" s="1">
        <v>10359</v>
      </c>
      <c r="H7" s="1">
        <v>11852</v>
      </c>
      <c r="I7" s="1">
        <v>10359</v>
      </c>
      <c r="L7" s="1">
        <v>7439243</v>
      </c>
      <c r="M7" s="1">
        <v>7674080</v>
      </c>
      <c r="P7" s="1">
        <v>6887346</v>
      </c>
      <c r="Q7" s="1">
        <v>7109163</v>
      </c>
      <c r="R7" s="1">
        <v>0</v>
      </c>
      <c r="S7" s="1">
        <v>1</v>
      </c>
      <c r="W7" s="1">
        <v>0</v>
      </c>
      <c r="X7" s="1">
        <v>706.88600000000008</v>
      </c>
    </row>
    <row r="8" spans="1:24" x14ac:dyDescent="0.25">
      <c r="A8" s="1">
        <v>14804</v>
      </c>
      <c r="B8" s="1">
        <v>35795</v>
      </c>
      <c r="C8" s="1">
        <v>9</v>
      </c>
      <c r="D8" s="1">
        <v>16275227</v>
      </c>
      <c r="E8" s="1">
        <v>9365</v>
      </c>
      <c r="F8" s="1">
        <v>9259</v>
      </c>
      <c r="G8" s="1">
        <v>9646</v>
      </c>
      <c r="H8" s="1">
        <v>11852</v>
      </c>
      <c r="I8" s="1">
        <v>9646</v>
      </c>
      <c r="L8" s="1">
        <v>17062384</v>
      </c>
      <c r="M8" s="1">
        <v>17257673</v>
      </c>
      <c r="P8" s="1">
        <v>15745168</v>
      </c>
      <c r="Q8" s="1">
        <v>16275227</v>
      </c>
      <c r="R8" s="1">
        <v>0</v>
      </c>
      <c r="S8" s="1">
        <v>1</v>
      </c>
      <c r="W8" s="1">
        <v>0</v>
      </c>
      <c r="X8" s="1">
        <v>1737.817</v>
      </c>
    </row>
    <row r="9" spans="1:24" x14ac:dyDescent="0.25">
      <c r="A9" s="1">
        <v>15801</v>
      </c>
      <c r="B9" s="1">
        <v>35795</v>
      </c>
      <c r="C9" s="1">
        <v>9</v>
      </c>
      <c r="D9" s="1">
        <v>2205611</v>
      </c>
      <c r="E9" s="1">
        <v>12443</v>
      </c>
      <c r="F9" s="1">
        <v>9259</v>
      </c>
      <c r="G9" s="1">
        <v>12816</v>
      </c>
      <c r="H9" s="1">
        <v>11852</v>
      </c>
      <c r="I9" s="1">
        <v>11852</v>
      </c>
      <c r="L9" s="1">
        <v>1254141</v>
      </c>
      <c r="M9" s="1">
        <v>1360867</v>
      </c>
      <c r="P9" s="1">
        <v>2141727</v>
      </c>
      <c r="Q9" s="1">
        <v>2205611</v>
      </c>
      <c r="R9" s="1">
        <v>0</v>
      </c>
      <c r="S9" s="1">
        <v>1</v>
      </c>
      <c r="W9" s="1">
        <v>0</v>
      </c>
      <c r="X9" s="1">
        <v>177.261</v>
      </c>
    </row>
    <row r="10" spans="1:24" x14ac:dyDescent="0.25">
      <c r="A10" s="1">
        <v>15802</v>
      </c>
      <c r="B10" s="1">
        <v>35795</v>
      </c>
      <c r="C10" s="1">
        <v>9</v>
      </c>
      <c r="D10" s="1">
        <v>8472568</v>
      </c>
      <c r="E10" s="1">
        <v>11215</v>
      </c>
      <c r="F10" s="1">
        <v>9259</v>
      </c>
      <c r="G10" s="1">
        <v>11552</v>
      </c>
      <c r="H10" s="1">
        <v>11852</v>
      </c>
      <c r="I10" s="1">
        <v>11552</v>
      </c>
      <c r="L10" s="1">
        <v>6850666</v>
      </c>
      <c r="M10" s="1">
        <v>7057714</v>
      </c>
      <c r="P10" s="1">
        <v>8215259</v>
      </c>
      <c r="Q10" s="1">
        <v>8472568</v>
      </c>
      <c r="R10" s="1">
        <v>0</v>
      </c>
      <c r="S10" s="1">
        <v>1</v>
      </c>
      <c r="W10" s="1">
        <v>0</v>
      </c>
      <c r="X10" s="1">
        <v>755.45500000000004</v>
      </c>
    </row>
    <row r="11" spans="1:24" x14ac:dyDescent="0.25">
      <c r="A11" s="1">
        <v>15805</v>
      </c>
      <c r="B11" s="1">
        <v>35795</v>
      </c>
      <c r="C11" s="1">
        <v>9</v>
      </c>
      <c r="D11" s="1">
        <v>5326361</v>
      </c>
      <c r="E11" s="1">
        <v>10122</v>
      </c>
      <c r="F11" s="1">
        <v>9259</v>
      </c>
      <c r="G11" s="1">
        <v>10425</v>
      </c>
      <c r="H11" s="1">
        <v>11852</v>
      </c>
      <c r="I11" s="1">
        <v>10425</v>
      </c>
      <c r="L11" s="1">
        <v>1491685</v>
      </c>
      <c r="M11" s="1">
        <v>1549378</v>
      </c>
      <c r="P11" s="1">
        <v>5142973</v>
      </c>
      <c r="Q11" s="1">
        <v>5326361</v>
      </c>
      <c r="R11" s="1">
        <v>0</v>
      </c>
      <c r="S11" s="1">
        <v>1</v>
      </c>
      <c r="W11" s="1">
        <v>0</v>
      </c>
      <c r="X11" s="1">
        <v>526.24099999999999</v>
      </c>
    </row>
    <row r="12" spans="1:24" x14ac:dyDescent="0.25">
      <c r="A12" s="1">
        <v>15806</v>
      </c>
      <c r="B12" s="1">
        <v>35795</v>
      </c>
      <c r="C12" s="1">
        <v>9</v>
      </c>
      <c r="D12" s="1">
        <v>4713666</v>
      </c>
      <c r="E12" s="1">
        <v>11615</v>
      </c>
      <c r="F12" s="1">
        <v>9259</v>
      </c>
      <c r="G12" s="1">
        <v>11963</v>
      </c>
      <c r="H12" s="1">
        <v>11852</v>
      </c>
      <c r="I12" s="1">
        <v>11852</v>
      </c>
      <c r="L12" s="1">
        <v>3550344</v>
      </c>
      <c r="M12" s="1">
        <v>3526989</v>
      </c>
      <c r="P12" s="1">
        <v>4535731</v>
      </c>
      <c r="Q12" s="1">
        <v>4713666</v>
      </c>
      <c r="R12" s="1">
        <v>0</v>
      </c>
      <c r="S12" s="1">
        <v>1</v>
      </c>
      <c r="W12" s="1">
        <v>0</v>
      </c>
      <c r="X12" s="1">
        <v>405.83300000000003</v>
      </c>
    </row>
    <row r="13" spans="1:24" x14ac:dyDescent="0.25">
      <c r="A13" s="1">
        <v>15807</v>
      </c>
      <c r="B13" s="1">
        <v>35795</v>
      </c>
      <c r="C13" s="1">
        <v>9</v>
      </c>
      <c r="D13" s="1">
        <v>8980823</v>
      </c>
      <c r="E13" s="1">
        <v>10749</v>
      </c>
      <c r="F13" s="1">
        <v>9259</v>
      </c>
      <c r="G13" s="1">
        <v>11071</v>
      </c>
      <c r="H13" s="1">
        <v>11852</v>
      </c>
      <c r="I13" s="1">
        <v>11071</v>
      </c>
      <c r="L13" s="1">
        <v>7413118</v>
      </c>
      <c r="M13" s="1">
        <v>7701052</v>
      </c>
      <c r="P13" s="1">
        <v>8706541</v>
      </c>
      <c r="Q13" s="1">
        <v>8980823</v>
      </c>
      <c r="R13" s="1">
        <v>0</v>
      </c>
      <c r="S13" s="1">
        <v>1</v>
      </c>
      <c r="W13" s="1">
        <v>0</v>
      </c>
      <c r="X13" s="1">
        <v>835.51</v>
      </c>
    </row>
    <row r="14" spans="1:24" x14ac:dyDescent="0.25">
      <c r="A14" s="1">
        <v>15808</v>
      </c>
      <c r="B14" s="1">
        <v>35795</v>
      </c>
      <c r="C14" s="1">
        <v>9</v>
      </c>
      <c r="D14" s="1">
        <v>10726943</v>
      </c>
      <c r="E14" s="1">
        <v>13967</v>
      </c>
      <c r="F14" s="1">
        <v>9259</v>
      </c>
      <c r="G14" s="1">
        <v>14385</v>
      </c>
      <c r="H14" s="1">
        <v>11852</v>
      </c>
      <c r="I14" s="1">
        <v>11852</v>
      </c>
      <c r="L14" s="1">
        <v>6815754</v>
      </c>
      <c r="M14" s="1">
        <v>6636816</v>
      </c>
      <c r="P14" s="1">
        <v>10468941</v>
      </c>
      <c r="Q14" s="1">
        <v>10726943</v>
      </c>
      <c r="R14" s="1">
        <v>0</v>
      </c>
      <c r="S14" s="1">
        <v>1</v>
      </c>
      <c r="W14" s="1">
        <v>0</v>
      </c>
      <c r="X14" s="1">
        <v>768.048</v>
      </c>
    </row>
    <row r="15" spans="1:24" x14ac:dyDescent="0.25">
      <c r="A15" s="1">
        <v>15809</v>
      </c>
      <c r="B15" s="1">
        <v>35795</v>
      </c>
      <c r="C15" s="1">
        <v>9</v>
      </c>
      <c r="D15" s="1">
        <v>3032102</v>
      </c>
      <c r="E15" s="1">
        <v>10875</v>
      </c>
      <c r="F15" s="1">
        <v>9259</v>
      </c>
      <c r="G15" s="1">
        <v>11201</v>
      </c>
      <c r="H15" s="1">
        <v>11852</v>
      </c>
      <c r="I15" s="1">
        <v>11201</v>
      </c>
      <c r="L15" s="1">
        <v>2448395</v>
      </c>
      <c r="M15" s="1">
        <v>2531733</v>
      </c>
      <c r="P15" s="1">
        <v>2945529</v>
      </c>
      <c r="Q15" s="1">
        <v>3032102</v>
      </c>
      <c r="R15" s="1">
        <v>0</v>
      </c>
      <c r="S15" s="1">
        <v>1</v>
      </c>
      <c r="W15" s="1">
        <v>0</v>
      </c>
      <c r="X15" s="1">
        <v>278.81100000000004</v>
      </c>
    </row>
    <row r="16" spans="1:24" x14ac:dyDescent="0.25">
      <c r="A16" s="1">
        <v>15814</v>
      </c>
      <c r="B16" s="1">
        <v>35795</v>
      </c>
      <c r="C16" s="1">
        <v>9</v>
      </c>
      <c r="D16" s="1">
        <v>1264019</v>
      </c>
      <c r="E16" s="1">
        <v>11379</v>
      </c>
      <c r="F16" s="1">
        <v>9259</v>
      </c>
      <c r="G16" s="1">
        <v>11720</v>
      </c>
      <c r="H16" s="1">
        <v>11852</v>
      </c>
      <c r="I16" s="1">
        <v>11720</v>
      </c>
      <c r="L16" s="1">
        <v>663188</v>
      </c>
      <c r="M16" s="1">
        <v>728829</v>
      </c>
      <c r="P16" s="1">
        <v>1231363</v>
      </c>
      <c r="Q16" s="1">
        <v>1264019</v>
      </c>
      <c r="R16" s="1">
        <v>0</v>
      </c>
      <c r="S16" s="1">
        <v>1</v>
      </c>
      <c r="W16" s="1">
        <v>0</v>
      </c>
      <c r="X16" s="1">
        <v>111.08500000000001</v>
      </c>
    </row>
    <row r="17" spans="1:24" x14ac:dyDescent="0.25">
      <c r="A17" s="1">
        <v>15815</v>
      </c>
      <c r="B17" s="1">
        <v>35795</v>
      </c>
      <c r="C17" s="1">
        <v>9</v>
      </c>
      <c r="D17" s="1">
        <v>6312008</v>
      </c>
      <c r="E17" s="1">
        <v>10384</v>
      </c>
      <c r="F17" s="1">
        <v>9259</v>
      </c>
      <c r="G17" s="1">
        <v>10696</v>
      </c>
      <c r="H17" s="1">
        <v>11852</v>
      </c>
      <c r="I17" s="1">
        <v>10696</v>
      </c>
      <c r="L17" s="1">
        <v>5753655</v>
      </c>
      <c r="M17" s="1">
        <v>5957241</v>
      </c>
      <c r="P17" s="1">
        <v>6124879</v>
      </c>
      <c r="Q17" s="1">
        <v>6312008</v>
      </c>
      <c r="R17" s="1">
        <v>0</v>
      </c>
      <c r="S17" s="1">
        <v>1</v>
      </c>
      <c r="W17" s="1">
        <v>0</v>
      </c>
      <c r="X17" s="1">
        <v>607.85900000000004</v>
      </c>
    </row>
    <row r="18" spans="1:24" x14ac:dyDescent="0.25">
      <c r="A18" s="1">
        <v>15822</v>
      </c>
      <c r="B18" s="1">
        <v>35795</v>
      </c>
      <c r="C18" s="1">
        <v>9</v>
      </c>
      <c r="D18" s="1">
        <v>60527329</v>
      </c>
      <c r="E18" s="1">
        <v>10157</v>
      </c>
      <c r="F18" s="1">
        <v>9259</v>
      </c>
      <c r="G18" s="1">
        <v>10461</v>
      </c>
      <c r="H18" s="1">
        <v>11852</v>
      </c>
      <c r="I18" s="1">
        <v>10461</v>
      </c>
      <c r="L18" s="1">
        <v>53634254</v>
      </c>
      <c r="M18" s="1">
        <v>56875860</v>
      </c>
      <c r="P18" s="1">
        <v>58778779</v>
      </c>
      <c r="Q18" s="1">
        <v>60527329</v>
      </c>
      <c r="R18" s="1">
        <v>0</v>
      </c>
      <c r="S18" s="1">
        <v>1</v>
      </c>
      <c r="W18" s="1">
        <v>0</v>
      </c>
      <c r="X18" s="1">
        <v>5959.4009999999998</v>
      </c>
    </row>
    <row r="19" spans="1:24" x14ac:dyDescent="0.25">
      <c r="A19" s="1">
        <v>15825</v>
      </c>
      <c r="B19" s="1">
        <v>35795</v>
      </c>
      <c r="C19" s="1">
        <v>9</v>
      </c>
      <c r="D19" s="1">
        <v>2953795</v>
      </c>
      <c r="E19" s="1">
        <v>10495</v>
      </c>
      <c r="F19" s="1">
        <v>9259</v>
      </c>
      <c r="G19" s="1">
        <v>10810</v>
      </c>
      <c r="H19" s="1">
        <v>11852</v>
      </c>
      <c r="I19" s="1">
        <v>10810</v>
      </c>
      <c r="L19" s="1">
        <v>3289381</v>
      </c>
      <c r="M19" s="1">
        <v>3657244</v>
      </c>
      <c r="P19" s="1">
        <v>2860077</v>
      </c>
      <c r="Q19" s="1">
        <v>2953795</v>
      </c>
      <c r="R19" s="1">
        <v>0</v>
      </c>
      <c r="S19" s="1">
        <v>1</v>
      </c>
      <c r="W19" s="1">
        <v>0</v>
      </c>
      <c r="X19" s="1">
        <v>281.44800000000004</v>
      </c>
    </row>
    <row r="20" spans="1:24" x14ac:dyDescent="0.25">
      <c r="A20" s="1">
        <v>15827</v>
      </c>
      <c r="B20" s="1">
        <v>35795</v>
      </c>
      <c r="C20" s="1">
        <v>9</v>
      </c>
      <c r="D20" s="1">
        <v>20183769</v>
      </c>
      <c r="E20" s="1">
        <v>9833</v>
      </c>
      <c r="F20" s="1">
        <v>9259</v>
      </c>
      <c r="G20" s="1">
        <v>10128</v>
      </c>
      <c r="H20" s="1">
        <v>11852</v>
      </c>
      <c r="I20" s="1">
        <v>10128</v>
      </c>
      <c r="L20" s="1">
        <v>35257861</v>
      </c>
      <c r="M20" s="1">
        <v>38799083</v>
      </c>
      <c r="P20" s="1">
        <v>19637644</v>
      </c>
      <c r="Q20" s="1">
        <v>20183769</v>
      </c>
      <c r="R20" s="1">
        <v>0</v>
      </c>
      <c r="S20" s="1">
        <v>1</v>
      </c>
      <c r="W20" s="1">
        <v>0</v>
      </c>
      <c r="X20" s="1">
        <v>2052.6770000000001</v>
      </c>
    </row>
    <row r="21" spans="1:24" x14ac:dyDescent="0.25">
      <c r="A21" s="1">
        <v>15828</v>
      </c>
      <c r="B21" s="1">
        <v>35795</v>
      </c>
      <c r="C21" s="1">
        <v>9</v>
      </c>
      <c r="D21" s="1">
        <v>43777141</v>
      </c>
      <c r="E21" s="1">
        <v>10558</v>
      </c>
      <c r="F21" s="1">
        <v>9259</v>
      </c>
      <c r="G21" s="1">
        <v>10875</v>
      </c>
      <c r="H21" s="1">
        <v>11852</v>
      </c>
      <c r="I21" s="1">
        <v>10875</v>
      </c>
      <c r="L21" s="1">
        <v>43131479</v>
      </c>
      <c r="M21" s="1">
        <v>46452649</v>
      </c>
      <c r="P21" s="1">
        <v>42426015</v>
      </c>
      <c r="Q21" s="1">
        <v>43777141</v>
      </c>
      <c r="R21" s="1">
        <v>0</v>
      </c>
      <c r="S21" s="1">
        <v>1</v>
      </c>
      <c r="W21" s="1">
        <v>0</v>
      </c>
      <c r="X21" s="1">
        <v>4146.1860000000006</v>
      </c>
    </row>
    <row r="22" spans="1:24" x14ac:dyDescent="0.25">
      <c r="A22" s="1">
        <v>15830</v>
      </c>
      <c r="B22" s="1">
        <v>35795</v>
      </c>
      <c r="C22" s="1">
        <v>9</v>
      </c>
      <c r="D22" s="1">
        <v>31321786</v>
      </c>
      <c r="E22" s="1">
        <v>10299</v>
      </c>
      <c r="F22" s="1">
        <v>9259</v>
      </c>
      <c r="G22" s="1">
        <v>10608</v>
      </c>
      <c r="H22" s="1">
        <v>11852</v>
      </c>
      <c r="I22" s="1">
        <v>10608</v>
      </c>
      <c r="L22" s="1">
        <v>29840868</v>
      </c>
      <c r="M22" s="1">
        <v>30536091</v>
      </c>
      <c r="P22" s="1">
        <v>30356873</v>
      </c>
      <c r="Q22" s="1">
        <v>31321786</v>
      </c>
      <c r="R22" s="1">
        <v>0</v>
      </c>
      <c r="S22" s="1">
        <v>1</v>
      </c>
      <c r="W22" s="1">
        <v>0</v>
      </c>
      <c r="X22" s="1">
        <v>3041.2960000000003</v>
      </c>
    </row>
    <row r="23" spans="1:24" x14ac:dyDescent="0.25">
      <c r="A23" s="1">
        <v>15831</v>
      </c>
      <c r="B23" s="1">
        <v>35795</v>
      </c>
      <c r="C23" s="1">
        <v>9</v>
      </c>
      <c r="D23" s="1">
        <v>29622773</v>
      </c>
      <c r="E23" s="1">
        <v>9715</v>
      </c>
      <c r="F23" s="1">
        <v>9259</v>
      </c>
      <c r="G23" s="1">
        <v>10007</v>
      </c>
      <c r="H23" s="1">
        <v>11852</v>
      </c>
      <c r="I23" s="1">
        <v>10007</v>
      </c>
      <c r="L23" s="1">
        <v>46623587</v>
      </c>
      <c r="M23" s="1">
        <v>49901559</v>
      </c>
      <c r="P23" s="1">
        <v>28928185</v>
      </c>
      <c r="Q23" s="1">
        <v>29622773</v>
      </c>
      <c r="R23" s="1">
        <v>0</v>
      </c>
      <c r="S23" s="1">
        <v>1</v>
      </c>
      <c r="W23" s="1">
        <v>0</v>
      </c>
      <c r="X23" s="1">
        <v>3049.1060000000002</v>
      </c>
    </row>
    <row r="24" spans="1:24" x14ac:dyDescent="0.25">
      <c r="A24" s="1">
        <v>15833</v>
      </c>
      <c r="B24" s="1">
        <v>35795</v>
      </c>
      <c r="C24" s="1">
        <v>9</v>
      </c>
      <c r="D24" s="1">
        <v>1083515</v>
      </c>
      <c r="E24" s="1">
        <v>10282</v>
      </c>
      <c r="F24" s="1">
        <v>9259</v>
      </c>
      <c r="G24" s="1">
        <v>10591</v>
      </c>
      <c r="H24" s="1">
        <v>11852</v>
      </c>
      <c r="I24" s="1">
        <v>10591</v>
      </c>
      <c r="L24" s="1">
        <v>746887</v>
      </c>
      <c r="M24" s="1">
        <v>690744</v>
      </c>
      <c r="P24" s="1">
        <v>1045668</v>
      </c>
      <c r="Q24" s="1">
        <v>1083515</v>
      </c>
      <c r="R24" s="1">
        <v>0</v>
      </c>
      <c r="S24" s="1">
        <v>1</v>
      </c>
      <c r="W24" s="1">
        <v>0</v>
      </c>
      <c r="X24" s="1">
        <v>105.376</v>
      </c>
    </row>
    <row r="25" spans="1:24" x14ac:dyDescent="0.25">
      <c r="A25" s="1">
        <v>15834</v>
      </c>
      <c r="B25" s="1">
        <v>35795</v>
      </c>
      <c r="C25" s="1">
        <v>9</v>
      </c>
      <c r="D25" s="1">
        <v>19989568</v>
      </c>
      <c r="E25" s="1">
        <v>8176</v>
      </c>
      <c r="F25" s="1">
        <v>9259</v>
      </c>
      <c r="G25" s="1">
        <v>8421</v>
      </c>
      <c r="H25" s="1">
        <v>11852</v>
      </c>
      <c r="I25" s="1">
        <v>8421</v>
      </c>
      <c r="L25" s="1">
        <v>27302351</v>
      </c>
      <c r="M25" s="1">
        <v>28644275</v>
      </c>
      <c r="P25" s="1">
        <v>19201713</v>
      </c>
      <c r="Q25" s="1">
        <v>19989568</v>
      </c>
      <c r="R25" s="1">
        <v>0</v>
      </c>
      <c r="S25" s="1">
        <v>1</v>
      </c>
      <c r="W25" s="1">
        <v>0</v>
      </c>
      <c r="X25" s="1">
        <v>2444.9949999999999</v>
      </c>
    </row>
    <row r="26" spans="1:24" x14ac:dyDescent="0.25">
      <c r="A26" s="1">
        <v>15835</v>
      </c>
      <c r="B26" s="1">
        <v>35795</v>
      </c>
      <c r="C26" s="1">
        <v>9</v>
      </c>
      <c r="D26" s="1">
        <v>40477848</v>
      </c>
      <c r="E26" s="1">
        <v>8780</v>
      </c>
      <c r="F26" s="1">
        <v>9259</v>
      </c>
      <c r="G26" s="1">
        <v>9044</v>
      </c>
      <c r="H26" s="1">
        <v>11852</v>
      </c>
      <c r="I26" s="1">
        <v>9044</v>
      </c>
      <c r="L26" s="1">
        <v>69162890</v>
      </c>
      <c r="M26" s="1">
        <v>71562364</v>
      </c>
      <c r="P26" s="1">
        <v>39378821</v>
      </c>
      <c r="Q26" s="1">
        <v>40477848</v>
      </c>
      <c r="R26" s="1">
        <v>0</v>
      </c>
      <c r="S26" s="1">
        <v>1</v>
      </c>
      <c r="W26" s="1">
        <v>0</v>
      </c>
      <c r="X26" s="1">
        <v>4610.0110000000004</v>
      </c>
    </row>
    <row r="27" spans="1:24" x14ac:dyDescent="0.25">
      <c r="A27" s="1">
        <v>15836</v>
      </c>
      <c r="B27" s="1">
        <v>35795</v>
      </c>
      <c r="C27" s="1">
        <v>9</v>
      </c>
      <c r="D27" s="1">
        <v>3514684</v>
      </c>
      <c r="E27" s="1">
        <v>8597</v>
      </c>
      <c r="F27" s="1">
        <v>9259</v>
      </c>
      <c r="G27" s="1">
        <v>8854</v>
      </c>
      <c r="H27" s="1">
        <v>11852</v>
      </c>
      <c r="I27" s="1">
        <v>8854</v>
      </c>
      <c r="L27" s="1">
        <v>3994722</v>
      </c>
      <c r="M27" s="1">
        <v>4167506</v>
      </c>
      <c r="P27" s="1">
        <v>3410772</v>
      </c>
      <c r="Q27" s="1">
        <v>3514684</v>
      </c>
      <c r="R27" s="1">
        <v>0</v>
      </c>
      <c r="S27" s="1">
        <v>1</v>
      </c>
      <c r="W27" s="1">
        <v>0</v>
      </c>
      <c r="X27" s="1">
        <v>408.84700000000004</v>
      </c>
    </row>
    <row r="28" spans="1:24" x14ac:dyDescent="0.25">
      <c r="A28" s="1">
        <v>15838</v>
      </c>
      <c r="B28" s="1">
        <v>35795</v>
      </c>
      <c r="C28" s="1">
        <v>9</v>
      </c>
      <c r="D28" s="1">
        <v>3345852</v>
      </c>
      <c r="E28" s="1">
        <v>10032</v>
      </c>
      <c r="F28" s="1">
        <v>9259</v>
      </c>
      <c r="G28" s="1">
        <v>10333</v>
      </c>
      <c r="H28" s="1">
        <v>11852</v>
      </c>
      <c r="I28" s="1">
        <v>10333</v>
      </c>
      <c r="L28" s="1">
        <v>16251104</v>
      </c>
      <c r="M28" s="1">
        <v>17950248</v>
      </c>
      <c r="P28" s="1">
        <v>3289647</v>
      </c>
      <c r="Q28" s="1">
        <v>3345852</v>
      </c>
      <c r="R28" s="1">
        <v>0</v>
      </c>
      <c r="S28" s="1">
        <v>1</v>
      </c>
      <c r="W28" s="1">
        <v>0</v>
      </c>
      <c r="X28" s="1">
        <v>333.50600000000003</v>
      </c>
    </row>
    <row r="29" spans="1:24" x14ac:dyDescent="0.25">
      <c r="A29" s="1">
        <v>15839</v>
      </c>
      <c r="B29" s="1">
        <v>35795</v>
      </c>
      <c r="C29" s="1">
        <v>9</v>
      </c>
      <c r="D29" s="1">
        <v>0</v>
      </c>
      <c r="E29" s="1">
        <v>0</v>
      </c>
      <c r="F29" s="1">
        <v>9259</v>
      </c>
      <c r="G29" s="1">
        <v>0</v>
      </c>
      <c r="H29" s="1">
        <v>11852</v>
      </c>
      <c r="I29" s="1">
        <v>0</v>
      </c>
      <c r="L29" s="1">
        <v>0</v>
      </c>
      <c r="M29" s="1">
        <v>2718052</v>
      </c>
      <c r="P29" s="1">
        <v>0</v>
      </c>
      <c r="Q29" s="1">
        <v>0</v>
      </c>
      <c r="R29" s="1">
        <v>0</v>
      </c>
      <c r="S29" s="1">
        <v>1</v>
      </c>
      <c r="W29" s="1">
        <v>0</v>
      </c>
      <c r="X29" s="1">
        <v>0</v>
      </c>
    </row>
    <row r="30" spans="1:24" x14ac:dyDescent="0.25">
      <c r="A30" s="1">
        <v>15840</v>
      </c>
      <c r="B30" s="1">
        <v>35795</v>
      </c>
      <c r="C30" s="1">
        <v>9</v>
      </c>
      <c r="D30" s="1">
        <v>0</v>
      </c>
      <c r="E30" s="1">
        <v>0</v>
      </c>
      <c r="F30" s="1">
        <v>9259</v>
      </c>
      <c r="G30" s="1">
        <v>0</v>
      </c>
      <c r="H30" s="1">
        <v>11852</v>
      </c>
      <c r="I30" s="1">
        <v>0</v>
      </c>
      <c r="L30" s="1">
        <v>0</v>
      </c>
      <c r="M30" s="1">
        <v>1818048</v>
      </c>
      <c r="P30" s="1">
        <v>0</v>
      </c>
      <c r="Q30" s="1">
        <v>0</v>
      </c>
      <c r="R30" s="1">
        <v>0</v>
      </c>
      <c r="S30" s="1">
        <v>1</v>
      </c>
      <c r="W30" s="1">
        <v>0</v>
      </c>
      <c r="X30" s="1">
        <v>0</v>
      </c>
    </row>
    <row r="31" spans="1:24" x14ac:dyDescent="0.25">
      <c r="A31" s="1">
        <v>15841</v>
      </c>
      <c r="B31" s="1">
        <v>35795</v>
      </c>
      <c r="C31" s="1">
        <v>9</v>
      </c>
      <c r="D31" s="1">
        <v>0</v>
      </c>
      <c r="E31" s="1">
        <v>0</v>
      </c>
      <c r="F31" s="1">
        <v>9259</v>
      </c>
      <c r="G31" s="1">
        <v>0</v>
      </c>
      <c r="H31" s="1">
        <v>11852</v>
      </c>
      <c r="I31" s="1">
        <v>0</v>
      </c>
      <c r="L31" s="1">
        <v>0</v>
      </c>
      <c r="M31" s="1">
        <v>6208085</v>
      </c>
      <c r="P31" s="1">
        <v>0</v>
      </c>
      <c r="Q31" s="1">
        <v>0</v>
      </c>
      <c r="R31" s="1">
        <v>0</v>
      </c>
      <c r="S31" s="1">
        <v>1</v>
      </c>
      <c r="W31" s="1">
        <v>0</v>
      </c>
      <c r="X31" s="1">
        <v>0</v>
      </c>
    </row>
    <row r="32" spans="1:24" x14ac:dyDescent="0.25">
      <c r="A32" s="1">
        <v>15842</v>
      </c>
      <c r="B32" s="1">
        <v>35795</v>
      </c>
      <c r="C32" s="1">
        <v>9</v>
      </c>
      <c r="D32" s="1">
        <v>0</v>
      </c>
      <c r="E32" s="1">
        <v>0</v>
      </c>
      <c r="F32" s="1">
        <v>9259</v>
      </c>
      <c r="G32" s="1">
        <v>0</v>
      </c>
      <c r="H32" s="1">
        <v>11852</v>
      </c>
      <c r="I32" s="1">
        <v>0</v>
      </c>
      <c r="L32" s="1">
        <v>0</v>
      </c>
      <c r="M32" s="1">
        <v>1313320</v>
      </c>
      <c r="P32" s="1">
        <v>0</v>
      </c>
      <c r="Q32" s="1">
        <v>0</v>
      </c>
      <c r="R32" s="1">
        <v>0</v>
      </c>
      <c r="S32" s="1">
        <v>1</v>
      </c>
      <c r="W32" s="1">
        <v>0</v>
      </c>
      <c r="X32" s="1">
        <v>0</v>
      </c>
    </row>
    <row r="33" spans="1:24" x14ac:dyDescent="0.25">
      <c r="A33" s="1">
        <v>15843</v>
      </c>
      <c r="B33" s="1">
        <v>35795</v>
      </c>
      <c r="C33" s="1">
        <v>9</v>
      </c>
      <c r="D33" s="1">
        <v>0</v>
      </c>
      <c r="E33" s="1">
        <v>0</v>
      </c>
      <c r="F33" s="1">
        <v>9259</v>
      </c>
      <c r="G33" s="1">
        <v>0</v>
      </c>
      <c r="H33" s="1">
        <v>11852</v>
      </c>
      <c r="I33" s="1">
        <v>0</v>
      </c>
      <c r="L33" s="1">
        <v>0</v>
      </c>
      <c r="M33" s="1">
        <v>436933</v>
      </c>
      <c r="P33" s="1">
        <v>0</v>
      </c>
      <c r="Q33" s="1">
        <v>0</v>
      </c>
      <c r="R33" s="1">
        <v>0</v>
      </c>
      <c r="S33" s="1">
        <v>1</v>
      </c>
      <c r="W33" s="1">
        <v>0</v>
      </c>
      <c r="X33" s="1">
        <v>0</v>
      </c>
    </row>
    <row r="34" spans="1:24" x14ac:dyDescent="0.25">
      <c r="A34" s="1">
        <v>21803</v>
      </c>
      <c r="B34" s="1">
        <v>35795</v>
      </c>
      <c r="C34" s="1">
        <v>9</v>
      </c>
      <c r="D34" s="1">
        <v>3198357</v>
      </c>
      <c r="E34" s="1">
        <v>10818</v>
      </c>
      <c r="F34" s="1">
        <v>9259</v>
      </c>
      <c r="G34" s="1">
        <v>11142</v>
      </c>
      <c r="H34" s="1">
        <v>11852</v>
      </c>
      <c r="I34" s="1">
        <v>11142</v>
      </c>
      <c r="L34" s="1">
        <v>2992693</v>
      </c>
      <c r="M34" s="1">
        <v>3147034</v>
      </c>
      <c r="P34" s="1">
        <v>3096450</v>
      </c>
      <c r="Q34" s="1">
        <v>3198357</v>
      </c>
      <c r="R34" s="1">
        <v>0</v>
      </c>
      <c r="S34" s="1">
        <v>1</v>
      </c>
      <c r="W34" s="1">
        <v>0</v>
      </c>
      <c r="X34" s="1">
        <v>295.654</v>
      </c>
    </row>
    <row r="35" spans="1:24" x14ac:dyDescent="0.25">
      <c r="A35" s="1">
        <v>21805</v>
      </c>
      <c r="B35" s="1">
        <v>35795</v>
      </c>
      <c r="C35" s="1">
        <v>9</v>
      </c>
      <c r="D35" s="1">
        <v>7285559</v>
      </c>
      <c r="E35" s="1">
        <v>10240</v>
      </c>
      <c r="F35" s="1">
        <v>9259</v>
      </c>
      <c r="G35" s="1">
        <v>10547</v>
      </c>
      <c r="H35" s="1">
        <v>11852</v>
      </c>
      <c r="I35" s="1">
        <v>10547</v>
      </c>
      <c r="L35" s="1">
        <v>5835041</v>
      </c>
      <c r="M35" s="1">
        <v>5991900</v>
      </c>
      <c r="P35" s="1">
        <v>7079624</v>
      </c>
      <c r="Q35" s="1">
        <v>7285559</v>
      </c>
      <c r="R35" s="1">
        <v>0</v>
      </c>
      <c r="S35" s="1">
        <v>1</v>
      </c>
      <c r="W35" s="1">
        <v>0</v>
      </c>
      <c r="X35" s="1">
        <v>711.49800000000005</v>
      </c>
    </row>
    <row r="36" spans="1:24" x14ac:dyDescent="0.25">
      <c r="A36" s="1">
        <v>43801</v>
      </c>
      <c r="B36" s="1">
        <v>35795</v>
      </c>
      <c r="C36" s="1">
        <v>9</v>
      </c>
      <c r="D36" s="1">
        <v>11544765</v>
      </c>
      <c r="E36" s="1">
        <v>8550</v>
      </c>
      <c r="F36" s="1">
        <v>9259</v>
      </c>
      <c r="G36" s="1">
        <v>8807</v>
      </c>
      <c r="H36" s="1">
        <v>11852</v>
      </c>
      <c r="I36" s="1">
        <v>8807</v>
      </c>
      <c r="L36" s="1">
        <v>11544368</v>
      </c>
      <c r="M36" s="1">
        <v>11789377</v>
      </c>
      <c r="P36" s="1">
        <v>11115215</v>
      </c>
      <c r="Q36" s="1">
        <v>11544765</v>
      </c>
      <c r="R36" s="1">
        <v>0</v>
      </c>
      <c r="S36" s="1">
        <v>1</v>
      </c>
      <c r="W36" s="1">
        <v>0</v>
      </c>
      <c r="X36" s="1">
        <v>1350.2250000000001</v>
      </c>
    </row>
    <row r="37" spans="1:24" x14ac:dyDescent="0.25">
      <c r="A37" s="1">
        <v>43802</v>
      </c>
      <c r="B37" s="1">
        <v>35795</v>
      </c>
      <c r="C37" s="1">
        <v>9</v>
      </c>
      <c r="D37" s="1">
        <v>1505291</v>
      </c>
      <c r="E37" s="1">
        <v>8436</v>
      </c>
      <c r="F37" s="1">
        <v>9259</v>
      </c>
      <c r="G37" s="1">
        <v>8689</v>
      </c>
      <c r="H37" s="1">
        <v>11852</v>
      </c>
      <c r="I37" s="1">
        <v>8689</v>
      </c>
      <c r="L37" s="1">
        <v>1284031</v>
      </c>
      <c r="M37" s="1">
        <v>1292311</v>
      </c>
      <c r="P37" s="1">
        <v>1454098</v>
      </c>
      <c r="Q37" s="1">
        <v>1505291</v>
      </c>
      <c r="R37" s="1">
        <v>0</v>
      </c>
      <c r="S37" s="1">
        <v>1</v>
      </c>
      <c r="W37" s="1">
        <v>0</v>
      </c>
      <c r="X37" s="1">
        <v>178.446</v>
      </c>
    </row>
    <row r="38" spans="1:24" x14ac:dyDescent="0.25">
      <c r="A38" s="1">
        <v>46802</v>
      </c>
      <c r="B38" s="1">
        <v>35795</v>
      </c>
      <c r="C38" s="1">
        <v>9</v>
      </c>
      <c r="D38" s="1">
        <v>7429464</v>
      </c>
      <c r="E38" s="1">
        <v>18453</v>
      </c>
      <c r="F38" s="1">
        <v>9259</v>
      </c>
      <c r="G38" s="1">
        <v>19006</v>
      </c>
      <c r="H38" s="1">
        <v>11852</v>
      </c>
      <c r="I38" s="1">
        <v>11852</v>
      </c>
      <c r="L38" s="1">
        <v>3795834</v>
      </c>
      <c r="M38" s="1">
        <v>5743953</v>
      </c>
      <c r="P38" s="1">
        <v>7297699</v>
      </c>
      <c r="Q38" s="1">
        <v>7429464</v>
      </c>
      <c r="R38" s="1">
        <v>0</v>
      </c>
      <c r="S38" s="1">
        <v>1</v>
      </c>
      <c r="W38" s="1">
        <v>0</v>
      </c>
      <c r="X38" s="1">
        <v>402.625</v>
      </c>
    </row>
    <row r="39" spans="1:24" x14ac:dyDescent="0.25">
      <c r="A39" s="1">
        <v>57802</v>
      </c>
      <c r="B39" s="1">
        <v>35795</v>
      </c>
      <c r="C39" s="1">
        <v>9</v>
      </c>
      <c r="D39" s="1">
        <v>6116473</v>
      </c>
      <c r="E39" s="1">
        <v>10788</v>
      </c>
      <c r="F39" s="1">
        <v>9259</v>
      </c>
      <c r="G39" s="1">
        <v>11111</v>
      </c>
      <c r="H39" s="1">
        <v>11852</v>
      </c>
      <c r="I39" s="1">
        <v>11111</v>
      </c>
      <c r="L39" s="1">
        <v>4850179</v>
      </c>
      <c r="M39" s="1">
        <v>5097275</v>
      </c>
      <c r="P39" s="1">
        <v>5916468</v>
      </c>
      <c r="Q39" s="1">
        <v>6116473</v>
      </c>
      <c r="R39" s="1">
        <v>0</v>
      </c>
      <c r="S39" s="1">
        <v>1</v>
      </c>
      <c r="W39" s="1">
        <v>0</v>
      </c>
      <c r="X39" s="1">
        <v>566.98</v>
      </c>
    </row>
    <row r="40" spans="1:24" x14ac:dyDescent="0.25">
      <c r="A40" s="1">
        <v>57803</v>
      </c>
      <c r="B40" s="1">
        <v>35795</v>
      </c>
      <c r="C40" s="1">
        <v>9</v>
      </c>
      <c r="D40" s="1">
        <v>190863253</v>
      </c>
      <c r="E40" s="1">
        <v>10178</v>
      </c>
      <c r="F40" s="1">
        <v>9259</v>
      </c>
      <c r="G40" s="1">
        <v>10484</v>
      </c>
      <c r="H40" s="1">
        <v>11852</v>
      </c>
      <c r="I40" s="1">
        <v>10484</v>
      </c>
      <c r="L40" s="1">
        <v>208117037</v>
      </c>
      <c r="M40" s="1">
        <v>220478511</v>
      </c>
      <c r="P40" s="1">
        <v>185258664</v>
      </c>
      <c r="Q40" s="1">
        <v>190863253</v>
      </c>
      <c r="R40" s="1">
        <v>0</v>
      </c>
      <c r="S40" s="1">
        <v>1</v>
      </c>
      <c r="W40" s="1">
        <v>0</v>
      </c>
      <c r="X40" s="1">
        <v>18751.648000000001</v>
      </c>
    </row>
    <row r="41" spans="1:24" x14ac:dyDescent="0.25">
      <c r="A41" s="1">
        <v>57804</v>
      </c>
      <c r="B41" s="1">
        <v>35795</v>
      </c>
      <c r="C41" s="1">
        <v>9</v>
      </c>
      <c r="D41" s="1">
        <v>49057636</v>
      </c>
      <c r="E41" s="1">
        <v>10963</v>
      </c>
      <c r="F41" s="1">
        <v>9259</v>
      </c>
      <c r="G41" s="1">
        <v>11292</v>
      </c>
      <c r="H41" s="1">
        <v>11852</v>
      </c>
      <c r="I41" s="1">
        <v>11292</v>
      </c>
      <c r="L41" s="1">
        <v>38569320</v>
      </c>
      <c r="M41" s="1">
        <v>42854106</v>
      </c>
      <c r="P41" s="1">
        <v>47590801</v>
      </c>
      <c r="Q41" s="1">
        <v>49057636</v>
      </c>
      <c r="R41" s="1">
        <v>0</v>
      </c>
      <c r="S41" s="1">
        <v>1</v>
      </c>
      <c r="W41" s="1">
        <v>0</v>
      </c>
      <c r="X41" s="1">
        <v>4474.8950000000004</v>
      </c>
    </row>
    <row r="42" spans="1:24" x14ac:dyDescent="0.25">
      <c r="A42" s="1">
        <v>57805</v>
      </c>
      <c r="B42" s="1">
        <v>35795</v>
      </c>
      <c r="C42" s="1">
        <v>9</v>
      </c>
      <c r="D42" s="1">
        <v>2144853</v>
      </c>
      <c r="E42" s="1">
        <v>10339</v>
      </c>
      <c r="F42" s="1">
        <v>9259</v>
      </c>
      <c r="G42" s="1">
        <v>10650</v>
      </c>
      <c r="H42" s="1">
        <v>11852</v>
      </c>
      <c r="I42" s="1">
        <v>10650</v>
      </c>
      <c r="L42" s="1">
        <v>1828711</v>
      </c>
      <c r="M42" s="1">
        <v>1947163</v>
      </c>
      <c r="P42" s="1">
        <v>2077530</v>
      </c>
      <c r="Q42" s="1">
        <v>2144853</v>
      </c>
      <c r="R42" s="1">
        <v>0</v>
      </c>
      <c r="S42" s="1">
        <v>1</v>
      </c>
      <c r="W42" s="1">
        <v>0</v>
      </c>
      <c r="X42" s="1">
        <v>207.44500000000002</v>
      </c>
    </row>
    <row r="43" spans="1:24" x14ac:dyDescent="0.25">
      <c r="A43" s="1">
        <v>57806</v>
      </c>
      <c r="B43" s="1">
        <v>35795</v>
      </c>
      <c r="C43" s="1">
        <v>9</v>
      </c>
      <c r="D43" s="1">
        <v>12517410</v>
      </c>
      <c r="E43" s="1">
        <v>10395</v>
      </c>
      <c r="F43" s="1">
        <v>9259</v>
      </c>
      <c r="G43" s="1">
        <v>10707</v>
      </c>
      <c r="H43" s="1">
        <v>11852</v>
      </c>
      <c r="I43" s="1">
        <v>10707</v>
      </c>
      <c r="L43" s="1">
        <v>10402710</v>
      </c>
      <c r="M43" s="1">
        <v>10975519</v>
      </c>
      <c r="P43" s="1">
        <v>12052465</v>
      </c>
      <c r="Q43" s="1">
        <v>12517410</v>
      </c>
      <c r="R43" s="1">
        <v>0</v>
      </c>
      <c r="S43" s="1">
        <v>1</v>
      </c>
      <c r="W43" s="1">
        <v>0</v>
      </c>
      <c r="X43" s="1">
        <v>1204.1960000000001</v>
      </c>
    </row>
    <row r="44" spans="1:24" x14ac:dyDescent="0.25">
      <c r="A44" s="1">
        <v>57807</v>
      </c>
      <c r="B44" s="1">
        <v>35795</v>
      </c>
      <c r="C44" s="1">
        <v>9</v>
      </c>
      <c r="D44" s="1">
        <v>54055086</v>
      </c>
      <c r="E44" s="1">
        <v>10196</v>
      </c>
      <c r="F44" s="1">
        <v>9259</v>
      </c>
      <c r="G44" s="1">
        <v>10502</v>
      </c>
      <c r="H44" s="1">
        <v>11852</v>
      </c>
      <c r="I44" s="1">
        <v>10502</v>
      </c>
      <c r="L44" s="1">
        <v>53661441</v>
      </c>
      <c r="M44" s="1">
        <v>55710574</v>
      </c>
      <c r="P44" s="1">
        <v>52320506</v>
      </c>
      <c r="Q44" s="1">
        <v>54055086</v>
      </c>
      <c r="R44" s="1">
        <v>0</v>
      </c>
      <c r="S44" s="1">
        <v>1</v>
      </c>
      <c r="W44" s="1">
        <v>0</v>
      </c>
      <c r="X44" s="1">
        <v>5301.4949999999999</v>
      </c>
    </row>
    <row r="45" spans="1:24" x14ac:dyDescent="0.25">
      <c r="A45" s="1">
        <v>57808</v>
      </c>
      <c r="B45" s="1">
        <v>35795</v>
      </c>
      <c r="C45" s="1">
        <v>9</v>
      </c>
      <c r="D45" s="1">
        <v>18122026</v>
      </c>
      <c r="E45" s="1">
        <v>9053</v>
      </c>
      <c r="F45" s="1">
        <v>9259</v>
      </c>
      <c r="G45" s="1">
        <v>9324</v>
      </c>
      <c r="H45" s="1">
        <v>11852</v>
      </c>
      <c r="I45" s="1">
        <v>9324</v>
      </c>
      <c r="L45" s="1">
        <v>16402199</v>
      </c>
      <c r="M45" s="1">
        <v>17285600</v>
      </c>
      <c r="P45" s="1">
        <v>17511192</v>
      </c>
      <c r="Q45" s="1">
        <v>18122026</v>
      </c>
      <c r="R45" s="1">
        <v>0</v>
      </c>
      <c r="S45" s="1">
        <v>1</v>
      </c>
      <c r="W45" s="1">
        <v>0</v>
      </c>
      <c r="X45" s="1">
        <v>2001.82</v>
      </c>
    </row>
    <row r="46" spans="1:24" x14ac:dyDescent="0.25">
      <c r="A46" s="1">
        <v>57809</v>
      </c>
      <c r="B46" s="1">
        <v>35795</v>
      </c>
      <c r="C46" s="1">
        <v>9</v>
      </c>
      <c r="D46" s="1">
        <v>1007803</v>
      </c>
      <c r="E46" s="1">
        <v>10365</v>
      </c>
      <c r="F46" s="1">
        <v>9259</v>
      </c>
      <c r="G46" s="1">
        <v>10676</v>
      </c>
      <c r="H46" s="1">
        <v>11852</v>
      </c>
      <c r="I46" s="1">
        <v>10676</v>
      </c>
      <c r="L46" s="1">
        <v>980590</v>
      </c>
      <c r="M46" s="1">
        <v>1042740</v>
      </c>
      <c r="P46" s="1">
        <v>973428</v>
      </c>
      <c r="Q46" s="1">
        <v>1007803</v>
      </c>
      <c r="R46" s="1">
        <v>0</v>
      </c>
      <c r="S46" s="1">
        <v>1</v>
      </c>
      <c r="W46" s="1">
        <v>0</v>
      </c>
      <c r="X46" s="1">
        <v>97.231000000000009</v>
      </c>
    </row>
    <row r="47" spans="1:24" x14ac:dyDescent="0.25">
      <c r="A47" s="1">
        <v>57810</v>
      </c>
      <c r="B47" s="1">
        <v>35795</v>
      </c>
      <c r="C47" s="1">
        <v>9</v>
      </c>
      <c r="D47" s="1">
        <v>3836310</v>
      </c>
      <c r="E47" s="1">
        <v>10473</v>
      </c>
      <c r="F47" s="1">
        <v>9259</v>
      </c>
      <c r="G47" s="1">
        <v>10787</v>
      </c>
      <c r="H47" s="1">
        <v>11852</v>
      </c>
      <c r="I47" s="1">
        <v>10787</v>
      </c>
      <c r="L47" s="1">
        <v>2025126</v>
      </c>
      <c r="M47" s="1">
        <v>2093474</v>
      </c>
      <c r="P47" s="1">
        <v>3714801</v>
      </c>
      <c r="Q47" s="1">
        <v>3836310</v>
      </c>
      <c r="R47" s="1">
        <v>0</v>
      </c>
      <c r="S47" s="1">
        <v>1</v>
      </c>
      <c r="W47" s="1">
        <v>0</v>
      </c>
      <c r="X47" s="1">
        <v>366.30600000000004</v>
      </c>
    </row>
    <row r="48" spans="1:24" x14ac:dyDescent="0.25">
      <c r="A48" s="1">
        <v>57813</v>
      </c>
      <c r="B48" s="1">
        <v>35795</v>
      </c>
      <c r="C48" s="1">
        <v>9</v>
      </c>
      <c r="D48" s="1">
        <v>35060002</v>
      </c>
      <c r="E48" s="1">
        <v>10524</v>
      </c>
      <c r="F48" s="1">
        <v>9259</v>
      </c>
      <c r="G48" s="1">
        <v>10840</v>
      </c>
      <c r="H48" s="1">
        <v>11852</v>
      </c>
      <c r="I48" s="1">
        <v>10840</v>
      </c>
      <c r="L48" s="1">
        <v>38969776</v>
      </c>
      <c r="M48" s="1">
        <v>41393925</v>
      </c>
      <c r="P48" s="1">
        <v>34086233</v>
      </c>
      <c r="Q48" s="1">
        <v>35060002</v>
      </c>
      <c r="R48" s="1">
        <v>0</v>
      </c>
      <c r="S48" s="1">
        <v>1</v>
      </c>
      <c r="W48" s="1">
        <v>0</v>
      </c>
      <c r="X48" s="1">
        <v>3331.4260000000004</v>
      </c>
    </row>
    <row r="49" spans="1:24" x14ac:dyDescent="0.25">
      <c r="A49" s="1">
        <v>57814</v>
      </c>
      <c r="B49" s="1">
        <v>35795</v>
      </c>
      <c r="C49" s="1">
        <v>9</v>
      </c>
      <c r="D49" s="1">
        <v>6553446</v>
      </c>
      <c r="E49" s="1">
        <v>14764</v>
      </c>
      <c r="F49" s="1">
        <v>9259</v>
      </c>
      <c r="G49" s="1">
        <v>15207</v>
      </c>
      <c r="H49" s="1">
        <v>11852</v>
      </c>
      <c r="I49" s="1">
        <v>11852</v>
      </c>
      <c r="L49" s="1">
        <v>3548104</v>
      </c>
      <c r="M49" s="1">
        <v>4668944</v>
      </c>
      <c r="P49" s="1">
        <v>6403440</v>
      </c>
      <c r="Q49" s="1">
        <v>6553446</v>
      </c>
      <c r="R49" s="1">
        <v>0</v>
      </c>
      <c r="S49" s="1">
        <v>1</v>
      </c>
      <c r="W49" s="1">
        <v>0</v>
      </c>
      <c r="X49" s="1">
        <v>443.87800000000004</v>
      </c>
    </row>
    <row r="50" spans="1:24" x14ac:dyDescent="0.25">
      <c r="A50" s="1">
        <v>57816</v>
      </c>
      <c r="B50" s="1">
        <v>35795</v>
      </c>
      <c r="C50" s="1">
        <v>9</v>
      </c>
      <c r="D50" s="1">
        <v>14194468</v>
      </c>
      <c r="E50" s="1">
        <v>10357</v>
      </c>
      <c r="F50" s="1">
        <v>9259</v>
      </c>
      <c r="G50" s="1">
        <v>10668</v>
      </c>
      <c r="H50" s="1">
        <v>11852</v>
      </c>
      <c r="I50" s="1">
        <v>10668</v>
      </c>
      <c r="L50" s="1">
        <v>9154850</v>
      </c>
      <c r="M50" s="1">
        <v>9301680</v>
      </c>
      <c r="P50" s="1">
        <v>13687665</v>
      </c>
      <c r="Q50" s="1">
        <v>14194468</v>
      </c>
      <c r="R50" s="1">
        <v>0</v>
      </c>
      <c r="S50" s="1">
        <v>1</v>
      </c>
      <c r="W50" s="1">
        <v>0</v>
      </c>
      <c r="X50" s="1">
        <v>1370.471</v>
      </c>
    </row>
    <row r="51" spans="1:24" x14ac:dyDescent="0.25">
      <c r="A51" s="1">
        <v>57819</v>
      </c>
      <c r="B51" s="1">
        <v>35795</v>
      </c>
      <c r="C51" s="1">
        <v>9</v>
      </c>
      <c r="D51" s="1">
        <v>2019805</v>
      </c>
      <c r="E51" s="1">
        <v>10579</v>
      </c>
      <c r="F51" s="1">
        <v>9259</v>
      </c>
      <c r="G51" s="1">
        <v>10896</v>
      </c>
      <c r="H51" s="1">
        <v>11852</v>
      </c>
      <c r="I51" s="1">
        <v>10896</v>
      </c>
      <c r="L51" s="1">
        <v>1894752</v>
      </c>
      <c r="M51" s="1">
        <v>1970611</v>
      </c>
      <c r="P51" s="1">
        <v>1963555</v>
      </c>
      <c r="Q51" s="1">
        <v>2019805</v>
      </c>
      <c r="R51" s="1">
        <v>0</v>
      </c>
      <c r="S51" s="1">
        <v>1</v>
      </c>
      <c r="W51" s="1">
        <v>0</v>
      </c>
      <c r="X51" s="1">
        <v>190.93100000000001</v>
      </c>
    </row>
    <row r="52" spans="1:24" x14ac:dyDescent="0.25">
      <c r="A52" s="1">
        <v>57827</v>
      </c>
      <c r="B52" s="1">
        <v>35795</v>
      </c>
      <c r="C52" s="1">
        <v>9</v>
      </c>
      <c r="D52" s="1">
        <v>5786957</v>
      </c>
      <c r="E52" s="1">
        <v>10277</v>
      </c>
      <c r="F52" s="1">
        <v>9259</v>
      </c>
      <c r="G52" s="1">
        <v>10585</v>
      </c>
      <c r="H52" s="1">
        <v>11852</v>
      </c>
      <c r="I52" s="1">
        <v>10585</v>
      </c>
      <c r="L52" s="1">
        <v>4860105</v>
      </c>
      <c r="M52" s="1">
        <v>5184373</v>
      </c>
      <c r="P52" s="1">
        <v>5609174</v>
      </c>
      <c r="Q52" s="1">
        <v>5786957</v>
      </c>
      <c r="R52" s="1">
        <v>0</v>
      </c>
      <c r="S52" s="1">
        <v>1</v>
      </c>
      <c r="W52" s="1">
        <v>0</v>
      </c>
      <c r="X52" s="1">
        <v>563.10800000000006</v>
      </c>
    </row>
    <row r="53" spans="1:24" x14ac:dyDescent="0.25">
      <c r="A53" s="1">
        <v>57828</v>
      </c>
      <c r="B53" s="1">
        <v>35795</v>
      </c>
      <c r="C53" s="1">
        <v>9</v>
      </c>
      <c r="D53" s="1">
        <v>10715562</v>
      </c>
      <c r="E53" s="1">
        <v>10675</v>
      </c>
      <c r="F53" s="1">
        <v>9259</v>
      </c>
      <c r="G53" s="1">
        <v>10996</v>
      </c>
      <c r="H53" s="1">
        <v>11852</v>
      </c>
      <c r="I53" s="1">
        <v>10996</v>
      </c>
      <c r="L53" s="1">
        <v>7992489</v>
      </c>
      <c r="M53" s="1">
        <v>8425180</v>
      </c>
      <c r="P53" s="1">
        <v>10406496</v>
      </c>
      <c r="Q53" s="1">
        <v>10715562</v>
      </c>
      <c r="R53" s="1">
        <v>0</v>
      </c>
      <c r="S53" s="1">
        <v>1</v>
      </c>
      <c r="W53" s="1">
        <v>0</v>
      </c>
      <c r="X53" s="1">
        <v>1003.7710000000001</v>
      </c>
    </row>
    <row r="54" spans="1:24" x14ac:dyDescent="0.25">
      <c r="A54" s="1">
        <v>57829</v>
      </c>
      <c r="B54" s="1">
        <v>35795</v>
      </c>
      <c r="C54" s="1">
        <v>9</v>
      </c>
      <c r="D54" s="1">
        <v>13714643</v>
      </c>
      <c r="E54" s="1">
        <v>10714</v>
      </c>
      <c r="F54" s="1">
        <v>9259</v>
      </c>
      <c r="G54" s="1">
        <v>11036</v>
      </c>
      <c r="H54" s="1">
        <v>11852</v>
      </c>
      <c r="I54" s="1">
        <v>11036</v>
      </c>
      <c r="L54" s="1">
        <v>14902050</v>
      </c>
      <c r="M54" s="1">
        <v>15832069</v>
      </c>
      <c r="P54" s="1">
        <v>13298968</v>
      </c>
      <c r="Q54" s="1">
        <v>13714643</v>
      </c>
      <c r="R54" s="1">
        <v>0</v>
      </c>
      <c r="S54" s="1">
        <v>1</v>
      </c>
      <c r="W54" s="1">
        <v>0</v>
      </c>
      <c r="X54" s="1">
        <v>1280.048</v>
      </c>
    </row>
    <row r="55" spans="1:24" x14ac:dyDescent="0.25">
      <c r="A55" s="1">
        <v>57830</v>
      </c>
      <c r="B55" s="1">
        <v>35795</v>
      </c>
      <c r="C55" s="1">
        <v>9</v>
      </c>
      <c r="D55" s="1">
        <v>12859300</v>
      </c>
      <c r="E55" s="1">
        <v>10699</v>
      </c>
      <c r="F55" s="1">
        <v>9259</v>
      </c>
      <c r="G55" s="1">
        <v>11020</v>
      </c>
      <c r="H55" s="1">
        <v>11852</v>
      </c>
      <c r="I55" s="1">
        <v>11020</v>
      </c>
      <c r="L55" s="1">
        <v>12469879</v>
      </c>
      <c r="M55" s="1">
        <v>13394543</v>
      </c>
      <c r="P55" s="1">
        <v>12459366</v>
      </c>
      <c r="Q55" s="1">
        <v>12859300</v>
      </c>
      <c r="R55" s="1">
        <v>0</v>
      </c>
      <c r="S55" s="1">
        <v>1</v>
      </c>
      <c r="W55" s="1">
        <v>0</v>
      </c>
      <c r="X55" s="1">
        <v>1201.8990000000001</v>
      </c>
    </row>
    <row r="56" spans="1:24" x14ac:dyDescent="0.25">
      <c r="A56" s="1">
        <v>57831</v>
      </c>
      <c r="B56" s="1">
        <v>35795</v>
      </c>
      <c r="C56" s="1">
        <v>9</v>
      </c>
      <c r="D56" s="1">
        <v>6657660</v>
      </c>
      <c r="E56" s="1">
        <v>10410</v>
      </c>
      <c r="F56" s="1">
        <v>9259</v>
      </c>
      <c r="G56" s="1">
        <v>10722</v>
      </c>
      <c r="H56" s="1">
        <v>11852</v>
      </c>
      <c r="I56" s="1">
        <v>10722</v>
      </c>
      <c r="L56" s="1">
        <v>5532993</v>
      </c>
      <c r="M56" s="1">
        <v>5667389</v>
      </c>
      <c r="P56" s="1">
        <v>6464420</v>
      </c>
      <c r="Q56" s="1">
        <v>6657660</v>
      </c>
      <c r="R56" s="1">
        <v>0</v>
      </c>
      <c r="S56" s="1">
        <v>1</v>
      </c>
      <c r="W56" s="1">
        <v>0</v>
      </c>
      <c r="X56" s="1">
        <v>639.54500000000007</v>
      </c>
    </row>
    <row r="57" spans="1:24" x14ac:dyDescent="0.25">
      <c r="A57" s="1">
        <v>57833</v>
      </c>
      <c r="B57" s="1">
        <v>35795</v>
      </c>
      <c r="C57" s="1">
        <v>9</v>
      </c>
      <c r="D57" s="1">
        <v>5411461</v>
      </c>
      <c r="E57" s="1">
        <v>9575</v>
      </c>
      <c r="F57" s="1">
        <v>9259</v>
      </c>
      <c r="G57" s="1">
        <v>9862</v>
      </c>
      <c r="H57" s="1">
        <v>11852</v>
      </c>
      <c r="I57" s="1">
        <v>9862</v>
      </c>
      <c r="L57" s="1">
        <v>3990625</v>
      </c>
      <c r="M57" s="1">
        <v>4197636</v>
      </c>
      <c r="P57" s="1">
        <v>5234047</v>
      </c>
      <c r="Q57" s="1">
        <v>5411461</v>
      </c>
      <c r="R57" s="1">
        <v>0</v>
      </c>
      <c r="S57" s="1">
        <v>1</v>
      </c>
      <c r="W57" s="1">
        <v>0</v>
      </c>
      <c r="X57" s="1">
        <v>565.154</v>
      </c>
    </row>
    <row r="58" spans="1:24" x14ac:dyDescent="0.25">
      <c r="A58" s="1">
        <v>57834</v>
      </c>
      <c r="B58" s="1">
        <v>35795</v>
      </c>
      <c r="C58" s="1">
        <v>9</v>
      </c>
      <c r="D58" s="1">
        <v>5037452</v>
      </c>
      <c r="E58" s="1">
        <v>11519</v>
      </c>
      <c r="F58" s="1">
        <v>9259</v>
      </c>
      <c r="G58" s="1">
        <v>11865</v>
      </c>
      <c r="H58" s="1">
        <v>11852</v>
      </c>
      <c r="I58" s="1">
        <v>11852</v>
      </c>
      <c r="L58" s="1">
        <v>4756022</v>
      </c>
      <c r="M58" s="1">
        <v>4854982</v>
      </c>
      <c r="P58" s="1">
        <v>4867860</v>
      </c>
      <c r="Q58" s="1">
        <v>5037452</v>
      </c>
      <c r="R58" s="1">
        <v>0</v>
      </c>
      <c r="S58" s="1">
        <v>1</v>
      </c>
      <c r="W58" s="1">
        <v>0</v>
      </c>
      <c r="X58" s="1">
        <v>437.31100000000004</v>
      </c>
    </row>
    <row r="59" spans="1:24" x14ac:dyDescent="0.25">
      <c r="A59" s="1">
        <v>57835</v>
      </c>
      <c r="B59" s="1">
        <v>35795</v>
      </c>
      <c r="C59" s="1">
        <v>9</v>
      </c>
      <c r="D59" s="1">
        <v>14173306</v>
      </c>
      <c r="E59" s="1">
        <v>10657</v>
      </c>
      <c r="F59" s="1">
        <v>9259</v>
      </c>
      <c r="G59" s="1">
        <v>10977</v>
      </c>
      <c r="H59" s="1">
        <v>11852</v>
      </c>
      <c r="I59" s="1">
        <v>10977</v>
      </c>
      <c r="L59" s="1">
        <v>14662709</v>
      </c>
      <c r="M59" s="1">
        <v>15678701</v>
      </c>
      <c r="P59" s="1">
        <v>13758347</v>
      </c>
      <c r="Q59" s="1">
        <v>14173306</v>
      </c>
      <c r="R59" s="1">
        <v>0</v>
      </c>
      <c r="S59" s="1">
        <v>1</v>
      </c>
      <c r="W59" s="1">
        <v>0</v>
      </c>
      <c r="X59" s="1">
        <v>1329.941</v>
      </c>
    </row>
    <row r="60" spans="1:24" x14ac:dyDescent="0.25">
      <c r="A60" s="1">
        <v>57836</v>
      </c>
      <c r="B60" s="1">
        <v>35795</v>
      </c>
      <c r="C60" s="1">
        <v>9</v>
      </c>
      <c r="D60" s="1">
        <v>2950702</v>
      </c>
      <c r="E60" s="1">
        <v>9954</v>
      </c>
      <c r="F60" s="1">
        <v>9259</v>
      </c>
      <c r="G60" s="1">
        <v>10252</v>
      </c>
      <c r="H60" s="1">
        <v>11852</v>
      </c>
      <c r="I60" s="1">
        <v>10252</v>
      </c>
      <c r="L60" s="1">
        <v>3065059</v>
      </c>
      <c r="M60" s="1">
        <v>3349935</v>
      </c>
      <c r="P60" s="1">
        <v>2855607</v>
      </c>
      <c r="Q60" s="1">
        <v>2950702</v>
      </c>
      <c r="R60" s="1">
        <v>0</v>
      </c>
      <c r="S60" s="1">
        <v>1</v>
      </c>
      <c r="W60" s="1">
        <v>0</v>
      </c>
      <c r="X60" s="1">
        <v>296.44499999999999</v>
      </c>
    </row>
    <row r="61" spans="1:24" x14ac:dyDescent="0.25">
      <c r="A61" s="1">
        <v>57839</v>
      </c>
      <c r="B61" s="1">
        <v>35795</v>
      </c>
      <c r="C61" s="1">
        <v>9</v>
      </c>
      <c r="D61" s="1">
        <v>10212843</v>
      </c>
      <c r="E61" s="1">
        <v>10929</v>
      </c>
      <c r="F61" s="1">
        <v>9259</v>
      </c>
      <c r="G61" s="1">
        <v>11257</v>
      </c>
      <c r="H61" s="1">
        <v>11852</v>
      </c>
      <c r="I61" s="1">
        <v>11257</v>
      </c>
      <c r="L61" s="1">
        <v>9628152</v>
      </c>
      <c r="M61" s="1">
        <v>10224978</v>
      </c>
      <c r="P61" s="1">
        <v>9916911</v>
      </c>
      <c r="Q61" s="1">
        <v>10212843</v>
      </c>
      <c r="R61" s="1">
        <v>0</v>
      </c>
      <c r="S61" s="1">
        <v>1</v>
      </c>
      <c r="W61" s="1">
        <v>0</v>
      </c>
      <c r="X61" s="1">
        <v>934.45500000000004</v>
      </c>
    </row>
    <row r="62" spans="1:24" x14ac:dyDescent="0.25">
      <c r="A62" s="1">
        <v>57840</v>
      </c>
      <c r="B62" s="1">
        <v>35795</v>
      </c>
      <c r="C62" s="1">
        <v>9</v>
      </c>
      <c r="D62" s="1">
        <v>4526695</v>
      </c>
      <c r="E62" s="1">
        <v>8913</v>
      </c>
      <c r="F62" s="1">
        <v>9259</v>
      </c>
      <c r="G62" s="1">
        <v>9180</v>
      </c>
      <c r="H62" s="1">
        <v>11852</v>
      </c>
      <c r="I62" s="1">
        <v>9180</v>
      </c>
      <c r="L62" s="1">
        <v>2973902</v>
      </c>
      <c r="M62" s="1">
        <v>3734037</v>
      </c>
      <c r="P62" s="1">
        <v>4339822</v>
      </c>
      <c r="Q62" s="1">
        <v>4526695</v>
      </c>
      <c r="R62" s="1">
        <v>0</v>
      </c>
      <c r="S62" s="1">
        <v>1</v>
      </c>
      <c r="W62" s="1">
        <v>0</v>
      </c>
      <c r="X62" s="1">
        <v>507.887</v>
      </c>
    </row>
    <row r="63" spans="1:24" x14ac:dyDescent="0.25">
      <c r="A63" s="1">
        <v>57841</v>
      </c>
      <c r="B63" s="1">
        <v>35795</v>
      </c>
      <c r="C63" s="1">
        <v>9</v>
      </c>
      <c r="D63" s="1">
        <v>9523726</v>
      </c>
      <c r="E63" s="1">
        <v>10228</v>
      </c>
      <c r="F63" s="1">
        <v>9259</v>
      </c>
      <c r="G63" s="1">
        <v>10534</v>
      </c>
      <c r="H63" s="1">
        <v>11852</v>
      </c>
      <c r="I63" s="1">
        <v>10534</v>
      </c>
      <c r="L63" s="1">
        <v>10947580</v>
      </c>
      <c r="M63" s="1">
        <v>12537741</v>
      </c>
      <c r="P63" s="1">
        <v>9285990</v>
      </c>
      <c r="Q63" s="1">
        <v>9523726</v>
      </c>
      <c r="R63" s="1">
        <v>0</v>
      </c>
      <c r="S63" s="1">
        <v>1</v>
      </c>
      <c r="W63" s="1">
        <v>0</v>
      </c>
      <c r="X63" s="1">
        <v>931.17700000000002</v>
      </c>
    </row>
    <row r="64" spans="1:24" x14ac:dyDescent="0.25">
      <c r="A64" s="1">
        <v>57844</v>
      </c>
      <c r="B64" s="1">
        <v>35795</v>
      </c>
      <c r="C64" s="1">
        <v>9</v>
      </c>
      <c r="D64" s="1">
        <v>6921202</v>
      </c>
      <c r="E64" s="1">
        <v>10120</v>
      </c>
      <c r="F64" s="1">
        <v>9259</v>
      </c>
      <c r="G64" s="1">
        <v>10424</v>
      </c>
      <c r="H64" s="1">
        <v>11852</v>
      </c>
      <c r="I64" s="1">
        <v>10424</v>
      </c>
      <c r="L64" s="1">
        <v>5038938</v>
      </c>
      <c r="M64" s="1">
        <v>5196417</v>
      </c>
      <c r="P64" s="1">
        <v>6662008</v>
      </c>
      <c r="Q64" s="1">
        <v>6921202</v>
      </c>
      <c r="R64" s="1">
        <v>0</v>
      </c>
      <c r="S64" s="1">
        <v>1</v>
      </c>
      <c r="W64" s="1">
        <v>0</v>
      </c>
      <c r="X64" s="1">
        <v>683.89300000000003</v>
      </c>
    </row>
    <row r="65" spans="1:24" x14ac:dyDescent="0.25">
      <c r="A65" s="1">
        <v>57845</v>
      </c>
      <c r="B65" s="1">
        <v>35795</v>
      </c>
      <c r="C65" s="1">
        <v>9</v>
      </c>
      <c r="D65" s="1">
        <v>10062513</v>
      </c>
      <c r="E65" s="1">
        <v>8765</v>
      </c>
      <c r="F65" s="1">
        <v>9259</v>
      </c>
      <c r="G65" s="1">
        <v>9028</v>
      </c>
      <c r="H65" s="1">
        <v>11852</v>
      </c>
      <c r="I65" s="1">
        <v>9028</v>
      </c>
      <c r="L65" s="1">
        <v>11523072</v>
      </c>
      <c r="M65" s="1">
        <v>12411219</v>
      </c>
      <c r="P65" s="1">
        <v>9805168</v>
      </c>
      <c r="Q65" s="1">
        <v>10062513</v>
      </c>
      <c r="R65" s="1">
        <v>0</v>
      </c>
      <c r="S65" s="1">
        <v>1</v>
      </c>
      <c r="W65" s="1">
        <v>0</v>
      </c>
      <c r="X65" s="1">
        <v>1147.979</v>
      </c>
    </row>
    <row r="66" spans="1:24" x14ac:dyDescent="0.25">
      <c r="A66" s="1">
        <v>57846</v>
      </c>
      <c r="B66" s="1">
        <v>35795</v>
      </c>
      <c r="C66" s="1">
        <v>9</v>
      </c>
      <c r="D66" s="1">
        <v>15395546</v>
      </c>
      <c r="E66" s="1">
        <v>10252</v>
      </c>
      <c r="F66" s="1">
        <v>9259</v>
      </c>
      <c r="G66" s="1">
        <v>10559</v>
      </c>
      <c r="H66" s="1">
        <v>11852</v>
      </c>
      <c r="I66" s="1">
        <v>10559</v>
      </c>
      <c r="L66" s="1">
        <v>14163278</v>
      </c>
      <c r="M66" s="1">
        <v>15059784</v>
      </c>
      <c r="P66" s="1">
        <v>14970777</v>
      </c>
      <c r="Q66" s="1">
        <v>15395546</v>
      </c>
      <c r="R66" s="1">
        <v>0</v>
      </c>
      <c r="S66" s="1">
        <v>1</v>
      </c>
      <c r="W66" s="1">
        <v>0</v>
      </c>
      <c r="X66" s="1">
        <v>1501.7760000000001</v>
      </c>
    </row>
    <row r="67" spans="1:24" x14ac:dyDescent="0.25">
      <c r="A67" s="1">
        <v>57847</v>
      </c>
      <c r="B67" s="1">
        <v>35795</v>
      </c>
      <c r="C67" s="1">
        <v>9</v>
      </c>
      <c r="D67" s="1">
        <v>10257231</v>
      </c>
      <c r="E67" s="1">
        <v>9347</v>
      </c>
      <c r="F67" s="1">
        <v>9259</v>
      </c>
      <c r="G67" s="1">
        <v>9627</v>
      </c>
      <c r="H67" s="1">
        <v>11852</v>
      </c>
      <c r="I67" s="1">
        <v>9627</v>
      </c>
      <c r="L67" s="1">
        <v>10723458</v>
      </c>
      <c r="M67" s="1">
        <v>11214723</v>
      </c>
      <c r="P67" s="1">
        <v>9935212</v>
      </c>
      <c r="Q67" s="1">
        <v>10257231</v>
      </c>
      <c r="R67" s="1">
        <v>0</v>
      </c>
      <c r="S67" s="1">
        <v>1</v>
      </c>
      <c r="W67" s="1">
        <v>0</v>
      </c>
      <c r="X67" s="1">
        <v>1097.4180000000001</v>
      </c>
    </row>
    <row r="68" spans="1:24" x14ac:dyDescent="0.25">
      <c r="A68" s="1">
        <v>57848</v>
      </c>
      <c r="B68" s="1">
        <v>35795</v>
      </c>
      <c r="C68" s="1">
        <v>9</v>
      </c>
      <c r="D68" s="1">
        <v>181925526</v>
      </c>
      <c r="E68" s="1">
        <v>9921</v>
      </c>
      <c r="F68" s="1">
        <v>9259</v>
      </c>
      <c r="G68" s="1">
        <v>10219</v>
      </c>
      <c r="H68" s="1">
        <v>11852</v>
      </c>
      <c r="I68" s="1">
        <v>10219</v>
      </c>
      <c r="L68" s="1">
        <v>192847220</v>
      </c>
      <c r="M68" s="1">
        <v>199325083</v>
      </c>
      <c r="P68" s="1">
        <v>176284530</v>
      </c>
      <c r="Q68" s="1">
        <v>181925526</v>
      </c>
      <c r="R68" s="1">
        <v>0</v>
      </c>
      <c r="S68" s="1">
        <v>1</v>
      </c>
      <c r="W68" s="1">
        <v>0</v>
      </c>
      <c r="X68" s="1">
        <v>18337.43</v>
      </c>
    </row>
    <row r="69" spans="1:24" x14ac:dyDescent="0.25">
      <c r="A69" s="1">
        <v>57850</v>
      </c>
      <c r="B69" s="1">
        <v>35795</v>
      </c>
      <c r="C69" s="1">
        <v>9</v>
      </c>
      <c r="D69" s="1">
        <v>10948918</v>
      </c>
      <c r="E69" s="1">
        <v>9247</v>
      </c>
      <c r="F69" s="1">
        <v>9259</v>
      </c>
      <c r="G69" s="1">
        <v>9525</v>
      </c>
      <c r="H69" s="1">
        <v>11852</v>
      </c>
      <c r="I69" s="1">
        <v>9525</v>
      </c>
      <c r="L69" s="1">
        <v>19717585</v>
      </c>
      <c r="M69" s="1">
        <v>20933979</v>
      </c>
      <c r="P69" s="1">
        <v>10761486</v>
      </c>
      <c r="Q69" s="1">
        <v>10948918</v>
      </c>
      <c r="R69" s="1">
        <v>0</v>
      </c>
      <c r="S69" s="1">
        <v>1</v>
      </c>
      <c r="W69" s="1">
        <v>0</v>
      </c>
      <c r="X69" s="1">
        <v>1184.0320000000002</v>
      </c>
    </row>
    <row r="70" spans="1:24" x14ac:dyDescent="0.25">
      <c r="A70" s="1">
        <v>57851</v>
      </c>
      <c r="B70" s="1">
        <v>35795</v>
      </c>
      <c r="C70" s="1">
        <v>9</v>
      </c>
      <c r="D70" s="1">
        <v>532725</v>
      </c>
      <c r="E70" s="1">
        <v>10092</v>
      </c>
      <c r="F70" s="1">
        <v>9259</v>
      </c>
      <c r="G70" s="1">
        <v>10394</v>
      </c>
      <c r="H70" s="1">
        <v>11852</v>
      </c>
      <c r="I70" s="1">
        <v>10394</v>
      </c>
      <c r="L70" s="1">
        <v>717729</v>
      </c>
      <c r="M70" s="1">
        <v>781728</v>
      </c>
      <c r="P70" s="1">
        <v>527768</v>
      </c>
      <c r="Q70" s="1">
        <v>532725</v>
      </c>
      <c r="R70" s="1">
        <v>0</v>
      </c>
      <c r="S70" s="1">
        <v>1</v>
      </c>
      <c r="W70" s="1">
        <v>0</v>
      </c>
      <c r="X70" s="1">
        <v>52.789000000000001</v>
      </c>
    </row>
    <row r="71" spans="1:24" x14ac:dyDescent="0.25">
      <c r="A71" s="1">
        <v>61802</v>
      </c>
      <c r="B71" s="1">
        <v>35795</v>
      </c>
      <c r="C71" s="1">
        <v>9</v>
      </c>
      <c r="D71" s="1">
        <v>5752255</v>
      </c>
      <c r="E71" s="1">
        <v>10490</v>
      </c>
      <c r="F71" s="1">
        <v>9259</v>
      </c>
      <c r="G71" s="1">
        <v>10805</v>
      </c>
      <c r="H71" s="1">
        <v>11852</v>
      </c>
      <c r="I71" s="1">
        <v>10805</v>
      </c>
      <c r="L71" s="1">
        <v>6456091</v>
      </c>
      <c r="M71" s="1">
        <v>6940938</v>
      </c>
      <c r="P71" s="1">
        <v>5601511</v>
      </c>
      <c r="Q71" s="1">
        <v>5752255</v>
      </c>
      <c r="R71" s="1">
        <v>0</v>
      </c>
      <c r="S71" s="1">
        <v>1</v>
      </c>
      <c r="W71" s="1">
        <v>0</v>
      </c>
      <c r="X71" s="1">
        <v>548.35500000000002</v>
      </c>
    </row>
    <row r="72" spans="1:24" x14ac:dyDescent="0.25">
      <c r="A72" s="1">
        <v>61804</v>
      </c>
      <c r="B72" s="1">
        <v>35795</v>
      </c>
      <c r="C72" s="1">
        <v>9</v>
      </c>
      <c r="D72" s="1">
        <v>10578821</v>
      </c>
      <c r="E72" s="1">
        <v>8656</v>
      </c>
      <c r="F72" s="1">
        <v>9259</v>
      </c>
      <c r="G72" s="1">
        <v>8915</v>
      </c>
      <c r="H72" s="1">
        <v>11852</v>
      </c>
      <c r="I72" s="1">
        <v>8915</v>
      </c>
      <c r="L72" s="1">
        <v>11394687</v>
      </c>
      <c r="M72" s="1">
        <v>11628021</v>
      </c>
      <c r="P72" s="1">
        <v>10198091</v>
      </c>
      <c r="Q72" s="1">
        <v>10578821</v>
      </c>
      <c r="R72" s="1">
        <v>0</v>
      </c>
      <c r="S72" s="1">
        <v>1</v>
      </c>
      <c r="W72" s="1">
        <v>0</v>
      </c>
      <c r="X72" s="1">
        <v>1222.163</v>
      </c>
    </row>
    <row r="73" spans="1:24" x14ac:dyDescent="0.25">
      <c r="A73" s="1">
        <v>61805</v>
      </c>
      <c r="B73" s="1">
        <v>35795</v>
      </c>
      <c r="C73" s="1">
        <v>9</v>
      </c>
      <c r="D73" s="1">
        <v>4934790</v>
      </c>
      <c r="E73" s="1">
        <v>8641</v>
      </c>
      <c r="F73" s="1">
        <v>9259</v>
      </c>
      <c r="G73" s="1">
        <v>8900</v>
      </c>
      <c r="H73" s="1">
        <v>11852</v>
      </c>
      <c r="I73" s="1">
        <v>8900</v>
      </c>
      <c r="L73" s="1">
        <v>4753412</v>
      </c>
      <c r="M73" s="1">
        <v>4948973</v>
      </c>
      <c r="P73" s="1">
        <v>4750099</v>
      </c>
      <c r="Q73" s="1">
        <v>4934790</v>
      </c>
      <c r="R73" s="1">
        <v>0</v>
      </c>
      <c r="S73" s="1">
        <v>1</v>
      </c>
      <c r="W73" s="1">
        <v>0</v>
      </c>
      <c r="X73" s="1">
        <v>571.09500000000003</v>
      </c>
    </row>
    <row r="74" spans="1:24" x14ac:dyDescent="0.25">
      <c r="A74" s="1">
        <v>68802</v>
      </c>
      <c r="B74" s="1">
        <v>35795</v>
      </c>
      <c r="C74" s="1">
        <v>9</v>
      </c>
      <c r="D74" s="1">
        <v>10420953</v>
      </c>
      <c r="E74" s="1">
        <v>8814</v>
      </c>
      <c r="F74" s="1">
        <v>9259</v>
      </c>
      <c r="G74" s="1">
        <v>9078</v>
      </c>
      <c r="H74" s="1">
        <v>11852</v>
      </c>
      <c r="I74" s="1">
        <v>9078</v>
      </c>
      <c r="L74" s="1">
        <v>11741561</v>
      </c>
      <c r="M74" s="1">
        <v>11665661</v>
      </c>
      <c r="P74" s="1">
        <v>10081214</v>
      </c>
      <c r="Q74" s="1">
        <v>10420953</v>
      </c>
      <c r="R74" s="1">
        <v>0</v>
      </c>
      <c r="S74" s="1">
        <v>1</v>
      </c>
      <c r="W74" s="1">
        <v>0</v>
      </c>
      <c r="X74" s="1">
        <v>1182.3579999999999</v>
      </c>
    </row>
    <row r="75" spans="1:24" x14ac:dyDescent="0.25">
      <c r="A75" s="1">
        <v>68803</v>
      </c>
      <c r="B75" s="1">
        <v>35795</v>
      </c>
      <c r="C75" s="1">
        <v>9</v>
      </c>
      <c r="D75" s="1">
        <v>6402270</v>
      </c>
      <c r="E75" s="1">
        <v>8820</v>
      </c>
      <c r="F75" s="1">
        <v>9259</v>
      </c>
      <c r="G75" s="1">
        <v>9085</v>
      </c>
      <c r="H75" s="1">
        <v>11852</v>
      </c>
      <c r="I75" s="1">
        <v>9085</v>
      </c>
      <c r="L75" s="1">
        <v>6455572</v>
      </c>
      <c r="M75" s="1">
        <v>6669460</v>
      </c>
      <c r="P75" s="1">
        <v>6182827</v>
      </c>
      <c r="Q75" s="1">
        <v>6402270</v>
      </c>
      <c r="R75" s="1">
        <v>0</v>
      </c>
      <c r="S75" s="1">
        <v>1</v>
      </c>
      <c r="W75" s="1">
        <v>0</v>
      </c>
      <c r="X75" s="1">
        <v>725.88499999999999</v>
      </c>
    </row>
    <row r="76" spans="1:24" x14ac:dyDescent="0.25">
      <c r="A76" s="1">
        <v>70801</v>
      </c>
      <c r="B76" s="1">
        <v>35795</v>
      </c>
      <c r="C76" s="1">
        <v>9</v>
      </c>
      <c r="D76" s="1">
        <v>25493427</v>
      </c>
      <c r="E76" s="1">
        <v>10729</v>
      </c>
      <c r="F76" s="1">
        <v>9259</v>
      </c>
      <c r="G76" s="1">
        <v>11051</v>
      </c>
      <c r="H76" s="1">
        <v>11852</v>
      </c>
      <c r="I76" s="1">
        <v>11051</v>
      </c>
      <c r="L76" s="1">
        <v>25918323</v>
      </c>
      <c r="M76" s="1">
        <v>27589912</v>
      </c>
      <c r="P76" s="1">
        <v>24738742</v>
      </c>
      <c r="Q76" s="1">
        <v>25493427</v>
      </c>
      <c r="R76" s="1">
        <v>0</v>
      </c>
      <c r="S76" s="1">
        <v>1</v>
      </c>
      <c r="W76" s="1">
        <v>0</v>
      </c>
      <c r="X76" s="1">
        <v>2376.0170000000003</v>
      </c>
    </row>
    <row r="77" spans="1:24" x14ac:dyDescent="0.25">
      <c r="A77" s="1">
        <v>71801</v>
      </c>
      <c r="B77" s="1">
        <v>35795</v>
      </c>
      <c r="C77" s="1">
        <v>9</v>
      </c>
      <c r="D77" s="1">
        <v>9502184</v>
      </c>
      <c r="E77" s="1">
        <v>9628</v>
      </c>
      <c r="F77" s="1">
        <v>9259</v>
      </c>
      <c r="G77" s="1">
        <v>9917</v>
      </c>
      <c r="H77" s="1">
        <v>11852</v>
      </c>
      <c r="I77" s="1">
        <v>9917</v>
      </c>
      <c r="L77" s="1">
        <v>11699351</v>
      </c>
      <c r="M77" s="1">
        <v>12114369</v>
      </c>
      <c r="P77" s="1">
        <v>9237329</v>
      </c>
      <c r="Q77" s="1">
        <v>9502184</v>
      </c>
      <c r="R77" s="1">
        <v>0</v>
      </c>
      <c r="S77" s="1">
        <v>1</v>
      </c>
      <c r="W77" s="1">
        <v>0</v>
      </c>
      <c r="X77" s="1">
        <v>986.88300000000004</v>
      </c>
    </row>
    <row r="78" spans="1:24" x14ac:dyDescent="0.25">
      <c r="A78" s="1">
        <v>71803</v>
      </c>
      <c r="B78" s="1">
        <v>35795</v>
      </c>
      <c r="C78" s="1">
        <v>9</v>
      </c>
      <c r="D78" s="1">
        <v>2007723</v>
      </c>
      <c r="E78" s="1">
        <v>11146</v>
      </c>
      <c r="F78" s="1">
        <v>9259</v>
      </c>
      <c r="G78" s="1">
        <v>11480</v>
      </c>
      <c r="H78" s="1">
        <v>11852</v>
      </c>
      <c r="I78" s="1">
        <v>11480</v>
      </c>
      <c r="L78" s="1">
        <v>1909840</v>
      </c>
      <c r="M78" s="1">
        <v>1914739</v>
      </c>
      <c r="P78" s="1">
        <v>1944642</v>
      </c>
      <c r="Q78" s="1">
        <v>2007723</v>
      </c>
      <c r="R78" s="1">
        <v>0</v>
      </c>
      <c r="S78" s="1">
        <v>1</v>
      </c>
      <c r="W78" s="1">
        <v>0</v>
      </c>
      <c r="X78" s="1">
        <v>180.13500000000002</v>
      </c>
    </row>
    <row r="79" spans="1:24" x14ac:dyDescent="0.25">
      <c r="A79" s="1">
        <v>71804</v>
      </c>
      <c r="B79" s="1">
        <v>35795</v>
      </c>
      <c r="C79" s="1">
        <v>9</v>
      </c>
      <c r="D79" s="1">
        <v>2936923</v>
      </c>
      <c r="E79" s="1">
        <v>10720</v>
      </c>
      <c r="F79" s="1">
        <v>9259</v>
      </c>
      <c r="G79" s="1">
        <v>11041</v>
      </c>
      <c r="H79" s="1">
        <v>11852</v>
      </c>
      <c r="I79" s="1">
        <v>11041</v>
      </c>
      <c r="L79" s="1">
        <v>2551742</v>
      </c>
      <c r="M79" s="1">
        <v>2539692</v>
      </c>
      <c r="P79" s="1">
        <v>2845477</v>
      </c>
      <c r="Q79" s="1">
        <v>2936923</v>
      </c>
      <c r="R79" s="1">
        <v>0</v>
      </c>
      <c r="S79" s="1">
        <v>1</v>
      </c>
      <c r="W79" s="1">
        <v>0</v>
      </c>
      <c r="X79" s="1">
        <v>273.97200000000004</v>
      </c>
    </row>
    <row r="80" spans="1:24" x14ac:dyDescent="0.25">
      <c r="A80" s="1">
        <v>71806</v>
      </c>
      <c r="B80" s="1">
        <v>35795</v>
      </c>
      <c r="C80" s="1">
        <v>9</v>
      </c>
      <c r="D80" s="1">
        <v>34926523</v>
      </c>
      <c r="E80" s="1">
        <v>10181</v>
      </c>
      <c r="F80" s="1">
        <v>9259</v>
      </c>
      <c r="G80" s="1">
        <v>10486</v>
      </c>
      <c r="H80" s="1">
        <v>11852</v>
      </c>
      <c r="I80" s="1">
        <v>10486</v>
      </c>
      <c r="L80" s="1">
        <v>43222575</v>
      </c>
      <c r="M80" s="1">
        <v>45419923</v>
      </c>
      <c r="P80" s="1">
        <v>33853937</v>
      </c>
      <c r="Q80" s="1">
        <v>34926523</v>
      </c>
      <c r="R80" s="1">
        <v>0</v>
      </c>
      <c r="S80" s="1">
        <v>1</v>
      </c>
      <c r="W80" s="1">
        <v>0</v>
      </c>
      <c r="X80" s="1">
        <v>3430.721</v>
      </c>
    </row>
    <row r="81" spans="1:24" x14ac:dyDescent="0.25">
      <c r="A81" s="1">
        <v>71807</v>
      </c>
      <c r="B81" s="1">
        <v>35795</v>
      </c>
      <c r="C81" s="1">
        <v>9</v>
      </c>
      <c r="D81" s="1">
        <v>1901288</v>
      </c>
      <c r="E81" s="1">
        <v>9997</v>
      </c>
      <c r="F81" s="1">
        <v>9259</v>
      </c>
      <c r="G81" s="1">
        <v>10297</v>
      </c>
      <c r="H81" s="1">
        <v>11852</v>
      </c>
      <c r="I81" s="1">
        <v>10297</v>
      </c>
      <c r="L81" s="1">
        <v>1646111</v>
      </c>
      <c r="M81" s="1">
        <v>1914122</v>
      </c>
      <c r="P81" s="1">
        <v>1835485</v>
      </c>
      <c r="Q81" s="1">
        <v>1901288</v>
      </c>
      <c r="R81" s="1">
        <v>0</v>
      </c>
      <c r="S81" s="1">
        <v>1</v>
      </c>
      <c r="W81" s="1">
        <v>0</v>
      </c>
      <c r="X81" s="1">
        <v>190.178</v>
      </c>
    </row>
    <row r="82" spans="1:24" x14ac:dyDescent="0.25">
      <c r="A82" s="1">
        <v>71809</v>
      </c>
      <c r="B82" s="1">
        <v>35795</v>
      </c>
      <c r="C82" s="1">
        <v>9</v>
      </c>
      <c r="D82" s="1">
        <v>2658734</v>
      </c>
      <c r="E82" s="1">
        <v>9583</v>
      </c>
      <c r="F82" s="1">
        <v>9259</v>
      </c>
      <c r="G82" s="1">
        <v>9870</v>
      </c>
      <c r="H82" s="1">
        <v>11852</v>
      </c>
      <c r="I82" s="1">
        <v>9870</v>
      </c>
      <c r="L82" s="1">
        <v>2697810</v>
      </c>
      <c r="M82" s="1">
        <v>2806578</v>
      </c>
      <c r="P82" s="1">
        <v>2557023</v>
      </c>
      <c r="Q82" s="1">
        <v>2658734</v>
      </c>
      <c r="R82" s="1">
        <v>0</v>
      </c>
      <c r="S82" s="1">
        <v>1</v>
      </c>
      <c r="W82" s="1">
        <v>0</v>
      </c>
      <c r="X82" s="1">
        <v>277.44499999999999</v>
      </c>
    </row>
    <row r="83" spans="1:24" x14ac:dyDescent="0.25">
      <c r="A83" s="1">
        <v>71810</v>
      </c>
      <c r="B83" s="1">
        <v>35795</v>
      </c>
      <c r="C83" s="1">
        <v>9</v>
      </c>
      <c r="D83" s="1">
        <v>2175390</v>
      </c>
      <c r="E83" s="1">
        <v>10571</v>
      </c>
      <c r="F83" s="1">
        <v>9259</v>
      </c>
      <c r="G83" s="1">
        <v>10888</v>
      </c>
      <c r="H83" s="1">
        <v>11852</v>
      </c>
      <c r="I83" s="1">
        <v>10888</v>
      </c>
      <c r="L83" s="1">
        <v>2707601</v>
      </c>
      <c r="M83" s="1">
        <v>2948681</v>
      </c>
      <c r="P83" s="1">
        <v>2112357</v>
      </c>
      <c r="Q83" s="1">
        <v>2175390</v>
      </c>
      <c r="R83" s="1">
        <v>0</v>
      </c>
      <c r="S83" s="1">
        <v>1</v>
      </c>
      <c r="W83" s="1">
        <v>0</v>
      </c>
      <c r="X83" s="1">
        <v>205.79300000000001</v>
      </c>
    </row>
    <row r="84" spans="1:24" x14ac:dyDescent="0.25">
      <c r="A84" s="1">
        <v>72801</v>
      </c>
      <c r="B84" s="1">
        <v>35795</v>
      </c>
      <c r="C84" s="1">
        <v>9</v>
      </c>
      <c r="D84" s="1">
        <v>50077332</v>
      </c>
      <c r="E84" s="1">
        <v>10639</v>
      </c>
      <c r="F84" s="1">
        <v>9259</v>
      </c>
      <c r="G84" s="1">
        <v>10958</v>
      </c>
      <c r="H84" s="1">
        <v>11852</v>
      </c>
      <c r="I84" s="1">
        <v>10958</v>
      </c>
      <c r="L84" s="1">
        <v>57528948</v>
      </c>
      <c r="M84" s="1">
        <v>59661221</v>
      </c>
      <c r="P84" s="1">
        <v>48693742</v>
      </c>
      <c r="Q84" s="1">
        <v>50077332</v>
      </c>
      <c r="R84" s="1">
        <v>0</v>
      </c>
      <c r="S84" s="1">
        <v>1</v>
      </c>
      <c r="W84" s="1">
        <v>0</v>
      </c>
      <c r="X84" s="1">
        <v>4706.9270000000006</v>
      </c>
    </row>
    <row r="85" spans="1:24" x14ac:dyDescent="0.25">
      <c r="A85" s="1">
        <v>72802</v>
      </c>
      <c r="B85" s="1">
        <v>35795</v>
      </c>
      <c r="C85" s="1">
        <v>9</v>
      </c>
      <c r="D85" s="1">
        <v>1033065</v>
      </c>
      <c r="E85" s="1">
        <v>10570</v>
      </c>
      <c r="F85" s="1">
        <v>9259</v>
      </c>
      <c r="G85" s="1">
        <v>10888</v>
      </c>
      <c r="H85" s="1">
        <v>11852</v>
      </c>
      <c r="I85" s="1">
        <v>10888</v>
      </c>
      <c r="L85" s="1">
        <v>918185</v>
      </c>
      <c r="M85" s="1">
        <v>1015101</v>
      </c>
      <c r="P85" s="1">
        <v>998212</v>
      </c>
      <c r="Q85" s="1">
        <v>1033065</v>
      </c>
      <c r="R85" s="1">
        <v>0</v>
      </c>
      <c r="S85" s="1">
        <v>1</v>
      </c>
      <c r="W85" s="1">
        <v>0</v>
      </c>
      <c r="X85" s="1">
        <v>97.731000000000009</v>
      </c>
    </row>
    <row r="86" spans="1:24" x14ac:dyDescent="0.25">
      <c r="A86" s="1">
        <v>84802</v>
      </c>
      <c r="B86" s="1">
        <v>35795</v>
      </c>
      <c r="C86" s="1">
        <v>9</v>
      </c>
      <c r="D86" s="1">
        <v>10482136</v>
      </c>
      <c r="E86" s="1">
        <v>10287</v>
      </c>
      <c r="F86" s="1">
        <v>9259</v>
      </c>
      <c r="G86" s="1">
        <v>10595</v>
      </c>
      <c r="H86" s="1">
        <v>11852</v>
      </c>
      <c r="I86" s="1">
        <v>10595</v>
      </c>
      <c r="L86" s="1">
        <v>13307840</v>
      </c>
      <c r="M86" s="1">
        <v>13982640</v>
      </c>
      <c r="P86" s="1">
        <v>10156919</v>
      </c>
      <c r="Q86" s="1">
        <v>10482136</v>
      </c>
      <c r="R86" s="1">
        <v>0</v>
      </c>
      <c r="S86" s="1">
        <v>1</v>
      </c>
      <c r="W86" s="1">
        <v>0</v>
      </c>
      <c r="X86" s="1">
        <v>1018.984</v>
      </c>
    </row>
    <row r="87" spans="1:24" x14ac:dyDescent="0.25">
      <c r="A87" s="1">
        <v>84804</v>
      </c>
      <c r="B87" s="1">
        <v>35795</v>
      </c>
      <c r="C87" s="1">
        <v>9</v>
      </c>
      <c r="D87" s="1">
        <v>2331574</v>
      </c>
      <c r="E87" s="1">
        <v>9999</v>
      </c>
      <c r="F87" s="1">
        <v>9259</v>
      </c>
      <c r="G87" s="1">
        <v>10299</v>
      </c>
      <c r="H87" s="1">
        <v>11852</v>
      </c>
      <c r="I87" s="1">
        <v>10299</v>
      </c>
      <c r="L87" s="1">
        <v>1617313</v>
      </c>
      <c r="M87" s="1">
        <v>1705953</v>
      </c>
      <c r="P87" s="1">
        <v>2248421</v>
      </c>
      <c r="Q87" s="1">
        <v>2331574</v>
      </c>
      <c r="R87" s="1">
        <v>0</v>
      </c>
      <c r="S87" s="1">
        <v>1</v>
      </c>
      <c r="W87" s="1">
        <v>0</v>
      </c>
      <c r="X87" s="1">
        <v>233.18900000000002</v>
      </c>
    </row>
    <row r="88" spans="1:24" x14ac:dyDescent="0.25">
      <c r="A88" s="1">
        <v>92801</v>
      </c>
      <c r="B88" s="1">
        <v>35795</v>
      </c>
      <c r="C88" s="1">
        <v>9</v>
      </c>
      <c r="D88" s="1">
        <v>1361891</v>
      </c>
      <c r="E88" s="1">
        <v>10222</v>
      </c>
      <c r="F88" s="1">
        <v>9259</v>
      </c>
      <c r="G88" s="1">
        <v>10529</v>
      </c>
      <c r="H88" s="1">
        <v>11852</v>
      </c>
      <c r="I88" s="1">
        <v>10529</v>
      </c>
      <c r="L88" s="1">
        <v>1416056</v>
      </c>
      <c r="M88" s="1">
        <v>1397871</v>
      </c>
      <c r="P88" s="1">
        <v>1320037</v>
      </c>
      <c r="Q88" s="1">
        <v>1361891</v>
      </c>
      <c r="R88" s="1">
        <v>0</v>
      </c>
      <c r="S88" s="1">
        <v>1</v>
      </c>
      <c r="W88" s="1">
        <v>0</v>
      </c>
      <c r="X88" s="1">
        <v>133.22900000000001</v>
      </c>
    </row>
    <row r="89" spans="1:24" x14ac:dyDescent="0.25">
      <c r="A89" s="1">
        <v>101802</v>
      </c>
      <c r="B89" s="1">
        <v>35795</v>
      </c>
      <c r="C89" s="1">
        <v>9</v>
      </c>
      <c r="D89" s="1">
        <v>10822265</v>
      </c>
      <c r="E89" s="1">
        <v>10600</v>
      </c>
      <c r="F89" s="1">
        <v>9259</v>
      </c>
      <c r="G89" s="1">
        <v>10918</v>
      </c>
      <c r="H89" s="1">
        <v>11852</v>
      </c>
      <c r="I89" s="1">
        <v>10918</v>
      </c>
      <c r="L89" s="1">
        <v>9998612</v>
      </c>
      <c r="M89" s="1">
        <v>11515827</v>
      </c>
      <c r="P89" s="1">
        <v>10502025</v>
      </c>
      <c r="Q89" s="1">
        <v>10822265</v>
      </c>
      <c r="R89" s="1">
        <v>0</v>
      </c>
      <c r="S89" s="1">
        <v>1</v>
      </c>
      <c r="W89" s="1">
        <v>0</v>
      </c>
      <c r="X89" s="1">
        <v>1021.009</v>
      </c>
    </row>
    <row r="90" spans="1:24" x14ac:dyDescent="0.25">
      <c r="A90" s="1">
        <v>101803</v>
      </c>
      <c r="B90" s="1">
        <v>35795</v>
      </c>
      <c r="C90" s="1">
        <v>9</v>
      </c>
      <c r="D90" s="1">
        <v>8379271</v>
      </c>
      <c r="E90" s="1">
        <v>9151</v>
      </c>
      <c r="F90" s="1">
        <v>9259</v>
      </c>
      <c r="G90" s="1">
        <v>9425</v>
      </c>
      <c r="H90" s="1">
        <v>11852</v>
      </c>
      <c r="I90" s="1">
        <v>9425</v>
      </c>
      <c r="L90" s="1">
        <v>10796398</v>
      </c>
      <c r="M90" s="1">
        <v>10585238</v>
      </c>
      <c r="P90" s="1">
        <v>8101212</v>
      </c>
      <c r="Q90" s="1">
        <v>8379271</v>
      </c>
      <c r="R90" s="1">
        <v>0</v>
      </c>
      <c r="S90" s="1">
        <v>1</v>
      </c>
      <c r="W90" s="1">
        <v>0</v>
      </c>
      <c r="X90" s="1">
        <v>915.68799999999999</v>
      </c>
    </row>
    <row r="91" spans="1:24" x14ac:dyDescent="0.25">
      <c r="A91" s="1">
        <v>101804</v>
      </c>
      <c r="B91" s="1">
        <v>35795</v>
      </c>
      <c r="C91" s="1">
        <v>9</v>
      </c>
      <c r="D91" s="1">
        <v>9941841</v>
      </c>
      <c r="E91" s="1">
        <v>11070</v>
      </c>
      <c r="F91" s="1">
        <v>9259</v>
      </c>
      <c r="G91" s="1">
        <v>11402</v>
      </c>
      <c r="H91" s="1">
        <v>11852</v>
      </c>
      <c r="I91" s="1">
        <v>11402</v>
      </c>
      <c r="L91" s="1">
        <v>9291466</v>
      </c>
      <c r="M91" s="1">
        <v>9390578</v>
      </c>
      <c r="P91" s="1">
        <v>9669522</v>
      </c>
      <c r="Q91" s="1">
        <v>9941841</v>
      </c>
      <c r="R91" s="1">
        <v>0</v>
      </c>
      <c r="S91" s="1">
        <v>1</v>
      </c>
      <c r="W91" s="1">
        <v>0</v>
      </c>
      <c r="X91" s="1">
        <v>898.07900000000006</v>
      </c>
    </row>
    <row r="92" spans="1:24" x14ac:dyDescent="0.25">
      <c r="A92" s="1">
        <v>101806</v>
      </c>
      <c r="B92" s="1">
        <v>35795</v>
      </c>
      <c r="C92" s="1">
        <v>9</v>
      </c>
      <c r="D92" s="1">
        <v>13318975</v>
      </c>
      <c r="E92" s="1">
        <v>10619</v>
      </c>
      <c r="F92" s="1">
        <v>9259</v>
      </c>
      <c r="G92" s="1">
        <v>10937</v>
      </c>
      <c r="H92" s="1">
        <v>11852</v>
      </c>
      <c r="I92" s="1">
        <v>10937</v>
      </c>
      <c r="L92" s="1">
        <v>14688325</v>
      </c>
      <c r="M92" s="1">
        <v>15915313</v>
      </c>
      <c r="P92" s="1">
        <v>12915808</v>
      </c>
      <c r="Q92" s="1">
        <v>13318975</v>
      </c>
      <c r="R92" s="1">
        <v>0</v>
      </c>
      <c r="S92" s="1">
        <v>1</v>
      </c>
      <c r="W92" s="1">
        <v>0</v>
      </c>
      <c r="X92" s="1">
        <v>1254.2860000000001</v>
      </c>
    </row>
    <row r="93" spans="1:24" x14ac:dyDescent="0.25">
      <c r="A93" s="1">
        <v>101810</v>
      </c>
      <c r="B93" s="1">
        <v>35795</v>
      </c>
      <c r="C93" s="1">
        <v>9</v>
      </c>
      <c r="D93" s="1">
        <v>7139150</v>
      </c>
      <c r="E93" s="1">
        <v>10225</v>
      </c>
      <c r="F93" s="1">
        <v>9259</v>
      </c>
      <c r="G93" s="1">
        <v>10532</v>
      </c>
      <c r="H93" s="1">
        <v>11852</v>
      </c>
      <c r="I93" s="1">
        <v>10532</v>
      </c>
      <c r="L93" s="1">
        <v>8504838</v>
      </c>
      <c r="M93" s="1">
        <v>8832959</v>
      </c>
      <c r="P93" s="1">
        <v>6932790</v>
      </c>
      <c r="Q93" s="1">
        <v>7139150</v>
      </c>
      <c r="R93" s="1">
        <v>0</v>
      </c>
      <c r="S93" s="1">
        <v>1</v>
      </c>
      <c r="W93" s="1">
        <v>0</v>
      </c>
      <c r="X93" s="1">
        <v>698.21600000000001</v>
      </c>
    </row>
    <row r="94" spans="1:24" x14ac:dyDescent="0.25">
      <c r="A94" s="1">
        <v>101811</v>
      </c>
      <c r="B94" s="1">
        <v>35795</v>
      </c>
      <c r="C94" s="1">
        <v>9</v>
      </c>
      <c r="D94" s="1">
        <v>3693921</v>
      </c>
      <c r="E94" s="1">
        <v>13639</v>
      </c>
      <c r="F94" s="1">
        <v>9259</v>
      </c>
      <c r="G94" s="1">
        <v>14048</v>
      </c>
      <c r="H94" s="1">
        <v>11852</v>
      </c>
      <c r="I94" s="1">
        <v>11852</v>
      </c>
      <c r="L94" s="1">
        <v>2172835</v>
      </c>
      <c r="M94" s="1">
        <v>2759927</v>
      </c>
      <c r="P94" s="1">
        <v>3574559</v>
      </c>
      <c r="Q94" s="1">
        <v>3693921</v>
      </c>
      <c r="R94" s="1">
        <v>0</v>
      </c>
      <c r="S94" s="1">
        <v>1</v>
      </c>
      <c r="W94" s="1">
        <v>0</v>
      </c>
      <c r="X94" s="1">
        <v>270.839</v>
      </c>
    </row>
    <row r="95" spans="1:24" x14ac:dyDescent="0.25">
      <c r="A95" s="1">
        <v>101814</v>
      </c>
      <c r="B95" s="1">
        <v>35795</v>
      </c>
      <c r="C95" s="1">
        <v>9</v>
      </c>
      <c r="D95" s="1">
        <v>14334513</v>
      </c>
      <c r="E95" s="1">
        <v>10226</v>
      </c>
      <c r="F95" s="1">
        <v>9259</v>
      </c>
      <c r="G95" s="1">
        <v>10533</v>
      </c>
      <c r="H95" s="1">
        <v>11852</v>
      </c>
      <c r="I95" s="1">
        <v>10533</v>
      </c>
      <c r="L95" s="1">
        <v>10503409</v>
      </c>
      <c r="M95" s="1">
        <v>11143332</v>
      </c>
      <c r="P95" s="1">
        <v>13840401</v>
      </c>
      <c r="Q95" s="1">
        <v>14334513</v>
      </c>
      <c r="R95" s="1">
        <v>0</v>
      </c>
      <c r="S95" s="1">
        <v>1</v>
      </c>
      <c r="W95" s="1">
        <v>0</v>
      </c>
      <c r="X95" s="1">
        <v>1401.758</v>
      </c>
    </row>
    <row r="96" spans="1:24" x14ac:dyDescent="0.25">
      <c r="A96" s="1">
        <v>101815</v>
      </c>
      <c r="B96" s="1">
        <v>35795</v>
      </c>
      <c r="C96" s="1">
        <v>9</v>
      </c>
      <c r="D96" s="1">
        <v>2791361</v>
      </c>
      <c r="E96" s="1">
        <v>10470</v>
      </c>
      <c r="F96" s="1">
        <v>9259</v>
      </c>
      <c r="G96" s="1">
        <v>10784</v>
      </c>
      <c r="H96" s="1">
        <v>11852</v>
      </c>
      <c r="I96" s="1">
        <v>10784</v>
      </c>
      <c r="L96" s="1">
        <v>3022535</v>
      </c>
      <c r="M96" s="1">
        <v>3154953</v>
      </c>
      <c r="P96" s="1">
        <v>2716837</v>
      </c>
      <c r="Q96" s="1">
        <v>2791361</v>
      </c>
      <c r="R96" s="1">
        <v>0</v>
      </c>
      <c r="S96" s="1">
        <v>1</v>
      </c>
      <c r="W96" s="1">
        <v>0</v>
      </c>
      <c r="X96" s="1">
        <v>266.61799999999999</v>
      </c>
    </row>
    <row r="97" spans="1:24" x14ac:dyDescent="0.25">
      <c r="A97" s="1">
        <v>101819</v>
      </c>
      <c r="B97" s="1">
        <v>35795</v>
      </c>
      <c r="C97" s="1">
        <v>9</v>
      </c>
      <c r="D97" s="1">
        <v>4916366</v>
      </c>
      <c r="E97" s="1">
        <v>10584</v>
      </c>
      <c r="F97" s="1">
        <v>9259</v>
      </c>
      <c r="G97" s="1">
        <v>10901</v>
      </c>
      <c r="H97" s="1">
        <v>11852</v>
      </c>
      <c r="I97" s="1">
        <v>10901</v>
      </c>
      <c r="L97" s="1">
        <v>5494099</v>
      </c>
      <c r="M97" s="1">
        <v>5947851</v>
      </c>
      <c r="P97" s="1">
        <v>4771334</v>
      </c>
      <c r="Q97" s="1">
        <v>4916366</v>
      </c>
      <c r="R97" s="1">
        <v>0</v>
      </c>
      <c r="S97" s="1">
        <v>1</v>
      </c>
      <c r="W97" s="1">
        <v>0</v>
      </c>
      <c r="X97" s="1">
        <v>464.51800000000003</v>
      </c>
    </row>
    <row r="98" spans="1:24" x14ac:dyDescent="0.25">
      <c r="A98" s="1">
        <v>101821</v>
      </c>
      <c r="B98" s="1">
        <v>35795</v>
      </c>
      <c r="C98" s="1">
        <v>9</v>
      </c>
      <c r="D98" s="1">
        <v>1895154</v>
      </c>
      <c r="E98" s="1">
        <v>11498</v>
      </c>
      <c r="F98" s="1">
        <v>9259</v>
      </c>
      <c r="G98" s="1">
        <v>11842</v>
      </c>
      <c r="H98" s="1">
        <v>11852</v>
      </c>
      <c r="I98" s="1">
        <v>11842</v>
      </c>
      <c r="L98" s="1">
        <v>1815370</v>
      </c>
      <c r="M98" s="1">
        <v>1719805</v>
      </c>
      <c r="P98" s="1">
        <v>1833234</v>
      </c>
      <c r="Q98" s="1">
        <v>1895154</v>
      </c>
      <c r="R98" s="1">
        <v>0</v>
      </c>
      <c r="S98" s="1">
        <v>1</v>
      </c>
      <c r="W98" s="1">
        <v>0</v>
      </c>
      <c r="X98" s="1">
        <v>164.83100000000002</v>
      </c>
    </row>
    <row r="99" spans="1:24" x14ac:dyDescent="0.25">
      <c r="A99" s="1">
        <v>101828</v>
      </c>
      <c r="B99" s="1">
        <v>35795</v>
      </c>
      <c r="C99" s="1">
        <v>9</v>
      </c>
      <c r="D99" s="1">
        <v>21130602</v>
      </c>
      <c r="E99" s="1">
        <v>10350</v>
      </c>
      <c r="F99" s="1">
        <v>9259</v>
      </c>
      <c r="G99" s="1">
        <v>10661</v>
      </c>
      <c r="H99" s="1">
        <v>11852</v>
      </c>
      <c r="I99" s="1">
        <v>10661</v>
      </c>
      <c r="L99" s="1">
        <v>19942056</v>
      </c>
      <c r="M99" s="1">
        <v>21030446</v>
      </c>
      <c r="P99" s="1">
        <v>20447631</v>
      </c>
      <c r="Q99" s="1">
        <v>21130602</v>
      </c>
      <c r="R99" s="1">
        <v>0</v>
      </c>
      <c r="S99" s="1">
        <v>1</v>
      </c>
      <c r="W99" s="1">
        <v>0</v>
      </c>
      <c r="X99" s="1">
        <v>2041.5940000000001</v>
      </c>
    </row>
    <row r="100" spans="1:24" x14ac:dyDescent="0.25">
      <c r="A100" s="1">
        <v>101837</v>
      </c>
      <c r="B100" s="1">
        <v>35795</v>
      </c>
      <c r="C100" s="1">
        <v>9</v>
      </c>
      <c r="D100" s="1">
        <v>3023552</v>
      </c>
      <c r="E100" s="1">
        <v>9975</v>
      </c>
      <c r="F100" s="1">
        <v>9259</v>
      </c>
      <c r="G100" s="1">
        <v>10274</v>
      </c>
      <c r="H100" s="1">
        <v>11852</v>
      </c>
      <c r="I100" s="1">
        <v>10274</v>
      </c>
      <c r="L100" s="1">
        <v>3020929</v>
      </c>
      <c r="M100" s="1">
        <v>3120549</v>
      </c>
      <c r="P100" s="1">
        <v>2924394</v>
      </c>
      <c r="Q100" s="1">
        <v>3023552</v>
      </c>
      <c r="R100" s="1">
        <v>0</v>
      </c>
      <c r="S100" s="1">
        <v>1</v>
      </c>
      <c r="W100" s="1">
        <v>0</v>
      </c>
      <c r="X100" s="1">
        <v>303.11900000000003</v>
      </c>
    </row>
    <row r="101" spans="1:24" x14ac:dyDescent="0.25">
      <c r="A101" s="1">
        <v>101838</v>
      </c>
      <c r="B101" s="1">
        <v>35795</v>
      </c>
      <c r="C101" s="1">
        <v>9</v>
      </c>
      <c r="D101" s="1">
        <v>18661125</v>
      </c>
      <c r="E101" s="1">
        <v>10748</v>
      </c>
      <c r="F101" s="1">
        <v>9259</v>
      </c>
      <c r="G101" s="1">
        <v>11070</v>
      </c>
      <c r="H101" s="1">
        <v>11852</v>
      </c>
      <c r="I101" s="1">
        <v>11070</v>
      </c>
      <c r="L101" s="1">
        <v>15811246</v>
      </c>
      <c r="M101" s="1">
        <v>16926977</v>
      </c>
      <c r="P101" s="1">
        <v>18116851</v>
      </c>
      <c r="Q101" s="1">
        <v>18661125</v>
      </c>
      <c r="R101" s="1">
        <v>0</v>
      </c>
      <c r="S101" s="1">
        <v>1</v>
      </c>
      <c r="W101" s="1">
        <v>0</v>
      </c>
      <c r="X101" s="1">
        <v>1736.25</v>
      </c>
    </row>
    <row r="102" spans="1:24" x14ac:dyDescent="0.25">
      <c r="A102" s="1">
        <v>101840</v>
      </c>
      <c r="B102" s="1">
        <v>35795</v>
      </c>
      <c r="C102" s="1">
        <v>9</v>
      </c>
      <c r="D102" s="1">
        <v>4013715</v>
      </c>
      <c r="E102" s="1">
        <v>10330</v>
      </c>
      <c r="F102" s="1">
        <v>9259</v>
      </c>
      <c r="G102" s="1">
        <v>10640</v>
      </c>
      <c r="H102" s="1">
        <v>11852</v>
      </c>
      <c r="I102" s="1">
        <v>10640</v>
      </c>
      <c r="L102" s="1">
        <v>3447248</v>
      </c>
      <c r="M102" s="1">
        <v>3742511</v>
      </c>
      <c r="P102" s="1">
        <v>3896902</v>
      </c>
      <c r="Q102" s="1">
        <v>4013715</v>
      </c>
      <c r="R102" s="1">
        <v>0</v>
      </c>
      <c r="S102" s="1">
        <v>1</v>
      </c>
      <c r="W102" s="1">
        <v>0</v>
      </c>
      <c r="X102" s="1">
        <v>388.53800000000001</v>
      </c>
    </row>
    <row r="103" spans="1:24" x14ac:dyDescent="0.25">
      <c r="A103" s="1">
        <v>101842</v>
      </c>
      <c r="B103" s="1">
        <v>35795</v>
      </c>
      <c r="C103" s="1">
        <v>9</v>
      </c>
      <c r="D103" s="1">
        <v>555052</v>
      </c>
      <c r="E103" s="1">
        <v>11005</v>
      </c>
      <c r="F103" s="1">
        <v>9259</v>
      </c>
      <c r="G103" s="1">
        <v>11335</v>
      </c>
      <c r="H103" s="1">
        <v>11852</v>
      </c>
      <c r="I103" s="1">
        <v>11335</v>
      </c>
      <c r="L103" s="1">
        <v>418100</v>
      </c>
      <c r="M103" s="1">
        <v>439288</v>
      </c>
      <c r="P103" s="1">
        <v>535833</v>
      </c>
      <c r="Q103" s="1">
        <v>555052</v>
      </c>
      <c r="R103" s="1">
        <v>0</v>
      </c>
      <c r="S103" s="1">
        <v>1</v>
      </c>
      <c r="W103" s="1">
        <v>0</v>
      </c>
      <c r="X103" s="1">
        <v>50.436</v>
      </c>
    </row>
    <row r="104" spans="1:24" x14ac:dyDescent="0.25">
      <c r="A104" s="1">
        <v>101845</v>
      </c>
      <c r="B104" s="1">
        <v>35795</v>
      </c>
      <c r="C104" s="1">
        <v>9</v>
      </c>
      <c r="D104" s="1">
        <v>118591335</v>
      </c>
      <c r="E104" s="1">
        <v>10348</v>
      </c>
      <c r="F104" s="1">
        <v>9259</v>
      </c>
      <c r="G104" s="1">
        <v>10659</v>
      </c>
      <c r="H104" s="1">
        <v>11852</v>
      </c>
      <c r="I104" s="1">
        <v>10659</v>
      </c>
      <c r="L104" s="1">
        <v>139463869</v>
      </c>
      <c r="M104" s="1">
        <v>149320649</v>
      </c>
      <c r="P104" s="1">
        <v>115115170</v>
      </c>
      <c r="Q104" s="1">
        <v>118591335</v>
      </c>
      <c r="R104" s="1">
        <v>0</v>
      </c>
      <c r="S104" s="1">
        <v>1</v>
      </c>
      <c r="W104" s="1">
        <v>0</v>
      </c>
      <c r="X104" s="1">
        <v>11459.829</v>
      </c>
    </row>
    <row r="105" spans="1:24" x14ac:dyDescent="0.25">
      <c r="A105" s="1">
        <v>101846</v>
      </c>
      <c r="B105" s="1">
        <v>35795</v>
      </c>
      <c r="C105" s="1">
        <v>9</v>
      </c>
      <c r="D105" s="1">
        <v>34306360</v>
      </c>
      <c r="E105" s="1">
        <v>10512</v>
      </c>
      <c r="F105" s="1">
        <v>9259</v>
      </c>
      <c r="G105" s="1">
        <v>10827</v>
      </c>
      <c r="H105" s="1">
        <v>11852</v>
      </c>
      <c r="I105" s="1">
        <v>10827</v>
      </c>
      <c r="L105" s="1">
        <v>35999167</v>
      </c>
      <c r="M105" s="1">
        <v>38395061</v>
      </c>
      <c r="P105" s="1">
        <v>33294386</v>
      </c>
      <c r="Q105" s="1">
        <v>34306360</v>
      </c>
      <c r="R105" s="1">
        <v>0</v>
      </c>
      <c r="S105" s="1">
        <v>1</v>
      </c>
      <c r="W105" s="1">
        <v>0</v>
      </c>
      <c r="X105" s="1">
        <v>3263.56</v>
      </c>
    </row>
    <row r="106" spans="1:24" x14ac:dyDescent="0.25">
      <c r="A106" s="1">
        <v>101847</v>
      </c>
      <c r="B106" s="1">
        <v>35795</v>
      </c>
      <c r="C106" s="1">
        <v>9</v>
      </c>
      <c r="D106" s="1">
        <v>4472817</v>
      </c>
      <c r="E106" s="1">
        <v>9882</v>
      </c>
      <c r="F106" s="1">
        <v>9259</v>
      </c>
      <c r="G106" s="1">
        <v>10178</v>
      </c>
      <c r="H106" s="1">
        <v>11852</v>
      </c>
      <c r="I106" s="1">
        <v>10178</v>
      </c>
      <c r="L106" s="1">
        <v>4251828</v>
      </c>
      <c r="M106" s="1">
        <v>4358783</v>
      </c>
      <c r="P106" s="1">
        <v>4332154</v>
      </c>
      <c r="Q106" s="1">
        <v>4472817</v>
      </c>
      <c r="R106" s="1">
        <v>0</v>
      </c>
      <c r="S106" s="1">
        <v>1</v>
      </c>
      <c r="W106" s="1">
        <v>0</v>
      </c>
      <c r="X106" s="1">
        <v>452.62800000000004</v>
      </c>
    </row>
    <row r="107" spans="1:24" x14ac:dyDescent="0.25">
      <c r="A107" s="1">
        <v>101849</v>
      </c>
      <c r="B107" s="1">
        <v>35795</v>
      </c>
      <c r="C107" s="1">
        <v>9</v>
      </c>
      <c r="D107" s="1">
        <v>2293183</v>
      </c>
      <c r="E107" s="1">
        <v>10019</v>
      </c>
      <c r="F107" s="1">
        <v>9259</v>
      </c>
      <c r="G107" s="1">
        <v>10320</v>
      </c>
      <c r="H107" s="1">
        <v>11852</v>
      </c>
      <c r="I107" s="1">
        <v>10320</v>
      </c>
      <c r="L107" s="1">
        <v>1983291</v>
      </c>
      <c r="M107" s="1">
        <v>2065618</v>
      </c>
      <c r="P107" s="1">
        <v>2221976</v>
      </c>
      <c r="Q107" s="1">
        <v>2293183</v>
      </c>
      <c r="R107" s="1">
        <v>0</v>
      </c>
      <c r="S107" s="1">
        <v>1</v>
      </c>
      <c r="W107" s="1">
        <v>0</v>
      </c>
      <c r="X107" s="1">
        <v>228.87700000000001</v>
      </c>
    </row>
    <row r="108" spans="1:24" x14ac:dyDescent="0.25">
      <c r="A108" s="1">
        <v>101853</v>
      </c>
      <c r="B108" s="1">
        <v>35795</v>
      </c>
      <c r="C108" s="1">
        <v>9</v>
      </c>
      <c r="D108" s="1">
        <v>14001804</v>
      </c>
      <c r="E108" s="1">
        <v>11289</v>
      </c>
      <c r="F108" s="1">
        <v>9259</v>
      </c>
      <c r="G108" s="1">
        <v>11627</v>
      </c>
      <c r="H108" s="1">
        <v>11852</v>
      </c>
      <c r="I108" s="1">
        <v>11627</v>
      </c>
      <c r="L108" s="1">
        <v>12942357</v>
      </c>
      <c r="M108" s="1">
        <v>13524987</v>
      </c>
      <c r="P108" s="1">
        <v>13595430</v>
      </c>
      <c r="Q108" s="1">
        <v>14001804</v>
      </c>
      <c r="R108" s="1">
        <v>0</v>
      </c>
      <c r="S108" s="1">
        <v>1</v>
      </c>
      <c r="W108" s="1">
        <v>0</v>
      </c>
      <c r="X108" s="1">
        <v>1240.347</v>
      </c>
    </row>
    <row r="109" spans="1:24" x14ac:dyDescent="0.25">
      <c r="A109" s="1">
        <v>101855</v>
      </c>
      <c r="B109" s="1">
        <v>35795</v>
      </c>
      <c r="C109" s="1">
        <v>9</v>
      </c>
      <c r="D109" s="1">
        <v>2245509</v>
      </c>
      <c r="E109" s="1">
        <v>9932</v>
      </c>
      <c r="F109" s="1">
        <v>9259</v>
      </c>
      <c r="G109" s="1">
        <v>10230</v>
      </c>
      <c r="H109" s="1">
        <v>11852</v>
      </c>
      <c r="I109" s="1">
        <v>10230</v>
      </c>
      <c r="L109" s="1">
        <v>2349600</v>
      </c>
      <c r="M109" s="1">
        <v>2519289</v>
      </c>
      <c r="P109" s="1">
        <v>2167829</v>
      </c>
      <c r="Q109" s="1">
        <v>2245509</v>
      </c>
      <c r="R109" s="1">
        <v>0</v>
      </c>
      <c r="S109" s="1">
        <v>1</v>
      </c>
      <c r="W109" s="1">
        <v>0</v>
      </c>
      <c r="X109" s="1">
        <v>226.09</v>
      </c>
    </row>
    <row r="110" spans="1:24" x14ac:dyDescent="0.25">
      <c r="A110" s="1">
        <v>101856</v>
      </c>
      <c r="B110" s="1">
        <v>35795</v>
      </c>
      <c r="C110" s="1">
        <v>9</v>
      </c>
      <c r="D110" s="1">
        <v>6290547</v>
      </c>
      <c r="E110" s="1">
        <v>10414</v>
      </c>
      <c r="F110" s="1">
        <v>9259</v>
      </c>
      <c r="G110" s="1">
        <v>10726</v>
      </c>
      <c r="H110" s="1">
        <v>11852</v>
      </c>
      <c r="I110" s="1">
        <v>10726</v>
      </c>
      <c r="L110" s="1">
        <v>6728477</v>
      </c>
      <c r="M110" s="1">
        <v>7499298</v>
      </c>
      <c r="P110" s="1">
        <v>6107146</v>
      </c>
      <c r="Q110" s="1">
        <v>6290547</v>
      </c>
      <c r="R110" s="1">
        <v>0</v>
      </c>
      <c r="S110" s="1">
        <v>1</v>
      </c>
      <c r="W110" s="1">
        <v>0</v>
      </c>
      <c r="X110" s="1">
        <v>604.05799999999999</v>
      </c>
    </row>
    <row r="111" spans="1:24" x14ac:dyDescent="0.25">
      <c r="A111" s="1">
        <v>101858</v>
      </c>
      <c r="B111" s="1">
        <v>35795</v>
      </c>
      <c r="C111" s="1">
        <v>9</v>
      </c>
      <c r="D111" s="1">
        <v>52018375</v>
      </c>
      <c r="E111" s="1">
        <v>9881</v>
      </c>
      <c r="F111" s="1">
        <v>9259</v>
      </c>
      <c r="G111" s="1">
        <v>10178</v>
      </c>
      <c r="H111" s="1">
        <v>11852</v>
      </c>
      <c r="I111" s="1">
        <v>10178</v>
      </c>
      <c r="L111" s="1">
        <v>55464050</v>
      </c>
      <c r="M111" s="1">
        <v>59656805</v>
      </c>
      <c r="P111" s="1">
        <v>50488780</v>
      </c>
      <c r="Q111" s="1">
        <v>52018375</v>
      </c>
      <c r="R111" s="1">
        <v>0</v>
      </c>
      <c r="S111" s="1">
        <v>1</v>
      </c>
      <c r="W111" s="1">
        <v>0</v>
      </c>
      <c r="X111" s="1">
        <v>5264.3440000000001</v>
      </c>
    </row>
    <row r="112" spans="1:24" x14ac:dyDescent="0.25">
      <c r="A112" s="1">
        <v>101859</v>
      </c>
      <c r="B112" s="1">
        <v>35795</v>
      </c>
      <c r="C112" s="1">
        <v>9</v>
      </c>
      <c r="D112" s="1">
        <v>5213456</v>
      </c>
      <c r="E112" s="1">
        <v>10329</v>
      </c>
      <c r="F112" s="1">
        <v>9259</v>
      </c>
      <c r="G112" s="1">
        <v>10639</v>
      </c>
      <c r="H112" s="1">
        <v>11852</v>
      </c>
      <c r="I112" s="1">
        <v>10639</v>
      </c>
      <c r="L112" s="1">
        <v>5705659</v>
      </c>
      <c r="M112" s="1">
        <v>6126122</v>
      </c>
      <c r="P112" s="1">
        <v>5055223</v>
      </c>
      <c r="Q112" s="1">
        <v>5213456</v>
      </c>
      <c r="R112" s="1">
        <v>0</v>
      </c>
      <c r="S112" s="1">
        <v>1</v>
      </c>
      <c r="W112" s="1">
        <v>0</v>
      </c>
      <c r="X112" s="1">
        <v>504.74900000000002</v>
      </c>
    </row>
    <row r="113" spans="1:24" x14ac:dyDescent="0.25">
      <c r="A113" s="1">
        <v>101861</v>
      </c>
      <c r="B113" s="1">
        <v>35795</v>
      </c>
      <c r="C113" s="1">
        <v>9</v>
      </c>
      <c r="D113" s="1">
        <v>7962102</v>
      </c>
      <c r="E113" s="1">
        <v>10769</v>
      </c>
      <c r="F113" s="1">
        <v>9259</v>
      </c>
      <c r="G113" s="1">
        <v>11092</v>
      </c>
      <c r="H113" s="1">
        <v>11852</v>
      </c>
      <c r="I113" s="1">
        <v>11092</v>
      </c>
      <c r="L113" s="1">
        <v>5770939</v>
      </c>
      <c r="M113" s="1">
        <v>5916324</v>
      </c>
      <c r="P113" s="1">
        <v>7604894</v>
      </c>
      <c r="Q113" s="1">
        <v>7962102</v>
      </c>
      <c r="R113" s="1">
        <v>0</v>
      </c>
      <c r="S113" s="1">
        <v>1</v>
      </c>
      <c r="W113" s="1">
        <v>0</v>
      </c>
      <c r="X113" s="1">
        <v>739.38499999999999</v>
      </c>
    </row>
    <row r="114" spans="1:24" x14ac:dyDescent="0.25">
      <c r="A114" s="1">
        <v>101862</v>
      </c>
      <c r="B114" s="1">
        <v>35795</v>
      </c>
      <c r="C114" s="1">
        <v>9</v>
      </c>
      <c r="D114" s="1">
        <v>35779534</v>
      </c>
      <c r="E114" s="1">
        <v>9721</v>
      </c>
      <c r="F114" s="1">
        <v>9259</v>
      </c>
      <c r="G114" s="1">
        <v>10013</v>
      </c>
      <c r="H114" s="1">
        <v>11852</v>
      </c>
      <c r="I114" s="1">
        <v>10013</v>
      </c>
      <c r="L114" s="1">
        <v>38494542</v>
      </c>
      <c r="M114" s="1">
        <v>41060887</v>
      </c>
      <c r="P114" s="1">
        <v>34623138</v>
      </c>
      <c r="Q114" s="1">
        <v>35779534</v>
      </c>
      <c r="R114" s="1">
        <v>0</v>
      </c>
      <c r="S114" s="1">
        <v>1</v>
      </c>
      <c r="W114" s="1">
        <v>0</v>
      </c>
      <c r="X114" s="1">
        <v>3680.5730000000003</v>
      </c>
    </row>
    <row r="115" spans="1:24" x14ac:dyDescent="0.25">
      <c r="A115" s="1">
        <v>101864</v>
      </c>
      <c r="B115" s="1">
        <v>35795</v>
      </c>
      <c r="C115" s="1">
        <v>9</v>
      </c>
      <c r="D115" s="1">
        <v>1900520</v>
      </c>
      <c r="E115" s="1">
        <v>10647</v>
      </c>
      <c r="F115" s="1">
        <v>9259</v>
      </c>
      <c r="G115" s="1">
        <v>10967</v>
      </c>
      <c r="H115" s="1">
        <v>11852</v>
      </c>
      <c r="I115" s="1">
        <v>10967</v>
      </c>
      <c r="L115" s="1">
        <v>1629922</v>
      </c>
      <c r="M115" s="1">
        <v>1666657</v>
      </c>
      <c r="P115" s="1">
        <v>1831516</v>
      </c>
      <c r="Q115" s="1">
        <v>1900520</v>
      </c>
      <c r="R115" s="1">
        <v>0</v>
      </c>
      <c r="S115" s="1">
        <v>1</v>
      </c>
      <c r="W115" s="1">
        <v>0</v>
      </c>
      <c r="X115" s="1">
        <v>178.495</v>
      </c>
    </row>
    <row r="116" spans="1:24" x14ac:dyDescent="0.25">
      <c r="A116" s="1">
        <v>101868</v>
      </c>
      <c r="B116" s="1">
        <v>35795</v>
      </c>
      <c r="C116" s="1">
        <v>9</v>
      </c>
      <c r="D116" s="1">
        <v>4986356</v>
      </c>
      <c r="E116" s="1">
        <v>11155</v>
      </c>
      <c r="F116" s="1">
        <v>9259</v>
      </c>
      <c r="G116" s="1">
        <v>11490</v>
      </c>
      <c r="H116" s="1">
        <v>11852</v>
      </c>
      <c r="I116" s="1">
        <v>11490</v>
      </c>
      <c r="L116" s="1">
        <v>3823427</v>
      </c>
      <c r="M116" s="1">
        <v>3958629</v>
      </c>
      <c r="P116" s="1">
        <v>4842643</v>
      </c>
      <c r="Q116" s="1">
        <v>4986356</v>
      </c>
      <c r="R116" s="1">
        <v>0</v>
      </c>
      <c r="S116" s="1">
        <v>1</v>
      </c>
      <c r="W116" s="1">
        <v>0</v>
      </c>
      <c r="X116" s="1">
        <v>446.99100000000004</v>
      </c>
    </row>
    <row r="117" spans="1:24" x14ac:dyDescent="0.25">
      <c r="A117" s="1">
        <v>101870</v>
      </c>
      <c r="B117" s="1">
        <v>35795</v>
      </c>
      <c r="C117" s="1">
        <v>9</v>
      </c>
      <c r="D117" s="1">
        <v>7729343</v>
      </c>
      <c r="E117" s="1">
        <v>9641</v>
      </c>
      <c r="F117" s="1">
        <v>9259</v>
      </c>
      <c r="G117" s="1">
        <v>9931</v>
      </c>
      <c r="H117" s="1">
        <v>11852</v>
      </c>
      <c r="I117" s="1">
        <v>9931</v>
      </c>
      <c r="L117" s="1">
        <v>11801879</v>
      </c>
      <c r="M117" s="1">
        <v>12369332</v>
      </c>
      <c r="P117" s="1">
        <v>7527290</v>
      </c>
      <c r="Q117" s="1">
        <v>7729343</v>
      </c>
      <c r="R117" s="1">
        <v>0</v>
      </c>
      <c r="S117" s="1">
        <v>1</v>
      </c>
      <c r="W117" s="1">
        <v>0</v>
      </c>
      <c r="X117" s="1">
        <v>801.69100000000003</v>
      </c>
    </row>
    <row r="118" spans="1:24" x14ac:dyDescent="0.25">
      <c r="A118" s="1">
        <v>101871</v>
      </c>
      <c r="B118" s="1">
        <v>35795</v>
      </c>
      <c r="C118" s="1">
        <v>9</v>
      </c>
      <c r="D118" s="1">
        <v>1413091</v>
      </c>
      <c r="E118" s="1">
        <v>11772</v>
      </c>
      <c r="F118" s="1">
        <v>9259</v>
      </c>
      <c r="G118" s="1">
        <v>12125</v>
      </c>
      <c r="H118" s="1">
        <v>11852</v>
      </c>
      <c r="I118" s="1">
        <v>11852</v>
      </c>
      <c r="L118" s="1">
        <v>1525907</v>
      </c>
      <c r="M118" s="1">
        <v>1530284</v>
      </c>
      <c r="P118" s="1">
        <v>1363001</v>
      </c>
      <c r="Q118" s="1">
        <v>1413091</v>
      </c>
      <c r="R118" s="1">
        <v>0</v>
      </c>
      <c r="S118" s="1">
        <v>1</v>
      </c>
      <c r="W118" s="1">
        <v>0</v>
      </c>
      <c r="X118" s="1">
        <v>120.039</v>
      </c>
    </row>
    <row r="119" spans="1:24" x14ac:dyDescent="0.25">
      <c r="A119" s="1">
        <v>101872</v>
      </c>
      <c r="B119" s="1">
        <v>35795</v>
      </c>
      <c r="C119" s="1">
        <v>9</v>
      </c>
      <c r="D119" s="1">
        <v>1455764</v>
      </c>
      <c r="E119" s="1">
        <v>10202</v>
      </c>
      <c r="F119" s="1">
        <v>9259</v>
      </c>
      <c r="G119" s="1">
        <v>10508</v>
      </c>
      <c r="H119" s="1">
        <v>11852</v>
      </c>
      <c r="I119" s="1">
        <v>10508</v>
      </c>
      <c r="L119" s="1">
        <v>3378325</v>
      </c>
      <c r="M119" s="1">
        <v>3676253</v>
      </c>
      <c r="P119" s="1">
        <v>1435495</v>
      </c>
      <c r="Q119" s="1">
        <v>1455764</v>
      </c>
      <c r="R119" s="1">
        <v>0</v>
      </c>
      <c r="S119" s="1">
        <v>1</v>
      </c>
      <c r="W119" s="1">
        <v>0</v>
      </c>
      <c r="X119" s="1">
        <v>142.70000000000002</v>
      </c>
    </row>
    <row r="120" spans="1:24" x14ac:dyDescent="0.25">
      <c r="A120" s="1">
        <v>101873</v>
      </c>
      <c r="B120" s="1">
        <v>35795</v>
      </c>
      <c r="C120" s="1">
        <v>9</v>
      </c>
      <c r="D120" s="1">
        <v>2386376</v>
      </c>
      <c r="E120" s="1">
        <v>9787</v>
      </c>
      <c r="F120" s="1">
        <v>9259</v>
      </c>
      <c r="G120" s="1">
        <v>10080</v>
      </c>
      <c r="H120" s="1">
        <v>11852</v>
      </c>
      <c r="I120" s="1">
        <v>10080</v>
      </c>
      <c r="L120" s="1">
        <v>1391480</v>
      </c>
      <c r="M120" s="1">
        <v>1448793</v>
      </c>
      <c r="P120" s="1">
        <v>2321462</v>
      </c>
      <c r="Q120" s="1">
        <v>2386376</v>
      </c>
      <c r="R120" s="1">
        <v>0</v>
      </c>
      <c r="S120" s="1">
        <v>1</v>
      </c>
      <c r="W120" s="1">
        <v>0</v>
      </c>
      <c r="X120" s="1">
        <v>243.84300000000002</v>
      </c>
    </row>
    <row r="121" spans="1:24" x14ac:dyDescent="0.25">
      <c r="A121" s="1">
        <v>101874</v>
      </c>
      <c r="B121" s="1">
        <v>35795</v>
      </c>
      <c r="C121" s="1">
        <v>9</v>
      </c>
      <c r="D121" s="1">
        <v>3518201</v>
      </c>
      <c r="E121" s="1">
        <v>9158</v>
      </c>
      <c r="F121" s="1">
        <v>9259</v>
      </c>
      <c r="G121" s="1">
        <v>9433</v>
      </c>
      <c r="H121" s="1">
        <v>11852</v>
      </c>
      <c r="I121" s="1">
        <v>9433</v>
      </c>
      <c r="L121" s="1">
        <v>3162006</v>
      </c>
      <c r="M121" s="1">
        <v>3414452</v>
      </c>
      <c r="P121" s="1">
        <v>3404057</v>
      </c>
      <c r="Q121" s="1">
        <v>3518201</v>
      </c>
      <c r="R121" s="1">
        <v>0</v>
      </c>
      <c r="S121" s="1">
        <v>1</v>
      </c>
      <c r="W121" s="1">
        <v>0</v>
      </c>
      <c r="X121" s="1">
        <v>384.16</v>
      </c>
    </row>
    <row r="122" spans="1:24" x14ac:dyDescent="0.25">
      <c r="A122" s="1">
        <v>101875</v>
      </c>
      <c r="B122" s="1">
        <v>35795</v>
      </c>
      <c r="C122" s="1">
        <v>9</v>
      </c>
      <c r="D122" s="1">
        <v>392275</v>
      </c>
      <c r="E122" s="1">
        <v>10733</v>
      </c>
      <c r="F122" s="1">
        <v>9259</v>
      </c>
      <c r="G122" s="1">
        <v>11055</v>
      </c>
      <c r="H122" s="1">
        <v>11852</v>
      </c>
      <c r="I122" s="1">
        <v>11055</v>
      </c>
      <c r="L122" s="1">
        <v>1904417</v>
      </c>
      <c r="M122" s="1">
        <v>2228142</v>
      </c>
      <c r="P122" s="1">
        <v>392275</v>
      </c>
      <c r="Q122" s="1">
        <v>392275</v>
      </c>
      <c r="R122" s="1">
        <v>0</v>
      </c>
      <c r="S122" s="1">
        <v>1</v>
      </c>
      <c r="W122" s="1">
        <v>0</v>
      </c>
      <c r="X122" s="1">
        <v>36.548999999999999</v>
      </c>
    </row>
    <row r="123" spans="1:24" x14ac:dyDescent="0.25">
      <c r="A123" s="1">
        <v>101876</v>
      </c>
      <c r="B123" s="1">
        <v>35795</v>
      </c>
      <c r="C123" s="1">
        <v>9</v>
      </c>
      <c r="D123" s="1">
        <v>599971</v>
      </c>
      <c r="E123" s="1">
        <v>9729</v>
      </c>
      <c r="F123" s="1">
        <v>9259</v>
      </c>
      <c r="G123" s="1">
        <v>10020</v>
      </c>
      <c r="H123" s="1">
        <v>11852</v>
      </c>
      <c r="I123" s="1">
        <v>10020</v>
      </c>
      <c r="L123" s="1">
        <v>1458153</v>
      </c>
      <c r="M123" s="1">
        <v>1608634</v>
      </c>
      <c r="P123" s="1">
        <v>599971</v>
      </c>
      <c r="Q123" s="1">
        <v>599971</v>
      </c>
      <c r="R123" s="1">
        <v>0</v>
      </c>
      <c r="S123" s="1">
        <v>1</v>
      </c>
      <c r="W123" s="1">
        <v>0</v>
      </c>
      <c r="X123" s="1">
        <v>61.671000000000006</v>
      </c>
    </row>
    <row r="124" spans="1:24" x14ac:dyDescent="0.25">
      <c r="A124" s="1">
        <v>101877</v>
      </c>
      <c r="B124" s="1">
        <v>35795</v>
      </c>
      <c r="C124" s="1">
        <v>9</v>
      </c>
      <c r="D124" s="1">
        <v>0</v>
      </c>
      <c r="E124" s="1">
        <v>0</v>
      </c>
      <c r="F124" s="1">
        <v>9259</v>
      </c>
      <c r="G124" s="1">
        <v>0</v>
      </c>
      <c r="H124" s="1">
        <v>11852</v>
      </c>
      <c r="I124" s="1">
        <v>0</v>
      </c>
      <c r="L124" s="1">
        <v>0</v>
      </c>
      <c r="M124" s="1">
        <v>411555</v>
      </c>
      <c r="P124" s="1">
        <v>0</v>
      </c>
      <c r="Q124" s="1">
        <v>0</v>
      </c>
      <c r="R124" s="1">
        <v>0</v>
      </c>
      <c r="S124" s="1">
        <v>1</v>
      </c>
      <c r="W124" s="1">
        <v>0</v>
      </c>
      <c r="X124" s="1">
        <v>0</v>
      </c>
    </row>
    <row r="125" spans="1:24" x14ac:dyDescent="0.25">
      <c r="A125" s="1">
        <v>101878</v>
      </c>
      <c r="B125" s="1">
        <v>35795</v>
      </c>
      <c r="C125" s="1">
        <v>9</v>
      </c>
      <c r="D125" s="1">
        <v>0</v>
      </c>
      <c r="E125" s="1">
        <v>0</v>
      </c>
      <c r="F125" s="1">
        <v>9259</v>
      </c>
      <c r="G125" s="1">
        <v>0</v>
      </c>
      <c r="H125" s="1">
        <v>11852</v>
      </c>
      <c r="I125" s="1">
        <v>0</v>
      </c>
      <c r="L125" s="1">
        <v>0</v>
      </c>
      <c r="M125" s="1">
        <v>1152181</v>
      </c>
      <c r="P125" s="1">
        <v>0</v>
      </c>
      <c r="Q125" s="1">
        <v>0</v>
      </c>
      <c r="R125" s="1">
        <v>0</v>
      </c>
      <c r="S125" s="1">
        <v>1</v>
      </c>
      <c r="W125" s="1">
        <v>0</v>
      </c>
      <c r="X125" s="1">
        <v>0</v>
      </c>
    </row>
    <row r="126" spans="1:24" x14ac:dyDescent="0.25">
      <c r="A126" s="1">
        <v>105801</v>
      </c>
      <c r="B126" s="1">
        <v>35795</v>
      </c>
      <c r="C126" s="1">
        <v>9</v>
      </c>
      <c r="D126" s="1">
        <v>1451107</v>
      </c>
      <c r="E126" s="1">
        <v>11056</v>
      </c>
      <c r="F126" s="1">
        <v>9259</v>
      </c>
      <c r="G126" s="1">
        <v>11388</v>
      </c>
      <c r="H126" s="1">
        <v>11852</v>
      </c>
      <c r="I126" s="1">
        <v>11388</v>
      </c>
      <c r="L126" s="1">
        <v>1024904</v>
      </c>
      <c r="M126" s="1">
        <v>796826</v>
      </c>
      <c r="P126" s="1">
        <v>1404998</v>
      </c>
      <c r="Q126" s="1">
        <v>1451107</v>
      </c>
      <c r="R126" s="1">
        <v>0</v>
      </c>
      <c r="S126" s="1">
        <v>1</v>
      </c>
      <c r="W126" s="1">
        <v>0</v>
      </c>
      <c r="X126" s="1">
        <v>131.249</v>
      </c>
    </row>
    <row r="127" spans="1:24" x14ac:dyDescent="0.25">
      <c r="A127" s="1">
        <v>105802</v>
      </c>
      <c r="B127" s="1">
        <v>35795</v>
      </c>
      <c r="C127" s="1">
        <v>9</v>
      </c>
      <c r="D127" s="1">
        <v>1903526</v>
      </c>
      <c r="E127" s="1">
        <v>10596</v>
      </c>
      <c r="F127" s="1">
        <v>9259</v>
      </c>
      <c r="G127" s="1">
        <v>10914</v>
      </c>
      <c r="H127" s="1">
        <v>11852</v>
      </c>
      <c r="I127" s="1">
        <v>10914</v>
      </c>
      <c r="L127" s="1">
        <v>1131889</v>
      </c>
      <c r="M127" s="1">
        <v>1038447</v>
      </c>
      <c r="P127" s="1">
        <v>1834045</v>
      </c>
      <c r="Q127" s="1">
        <v>1903526</v>
      </c>
      <c r="R127" s="1">
        <v>0</v>
      </c>
      <c r="S127" s="1">
        <v>1</v>
      </c>
      <c r="W127" s="1">
        <v>0</v>
      </c>
      <c r="X127" s="1">
        <v>179.64400000000001</v>
      </c>
    </row>
    <row r="128" spans="1:24" x14ac:dyDescent="0.25">
      <c r="A128" s="1">
        <v>105803</v>
      </c>
      <c r="B128" s="1">
        <v>35795</v>
      </c>
      <c r="C128" s="1">
        <v>9</v>
      </c>
      <c r="D128" s="1">
        <v>4097018</v>
      </c>
      <c r="E128" s="1">
        <v>22583</v>
      </c>
      <c r="F128" s="1">
        <v>9259</v>
      </c>
      <c r="G128" s="1">
        <v>23261</v>
      </c>
      <c r="H128" s="1">
        <v>11852</v>
      </c>
      <c r="I128" s="1">
        <v>11852</v>
      </c>
      <c r="L128" s="1">
        <v>3364339</v>
      </c>
      <c r="M128" s="1">
        <v>5202651</v>
      </c>
      <c r="P128" s="1">
        <v>4040077</v>
      </c>
      <c r="Q128" s="1">
        <v>4097018</v>
      </c>
      <c r="R128" s="1">
        <v>0</v>
      </c>
      <c r="S128" s="1">
        <v>1</v>
      </c>
      <c r="W128" s="1">
        <v>0</v>
      </c>
      <c r="X128" s="1">
        <v>181.41900000000001</v>
      </c>
    </row>
    <row r="129" spans="1:24" x14ac:dyDescent="0.25">
      <c r="A129" s="1">
        <v>108802</v>
      </c>
      <c r="B129" s="1">
        <v>35795</v>
      </c>
      <c r="C129" s="1">
        <v>9</v>
      </c>
      <c r="D129" s="1">
        <v>10075465</v>
      </c>
      <c r="E129" s="1">
        <v>10588</v>
      </c>
      <c r="F129" s="1">
        <v>9259</v>
      </c>
      <c r="G129" s="1">
        <v>10906</v>
      </c>
      <c r="H129" s="1">
        <v>11852</v>
      </c>
      <c r="I129" s="1">
        <v>10906</v>
      </c>
      <c r="L129" s="1">
        <v>12224609</v>
      </c>
      <c r="M129" s="1">
        <v>12149422</v>
      </c>
      <c r="P129" s="1">
        <v>9738492</v>
      </c>
      <c r="Q129" s="1">
        <v>10075465</v>
      </c>
      <c r="R129" s="1">
        <v>0</v>
      </c>
      <c r="S129" s="1">
        <v>1</v>
      </c>
      <c r="W129" s="1">
        <v>0</v>
      </c>
      <c r="X129" s="1">
        <v>951.55400000000009</v>
      </c>
    </row>
    <row r="130" spans="1:24" x14ac:dyDescent="0.25">
      <c r="A130" s="1">
        <v>108804</v>
      </c>
      <c r="B130" s="1">
        <v>35795</v>
      </c>
      <c r="C130" s="1">
        <v>9</v>
      </c>
      <c r="D130" s="1">
        <v>4525042</v>
      </c>
      <c r="E130" s="1">
        <v>11071</v>
      </c>
      <c r="F130" s="1">
        <v>9259</v>
      </c>
      <c r="G130" s="1">
        <v>11403</v>
      </c>
      <c r="H130" s="1">
        <v>11852</v>
      </c>
      <c r="I130" s="1">
        <v>11403</v>
      </c>
      <c r="L130" s="1">
        <v>4298884</v>
      </c>
      <c r="M130" s="1">
        <v>4417069</v>
      </c>
      <c r="P130" s="1">
        <v>4415564</v>
      </c>
      <c r="Q130" s="1">
        <v>4525042</v>
      </c>
      <c r="R130" s="1">
        <v>0</v>
      </c>
      <c r="S130" s="1">
        <v>1</v>
      </c>
      <c r="W130" s="1">
        <v>0</v>
      </c>
      <c r="X130" s="1">
        <v>408.74600000000004</v>
      </c>
    </row>
    <row r="131" spans="1:24" x14ac:dyDescent="0.25">
      <c r="A131" s="1">
        <v>108807</v>
      </c>
      <c r="B131" s="1">
        <v>35795</v>
      </c>
      <c r="C131" s="1">
        <v>9</v>
      </c>
      <c r="D131" s="1">
        <v>468910080</v>
      </c>
      <c r="E131" s="1">
        <v>10211</v>
      </c>
      <c r="F131" s="1">
        <v>9259</v>
      </c>
      <c r="G131" s="1">
        <v>10518</v>
      </c>
      <c r="H131" s="1">
        <v>11852</v>
      </c>
      <c r="I131" s="1">
        <v>10518</v>
      </c>
      <c r="L131" s="1">
        <v>616563131</v>
      </c>
      <c r="M131" s="1">
        <v>656581411</v>
      </c>
      <c r="P131" s="1">
        <v>456262707</v>
      </c>
      <c r="Q131" s="1">
        <v>468910080</v>
      </c>
      <c r="R131" s="1">
        <v>0</v>
      </c>
      <c r="S131" s="1">
        <v>1</v>
      </c>
      <c r="W131" s="1">
        <v>0</v>
      </c>
      <c r="X131" s="1">
        <v>45921.092000000004</v>
      </c>
    </row>
    <row r="132" spans="1:24" x14ac:dyDescent="0.25">
      <c r="A132" s="1">
        <v>108808</v>
      </c>
      <c r="B132" s="1">
        <v>35795</v>
      </c>
      <c r="C132" s="1">
        <v>9</v>
      </c>
      <c r="D132" s="1">
        <v>41487804</v>
      </c>
      <c r="E132" s="1">
        <v>10288</v>
      </c>
      <c r="F132" s="1">
        <v>9259</v>
      </c>
      <c r="G132" s="1">
        <v>10596</v>
      </c>
      <c r="H132" s="1">
        <v>11852</v>
      </c>
      <c r="I132" s="1">
        <v>10596</v>
      </c>
      <c r="L132" s="1">
        <v>49432295</v>
      </c>
      <c r="M132" s="1">
        <v>52558398</v>
      </c>
      <c r="P132" s="1">
        <v>40284215</v>
      </c>
      <c r="Q132" s="1">
        <v>41487804</v>
      </c>
      <c r="R132" s="1">
        <v>0</v>
      </c>
      <c r="S132" s="1">
        <v>1</v>
      </c>
      <c r="W132" s="1">
        <v>0</v>
      </c>
      <c r="X132" s="1">
        <v>4032.7270000000003</v>
      </c>
    </row>
    <row r="133" spans="1:24" x14ac:dyDescent="0.25">
      <c r="A133" s="1">
        <v>108809</v>
      </c>
      <c r="B133" s="1">
        <v>35795</v>
      </c>
      <c r="C133" s="1">
        <v>9</v>
      </c>
      <c r="D133" s="1">
        <v>2878310</v>
      </c>
      <c r="E133" s="1">
        <v>10623</v>
      </c>
      <c r="F133" s="1">
        <v>9259</v>
      </c>
      <c r="G133" s="1">
        <v>10942</v>
      </c>
      <c r="H133" s="1">
        <v>11852</v>
      </c>
      <c r="I133" s="1">
        <v>10942</v>
      </c>
      <c r="L133" s="1">
        <v>2938027</v>
      </c>
      <c r="M133" s="1">
        <v>3196518</v>
      </c>
      <c r="P133" s="1">
        <v>2808027</v>
      </c>
      <c r="Q133" s="1">
        <v>2878310</v>
      </c>
      <c r="R133" s="1">
        <v>0</v>
      </c>
      <c r="S133" s="1">
        <v>1</v>
      </c>
      <c r="W133" s="1">
        <v>0</v>
      </c>
      <c r="X133" s="1">
        <v>270.94600000000003</v>
      </c>
    </row>
    <row r="134" spans="1:24" x14ac:dyDescent="0.25">
      <c r="A134" s="1">
        <v>111801</v>
      </c>
      <c r="B134" s="1">
        <v>35795</v>
      </c>
      <c r="C134" s="1">
        <v>9</v>
      </c>
      <c r="D134" s="1">
        <v>919998</v>
      </c>
      <c r="E134" s="1">
        <v>11345</v>
      </c>
      <c r="F134" s="1">
        <v>9259</v>
      </c>
      <c r="G134" s="1">
        <v>11686</v>
      </c>
      <c r="H134" s="1">
        <v>11852</v>
      </c>
      <c r="I134" s="1">
        <v>11686</v>
      </c>
      <c r="L134" s="1">
        <v>541787</v>
      </c>
      <c r="M134" s="1">
        <v>621427</v>
      </c>
      <c r="P134" s="1">
        <v>893697</v>
      </c>
      <c r="Q134" s="1">
        <v>919998</v>
      </c>
      <c r="R134" s="1">
        <v>0</v>
      </c>
      <c r="S134" s="1">
        <v>1</v>
      </c>
      <c r="W134" s="1">
        <v>0</v>
      </c>
      <c r="X134" s="1">
        <v>81.09</v>
      </c>
    </row>
    <row r="135" spans="1:24" x14ac:dyDescent="0.25">
      <c r="A135" s="1">
        <v>123803</v>
      </c>
      <c r="B135" s="1">
        <v>35795</v>
      </c>
      <c r="C135" s="1">
        <v>9</v>
      </c>
      <c r="D135" s="1">
        <v>3748572</v>
      </c>
      <c r="E135" s="1">
        <v>10375</v>
      </c>
      <c r="F135" s="1">
        <v>9259</v>
      </c>
      <c r="G135" s="1">
        <v>10686</v>
      </c>
      <c r="H135" s="1">
        <v>11852</v>
      </c>
      <c r="I135" s="1">
        <v>10686</v>
      </c>
      <c r="L135" s="1">
        <v>4007759</v>
      </c>
      <c r="M135" s="1">
        <v>3853371</v>
      </c>
      <c r="P135" s="1">
        <v>3635108</v>
      </c>
      <c r="Q135" s="1">
        <v>3748572</v>
      </c>
      <c r="R135" s="1">
        <v>0</v>
      </c>
      <c r="S135" s="1">
        <v>1</v>
      </c>
      <c r="W135" s="1">
        <v>0</v>
      </c>
      <c r="X135" s="1">
        <v>361.31600000000003</v>
      </c>
    </row>
    <row r="136" spans="1:24" x14ac:dyDescent="0.25">
      <c r="A136" s="1">
        <v>123805</v>
      </c>
      <c r="B136" s="1">
        <v>35795</v>
      </c>
      <c r="C136" s="1">
        <v>9</v>
      </c>
      <c r="D136" s="1">
        <v>4542026</v>
      </c>
      <c r="E136" s="1">
        <v>10582</v>
      </c>
      <c r="F136" s="1">
        <v>9259</v>
      </c>
      <c r="G136" s="1">
        <v>10900</v>
      </c>
      <c r="H136" s="1">
        <v>11852</v>
      </c>
      <c r="I136" s="1">
        <v>10900</v>
      </c>
      <c r="L136" s="1">
        <v>5025012</v>
      </c>
      <c r="M136" s="1">
        <v>5356421</v>
      </c>
      <c r="P136" s="1">
        <v>4411537</v>
      </c>
      <c r="Q136" s="1">
        <v>4542026</v>
      </c>
      <c r="R136" s="1">
        <v>0</v>
      </c>
      <c r="S136" s="1">
        <v>1</v>
      </c>
      <c r="W136" s="1">
        <v>0</v>
      </c>
      <c r="X136" s="1">
        <v>429.21899999999999</v>
      </c>
    </row>
    <row r="137" spans="1:24" x14ac:dyDescent="0.25">
      <c r="A137" s="1">
        <v>123807</v>
      </c>
      <c r="B137" s="1">
        <v>35795</v>
      </c>
      <c r="C137" s="1">
        <v>9</v>
      </c>
      <c r="D137" s="1">
        <v>17027013</v>
      </c>
      <c r="E137" s="1">
        <v>10430</v>
      </c>
      <c r="F137" s="1">
        <v>9259</v>
      </c>
      <c r="G137" s="1">
        <v>10743</v>
      </c>
      <c r="H137" s="1">
        <v>11852</v>
      </c>
      <c r="I137" s="1">
        <v>10743</v>
      </c>
      <c r="L137" s="1">
        <v>21641193</v>
      </c>
      <c r="M137" s="1">
        <v>22959204</v>
      </c>
      <c r="P137" s="1">
        <v>16617984</v>
      </c>
      <c r="Q137" s="1">
        <v>17027013</v>
      </c>
      <c r="R137" s="1">
        <v>0</v>
      </c>
      <c r="S137" s="1">
        <v>1</v>
      </c>
      <c r="W137" s="1">
        <v>0</v>
      </c>
      <c r="X137" s="1">
        <v>1632.4350000000002</v>
      </c>
    </row>
    <row r="138" spans="1:24" x14ac:dyDescent="0.25">
      <c r="A138" s="1">
        <v>130801</v>
      </c>
      <c r="B138" s="1">
        <v>35795</v>
      </c>
      <c r="C138" s="1">
        <v>9</v>
      </c>
      <c r="D138" s="1">
        <v>1543834</v>
      </c>
      <c r="E138" s="1">
        <v>17894</v>
      </c>
      <c r="F138" s="1">
        <v>9259</v>
      </c>
      <c r="G138" s="1">
        <v>18431</v>
      </c>
      <c r="H138" s="1">
        <v>11852</v>
      </c>
      <c r="I138" s="1">
        <v>11852</v>
      </c>
      <c r="L138" s="1">
        <v>799772</v>
      </c>
      <c r="M138" s="1">
        <v>1236796</v>
      </c>
      <c r="P138" s="1">
        <v>1509476</v>
      </c>
      <c r="Q138" s="1">
        <v>1543834</v>
      </c>
      <c r="R138" s="1">
        <v>0</v>
      </c>
      <c r="S138" s="1">
        <v>1</v>
      </c>
      <c r="W138" s="1">
        <v>0</v>
      </c>
      <c r="X138" s="1">
        <v>86.275000000000006</v>
      </c>
    </row>
    <row r="139" spans="1:24" x14ac:dyDescent="0.25">
      <c r="A139" s="1">
        <v>152802</v>
      </c>
      <c r="B139" s="1">
        <v>35795</v>
      </c>
      <c r="C139" s="1">
        <v>9</v>
      </c>
      <c r="D139" s="1">
        <v>2426310</v>
      </c>
      <c r="E139" s="1">
        <v>9943</v>
      </c>
      <c r="F139" s="1">
        <v>9259</v>
      </c>
      <c r="G139" s="1">
        <v>10241</v>
      </c>
      <c r="H139" s="1">
        <v>11852</v>
      </c>
      <c r="I139" s="1">
        <v>10241</v>
      </c>
      <c r="L139" s="1">
        <v>2518230</v>
      </c>
      <c r="M139" s="1">
        <v>2678770</v>
      </c>
      <c r="P139" s="1">
        <v>2348578</v>
      </c>
      <c r="Q139" s="1">
        <v>2426310</v>
      </c>
      <c r="R139" s="1">
        <v>0</v>
      </c>
      <c r="S139" s="1">
        <v>1</v>
      </c>
      <c r="W139" s="1">
        <v>0</v>
      </c>
      <c r="X139" s="1">
        <v>244.02700000000002</v>
      </c>
    </row>
    <row r="140" spans="1:24" x14ac:dyDescent="0.25">
      <c r="A140" s="1">
        <v>152803</v>
      </c>
      <c r="B140" s="1">
        <v>35795</v>
      </c>
      <c r="C140" s="1">
        <v>9</v>
      </c>
      <c r="D140" s="1">
        <v>1971759</v>
      </c>
      <c r="E140" s="1">
        <v>11912</v>
      </c>
      <c r="F140" s="1">
        <v>9259</v>
      </c>
      <c r="G140" s="1">
        <v>12269</v>
      </c>
      <c r="H140" s="1">
        <v>11852</v>
      </c>
      <c r="I140" s="1">
        <v>11852</v>
      </c>
      <c r="L140" s="1">
        <v>1445610</v>
      </c>
      <c r="M140" s="1">
        <v>1474764</v>
      </c>
      <c r="P140" s="1">
        <v>1913778</v>
      </c>
      <c r="Q140" s="1">
        <v>1971759</v>
      </c>
      <c r="R140" s="1">
        <v>0</v>
      </c>
      <c r="S140" s="1">
        <v>1</v>
      </c>
      <c r="W140" s="1">
        <v>0</v>
      </c>
      <c r="X140" s="1">
        <v>165.52700000000002</v>
      </c>
    </row>
    <row r="141" spans="1:24" x14ac:dyDescent="0.25">
      <c r="A141" s="1">
        <v>152806</v>
      </c>
      <c r="B141" s="1">
        <v>35795</v>
      </c>
      <c r="C141" s="1">
        <v>9</v>
      </c>
      <c r="D141" s="1">
        <v>827065</v>
      </c>
      <c r="E141" s="1">
        <v>11208</v>
      </c>
      <c r="F141" s="1">
        <v>9259</v>
      </c>
      <c r="G141" s="1">
        <v>11545</v>
      </c>
      <c r="H141" s="1">
        <v>11852</v>
      </c>
      <c r="I141" s="1">
        <v>11545</v>
      </c>
      <c r="L141" s="1">
        <v>1936666</v>
      </c>
      <c r="M141" s="1">
        <v>2083293</v>
      </c>
      <c r="P141" s="1">
        <v>827065</v>
      </c>
      <c r="Q141" s="1">
        <v>827065</v>
      </c>
      <c r="R141" s="1">
        <v>0</v>
      </c>
      <c r="S141" s="1">
        <v>1</v>
      </c>
      <c r="W141" s="1">
        <v>0</v>
      </c>
      <c r="X141" s="1">
        <v>73.790000000000006</v>
      </c>
    </row>
    <row r="142" spans="1:24" x14ac:dyDescent="0.25">
      <c r="A142" s="1">
        <v>161801</v>
      </c>
      <c r="B142" s="1">
        <v>35795</v>
      </c>
      <c r="C142" s="1">
        <v>9</v>
      </c>
      <c r="D142" s="1">
        <v>2154980</v>
      </c>
      <c r="E142" s="1">
        <v>10205</v>
      </c>
      <c r="F142" s="1">
        <v>9259</v>
      </c>
      <c r="G142" s="1">
        <v>10511</v>
      </c>
      <c r="H142" s="1">
        <v>11852</v>
      </c>
      <c r="I142" s="1">
        <v>10511</v>
      </c>
      <c r="L142" s="1">
        <v>1787360</v>
      </c>
      <c r="M142" s="1">
        <v>2083734</v>
      </c>
      <c r="P142" s="1">
        <v>2093359</v>
      </c>
      <c r="Q142" s="1">
        <v>2154980</v>
      </c>
      <c r="R142" s="1">
        <v>0</v>
      </c>
      <c r="S142" s="1">
        <v>1</v>
      </c>
      <c r="W142" s="1">
        <v>0</v>
      </c>
      <c r="X142" s="1">
        <v>211.17000000000002</v>
      </c>
    </row>
    <row r="143" spans="1:24" x14ac:dyDescent="0.25">
      <c r="A143" s="1">
        <v>161802</v>
      </c>
      <c r="B143" s="1">
        <v>35795</v>
      </c>
      <c r="C143" s="1">
        <v>9</v>
      </c>
      <c r="D143" s="1">
        <v>7909099</v>
      </c>
      <c r="E143" s="1">
        <v>10464</v>
      </c>
      <c r="F143" s="1">
        <v>9259</v>
      </c>
      <c r="G143" s="1">
        <v>10778</v>
      </c>
      <c r="H143" s="1">
        <v>11852</v>
      </c>
      <c r="I143" s="1">
        <v>10778</v>
      </c>
      <c r="L143" s="1">
        <v>8067054</v>
      </c>
      <c r="M143" s="1">
        <v>8786206</v>
      </c>
      <c r="P143" s="1">
        <v>7669735</v>
      </c>
      <c r="Q143" s="1">
        <v>7909099</v>
      </c>
      <c r="R143" s="1">
        <v>0</v>
      </c>
      <c r="S143" s="1">
        <v>1</v>
      </c>
      <c r="W143" s="1">
        <v>0</v>
      </c>
      <c r="X143" s="1">
        <v>755.81100000000004</v>
      </c>
    </row>
    <row r="144" spans="1:24" x14ac:dyDescent="0.25">
      <c r="A144" s="1">
        <v>161807</v>
      </c>
      <c r="B144" s="1">
        <v>35795</v>
      </c>
      <c r="C144" s="1">
        <v>9</v>
      </c>
      <c r="D144" s="1">
        <v>92718720</v>
      </c>
      <c r="E144" s="1">
        <v>10175</v>
      </c>
      <c r="F144" s="1">
        <v>9259</v>
      </c>
      <c r="G144" s="1">
        <v>10480</v>
      </c>
      <c r="H144" s="1">
        <v>11852</v>
      </c>
      <c r="I144" s="1">
        <v>10480</v>
      </c>
      <c r="L144" s="1">
        <v>94839932</v>
      </c>
      <c r="M144" s="1">
        <v>100423515</v>
      </c>
      <c r="P144" s="1">
        <v>89777220</v>
      </c>
      <c r="Q144" s="1">
        <v>92718720</v>
      </c>
      <c r="R144" s="1">
        <v>0</v>
      </c>
      <c r="S144" s="1">
        <v>1</v>
      </c>
      <c r="W144" s="1">
        <v>0</v>
      </c>
      <c r="X144" s="1">
        <v>9112.2650000000012</v>
      </c>
    </row>
    <row r="145" spans="1:24" x14ac:dyDescent="0.25">
      <c r="A145" s="1">
        <v>165802</v>
      </c>
      <c r="B145" s="1">
        <v>35795</v>
      </c>
      <c r="C145" s="1">
        <v>9</v>
      </c>
      <c r="D145" s="1">
        <v>3323669</v>
      </c>
      <c r="E145" s="1">
        <v>9201</v>
      </c>
      <c r="F145" s="1">
        <v>9259</v>
      </c>
      <c r="G145" s="1">
        <v>9477</v>
      </c>
      <c r="H145" s="1">
        <v>11852</v>
      </c>
      <c r="I145" s="1">
        <v>9477</v>
      </c>
      <c r="L145" s="1">
        <v>3245762</v>
      </c>
      <c r="M145" s="1">
        <v>3278054</v>
      </c>
      <c r="P145" s="1">
        <v>3198769</v>
      </c>
      <c r="Q145" s="1">
        <v>3323669</v>
      </c>
      <c r="R145" s="1">
        <v>0</v>
      </c>
      <c r="S145" s="1">
        <v>1</v>
      </c>
      <c r="W145" s="1">
        <v>0</v>
      </c>
      <c r="X145" s="1">
        <v>361.23200000000003</v>
      </c>
    </row>
    <row r="146" spans="1:24" x14ac:dyDescent="0.25">
      <c r="A146" s="1">
        <v>170801</v>
      </c>
      <c r="B146" s="1">
        <v>35795</v>
      </c>
      <c r="C146" s="1">
        <v>9</v>
      </c>
      <c r="D146" s="1">
        <v>4682988</v>
      </c>
      <c r="E146" s="1">
        <v>10605</v>
      </c>
      <c r="F146" s="1">
        <v>9259</v>
      </c>
      <c r="G146" s="1">
        <v>10923</v>
      </c>
      <c r="H146" s="1">
        <v>11852</v>
      </c>
      <c r="I146" s="1">
        <v>10923</v>
      </c>
      <c r="L146" s="1">
        <v>3123936</v>
      </c>
      <c r="M146" s="1">
        <v>3234130</v>
      </c>
      <c r="P146" s="1">
        <v>4563734</v>
      </c>
      <c r="Q146" s="1">
        <v>4682988</v>
      </c>
      <c r="R146" s="1">
        <v>0</v>
      </c>
      <c r="S146" s="1">
        <v>1</v>
      </c>
      <c r="W146" s="1">
        <v>0</v>
      </c>
      <c r="X146" s="1">
        <v>441.57500000000005</v>
      </c>
    </row>
    <row r="147" spans="1:24" x14ac:dyDescent="0.25">
      <c r="A147" s="1">
        <v>174801</v>
      </c>
      <c r="B147" s="1">
        <v>35795</v>
      </c>
      <c r="C147" s="1">
        <v>9</v>
      </c>
      <c r="D147" s="1">
        <v>2081246</v>
      </c>
      <c r="E147" s="1">
        <v>8372</v>
      </c>
      <c r="F147" s="1">
        <v>9259</v>
      </c>
      <c r="G147" s="1">
        <v>8624</v>
      </c>
      <c r="H147" s="1">
        <v>11852</v>
      </c>
      <c r="I147" s="1">
        <v>8624</v>
      </c>
      <c r="L147" s="1">
        <v>2140889</v>
      </c>
      <c r="M147" s="1">
        <v>2223632</v>
      </c>
      <c r="P147" s="1">
        <v>2001477</v>
      </c>
      <c r="Q147" s="1">
        <v>2081246</v>
      </c>
      <c r="R147" s="1">
        <v>0</v>
      </c>
      <c r="S147" s="1">
        <v>1</v>
      </c>
      <c r="W147" s="1">
        <v>0</v>
      </c>
      <c r="X147" s="1">
        <v>248.584</v>
      </c>
    </row>
    <row r="148" spans="1:24" x14ac:dyDescent="0.25">
      <c r="A148" s="1">
        <v>178801</v>
      </c>
      <c r="B148" s="1">
        <v>35795</v>
      </c>
      <c r="C148" s="1">
        <v>9</v>
      </c>
      <c r="D148" s="1">
        <v>2065537</v>
      </c>
      <c r="E148" s="1">
        <v>10223</v>
      </c>
      <c r="F148" s="1">
        <v>9259</v>
      </c>
      <c r="G148" s="1">
        <v>10530</v>
      </c>
      <c r="H148" s="1">
        <v>11852</v>
      </c>
      <c r="I148" s="1">
        <v>10530</v>
      </c>
      <c r="L148" s="1">
        <v>1577652</v>
      </c>
      <c r="M148" s="1">
        <v>1688265</v>
      </c>
      <c r="P148" s="1">
        <v>2008488</v>
      </c>
      <c r="Q148" s="1">
        <v>2065537</v>
      </c>
      <c r="R148" s="1">
        <v>0</v>
      </c>
      <c r="S148" s="1">
        <v>1</v>
      </c>
      <c r="W148" s="1">
        <v>0</v>
      </c>
      <c r="X148" s="1">
        <v>202.04</v>
      </c>
    </row>
    <row r="149" spans="1:24" x14ac:dyDescent="0.25">
      <c r="A149" s="1">
        <v>178807</v>
      </c>
      <c r="B149" s="1">
        <v>35795</v>
      </c>
      <c r="C149" s="1">
        <v>9</v>
      </c>
      <c r="D149" s="1">
        <v>1158080</v>
      </c>
      <c r="E149" s="1">
        <v>8801</v>
      </c>
      <c r="F149" s="1">
        <v>9259</v>
      </c>
      <c r="G149" s="1">
        <v>9065</v>
      </c>
      <c r="H149" s="1">
        <v>11852</v>
      </c>
      <c r="I149" s="1">
        <v>9065</v>
      </c>
      <c r="L149" s="1">
        <v>996512</v>
      </c>
      <c r="M149" s="1">
        <v>1019031</v>
      </c>
      <c r="P149" s="1">
        <v>1117576</v>
      </c>
      <c r="Q149" s="1">
        <v>1158080</v>
      </c>
      <c r="R149" s="1">
        <v>0</v>
      </c>
      <c r="S149" s="1">
        <v>1</v>
      </c>
      <c r="W149" s="1">
        <v>0</v>
      </c>
      <c r="X149" s="1">
        <v>131.58600000000001</v>
      </c>
    </row>
    <row r="150" spans="1:24" x14ac:dyDescent="0.25">
      <c r="A150" s="1">
        <v>178808</v>
      </c>
      <c r="B150" s="1">
        <v>35795</v>
      </c>
      <c r="C150" s="1">
        <v>9</v>
      </c>
      <c r="D150" s="1">
        <v>4052154</v>
      </c>
      <c r="E150" s="1">
        <v>8469</v>
      </c>
      <c r="F150" s="1">
        <v>9259</v>
      </c>
      <c r="G150" s="1">
        <v>8723</v>
      </c>
      <c r="H150" s="1">
        <v>11852</v>
      </c>
      <c r="I150" s="1">
        <v>8723</v>
      </c>
      <c r="L150" s="1">
        <v>4081774</v>
      </c>
      <c r="M150" s="1">
        <v>4140735</v>
      </c>
      <c r="P150" s="1">
        <v>3903434</v>
      </c>
      <c r="Q150" s="1">
        <v>4052154</v>
      </c>
      <c r="R150" s="1">
        <v>0</v>
      </c>
      <c r="S150" s="1">
        <v>1</v>
      </c>
      <c r="W150" s="1">
        <v>0</v>
      </c>
      <c r="X150" s="1">
        <v>478.49600000000004</v>
      </c>
    </row>
    <row r="151" spans="1:24" x14ac:dyDescent="0.25">
      <c r="A151" s="1">
        <v>183801</v>
      </c>
      <c r="B151" s="1">
        <v>35795</v>
      </c>
      <c r="C151" s="1">
        <v>9</v>
      </c>
      <c r="D151" s="1">
        <v>1551306</v>
      </c>
      <c r="E151" s="1">
        <v>10150</v>
      </c>
      <c r="F151" s="1">
        <v>9259</v>
      </c>
      <c r="G151" s="1">
        <v>10454</v>
      </c>
      <c r="H151" s="1">
        <v>11852</v>
      </c>
      <c r="I151" s="1">
        <v>10454</v>
      </c>
      <c r="L151" s="1">
        <v>1996569</v>
      </c>
      <c r="M151" s="1">
        <v>1901675</v>
      </c>
      <c r="P151" s="1">
        <v>1506566</v>
      </c>
      <c r="Q151" s="1">
        <v>1551306</v>
      </c>
      <c r="R151" s="1">
        <v>0</v>
      </c>
      <c r="S151" s="1">
        <v>1</v>
      </c>
      <c r="W151" s="1">
        <v>0</v>
      </c>
      <c r="X151" s="1">
        <v>152.84200000000001</v>
      </c>
    </row>
    <row r="152" spans="1:24" x14ac:dyDescent="0.25">
      <c r="A152" s="1">
        <v>184801</v>
      </c>
      <c r="B152" s="1">
        <v>35795</v>
      </c>
      <c r="C152" s="1">
        <v>9</v>
      </c>
      <c r="D152" s="1">
        <v>1394470</v>
      </c>
      <c r="E152" s="1">
        <v>10758</v>
      </c>
      <c r="F152" s="1">
        <v>9259</v>
      </c>
      <c r="G152" s="1">
        <v>11081</v>
      </c>
      <c r="H152" s="1">
        <v>11852</v>
      </c>
      <c r="I152" s="1">
        <v>11081</v>
      </c>
      <c r="L152" s="1">
        <v>1462855</v>
      </c>
      <c r="M152" s="1">
        <v>1487830</v>
      </c>
      <c r="P152" s="1">
        <v>1352846</v>
      </c>
      <c r="Q152" s="1">
        <v>1394470</v>
      </c>
      <c r="R152" s="1">
        <v>0</v>
      </c>
      <c r="S152" s="1">
        <v>1</v>
      </c>
      <c r="W152" s="1">
        <v>0</v>
      </c>
      <c r="X152" s="1">
        <v>129.61600000000001</v>
      </c>
    </row>
    <row r="153" spans="1:24" x14ac:dyDescent="0.25">
      <c r="A153" s="1">
        <v>193801</v>
      </c>
      <c r="B153" s="1">
        <v>35795</v>
      </c>
      <c r="C153" s="1">
        <v>9</v>
      </c>
      <c r="D153" s="1">
        <v>3458869</v>
      </c>
      <c r="E153" s="1">
        <v>17472</v>
      </c>
      <c r="F153" s="1">
        <v>9259</v>
      </c>
      <c r="G153" s="1">
        <v>17996</v>
      </c>
      <c r="H153" s="1">
        <v>11852</v>
      </c>
      <c r="I153" s="1">
        <v>11852</v>
      </c>
      <c r="L153" s="1">
        <v>2004917</v>
      </c>
      <c r="M153" s="1">
        <v>2987211</v>
      </c>
      <c r="P153" s="1">
        <v>3394050</v>
      </c>
      <c r="Q153" s="1">
        <v>3458869</v>
      </c>
      <c r="R153" s="1">
        <v>0</v>
      </c>
      <c r="S153" s="1">
        <v>1</v>
      </c>
      <c r="W153" s="1">
        <v>0</v>
      </c>
      <c r="X153" s="1">
        <v>197.96900000000002</v>
      </c>
    </row>
    <row r="154" spans="1:24" x14ac:dyDescent="0.25">
      <c r="A154" s="1">
        <v>212801</v>
      </c>
      <c r="B154" s="1">
        <v>35795</v>
      </c>
      <c r="C154" s="1">
        <v>9</v>
      </c>
      <c r="D154" s="1">
        <v>18556861</v>
      </c>
      <c r="E154" s="1">
        <v>9891</v>
      </c>
      <c r="F154" s="1">
        <v>9259</v>
      </c>
      <c r="G154" s="1">
        <v>10188</v>
      </c>
      <c r="H154" s="1">
        <v>11852</v>
      </c>
      <c r="I154" s="1">
        <v>10188</v>
      </c>
      <c r="L154" s="1">
        <v>18013997</v>
      </c>
      <c r="M154" s="1">
        <v>18317168</v>
      </c>
      <c r="P154" s="1">
        <v>17973765</v>
      </c>
      <c r="Q154" s="1">
        <v>18556861</v>
      </c>
      <c r="R154" s="1">
        <v>0</v>
      </c>
      <c r="S154" s="1">
        <v>1</v>
      </c>
      <c r="W154" s="1">
        <v>0</v>
      </c>
      <c r="X154" s="1">
        <v>1876.1570000000002</v>
      </c>
    </row>
    <row r="155" spans="1:24" x14ac:dyDescent="0.25">
      <c r="A155" s="1">
        <v>212804</v>
      </c>
      <c r="B155" s="1">
        <v>35795</v>
      </c>
      <c r="C155" s="1">
        <v>9</v>
      </c>
      <c r="D155" s="1">
        <v>7253171</v>
      </c>
      <c r="E155" s="1">
        <v>9087</v>
      </c>
      <c r="F155" s="1">
        <v>9259</v>
      </c>
      <c r="G155" s="1">
        <v>9360</v>
      </c>
      <c r="H155" s="1">
        <v>11852</v>
      </c>
      <c r="I155" s="1">
        <v>9360</v>
      </c>
      <c r="L155" s="1">
        <v>7447011</v>
      </c>
      <c r="M155" s="1">
        <v>7884922</v>
      </c>
      <c r="P155" s="1">
        <v>7024962</v>
      </c>
      <c r="Q155" s="1">
        <v>7253171</v>
      </c>
      <c r="R155" s="1">
        <v>0</v>
      </c>
      <c r="S155" s="1">
        <v>1</v>
      </c>
      <c r="W155" s="1">
        <v>0</v>
      </c>
      <c r="X155" s="1">
        <v>798.18799999999999</v>
      </c>
    </row>
    <row r="156" spans="1:24" x14ac:dyDescent="0.25">
      <c r="A156" s="1">
        <v>213801</v>
      </c>
      <c r="B156" s="1">
        <v>35795</v>
      </c>
      <c r="C156" s="1">
        <v>9</v>
      </c>
      <c r="D156" s="1">
        <v>2408601</v>
      </c>
      <c r="E156" s="1">
        <v>11536</v>
      </c>
      <c r="F156" s="1">
        <v>9259</v>
      </c>
      <c r="G156" s="1">
        <v>11882</v>
      </c>
      <c r="H156" s="1">
        <v>11852</v>
      </c>
      <c r="I156" s="1">
        <v>11852</v>
      </c>
      <c r="L156" s="1">
        <v>2185956</v>
      </c>
      <c r="M156" s="1">
        <v>2124773</v>
      </c>
      <c r="P156" s="1">
        <v>2341517</v>
      </c>
      <c r="Q156" s="1">
        <v>2408601</v>
      </c>
      <c r="R156" s="1">
        <v>0</v>
      </c>
      <c r="S156" s="1">
        <v>1</v>
      </c>
      <c r="W156" s="1">
        <v>0</v>
      </c>
      <c r="X156" s="1">
        <v>208.79400000000001</v>
      </c>
    </row>
    <row r="157" spans="1:24" x14ac:dyDescent="0.25">
      <c r="A157" s="1">
        <v>220801</v>
      </c>
      <c r="B157" s="1">
        <v>35795</v>
      </c>
      <c r="C157" s="1">
        <v>9</v>
      </c>
      <c r="D157" s="1">
        <v>3097978</v>
      </c>
      <c r="E157" s="1">
        <v>8384</v>
      </c>
      <c r="F157" s="1">
        <v>9259</v>
      </c>
      <c r="G157" s="1">
        <v>8636</v>
      </c>
      <c r="H157" s="1">
        <v>11852</v>
      </c>
      <c r="I157" s="1">
        <v>8636</v>
      </c>
      <c r="L157" s="1">
        <v>2623857</v>
      </c>
      <c r="M157" s="1">
        <v>2797882</v>
      </c>
      <c r="P157" s="1">
        <v>2980502</v>
      </c>
      <c r="Q157" s="1">
        <v>3097978</v>
      </c>
      <c r="R157" s="1">
        <v>0</v>
      </c>
      <c r="S157" s="1">
        <v>1</v>
      </c>
      <c r="W157" s="1">
        <v>0</v>
      </c>
      <c r="X157" s="1">
        <v>369.505</v>
      </c>
    </row>
    <row r="158" spans="1:24" x14ac:dyDescent="0.25">
      <c r="A158" s="1">
        <v>220802</v>
      </c>
      <c r="B158" s="1">
        <v>35795</v>
      </c>
      <c r="C158" s="1">
        <v>9</v>
      </c>
      <c r="D158" s="1">
        <v>12968373</v>
      </c>
      <c r="E158" s="1">
        <v>8564</v>
      </c>
      <c r="F158" s="1">
        <v>9259</v>
      </c>
      <c r="G158" s="1">
        <v>8821</v>
      </c>
      <c r="H158" s="1">
        <v>11852</v>
      </c>
      <c r="I158" s="1">
        <v>8821</v>
      </c>
      <c r="L158" s="1">
        <v>12837207</v>
      </c>
      <c r="M158" s="1">
        <v>13584801</v>
      </c>
      <c r="P158" s="1">
        <v>12486944</v>
      </c>
      <c r="Q158" s="1">
        <v>12968373</v>
      </c>
      <c r="R158" s="1">
        <v>0</v>
      </c>
      <c r="S158" s="1">
        <v>1</v>
      </c>
      <c r="W158" s="1">
        <v>0</v>
      </c>
      <c r="X158" s="1">
        <v>1514.3320000000001</v>
      </c>
    </row>
    <row r="159" spans="1:24" x14ac:dyDescent="0.25">
      <c r="A159" s="1">
        <v>220809</v>
      </c>
      <c r="B159" s="1">
        <v>35795</v>
      </c>
      <c r="C159" s="1">
        <v>9</v>
      </c>
      <c r="D159" s="1">
        <v>4315308</v>
      </c>
      <c r="E159" s="1">
        <v>8617</v>
      </c>
      <c r="F159" s="1">
        <v>9259</v>
      </c>
      <c r="G159" s="1">
        <v>8876</v>
      </c>
      <c r="H159" s="1">
        <v>11852</v>
      </c>
      <c r="I159" s="1">
        <v>8876</v>
      </c>
      <c r="L159" s="1">
        <v>5475176</v>
      </c>
      <c r="M159" s="1">
        <v>5693402</v>
      </c>
      <c r="P159" s="1">
        <v>4139056</v>
      </c>
      <c r="Q159" s="1">
        <v>4315308</v>
      </c>
      <c r="R159" s="1">
        <v>0</v>
      </c>
      <c r="S159" s="1">
        <v>1</v>
      </c>
      <c r="W159" s="1">
        <v>0</v>
      </c>
      <c r="X159" s="1">
        <v>500.78700000000003</v>
      </c>
    </row>
    <row r="160" spans="1:24" x14ac:dyDescent="0.25">
      <c r="A160" s="1">
        <v>220810</v>
      </c>
      <c r="B160" s="1">
        <v>35795</v>
      </c>
      <c r="C160" s="1">
        <v>9</v>
      </c>
      <c r="D160" s="1">
        <v>7382599</v>
      </c>
      <c r="E160" s="1">
        <v>8485</v>
      </c>
      <c r="F160" s="1">
        <v>9259</v>
      </c>
      <c r="G160" s="1">
        <v>8739</v>
      </c>
      <c r="H160" s="1">
        <v>11852</v>
      </c>
      <c r="I160" s="1">
        <v>8739</v>
      </c>
      <c r="L160" s="1">
        <v>7328436</v>
      </c>
      <c r="M160" s="1">
        <v>7529165</v>
      </c>
      <c r="P160" s="1">
        <v>7111548</v>
      </c>
      <c r="Q160" s="1">
        <v>7382599</v>
      </c>
      <c r="R160" s="1">
        <v>0</v>
      </c>
      <c r="S160" s="1">
        <v>1</v>
      </c>
      <c r="W160" s="1">
        <v>0</v>
      </c>
      <c r="X160" s="1">
        <v>870.09</v>
      </c>
    </row>
    <row r="161" spans="1:24" x14ac:dyDescent="0.25">
      <c r="A161" s="1">
        <v>220811</v>
      </c>
      <c r="B161" s="1">
        <v>35795</v>
      </c>
      <c r="C161" s="1">
        <v>9</v>
      </c>
      <c r="D161" s="1">
        <v>2147453</v>
      </c>
      <c r="E161" s="1">
        <v>10507</v>
      </c>
      <c r="F161" s="1">
        <v>9259</v>
      </c>
      <c r="G161" s="1">
        <v>10822</v>
      </c>
      <c r="H161" s="1">
        <v>11852</v>
      </c>
      <c r="I161" s="1">
        <v>10822</v>
      </c>
      <c r="L161" s="1">
        <v>1790739</v>
      </c>
      <c r="M161" s="1">
        <v>1751984</v>
      </c>
      <c r="P161" s="1">
        <v>2067503</v>
      </c>
      <c r="Q161" s="1">
        <v>2147453</v>
      </c>
      <c r="R161" s="1">
        <v>0</v>
      </c>
      <c r="S161" s="1">
        <v>1</v>
      </c>
      <c r="W161" s="1">
        <v>0</v>
      </c>
      <c r="X161" s="1">
        <v>204.38200000000001</v>
      </c>
    </row>
    <row r="162" spans="1:24" x14ac:dyDescent="0.25">
      <c r="A162" s="1">
        <v>220814</v>
      </c>
      <c r="B162" s="1">
        <v>35795</v>
      </c>
      <c r="C162" s="1">
        <v>9</v>
      </c>
      <c r="D162" s="1">
        <v>2680920</v>
      </c>
      <c r="E162" s="1">
        <v>8570</v>
      </c>
      <c r="F162" s="1">
        <v>9259</v>
      </c>
      <c r="G162" s="1">
        <v>8827</v>
      </c>
      <c r="H162" s="1">
        <v>11852</v>
      </c>
      <c r="I162" s="1">
        <v>8827</v>
      </c>
      <c r="L162" s="1">
        <v>2479636</v>
      </c>
      <c r="M162" s="1">
        <v>2600971</v>
      </c>
      <c r="P162" s="1">
        <v>2579379</v>
      </c>
      <c r="Q162" s="1">
        <v>2680920</v>
      </c>
      <c r="R162" s="1">
        <v>0</v>
      </c>
      <c r="S162" s="1">
        <v>1</v>
      </c>
      <c r="W162" s="1">
        <v>0</v>
      </c>
      <c r="X162" s="1">
        <v>312.81200000000001</v>
      </c>
    </row>
    <row r="163" spans="1:24" x14ac:dyDescent="0.25">
      <c r="A163" s="1">
        <v>220815</v>
      </c>
      <c r="B163" s="1">
        <v>35795</v>
      </c>
      <c r="C163" s="1">
        <v>9</v>
      </c>
      <c r="D163" s="1">
        <v>6475923</v>
      </c>
      <c r="E163" s="1">
        <v>9647</v>
      </c>
      <c r="F163" s="1">
        <v>9259</v>
      </c>
      <c r="G163" s="1">
        <v>9937</v>
      </c>
      <c r="H163" s="1">
        <v>11852</v>
      </c>
      <c r="I163" s="1">
        <v>9937</v>
      </c>
      <c r="L163" s="1">
        <v>6006013</v>
      </c>
      <c r="M163" s="1">
        <v>6264202</v>
      </c>
      <c r="P163" s="1">
        <v>6287356</v>
      </c>
      <c r="Q163" s="1">
        <v>6475923</v>
      </c>
      <c r="R163" s="1">
        <v>0</v>
      </c>
      <c r="S163" s="1">
        <v>1</v>
      </c>
      <c r="W163" s="1">
        <v>0</v>
      </c>
      <c r="X163" s="1">
        <v>671.27</v>
      </c>
    </row>
    <row r="164" spans="1:24" x14ac:dyDescent="0.25">
      <c r="A164" s="1">
        <v>220817</v>
      </c>
      <c r="B164" s="1">
        <v>35795</v>
      </c>
      <c r="C164" s="1">
        <v>9</v>
      </c>
      <c r="D164" s="1">
        <v>27394618</v>
      </c>
      <c r="E164" s="1">
        <v>9544</v>
      </c>
      <c r="F164" s="1">
        <v>9259</v>
      </c>
      <c r="G164" s="1">
        <v>9830</v>
      </c>
      <c r="H164" s="1">
        <v>11852</v>
      </c>
      <c r="I164" s="1">
        <v>9830</v>
      </c>
      <c r="L164" s="1">
        <v>26577273</v>
      </c>
      <c r="M164" s="1">
        <v>27400055</v>
      </c>
      <c r="P164" s="1">
        <v>26509451</v>
      </c>
      <c r="Q164" s="1">
        <v>27394618</v>
      </c>
      <c r="R164" s="1">
        <v>0</v>
      </c>
      <c r="S164" s="1">
        <v>1</v>
      </c>
      <c r="W164" s="1">
        <v>0</v>
      </c>
      <c r="X164" s="1">
        <v>2870.4410000000003</v>
      </c>
    </row>
    <row r="165" spans="1:24" x14ac:dyDescent="0.25">
      <c r="A165" s="1">
        <v>220819</v>
      </c>
      <c r="B165" s="1">
        <v>35795</v>
      </c>
      <c r="C165" s="1">
        <v>9</v>
      </c>
      <c r="D165" s="1">
        <v>14529739</v>
      </c>
      <c r="E165" s="1">
        <v>9134</v>
      </c>
      <c r="F165" s="1">
        <v>9259</v>
      </c>
      <c r="G165" s="1">
        <v>9408</v>
      </c>
      <c r="H165" s="1">
        <v>11852</v>
      </c>
      <c r="I165" s="1">
        <v>9408</v>
      </c>
      <c r="L165" s="1">
        <v>12308740</v>
      </c>
      <c r="M165" s="1">
        <v>14203871</v>
      </c>
      <c r="P165" s="1">
        <v>14106171</v>
      </c>
      <c r="Q165" s="1">
        <v>14529739</v>
      </c>
      <c r="R165" s="1">
        <v>0</v>
      </c>
      <c r="S165" s="1">
        <v>1</v>
      </c>
      <c r="W165" s="1">
        <v>0</v>
      </c>
      <c r="X165" s="1">
        <v>1590.7140000000002</v>
      </c>
    </row>
    <row r="166" spans="1:24" x14ac:dyDescent="0.25">
      <c r="A166" s="1">
        <v>221801</v>
      </c>
      <c r="B166" s="1">
        <v>35795</v>
      </c>
      <c r="C166" s="1">
        <v>9</v>
      </c>
      <c r="D166" s="1">
        <v>114350227</v>
      </c>
      <c r="E166" s="1">
        <v>9155</v>
      </c>
      <c r="F166" s="1">
        <v>9259</v>
      </c>
      <c r="G166" s="1">
        <v>9430</v>
      </c>
      <c r="H166" s="1">
        <v>11852</v>
      </c>
      <c r="I166" s="1">
        <v>9430</v>
      </c>
      <c r="L166" s="1">
        <v>132111238</v>
      </c>
      <c r="M166" s="1">
        <v>137635670</v>
      </c>
      <c r="P166" s="1">
        <v>110684489</v>
      </c>
      <c r="Q166" s="1">
        <v>114350227</v>
      </c>
      <c r="R166" s="1">
        <v>0</v>
      </c>
      <c r="S166" s="1">
        <v>1</v>
      </c>
      <c r="W166" s="1">
        <v>0</v>
      </c>
      <c r="X166" s="1">
        <v>12489.932000000001</v>
      </c>
    </row>
    <row r="167" spans="1:24" x14ac:dyDescent="0.25">
      <c r="A167" s="1">
        <v>226801</v>
      </c>
      <c r="B167" s="1">
        <v>35795</v>
      </c>
      <c r="C167" s="1">
        <v>9</v>
      </c>
      <c r="D167" s="1">
        <v>26573337</v>
      </c>
      <c r="E167" s="1">
        <v>9498</v>
      </c>
      <c r="F167" s="1">
        <v>9259</v>
      </c>
      <c r="G167" s="1">
        <v>9783</v>
      </c>
      <c r="H167" s="1">
        <v>11852</v>
      </c>
      <c r="I167" s="1">
        <v>9783</v>
      </c>
      <c r="L167" s="1">
        <v>31503136</v>
      </c>
      <c r="M167" s="1">
        <v>32468502</v>
      </c>
      <c r="P167" s="1">
        <v>25723839</v>
      </c>
      <c r="Q167" s="1">
        <v>26573337</v>
      </c>
      <c r="R167" s="1">
        <v>0</v>
      </c>
      <c r="S167" s="1">
        <v>1</v>
      </c>
      <c r="W167" s="1">
        <v>0</v>
      </c>
      <c r="X167" s="1">
        <v>2797.7350000000001</v>
      </c>
    </row>
    <row r="168" spans="1:24" x14ac:dyDescent="0.25">
      <c r="A168" s="1">
        <v>227803</v>
      </c>
      <c r="B168" s="1">
        <v>35795</v>
      </c>
      <c r="C168" s="1">
        <v>9</v>
      </c>
      <c r="D168" s="1">
        <v>18331374</v>
      </c>
      <c r="E168" s="1">
        <v>10292</v>
      </c>
      <c r="F168" s="1">
        <v>9259</v>
      </c>
      <c r="G168" s="1">
        <v>10601</v>
      </c>
      <c r="H168" s="1">
        <v>11852</v>
      </c>
      <c r="I168" s="1">
        <v>10601</v>
      </c>
      <c r="L168" s="1">
        <v>15280269</v>
      </c>
      <c r="M168" s="1">
        <v>16523097</v>
      </c>
      <c r="P168" s="1">
        <v>17750272</v>
      </c>
      <c r="Q168" s="1">
        <v>18331374</v>
      </c>
      <c r="R168" s="1">
        <v>0</v>
      </c>
      <c r="S168" s="1">
        <v>1</v>
      </c>
      <c r="W168" s="1">
        <v>0</v>
      </c>
      <c r="X168" s="1">
        <v>1781.1390000000001</v>
      </c>
    </row>
    <row r="169" spans="1:24" x14ac:dyDescent="0.25">
      <c r="A169" s="1">
        <v>227804</v>
      </c>
      <c r="B169" s="1">
        <v>35795</v>
      </c>
      <c r="C169" s="1">
        <v>9</v>
      </c>
      <c r="D169" s="1">
        <v>9319968</v>
      </c>
      <c r="E169" s="1">
        <v>9548</v>
      </c>
      <c r="F169" s="1">
        <v>9259</v>
      </c>
      <c r="G169" s="1">
        <v>9834</v>
      </c>
      <c r="H169" s="1">
        <v>11852</v>
      </c>
      <c r="I169" s="1">
        <v>9834</v>
      </c>
      <c r="L169" s="1">
        <v>12918527</v>
      </c>
      <c r="M169" s="1">
        <v>14197824</v>
      </c>
      <c r="P169" s="1">
        <v>9019786</v>
      </c>
      <c r="Q169" s="1">
        <v>9319968</v>
      </c>
      <c r="R169" s="1">
        <v>0</v>
      </c>
      <c r="S169" s="1">
        <v>1</v>
      </c>
      <c r="W169" s="1">
        <v>0</v>
      </c>
      <c r="X169" s="1">
        <v>976.11900000000003</v>
      </c>
    </row>
    <row r="170" spans="1:24" x14ac:dyDescent="0.25">
      <c r="A170" s="1">
        <v>227805</v>
      </c>
      <c r="B170" s="1">
        <v>35795</v>
      </c>
      <c r="C170" s="1">
        <v>9</v>
      </c>
      <c r="D170" s="1">
        <v>3392187</v>
      </c>
      <c r="E170" s="1">
        <v>10175</v>
      </c>
      <c r="F170" s="1">
        <v>9259</v>
      </c>
      <c r="G170" s="1">
        <v>10481</v>
      </c>
      <c r="H170" s="1">
        <v>11852</v>
      </c>
      <c r="I170" s="1">
        <v>10481</v>
      </c>
      <c r="L170" s="1">
        <v>3658385</v>
      </c>
      <c r="M170" s="1">
        <v>3536852</v>
      </c>
      <c r="P170" s="1">
        <v>3293055</v>
      </c>
      <c r="Q170" s="1">
        <v>3392187</v>
      </c>
      <c r="R170" s="1">
        <v>0</v>
      </c>
      <c r="S170" s="1">
        <v>1</v>
      </c>
      <c r="W170" s="1">
        <v>0</v>
      </c>
      <c r="X170" s="1">
        <v>333.36900000000003</v>
      </c>
    </row>
    <row r="171" spans="1:24" x14ac:dyDescent="0.25">
      <c r="A171" s="1">
        <v>227806</v>
      </c>
      <c r="B171" s="1">
        <v>35795</v>
      </c>
      <c r="C171" s="1">
        <v>9</v>
      </c>
      <c r="D171" s="1">
        <v>10128743</v>
      </c>
      <c r="E171" s="1">
        <v>17550</v>
      </c>
      <c r="F171" s="1">
        <v>9259</v>
      </c>
      <c r="G171" s="1">
        <v>18077</v>
      </c>
      <c r="H171" s="1">
        <v>11852</v>
      </c>
      <c r="I171" s="1">
        <v>11852</v>
      </c>
      <c r="L171" s="1">
        <v>5497340</v>
      </c>
      <c r="M171" s="1">
        <v>8183940</v>
      </c>
      <c r="P171" s="1">
        <v>9942442</v>
      </c>
      <c r="Q171" s="1">
        <v>10128743</v>
      </c>
      <c r="R171" s="1">
        <v>0</v>
      </c>
      <c r="S171" s="1">
        <v>1</v>
      </c>
      <c r="W171" s="1">
        <v>0</v>
      </c>
      <c r="X171" s="1">
        <v>577.12900000000002</v>
      </c>
    </row>
    <row r="172" spans="1:24" x14ac:dyDescent="0.25">
      <c r="A172" s="1">
        <v>227814</v>
      </c>
      <c r="B172" s="1">
        <v>35795</v>
      </c>
      <c r="C172" s="1">
        <v>9</v>
      </c>
      <c r="D172" s="1">
        <v>2853465</v>
      </c>
      <c r="E172" s="1">
        <v>8211</v>
      </c>
      <c r="F172" s="1">
        <v>9259</v>
      </c>
      <c r="G172" s="1">
        <v>8457</v>
      </c>
      <c r="H172" s="1">
        <v>11852</v>
      </c>
      <c r="I172" s="1">
        <v>8457</v>
      </c>
      <c r="L172" s="1">
        <v>2843149</v>
      </c>
      <c r="M172" s="1">
        <v>3012039</v>
      </c>
      <c r="P172" s="1">
        <v>2740329</v>
      </c>
      <c r="Q172" s="1">
        <v>2853465</v>
      </c>
      <c r="R172" s="1">
        <v>0</v>
      </c>
      <c r="S172" s="1">
        <v>1</v>
      </c>
      <c r="W172" s="1">
        <v>0</v>
      </c>
      <c r="X172" s="1">
        <v>347.529</v>
      </c>
    </row>
    <row r="173" spans="1:24" x14ac:dyDescent="0.25">
      <c r="A173" s="1">
        <v>227816</v>
      </c>
      <c r="B173" s="1">
        <v>35795</v>
      </c>
      <c r="C173" s="1">
        <v>9</v>
      </c>
      <c r="D173" s="1">
        <v>39624960</v>
      </c>
      <c r="E173" s="1">
        <v>10210</v>
      </c>
      <c r="F173" s="1">
        <v>9259</v>
      </c>
      <c r="G173" s="1">
        <v>10516</v>
      </c>
      <c r="H173" s="1">
        <v>11852</v>
      </c>
      <c r="I173" s="1">
        <v>10516</v>
      </c>
      <c r="L173" s="1">
        <v>40488547</v>
      </c>
      <c r="M173" s="1">
        <v>42021985</v>
      </c>
      <c r="P173" s="1">
        <v>38422322</v>
      </c>
      <c r="Q173" s="1">
        <v>39624960</v>
      </c>
      <c r="R173" s="1">
        <v>0</v>
      </c>
      <c r="S173" s="1">
        <v>1</v>
      </c>
      <c r="W173" s="1">
        <v>0</v>
      </c>
      <c r="X173" s="1">
        <v>3881.0220000000004</v>
      </c>
    </row>
    <row r="174" spans="1:24" x14ac:dyDescent="0.25">
      <c r="A174" s="1">
        <v>227817</v>
      </c>
      <c r="B174" s="1">
        <v>35795</v>
      </c>
      <c r="C174" s="1">
        <v>9</v>
      </c>
      <c r="D174" s="1">
        <v>4878414</v>
      </c>
      <c r="E174" s="1">
        <v>10874</v>
      </c>
      <c r="F174" s="1">
        <v>9259</v>
      </c>
      <c r="G174" s="1">
        <v>11201</v>
      </c>
      <c r="H174" s="1">
        <v>11852</v>
      </c>
      <c r="I174" s="1">
        <v>11201</v>
      </c>
      <c r="L174" s="1">
        <v>4812044</v>
      </c>
      <c r="M174" s="1">
        <v>5111081</v>
      </c>
      <c r="P174" s="1">
        <v>4720122</v>
      </c>
      <c r="Q174" s="1">
        <v>4878414</v>
      </c>
      <c r="R174" s="1">
        <v>0</v>
      </c>
      <c r="S174" s="1">
        <v>1</v>
      </c>
      <c r="W174" s="1">
        <v>0</v>
      </c>
      <c r="X174" s="1">
        <v>448.61400000000003</v>
      </c>
    </row>
    <row r="175" spans="1:24" x14ac:dyDescent="0.25">
      <c r="A175" s="1">
        <v>227819</v>
      </c>
      <c r="B175" s="1">
        <v>35795</v>
      </c>
      <c r="C175" s="1">
        <v>9</v>
      </c>
      <c r="D175" s="1">
        <v>2636424</v>
      </c>
      <c r="E175" s="1">
        <v>10032</v>
      </c>
      <c r="F175" s="1">
        <v>9259</v>
      </c>
      <c r="G175" s="1">
        <v>10333</v>
      </c>
      <c r="H175" s="1">
        <v>11852</v>
      </c>
      <c r="I175" s="1">
        <v>10333</v>
      </c>
      <c r="L175" s="1">
        <v>2583772</v>
      </c>
      <c r="M175" s="1">
        <v>2751191</v>
      </c>
      <c r="P175" s="1">
        <v>2552795</v>
      </c>
      <c r="Q175" s="1">
        <v>2636424</v>
      </c>
      <c r="R175" s="1">
        <v>0</v>
      </c>
      <c r="S175" s="1">
        <v>1</v>
      </c>
      <c r="W175" s="1">
        <v>0</v>
      </c>
      <c r="X175" s="1">
        <v>262.80200000000002</v>
      </c>
    </row>
    <row r="176" spans="1:24" x14ac:dyDescent="0.25">
      <c r="A176" s="1">
        <v>227820</v>
      </c>
      <c r="B176" s="1">
        <v>35795</v>
      </c>
      <c r="C176" s="1">
        <v>9</v>
      </c>
      <c r="D176" s="1">
        <v>268911545</v>
      </c>
      <c r="E176" s="1">
        <v>10366</v>
      </c>
      <c r="F176" s="1">
        <v>9259</v>
      </c>
      <c r="G176" s="1">
        <v>10677</v>
      </c>
      <c r="H176" s="1">
        <v>11852</v>
      </c>
      <c r="I176" s="1">
        <v>10677</v>
      </c>
      <c r="L176" s="1">
        <v>296681958</v>
      </c>
      <c r="M176" s="1">
        <v>318056110</v>
      </c>
      <c r="P176" s="1">
        <v>261028070</v>
      </c>
      <c r="Q176" s="1">
        <v>268911545</v>
      </c>
      <c r="R176" s="1">
        <v>0</v>
      </c>
      <c r="S176" s="1">
        <v>1</v>
      </c>
      <c r="W176" s="1">
        <v>0</v>
      </c>
      <c r="X176" s="1">
        <v>25942.050999999999</v>
      </c>
    </row>
    <row r="177" spans="1:24" x14ac:dyDescent="0.25">
      <c r="A177" s="1">
        <v>227821</v>
      </c>
      <c r="B177" s="1">
        <v>35795</v>
      </c>
      <c r="C177" s="1">
        <v>9</v>
      </c>
      <c r="D177" s="1">
        <v>3798873</v>
      </c>
      <c r="E177" s="1">
        <v>9122</v>
      </c>
      <c r="F177" s="1">
        <v>9259</v>
      </c>
      <c r="G177" s="1">
        <v>9396</v>
      </c>
      <c r="H177" s="1">
        <v>11852</v>
      </c>
      <c r="I177" s="1">
        <v>9396</v>
      </c>
      <c r="L177" s="1">
        <v>3653155</v>
      </c>
      <c r="M177" s="1">
        <v>3644395</v>
      </c>
      <c r="P177" s="1">
        <v>3646844</v>
      </c>
      <c r="Q177" s="1">
        <v>3798873</v>
      </c>
      <c r="R177" s="1">
        <v>0</v>
      </c>
      <c r="S177" s="1">
        <v>1</v>
      </c>
      <c r="W177" s="1">
        <v>0</v>
      </c>
      <c r="X177" s="1">
        <v>416.44</v>
      </c>
    </row>
    <row r="178" spans="1:24" x14ac:dyDescent="0.25">
      <c r="A178" s="1">
        <v>227824</v>
      </c>
      <c r="B178" s="1">
        <v>35795</v>
      </c>
      <c r="C178" s="1">
        <v>9</v>
      </c>
      <c r="D178" s="1">
        <v>8418339</v>
      </c>
      <c r="E178" s="1">
        <v>10440</v>
      </c>
      <c r="F178" s="1">
        <v>9259</v>
      </c>
      <c r="G178" s="1">
        <v>10754</v>
      </c>
      <c r="H178" s="1">
        <v>11852</v>
      </c>
      <c r="I178" s="1">
        <v>10754</v>
      </c>
      <c r="L178" s="1">
        <v>9035983</v>
      </c>
      <c r="M178" s="1">
        <v>9506873</v>
      </c>
      <c r="P178" s="1">
        <v>8147847</v>
      </c>
      <c r="Q178" s="1">
        <v>8418339</v>
      </c>
      <c r="R178" s="1">
        <v>0</v>
      </c>
      <c r="S178" s="1">
        <v>1</v>
      </c>
      <c r="W178" s="1">
        <v>0</v>
      </c>
      <c r="X178" s="1">
        <v>806.327</v>
      </c>
    </row>
    <row r="179" spans="1:24" x14ac:dyDescent="0.25">
      <c r="A179" s="1">
        <v>227825</v>
      </c>
      <c r="B179" s="1">
        <v>35795</v>
      </c>
      <c r="C179" s="1">
        <v>9</v>
      </c>
      <c r="D179" s="1">
        <v>18571526</v>
      </c>
      <c r="E179" s="1">
        <v>10924</v>
      </c>
      <c r="F179" s="1">
        <v>9259</v>
      </c>
      <c r="G179" s="1">
        <v>11251</v>
      </c>
      <c r="H179" s="1">
        <v>11852</v>
      </c>
      <c r="I179" s="1">
        <v>11251</v>
      </c>
      <c r="L179" s="1">
        <v>22524148</v>
      </c>
      <c r="M179" s="1">
        <v>23173035</v>
      </c>
      <c r="P179" s="1">
        <v>18100045</v>
      </c>
      <c r="Q179" s="1">
        <v>18571526</v>
      </c>
      <c r="R179" s="1">
        <v>0</v>
      </c>
      <c r="S179" s="1">
        <v>1</v>
      </c>
      <c r="W179" s="1">
        <v>0</v>
      </c>
      <c r="X179" s="1">
        <v>1700.14</v>
      </c>
    </row>
    <row r="180" spans="1:24" x14ac:dyDescent="0.25">
      <c r="A180" s="1">
        <v>227826</v>
      </c>
      <c r="B180" s="1">
        <v>35795</v>
      </c>
      <c r="C180" s="1">
        <v>9</v>
      </c>
      <c r="D180" s="1">
        <v>3688071</v>
      </c>
      <c r="E180" s="1">
        <v>9713</v>
      </c>
      <c r="F180" s="1">
        <v>9259</v>
      </c>
      <c r="G180" s="1">
        <v>10005</v>
      </c>
      <c r="H180" s="1">
        <v>11852</v>
      </c>
      <c r="I180" s="1">
        <v>10005</v>
      </c>
      <c r="L180" s="1">
        <v>3675844</v>
      </c>
      <c r="M180" s="1">
        <v>3794239</v>
      </c>
      <c r="P180" s="1">
        <v>3564084</v>
      </c>
      <c r="Q180" s="1">
        <v>3688071</v>
      </c>
      <c r="R180" s="1">
        <v>0</v>
      </c>
      <c r="S180" s="1">
        <v>1</v>
      </c>
      <c r="W180" s="1">
        <v>0</v>
      </c>
      <c r="X180" s="1">
        <v>379.68800000000005</v>
      </c>
    </row>
    <row r="181" spans="1:24" x14ac:dyDescent="0.25">
      <c r="A181" s="1">
        <v>227827</v>
      </c>
      <c r="B181" s="1">
        <v>35795</v>
      </c>
      <c r="C181" s="1">
        <v>9</v>
      </c>
      <c r="D181" s="1">
        <v>4554587</v>
      </c>
      <c r="E181" s="1">
        <v>9875</v>
      </c>
      <c r="F181" s="1">
        <v>9259</v>
      </c>
      <c r="G181" s="1">
        <v>10171</v>
      </c>
      <c r="H181" s="1">
        <v>11852</v>
      </c>
      <c r="I181" s="1">
        <v>10171</v>
      </c>
      <c r="L181" s="1">
        <v>6225971</v>
      </c>
      <c r="M181" s="1">
        <v>6800465</v>
      </c>
      <c r="P181" s="1">
        <v>4487523</v>
      </c>
      <c r="Q181" s="1">
        <v>4554587</v>
      </c>
      <c r="R181" s="1">
        <v>0</v>
      </c>
      <c r="S181" s="1">
        <v>1</v>
      </c>
      <c r="W181" s="1">
        <v>0</v>
      </c>
      <c r="X181" s="1">
        <v>461.21300000000002</v>
      </c>
    </row>
    <row r="182" spans="1:24" x14ac:dyDescent="0.25">
      <c r="A182" s="1">
        <v>227829</v>
      </c>
      <c r="B182" s="1">
        <v>35795</v>
      </c>
      <c r="C182" s="1">
        <v>9</v>
      </c>
      <c r="D182" s="1">
        <v>4506315</v>
      </c>
      <c r="E182" s="1">
        <v>8800</v>
      </c>
      <c r="F182" s="1">
        <v>9259</v>
      </c>
      <c r="G182" s="1">
        <v>9064</v>
      </c>
      <c r="H182" s="1">
        <v>11852</v>
      </c>
      <c r="I182" s="1">
        <v>9064</v>
      </c>
      <c r="L182" s="1">
        <v>11772447</v>
      </c>
      <c r="M182" s="1">
        <v>12195356</v>
      </c>
      <c r="P182" s="1">
        <v>4364486</v>
      </c>
      <c r="Q182" s="1">
        <v>4506315</v>
      </c>
      <c r="R182" s="1">
        <v>0</v>
      </c>
      <c r="S182" s="1">
        <v>1</v>
      </c>
      <c r="W182" s="1">
        <v>0</v>
      </c>
      <c r="X182" s="1">
        <v>512.06799999999998</v>
      </c>
    </row>
    <row r="183" spans="1:24" x14ac:dyDescent="0.25">
      <c r="A183" s="1">
        <v>234801</v>
      </c>
      <c r="B183" s="1">
        <v>35795</v>
      </c>
      <c r="C183" s="1">
        <v>9</v>
      </c>
      <c r="D183" s="1">
        <v>840982</v>
      </c>
      <c r="E183" s="1">
        <v>11985</v>
      </c>
      <c r="F183" s="1">
        <v>9259</v>
      </c>
      <c r="G183" s="1">
        <v>12344</v>
      </c>
      <c r="H183" s="1">
        <v>11852</v>
      </c>
      <c r="I183" s="1">
        <v>11852</v>
      </c>
      <c r="L183" s="1">
        <v>773733</v>
      </c>
      <c r="M183" s="1">
        <v>845492</v>
      </c>
      <c r="P183" s="1">
        <v>821760</v>
      </c>
      <c r="Q183" s="1">
        <v>840982</v>
      </c>
      <c r="R183" s="1">
        <v>0</v>
      </c>
      <c r="S183" s="1">
        <v>1</v>
      </c>
      <c r="W183" s="1">
        <v>0</v>
      </c>
      <c r="X183" s="1">
        <v>70.171999999999997</v>
      </c>
    </row>
    <row r="184" spans="1:24" x14ac:dyDescent="0.25">
      <c r="A184" s="1">
        <v>236801</v>
      </c>
      <c r="B184" s="1">
        <v>35795</v>
      </c>
      <c r="C184" s="1">
        <v>9</v>
      </c>
      <c r="D184" s="1">
        <v>1161375</v>
      </c>
      <c r="E184" s="1">
        <v>20999</v>
      </c>
      <c r="F184" s="1">
        <v>9259</v>
      </c>
      <c r="G184" s="1">
        <v>21629</v>
      </c>
      <c r="H184" s="1">
        <v>11852</v>
      </c>
      <c r="I184" s="1">
        <v>11852</v>
      </c>
      <c r="L184" s="1">
        <v>328798</v>
      </c>
      <c r="M184" s="1">
        <v>788033</v>
      </c>
      <c r="P184" s="1">
        <v>1128171</v>
      </c>
      <c r="Q184" s="1">
        <v>1161375</v>
      </c>
      <c r="R184" s="1">
        <v>0</v>
      </c>
      <c r="S184" s="1">
        <v>1</v>
      </c>
      <c r="W184" s="1">
        <v>0</v>
      </c>
      <c r="X184" s="1">
        <v>55.305</v>
      </c>
    </row>
    <row r="185" spans="1:24" x14ac:dyDescent="0.25">
      <c r="A185" s="1">
        <v>236802</v>
      </c>
      <c r="B185" s="1">
        <v>35795</v>
      </c>
      <c r="C185" s="1">
        <v>9</v>
      </c>
      <c r="D185" s="1">
        <v>2944200</v>
      </c>
      <c r="E185" s="1">
        <v>8770</v>
      </c>
      <c r="F185" s="1">
        <v>9259</v>
      </c>
      <c r="G185" s="1">
        <v>9033</v>
      </c>
      <c r="H185" s="1">
        <v>11852</v>
      </c>
      <c r="I185" s="1">
        <v>9033</v>
      </c>
      <c r="L185" s="1">
        <v>3587624</v>
      </c>
      <c r="M185" s="1">
        <v>3819760</v>
      </c>
      <c r="P185" s="1">
        <v>2855578</v>
      </c>
      <c r="Q185" s="1">
        <v>2944200</v>
      </c>
      <c r="R185" s="1">
        <v>0</v>
      </c>
      <c r="S185" s="1">
        <v>1</v>
      </c>
      <c r="W185" s="1">
        <v>0</v>
      </c>
      <c r="X185" s="1">
        <v>335.71500000000003</v>
      </c>
    </row>
    <row r="186" spans="1:24" x14ac:dyDescent="0.25">
      <c r="A186" s="1">
        <v>240801</v>
      </c>
      <c r="B186" s="1">
        <v>35795</v>
      </c>
      <c r="C186" s="1">
        <v>9</v>
      </c>
      <c r="D186" s="1">
        <v>2410038</v>
      </c>
      <c r="E186" s="1">
        <v>11764</v>
      </c>
      <c r="F186" s="1">
        <v>9259</v>
      </c>
      <c r="G186" s="1">
        <v>12117</v>
      </c>
      <c r="H186" s="1">
        <v>11852</v>
      </c>
      <c r="I186" s="1">
        <v>11852</v>
      </c>
      <c r="L186" s="1">
        <v>1759581</v>
      </c>
      <c r="M186" s="1">
        <v>1846275</v>
      </c>
      <c r="P186" s="1">
        <v>2330166</v>
      </c>
      <c r="Q186" s="1">
        <v>2410038</v>
      </c>
      <c r="R186" s="1">
        <v>0</v>
      </c>
      <c r="S186" s="1">
        <v>1</v>
      </c>
      <c r="W186" s="1">
        <v>0</v>
      </c>
      <c r="X186" s="1">
        <v>204.86600000000001</v>
      </c>
    </row>
    <row r="187" spans="1:24" x14ac:dyDescent="0.25">
      <c r="A187" s="1">
        <v>246801</v>
      </c>
      <c r="B187" s="1">
        <v>35795</v>
      </c>
      <c r="C187" s="1">
        <v>9</v>
      </c>
      <c r="D187" s="1">
        <v>14361219</v>
      </c>
      <c r="E187" s="1">
        <v>8902</v>
      </c>
      <c r="F187" s="1">
        <v>9259</v>
      </c>
      <c r="G187" s="1">
        <v>9169</v>
      </c>
      <c r="H187" s="1">
        <v>11852</v>
      </c>
      <c r="I187" s="1">
        <v>9169</v>
      </c>
      <c r="L187" s="1">
        <v>14751575</v>
      </c>
      <c r="M187" s="1">
        <v>14763343</v>
      </c>
      <c r="P187" s="1">
        <v>13852160</v>
      </c>
      <c r="Q187" s="1">
        <v>14361219</v>
      </c>
      <c r="R187" s="1">
        <v>0</v>
      </c>
      <c r="S187" s="1">
        <v>1</v>
      </c>
      <c r="W187" s="1">
        <v>0</v>
      </c>
      <c r="X187" s="1">
        <v>1613.2950000000001</v>
      </c>
    </row>
    <row r="188" spans="1:24" x14ac:dyDescent="0.25">
      <c r="A188" s="1">
        <v>246802</v>
      </c>
      <c r="B188" s="1">
        <v>35795</v>
      </c>
      <c r="C188" s="1">
        <v>9</v>
      </c>
      <c r="D188" s="1">
        <v>3053747</v>
      </c>
      <c r="E188" s="1">
        <v>9182</v>
      </c>
      <c r="F188" s="1">
        <v>9259</v>
      </c>
      <c r="G188" s="1">
        <v>9457</v>
      </c>
      <c r="H188" s="1">
        <v>11852</v>
      </c>
      <c r="I188" s="1">
        <v>9457</v>
      </c>
      <c r="L188" s="1">
        <v>2790613</v>
      </c>
      <c r="M188" s="1">
        <v>2898711</v>
      </c>
      <c r="P188" s="1">
        <v>2964860</v>
      </c>
      <c r="Q188" s="1">
        <v>3053747</v>
      </c>
      <c r="R188" s="1">
        <v>0</v>
      </c>
      <c r="S188" s="1">
        <v>1</v>
      </c>
      <c r="W188" s="1">
        <v>0</v>
      </c>
      <c r="X188" s="1">
        <v>332.59100000000001</v>
      </c>
    </row>
  </sheetData>
  <sortState xmlns:xlrd2="http://schemas.microsoft.com/office/spreadsheetml/2017/richdata2" ref="A4:Y188">
    <sortCondition ref="A4:A188"/>
  </sortState>
  <pageMargins left="0.7" right="0.7" top="0.75" bottom="0.75" header="0.3" footer="0.3"/>
  <pageSetup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1">
    <tabColor rgb="FFFFFF00"/>
  </sheetPr>
  <dimension ref="A1:G189"/>
  <sheetViews>
    <sheetView workbookViewId="0">
      <selection sqref="A1:XFD1048576"/>
    </sheetView>
  </sheetViews>
  <sheetFormatPr defaultColWidth="89.1796875" defaultRowHeight="14.5" x14ac:dyDescent="0.35"/>
  <cols>
    <col min="1" max="1" width="7.81640625" style="591" customWidth="1"/>
    <col min="2" max="2" width="55.81640625" style="591" customWidth="1"/>
    <col min="3" max="3" width="32.26953125" style="596" customWidth="1"/>
    <col min="4" max="6" width="27.1796875" style="595" customWidth="1"/>
    <col min="7" max="7" width="40.453125" style="591" bestFit="1" customWidth="1"/>
    <col min="8" max="16384" width="89.1796875" style="591"/>
  </cols>
  <sheetData>
    <row r="1" spans="1:7" ht="49.5" customHeight="1" x14ac:dyDescent="0.35">
      <c r="A1" s="592" t="s">
        <v>61</v>
      </c>
      <c r="B1" s="593" t="s">
        <v>35</v>
      </c>
      <c r="C1" s="594" t="s">
        <v>894</v>
      </c>
      <c r="D1" s="595" t="s">
        <v>893</v>
      </c>
      <c r="E1" s="595" t="s">
        <v>896</v>
      </c>
      <c r="F1" s="595" t="s">
        <v>895</v>
      </c>
      <c r="G1" s="591" t="s">
        <v>920</v>
      </c>
    </row>
    <row r="2" spans="1:7" x14ac:dyDescent="0.35">
      <c r="A2" s="592">
        <v>0</v>
      </c>
      <c r="B2" s="593" t="s">
        <v>725</v>
      </c>
      <c r="C2" s="594">
        <v>5000</v>
      </c>
      <c r="D2" s="595" t="s">
        <v>67</v>
      </c>
      <c r="E2" s="595">
        <v>0</v>
      </c>
      <c r="F2" s="595" t="str">
        <f t="shared" ref="F2:F33" si="0">IF(E2=0,"No","Yes")</f>
        <v>No</v>
      </c>
      <c r="G2" s="591">
        <f>VLOOKUP(A2,'CASH FLOW'!B:KE,211,FALSE)</f>
        <v>0</v>
      </c>
    </row>
    <row r="3" spans="1:7" x14ac:dyDescent="0.35">
      <c r="A3" s="592">
        <v>15802</v>
      </c>
      <c r="B3" s="593" t="s">
        <v>56</v>
      </c>
      <c r="C3" s="594">
        <v>2500</v>
      </c>
      <c r="D3" s="595" t="s">
        <v>67</v>
      </c>
      <c r="E3" s="595">
        <v>0</v>
      </c>
      <c r="F3" s="595" t="str">
        <f t="shared" si="0"/>
        <v>No</v>
      </c>
      <c r="G3" s="591">
        <f>VLOOKUP(A3,'CASH FLOW'!B:KE,211,FALSE)</f>
        <v>0</v>
      </c>
    </row>
    <row r="4" spans="1:7" x14ac:dyDescent="0.35">
      <c r="A4" s="592">
        <v>15839</v>
      </c>
      <c r="B4" s="593" t="s">
        <v>544</v>
      </c>
      <c r="C4" s="594">
        <v>90000</v>
      </c>
      <c r="D4" s="595" t="s">
        <v>67</v>
      </c>
      <c r="E4" s="595">
        <v>0</v>
      </c>
      <c r="F4" s="595" t="str">
        <f t="shared" si="0"/>
        <v>No</v>
      </c>
      <c r="G4" s="591">
        <f>VLOOKUP(A4,'CASH FLOW'!B:KE,211,FALSE)</f>
        <v>0</v>
      </c>
    </row>
    <row r="5" spans="1:7" x14ac:dyDescent="0.35">
      <c r="A5" s="592">
        <v>15840</v>
      </c>
      <c r="B5" s="593" t="s">
        <v>545</v>
      </c>
      <c r="C5" s="594">
        <v>90000</v>
      </c>
      <c r="D5" s="595" t="s">
        <v>67</v>
      </c>
      <c r="E5" s="595">
        <v>0</v>
      </c>
      <c r="F5" s="595" t="str">
        <f t="shared" si="0"/>
        <v>No</v>
      </c>
      <c r="G5" s="591">
        <f>VLOOKUP(A5,'CASH FLOW'!B:KE,211,FALSE)</f>
        <v>0</v>
      </c>
    </row>
    <row r="6" spans="1:7" x14ac:dyDescent="0.35">
      <c r="A6" s="592">
        <v>15841</v>
      </c>
      <c r="B6" s="593" t="s">
        <v>546</v>
      </c>
      <c r="C6" s="594">
        <v>90000</v>
      </c>
      <c r="D6" s="595" t="s">
        <v>67</v>
      </c>
      <c r="E6" s="595">
        <v>0</v>
      </c>
      <c r="F6" s="595" t="str">
        <f t="shared" si="0"/>
        <v>No</v>
      </c>
      <c r="G6" s="591">
        <f>VLOOKUP(A6,'CASH FLOW'!B:KE,211,FALSE)</f>
        <v>0</v>
      </c>
    </row>
    <row r="7" spans="1:7" x14ac:dyDescent="0.35">
      <c r="A7" s="592">
        <v>15842</v>
      </c>
      <c r="B7" s="593" t="s">
        <v>805</v>
      </c>
      <c r="C7" s="594">
        <v>90000</v>
      </c>
      <c r="D7" s="595" t="s">
        <v>67</v>
      </c>
      <c r="E7" s="595">
        <v>0</v>
      </c>
      <c r="F7" s="595" t="str">
        <f t="shared" si="0"/>
        <v>No</v>
      </c>
      <c r="G7" s="591">
        <f>VLOOKUP(A7,'CASH FLOW'!B:KE,211,FALSE)</f>
        <v>0</v>
      </c>
    </row>
    <row r="8" spans="1:7" x14ac:dyDescent="0.35">
      <c r="A8" s="592">
        <v>15843</v>
      </c>
      <c r="B8" s="593" t="s">
        <v>804</v>
      </c>
      <c r="C8" s="594">
        <v>90000</v>
      </c>
      <c r="D8" s="595" t="s">
        <v>67</v>
      </c>
      <c r="E8" s="595">
        <v>0</v>
      </c>
      <c r="F8" s="595" t="str">
        <f t="shared" si="0"/>
        <v>No</v>
      </c>
      <c r="G8" s="591">
        <f>VLOOKUP(A8,'CASH FLOW'!B:KE,211,FALSE)</f>
        <v>0</v>
      </c>
    </row>
    <row r="9" spans="1:7" x14ac:dyDescent="0.35">
      <c r="A9" s="592">
        <v>57805</v>
      </c>
      <c r="B9" s="593" t="s">
        <v>325</v>
      </c>
      <c r="C9" s="594">
        <v>600</v>
      </c>
      <c r="D9" s="595" t="s">
        <v>67</v>
      </c>
      <c r="E9" s="595">
        <v>0</v>
      </c>
      <c r="F9" s="595" t="str">
        <f t="shared" si="0"/>
        <v>No</v>
      </c>
      <c r="G9" s="591">
        <f>VLOOKUP(A9,'CASH FLOW'!B:KE,211,FALSE)</f>
        <v>0</v>
      </c>
    </row>
    <row r="10" spans="1:7" x14ac:dyDescent="0.35">
      <c r="A10" s="592">
        <v>57851</v>
      </c>
      <c r="B10" s="593" t="s">
        <v>442</v>
      </c>
      <c r="C10" s="594">
        <v>1560</v>
      </c>
      <c r="D10" s="595" t="s">
        <v>67</v>
      </c>
      <c r="E10" s="595">
        <v>0</v>
      </c>
      <c r="F10" s="595" t="str">
        <f t="shared" si="0"/>
        <v>No</v>
      </c>
      <c r="G10" s="591">
        <f>VLOOKUP(A10,'CASH FLOW'!B:KE,211,FALSE)</f>
        <v>0</v>
      </c>
    </row>
    <row r="11" spans="1:7" x14ac:dyDescent="0.35">
      <c r="A11" s="592">
        <v>71807</v>
      </c>
      <c r="B11" s="593" t="s">
        <v>64</v>
      </c>
      <c r="C11" s="594">
        <v>672</v>
      </c>
      <c r="D11" s="595" t="s">
        <v>67</v>
      </c>
      <c r="E11" s="595">
        <v>0</v>
      </c>
      <c r="F11" s="595" t="str">
        <f t="shared" si="0"/>
        <v>No</v>
      </c>
      <c r="G11" s="591">
        <f>VLOOKUP(A11,'CASH FLOW'!B:KE,211,FALSE)</f>
        <v>0</v>
      </c>
    </row>
    <row r="12" spans="1:7" x14ac:dyDescent="0.35">
      <c r="A12" s="592">
        <v>101814</v>
      </c>
      <c r="B12" s="593" t="s">
        <v>382</v>
      </c>
      <c r="C12" s="594">
        <v>2500</v>
      </c>
      <c r="D12" s="595" t="s">
        <v>66</v>
      </c>
      <c r="E12" s="595">
        <v>0</v>
      </c>
      <c r="F12" s="595" t="str">
        <f t="shared" si="0"/>
        <v>No</v>
      </c>
      <c r="G12" s="591">
        <f>VLOOKUP(A12,'CASH FLOW'!B:KE,211,FALSE)</f>
        <v>0</v>
      </c>
    </row>
    <row r="13" spans="1:7" x14ac:dyDescent="0.35">
      <c r="A13" s="592">
        <v>101873</v>
      </c>
      <c r="B13" s="593" t="s">
        <v>452</v>
      </c>
      <c r="C13" s="594">
        <v>1000</v>
      </c>
      <c r="D13" s="595" t="s">
        <v>67</v>
      </c>
      <c r="E13" s="595">
        <v>0</v>
      </c>
      <c r="F13" s="595" t="str">
        <f t="shared" si="0"/>
        <v>No</v>
      </c>
      <c r="G13" s="591">
        <f>VLOOKUP(A13,'CASH FLOW'!B:KE,211,FALSE)</f>
        <v>0</v>
      </c>
    </row>
    <row r="14" spans="1:7" x14ac:dyDescent="0.35">
      <c r="A14" s="592">
        <v>101874</v>
      </c>
      <c r="B14" s="593" t="s">
        <v>445</v>
      </c>
      <c r="C14" s="594">
        <v>2400</v>
      </c>
      <c r="D14" s="595" t="s">
        <v>67</v>
      </c>
      <c r="E14" s="595">
        <v>0</v>
      </c>
      <c r="F14" s="595" t="str">
        <f t="shared" si="0"/>
        <v>No</v>
      </c>
      <c r="G14" s="591">
        <f>VLOOKUP(A14,'CASH FLOW'!B:KE,211,FALSE)</f>
        <v>0</v>
      </c>
    </row>
    <row r="15" spans="1:7" x14ac:dyDescent="0.35">
      <c r="A15" s="592">
        <v>101875</v>
      </c>
      <c r="B15" s="593" t="s">
        <v>492</v>
      </c>
      <c r="C15" s="594"/>
      <c r="D15" s="595" t="s">
        <v>67</v>
      </c>
      <c r="E15" s="595">
        <v>0</v>
      </c>
      <c r="F15" s="595" t="str">
        <f t="shared" si="0"/>
        <v>No</v>
      </c>
      <c r="G15" s="591">
        <f>VLOOKUP(A15,'CASH FLOW'!B:KE,211,FALSE)</f>
        <v>0</v>
      </c>
    </row>
    <row r="16" spans="1:7" x14ac:dyDescent="0.35">
      <c r="A16" s="592">
        <v>101876</v>
      </c>
      <c r="B16" s="593" t="s">
        <v>493</v>
      </c>
      <c r="C16" s="594"/>
      <c r="D16" s="595" t="s">
        <v>67</v>
      </c>
      <c r="E16" s="595">
        <v>0</v>
      </c>
      <c r="F16" s="595" t="str">
        <f t="shared" si="0"/>
        <v>No</v>
      </c>
      <c r="G16" s="591">
        <f>VLOOKUP(A16,'CASH FLOW'!B:KE,211,FALSE)</f>
        <v>0</v>
      </c>
    </row>
    <row r="17" spans="1:7" x14ac:dyDescent="0.35">
      <c r="A17" s="592">
        <v>101877</v>
      </c>
      <c r="B17" s="593" t="s">
        <v>547</v>
      </c>
      <c r="C17" s="594">
        <v>90000</v>
      </c>
      <c r="D17" s="595" t="s">
        <v>67</v>
      </c>
      <c r="E17" s="595">
        <v>0</v>
      </c>
      <c r="F17" s="595" t="str">
        <f t="shared" si="0"/>
        <v>No</v>
      </c>
      <c r="G17" s="591">
        <f>VLOOKUP(A17,'CASH FLOW'!B:KE,211,FALSE)</f>
        <v>0</v>
      </c>
    </row>
    <row r="18" spans="1:7" x14ac:dyDescent="0.35">
      <c r="A18" s="592">
        <v>101878</v>
      </c>
      <c r="B18" s="593" t="s">
        <v>548</v>
      </c>
      <c r="C18" s="594">
        <v>90000</v>
      </c>
      <c r="D18" s="595" t="s">
        <v>67</v>
      </c>
      <c r="E18" s="595">
        <v>0</v>
      </c>
      <c r="F18" s="595" t="str">
        <f t="shared" si="0"/>
        <v>No</v>
      </c>
      <c r="G18" s="591">
        <f>VLOOKUP(A18,'CASH FLOW'!B:KE,211,FALSE)</f>
        <v>0</v>
      </c>
    </row>
    <row r="19" spans="1:7" x14ac:dyDescent="0.35">
      <c r="A19" s="592">
        <v>105802</v>
      </c>
      <c r="B19" s="593" t="s">
        <v>3</v>
      </c>
      <c r="C19" s="594">
        <v>635</v>
      </c>
      <c r="D19" s="595" t="s">
        <v>66</v>
      </c>
      <c r="E19" s="595">
        <v>0</v>
      </c>
      <c r="F19" s="595" t="str">
        <f t="shared" si="0"/>
        <v>No</v>
      </c>
      <c r="G19" s="591">
        <f>VLOOKUP(A19,'CASH FLOW'!B:KE,211,FALSE)</f>
        <v>0</v>
      </c>
    </row>
    <row r="20" spans="1:7" x14ac:dyDescent="0.35">
      <c r="A20" s="592">
        <v>108810</v>
      </c>
      <c r="B20" s="593" t="s">
        <v>803</v>
      </c>
      <c r="C20" s="594">
        <v>90000</v>
      </c>
      <c r="D20" s="595" t="s">
        <v>67</v>
      </c>
      <c r="E20" s="595">
        <v>0</v>
      </c>
      <c r="F20" s="595" t="str">
        <f t="shared" si="0"/>
        <v>No</v>
      </c>
      <c r="G20" s="591" t="e">
        <f>VLOOKUP(A20,'CASH FLOW'!B:KE,211,FALSE)</f>
        <v>#N/A</v>
      </c>
    </row>
    <row r="21" spans="1:7" x14ac:dyDescent="0.35">
      <c r="A21" s="592">
        <v>152806</v>
      </c>
      <c r="B21" s="593" t="s">
        <v>672</v>
      </c>
      <c r="C21" s="594"/>
      <c r="D21" s="595" t="s">
        <v>67</v>
      </c>
      <c r="E21" s="595">
        <v>0</v>
      </c>
      <c r="F21" s="595" t="str">
        <f t="shared" si="0"/>
        <v>No</v>
      </c>
      <c r="G21" s="591">
        <f>VLOOKUP(A21,'CASH FLOW'!B:KE,211,FALSE)</f>
        <v>0</v>
      </c>
    </row>
    <row r="22" spans="1:7" x14ac:dyDescent="0.35">
      <c r="A22" s="592">
        <v>227827</v>
      </c>
      <c r="B22" s="593" t="s">
        <v>368</v>
      </c>
      <c r="C22" s="594">
        <v>999999</v>
      </c>
      <c r="D22" s="595" t="s">
        <v>67</v>
      </c>
      <c r="E22" s="595">
        <v>0</v>
      </c>
      <c r="F22" s="595" t="str">
        <f t="shared" si="0"/>
        <v>No</v>
      </c>
      <c r="G22" s="591">
        <f>VLOOKUP(A22,'CASH FLOW'!B:KE,211,FALSE)</f>
        <v>0</v>
      </c>
    </row>
    <row r="23" spans="1:7" x14ac:dyDescent="0.35">
      <c r="A23" s="592">
        <v>3801</v>
      </c>
      <c r="B23" s="593" t="s">
        <v>54</v>
      </c>
      <c r="C23" s="594">
        <v>1500</v>
      </c>
      <c r="D23" s="595" t="s">
        <v>66</v>
      </c>
      <c r="E23" s="595">
        <v>1</v>
      </c>
      <c r="F23" s="595" t="str">
        <f t="shared" si="0"/>
        <v>Yes</v>
      </c>
      <c r="G23" s="591">
        <f>VLOOKUP(A23,'CASH FLOW'!B:KE,211,FALSE)</f>
        <v>150177</v>
      </c>
    </row>
    <row r="24" spans="1:7" x14ac:dyDescent="0.35">
      <c r="A24" s="592">
        <v>13801</v>
      </c>
      <c r="B24" s="593" t="s">
        <v>380</v>
      </c>
      <c r="C24" s="594">
        <v>700</v>
      </c>
      <c r="D24" s="595" t="s">
        <v>66</v>
      </c>
      <c r="E24" s="595">
        <v>1</v>
      </c>
      <c r="F24" s="595" t="str">
        <f t="shared" si="0"/>
        <v>Yes</v>
      </c>
      <c r="G24" s="591">
        <f>VLOOKUP(A24,'CASH FLOW'!B:KE,211,FALSE)</f>
        <v>68157</v>
      </c>
    </row>
    <row r="25" spans="1:7" x14ac:dyDescent="0.35">
      <c r="A25" s="592">
        <v>14801</v>
      </c>
      <c r="B25" s="593" t="s">
        <v>36</v>
      </c>
      <c r="C25" s="594">
        <v>3000</v>
      </c>
      <c r="D25" s="595" t="s">
        <v>67</v>
      </c>
      <c r="E25" s="595">
        <v>1</v>
      </c>
      <c r="F25" s="595" t="str">
        <f t="shared" si="0"/>
        <v>Yes</v>
      </c>
      <c r="G25" s="591">
        <f>VLOOKUP(A25,'CASH FLOW'!B:KE,211,FALSE)</f>
        <v>211465</v>
      </c>
    </row>
    <row r="26" spans="1:7" x14ac:dyDescent="0.35">
      <c r="A26" s="592">
        <v>14803</v>
      </c>
      <c r="B26" s="593" t="s">
        <v>317</v>
      </c>
      <c r="C26" s="594">
        <v>1200</v>
      </c>
      <c r="D26" s="595" t="s">
        <v>66</v>
      </c>
      <c r="E26" s="595">
        <v>1</v>
      </c>
      <c r="F26" s="595" t="str">
        <f t="shared" si="0"/>
        <v>Yes</v>
      </c>
      <c r="G26" s="591">
        <f>VLOOKUP(A26,'CASH FLOW'!B:KE,211,FALSE)</f>
        <v>131253</v>
      </c>
    </row>
    <row r="27" spans="1:7" x14ac:dyDescent="0.35">
      <c r="A27" s="592">
        <v>14804</v>
      </c>
      <c r="B27" s="593" t="s">
        <v>1</v>
      </c>
      <c r="C27" s="594">
        <v>2500</v>
      </c>
      <c r="D27" s="595" t="s">
        <v>66</v>
      </c>
      <c r="E27" s="595">
        <v>1</v>
      </c>
      <c r="F27" s="595" t="str">
        <f t="shared" si="0"/>
        <v>Yes</v>
      </c>
      <c r="G27" s="591">
        <f>VLOOKUP(A27,'CASH FLOW'!B:KE,211,FALSE)</f>
        <v>323271</v>
      </c>
    </row>
    <row r="28" spans="1:7" x14ac:dyDescent="0.35">
      <c r="A28" s="592">
        <v>15801</v>
      </c>
      <c r="B28" s="593" t="s">
        <v>37</v>
      </c>
      <c r="C28" s="594">
        <v>1000</v>
      </c>
      <c r="D28" s="595" t="s">
        <v>66</v>
      </c>
      <c r="E28" s="595">
        <v>1</v>
      </c>
      <c r="F28" s="595" t="str">
        <f t="shared" si="0"/>
        <v>Yes</v>
      </c>
      <c r="G28" s="591">
        <f>VLOOKUP(A28,'CASH FLOW'!B:KE,211,FALSE)</f>
        <v>19339</v>
      </c>
    </row>
    <row r="29" spans="1:7" x14ac:dyDescent="0.35">
      <c r="A29" s="592">
        <v>15805</v>
      </c>
      <c r="B29" s="593" t="s">
        <v>448</v>
      </c>
      <c r="C29" s="594">
        <v>1176</v>
      </c>
      <c r="D29" s="595" t="s">
        <v>67</v>
      </c>
      <c r="E29" s="595">
        <v>1</v>
      </c>
      <c r="F29" s="595" t="str">
        <f t="shared" si="0"/>
        <v>Yes</v>
      </c>
      <c r="G29" s="591">
        <f>VLOOKUP(A29,'CASH FLOW'!B:KE,211,FALSE)</f>
        <v>26151</v>
      </c>
    </row>
    <row r="30" spans="1:7" x14ac:dyDescent="0.35">
      <c r="A30" s="592">
        <v>15806</v>
      </c>
      <c r="B30" s="593" t="s">
        <v>57</v>
      </c>
      <c r="C30" s="594">
        <v>4500</v>
      </c>
      <c r="D30" s="595" t="s">
        <v>66</v>
      </c>
      <c r="E30" s="595">
        <v>1</v>
      </c>
      <c r="F30" s="595" t="str">
        <f t="shared" si="0"/>
        <v>Yes</v>
      </c>
      <c r="G30" s="591">
        <f>VLOOKUP(A30,'CASH FLOW'!B:KE,211,FALSE)</f>
        <v>54748</v>
      </c>
    </row>
    <row r="31" spans="1:7" x14ac:dyDescent="0.35">
      <c r="A31" s="592">
        <v>15807</v>
      </c>
      <c r="B31" s="593" t="s">
        <v>39</v>
      </c>
      <c r="C31" s="594">
        <v>1350</v>
      </c>
      <c r="D31" s="595" t="s">
        <v>66</v>
      </c>
      <c r="E31" s="595">
        <v>1</v>
      </c>
      <c r="F31" s="595" t="str">
        <f t="shared" si="0"/>
        <v>Yes</v>
      </c>
      <c r="G31" s="591">
        <f>VLOOKUP(A31,'CASH FLOW'!B:KE,211,FALSE)</f>
        <v>122373</v>
      </c>
    </row>
    <row r="32" spans="1:7" x14ac:dyDescent="0.35">
      <c r="A32" s="592">
        <v>15808</v>
      </c>
      <c r="B32" s="593" t="s">
        <v>444</v>
      </c>
      <c r="C32" s="594">
        <v>1400</v>
      </c>
      <c r="D32" s="595" t="s">
        <v>67</v>
      </c>
      <c r="E32" s="595">
        <v>1</v>
      </c>
      <c r="F32" s="595" t="str">
        <f t="shared" si="0"/>
        <v>Yes</v>
      </c>
      <c r="G32" s="591">
        <f>VLOOKUP(A32,'CASH FLOW'!B:KE,211,FALSE)</f>
        <v>105102</v>
      </c>
    </row>
    <row r="33" spans="1:7" x14ac:dyDescent="0.35">
      <c r="A33" s="592">
        <v>15809</v>
      </c>
      <c r="B33" s="593" t="s">
        <v>38</v>
      </c>
      <c r="C33" s="594">
        <v>1000</v>
      </c>
      <c r="D33" s="595" t="s">
        <v>67</v>
      </c>
      <c r="E33" s="595">
        <v>1</v>
      </c>
      <c r="F33" s="595" t="str">
        <f t="shared" si="0"/>
        <v>Yes</v>
      </c>
      <c r="G33" s="591">
        <f>VLOOKUP(A33,'CASH FLOW'!B:KE,211,FALSE)</f>
        <v>39948</v>
      </c>
    </row>
    <row r="34" spans="1:7" x14ac:dyDescent="0.35">
      <c r="A34" s="592">
        <v>15814</v>
      </c>
      <c r="B34" s="593" t="s">
        <v>40</v>
      </c>
      <c r="C34" s="594">
        <v>425</v>
      </c>
      <c r="D34" s="595" t="s">
        <v>67</v>
      </c>
      <c r="E34" s="595">
        <v>1</v>
      </c>
      <c r="F34" s="595" t="str">
        <f t="shared" ref="F34:F65" si="1">IF(E34=0,"No","Yes")</f>
        <v>Yes</v>
      </c>
      <c r="G34" s="591">
        <f>VLOOKUP(A34,'CASH FLOW'!B:KE,211,FALSE)</f>
        <v>10342</v>
      </c>
    </row>
    <row r="35" spans="1:7" x14ac:dyDescent="0.35">
      <c r="A35" s="592">
        <v>15815</v>
      </c>
      <c r="B35" s="593" t="s">
        <v>391</v>
      </c>
      <c r="C35" s="594">
        <v>1500</v>
      </c>
      <c r="D35" s="595" t="s">
        <v>66</v>
      </c>
      <c r="E35" s="595">
        <v>1</v>
      </c>
      <c r="F35" s="595" t="str">
        <f t="shared" si="1"/>
        <v>Yes</v>
      </c>
      <c r="G35" s="591">
        <f>VLOOKUP(A35,'CASH FLOW'!B:KE,211,FALSE)</f>
        <v>98317</v>
      </c>
    </row>
    <row r="36" spans="1:7" x14ac:dyDescent="0.35">
      <c r="A36" s="592">
        <v>15822</v>
      </c>
      <c r="B36" s="593" t="s">
        <v>430</v>
      </c>
      <c r="C36" s="594">
        <v>12000</v>
      </c>
      <c r="D36" s="595" t="s">
        <v>67</v>
      </c>
      <c r="E36" s="595">
        <v>1</v>
      </c>
      <c r="F36" s="595" t="str">
        <f t="shared" si="1"/>
        <v>Yes</v>
      </c>
      <c r="G36" s="591">
        <f>VLOOKUP(A36,'CASH FLOW'!B:KE,211,FALSE)</f>
        <v>937009</v>
      </c>
    </row>
    <row r="37" spans="1:7" x14ac:dyDescent="0.35">
      <c r="A37" s="592">
        <v>15825</v>
      </c>
      <c r="B37" s="593" t="s">
        <v>62</v>
      </c>
      <c r="C37" s="594">
        <v>600</v>
      </c>
      <c r="D37" s="595" t="s">
        <v>66</v>
      </c>
      <c r="E37" s="595">
        <v>1</v>
      </c>
      <c r="F37" s="595" t="str">
        <f t="shared" si="1"/>
        <v>Yes</v>
      </c>
      <c r="G37" s="591">
        <f>VLOOKUP(A37,'CASH FLOW'!B:KE,211,FALSE)</f>
        <v>55614</v>
      </c>
    </row>
    <row r="38" spans="1:7" x14ac:dyDescent="0.35">
      <c r="A38" s="592">
        <v>15827</v>
      </c>
      <c r="B38" s="593" t="s">
        <v>15</v>
      </c>
      <c r="C38" s="594">
        <v>3000</v>
      </c>
      <c r="D38" s="595" t="s">
        <v>66</v>
      </c>
      <c r="E38" s="595">
        <v>1</v>
      </c>
      <c r="F38" s="595" t="str">
        <f t="shared" si="1"/>
        <v>Yes</v>
      </c>
      <c r="G38" s="591">
        <f>VLOOKUP(A38,'CASH FLOW'!B:KE,211,FALSE)</f>
        <v>636245</v>
      </c>
    </row>
    <row r="39" spans="1:7" x14ac:dyDescent="0.35">
      <c r="A39" s="592">
        <v>15828</v>
      </c>
      <c r="B39" s="593" t="s">
        <v>16</v>
      </c>
      <c r="C39" s="594">
        <v>5500</v>
      </c>
      <c r="D39" s="595" t="s">
        <v>66</v>
      </c>
      <c r="E39" s="595">
        <v>1</v>
      </c>
      <c r="F39" s="595" t="str">
        <f t="shared" si="1"/>
        <v>Yes</v>
      </c>
      <c r="G39" s="591">
        <f>VLOOKUP(A39,'CASH FLOW'!B:KE,211,FALSE)</f>
        <v>724847</v>
      </c>
    </row>
    <row r="40" spans="1:7" x14ac:dyDescent="0.35">
      <c r="A40" s="592">
        <v>15830</v>
      </c>
      <c r="B40" s="593" t="s">
        <v>58</v>
      </c>
      <c r="C40" s="594">
        <v>3600</v>
      </c>
      <c r="D40" s="595" t="s">
        <v>67</v>
      </c>
      <c r="E40" s="595">
        <v>1</v>
      </c>
      <c r="F40" s="595" t="str">
        <f t="shared" si="1"/>
        <v>Yes</v>
      </c>
      <c r="G40" s="591">
        <f>VLOOKUP(A40,'CASH FLOW'!B:KE,211,FALSE)</f>
        <v>514131</v>
      </c>
    </row>
    <row r="41" spans="1:7" x14ac:dyDescent="0.35">
      <c r="A41" s="592">
        <v>15831</v>
      </c>
      <c r="B41" s="593" t="s">
        <v>318</v>
      </c>
      <c r="C41" s="594">
        <v>3000</v>
      </c>
      <c r="D41" s="595" t="s">
        <v>66</v>
      </c>
      <c r="E41" s="595">
        <v>1</v>
      </c>
      <c r="F41" s="595" t="str">
        <f t="shared" si="1"/>
        <v>Yes</v>
      </c>
      <c r="G41" s="591">
        <f>VLOOKUP(A41,'CASH FLOW'!B:KE,211,FALSE)</f>
        <v>851536</v>
      </c>
    </row>
    <row r="42" spans="1:7" x14ac:dyDescent="0.35">
      <c r="A42" s="592">
        <v>15833</v>
      </c>
      <c r="B42" s="593" t="s">
        <v>95</v>
      </c>
      <c r="C42" s="594">
        <v>480</v>
      </c>
      <c r="D42" s="595" t="s">
        <v>67</v>
      </c>
      <c r="E42" s="595">
        <v>1</v>
      </c>
      <c r="F42" s="595" t="str">
        <f t="shared" si="1"/>
        <v>Yes</v>
      </c>
      <c r="G42" s="591">
        <f>VLOOKUP(A42,'CASH FLOW'!B:KE,211,FALSE)</f>
        <v>12889</v>
      </c>
    </row>
    <row r="43" spans="1:7" x14ac:dyDescent="0.35">
      <c r="A43" s="592">
        <v>15834</v>
      </c>
      <c r="B43" s="593" t="s">
        <v>319</v>
      </c>
      <c r="C43" s="594">
        <v>3750</v>
      </c>
      <c r="D43" s="595" t="s">
        <v>67</v>
      </c>
      <c r="E43" s="595">
        <v>1</v>
      </c>
      <c r="F43" s="595" t="str">
        <f t="shared" si="1"/>
        <v>Yes</v>
      </c>
      <c r="G43" s="591">
        <f>VLOOKUP(A43,'CASH FLOW'!B:KE,211,FALSE)</f>
        <v>592550</v>
      </c>
    </row>
    <row r="44" spans="1:7" x14ac:dyDescent="0.35">
      <c r="A44" s="592">
        <v>15835</v>
      </c>
      <c r="B44" s="593" t="s">
        <v>320</v>
      </c>
      <c r="C44" s="594">
        <v>5600</v>
      </c>
      <c r="D44" s="595" t="s">
        <v>67</v>
      </c>
      <c r="E44" s="595">
        <v>1</v>
      </c>
      <c r="F44" s="595" t="str">
        <f t="shared" si="1"/>
        <v>Yes</v>
      </c>
      <c r="G44" s="591">
        <f>VLOOKUP(A44,'CASH FLOW'!B:KE,211,FALSE)</f>
        <v>1397681</v>
      </c>
    </row>
    <row r="45" spans="1:7" x14ac:dyDescent="0.35">
      <c r="A45" s="592">
        <v>15836</v>
      </c>
      <c r="B45" s="593" t="s">
        <v>321</v>
      </c>
      <c r="C45" s="594">
        <v>700</v>
      </c>
      <c r="D45" s="595" t="s">
        <v>67</v>
      </c>
      <c r="E45" s="595">
        <v>1</v>
      </c>
      <c r="F45" s="595" t="str">
        <f t="shared" si="1"/>
        <v>Yes</v>
      </c>
      <c r="G45" s="591">
        <f>VLOOKUP(A45,'CASH FLOW'!B:KE,211,FALSE)</f>
        <v>82454</v>
      </c>
    </row>
    <row r="46" spans="1:7" x14ac:dyDescent="0.35">
      <c r="A46" s="592">
        <v>15838</v>
      </c>
      <c r="B46" s="593" t="s">
        <v>419</v>
      </c>
      <c r="C46" s="594">
        <v>3780</v>
      </c>
      <c r="D46" s="595" t="s">
        <v>67</v>
      </c>
      <c r="E46" s="595">
        <v>1</v>
      </c>
      <c r="F46" s="595" t="str">
        <f t="shared" si="1"/>
        <v>Yes</v>
      </c>
      <c r="G46" s="591">
        <f>VLOOKUP(A46,'CASH FLOW'!B:KE,211,FALSE)</f>
        <v>287429</v>
      </c>
    </row>
    <row r="47" spans="1:7" x14ac:dyDescent="0.35">
      <c r="A47" s="592">
        <v>21803</v>
      </c>
      <c r="B47" s="593" t="s">
        <v>41</v>
      </c>
      <c r="C47" s="594">
        <v>500</v>
      </c>
      <c r="D47" s="595" t="s">
        <v>66</v>
      </c>
      <c r="E47" s="595">
        <v>1</v>
      </c>
      <c r="F47" s="595" t="str">
        <f t="shared" si="1"/>
        <v>Yes</v>
      </c>
      <c r="G47" s="591">
        <f>VLOOKUP(A47,'CASH FLOW'!B:KE,211,FALSE)</f>
        <v>49087</v>
      </c>
    </row>
    <row r="48" spans="1:7" x14ac:dyDescent="0.35">
      <c r="A48" s="592">
        <v>21805</v>
      </c>
      <c r="B48" s="593" t="s">
        <v>322</v>
      </c>
      <c r="C48" s="594">
        <v>1000</v>
      </c>
      <c r="D48" s="595" t="s">
        <v>67</v>
      </c>
      <c r="E48" s="595">
        <v>1</v>
      </c>
      <c r="F48" s="595" t="str">
        <f t="shared" si="1"/>
        <v>Yes</v>
      </c>
      <c r="G48" s="591">
        <f>VLOOKUP(A48,'CASH FLOW'!B:KE,211,FALSE)</f>
        <v>101113</v>
      </c>
    </row>
    <row r="49" spans="1:7" x14ac:dyDescent="0.35">
      <c r="A49" s="592">
        <v>43801</v>
      </c>
      <c r="B49" s="593" t="s">
        <v>323</v>
      </c>
      <c r="C49" s="594">
        <v>1500</v>
      </c>
      <c r="D49" s="595" t="s">
        <v>67</v>
      </c>
      <c r="E49" s="595">
        <v>1</v>
      </c>
      <c r="F49" s="595" t="str">
        <f t="shared" si="1"/>
        <v>Yes</v>
      </c>
      <c r="G49" s="591">
        <f>VLOOKUP(A49,'CASH FLOW'!B:KE,211,FALSE)</f>
        <v>239575</v>
      </c>
    </row>
    <row r="50" spans="1:7" x14ac:dyDescent="0.35">
      <c r="A50" s="592">
        <v>43802</v>
      </c>
      <c r="B50" s="593" t="s">
        <v>446</v>
      </c>
      <c r="C50" s="594">
        <v>1300</v>
      </c>
      <c r="D50" s="595" t="s">
        <v>67</v>
      </c>
      <c r="E50" s="595">
        <v>1</v>
      </c>
      <c r="F50" s="595" t="str">
        <f t="shared" si="1"/>
        <v>Yes</v>
      </c>
      <c r="G50" s="591">
        <f>VLOOKUP(A50,'CASH FLOW'!B:KE,211,FALSE)</f>
        <v>27009</v>
      </c>
    </row>
    <row r="51" spans="1:7" x14ac:dyDescent="0.35">
      <c r="A51" s="592">
        <v>46802</v>
      </c>
      <c r="B51" s="593" t="s">
        <v>42</v>
      </c>
      <c r="C51" s="594">
        <v>1000</v>
      </c>
      <c r="D51" s="595" t="s">
        <v>66</v>
      </c>
      <c r="E51" s="595">
        <v>1</v>
      </c>
      <c r="F51" s="595" t="str">
        <f t="shared" si="1"/>
        <v>Yes</v>
      </c>
      <c r="G51" s="591">
        <f>VLOOKUP(A51,'CASH FLOW'!B:KE,211,FALSE)</f>
        <v>58533</v>
      </c>
    </row>
    <row r="52" spans="1:7" x14ac:dyDescent="0.35">
      <c r="A52" s="592">
        <v>57802</v>
      </c>
      <c r="B52" s="593" t="s">
        <v>17</v>
      </c>
      <c r="C52" s="594">
        <v>1000</v>
      </c>
      <c r="D52" s="595" t="s">
        <v>66</v>
      </c>
      <c r="E52" s="595">
        <v>1</v>
      </c>
      <c r="F52" s="595" t="str">
        <f t="shared" si="1"/>
        <v>Yes</v>
      </c>
      <c r="G52" s="591">
        <f>VLOOKUP(A52,'CASH FLOW'!B:KE,211,FALSE)</f>
        <v>79776</v>
      </c>
    </row>
    <row r="53" spans="1:7" x14ac:dyDescent="0.35">
      <c r="A53" s="592">
        <v>57803</v>
      </c>
      <c r="B53" s="593" t="s">
        <v>386</v>
      </c>
      <c r="C53" s="594">
        <v>24000</v>
      </c>
      <c r="D53" s="595" t="s">
        <v>66</v>
      </c>
      <c r="E53" s="595">
        <v>1</v>
      </c>
      <c r="F53" s="595" t="str">
        <f t="shared" si="1"/>
        <v>Yes</v>
      </c>
      <c r="G53" s="591">
        <f>VLOOKUP(A53,'CASH FLOW'!B:KE,211,FALSE)</f>
        <v>3628066</v>
      </c>
    </row>
    <row r="54" spans="1:7" x14ac:dyDescent="0.35">
      <c r="A54" s="592">
        <v>57804</v>
      </c>
      <c r="B54" s="593" t="s">
        <v>324</v>
      </c>
      <c r="C54" s="594">
        <v>7500</v>
      </c>
      <c r="D54" s="595" t="s">
        <v>67</v>
      </c>
      <c r="E54" s="595">
        <v>1</v>
      </c>
      <c r="F54" s="595" t="str">
        <f t="shared" si="1"/>
        <v>Yes</v>
      </c>
      <c r="G54" s="591">
        <f>VLOOKUP(A54,'CASH FLOW'!B:KE,211,FALSE)</f>
        <v>624264</v>
      </c>
    </row>
    <row r="55" spans="1:7" x14ac:dyDescent="0.35">
      <c r="A55" s="592">
        <v>57806</v>
      </c>
      <c r="B55" s="593" t="s">
        <v>326</v>
      </c>
      <c r="C55" s="594">
        <v>3000</v>
      </c>
      <c r="D55" s="595" t="s">
        <v>66</v>
      </c>
      <c r="E55" s="595">
        <v>1</v>
      </c>
      <c r="F55" s="595" t="str">
        <f t="shared" si="1"/>
        <v>Yes</v>
      </c>
      <c r="G55" s="591">
        <f>VLOOKUP(A55,'CASH FLOW'!B:KE,211,FALSE)</f>
        <v>177574</v>
      </c>
    </row>
    <row r="56" spans="1:7" x14ac:dyDescent="0.35">
      <c r="A56" s="592">
        <v>57807</v>
      </c>
      <c r="B56" s="593" t="s">
        <v>18</v>
      </c>
      <c r="C56" s="594">
        <v>15000</v>
      </c>
      <c r="D56" s="595" t="s">
        <v>67</v>
      </c>
      <c r="E56" s="595">
        <v>1</v>
      </c>
      <c r="F56" s="595" t="str">
        <f t="shared" si="1"/>
        <v>Yes</v>
      </c>
      <c r="G56" s="591">
        <f>VLOOKUP(A56,'CASH FLOW'!B:KE,211,FALSE)</f>
        <v>933844</v>
      </c>
    </row>
    <row r="57" spans="1:7" x14ac:dyDescent="0.35">
      <c r="A57" s="592">
        <v>57808</v>
      </c>
      <c r="B57" s="593" t="s">
        <v>43</v>
      </c>
      <c r="C57" s="594">
        <v>3000</v>
      </c>
      <c r="D57" s="595" t="s">
        <v>66</v>
      </c>
      <c r="E57" s="595">
        <v>1</v>
      </c>
      <c r="F57" s="595" t="str">
        <f t="shared" si="1"/>
        <v>Yes</v>
      </c>
      <c r="G57" s="591">
        <f>VLOOKUP(A57,'CASH FLOW'!B:KE,211,FALSE)</f>
        <v>321492</v>
      </c>
    </row>
    <row r="58" spans="1:7" x14ac:dyDescent="0.35">
      <c r="A58" s="592">
        <v>57809</v>
      </c>
      <c r="B58" s="593" t="s">
        <v>19</v>
      </c>
      <c r="C58" s="594">
        <v>500</v>
      </c>
      <c r="D58" s="595" t="s">
        <v>66</v>
      </c>
      <c r="E58" s="595">
        <v>1</v>
      </c>
      <c r="F58" s="595" t="str">
        <f t="shared" si="1"/>
        <v>Yes</v>
      </c>
      <c r="G58" s="591">
        <f>VLOOKUP(A58,'CASH FLOW'!B:KE,211,FALSE)</f>
        <v>16787</v>
      </c>
    </row>
    <row r="59" spans="1:7" x14ac:dyDescent="0.35">
      <c r="A59" s="592">
        <v>57810</v>
      </c>
      <c r="B59" s="593" t="s">
        <v>20</v>
      </c>
      <c r="C59" s="594">
        <v>1000</v>
      </c>
      <c r="D59" s="595" t="s">
        <v>67</v>
      </c>
      <c r="E59" s="595">
        <v>1</v>
      </c>
      <c r="F59" s="595" t="str">
        <f t="shared" si="1"/>
        <v>Yes</v>
      </c>
      <c r="G59" s="591">
        <f>VLOOKUP(A59,'CASH FLOW'!B:KE,211,FALSE)</f>
        <v>34311</v>
      </c>
    </row>
    <row r="60" spans="1:7" x14ac:dyDescent="0.35">
      <c r="A60" s="592">
        <v>57813</v>
      </c>
      <c r="B60" s="593" t="s">
        <v>21</v>
      </c>
      <c r="C60" s="594">
        <v>5000</v>
      </c>
      <c r="D60" s="595" t="s">
        <v>66</v>
      </c>
      <c r="E60" s="595">
        <v>1</v>
      </c>
      <c r="F60" s="595" t="str">
        <f t="shared" si="1"/>
        <v>Yes</v>
      </c>
      <c r="G60" s="591">
        <f>VLOOKUP(A60,'CASH FLOW'!B:KE,211,FALSE)</f>
        <v>657047</v>
      </c>
    </row>
    <row r="61" spans="1:7" x14ac:dyDescent="0.35">
      <c r="A61" s="592">
        <v>57814</v>
      </c>
      <c r="B61" s="593" t="s">
        <v>328</v>
      </c>
      <c r="C61" s="594">
        <v>900</v>
      </c>
      <c r="D61" s="595" t="s">
        <v>67</v>
      </c>
      <c r="E61" s="595">
        <v>1</v>
      </c>
      <c r="F61" s="595" t="str">
        <f t="shared" si="1"/>
        <v>Yes</v>
      </c>
      <c r="G61" s="591">
        <f>VLOOKUP(A61,'CASH FLOW'!B:KE,211,FALSE)</f>
        <v>54713</v>
      </c>
    </row>
    <row r="62" spans="1:7" x14ac:dyDescent="0.35">
      <c r="A62" s="592">
        <v>57816</v>
      </c>
      <c r="B62" s="593" t="s">
        <v>418</v>
      </c>
      <c r="C62" s="594">
        <v>2500</v>
      </c>
      <c r="D62" s="595" t="s">
        <v>66</v>
      </c>
      <c r="E62" s="595">
        <v>1</v>
      </c>
      <c r="F62" s="595" t="str">
        <f t="shared" si="1"/>
        <v>Yes</v>
      </c>
      <c r="G62" s="591">
        <f>VLOOKUP(A62,'CASH FLOW'!B:KE,211,FALSE)</f>
        <v>156838</v>
      </c>
    </row>
    <row r="63" spans="1:7" x14ac:dyDescent="0.35">
      <c r="A63" s="592">
        <v>57819</v>
      </c>
      <c r="B63" s="593" t="s">
        <v>44</v>
      </c>
      <c r="C63" s="594">
        <v>400</v>
      </c>
      <c r="D63" s="595" t="s">
        <v>66</v>
      </c>
      <c r="E63" s="595">
        <v>1</v>
      </c>
      <c r="F63" s="595" t="str">
        <f t="shared" si="1"/>
        <v>Yes</v>
      </c>
      <c r="G63" s="591">
        <f>VLOOKUP(A63,'CASH FLOW'!B:KE,211,FALSE)</f>
        <v>31781</v>
      </c>
    </row>
    <row r="64" spans="1:7" x14ac:dyDescent="0.35">
      <c r="A64" s="592">
        <v>57827</v>
      </c>
      <c r="B64" s="593" t="s">
        <v>22</v>
      </c>
      <c r="C64" s="594">
        <v>1000</v>
      </c>
      <c r="D64" s="595" t="s">
        <v>66</v>
      </c>
      <c r="E64" s="595">
        <v>1</v>
      </c>
      <c r="F64" s="595" t="str">
        <f t="shared" si="1"/>
        <v>Yes</v>
      </c>
      <c r="G64" s="591">
        <f>VLOOKUP(A64,'CASH FLOW'!B:KE,211,FALSE)</f>
        <v>83915</v>
      </c>
    </row>
    <row r="65" spans="1:7" x14ac:dyDescent="0.35">
      <c r="A65" s="592">
        <v>57828</v>
      </c>
      <c r="B65" s="593" t="s">
        <v>84</v>
      </c>
      <c r="C65" s="594">
        <v>3000</v>
      </c>
      <c r="D65" s="595" t="s">
        <v>67</v>
      </c>
      <c r="E65" s="595">
        <v>1</v>
      </c>
      <c r="F65" s="595" t="str">
        <f t="shared" si="1"/>
        <v>Yes</v>
      </c>
      <c r="G65" s="591">
        <f>VLOOKUP(A65,'CASH FLOW'!B:KE,211,FALSE)</f>
        <v>132847</v>
      </c>
    </row>
    <row r="66" spans="1:7" x14ac:dyDescent="0.35">
      <c r="A66" s="592">
        <v>57829</v>
      </c>
      <c r="B66" s="593" t="s">
        <v>45</v>
      </c>
      <c r="C66" s="594">
        <v>1750</v>
      </c>
      <c r="D66" s="595" t="s">
        <v>66</v>
      </c>
      <c r="E66" s="595">
        <v>1</v>
      </c>
      <c r="F66" s="595" t="str">
        <f t="shared" ref="F66:F97" si="2">IF(E66=0,"No","Yes")</f>
        <v>Yes</v>
      </c>
      <c r="G66" s="591">
        <f>VLOOKUP(A66,'CASH FLOW'!B:KE,211,FALSE)</f>
        <v>246796</v>
      </c>
    </row>
    <row r="67" spans="1:7" x14ac:dyDescent="0.35">
      <c r="A67" s="592">
        <v>57830</v>
      </c>
      <c r="B67" s="593" t="s">
        <v>46</v>
      </c>
      <c r="C67" s="594">
        <v>2000</v>
      </c>
      <c r="D67" s="595" t="s">
        <v>66</v>
      </c>
      <c r="E67" s="595">
        <v>1</v>
      </c>
      <c r="F67" s="595" t="str">
        <f t="shared" si="2"/>
        <v>Yes</v>
      </c>
      <c r="G67" s="591">
        <f>VLOOKUP(A67,'CASH FLOW'!B:KE,211,FALSE)</f>
        <v>206806</v>
      </c>
    </row>
    <row r="68" spans="1:7" x14ac:dyDescent="0.35">
      <c r="A68" s="592">
        <v>57831</v>
      </c>
      <c r="B68" s="593" t="s">
        <v>47</v>
      </c>
      <c r="C68" s="594">
        <v>1200</v>
      </c>
      <c r="D68" s="595" t="s">
        <v>66</v>
      </c>
      <c r="E68" s="595">
        <v>1</v>
      </c>
      <c r="F68" s="595" t="str">
        <f t="shared" si="2"/>
        <v>Yes</v>
      </c>
      <c r="G68" s="591">
        <f>VLOOKUP(A68,'CASH FLOW'!B:KE,211,FALSE)</f>
        <v>94310</v>
      </c>
    </row>
    <row r="69" spans="1:7" x14ac:dyDescent="0.35">
      <c r="A69" s="592">
        <v>57833</v>
      </c>
      <c r="B69" s="593" t="s">
        <v>48</v>
      </c>
      <c r="C69" s="594">
        <v>1000</v>
      </c>
      <c r="D69" s="595" t="s">
        <v>66</v>
      </c>
      <c r="E69" s="595">
        <v>1</v>
      </c>
      <c r="F69" s="595" t="str">
        <f t="shared" si="2"/>
        <v>Yes</v>
      </c>
      <c r="G69" s="591">
        <f>VLOOKUP(A69,'CASH FLOW'!B:KE,211,FALSE)</f>
        <v>73951</v>
      </c>
    </row>
    <row r="70" spans="1:7" x14ac:dyDescent="0.35">
      <c r="A70" s="592">
        <v>57834</v>
      </c>
      <c r="B70" s="593" t="s">
        <v>23</v>
      </c>
      <c r="C70" s="594">
        <v>1200</v>
      </c>
      <c r="D70" s="595" t="s">
        <v>66</v>
      </c>
      <c r="E70" s="595">
        <v>1</v>
      </c>
      <c r="F70" s="595" t="str">
        <f t="shared" si="2"/>
        <v>Yes</v>
      </c>
      <c r="G70" s="591">
        <f>VLOOKUP(A70,'CASH FLOW'!B:KE,211,FALSE)</f>
        <v>73340</v>
      </c>
    </row>
    <row r="71" spans="1:7" x14ac:dyDescent="0.35">
      <c r="A71" s="592">
        <v>57835</v>
      </c>
      <c r="B71" s="593" t="s">
        <v>49</v>
      </c>
      <c r="C71" s="594">
        <v>2500</v>
      </c>
      <c r="D71" s="595" t="s">
        <v>67</v>
      </c>
      <c r="E71" s="595">
        <v>1</v>
      </c>
      <c r="F71" s="595" t="str">
        <f t="shared" si="2"/>
        <v>Yes</v>
      </c>
      <c r="G71" s="591">
        <f>VLOOKUP(A71,'CASH FLOW'!B:KE,211,FALSE)</f>
        <v>244133</v>
      </c>
    </row>
    <row r="72" spans="1:7" x14ac:dyDescent="0.35">
      <c r="A72" s="592">
        <v>57836</v>
      </c>
      <c r="B72" s="593" t="s">
        <v>24</v>
      </c>
      <c r="C72" s="594">
        <v>500</v>
      </c>
      <c r="D72" s="595" t="s">
        <v>66</v>
      </c>
      <c r="E72" s="595">
        <v>1</v>
      </c>
      <c r="F72" s="595" t="str">
        <f t="shared" si="2"/>
        <v>Yes</v>
      </c>
      <c r="G72" s="591">
        <f>VLOOKUP(A72,'CASH FLOW'!B:KE,211,FALSE)</f>
        <v>54640</v>
      </c>
    </row>
    <row r="73" spans="1:7" x14ac:dyDescent="0.35">
      <c r="A73" s="592">
        <v>57839</v>
      </c>
      <c r="B73" s="593" t="s">
        <v>59</v>
      </c>
      <c r="C73" s="594">
        <v>1550</v>
      </c>
      <c r="D73" s="595" t="s">
        <v>67</v>
      </c>
      <c r="E73" s="595">
        <v>1</v>
      </c>
      <c r="F73" s="595" t="str">
        <f t="shared" si="2"/>
        <v>Yes</v>
      </c>
      <c r="G73" s="591">
        <f>VLOOKUP(A73,'CASH FLOW'!B:KE,211,FALSE)</f>
        <v>156317</v>
      </c>
    </row>
    <row r="74" spans="1:7" x14ac:dyDescent="0.35">
      <c r="A74" s="592">
        <v>57840</v>
      </c>
      <c r="B74" s="593" t="s">
        <v>330</v>
      </c>
      <c r="C74" s="594">
        <v>900</v>
      </c>
      <c r="D74" s="595" t="s">
        <v>67</v>
      </c>
      <c r="E74" s="595">
        <v>1</v>
      </c>
      <c r="F74" s="595" t="str">
        <f t="shared" si="2"/>
        <v>Yes</v>
      </c>
      <c r="G74" s="591">
        <f>VLOOKUP(A74,'CASH FLOW'!B:KE,211,FALSE)</f>
        <v>59206</v>
      </c>
    </row>
    <row r="75" spans="1:7" x14ac:dyDescent="0.35">
      <c r="A75" s="592">
        <v>57841</v>
      </c>
      <c r="B75" s="593" t="s">
        <v>331</v>
      </c>
      <c r="C75" s="594">
        <v>2000</v>
      </c>
      <c r="D75" s="595" t="s">
        <v>67</v>
      </c>
      <c r="E75" s="595">
        <v>1</v>
      </c>
      <c r="F75" s="595" t="str">
        <f t="shared" si="2"/>
        <v>Yes</v>
      </c>
      <c r="G75" s="591">
        <f>VLOOKUP(A75,'CASH FLOW'!B:KE,211,FALSE)</f>
        <v>189930</v>
      </c>
    </row>
    <row r="76" spans="1:7" x14ac:dyDescent="0.35">
      <c r="A76" s="592">
        <v>57844</v>
      </c>
      <c r="B76" s="593" t="s">
        <v>332</v>
      </c>
      <c r="C76" s="594">
        <v>1500</v>
      </c>
      <c r="D76" s="595" t="s">
        <v>67</v>
      </c>
      <c r="E76" s="595">
        <v>1</v>
      </c>
      <c r="F76" s="595" t="str">
        <f t="shared" si="2"/>
        <v>Yes</v>
      </c>
      <c r="G76" s="591">
        <f>VLOOKUP(A76,'CASH FLOW'!B:KE,211,FALSE)</f>
        <v>88348</v>
      </c>
    </row>
    <row r="77" spans="1:7" x14ac:dyDescent="0.35">
      <c r="A77" s="592">
        <v>57845</v>
      </c>
      <c r="B77" s="593" t="s">
        <v>116</v>
      </c>
      <c r="C77" s="594">
        <v>2000</v>
      </c>
      <c r="D77" s="595" t="s">
        <v>67</v>
      </c>
      <c r="E77" s="595">
        <v>1</v>
      </c>
      <c r="F77" s="595" t="str">
        <f t="shared" si="2"/>
        <v>Yes</v>
      </c>
      <c r="G77" s="591">
        <f>VLOOKUP(A77,'CASH FLOW'!B:KE,211,FALSE)</f>
        <v>233263</v>
      </c>
    </row>
    <row r="78" spans="1:7" x14ac:dyDescent="0.35">
      <c r="A78" s="592">
        <v>57846</v>
      </c>
      <c r="B78" s="593" t="s">
        <v>117</v>
      </c>
      <c r="C78" s="594">
        <v>2600</v>
      </c>
      <c r="D78" s="595" t="s">
        <v>67</v>
      </c>
      <c r="E78" s="595">
        <v>1</v>
      </c>
      <c r="F78" s="595" t="str">
        <f t="shared" si="2"/>
        <v>Yes</v>
      </c>
      <c r="G78" s="591">
        <f>VLOOKUP(A78,'CASH FLOW'!B:KE,211,FALSE)</f>
        <v>245146</v>
      </c>
    </row>
    <row r="79" spans="1:7" x14ac:dyDescent="0.35">
      <c r="A79" s="592">
        <v>57847</v>
      </c>
      <c r="B79" s="593" t="s">
        <v>333</v>
      </c>
      <c r="C79" s="594">
        <v>1400</v>
      </c>
      <c r="D79" s="595" t="s">
        <v>67</v>
      </c>
      <c r="E79" s="595">
        <v>1</v>
      </c>
      <c r="F79" s="595" t="str">
        <f t="shared" si="2"/>
        <v>Yes</v>
      </c>
      <c r="G79" s="591">
        <f>VLOOKUP(A79,'CASH FLOW'!B:KE,211,FALSE)</f>
        <v>203576</v>
      </c>
    </row>
    <row r="80" spans="1:7" x14ac:dyDescent="0.35">
      <c r="A80" s="592">
        <v>57848</v>
      </c>
      <c r="B80" s="593" t="s">
        <v>334</v>
      </c>
      <c r="C80" s="594">
        <v>29340</v>
      </c>
      <c r="D80" s="595" t="s">
        <v>67</v>
      </c>
      <c r="E80" s="595">
        <v>1</v>
      </c>
      <c r="F80" s="595" t="str">
        <f t="shared" si="2"/>
        <v>Yes</v>
      </c>
      <c r="G80" s="591">
        <f>VLOOKUP(A80,'CASH FLOW'!B:KE,211,FALSE)</f>
        <v>3449122</v>
      </c>
    </row>
    <row r="81" spans="1:7" x14ac:dyDescent="0.35">
      <c r="A81" s="592">
        <v>57850</v>
      </c>
      <c r="B81" s="593" t="s">
        <v>388</v>
      </c>
      <c r="C81" s="594">
        <v>3550</v>
      </c>
      <c r="D81" s="595" t="s">
        <v>67</v>
      </c>
      <c r="E81" s="595">
        <v>1</v>
      </c>
      <c r="F81" s="595" t="str">
        <f t="shared" si="2"/>
        <v>Yes</v>
      </c>
      <c r="G81" s="591">
        <f>VLOOKUP(A81,'CASH FLOW'!B:KE,211,FALSE)</f>
        <v>378352</v>
      </c>
    </row>
    <row r="82" spans="1:7" x14ac:dyDescent="0.35">
      <c r="A82" s="592">
        <v>61802</v>
      </c>
      <c r="B82" s="593" t="s">
        <v>335</v>
      </c>
      <c r="C82" s="594">
        <v>1200</v>
      </c>
      <c r="D82" s="595" t="s">
        <v>66</v>
      </c>
      <c r="E82" s="595">
        <v>1</v>
      </c>
      <c r="F82" s="595" t="str">
        <f t="shared" si="2"/>
        <v>Yes</v>
      </c>
      <c r="G82" s="591">
        <f>VLOOKUP(A82,'CASH FLOW'!B:KE,211,FALSE)</f>
        <v>109205</v>
      </c>
    </row>
    <row r="83" spans="1:7" x14ac:dyDescent="0.35">
      <c r="A83" s="592">
        <v>61804</v>
      </c>
      <c r="B83" s="593" t="s">
        <v>336</v>
      </c>
      <c r="C83" s="594">
        <v>1300</v>
      </c>
      <c r="D83" s="595" t="s">
        <v>67</v>
      </c>
      <c r="E83" s="595">
        <v>1</v>
      </c>
      <c r="F83" s="595" t="str">
        <f t="shared" si="2"/>
        <v>Yes</v>
      </c>
      <c r="G83" s="591">
        <f>VLOOKUP(A83,'CASH FLOW'!B:KE,211,FALSE)</f>
        <v>233585</v>
      </c>
    </row>
    <row r="84" spans="1:7" x14ac:dyDescent="0.35">
      <c r="A84" s="592">
        <v>61805</v>
      </c>
      <c r="B84" s="593" t="s">
        <v>389</v>
      </c>
      <c r="C84" s="594">
        <v>2000</v>
      </c>
      <c r="D84" s="595" t="s">
        <v>67</v>
      </c>
      <c r="E84" s="595">
        <v>1</v>
      </c>
      <c r="F84" s="595" t="str">
        <f t="shared" si="2"/>
        <v>Yes</v>
      </c>
      <c r="G84" s="591">
        <f>VLOOKUP(A84,'CASH FLOW'!B:KE,211,FALSE)</f>
        <v>97610</v>
      </c>
    </row>
    <row r="85" spans="1:7" x14ac:dyDescent="0.35">
      <c r="A85" s="592">
        <v>68802</v>
      </c>
      <c r="B85" s="593" t="s">
        <v>337</v>
      </c>
      <c r="C85" s="594">
        <v>1200</v>
      </c>
      <c r="D85" s="595" t="s">
        <v>67</v>
      </c>
      <c r="E85" s="595">
        <v>1</v>
      </c>
      <c r="F85" s="595" t="str">
        <f t="shared" si="2"/>
        <v>Yes</v>
      </c>
      <c r="G85" s="591">
        <f>VLOOKUP(A85,'CASH FLOW'!B:KE,211,FALSE)</f>
        <v>236384</v>
      </c>
    </row>
    <row r="86" spans="1:7" x14ac:dyDescent="0.35">
      <c r="A86" s="592">
        <v>68803</v>
      </c>
      <c r="B86" s="593" t="s">
        <v>338</v>
      </c>
      <c r="C86" s="594">
        <v>3900</v>
      </c>
      <c r="D86" s="595" t="s">
        <v>67</v>
      </c>
      <c r="E86" s="595">
        <v>1</v>
      </c>
      <c r="F86" s="595" t="str">
        <f t="shared" si="2"/>
        <v>Yes</v>
      </c>
      <c r="G86" s="591">
        <f>VLOOKUP(A86,'CASH FLOW'!B:KE,211,FALSE)</f>
        <v>129873</v>
      </c>
    </row>
    <row r="87" spans="1:7" x14ac:dyDescent="0.35">
      <c r="A87" s="592">
        <v>70801</v>
      </c>
      <c r="B87" s="593" t="s">
        <v>731</v>
      </c>
      <c r="C87" s="594">
        <v>3000</v>
      </c>
      <c r="D87" s="595" t="s">
        <v>66</v>
      </c>
      <c r="E87" s="595">
        <v>1</v>
      </c>
      <c r="F87" s="595" t="str">
        <f t="shared" si="2"/>
        <v>Yes</v>
      </c>
      <c r="G87" s="591">
        <f>VLOOKUP(A87,'CASH FLOW'!B:KE,211,FALSE)</f>
        <v>428626</v>
      </c>
    </row>
    <row r="88" spans="1:7" x14ac:dyDescent="0.35">
      <c r="A88" s="592">
        <v>71801</v>
      </c>
      <c r="B88" s="593" t="s">
        <v>85</v>
      </c>
      <c r="C88" s="594">
        <v>1300</v>
      </c>
      <c r="D88" s="595" t="s">
        <v>66</v>
      </c>
      <c r="E88" s="595">
        <v>1</v>
      </c>
      <c r="F88" s="595" t="str">
        <f t="shared" si="2"/>
        <v>Yes</v>
      </c>
      <c r="G88" s="591">
        <f>VLOOKUP(A88,'CASH FLOW'!B:KE,211,FALSE)</f>
        <v>215603</v>
      </c>
    </row>
    <row r="89" spans="1:7" x14ac:dyDescent="0.35">
      <c r="A89" s="592">
        <v>71803</v>
      </c>
      <c r="B89" s="593" t="s">
        <v>339</v>
      </c>
      <c r="C89" s="594">
        <v>800</v>
      </c>
      <c r="D89" s="595" t="s">
        <v>66</v>
      </c>
      <c r="E89" s="595">
        <v>1</v>
      </c>
      <c r="F89" s="595" t="str">
        <f t="shared" si="2"/>
        <v>Yes</v>
      </c>
      <c r="G89" s="591">
        <f>VLOOKUP(A89,'CASH FLOW'!B:KE,211,FALSE)</f>
        <v>30405</v>
      </c>
    </row>
    <row r="90" spans="1:7" x14ac:dyDescent="0.35">
      <c r="A90" s="592">
        <v>71804</v>
      </c>
      <c r="B90" s="593" t="s">
        <v>25</v>
      </c>
      <c r="C90" s="594">
        <v>500</v>
      </c>
      <c r="D90" s="595" t="s">
        <v>66</v>
      </c>
      <c r="E90" s="595">
        <v>1</v>
      </c>
      <c r="F90" s="595" t="str">
        <f t="shared" si="2"/>
        <v>Yes</v>
      </c>
      <c r="G90" s="591">
        <f>VLOOKUP(A90,'CASH FLOW'!B:KE,211,FALSE)</f>
        <v>42238</v>
      </c>
    </row>
    <row r="91" spans="1:7" x14ac:dyDescent="0.35">
      <c r="A91" s="592">
        <v>71806</v>
      </c>
      <c r="B91" s="593" t="s">
        <v>26</v>
      </c>
      <c r="C91" s="594">
        <v>4500</v>
      </c>
      <c r="D91" s="595" t="s">
        <v>66</v>
      </c>
      <c r="E91" s="595">
        <v>1</v>
      </c>
      <c r="F91" s="595" t="str">
        <f t="shared" si="2"/>
        <v>Yes</v>
      </c>
      <c r="G91" s="591">
        <f>VLOOKUP(A91,'CASH FLOW'!B:KE,211,FALSE)</f>
        <v>753340</v>
      </c>
    </row>
    <row r="92" spans="1:7" x14ac:dyDescent="0.35">
      <c r="A92" s="592">
        <v>71809</v>
      </c>
      <c r="B92" s="593" t="s">
        <v>340</v>
      </c>
      <c r="C92" s="594">
        <v>1240</v>
      </c>
      <c r="D92" s="595" t="s">
        <v>66</v>
      </c>
      <c r="E92" s="595">
        <v>1</v>
      </c>
      <c r="F92" s="595" t="str">
        <f t="shared" si="2"/>
        <v>Yes</v>
      </c>
      <c r="G92" s="591">
        <f>VLOOKUP(A92,'CASH FLOW'!B:KE,211,FALSE)</f>
        <v>49953</v>
      </c>
    </row>
    <row r="93" spans="1:7" x14ac:dyDescent="0.35">
      <c r="A93" s="592">
        <v>71810</v>
      </c>
      <c r="B93" s="593" t="s">
        <v>341</v>
      </c>
      <c r="C93" s="594">
        <v>625</v>
      </c>
      <c r="D93" s="595" t="s">
        <v>67</v>
      </c>
      <c r="E93" s="595">
        <v>1</v>
      </c>
      <c r="F93" s="595" t="str">
        <f t="shared" si="2"/>
        <v>Yes</v>
      </c>
      <c r="G93" s="591">
        <f>VLOOKUP(A93,'CASH FLOW'!B:KE,211,FALSE)</f>
        <v>45449</v>
      </c>
    </row>
    <row r="94" spans="1:7" x14ac:dyDescent="0.35">
      <c r="A94" s="592">
        <v>72801</v>
      </c>
      <c r="B94" s="593" t="s">
        <v>98</v>
      </c>
      <c r="C94" s="594">
        <v>10000</v>
      </c>
      <c r="D94" s="595" t="s">
        <v>66</v>
      </c>
      <c r="E94" s="595">
        <v>1</v>
      </c>
      <c r="F94" s="595" t="str">
        <f t="shared" si="2"/>
        <v>Yes</v>
      </c>
      <c r="G94" s="591">
        <f>VLOOKUP(A94,'CASH FLOW'!B:KE,211,FALSE)</f>
        <v>959474</v>
      </c>
    </row>
    <row r="95" spans="1:7" x14ac:dyDescent="0.35">
      <c r="A95" s="592">
        <v>72802</v>
      </c>
      <c r="B95" s="593" t="s">
        <v>342</v>
      </c>
      <c r="C95" s="594">
        <v>600</v>
      </c>
      <c r="D95" s="595" t="s">
        <v>66</v>
      </c>
      <c r="E95" s="595">
        <v>1</v>
      </c>
      <c r="F95" s="595" t="str">
        <f t="shared" si="2"/>
        <v>Yes</v>
      </c>
      <c r="G95" s="591">
        <f>VLOOKUP(A95,'CASH FLOW'!B:KE,211,FALSE)</f>
        <v>15413</v>
      </c>
    </row>
    <row r="96" spans="1:7" x14ac:dyDescent="0.35">
      <c r="A96" s="592">
        <v>84802</v>
      </c>
      <c r="B96" s="593" t="s">
        <v>27</v>
      </c>
      <c r="C96" s="594">
        <v>2254</v>
      </c>
      <c r="D96" s="595" t="s">
        <v>66</v>
      </c>
      <c r="E96" s="595">
        <v>1</v>
      </c>
      <c r="F96" s="595" t="str">
        <f t="shared" si="2"/>
        <v>Yes</v>
      </c>
      <c r="G96" s="591">
        <f>VLOOKUP(A96,'CASH FLOW'!B:KE,211,FALSE)</f>
        <v>229549</v>
      </c>
    </row>
    <row r="97" spans="1:7" x14ac:dyDescent="0.35">
      <c r="A97" s="592">
        <v>84804</v>
      </c>
      <c r="B97" s="593" t="s">
        <v>65</v>
      </c>
      <c r="C97" s="594">
        <v>600</v>
      </c>
      <c r="D97" s="595" t="s">
        <v>67</v>
      </c>
      <c r="E97" s="595">
        <v>1</v>
      </c>
      <c r="F97" s="595" t="str">
        <f t="shared" si="2"/>
        <v>Yes</v>
      </c>
      <c r="G97" s="591">
        <f>VLOOKUP(A97,'CASH FLOW'!B:KE,211,FALSE)</f>
        <v>28701</v>
      </c>
    </row>
    <row r="98" spans="1:7" x14ac:dyDescent="0.35">
      <c r="A98" s="592">
        <v>92801</v>
      </c>
      <c r="B98" s="593" t="s">
        <v>28</v>
      </c>
      <c r="C98" s="594">
        <v>500</v>
      </c>
      <c r="D98" s="595" t="s">
        <v>66</v>
      </c>
      <c r="E98" s="595">
        <v>1</v>
      </c>
      <c r="F98" s="595" t="str">
        <f t="shared" ref="F98:F129" si="3">IF(E98=0,"No","Yes")</f>
        <v>Yes</v>
      </c>
      <c r="G98" s="591">
        <f>VLOOKUP(A98,'CASH FLOW'!B:KE,211,FALSE)</f>
        <v>24580</v>
      </c>
    </row>
    <row r="99" spans="1:7" x14ac:dyDescent="0.35">
      <c r="A99" s="592">
        <v>101802</v>
      </c>
      <c r="B99" s="593" t="s">
        <v>51</v>
      </c>
      <c r="C99" s="594">
        <v>1750</v>
      </c>
      <c r="D99" s="595" t="s">
        <v>67</v>
      </c>
      <c r="E99" s="595">
        <v>1</v>
      </c>
      <c r="F99" s="595" t="str">
        <f t="shared" si="3"/>
        <v>Yes</v>
      </c>
      <c r="G99" s="591">
        <f>VLOOKUP(A99,'CASH FLOW'!B:KE,211,FALSE)</f>
        <v>167379</v>
      </c>
    </row>
    <row r="100" spans="1:7" x14ac:dyDescent="0.35">
      <c r="A100" s="592">
        <v>101803</v>
      </c>
      <c r="B100" s="593" t="s">
        <v>92</v>
      </c>
      <c r="C100" s="594">
        <v>1128</v>
      </c>
      <c r="D100" s="595" t="s">
        <v>66</v>
      </c>
      <c r="E100" s="595">
        <v>1</v>
      </c>
      <c r="F100" s="595" t="str">
        <f t="shared" si="3"/>
        <v>Yes</v>
      </c>
      <c r="G100" s="591">
        <f>VLOOKUP(A100,'CASH FLOW'!B:KE,211,FALSE)</f>
        <v>209349</v>
      </c>
    </row>
    <row r="101" spans="1:7" x14ac:dyDescent="0.35">
      <c r="A101" s="592">
        <v>101804</v>
      </c>
      <c r="B101" s="593" t="s">
        <v>7</v>
      </c>
      <c r="C101" s="594">
        <v>1450</v>
      </c>
      <c r="D101" s="595" t="s">
        <v>67</v>
      </c>
      <c r="E101" s="595">
        <v>1</v>
      </c>
      <c r="F101" s="595" t="str">
        <f t="shared" si="3"/>
        <v>Yes</v>
      </c>
      <c r="G101" s="591">
        <f>VLOOKUP(A101,'CASH FLOW'!B:KE,211,FALSE)</f>
        <v>148930</v>
      </c>
    </row>
    <row r="102" spans="1:7" x14ac:dyDescent="0.35">
      <c r="A102" s="592">
        <v>101806</v>
      </c>
      <c r="B102" s="593" t="s">
        <v>450</v>
      </c>
      <c r="C102" s="594">
        <v>1330</v>
      </c>
      <c r="D102" s="595" t="s">
        <v>66</v>
      </c>
      <c r="E102" s="595">
        <v>1</v>
      </c>
      <c r="F102" s="595" t="str">
        <f t="shared" si="3"/>
        <v>Yes</v>
      </c>
      <c r="G102" s="591">
        <f>VLOOKUP(A102,'CASH FLOW'!B:KE,211,FALSE)</f>
        <v>245442</v>
      </c>
    </row>
    <row r="103" spans="1:7" x14ac:dyDescent="0.35">
      <c r="A103" s="592">
        <v>101810</v>
      </c>
      <c r="B103" s="593" t="s">
        <v>52</v>
      </c>
      <c r="C103" s="594">
        <v>750</v>
      </c>
      <c r="D103" s="595" t="s">
        <v>66</v>
      </c>
      <c r="E103" s="595">
        <v>1</v>
      </c>
      <c r="F103" s="595" t="str">
        <f t="shared" si="3"/>
        <v>Yes</v>
      </c>
      <c r="G103" s="591">
        <f>VLOOKUP(A103,'CASH FLOW'!B:KE,211,FALSE)</f>
        <v>147591</v>
      </c>
    </row>
    <row r="104" spans="1:7" x14ac:dyDescent="0.35">
      <c r="A104" s="592">
        <v>101811</v>
      </c>
      <c r="B104" s="593" t="s">
        <v>345</v>
      </c>
      <c r="C104" s="594">
        <v>1000</v>
      </c>
      <c r="D104" s="595" t="s">
        <v>67</v>
      </c>
      <c r="E104" s="595">
        <v>1</v>
      </c>
      <c r="F104" s="595" t="str">
        <f t="shared" si="3"/>
        <v>Yes</v>
      </c>
      <c r="G104" s="591">
        <f>VLOOKUP(A104,'CASH FLOW'!B:KE,211,FALSE)</f>
        <v>33506</v>
      </c>
    </row>
    <row r="105" spans="1:7" x14ac:dyDescent="0.35">
      <c r="A105" s="592">
        <v>101815</v>
      </c>
      <c r="B105" s="593" t="s">
        <v>53</v>
      </c>
      <c r="C105" s="594">
        <v>600</v>
      </c>
      <c r="D105" s="595" t="s">
        <v>66</v>
      </c>
      <c r="E105" s="595">
        <v>1</v>
      </c>
      <c r="F105" s="595" t="str">
        <f t="shared" si="3"/>
        <v>Yes</v>
      </c>
      <c r="G105" s="591">
        <f>VLOOKUP(A105,'CASH FLOW'!B:KE,211,FALSE)</f>
        <v>51227</v>
      </c>
    </row>
    <row r="106" spans="1:7" x14ac:dyDescent="0.35">
      <c r="A106" s="592">
        <v>101819</v>
      </c>
      <c r="B106" s="593" t="s">
        <v>8</v>
      </c>
      <c r="C106" s="594">
        <v>1500</v>
      </c>
      <c r="D106" s="595" t="s">
        <v>67</v>
      </c>
      <c r="E106" s="595">
        <v>1</v>
      </c>
      <c r="F106" s="595" t="str">
        <f t="shared" si="3"/>
        <v>Yes</v>
      </c>
      <c r="G106" s="591">
        <f>VLOOKUP(A106,'CASH FLOW'!B:KE,211,FALSE)</f>
        <v>92110</v>
      </c>
    </row>
    <row r="107" spans="1:7" x14ac:dyDescent="0.35">
      <c r="A107" s="592">
        <v>101821</v>
      </c>
      <c r="B107" s="593" t="s">
        <v>9</v>
      </c>
      <c r="C107" s="594">
        <v>450</v>
      </c>
      <c r="D107" s="595" t="s">
        <v>67</v>
      </c>
      <c r="E107" s="595">
        <v>1</v>
      </c>
      <c r="F107" s="595" t="str">
        <f t="shared" si="3"/>
        <v>Yes</v>
      </c>
      <c r="G107" s="591">
        <f>VLOOKUP(A107,'CASH FLOW'!B:KE,211,FALSE)</f>
        <v>28016</v>
      </c>
    </row>
    <row r="108" spans="1:7" x14ac:dyDescent="0.35">
      <c r="A108" s="592">
        <v>101828</v>
      </c>
      <c r="B108" s="593" t="s">
        <v>10</v>
      </c>
      <c r="C108" s="594">
        <v>2400</v>
      </c>
      <c r="D108" s="595" t="s">
        <v>67</v>
      </c>
      <c r="E108" s="595">
        <v>1</v>
      </c>
      <c r="F108" s="595" t="str">
        <f t="shared" si="3"/>
        <v>Yes</v>
      </c>
      <c r="G108" s="591">
        <f>VLOOKUP(A108,'CASH FLOW'!B:KE,211,FALSE)</f>
        <v>341883</v>
      </c>
    </row>
    <row r="109" spans="1:7" x14ac:dyDescent="0.35">
      <c r="A109" s="592">
        <v>101837</v>
      </c>
      <c r="B109" s="593" t="s">
        <v>12</v>
      </c>
      <c r="C109" s="594">
        <v>750</v>
      </c>
      <c r="D109" s="595" t="s">
        <v>66</v>
      </c>
      <c r="E109" s="595">
        <v>1</v>
      </c>
      <c r="F109" s="595" t="str">
        <f t="shared" si="3"/>
        <v>Yes</v>
      </c>
      <c r="G109" s="591">
        <f>VLOOKUP(A109,'CASH FLOW'!B:KE,211,FALSE)</f>
        <v>53739</v>
      </c>
    </row>
    <row r="110" spans="1:7" x14ac:dyDescent="0.35">
      <c r="A110" s="592">
        <v>101838</v>
      </c>
      <c r="B110" s="593" t="s">
        <v>421</v>
      </c>
      <c r="C110" s="594">
        <v>4250</v>
      </c>
      <c r="D110" s="595" t="s">
        <v>67</v>
      </c>
      <c r="E110" s="595">
        <v>1</v>
      </c>
      <c r="F110" s="595" t="str">
        <f t="shared" si="3"/>
        <v>Yes</v>
      </c>
      <c r="G110" s="591">
        <f>VLOOKUP(A110,'CASH FLOW'!B:KE,211,FALSE)</f>
        <v>261030</v>
      </c>
    </row>
    <row r="111" spans="1:7" x14ac:dyDescent="0.35">
      <c r="A111" s="592">
        <v>101840</v>
      </c>
      <c r="B111" s="593" t="s">
        <v>29</v>
      </c>
      <c r="C111" s="594">
        <v>700</v>
      </c>
      <c r="D111" s="595" t="s">
        <v>66</v>
      </c>
      <c r="E111" s="595">
        <v>1</v>
      </c>
      <c r="F111" s="595" t="str">
        <f t="shared" si="3"/>
        <v>Yes</v>
      </c>
      <c r="G111" s="591">
        <f>VLOOKUP(A111,'CASH FLOW'!B:KE,211,FALSE)</f>
        <v>59212</v>
      </c>
    </row>
    <row r="112" spans="1:7" x14ac:dyDescent="0.35">
      <c r="A112" s="592">
        <v>101842</v>
      </c>
      <c r="B112" s="593" t="s">
        <v>30</v>
      </c>
      <c r="C112" s="594">
        <v>700</v>
      </c>
      <c r="D112" s="595" t="s">
        <v>66</v>
      </c>
      <c r="E112" s="595">
        <v>1</v>
      </c>
      <c r="F112" s="595" t="str">
        <f t="shared" si="3"/>
        <v>Yes</v>
      </c>
      <c r="G112" s="591">
        <f>VLOOKUP(A112,'CASH FLOW'!B:KE,211,FALSE)</f>
        <v>6741</v>
      </c>
    </row>
    <row r="113" spans="1:7" x14ac:dyDescent="0.35">
      <c r="A113" s="592">
        <v>101845</v>
      </c>
      <c r="B113" s="593" t="s">
        <v>383</v>
      </c>
      <c r="C113" s="594">
        <v>12500</v>
      </c>
      <c r="D113" s="595" t="s">
        <v>66</v>
      </c>
      <c r="E113" s="595">
        <v>1</v>
      </c>
      <c r="F113" s="595" t="str">
        <f t="shared" si="3"/>
        <v>Yes</v>
      </c>
      <c r="G113" s="591">
        <f>VLOOKUP(A113,'CASH FLOW'!B:KE,211,FALSE)</f>
        <v>2391318</v>
      </c>
    </row>
    <row r="114" spans="1:7" x14ac:dyDescent="0.35">
      <c r="A114" s="592">
        <v>101846</v>
      </c>
      <c r="B114" s="593" t="s">
        <v>375</v>
      </c>
      <c r="C114" s="594">
        <v>7000</v>
      </c>
      <c r="D114" s="595" t="s">
        <v>66</v>
      </c>
      <c r="E114" s="595">
        <v>1</v>
      </c>
      <c r="F114" s="595" t="str">
        <f t="shared" si="3"/>
        <v>Yes</v>
      </c>
      <c r="G114" s="591">
        <f>VLOOKUP(A114,'CASH FLOW'!B:KE,211,FALSE)</f>
        <v>607659</v>
      </c>
    </row>
    <row r="115" spans="1:7" x14ac:dyDescent="0.35">
      <c r="A115" s="592">
        <v>101847</v>
      </c>
      <c r="B115" s="593" t="s">
        <v>32</v>
      </c>
      <c r="C115" s="594">
        <v>650</v>
      </c>
      <c r="D115" s="595" t="s">
        <v>66</v>
      </c>
      <c r="E115" s="595">
        <v>1</v>
      </c>
      <c r="F115" s="595" t="str">
        <f t="shared" si="3"/>
        <v>Yes</v>
      </c>
      <c r="G115" s="591">
        <f>VLOOKUP(A115,'CASH FLOW'!B:KE,211,FALSE)</f>
        <v>76346</v>
      </c>
    </row>
    <row r="116" spans="1:7" x14ac:dyDescent="0.35">
      <c r="A116" s="592">
        <v>101849</v>
      </c>
      <c r="B116" s="593" t="s">
        <v>14</v>
      </c>
      <c r="C116" s="594">
        <v>1300</v>
      </c>
      <c r="D116" s="595" t="s">
        <v>66</v>
      </c>
      <c r="E116" s="595">
        <v>1</v>
      </c>
      <c r="F116" s="595" t="str">
        <f t="shared" si="3"/>
        <v>Yes</v>
      </c>
      <c r="G116" s="591">
        <f>VLOOKUP(A116,'CASH FLOW'!B:KE,211,FALSE)</f>
        <v>35124</v>
      </c>
    </row>
    <row r="117" spans="1:7" x14ac:dyDescent="0.35">
      <c r="A117" s="592">
        <v>101853</v>
      </c>
      <c r="B117" s="593" t="s">
        <v>99</v>
      </c>
      <c r="C117" s="594">
        <v>2500</v>
      </c>
      <c r="D117" s="595" t="s">
        <v>67</v>
      </c>
      <c r="E117" s="595">
        <v>1</v>
      </c>
      <c r="F117" s="595" t="str">
        <f t="shared" si="3"/>
        <v>Yes</v>
      </c>
      <c r="G117" s="591">
        <f>VLOOKUP(A117,'CASH FLOW'!B:KE,211,FALSE)</f>
        <v>203434</v>
      </c>
    </row>
    <row r="118" spans="1:7" x14ac:dyDescent="0.35">
      <c r="A118" s="592">
        <v>101855</v>
      </c>
      <c r="B118" s="593" t="s">
        <v>2</v>
      </c>
      <c r="C118" s="594">
        <v>500</v>
      </c>
      <c r="D118" s="595" t="s">
        <v>67</v>
      </c>
      <c r="E118" s="595">
        <v>1</v>
      </c>
      <c r="F118" s="595" t="str">
        <f t="shared" si="3"/>
        <v>Yes</v>
      </c>
      <c r="G118" s="591">
        <f>VLOOKUP(A118,'CASH FLOW'!B:KE,211,FALSE)</f>
        <v>41977</v>
      </c>
    </row>
    <row r="119" spans="1:7" x14ac:dyDescent="0.35">
      <c r="A119" s="592">
        <v>101856</v>
      </c>
      <c r="B119" s="593" t="s">
        <v>33</v>
      </c>
      <c r="C119" s="594">
        <v>750</v>
      </c>
      <c r="D119" s="595" t="s">
        <v>67</v>
      </c>
      <c r="E119" s="595">
        <v>1</v>
      </c>
      <c r="F119" s="595" t="str">
        <f t="shared" si="3"/>
        <v>Yes</v>
      </c>
      <c r="G119" s="591">
        <f>VLOOKUP(A119,'CASH FLOW'!B:KE,211,FALSE)</f>
        <v>114646</v>
      </c>
    </row>
    <row r="120" spans="1:7" x14ac:dyDescent="0.35">
      <c r="A120" s="592">
        <v>101858</v>
      </c>
      <c r="B120" s="593" t="s">
        <v>60</v>
      </c>
      <c r="C120" s="594">
        <v>7000</v>
      </c>
      <c r="D120" s="595" t="s">
        <v>66</v>
      </c>
      <c r="E120" s="595">
        <v>1</v>
      </c>
      <c r="F120" s="595" t="str">
        <f t="shared" si="3"/>
        <v>Yes</v>
      </c>
      <c r="G120" s="591">
        <f>VLOOKUP(A120,'CASH FLOW'!B:KE,211,FALSE)</f>
        <v>995977</v>
      </c>
    </row>
    <row r="121" spans="1:7" x14ac:dyDescent="0.35">
      <c r="A121" s="592">
        <v>101859</v>
      </c>
      <c r="B121" s="593" t="s">
        <v>349</v>
      </c>
      <c r="C121" s="594">
        <v>818</v>
      </c>
      <c r="D121" s="595" t="s">
        <v>67</v>
      </c>
      <c r="E121" s="595">
        <v>1</v>
      </c>
      <c r="F121" s="595" t="str">
        <f t="shared" si="3"/>
        <v>Yes</v>
      </c>
      <c r="G121" s="591">
        <f>VLOOKUP(A121,'CASH FLOW'!B:KE,211,FALSE)</f>
        <v>98018</v>
      </c>
    </row>
    <row r="122" spans="1:7" x14ac:dyDescent="0.35">
      <c r="A122" s="592">
        <v>101861</v>
      </c>
      <c r="B122" s="593" t="s">
        <v>379</v>
      </c>
      <c r="C122" s="594">
        <v>2000</v>
      </c>
      <c r="D122" s="595" t="s">
        <v>67</v>
      </c>
      <c r="E122" s="595">
        <v>1</v>
      </c>
      <c r="F122" s="595" t="str">
        <f t="shared" si="3"/>
        <v>Yes</v>
      </c>
      <c r="G122" s="591">
        <f>VLOOKUP(A122,'CASH FLOW'!B:KE,211,FALSE)</f>
        <v>95091</v>
      </c>
    </row>
    <row r="123" spans="1:7" x14ac:dyDescent="0.35">
      <c r="A123" s="592">
        <v>101862</v>
      </c>
      <c r="B123" s="593" t="s">
        <v>351</v>
      </c>
      <c r="C123" s="594">
        <v>6000</v>
      </c>
      <c r="D123" s="595" t="s">
        <v>66</v>
      </c>
      <c r="E123" s="595">
        <v>1</v>
      </c>
      <c r="F123" s="595" t="str">
        <f t="shared" si="3"/>
        <v>Yes</v>
      </c>
      <c r="G123" s="591">
        <f>VLOOKUP(A123,'CASH FLOW'!B:KE,211,FALSE)</f>
        <v>702636</v>
      </c>
    </row>
    <row r="124" spans="1:7" x14ac:dyDescent="0.35">
      <c r="A124" s="592">
        <v>101864</v>
      </c>
      <c r="B124" s="593" t="s">
        <v>352</v>
      </c>
      <c r="C124" s="594">
        <v>1080</v>
      </c>
      <c r="D124" s="595" t="s">
        <v>67</v>
      </c>
      <c r="E124" s="595">
        <v>1</v>
      </c>
      <c r="F124" s="595" t="str">
        <f t="shared" si="3"/>
        <v>Yes</v>
      </c>
      <c r="G124" s="591">
        <f>VLOOKUP(A124,'CASH FLOW'!B:KE,211,FALSE)</f>
        <v>27163</v>
      </c>
    </row>
    <row r="125" spans="1:7" x14ac:dyDescent="0.35">
      <c r="A125" s="592">
        <v>101868</v>
      </c>
      <c r="B125" s="593" t="s">
        <v>353</v>
      </c>
      <c r="C125" s="594">
        <v>800</v>
      </c>
      <c r="D125" s="595" t="s">
        <v>67</v>
      </c>
      <c r="E125" s="595">
        <v>1</v>
      </c>
      <c r="F125" s="595" t="str">
        <f t="shared" si="3"/>
        <v>Yes</v>
      </c>
      <c r="G125" s="591">
        <f>VLOOKUP(A125,'CASH FLOW'!B:KE,211,FALSE)</f>
        <v>60816</v>
      </c>
    </row>
    <row r="126" spans="1:7" x14ac:dyDescent="0.35">
      <c r="A126" s="592">
        <v>101870</v>
      </c>
      <c r="B126" s="593" t="s">
        <v>371</v>
      </c>
      <c r="C126" s="594">
        <v>1680</v>
      </c>
      <c r="D126" s="595" t="s">
        <v>67</v>
      </c>
      <c r="E126" s="595">
        <v>1</v>
      </c>
      <c r="F126" s="595" t="str">
        <f t="shared" si="3"/>
        <v>Yes</v>
      </c>
      <c r="G126" s="591">
        <f>VLOOKUP(A126,'CASH FLOW'!B:KE,211,FALSE)</f>
        <v>217203</v>
      </c>
    </row>
    <row r="127" spans="1:7" x14ac:dyDescent="0.35">
      <c r="A127" s="592">
        <v>101871</v>
      </c>
      <c r="B127" s="593" t="s">
        <v>387</v>
      </c>
      <c r="C127" s="594">
        <v>540</v>
      </c>
      <c r="D127" s="595" t="s">
        <v>67</v>
      </c>
      <c r="E127" s="595">
        <v>1</v>
      </c>
      <c r="F127" s="595" t="str">
        <f t="shared" si="3"/>
        <v>Yes</v>
      </c>
      <c r="G127" s="591">
        <f>VLOOKUP(A127,'CASH FLOW'!B:KE,211,FALSE)</f>
        <v>23530</v>
      </c>
    </row>
    <row r="128" spans="1:7" x14ac:dyDescent="0.35">
      <c r="A128" s="592">
        <v>101872</v>
      </c>
      <c r="B128" s="593" t="s">
        <v>443</v>
      </c>
      <c r="C128" s="594">
        <v>1200</v>
      </c>
      <c r="D128" s="595" t="s">
        <v>67</v>
      </c>
      <c r="E128" s="595">
        <v>1</v>
      </c>
      <c r="F128" s="595" t="str">
        <f t="shared" si="3"/>
        <v>Yes</v>
      </c>
      <c r="G128" s="591">
        <f>VLOOKUP(A128,'CASH FLOW'!B:KE,211,FALSE)</f>
        <v>58760</v>
      </c>
    </row>
    <row r="129" spans="1:7" x14ac:dyDescent="0.35">
      <c r="A129" s="592">
        <v>105801</v>
      </c>
      <c r="B129" s="593" t="s">
        <v>34</v>
      </c>
      <c r="C129" s="594">
        <v>300</v>
      </c>
      <c r="D129" s="595" t="s">
        <v>66</v>
      </c>
      <c r="E129" s="595">
        <v>1</v>
      </c>
      <c r="F129" s="595" t="str">
        <f t="shared" si="3"/>
        <v>Yes</v>
      </c>
      <c r="G129" s="591">
        <f>VLOOKUP(A129,'CASH FLOW'!B:KE,211,FALSE)</f>
        <v>16449</v>
      </c>
    </row>
    <row r="130" spans="1:7" x14ac:dyDescent="0.35">
      <c r="A130" s="592">
        <v>105803</v>
      </c>
      <c r="B130" s="593" t="s">
        <v>372</v>
      </c>
      <c r="C130" s="594">
        <v>220</v>
      </c>
      <c r="D130" s="595" t="s">
        <v>67</v>
      </c>
      <c r="E130" s="595">
        <v>1</v>
      </c>
      <c r="F130" s="595" t="str">
        <f t="shared" ref="F130:F161" si="4">IF(E130=0,"No","Yes")</f>
        <v>Yes</v>
      </c>
      <c r="G130" s="591">
        <f>VLOOKUP(A130,'CASH FLOW'!B:KE,211,FALSE)</f>
        <v>51880</v>
      </c>
    </row>
    <row r="131" spans="1:7" x14ac:dyDescent="0.35">
      <c r="A131" s="592">
        <v>108802</v>
      </c>
      <c r="B131" s="593" t="s">
        <v>354</v>
      </c>
      <c r="C131" s="594">
        <v>2500</v>
      </c>
      <c r="D131" s="595" t="s">
        <v>66</v>
      </c>
      <c r="E131" s="595">
        <v>1</v>
      </c>
      <c r="F131" s="595" t="str">
        <f t="shared" si="4"/>
        <v>Yes</v>
      </c>
      <c r="G131" s="591">
        <f>VLOOKUP(A131,'CASH FLOW'!B:KE,211,FALSE)</f>
        <v>204858</v>
      </c>
    </row>
    <row r="132" spans="1:7" x14ac:dyDescent="0.35">
      <c r="A132" s="592">
        <v>108804</v>
      </c>
      <c r="B132" s="593" t="s">
        <v>355</v>
      </c>
      <c r="C132" s="594">
        <v>700</v>
      </c>
      <c r="D132" s="595" t="s">
        <v>66</v>
      </c>
      <c r="E132" s="595">
        <v>1</v>
      </c>
      <c r="F132" s="595" t="str">
        <f t="shared" si="4"/>
        <v>Yes</v>
      </c>
      <c r="G132" s="591">
        <f>VLOOKUP(A132,'CASH FLOW'!B:KE,211,FALSE)</f>
        <v>68903</v>
      </c>
    </row>
    <row r="133" spans="1:7" x14ac:dyDescent="0.35">
      <c r="A133" s="592">
        <v>108807</v>
      </c>
      <c r="B133" s="593" t="s">
        <v>96</v>
      </c>
      <c r="C133" s="594">
        <v>57000</v>
      </c>
      <c r="D133" s="595" t="s">
        <v>66</v>
      </c>
      <c r="E133" s="595">
        <v>1</v>
      </c>
      <c r="F133" s="595" t="str">
        <f t="shared" si="4"/>
        <v>Yes</v>
      </c>
      <c r="G133" s="591">
        <f>VLOOKUP(A133,'CASH FLOW'!B:KE,211,FALSE)</f>
        <v>10713974</v>
      </c>
    </row>
    <row r="134" spans="1:7" x14ac:dyDescent="0.35">
      <c r="A134" s="592">
        <v>108808</v>
      </c>
      <c r="B134" s="593" t="s">
        <v>89</v>
      </c>
      <c r="C134" s="594">
        <v>5750</v>
      </c>
      <c r="D134" s="595" t="s">
        <v>67</v>
      </c>
      <c r="E134" s="595">
        <v>1</v>
      </c>
      <c r="F134" s="595" t="str">
        <f t="shared" si="4"/>
        <v>Yes</v>
      </c>
      <c r="G134" s="591">
        <f>VLOOKUP(A134,'CASH FLOW'!B:KE,211,FALSE)</f>
        <v>852589</v>
      </c>
    </row>
    <row r="135" spans="1:7" x14ac:dyDescent="0.35">
      <c r="A135" s="592">
        <v>108809</v>
      </c>
      <c r="B135" s="593" t="s">
        <v>118</v>
      </c>
      <c r="C135" s="594">
        <v>600</v>
      </c>
      <c r="D135" s="595" t="s">
        <v>67</v>
      </c>
      <c r="E135" s="595">
        <v>1</v>
      </c>
      <c r="F135" s="595" t="str">
        <f t="shared" si="4"/>
        <v>Yes</v>
      </c>
      <c r="G135" s="591">
        <f>VLOOKUP(A135,'CASH FLOW'!B:KE,211,FALSE)</f>
        <v>49074</v>
      </c>
    </row>
    <row r="136" spans="1:7" x14ac:dyDescent="0.35">
      <c r="A136" s="592">
        <v>111801</v>
      </c>
      <c r="B136" s="593" t="s">
        <v>468</v>
      </c>
      <c r="C136" s="594"/>
      <c r="D136" s="595" t="s">
        <v>67</v>
      </c>
      <c r="E136" s="595">
        <v>1</v>
      </c>
      <c r="F136" s="595" t="str">
        <f t="shared" si="4"/>
        <v>Yes</v>
      </c>
      <c r="G136" s="591">
        <f>VLOOKUP(A136,'CASH FLOW'!B:KE,211,FALSE)</f>
        <v>8473</v>
      </c>
    </row>
    <row r="137" spans="1:7" x14ac:dyDescent="0.35">
      <c r="A137" s="592">
        <v>123803</v>
      </c>
      <c r="B137" s="593" t="s">
        <v>381</v>
      </c>
      <c r="C137" s="594">
        <v>1500</v>
      </c>
      <c r="D137" s="595" t="s">
        <v>66</v>
      </c>
      <c r="E137" s="595">
        <v>1</v>
      </c>
      <c r="F137" s="595" t="str">
        <f t="shared" si="4"/>
        <v>Yes</v>
      </c>
      <c r="G137" s="591">
        <f>VLOOKUP(A137,'CASH FLOW'!B:KE,211,FALSE)</f>
        <v>68545</v>
      </c>
    </row>
    <row r="138" spans="1:7" x14ac:dyDescent="0.35">
      <c r="A138" s="592">
        <v>123805</v>
      </c>
      <c r="B138" s="593" t="s">
        <v>4</v>
      </c>
      <c r="C138" s="594">
        <v>500</v>
      </c>
      <c r="D138" s="595" t="s">
        <v>66</v>
      </c>
      <c r="E138" s="595">
        <v>1</v>
      </c>
      <c r="F138" s="595" t="str">
        <f t="shared" si="4"/>
        <v>Yes</v>
      </c>
      <c r="G138" s="591">
        <f>VLOOKUP(A138,'CASH FLOW'!B:KE,211,FALSE)</f>
        <v>84259</v>
      </c>
    </row>
    <row r="139" spans="1:7" x14ac:dyDescent="0.35">
      <c r="A139" s="592">
        <v>123807</v>
      </c>
      <c r="B139" s="593" t="s">
        <v>357</v>
      </c>
      <c r="C139" s="594">
        <v>2200</v>
      </c>
      <c r="D139" s="595" t="s">
        <v>67</v>
      </c>
      <c r="E139" s="595">
        <v>1</v>
      </c>
      <c r="F139" s="595" t="str">
        <f t="shared" si="4"/>
        <v>Yes</v>
      </c>
      <c r="G139" s="591">
        <f>VLOOKUP(A139,'CASH FLOW'!B:KE,211,FALSE)</f>
        <v>368154</v>
      </c>
    </row>
    <row r="140" spans="1:7" x14ac:dyDescent="0.35">
      <c r="A140" s="592">
        <v>130801</v>
      </c>
      <c r="B140" s="593" t="s">
        <v>447</v>
      </c>
      <c r="C140" s="594">
        <v>300</v>
      </c>
      <c r="D140" s="595" t="s">
        <v>67</v>
      </c>
      <c r="E140" s="595">
        <v>1</v>
      </c>
      <c r="F140" s="595" t="str">
        <f t="shared" si="4"/>
        <v>Yes</v>
      </c>
      <c r="G140" s="591">
        <f>VLOOKUP(A140,'CASH FLOW'!B:KE,211,FALSE)</f>
        <v>12333</v>
      </c>
    </row>
    <row r="141" spans="1:7" x14ac:dyDescent="0.35">
      <c r="A141" s="592">
        <v>152802</v>
      </c>
      <c r="B141" s="593" t="s">
        <v>90</v>
      </c>
      <c r="C141" s="594">
        <v>350</v>
      </c>
      <c r="D141" s="595" t="s">
        <v>66</v>
      </c>
      <c r="E141" s="595">
        <v>1</v>
      </c>
      <c r="F141" s="595" t="str">
        <f t="shared" si="4"/>
        <v>Yes</v>
      </c>
      <c r="G141" s="591">
        <f>VLOOKUP(A141,'CASH FLOW'!B:KE,211,FALSE)</f>
        <v>44940</v>
      </c>
    </row>
    <row r="142" spans="1:7" x14ac:dyDescent="0.35">
      <c r="A142" s="592">
        <v>152803</v>
      </c>
      <c r="B142" s="593" t="s">
        <v>358</v>
      </c>
      <c r="C142" s="594">
        <v>400</v>
      </c>
      <c r="D142" s="595" t="s">
        <v>66</v>
      </c>
      <c r="E142" s="595">
        <v>1</v>
      </c>
      <c r="F142" s="595" t="str">
        <f t="shared" si="4"/>
        <v>Yes</v>
      </c>
      <c r="G142" s="591">
        <f>VLOOKUP(A142,'CASH FLOW'!B:KE,211,FALSE)</f>
        <v>22292</v>
      </c>
    </row>
    <row r="143" spans="1:7" x14ac:dyDescent="0.35">
      <c r="A143" s="592">
        <v>161801</v>
      </c>
      <c r="B143" s="593" t="s">
        <v>5</v>
      </c>
      <c r="C143" s="594">
        <v>360</v>
      </c>
      <c r="D143" s="595" t="s">
        <v>67</v>
      </c>
      <c r="E143" s="595">
        <v>1</v>
      </c>
      <c r="F143" s="595" t="str">
        <f t="shared" si="4"/>
        <v>Yes</v>
      </c>
      <c r="G143" s="591">
        <f>VLOOKUP(A143,'CASH FLOW'!B:KE,211,FALSE)</f>
        <v>31078</v>
      </c>
    </row>
    <row r="144" spans="1:7" x14ac:dyDescent="0.35">
      <c r="A144" s="592">
        <v>161802</v>
      </c>
      <c r="B144" s="593" t="s">
        <v>359</v>
      </c>
      <c r="C144" s="594">
        <v>950</v>
      </c>
      <c r="D144" s="595" t="s">
        <v>67</v>
      </c>
      <c r="E144" s="595">
        <v>1</v>
      </c>
      <c r="F144" s="595" t="str">
        <f t="shared" si="4"/>
        <v>Yes</v>
      </c>
      <c r="G144" s="591">
        <f>VLOOKUP(A144,'CASH FLOW'!B:KE,211,FALSE)</f>
        <v>136789</v>
      </c>
    </row>
    <row r="145" spans="1:7" x14ac:dyDescent="0.35">
      <c r="A145" s="592">
        <v>161807</v>
      </c>
      <c r="B145" s="593" t="s">
        <v>360</v>
      </c>
      <c r="C145" s="594">
        <v>15000</v>
      </c>
      <c r="D145" s="595" t="s">
        <v>66</v>
      </c>
      <c r="E145" s="595">
        <v>1</v>
      </c>
      <c r="F145" s="595" t="str">
        <f t="shared" si="4"/>
        <v>Yes</v>
      </c>
      <c r="G145" s="591">
        <f>VLOOKUP(A145,'CASH FLOW'!B:KE,211,FALSE)</f>
        <v>1653867</v>
      </c>
    </row>
    <row r="146" spans="1:7" x14ac:dyDescent="0.35">
      <c r="A146" s="592">
        <v>165802</v>
      </c>
      <c r="B146" s="593" t="s">
        <v>91</v>
      </c>
      <c r="C146" s="594">
        <v>1170</v>
      </c>
      <c r="D146" s="595" t="s">
        <v>66</v>
      </c>
      <c r="E146" s="595">
        <v>1</v>
      </c>
      <c r="F146" s="595" t="str">
        <f t="shared" si="4"/>
        <v>Yes</v>
      </c>
      <c r="G146" s="591">
        <f>VLOOKUP(A146,'CASH FLOW'!B:KE,211,FALSE)</f>
        <v>62594</v>
      </c>
    </row>
    <row r="147" spans="1:7" x14ac:dyDescent="0.35">
      <c r="A147" s="592">
        <v>170801</v>
      </c>
      <c r="B147" s="593" t="s">
        <v>71</v>
      </c>
      <c r="C147" s="594">
        <v>1000</v>
      </c>
      <c r="D147" s="595" t="s">
        <v>66</v>
      </c>
      <c r="E147" s="595">
        <v>1</v>
      </c>
      <c r="F147" s="595" t="str">
        <f t="shared" si="4"/>
        <v>Yes</v>
      </c>
      <c r="G147" s="591">
        <f>VLOOKUP(A147,'CASH FLOW'!B:KE,211,FALSE)</f>
        <v>52268</v>
      </c>
    </row>
    <row r="148" spans="1:7" x14ac:dyDescent="0.35">
      <c r="A148" s="592">
        <v>174801</v>
      </c>
      <c r="B148" s="593" t="s">
        <v>361</v>
      </c>
      <c r="C148" s="594">
        <v>320</v>
      </c>
      <c r="D148" s="595" t="s">
        <v>67</v>
      </c>
      <c r="E148" s="595">
        <v>1</v>
      </c>
      <c r="F148" s="595" t="str">
        <f t="shared" si="4"/>
        <v>Yes</v>
      </c>
      <c r="G148" s="591">
        <f>VLOOKUP(A148,'CASH FLOW'!B:KE,211,FALSE)</f>
        <v>45373</v>
      </c>
    </row>
    <row r="149" spans="1:7" x14ac:dyDescent="0.35">
      <c r="A149" s="592">
        <v>178801</v>
      </c>
      <c r="B149" s="593" t="s">
        <v>374</v>
      </c>
      <c r="C149" s="594">
        <v>500</v>
      </c>
      <c r="D149" s="595" t="s">
        <v>66</v>
      </c>
      <c r="E149" s="595">
        <v>1</v>
      </c>
      <c r="F149" s="595" t="str">
        <f t="shared" si="4"/>
        <v>Yes</v>
      </c>
      <c r="G149" s="591">
        <f>VLOOKUP(A149,'CASH FLOW'!B:KE,211,FALSE)</f>
        <v>27382</v>
      </c>
    </row>
    <row r="150" spans="1:7" x14ac:dyDescent="0.35">
      <c r="A150" s="592">
        <v>178807</v>
      </c>
      <c r="B150" s="593" t="s">
        <v>69</v>
      </c>
      <c r="C150" s="594">
        <v>300</v>
      </c>
      <c r="D150" s="595" t="s">
        <v>67</v>
      </c>
      <c r="E150" s="595">
        <v>1</v>
      </c>
      <c r="F150" s="595" t="str">
        <f t="shared" si="4"/>
        <v>Yes</v>
      </c>
      <c r="G150" s="591">
        <f>VLOOKUP(A150,'CASH FLOW'!B:KE,211,FALSE)</f>
        <v>20091</v>
      </c>
    </row>
    <row r="151" spans="1:7" x14ac:dyDescent="0.35">
      <c r="A151" s="592">
        <v>178808</v>
      </c>
      <c r="B151" s="593" t="s">
        <v>100</v>
      </c>
      <c r="C151" s="594">
        <v>600</v>
      </c>
      <c r="D151" s="595" t="s">
        <v>67</v>
      </c>
      <c r="E151" s="595">
        <v>1</v>
      </c>
      <c r="F151" s="595" t="str">
        <f t="shared" si="4"/>
        <v>Yes</v>
      </c>
      <c r="G151" s="591">
        <f>VLOOKUP(A151,'CASH FLOW'!B:KE,211,FALSE)</f>
        <v>85525</v>
      </c>
    </row>
    <row r="152" spans="1:7" x14ac:dyDescent="0.35">
      <c r="A152" s="592">
        <v>183801</v>
      </c>
      <c r="B152" s="593" t="s">
        <v>72</v>
      </c>
      <c r="C152" s="594">
        <v>600</v>
      </c>
      <c r="D152" s="595" t="s">
        <v>66</v>
      </c>
      <c r="E152" s="595">
        <v>1</v>
      </c>
      <c r="F152" s="595" t="str">
        <f t="shared" si="4"/>
        <v>Yes</v>
      </c>
      <c r="G152" s="591">
        <f>VLOOKUP(A152,'CASH FLOW'!B:KE,211,FALSE)</f>
        <v>34904</v>
      </c>
    </row>
    <row r="153" spans="1:7" x14ac:dyDescent="0.35">
      <c r="A153" s="592">
        <v>184801</v>
      </c>
      <c r="B153" s="593" t="s">
        <v>6</v>
      </c>
      <c r="C153" s="594">
        <v>350</v>
      </c>
      <c r="D153" s="595" t="s">
        <v>66</v>
      </c>
      <c r="E153" s="595">
        <v>1</v>
      </c>
      <c r="F153" s="595" t="str">
        <f t="shared" si="4"/>
        <v>Yes</v>
      </c>
      <c r="G153" s="591">
        <f>VLOOKUP(A153,'CASH FLOW'!B:KE,211,FALSE)</f>
        <v>24127</v>
      </c>
    </row>
    <row r="154" spans="1:7" x14ac:dyDescent="0.35">
      <c r="A154" s="592">
        <v>193801</v>
      </c>
      <c r="B154" s="593" t="s">
        <v>73</v>
      </c>
      <c r="C154" s="594">
        <v>250</v>
      </c>
      <c r="D154" s="595" t="s">
        <v>66</v>
      </c>
      <c r="E154" s="595">
        <v>1</v>
      </c>
      <c r="F154" s="595" t="str">
        <f t="shared" si="4"/>
        <v>Yes</v>
      </c>
      <c r="G154" s="591">
        <f>VLOOKUP(A154,'CASH FLOW'!B:KE,211,FALSE)</f>
        <v>30917</v>
      </c>
    </row>
    <row r="155" spans="1:7" x14ac:dyDescent="0.35">
      <c r="A155" s="592">
        <v>212801</v>
      </c>
      <c r="B155" s="593" t="s">
        <v>74</v>
      </c>
      <c r="C155" s="594">
        <v>2500</v>
      </c>
      <c r="D155" s="595" t="s">
        <v>66</v>
      </c>
      <c r="E155" s="595">
        <v>1</v>
      </c>
      <c r="F155" s="595" t="str">
        <f t="shared" si="4"/>
        <v>Yes</v>
      </c>
      <c r="G155" s="591">
        <f>VLOOKUP(A155,'CASH FLOW'!B:KE,211,FALSE)</f>
        <v>323166</v>
      </c>
    </row>
    <row r="156" spans="1:7" x14ac:dyDescent="0.35">
      <c r="A156" s="592">
        <v>212804</v>
      </c>
      <c r="B156" s="593" t="s">
        <v>119</v>
      </c>
      <c r="C156" s="594">
        <v>2400</v>
      </c>
      <c r="D156" s="595" t="s">
        <v>67</v>
      </c>
      <c r="E156" s="595">
        <v>1</v>
      </c>
      <c r="F156" s="595" t="str">
        <f t="shared" si="4"/>
        <v>Yes</v>
      </c>
      <c r="G156" s="591">
        <f>VLOOKUP(A156,'CASH FLOW'!B:KE,211,FALSE)</f>
        <v>145415</v>
      </c>
    </row>
    <row r="157" spans="1:7" x14ac:dyDescent="0.35">
      <c r="A157" s="592">
        <v>213801</v>
      </c>
      <c r="B157" s="593" t="s">
        <v>75</v>
      </c>
      <c r="C157" s="594">
        <v>350</v>
      </c>
      <c r="D157" s="595" t="s">
        <v>66</v>
      </c>
      <c r="E157" s="595">
        <v>1</v>
      </c>
      <c r="F157" s="595" t="str">
        <f t="shared" si="4"/>
        <v>Yes</v>
      </c>
      <c r="G157" s="591">
        <f>VLOOKUP(A157,'CASH FLOW'!B:KE,211,FALSE)</f>
        <v>33708</v>
      </c>
    </row>
    <row r="158" spans="1:7" x14ac:dyDescent="0.35">
      <c r="A158" s="592">
        <v>220801</v>
      </c>
      <c r="B158" s="593" t="s">
        <v>76</v>
      </c>
      <c r="C158" s="594">
        <v>600</v>
      </c>
      <c r="D158" s="595" t="s">
        <v>66</v>
      </c>
      <c r="E158" s="595">
        <v>1</v>
      </c>
      <c r="F158" s="595" t="str">
        <f t="shared" si="4"/>
        <v>Yes</v>
      </c>
      <c r="G158" s="591">
        <f>VLOOKUP(A158,'CASH FLOW'!B:KE,211,FALSE)</f>
        <v>55531</v>
      </c>
    </row>
    <row r="159" spans="1:7" x14ac:dyDescent="0.35">
      <c r="A159" s="592">
        <v>220802</v>
      </c>
      <c r="B159" s="593" t="s">
        <v>77</v>
      </c>
      <c r="C159" s="594">
        <v>2500</v>
      </c>
      <c r="D159" s="595" t="s">
        <v>66</v>
      </c>
      <c r="E159" s="595">
        <v>1</v>
      </c>
      <c r="F159" s="595" t="str">
        <f t="shared" si="4"/>
        <v>Yes</v>
      </c>
      <c r="G159" s="591">
        <f>VLOOKUP(A159,'CASH FLOW'!B:KE,211,FALSE)</f>
        <v>265985</v>
      </c>
    </row>
    <row r="160" spans="1:7" x14ac:dyDescent="0.35">
      <c r="A160" s="592">
        <v>220809</v>
      </c>
      <c r="B160" s="593" t="s">
        <v>78</v>
      </c>
      <c r="C160" s="594">
        <v>1000</v>
      </c>
      <c r="D160" s="595" t="s">
        <v>66</v>
      </c>
      <c r="E160" s="595">
        <v>1</v>
      </c>
      <c r="F160" s="595" t="str">
        <f t="shared" si="4"/>
        <v>Yes</v>
      </c>
      <c r="G160" s="591">
        <f>VLOOKUP(A160,'CASH FLOW'!B:KE,211,FALSE)</f>
        <v>112743</v>
      </c>
    </row>
    <row r="161" spans="1:7" x14ac:dyDescent="0.35">
      <c r="A161" s="592">
        <v>220810</v>
      </c>
      <c r="B161" s="593" t="s">
        <v>0</v>
      </c>
      <c r="C161" s="594">
        <v>1450</v>
      </c>
      <c r="D161" s="595" t="s">
        <v>67</v>
      </c>
      <c r="E161" s="595">
        <v>1</v>
      </c>
      <c r="F161" s="595" t="str">
        <f t="shared" si="4"/>
        <v>Yes</v>
      </c>
      <c r="G161" s="591">
        <f>VLOOKUP(A161,'CASH FLOW'!B:KE,211,FALSE)</f>
        <v>153256</v>
      </c>
    </row>
    <row r="162" spans="1:7" x14ac:dyDescent="0.35">
      <c r="A162" s="592">
        <v>220811</v>
      </c>
      <c r="B162" s="593" t="s">
        <v>63</v>
      </c>
      <c r="C162" s="594">
        <v>800</v>
      </c>
      <c r="D162" s="595" t="s">
        <v>66</v>
      </c>
      <c r="E162" s="595">
        <v>1</v>
      </c>
      <c r="F162" s="595" t="str">
        <f t="shared" ref="F162:F188" si="5">IF(E162=0,"No","Yes")</f>
        <v>Yes</v>
      </c>
      <c r="G162" s="591">
        <f>VLOOKUP(A162,'CASH FLOW'!B:KE,211,FALSE)</f>
        <v>30241</v>
      </c>
    </row>
    <row r="163" spans="1:7" x14ac:dyDescent="0.35">
      <c r="A163" s="592">
        <v>220814</v>
      </c>
      <c r="B163" s="593" t="s">
        <v>362</v>
      </c>
      <c r="C163" s="594">
        <v>1250</v>
      </c>
      <c r="D163" s="595" t="s">
        <v>66</v>
      </c>
      <c r="E163" s="595">
        <v>1</v>
      </c>
      <c r="F163" s="595" t="str">
        <f t="shared" si="5"/>
        <v>Yes</v>
      </c>
      <c r="G163" s="591">
        <f>VLOOKUP(A163,'CASH FLOW'!B:KE,211,FALSE)</f>
        <v>51338</v>
      </c>
    </row>
    <row r="164" spans="1:7" x14ac:dyDescent="0.35">
      <c r="A164" s="592">
        <v>220815</v>
      </c>
      <c r="B164" s="593" t="s">
        <v>363</v>
      </c>
      <c r="C164" s="594">
        <v>1200</v>
      </c>
      <c r="D164" s="595" t="s">
        <v>67</v>
      </c>
      <c r="E164" s="595">
        <v>1</v>
      </c>
      <c r="F164" s="595" t="str">
        <f t="shared" si="5"/>
        <v>Yes</v>
      </c>
      <c r="G164" s="591">
        <f>VLOOKUP(A164,'CASH FLOW'!B:KE,211,FALSE)</f>
        <v>110467</v>
      </c>
    </row>
    <row r="165" spans="1:7" x14ac:dyDescent="0.35">
      <c r="A165" s="592">
        <v>220817</v>
      </c>
      <c r="B165" s="593" t="s">
        <v>364</v>
      </c>
      <c r="C165" s="594">
        <v>3500</v>
      </c>
      <c r="D165" s="595" t="s">
        <v>67</v>
      </c>
      <c r="E165" s="595">
        <v>1</v>
      </c>
      <c r="F165" s="595" t="str">
        <f t="shared" si="5"/>
        <v>Yes</v>
      </c>
      <c r="G165" s="591">
        <f>VLOOKUP(A165,'CASH FLOW'!B:KE,211,FALSE)</f>
        <v>494133</v>
      </c>
    </row>
    <row r="166" spans="1:7" x14ac:dyDescent="0.35">
      <c r="A166" s="592">
        <v>220819</v>
      </c>
      <c r="B166" s="593" t="s">
        <v>373</v>
      </c>
      <c r="C166" s="594">
        <v>2868</v>
      </c>
      <c r="D166" s="595" t="s">
        <v>67</v>
      </c>
      <c r="E166" s="595">
        <v>1</v>
      </c>
      <c r="F166" s="595" t="str">
        <f t="shared" si="5"/>
        <v>Yes</v>
      </c>
      <c r="G166" s="591">
        <f>VLOOKUP(A166,'CASH FLOW'!B:KE,211,FALSE)</f>
        <v>239110</v>
      </c>
    </row>
    <row r="167" spans="1:7" x14ac:dyDescent="0.35">
      <c r="A167" s="592">
        <v>221801</v>
      </c>
      <c r="B167" s="593" t="s">
        <v>365</v>
      </c>
      <c r="C167" s="594">
        <v>25000</v>
      </c>
      <c r="D167" s="595" t="s">
        <v>66</v>
      </c>
      <c r="E167" s="595">
        <v>1</v>
      </c>
      <c r="F167" s="595" t="str">
        <f t="shared" si="5"/>
        <v>Yes</v>
      </c>
      <c r="G167" s="591">
        <f>VLOOKUP(A167,'CASH FLOW'!B:KE,211,FALSE)</f>
        <v>2560432</v>
      </c>
    </row>
    <row r="168" spans="1:7" x14ac:dyDescent="0.35">
      <c r="A168" s="592">
        <v>226801</v>
      </c>
      <c r="B168" s="593" t="s">
        <v>101</v>
      </c>
      <c r="C168" s="594">
        <v>4000</v>
      </c>
      <c r="D168" s="595" t="s">
        <v>67</v>
      </c>
      <c r="E168" s="595">
        <v>1</v>
      </c>
      <c r="F168" s="595" t="str">
        <f t="shared" si="5"/>
        <v>Yes</v>
      </c>
      <c r="G168" s="591">
        <f>VLOOKUP(A168,'CASH FLOW'!B:KE,211,FALSE)</f>
        <v>588525</v>
      </c>
    </row>
    <row r="169" spans="1:7" x14ac:dyDescent="0.35">
      <c r="A169" s="592">
        <v>227803</v>
      </c>
      <c r="B169" s="593" t="s">
        <v>366</v>
      </c>
      <c r="C169" s="594">
        <v>3500</v>
      </c>
      <c r="D169" s="595" t="s">
        <v>66</v>
      </c>
      <c r="E169" s="595">
        <v>1</v>
      </c>
      <c r="F169" s="595" t="str">
        <f t="shared" si="5"/>
        <v>Yes</v>
      </c>
      <c r="G169" s="591">
        <f>VLOOKUP(A169,'CASH FLOW'!B:KE,211,FALSE)</f>
        <v>263441</v>
      </c>
    </row>
    <row r="170" spans="1:7" x14ac:dyDescent="0.35">
      <c r="A170" s="592">
        <v>227804</v>
      </c>
      <c r="B170" s="593" t="s">
        <v>79</v>
      </c>
      <c r="C170" s="594">
        <v>2500</v>
      </c>
      <c r="D170" s="595" t="s">
        <v>67</v>
      </c>
      <c r="E170" s="595">
        <v>1</v>
      </c>
      <c r="F170" s="595" t="str">
        <f t="shared" si="5"/>
        <v>Yes</v>
      </c>
      <c r="G170" s="591">
        <f>VLOOKUP(A170,'CASH FLOW'!B:KE,211,FALSE)</f>
        <v>240078</v>
      </c>
    </row>
    <row r="171" spans="1:7" x14ac:dyDescent="0.35">
      <c r="A171" s="592">
        <v>227805</v>
      </c>
      <c r="B171" s="593" t="s">
        <v>80</v>
      </c>
      <c r="C171" s="594">
        <v>400</v>
      </c>
      <c r="D171" s="595" t="s">
        <v>66</v>
      </c>
      <c r="E171" s="595">
        <v>1</v>
      </c>
      <c r="F171" s="595" t="str">
        <f t="shared" si="5"/>
        <v>Yes</v>
      </c>
      <c r="G171" s="591">
        <f>VLOOKUP(A171,'CASH FLOW'!B:KE,211,FALSE)</f>
        <v>63795</v>
      </c>
    </row>
    <row r="172" spans="1:7" x14ac:dyDescent="0.35">
      <c r="A172" s="592">
        <v>227806</v>
      </c>
      <c r="B172" s="593" t="s">
        <v>86</v>
      </c>
      <c r="C172" s="594">
        <v>2000</v>
      </c>
      <c r="D172" s="595" t="s">
        <v>67</v>
      </c>
      <c r="E172" s="595">
        <v>1</v>
      </c>
      <c r="F172" s="595" t="str">
        <f t="shared" si="5"/>
        <v>Yes</v>
      </c>
      <c r="G172" s="591">
        <f>VLOOKUP(A172,'CASH FLOW'!B:KE,211,FALSE)</f>
        <v>84771</v>
      </c>
    </row>
    <row r="173" spans="1:7" x14ac:dyDescent="0.35">
      <c r="A173" s="592">
        <v>227814</v>
      </c>
      <c r="B173" s="593" t="s">
        <v>93</v>
      </c>
      <c r="C173" s="594">
        <v>520</v>
      </c>
      <c r="D173" s="595" t="s">
        <v>66</v>
      </c>
      <c r="E173" s="595">
        <v>1</v>
      </c>
      <c r="F173" s="595" t="str">
        <f t="shared" si="5"/>
        <v>Yes</v>
      </c>
      <c r="G173" s="591">
        <f>VLOOKUP(A173,'CASH FLOW'!B:KE,211,FALSE)</f>
        <v>61442</v>
      </c>
    </row>
    <row r="174" spans="1:7" x14ac:dyDescent="0.35">
      <c r="A174" s="592">
        <v>227816</v>
      </c>
      <c r="B174" s="593" t="s">
        <v>376</v>
      </c>
      <c r="C174" s="594">
        <v>5000</v>
      </c>
      <c r="D174" s="595" t="s">
        <v>66</v>
      </c>
      <c r="E174" s="595">
        <v>1</v>
      </c>
      <c r="F174" s="595" t="str">
        <f t="shared" si="5"/>
        <v>Yes</v>
      </c>
      <c r="G174" s="591">
        <f>VLOOKUP(A174,'CASH FLOW'!B:KE,211,FALSE)</f>
        <v>703655</v>
      </c>
    </row>
    <row r="175" spans="1:7" x14ac:dyDescent="0.35">
      <c r="A175" s="592">
        <v>227817</v>
      </c>
      <c r="B175" s="593" t="s">
        <v>81</v>
      </c>
      <c r="C175" s="594">
        <v>1000</v>
      </c>
      <c r="D175" s="595" t="s">
        <v>66</v>
      </c>
      <c r="E175" s="595">
        <v>1</v>
      </c>
      <c r="F175" s="595" t="str">
        <f t="shared" si="5"/>
        <v>Yes</v>
      </c>
      <c r="G175" s="591">
        <f>VLOOKUP(A175,'CASH FLOW'!B:KE,211,FALSE)</f>
        <v>78519</v>
      </c>
    </row>
    <row r="176" spans="1:7" x14ac:dyDescent="0.35">
      <c r="A176" s="592">
        <v>227819</v>
      </c>
      <c r="B176" s="593" t="s">
        <v>88</v>
      </c>
      <c r="C176" s="594">
        <v>340</v>
      </c>
      <c r="D176" s="595" t="s">
        <v>67</v>
      </c>
      <c r="E176" s="595">
        <v>1</v>
      </c>
      <c r="F176" s="595" t="str">
        <f t="shared" si="5"/>
        <v>Yes</v>
      </c>
      <c r="G176" s="591">
        <f>VLOOKUP(A176,'CASH FLOW'!B:KE,211,FALSE)</f>
        <v>45700</v>
      </c>
    </row>
    <row r="177" spans="1:7" x14ac:dyDescent="0.35">
      <c r="A177" s="592">
        <v>227820</v>
      </c>
      <c r="B177" s="593" t="s">
        <v>377</v>
      </c>
      <c r="C177" s="594">
        <v>8500</v>
      </c>
      <c r="D177" s="595" t="s">
        <v>67</v>
      </c>
      <c r="E177" s="595">
        <v>1</v>
      </c>
      <c r="F177" s="595" t="str">
        <f t="shared" si="5"/>
        <v>Yes</v>
      </c>
      <c r="G177" s="591">
        <f>VLOOKUP(A177,'CASH FLOW'!B:KE,211,FALSE)</f>
        <v>5078511</v>
      </c>
    </row>
    <row r="178" spans="1:7" x14ac:dyDescent="0.35">
      <c r="A178" s="592">
        <v>227821</v>
      </c>
      <c r="B178" s="593" t="s">
        <v>68</v>
      </c>
      <c r="C178" s="594">
        <v>650</v>
      </c>
      <c r="D178" s="595" t="s">
        <v>66</v>
      </c>
      <c r="E178" s="595">
        <v>1</v>
      </c>
      <c r="F178" s="595" t="str">
        <f t="shared" si="5"/>
        <v>Yes</v>
      </c>
      <c r="G178" s="591">
        <f>VLOOKUP(A178,'CASH FLOW'!B:KE,211,FALSE)</f>
        <v>71059</v>
      </c>
    </row>
    <row r="179" spans="1:7" x14ac:dyDescent="0.35">
      <c r="A179" s="592">
        <v>227824</v>
      </c>
      <c r="B179" s="593" t="s">
        <v>449</v>
      </c>
      <c r="C179" s="594">
        <v>2800</v>
      </c>
      <c r="D179" s="595" t="s">
        <v>67</v>
      </c>
      <c r="E179" s="595">
        <v>1</v>
      </c>
      <c r="F179" s="595" t="str">
        <f t="shared" si="5"/>
        <v>Yes</v>
      </c>
      <c r="G179" s="591">
        <f>VLOOKUP(A179,'CASH FLOW'!B:KE,211,FALSE)</f>
        <v>153571</v>
      </c>
    </row>
    <row r="180" spans="1:7" x14ac:dyDescent="0.35">
      <c r="A180" s="592">
        <v>227825</v>
      </c>
      <c r="B180" s="593" t="s">
        <v>120</v>
      </c>
      <c r="C180" s="594">
        <v>2100</v>
      </c>
      <c r="D180" s="595" t="s">
        <v>67</v>
      </c>
      <c r="E180" s="595">
        <v>1</v>
      </c>
      <c r="F180" s="595" t="str">
        <f t="shared" si="5"/>
        <v>Yes</v>
      </c>
      <c r="G180" s="591">
        <f>VLOOKUP(A180,'CASH FLOW'!B:KE,211,FALSE)</f>
        <v>365878</v>
      </c>
    </row>
    <row r="181" spans="1:7" x14ac:dyDescent="0.35">
      <c r="A181" s="592">
        <v>227826</v>
      </c>
      <c r="B181" s="593" t="s">
        <v>367</v>
      </c>
      <c r="C181" s="594">
        <v>1100</v>
      </c>
      <c r="D181" s="595" t="s">
        <v>67</v>
      </c>
      <c r="E181" s="595">
        <v>1</v>
      </c>
      <c r="F181" s="595" t="str">
        <f t="shared" si="5"/>
        <v>Yes</v>
      </c>
      <c r="G181" s="591">
        <f>VLOOKUP(A181,'CASH FLOW'!B:KE,211,FALSE)</f>
        <v>67148</v>
      </c>
    </row>
    <row r="182" spans="1:7" x14ac:dyDescent="0.35">
      <c r="A182" s="592">
        <v>227829</v>
      </c>
      <c r="B182" s="593" t="s">
        <v>451</v>
      </c>
      <c r="C182" s="594">
        <v>2600</v>
      </c>
      <c r="D182" s="595" t="s">
        <v>67</v>
      </c>
      <c r="E182" s="595">
        <v>1</v>
      </c>
      <c r="F182" s="595" t="str">
        <f t="shared" si="5"/>
        <v>Yes</v>
      </c>
      <c r="G182" s="591">
        <f>VLOOKUP(A182,'CASH FLOW'!B:KE,211,FALSE)</f>
        <v>237369</v>
      </c>
    </row>
    <row r="183" spans="1:7" x14ac:dyDescent="0.35">
      <c r="A183" s="592">
        <v>234801</v>
      </c>
      <c r="B183" s="593" t="s">
        <v>82</v>
      </c>
      <c r="C183" s="594">
        <v>250</v>
      </c>
      <c r="D183" s="595" t="s">
        <v>66</v>
      </c>
      <c r="E183" s="595">
        <v>1</v>
      </c>
      <c r="F183" s="595" t="str">
        <f t="shared" si="5"/>
        <v>Yes</v>
      </c>
      <c r="G183" s="591">
        <f>VLOOKUP(A183,'CASH FLOW'!B:KE,211,FALSE)</f>
        <v>11931</v>
      </c>
    </row>
    <row r="184" spans="1:7" x14ac:dyDescent="0.35">
      <c r="A184" s="592">
        <v>236801</v>
      </c>
      <c r="B184" s="593" t="s">
        <v>83</v>
      </c>
      <c r="C184" s="594">
        <v>400</v>
      </c>
      <c r="D184" s="595" t="s">
        <v>66</v>
      </c>
      <c r="E184" s="595">
        <v>1</v>
      </c>
      <c r="F184" s="595" t="str">
        <f t="shared" si="5"/>
        <v>Yes</v>
      </c>
      <c r="G184" s="591">
        <f>VLOOKUP(A184,'CASH FLOW'!B:KE,211,FALSE)</f>
        <v>5070</v>
      </c>
    </row>
    <row r="185" spans="1:7" x14ac:dyDescent="0.35">
      <c r="A185" s="592">
        <v>236802</v>
      </c>
      <c r="B185" s="593" t="s">
        <v>390</v>
      </c>
      <c r="C185" s="594">
        <v>2820</v>
      </c>
      <c r="D185" s="595" t="s">
        <v>67</v>
      </c>
      <c r="E185" s="595">
        <v>1</v>
      </c>
      <c r="F185" s="595" t="str">
        <f t="shared" si="5"/>
        <v>Yes</v>
      </c>
      <c r="G185" s="591">
        <f>VLOOKUP(A185,'CASH FLOW'!B:KE,211,FALSE)</f>
        <v>72587</v>
      </c>
    </row>
    <row r="186" spans="1:7" x14ac:dyDescent="0.35">
      <c r="A186" s="592">
        <v>240801</v>
      </c>
      <c r="B186" s="593" t="s">
        <v>369</v>
      </c>
      <c r="C186" s="594">
        <v>700</v>
      </c>
      <c r="D186" s="595" t="s">
        <v>66</v>
      </c>
      <c r="E186" s="595">
        <v>1</v>
      </c>
      <c r="F186" s="595" t="str">
        <f t="shared" si="5"/>
        <v>Yes</v>
      </c>
      <c r="G186" s="591">
        <f>VLOOKUP(A186,'CASH FLOW'!B:KE,211,FALSE)</f>
        <v>27134</v>
      </c>
    </row>
    <row r="187" spans="1:7" x14ac:dyDescent="0.35">
      <c r="A187" s="592">
        <v>246801</v>
      </c>
      <c r="B187" s="593" t="s">
        <v>378</v>
      </c>
      <c r="C187" s="594">
        <v>1800</v>
      </c>
      <c r="D187" s="595" t="s">
        <v>67</v>
      </c>
      <c r="E187" s="595">
        <v>1</v>
      </c>
      <c r="F187" s="595" t="str">
        <f t="shared" si="5"/>
        <v>Yes</v>
      </c>
      <c r="G187" s="591">
        <f>VLOOKUP(A187,'CASH FLOW'!B:KE,211,FALSE)</f>
        <v>294043</v>
      </c>
    </row>
    <row r="188" spans="1:7" x14ac:dyDescent="0.35">
      <c r="A188" s="592">
        <v>246802</v>
      </c>
      <c r="B188" s="593" t="s">
        <v>420</v>
      </c>
      <c r="C188" s="594">
        <v>540</v>
      </c>
      <c r="D188" s="595" t="s">
        <v>67</v>
      </c>
      <c r="E188" s="595">
        <v>1</v>
      </c>
      <c r="F188" s="595" t="str">
        <f t="shared" si="5"/>
        <v>Yes</v>
      </c>
      <c r="G188" s="591">
        <f>VLOOKUP(A188,'CASH FLOW'!B:KE,211,FALSE)</f>
        <v>53930</v>
      </c>
    </row>
    <row r="189" spans="1:7" x14ac:dyDescent="0.35">
      <c r="A189" s="592"/>
      <c r="B189" s="593"/>
      <c r="C189" s="594"/>
    </row>
  </sheetData>
  <sheetProtection algorithmName="SHA-512" hashValue="yQDeDnYjb9w4gowZoQ9b0BAjQ7UOxDbipp4nKsl98IsEiuKi2WxEjX/cplTnnKddXsqB1fagbuhbGUdTKYWdoA==" saltValue="eX5Ui6/6eH1HELvn18Vbyg==" spinCount="100000" sheet="1" objects="1" scenarios="1"/>
  <sortState xmlns:xlrd2="http://schemas.microsoft.com/office/spreadsheetml/2017/richdata2" ref="A2:F189">
    <sortCondition ref="F2:F189"/>
  </sortState>
  <phoneticPr fontId="6" type="noConversion"/>
  <printOptions horizontalCentered="1"/>
  <pageMargins left="0.75" right="0.75" top="1" bottom="1" header="0.5" footer="0.5"/>
  <pageSetup scale="70" orientation="portrait" r:id="rId1"/>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EDBA-E8AF-4008-83EA-03541CFA612F}">
  <sheetPr>
    <tabColor theme="9" tint="0.79998168889431442"/>
    <pageSetUpPr fitToPage="1"/>
  </sheetPr>
  <dimension ref="A1:S164"/>
  <sheetViews>
    <sheetView topLeftCell="A91" zoomScale="70" zoomScaleNormal="70" zoomScaleSheetLayoutView="40" zoomScalePageLayoutView="85" workbookViewId="0">
      <selection activeCell="J129" sqref="J129"/>
    </sheetView>
  </sheetViews>
  <sheetFormatPr defaultColWidth="8.7265625" defaultRowHeight="18.5" x14ac:dyDescent="0.45"/>
  <cols>
    <col min="1" max="1" width="88.7265625" style="22" customWidth="1"/>
    <col min="2" max="2" width="15.1796875" style="18" customWidth="1"/>
    <col min="3" max="3" width="24.81640625" style="113" hidden="1" customWidth="1"/>
    <col min="4" max="4" width="22.453125" style="113" hidden="1" customWidth="1"/>
    <col min="5" max="5" width="32.7265625" style="284" customWidth="1"/>
    <col min="6" max="6" width="32.7265625" style="286" hidden="1" customWidth="1"/>
    <col min="7" max="7" width="17.1796875" style="678" bestFit="1" customWidth="1"/>
    <col min="8" max="8" width="19.26953125" style="679" bestFit="1" customWidth="1"/>
    <col min="9" max="9" width="39.453125" style="677" bestFit="1" customWidth="1"/>
    <col min="10" max="10" width="15.26953125" style="753" bestFit="1" customWidth="1"/>
    <col min="11" max="11" width="11.54296875" style="635" bestFit="1" customWidth="1"/>
    <col min="12" max="12" width="8.7265625" style="635" customWidth="1"/>
    <col min="13" max="13" width="22.26953125" style="631" bestFit="1" customWidth="1"/>
    <col min="14" max="14" width="8.7265625" style="633"/>
    <col min="15" max="15" width="15.1796875" style="633" bestFit="1" customWidth="1"/>
    <col min="16" max="16" width="10.81640625" style="633" bestFit="1" customWidth="1"/>
    <col min="17" max="17" width="8.7265625" style="633"/>
    <col min="18" max="18" width="8.7265625" style="598"/>
    <col min="19" max="24" width="8.7265625" style="11"/>
    <col min="25" max="25" width="10.81640625" style="11" bestFit="1" customWidth="1"/>
    <col min="26" max="16384" width="8.7265625" style="11"/>
  </cols>
  <sheetData>
    <row r="1" spans="1:18" s="486" customFormat="1" ht="47" x14ac:dyDescent="0.55000000000000004">
      <c r="A1" s="482" t="s">
        <v>838</v>
      </c>
      <c r="B1" s="483"/>
      <c r="C1" s="484" t="s">
        <v>785</v>
      </c>
      <c r="D1" s="485" t="s">
        <v>786</v>
      </c>
      <c r="E1" s="516" t="s">
        <v>730</v>
      </c>
      <c r="F1" s="696" t="s">
        <v>764</v>
      </c>
      <c r="G1" s="762" t="s">
        <v>937</v>
      </c>
      <c r="H1" s="831" t="s">
        <v>936</v>
      </c>
      <c r="I1" s="831" t="s">
        <v>938</v>
      </c>
      <c r="J1" s="832" t="s">
        <v>935</v>
      </c>
      <c r="K1" s="630"/>
      <c r="L1" s="630"/>
      <c r="M1" s="631"/>
      <c r="N1" s="632"/>
      <c r="O1" s="632"/>
      <c r="P1" s="632"/>
      <c r="Q1" s="632"/>
      <c r="R1" s="597"/>
    </row>
    <row r="2" spans="1:18" s="10" customFormat="1" ht="45" customHeight="1" x14ac:dyDescent="0.55000000000000004">
      <c r="A2" s="183" t="str">
        <f>VLOOKUP(A3,DATA!1:1048576,2,FALSE)</f>
        <v>CHARTER DISTRICT</v>
      </c>
      <c r="B2" s="254"/>
      <c r="C2" s="517" t="s">
        <v>929</v>
      </c>
      <c r="D2" s="518"/>
      <c r="E2" s="528"/>
      <c r="F2" s="697"/>
      <c r="G2" s="752"/>
      <c r="H2" s="745"/>
      <c r="I2" s="745"/>
      <c r="J2" s="770"/>
      <c r="K2" s="630"/>
      <c r="L2" s="630"/>
      <c r="M2" s="631"/>
      <c r="N2" s="633"/>
      <c r="O2" s="633"/>
      <c r="P2" s="633"/>
      <c r="Q2" s="633"/>
      <c r="R2" s="598"/>
    </row>
    <row r="3" spans="1:18" s="10" customFormat="1" ht="37" x14ac:dyDescent="0.55000000000000004">
      <c r="A3" s="184">
        <f>Estimates!B1</f>
        <v>0</v>
      </c>
      <c r="B3" s="255"/>
      <c r="C3" s="281"/>
      <c r="D3" s="283"/>
      <c r="E3" s="527" t="s">
        <v>947</v>
      </c>
      <c r="F3" s="828" t="s">
        <v>928</v>
      </c>
      <c r="G3" s="829"/>
      <c r="H3" s="746"/>
      <c r="I3" s="746"/>
      <c r="J3" s="830"/>
      <c r="K3" s="630"/>
      <c r="L3" s="630"/>
      <c r="M3" s="631"/>
      <c r="N3" s="633"/>
      <c r="O3" s="633"/>
      <c r="P3" s="633"/>
      <c r="Q3" s="633"/>
      <c r="R3" s="598"/>
    </row>
    <row r="4" spans="1:18" s="5" customFormat="1" ht="24" customHeight="1" x14ac:dyDescent="0.55000000000000004">
      <c r="A4" s="249" t="s">
        <v>589</v>
      </c>
      <c r="B4" s="541"/>
      <c r="C4" s="182">
        <f>VLOOKUP(Estimates!B1,INITIAL_EST,6,FALSE)</f>
        <v>0</v>
      </c>
      <c r="D4" s="256">
        <f>Estimates!B6*Estimates!B4</f>
        <v>0</v>
      </c>
      <c r="E4" s="287">
        <f>VLOOKUP(Estimates!B1,CASH_FLOW,6,FALSE)</f>
        <v>0</v>
      </c>
      <c r="F4" s="698">
        <f>E4</f>
        <v>0</v>
      </c>
      <c r="G4" s="743"/>
      <c r="H4" s="741">
        <v>6</v>
      </c>
      <c r="I4" s="742" t="s">
        <v>126</v>
      </c>
      <c r="J4" s="754"/>
      <c r="K4" s="634"/>
      <c r="L4" s="634"/>
      <c r="M4" s="631"/>
      <c r="N4" s="633"/>
      <c r="O4" s="633"/>
      <c r="P4" s="633"/>
      <c r="Q4" s="633"/>
      <c r="R4" s="598"/>
    </row>
    <row r="5" spans="1:18" ht="23.25" customHeight="1" x14ac:dyDescent="0.55000000000000004">
      <c r="A5" s="223" t="s">
        <v>832</v>
      </c>
      <c r="B5" s="542" t="s">
        <v>611</v>
      </c>
      <c r="C5" s="333"/>
      <c r="D5" s="334"/>
      <c r="E5" s="288"/>
      <c r="F5" s="699"/>
      <c r="G5" s="743"/>
      <c r="H5" s="743"/>
      <c r="I5" s="743"/>
      <c r="J5" s="754"/>
      <c r="K5" s="743"/>
    </row>
    <row r="6" spans="1:18" ht="23.25" customHeight="1" x14ac:dyDescent="0.55000000000000004">
      <c r="A6" s="36" t="s">
        <v>565</v>
      </c>
      <c r="B6" s="543">
        <v>5</v>
      </c>
      <c r="C6" s="35">
        <f>VLOOKUP(Estimates!B1,INITIAL_EST,130,FALSE)</f>
        <v>0</v>
      </c>
      <c r="D6" s="257">
        <f>Estimates!B18*Estimates!$B$4*1/6</f>
        <v>0</v>
      </c>
      <c r="E6" s="289">
        <f>VLOOKUP(Estimates!B1,CASH_FLOW,130,FALSE)</f>
        <v>0</v>
      </c>
      <c r="F6" s="700">
        <f t="shared" ref="F6:F15" si="0">E6</f>
        <v>0</v>
      </c>
      <c r="G6" s="743"/>
      <c r="H6" s="694">
        <v>130</v>
      </c>
      <c r="I6" s="695" t="s">
        <v>250</v>
      </c>
      <c r="J6" s="754"/>
    </row>
    <row r="7" spans="1:18" ht="23.25" customHeight="1" x14ac:dyDescent="0.55000000000000004">
      <c r="A7" s="36" t="s">
        <v>566</v>
      </c>
      <c r="B7" s="543">
        <v>3</v>
      </c>
      <c r="C7" s="35">
        <f>VLOOKUP(Estimates!B1,INITIAL_EST,131,FALSE)</f>
        <v>0</v>
      </c>
      <c r="D7" s="257">
        <f>Estimates!B19*Estimates!$B$4*4.5/6</f>
        <v>0</v>
      </c>
      <c r="E7" s="289">
        <f>VLOOKUP(Estimates!B1,CASH_FLOW,131,FALSE)</f>
        <v>0</v>
      </c>
      <c r="F7" s="700">
        <f t="shared" si="0"/>
        <v>0</v>
      </c>
      <c r="G7" s="743"/>
      <c r="H7" s="694">
        <v>131</v>
      </c>
      <c r="I7" s="695" t="s">
        <v>251</v>
      </c>
      <c r="J7" s="754"/>
    </row>
    <row r="8" spans="1:18" ht="23.25" customHeight="1" x14ac:dyDescent="0.55000000000000004">
      <c r="A8" s="36" t="s">
        <v>567</v>
      </c>
      <c r="B8" s="543">
        <v>5</v>
      </c>
      <c r="C8" s="35">
        <f>VLOOKUP(Estimates!B1,INITIAL_EST,143,FALSE)</f>
        <v>0</v>
      </c>
      <c r="D8" s="257">
        <f>Estimates!B20*Estimates!$B$4*0.25/6</f>
        <v>0</v>
      </c>
      <c r="E8" s="289">
        <f>VLOOKUP(Estimates!B1,CASH_FLOW,143,FALSE)</f>
        <v>0</v>
      </c>
      <c r="F8" s="700">
        <f t="shared" si="0"/>
        <v>0</v>
      </c>
      <c r="G8" s="630"/>
      <c r="H8" s="694">
        <v>143</v>
      </c>
      <c r="I8" s="695" t="s">
        <v>263</v>
      </c>
      <c r="J8" s="754"/>
    </row>
    <row r="9" spans="1:18" ht="23.25" customHeight="1" x14ac:dyDescent="0.55000000000000004">
      <c r="A9" s="36" t="s">
        <v>584</v>
      </c>
      <c r="B9" s="543">
        <v>3</v>
      </c>
      <c r="C9" s="35">
        <f>VLOOKUP(Estimates!B1,INITIAL_EST,140,FALSE)</f>
        <v>0</v>
      </c>
      <c r="D9" s="257">
        <f>Estimates!B21*Estimates!$B$4*2.859/6</f>
        <v>0</v>
      </c>
      <c r="E9" s="289">
        <f>VLOOKUP(Estimates!B1,CASH_FLOW,140,FALSE)</f>
        <v>0</v>
      </c>
      <c r="F9" s="700">
        <f t="shared" si="0"/>
        <v>0</v>
      </c>
      <c r="G9" s="743"/>
      <c r="H9" s="694">
        <v>140</v>
      </c>
      <c r="I9" s="695" t="s">
        <v>260</v>
      </c>
      <c r="J9" s="754"/>
    </row>
    <row r="10" spans="1:18" ht="23.25" customHeight="1" x14ac:dyDescent="0.55000000000000004">
      <c r="A10" s="36" t="s">
        <v>585</v>
      </c>
      <c r="B10" s="543">
        <v>3</v>
      </c>
      <c r="C10" s="237">
        <f>VLOOKUP(Estimates!B1,INITIAL_EST,142,FALSE)</f>
        <v>0</v>
      </c>
      <c r="D10" s="257">
        <f>Estimates!B22*Estimates!$B$4*2.859/6</f>
        <v>0</v>
      </c>
      <c r="E10" s="289">
        <f>VLOOKUP(Estimates!B1,CASH_FLOW,142,FALSE)</f>
        <v>0</v>
      </c>
      <c r="F10" s="700">
        <f t="shared" si="0"/>
        <v>0</v>
      </c>
      <c r="G10" s="630"/>
      <c r="H10" s="694">
        <v>142</v>
      </c>
      <c r="I10" s="695" t="s">
        <v>261</v>
      </c>
      <c r="J10" s="754"/>
    </row>
    <row r="11" spans="1:18" ht="23.25" customHeight="1" x14ac:dyDescent="0.55000000000000004">
      <c r="A11" s="36" t="s">
        <v>586</v>
      </c>
      <c r="B11" s="543">
        <v>3</v>
      </c>
      <c r="C11" s="35">
        <v>0</v>
      </c>
      <c r="D11" s="257">
        <f>Estimates!B23*Estimates!$B$4*2.859/6</f>
        <v>0</v>
      </c>
      <c r="E11" s="289">
        <v>0</v>
      </c>
      <c r="F11" s="700">
        <f t="shared" si="0"/>
        <v>0</v>
      </c>
      <c r="G11" s="743"/>
      <c r="H11" s="694"/>
      <c r="I11" s="695"/>
      <c r="J11" s="754"/>
    </row>
    <row r="12" spans="1:18" ht="23.25" customHeight="1" x14ac:dyDescent="0.55000000000000004">
      <c r="A12" s="36" t="s">
        <v>587</v>
      </c>
      <c r="B12" s="543">
        <v>2.7</v>
      </c>
      <c r="C12" s="70">
        <f>VLOOKUP(Estimates!B1,INITIAL_EST,136,FALSE)</f>
        <v>0</v>
      </c>
      <c r="D12" s="257">
        <f>Estimates!B24*Estimates!$B$4*4.25/6</f>
        <v>0</v>
      </c>
      <c r="E12" s="289">
        <f>VLOOKUP(Estimates!B1,CASH_FLOW,136,FALSE)</f>
        <v>0</v>
      </c>
      <c r="F12" s="700">
        <f t="shared" si="0"/>
        <v>0</v>
      </c>
      <c r="G12" s="630"/>
      <c r="H12" s="694">
        <v>136</v>
      </c>
      <c r="I12" s="695" t="s">
        <v>256</v>
      </c>
      <c r="J12" s="754"/>
    </row>
    <row r="13" spans="1:18" ht="23.25" customHeight="1" x14ac:dyDescent="0.55000000000000004">
      <c r="A13" s="36" t="s">
        <v>568</v>
      </c>
      <c r="B13" s="543">
        <v>2.2999999999999998</v>
      </c>
      <c r="C13" s="35">
        <f>VLOOKUP(Estimates!B1,INITIAL_EST,147,FALSE)</f>
        <v>0</v>
      </c>
      <c r="D13" s="257">
        <f>Estimates!B25*Estimates!$B$4*5.5/6</f>
        <v>0</v>
      </c>
      <c r="E13" s="289">
        <f>VLOOKUP(Estimates!B1,CASH_FLOW,147,FALSE)</f>
        <v>0</v>
      </c>
      <c r="F13" s="700">
        <f t="shared" si="0"/>
        <v>0</v>
      </c>
      <c r="G13" s="630"/>
      <c r="H13" s="694">
        <v>147</v>
      </c>
      <c r="I13" s="695" t="s">
        <v>267</v>
      </c>
      <c r="J13" s="754"/>
    </row>
    <row r="14" spans="1:18" ht="23.25" customHeight="1" x14ac:dyDescent="0.55000000000000004">
      <c r="A14" s="36" t="s">
        <v>588</v>
      </c>
      <c r="B14" s="543">
        <v>2.8</v>
      </c>
      <c r="C14" s="35">
        <f>VLOOKUP(Estimates!B1,INITIAL_EST,145,FALSE)</f>
        <v>0</v>
      </c>
      <c r="D14" s="257">
        <f>Estimates!B26*Estimates!$B$4*5.5/6</f>
        <v>0</v>
      </c>
      <c r="E14" s="289">
        <f>VLOOKUP(Estimates!B1,CASH_FLOW,145,FALSE)</f>
        <v>0</v>
      </c>
      <c r="F14" s="700">
        <f t="shared" si="0"/>
        <v>0</v>
      </c>
      <c r="G14" s="743"/>
      <c r="H14" s="694">
        <v>145</v>
      </c>
      <c r="I14" s="695" t="s">
        <v>265</v>
      </c>
      <c r="J14" s="754"/>
    </row>
    <row r="15" spans="1:18" ht="18.75" customHeight="1" x14ac:dyDescent="0.45">
      <c r="A15" s="36" t="s">
        <v>569</v>
      </c>
      <c r="B15" s="543">
        <v>4</v>
      </c>
      <c r="C15" s="35">
        <f>VLOOKUP(Estimates!B1,INITIAL_EST,139,FALSE)</f>
        <v>0</v>
      </c>
      <c r="D15" s="257">
        <f>Estimates!B27*Estimates!$B$4*5.5/6</f>
        <v>0</v>
      </c>
      <c r="E15" s="289">
        <f>VLOOKUP(Estimates!B1,CASH_FLOW,139,FALSE)</f>
        <v>0</v>
      </c>
      <c r="F15" s="700">
        <f t="shared" si="0"/>
        <v>0</v>
      </c>
      <c r="G15" s="762"/>
      <c r="H15" s="694">
        <v>139</v>
      </c>
      <c r="I15" s="695" t="s">
        <v>259</v>
      </c>
    </row>
    <row r="16" spans="1:18" ht="19" thickBot="1" x14ac:dyDescent="0.5">
      <c r="A16" s="37" t="s">
        <v>590</v>
      </c>
      <c r="B16" s="544"/>
      <c r="C16" s="239">
        <f>SUM(C6:C15)</f>
        <v>0</v>
      </c>
      <c r="D16" s="258">
        <f>SUM(D6:D15)</f>
        <v>0</v>
      </c>
      <c r="E16" s="290">
        <f>SUM(E6:E15)</f>
        <v>0</v>
      </c>
      <c r="F16" s="290">
        <f>SUM(F6:F15)</f>
        <v>0</v>
      </c>
      <c r="G16" s="763">
        <f>VLOOKUP(Estimates!$B$1,CASH_FLOW,146,FALSE)</f>
        <v>0</v>
      </c>
      <c r="H16" s="765">
        <v>146</v>
      </c>
      <c r="I16" s="757" t="s">
        <v>266</v>
      </c>
      <c r="J16" s="759">
        <f>E16-G16</f>
        <v>0</v>
      </c>
    </row>
    <row r="17" spans="1:18" ht="19.5" thickTop="1" thickBot="1" x14ac:dyDescent="0.5">
      <c r="A17" s="39" t="s">
        <v>591</v>
      </c>
      <c r="B17" s="544"/>
      <c r="C17" s="181">
        <f>(C6*$B$19)+(C7*$B$20)+(C8*$B$21)+(C9*$B$22)+(C10*$B$23)+(C11*$B$24)+(C12*$B$25)+(C13*$B$26)+(C14*$B$27)+(C15*$B$28)</f>
        <v>0</v>
      </c>
      <c r="D17" s="259">
        <f>(D6*$B$19)+(D7*$B$20)+(D8*$B$21)+(D9*$B$22)+(D10*$B$23)+(D11*$B$24)+(D12*$B$25)+(D13*$B$26)+(D14*$B$27)+(D15*$B$28)</f>
        <v>0</v>
      </c>
      <c r="E17" s="291">
        <f>(E6*$B$19)+(E7*$B$20)+(E8*$B$21)+(E9*$B$22)+(E10*$B$23)+(E11*$B$24)+(E12*$B$25)+(E13*$B$26)</f>
        <v>0</v>
      </c>
      <c r="F17" s="291">
        <f>(F6*$B$19)+(F7*$B$20)+(F8*$B$21)+(F9*$B$22)+(F10*$B$23)+(F11*$B$24)+(F12*$B$25)+(F13*$B$26)+(F14*$B$27)</f>
        <v>0</v>
      </c>
      <c r="G17" s="764">
        <f>VLOOKUP(Estimates!$B$1,CASH_FLOW,148,FALSE)</f>
        <v>0</v>
      </c>
      <c r="H17" s="766">
        <v>148</v>
      </c>
      <c r="I17" s="758" t="s">
        <v>268</v>
      </c>
      <c r="J17" s="760">
        <f>E17-G17</f>
        <v>0</v>
      </c>
    </row>
    <row r="18" spans="1:18" s="19" customFormat="1" ht="19" thickTop="1" x14ac:dyDescent="0.45">
      <c r="A18" s="224" t="s">
        <v>459</v>
      </c>
      <c r="B18" s="222"/>
      <c r="C18" s="222"/>
      <c r="D18" s="335"/>
      <c r="E18" s="292"/>
      <c r="F18" s="292"/>
      <c r="G18" s="691"/>
      <c r="H18" s="691"/>
      <c r="I18" s="691"/>
      <c r="J18" s="755"/>
      <c r="K18" s="636"/>
      <c r="L18" s="636"/>
      <c r="M18" s="637"/>
      <c r="N18" s="638"/>
      <c r="O18" s="638"/>
      <c r="P18" s="638"/>
      <c r="Q18" s="638"/>
      <c r="R18" s="599"/>
    </row>
    <row r="19" spans="1:18" x14ac:dyDescent="0.45">
      <c r="A19" s="34" t="s">
        <v>570</v>
      </c>
      <c r="B19" s="543">
        <v>5</v>
      </c>
      <c r="C19" s="35">
        <f>VLOOKUP(Estimates!$B$1,INITIAL_EST,119,FALSE)</f>
        <v>0</v>
      </c>
      <c r="D19" s="257">
        <f>(Estimates!B30*Estimates!$B$4*1/6)/6</f>
        <v>0</v>
      </c>
      <c r="E19" s="289">
        <f>VLOOKUP(Estimates!$B$1,CASH_FLOW,119,FALSE)</f>
        <v>0</v>
      </c>
      <c r="F19" s="700">
        <f t="shared" ref="F19:F28" si="1">E19</f>
        <v>0</v>
      </c>
      <c r="G19" s="690"/>
      <c r="H19" s="694">
        <v>119</v>
      </c>
      <c r="I19" s="695" t="s">
        <v>239</v>
      </c>
    </row>
    <row r="20" spans="1:18" x14ac:dyDescent="0.45">
      <c r="A20" s="34" t="s">
        <v>571</v>
      </c>
      <c r="B20" s="543">
        <v>3</v>
      </c>
      <c r="C20" s="35">
        <f>VLOOKUP(Estimates!$B$1,INITIAL_EST,120,FALSE)</f>
        <v>0</v>
      </c>
      <c r="D20" s="257">
        <f>(Estimates!B31*Estimates!$B$4*4.5/6)/6</f>
        <v>0</v>
      </c>
      <c r="E20" s="289">
        <f>VLOOKUP(Estimates!$B$1,CASH_FLOW,120,FALSE)</f>
        <v>0</v>
      </c>
      <c r="F20" s="700">
        <f t="shared" si="1"/>
        <v>0</v>
      </c>
      <c r="G20" s="690"/>
      <c r="H20" s="694">
        <v>120</v>
      </c>
      <c r="I20" s="695" t="s">
        <v>240</v>
      </c>
    </row>
    <row r="21" spans="1:18" x14ac:dyDescent="0.45">
      <c r="A21" s="34" t="s">
        <v>572</v>
      </c>
      <c r="B21" s="543">
        <v>5</v>
      </c>
      <c r="C21" s="35">
        <f>VLOOKUP(Estimates!$B$1,INITIAL_EST,126,FALSE)</f>
        <v>0</v>
      </c>
      <c r="D21" s="257">
        <f>(Estimates!B32*Estimates!$B$4*0.25/6)/6</f>
        <v>0</v>
      </c>
      <c r="E21" s="289">
        <f>VLOOKUP(Estimates!$B$1,CASH_FLOW,126,FALSE)</f>
        <v>0</v>
      </c>
      <c r="F21" s="700">
        <f t="shared" si="1"/>
        <v>0</v>
      </c>
      <c r="G21" s="690"/>
      <c r="H21" s="694">
        <v>126</v>
      </c>
      <c r="I21" s="695" t="s">
        <v>246</v>
      </c>
    </row>
    <row r="22" spans="1:18" x14ac:dyDescent="0.45">
      <c r="A22" s="34" t="s">
        <v>594</v>
      </c>
      <c r="B22" s="543">
        <v>3</v>
      </c>
      <c r="C22" s="35">
        <f>VLOOKUP(Estimates!$B$1,INITIAL_EST,123,FALSE)</f>
        <v>0</v>
      </c>
      <c r="D22" s="257">
        <f>(Estimates!B33*Estimates!$B$4*2.859/6)/6</f>
        <v>0</v>
      </c>
      <c r="E22" s="289">
        <f>VLOOKUP(Estimates!$B$1,CASH_FLOW,123,FALSE)</f>
        <v>0</v>
      </c>
      <c r="F22" s="700">
        <f t="shared" si="1"/>
        <v>0</v>
      </c>
      <c r="G22" s="690"/>
      <c r="H22" s="694">
        <v>123</v>
      </c>
      <c r="I22" s="695" t="s">
        <v>243</v>
      </c>
    </row>
    <row r="23" spans="1:18" x14ac:dyDescent="0.45">
      <c r="A23" s="34" t="s">
        <v>595</v>
      </c>
      <c r="B23" s="543">
        <v>3</v>
      </c>
      <c r="C23" s="35">
        <f>VLOOKUP(Estimates!$B$1,INITIAL_EST,124,FALSE)</f>
        <v>0</v>
      </c>
      <c r="D23" s="257">
        <f>(Estimates!B34*Estimates!$B$4*2.859/6)/6</f>
        <v>0</v>
      </c>
      <c r="E23" s="289">
        <f>VLOOKUP(Estimates!$B$1,CASH_FLOW,124,FALSE)</f>
        <v>0</v>
      </c>
      <c r="F23" s="700">
        <f t="shared" si="1"/>
        <v>0</v>
      </c>
      <c r="G23" s="690"/>
      <c r="H23" s="694">
        <v>125</v>
      </c>
      <c r="I23" s="695" t="s">
        <v>245</v>
      </c>
    </row>
    <row r="24" spans="1:18" x14ac:dyDescent="0.45">
      <c r="A24" s="34" t="s">
        <v>596</v>
      </c>
      <c r="B24" s="543">
        <v>3</v>
      </c>
      <c r="C24" s="35">
        <f>VLOOKUP(Estimates!$B$1,INITIAL_EST,125,FALSE)</f>
        <v>0</v>
      </c>
      <c r="D24" s="257">
        <f>(Estimates!B35*Estimates!$B$4*2.859/6)/6</f>
        <v>0</v>
      </c>
      <c r="E24" s="289">
        <v>0</v>
      </c>
      <c r="F24" s="700">
        <f t="shared" si="1"/>
        <v>0</v>
      </c>
      <c r="G24" s="690"/>
      <c r="H24" s="694"/>
      <c r="I24" s="695"/>
    </row>
    <row r="25" spans="1:18" x14ac:dyDescent="0.45">
      <c r="A25" s="34" t="s">
        <v>597</v>
      </c>
      <c r="B25" s="543">
        <v>2.7</v>
      </c>
      <c r="C25" s="35">
        <f>VLOOKUP(Estimates!$B$1,INITIAL_EST,121,FALSE)</f>
        <v>0</v>
      </c>
      <c r="D25" s="257">
        <f>(Estimates!B36*Estimates!$B$4*4.25/6)/6</f>
        <v>0</v>
      </c>
      <c r="E25" s="289">
        <f>VLOOKUP(Estimates!$B$1,CASH_FLOW,121,FALSE)</f>
        <v>0</v>
      </c>
      <c r="F25" s="700">
        <f t="shared" si="1"/>
        <v>0</v>
      </c>
      <c r="G25" s="690"/>
      <c r="H25" s="694">
        <v>121</v>
      </c>
      <c r="I25" s="695" t="s">
        <v>241</v>
      </c>
    </row>
    <row r="26" spans="1:18" x14ac:dyDescent="0.45">
      <c r="A26" s="34" t="s">
        <v>573</v>
      </c>
      <c r="B26" s="543">
        <v>2.2999999999999998</v>
      </c>
      <c r="C26" s="35">
        <f>VLOOKUP(Estimates!$B$1,INITIAL_EST,128,FALSE)</f>
        <v>0</v>
      </c>
      <c r="D26" s="257">
        <f>(Estimates!B37*Estimates!$B$4*5.5/6)/6</f>
        <v>0</v>
      </c>
      <c r="E26" s="289">
        <f>VLOOKUP(Estimates!$B$1,CASH_FLOW,128,FALSE)</f>
        <v>0</v>
      </c>
      <c r="F26" s="700">
        <f t="shared" si="1"/>
        <v>0</v>
      </c>
      <c r="G26" s="690"/>
      <c r="H26" s="694">
        <v>128</v>
      </c>
      <c r="I26" s="695" t="s">
        <v>248</v>
      </c>
    </row>
    <row r="27" spans="1:18" x14ac:dyDescent="0.45">
      <c r="A27" s="34" t="s">
        <v>598</v>
      </c>
      <c r="B27" s="543">
        <v>2.8</v>
      </c>
      <c r="C27" s="35">
        <f>VLOOKUP(Estimates!$B$1,INITIAL_EST,127,FALSE)</f>
        <v>0</v>
      </c>
      <c r="D27" s="257">
        <f>(Estimates!B38*Estimates!$B$4*5.5/6)/6</f>
        <v>0</v>
      </c>
      <c r="E27" s="289">
        <f>VLOOKUP(Estimates!$B$1,CASH_FLOW,127,FALSE)</f>
        <v>0</v>
      </c>
      <c r="F27" s="700">
        <f t="shared" si="1"/>
        <v>0</v>
      </c>
      <c r="G27" s="690"/>
      <c r="H27" s="694">
        <v>127</v>
      </c>
      <c r="I27" s="695" t="s">
        <v>247</v>
      </c>
    </row>
    <row r="28" spans="1:18" x14ac:dyDescent="0.45">
      <c r="A28" s="34" t="s">
        <v>574</v>
      </c>
      <c r="B28" s="543">
        <v>4</v>
      </c>
      <c r="C28" s="35">
        <f>VLOOKUP(Estimates!$B$1,INITIAL_EST,122,FALSE)</f>
        <v>0</v>
      </c>
      <c r="D28" s="257">
        <f>(Estimates!B39*Estimates!$B$4*5.5/6)/6</f>
        <v>0</v>
      </c>
      <c r="E28" s="289">
        <f>VLOOKUP(Estimates!$B$1,CASH_FLOW,122,FALSE)</f>
        <v>0</v>
      </c>
      <c r="F28" s="700">
        <f t="shared" si="1"/>
        <v>0</v>
      </c>
      <c r="G28" s="767"/>
      <c r="H28" s="694">
        <v>122</v>
      </c>
      <c r="I28" s="695" t="s">
        <v>242</v>
      </c>
      <c r="J28" s="756"/>
    </row>
    <row r="29" spans="1:18" ht="19" thickBot="1" x14ac:dyDescent="0.5">
      <c r="A29" s="37" t="s">
        <v>592</v>
      </c>
      <c r="B29" s="544"/>
      <c r="C29" s="38">
        <f>SUM(C19:C28)</f>
        <v>0</v>
      </c>
      <c r="D29" s="258">
        <f>SUM(D19:D28)</f>
        <v>0</v>
      </c>
      <c r="E29" s="293">
        <f>SUM(E19:E28)</f>
        <v>0</v>
      </c>
      <c r="F29" s="293">
        <f>SUM(F19:F28)</f>
        <v>0</v>
      </c>
      <c r="G29" s="769"/>
      <c r="H29" s="747"/>
      <c r="I29" s="748"/>
      <c r="J29" s="761"/>
    </row>
    <row r="30" spans="1:18" ht="19.5" thickTop="1" thickBot="1" x14ac:dyDescent="0.5">
      <c r="A30" s="39" t="s">
        <v>593</v>
      </c>
      <c r="B30" s="544"/>
      <c r="C30" s="40">
        <f>(C19*$B$19)+(C20*$B$20)+(C21*$B$21)+(C22*$B$22)+(C23*$B$23)+(C24*$B$24)+(C25*$B$25)+(C26*$B$26)+(C27*$B$27)+(C28*$B$28)</f>
        <v>0</v>
      </c>
      <c r="D30" s="260">
        <f>(D19*$B$19)+(D20*$B$20)+(D21*$B$21)+(D22*$B$22)+(D23*$B$23)+(D24*$B$24)+(D25*$B$25)+(D26*$B$26)+(D27*$B$27)+(D28*$B$28)</f>
        <v>0</v>
      </c>
      <c r="E30" s="294">
        <f>(E19*$B$19)+(E20*$B$20)+(E21*$B$21)+(E22*$B$22)+(E23*$B$23)+(E24*$B$24)+(E25*$B$25)+(E26*$B$26)+(E27*$B$27)+(E28*$B$28)</f>
        <v>0</v>
      </c>
      <c r="F30" s="294">
        <f>(F19*$B$19)+(F20*$B$20)+(F21*$B$21)+(F22*$B$22)+(F23*$B$23)+(F24*$B$24)+(F25*$B$25)+(F26*$B$26)+(F27*$B$27)+(F28*$B$28)</f>
        <v>0</v>
      </c>
      <c r="G30" s="771">
        <f>VLOOKUP(Estimates!$B$1,CASH_FLOW,129,FALSE)</f>
        <v>0</v>
      </c>
      <c r="H30" s="796">
        <v>129</v>
      </c>
      <c r="I30" s="797" t="s">
        <v>249</v>
      </c>
      <c r="J30" s="761">
        <f>G30-E30</f>
        <v>0</v>
      </c>
    </row>
    <row r="31" spans="1:18" s="19" customFormat="1" ht="19" thickTop="1" x14ac:dyDescent="0.45">
      <c r="A31" s="223" t="s">
        <v>833</v>
      </c>
      <c r="B31" s="542" t="s">
        <v>611</v>
      </c>
      <c r="C31" s="336"/>
      <c r="D31" s="337"/>
      <c r="E31" s="295"/>
      <c r="F31" s="798"/>
      <c r="G31" s="691"/>
      <c r="H31" s="691"/>
      <c r="I31" s="691"/>
      <c r="J31" s="756"/>
      <c r="K31" s="636"/>
      <c r="L31" s="636"/>
      <c r="M31" s="637"/>
      <c r="N31" s="638"/>
      <c r="O31" s="638"/>
      <c r="P31" s="638"/>
      <c r="Q31" s="638"/>
      <c r="R31" s="599"/>
    </row>
    <row r="32" spans="1:18" x14ac:dyDescent="0.45">
      <c r="A32" s="36" t="s">
        <v>599</v>
      </c>
      <c r="B32" s="545">
        <v>0.1</v>
      </c>
      <c r="C32" s="35">
        <f>VLOOKUP(Estimates!$B$1,INITIAL_EST,21,FALSE)</f>
        <v>0</v>
      </c>
      <c r="D32" s="257">
        <f>Estimates!B14*Estimates!$B$4</f>
        <v>0</v>
      </c>
      <c r="E32" s="289">
        <f>VLOOKUP(Estimates!$B$1,CASH_FLOW,21,FALSE)</f>
        <v>0</v>
      </c>
      <c r="F32" s="700">
        <f>E32</f>
        <v>0</v>
      </c>
      <c r="G32" s="690"/>
      <c r="H32" s="694">
        <v>21</v>
      </c>
      <c r="I32" s="695" t="s">
        <v>141</v>
      </c>
      <c r="J32" s="756"/>
    </row>
    <row r="33" spans="1:19" x14ac:dyDescent="0.45">
      <c r="A33" s="36" t="s">
        <v>600</v>
      </c>
      <c r="B33" s="545">
        <v>0.15</v>
      </c>
      <c r="C33" s="35">
        <f>VLOOKUP(Estimates!$B$1,INITIAL_EST,238,FALSE)</f>
        <v>0</v>
      </c>
      <c r="D33" s="257">
        <f>Estimates!B15*Estimates!$B$4</f>
        <v>0</v>
      </c>
      <c r="E33" s="289">
        <f>VLOOKUP(Estimates!$B$1,CASH_FLOW,238,FALSE)</f>
        <v>0</v>
      </c>
      <c r="F33" s="700">
        <f>E33</f>
        <v>0</v>
      </c>
      <c r="G33" s="690"/>
      <c r="H33" s="694">
        <v>238</v>
      </c>
      <c r="I33" s="695" t="s">
        <v>520</v>
      </c>
      <c r="J33" s="756"/>
    </row>
    <row r="34" spans="1:19" ht="18.75" customHeight="1" x14ac:dyDescent="0.45">
      <c r="A34" s="36" t="s">
        <v>601</v>
      </c>
      <c r="B34" s="545">
        <v>0.05</v>
      </c>
      <c r="C34" s="35">
        <f>VLOOKUP(Estimates!$B$1,INITIAL_EST,239,FALSE)</f>
        <v>0</v>
      </c>
      <c r="D34" s="257">
        <f>Estimates!B16*Estimates!$B$4</f>
        <v>0</v>
      </c>
      <c r="E34" s="289">
        <f>VLOOKUP(Estimates!$B$1,CASH_FLOW,239,FALSE)</f>
        <v>0</v>
      </c>
      <c r="F34" s="700">
        <f>E34</f>
        <v>0</v>
      </c>
      <c r="G34" s="762"/>
      <c r="H34" s="694">
        <v>239</v>
      </c>
      <c r="I34" s="695" t="s">
        <v>521</v>
      </c>
      <c r="J34" s="756"/>
    </row>
    <row r="35" spans="1:19" ht="19.5" customHeight="1" thickBot="1" x14ac:dyDescent="0.5">
      <c r="A35" s="37" t="s">
        <v>897</v>
      </c>
      <c r="B35" s="544"/>
      <c r="C35" s="38">
        <f>SUM(C32:C34)</f>
        <v>0</v>
      </c>
      <c r="D35" s="258">
        <f>SUM(D32:D34)</f>
        <v>0</v>
      </c>
      <c r="E35" s="293">
        <f>SUM(E32:E34)</f>
        <v>0</v>
      </c>
      <c r="F35" s="293">
        <f>SUM(F32:F34)</f>
        <v>0</v>
      </c>
      <c r="G35" s="768">
        <f>VLOOKUP(Estimates!$B$1,CASH_FLOW,243,FALSE)</f>
        <v>0</v>
      </c>
      <c r="H35" s="747">
        <v>243</v>
      </c>
      <c r="I35" s="748" t="s">
        <v>525</v>
      </c>
      <c r="J35" s="772">
        <f>G35-E35</f>
        <v>0</v>
      </c>
    </row>
    <row r="36" spans="1:19" ht="19.5" thickTop="1" thickBot="1" x14ac:dyDescent="0.5">
      <c r="A36" s="43" t="s">
        <v>690</v>
      </c>
      <c r="B36" s="67"/>
      <c r="C36" s="471">
        <f>(C32*$B$32)+(C33*$B$33)+(C34*$B$34)</f>
        <v>0</v>
      </c>
      <c r="D36" s="261">
        <f>(D32*$B$32)+(D33*$B$33)+(D34*$B$34)</f>
        <v>0</v>
      </c>
      <c r="E36" s="526">
        <f>(E32*$B$32)+(E33*$B$33)+(E34*$B$34)</f>
        <v>0</v>
      </c>
      <c r="F36" s="701">
        <f>(F32*$B$32)+(F33*$B$33)+(F34*$B$34)</f>
        <v>0</v>
      </c>
      <c r="G36" s="690"/>
      <c r="H36" s="744"/>
      <c r="I36" s="744"/>
      <c r="J36" s="756"/>
    </row>
    <row r="37" spans="1:19" ht="19" thickTop="1" x14ac:dyDescent="0.45">
      <c r="A37" s="165" t="s">
        <v>834</v>
      </c>
      <c r="B37" s="175">
        <v>1.1499999999999999</v>
      </c>
      <c r="C37" s="238">
        <f>VLOOKUP(Estimates!$B$1,INITIAL_EST,132,FALSE)</f>
        <v>0</v>
      </c>
      <c r="D37" s="262">
        <f>Estimates!B28*Estimates!B4</f>
        <v>0</v>
      </c>
      <c r="E37" s="289">
        <f>VLOOKUP(Estimates!$B$1,CASH_FLOW,132,FALSE)</f>
        <v>0</v>
      </c>
      <c r="F37" s="700">
        <f>E37</f>
        <v>0</v>
      </c>
      <c r="G37" s="690"/>
      <c r="H37" s="694">
        <v>132</v>
      </c>
      <c r="I37" s="695" t="s">
        <v>252</v>
      </c>
      <c r="J37" s="756"/>
    </row>
    <row r="38" spans="1:19" s="19" customFormat="1" ht="18.75" customHeight="1" x14ac:dyDescent="0.45">
      <c r="A38" s="225" t="s">
        <v>835</v>
      </c>
      <c r="B38" s="542" t="s">
        <v>611</v>
      </c>
      <c r="C38" s="338"/>
      <c r="D38" s="339"/>
      <c r="E38" s="296"/>
      <c r="F38" s="702"/>
      <c r="G38" s="691"/>
      <c r="H38" s="691"/>
      <c r="I38" s="691"/>
      <c r="J38" s="756"/>
      <c r="K38" s="636"/>
      <c r="L38" s="636"/>
      <c r="M38" s="637"/>
      <c r="N38" s="638"/>
      <c r="O38" s="638"/>
      <c r="P38" s="638"/>
      <c r="Q38" s="638"/>
      <c r="R38" s="599"/>
    </row>
    <row r="39" spans="1:19" x14ac:dyDescent="0.45">
      <c r="A39" s="36" t="s">
        <v>845</v>
      </c>
      <c r="B39" s="546">
        <v>1.1000000000000001</v>
      </c>
      <c r="C39" s="437"/>
      <c r="D39" s="498">
        <f>Estimates!B42</f>
        <v>0</v>
      </c>
      <c r="E39" s="289">
        <f>VLOOKUP(Estimates!$B$1,CASH_FLOW,274,FALSE)</f>
        <v>0</v>
      </c>
      <c r="F39" s="700">
        <f>E39</f>
        <v>0</v>
      </c>
      <c r="G39" s="690"/>
      <c r="H39" s="694">
        <v>274</v>
      </c>
      <c r="I39" s="695" t="s">
        <v>848</v>
      </c>
      <c r="J39" s="756"/>
    </row>
    <row r="40" spans="1:19" x14ac:dyDescent="0.45">
      <c r="A40" s="36" t="s">
        <v>846</v>
      </c>
      <c r="B40" s="546">
        <v>1.28</v>
      </c>
      <c r="C40" s="437"/>
      <c r="D40" s="499">
        <f>Estimates!B43</f>
        <v>0</v>
      </c>
      <c r="E40" s="289">
        <f>VLOOKUP(Estimates!$B$1,CASH_FLOW,275,FALSE)</f>
        <v>0</v>
      </c>
      <c r="F40" s="700">
        <f>E40</f>
        <v>0</v>
      </c>
      <c r="G40" s="767"/>
      <c r="H40" s="694">
        <v>275</v>
      </c>
      <c r="I40" s="695" t="s">
        <v>849</v>
      </c>
      <c r="J40" s="756"/>
    </row>
    <row r="41" spans="1:19" x14ac:dyDescent="0.45">
      <c r="A41" s="36" t="s">
        <v>847</v>
      </c>
      <c r="B41" s="546">
        <v>1.47</v>
      </c>
      <c r="C41" s="437"/>
      <c r="D41" s="499">
        <f>Estimates!B44</f>
        <v>0</v>
      </c>
      <c r="E41" s="289">
        <f>VLOOKUP(Estimates!$B$1,CASH_FLOW,276,FALSE)</f>
        <v>0</v>
      </c>
      <c r="F41" s="700">
        <f>E41</f>
        <v>0</v>
      </c>
      <c r="G41" s="762"/>
      <c r="H41" s="694">
        <v>276</v>
      </c>
      <c r="I41" s="695" t="s">
        <v>850</v>
      </c>
      <c r="J41" s="756"/>
    </row>
    <row r="42" spans="1:19" ht="19.5" customHeight="1" thickBot="1" x14ac:dyDescent="0.5">
      <c r="A42" s="684" t="s">
        <v>892</v>
      </c>
      <c r="B42" s="685"/>
      <c r="C42" s="686"/>
      <c r="D42" s="687">
        <f>SUM(D39:D41)</f>
        <v>0</v>
      </c>
      <c r="E42" s="688">
        <f>SUM(E39:E41)</f>
        <v>0</v>
      </c>
      <c r="F42" s="689">
        <f>SUM(F39:F41)</f>
        <v>0</v>
      </c>
      <c r="G42" s="768">
        <f>VLOOKUP(Estimates!$B$1,CASH_FLOW,185,FALSE)</f>
        <v>0</v>
      </c>
      <c r="H42" s="747">
        <v>185</v>
      </c>
      <c r="I42" s="748" t="s">
        <v>305</v>
      </c>
      <c r="J42" s="772">
        <f>G42-E42</f>
        <v>0</v>
      </c>
    </row>
    <row r="43" spans="1:19" ht="20.25" customHeight="1" thickTop="1" thickBot="1" x14ac:dyDescent="0.5">
      <c r="A43" s="680" t="s">
        <v>891</v>
      </c>
      <c r="B43" s="681"/>
      <c r="C43" s="681">
        <f>VLOOKUP(Estimates!$B$1,INITIAL_EST,185,FALSE)</f>
        <v>0</v>
      </c>
      <c r="D43" s="682"/>
      <c r="E43" s="683">
        <f>(E39*B39)+(E40*B40)+(E41*B41)</f>
        <v>0</v>
      </c>
      <c r="F43" s="683">
        <f>E43</f>
        <v>0</v>
      </c>
      <c r="G43" s="744"/>
      <c r="H43" s="744"/>
      <c r="I43" s="744"/>
      <c r="J43" s="756"/>
    </row>
    <row r="44" spans="1:19" ht="19.5" customHeight="1" thickTop="1" x14ac:dyDescent="0.45">
      <c r="A44" s="508" t="s">
        <v>767</v>
      </c>
      <c r="B44" s="509">
        <v>50</v>
      </c>
      <c r="C44" s="70">
        <f>VLOOKUP(Estimates!$B$1,INITIAL_EST,182,FALSE)</f>
        <v>0</v>
      </c>
      <c r="D44" s="257">
        <f>Estimates!B48*Estimates!B4</f>
        <v>0</v>
      </c>
      <c r="E44" s="289">
        <f>VLOOKUP(Estimates!$B$1,CASH_FLOW,182,FALSE)</f>
        <v>0</v>
      </c>
      <c r="F44" s="700">
        <f>E44</f>
        <v>0</v>
      </c>
      <c r="G44" s="690"/>
      <c r="H44" s="694">
        <v>182</v>
      </c>
      <c r="I44" s="695" t="s">
        <v>302</v>
      </c>
      <c r="J44" s="756"/>
    </row>
    <row r="45" spans="1:19" s="20" customFormat="1" ht="19.5" customHeight="1" thickBot="1" x14ac:dyDescent="0.5">
      <c r="A45" s="43" t="s">
        <v>454</v>
      </c>
      <c r="B45" s="544"/>
      <c r="C45" s="239">
        <f>C4-C16-C43</f>
        <v>0</v>
      </c>
      <c r="D45" s="258">
        <f>D4-D16-D39</f>
        <v>0</v>
      </c>
      <c r="E45" s="293">
        <f>E4-E16-E42</f>
        <v>0</v>
      </c>
      <c r="F45" s="293">
        <f>F4-F16-F42</f>
        <v>0</v>
      </c>
      <c r="G45" s="768">
        <f>VLOOKUP(Estimates!$B$1,CASH_FLOW,7,FALSE)</f>
        <v>0</v>
      </c>
      <c r="H45" s="747">
        <v>7</v>
      </c>
      <c r="I45" s="748" t="s">
        <v>127</v>
      </c>
      <c r="J45" s="772">
        <f>G45-E45</f>
        <v>0</v>
      </c>
      <c r="K45" s="640"/>
      <c r="L45" s="640"/>
      <c r="M45" s="641"/>
      <c r="N45" s="642"/>
      <c r="O45" s="642"/>
      <c r="P45" s="642"/>
      <c r="Q45" s="642"/>
      <c r="R45" s="600"/>
    </row>
    <row r="46" spans="1:19" s="29" customFormat="1" ht="19" thickTop="1" x14ac:dyDescent="0.45">
      <c r="A46" s="165" t="s">
        <v>836</v>
      </c>
      <c r="B46" s="175">
        <v>0.1</v>
      </c>
      <c r="C46" s="70">
        <f>VLOOKUP(Estimates!$B$1,INITIAL_EST,240,FALSE)</f>
        <v>0</v>
      </c>
      <c r="D46" s="262">
        <f>Estimates!B7</f>
        <v>0</v>
      </c>
      <c r="E46" s="501">
        <f>VLOOKUP(Estimates!$B$1,CASH_FLOW,240,FALSE)</f>
        <v>0</v>
      </c>
      <c r="F46" s="703">
        <f>E46</f>
        <v>0</v>
      </c>
      <c r="G46" s="690"/>
      <c r="H46" s="741">
        <v>240</v>
      </c>
      <c r="I46" s="742" t="s">
        <v>522</v>
      </c>
      <c r="J46" s="756"/>
      <c r="K46" s="635"/>
      <c r="L46" s="635"/>
      <c r="M46" s="631"/>
      <c r="N46" s="633"/>
      <c r="O46" s="633"/>
      <c r="P46" s="633"/>
      <c r="Q46" s="633"/>
      <c r="R46" s="598"/>
      <c r="S46" s="11"/>
    </row>
    <row r="47" spans="1:19" s="19" customFormat="1" ht="18.75" customHeight="1" x14ac:dyDescent="0.45">
      <c r="A47" s="45" t="s">
        <v>837</v>
      </c>
      <c r="B47" s="546">
        <v>7.0000000000000007E-2</v>
      </c>
      <c r="C47" s="240"/>
      <c r="D47" s="263">
        <f>Estimates!B55</f>
        <v>0</v>
      </c>
      <c r="E47" s="500">
        <f>VLOOKUP(Estimates!$B$1,CASH_FLOW,55,FALSE)</f>
        <v>0</v>
      </c>
      <c r="F47" s="704">
        <f>E47</f>
        <v>0</v>
      </c>
      <c r="G47" s="690"/>
      <c r="H47" s="694">
        <v>55</v>
      </c>
      <c r="I47" s="695" t="s">
        <v>175</v>
      </c>
      <c r="J47" s="756"/>
      <c r="K47" s="636"/>
      <c r="L47" s="636"/>
      <c r="M47" s="637"/>
      <c r="N47" s="638"/>
      <c r="O47" s="638"/>
      <c r="P47" s="638"/>
      <c r="Q47" s="638"/>
      <c r="R47" s="599"/>
    </row>
    <row r="48" spans="1:19" s="19" customFormat="1" x14ac:dyDescent="0.45">
      <c r="A48" s="225" t="s">
        <v>839</v>
      </c>
      <c r="B48" s="547"/>
      <c r="C48" s="240"/>
      <c r="D48" s="264"/>
      <c r="E48" s="285"/>
      <c r="F48" s="705"/>
      <c r="G48" s="635"/>
      <c r="H48" s="744"/>
      <c r="I48" s="744"/>
      <c r="J48" s="756"/>
      <c r="K48" s="636"/>
      <c r="L48" s="636"/>
      <c r="M48" s="637"/>
      <c r="N48" s="638"/>
      <c r="O48" s="638"/>
      <c r="P48" s="638"/>
      <c r="Q48" s="638"/>
      <c r="R48" s="599"/>
    </row>
    <row r="49" spans="1:18" ht="18.75" customHeight="1" x14ac:dyDescent="0.45">
      <c r="A49" s="167" t="s">
        <v>561</v>
      </c>
      <c r="B49" s="548">
        <v>0.22500000000000001</v>
      </c>
      <c r="C49" s="241">
        <f>Estimates!B50</f>
        <v>0</v>
      </c>
      <c r="D49" s="265">
        <f>C49</f>
        <v>0</v>
      </c>
      <c r="E49" s="481">
        <f>VLOOKUP(Estimates!$B$1,CASH_FLOW,231,FALSE)</f>
        <v>0</v>
      </c>
      <c r="F49" s="704">
        <f>E49</f>
        <v>0</v>
      </c>
      <c r="G49" s="690"/>
      <c r="H49" s="694">
        <v>231</v>
      </c>
      <c r="I49" s="695" t="s">
        <v>513</v>
      </c>
      <c r="J49" s="756"/>
    </row>
    <row r="50" spans="1:18" x14ac:dyDescent="0.45">
      <c r="A50" s="167" t="s">
        <v>705</v>
      </c>
      <c r="B50" s="548">
        <v>0.23749999999999999</v>
      </c>
      <c r="C50" s="241">
        <f>Estimates!B51</f>
        <v>0</v>
      </c>
      <c r="D50" s="265">
        <f>C50</f>
        <v>0</v>
      </c>
      <c r="E50" s="481">
        <f>VLOOKUP(Estimates!$B$1,CASH_FLOW,232,FALSE)</f>
        <v>0</v>
      </c>
      <c r="F50" s="704">
        <f>E50</f>
        <v>0</v>
      </c>
      <c r="G50" s="690"/>
      <c r="H50" s="694">
        <v>232</v>
      </c>
      <c r="I50" s="695" t="s">
        <v>514</v>
      </c>
      <c r="J50" s="756"/>
    </row>
    <row r="51" spans="1:18" x14ac:dyDescent="0.45">
      <c r="A51" s="167" t="s">
        <v>706</v>
      </c>
      <c r="B51" s="548">
        <v>0.25</v>
      </c>
      <c r="C51" s="241">
        <f>Estimates!B52</f>
        <v>0</v>
      </c>
      <c r="D51" s="265">
        <f>C51</f>
        <v>0</v>
      </c>
      <c r="E51" s="481">
        <f>VLOOKUP(Estimates!$B$1,CASH_FLOW,233,FALSE)</f>
        <v>0</v>
      </c>
      <c r="F51" s="704">
        <f>E51</f>
        <v>0</v>
      </c>
      <c r="G51" s="690"/>
      <c r="H51" s="694">
        <v>233</v>
      </c>
      <c r="I51" s="695" t="s">
        <v>515</v>
      </c>
      <c r="J51" s="756"/>
    </row>
    <row r="52" spans="1:18" x14ac:dyDescent="0.45">
      <c r="A52" s="167" t="s">
        <v>707</v>
      </c>
      <c r="B52" s="548">
        <v>0.26250000000000001</v>
      </c>
      <c r="C52" s="241">
        <f>Estimates!B53</f>
        <v>0</v>
      </c>
      <c r="D52" s="265">
        <f>C52</f>
        <v>0</v>
      </c>
      <c r="E52" s="481">
        <f>VLOOKUP(Estimates!$B$1,CASH_FLOW,234,FALSE)</f>
        <v>0</v>
      </c>
      <c r="F52" s="704">
        <f>E52</f>
        <v>0</v>
      </c>
      <c r="G52" s="690"/>
      <c r="H52" s="694">
        <v>234</v>
      </c>
      <c r="I52" s="695" t="s">
        <v>516</v>
      </c>
      <c r="J52" s="756"/>
    </row>
    <row r="53" spans="1:18" x14ac:dyDescent="0.45">
      <c r="A53" s="167" t="s">
        <v>560</v>
      </c>
      <c r="B53" s="548">
        <v>0.27500000000000002</v>
      </c>
      <c r="C53" s="241">
        <f>Estimates!B54</f>
        <v>0</v>
      </c>
      <c r="D53" s="265">
        <f>C53</f>
        <v>0</v>
      </c>
      <c r="E53" s="481">
        <f>VLOOKUP(Estimates!$B$1,CASH_FLOW,235,FALSE)</f>
        <v>0</v>
      </c>
      <c r="F53" s="704">
        <f>E53</f>
        <v>0</v>
      </c>
      <c r="G53" s="690"/>
      <c r="H53" s="694">
        <v>235</v>
      </c>
      <c r="I53" s="695" t="s">
        <v>517</v>
      </c>
      <c r="J53" s="756"/>
    </row>
    <row r="54" spans="1:18" ht="19" thickBot="1" x14ac:dyDescent="0.5">
      <c r="A54" s="43" t="s">
        <v>898</v>
      </c>
      <c r="B54" s="218"/>
      <c r="C54" s="38">
        <f>SUM(C49:C53)</f>
        <v>0</v>
      </c>
      <c r="D54" s="258">
        <f>SUM(D49:D53)</f>
        <v>0</v>
      </c>
      <c r="E54" s="293">
        <f>SUM(E49:E53)</f>
        <v>0</v>
      </c>
      <c r="F54" s="293">
        <f>SUM(F49:F53)</f>
        <v>0</v>
      </c>
      <c r="G54" s="768">
        <f>VLOOKUP(Estimates!$B$1,CASH_FLOW,236,FALSE)</f>
        <v>0</v>
      </c>
      <c r="H54" s="747">
        <v>236</v>
      </c>
      <c r="I54" s="748" t="s">
        <v>518</v>
      </c>
      <c r="J54" s="759">
        <f>E54-G54</f>
        <v>0</v>
      </c>
    </row>
    <row r="55" spans="1:18" ht="20.25" customHeight="1" thickTop="1" thickBot="1" x14ac:dyDescent="0.5">
      <c r="A55" s="43" t="s">
        <v>477</v>
      </c>
      <c r="B55" s="218"/>
      <c r="C55" s="38">
        <f>$B$49*C49+$B$50*$C$50+$B$51*C51+$B$52*C52+$B$53*C53</f>
        <v>0</v>
      </c>
      <c r="D55" s="258">
        <f>$B$49*D49+$B$50*$D$50+$B$51*D51+$B$52*D52+$B$53*D53</f>
        <v>0</v>
      </c>
      <c r="E55" s="293">
        <f>IF(E4=0,0,$B$49*E49+$B$50*E50+$B$51*E51+$B$52*E52+$B$53*E53)</f>
        <v>0</v>
      </c>
      <c r="F55" s="293">
        <f>IF(F4=0,0,$B$49*F49+$B$50*F50+$B$51*F51+$B$52*F52+$B$53*F53)</f>
        <v>0</v>
      </c>
      <c r="G55" s="773">
        <f>VLOOKUP(Estimates!$B$1,CASH_FLOW,110,FALSE)</f>
        <v>0</v>
      </c>
      <c r="H55" s="749">
        <v>110</v>
      </c>
      <c r="I55" s="750" t="s">
        <v>230</v>
      </c>
      <c r="J55" s="760">
        <f>E55-G55</f>
        <v>0</v>
      </c>
    </row>
    <row r="56" spans="1:18" ht="19" thickTop="1" x14ac:dyDescent="0.45">
      <c r="A56" s="165" t="s">
        <v>840</v>
      </c>
      <c r="B56" s="549">
        <v>2.41</v>
      </c>
      <c r="C56" s="35">
        <f>VLOOKUP(Estimates!$B$1,INITIAL_EST,93,FALSE)</f>
        <v>0</v>
      </c>
      <c r="D56" s="266">
        <f>Estimates!B12*Estimates!$B$4*0.2936</f>
        <v>0</v>
      </c>
      <c r="E56" s="297">
        <f>VLOOKUP(Estimates!$B$1,CASH_FLOW,93,FALSE)</f>
        <v>0</v>
      </c>
      <c r="F56" s="706">
        <f>E56</f>
        <v>0</v>
      </c>
      <c r="G56" s="693"/>
      <c r="H56" s="741">
        <v>93</v>
      </c>
      <c r="I56" s="742" t="s">
        <v>213</v>
      </c>
      <c r="J56" s="756"/>
    </row>
    <row r="57" spans="1:18" s="21" customFormat="1" ht="55.5" x14ac:dyDescent="0.45">
      <c r="A57" s="165" t="s">
        <v>842</v>
      </c>
      <c r="B57" s="550">
        <v>0.2</v>
      </c>
      <c r="C57" s="242">
        <f>VLOOKUP(Estimates!B1,INITIAL_EST,237,FALSE)</f>
        <v>0</v>
      </c>
      <c r="D57" s="268">
        <f>Estimates!B11</f>
        <v>0</v>
      </c>
      <c r="E57" s="299">
        <f>VLOOKUP(Estimates!B1,CASH_FLOW,237,FALSE)</f>
        <v>0</v>
      </c>
      <c r="F57" s="707">
        <f>E57</f>
        <v>0</v>
      </c>
      <c r="G57" s="693"/>
      <c r="H57" s="694">
        <v>237</v>
      </c>
      <c r="I57" s="695" t="s">
        <v>519</v>
      </c>
      <c r="J57" s="756"/>
      <c r="K57" s="643"/>
      <c r="L57" s="643"/>
      <c r="M57" s="644"/>
      <c r="N57" s="645"/>
      <c r="O57" s="645"/>
      <c r="P57" s="645"/>
      <c r="Q57" s="645"/>
      <c r="R57" s="601"/>
    </row>
    <row r="58" spans="1:18" s="19" customFormat="1" x14ac:dyDescent="0.45">
      <c r="A58" s="244" t="s">
        <v>841</v>
      </c>
      <c r="B58" s="545">
        <v>0.1</v>
      </c>
      <c r="C58" s="41">
        <f>VLOOKUP(Estimates!$B$1,INITIAL_EST,241,FALSE)</f>
        <v>0</v>
      </c>
      <c r="D58" s="267">
        <f>Estimates!B8*Estimates!$B$4</f>
        <v>0</v>
      </c>
      <c r="E58" s="298">
        <f>VLOOKUP(Estimates!$B$1,CASH_FLOW,241,FALSE)</f>
        <v>0</v>
      </c>
      <c r="F58" s="708">
        <f>E58</f>
        <v>0</v>
      </c>
      <c r="G58" s="693"/>
      <c r="H58" s="694">
        <v>241</v>
      </c>
      <c r="I58" s="695" t="s">
        <v>523</v>
      </c>
      <c r="J58" s="756"/>
      <c r="K58" s="636"/>
      <c r="L58" s="636"/>
      <c r="M58" s="637"/>
      <c r="N58" s="638"/>
      <c r="O58" s="638"/>
      <c r="P58" s="638"/>
      <c r="Q58" s="638"/>
      <c r="R58" s="599"/>
    </row>
    <row r="59" spans="1:18" s="21" customFormat="1" x14ac:dyDescent="0.45">
      <c r="A59" s="166" t="s">
        <v>843</v>
      </c>
      <c r="B59" s="551">
        <v>275</v>
      </c>
      <c r="C59" s="243">
        <f>VLOOKUP(Estimates!$B$1,INITIAL_EST,242,FALSE)</f>
        <v>0</v>
      </c>
      <c r="D59" s="268">
        <f>Estimates!B9*Estimates!B4</f>
        <v>0</v>
      </c>
      <c r="E59" s="299">
        <f>VLOOKUP(Estimates!$B$1,CASH_FLOW,242,FALSE)</f>
        <v>0</v>
      </c>
      <c r="F59" s="707">
        <f>E59</f>
        <v>0</v>
      </c>
      <c r="G59" s="693"/>
      <c r="H59" s="694">
        <v>242</v>
      </c>
      <c r="I59" s="695" t="s">
        <v>524</v>
      </c>
      <c r="J59" s="756"/>
      <c r="K59" s="643"/>
      <c r="L59" s="643"/>
      <c r="M59" s="644"/>
      <c r="N59" s="645"/>
      <c r="O59" s="645"/>
      <c r="P59" s="645"/>
      <c r="Q59" s="645"/>
      <c r="R59" s="601"/>
    </row>
    <row r="60" spans="1:18" x14ac:dyDescent="0.45">
      <c r="A60" s="165" t="s">
        <v>844</v>
      </c>
      <c r="B60" s="551">
        <v>275</v>
      </c>
      <c r="C60" s="237">
        <f>VLOOKUP(Estimates!$B$1,INITIAL_EST,244,FALSE)</f>
        <v>0</v>
      </c>
      <c r="D60" s="269">
        <f>Estimates!B10*Estimates!B4</f>
        <v>0</v>
      </c>
      <c r="E60" s="300">
        <f>VLOOKUP(Estimates!$B$1,CASH_FLOW,244,FALSE)</f>
        <v>0</v>
      </c>
      <c r="F60" s="700">
        <f>E60</f>
        <v>0</v>
      </c>
      <c r="G60" s="693"/>
      <c r="H60" s="694">
        <v>244</v>
      </c>
      <c r="I60" s="695" t="s">
        <v>526</v>
      </c>
      <c r="J60" s="756"/>
    </row>
    <row r="61" spans="1:18" ht="19" thickBot="1" x14ac:dyDescent="0.5">
      <c r="A61" s="46" t="s">
        <v>651</v>
      </c>
      <c r="B61" s="544"/>
      <c r="C61" s="47">
        <f>ROUND((C121-C115-C116-C117-C118-C119-C120-C84)/C66,3)</f>
        <v>0</v>
      </c>
      <c r="D61" s="270">
        <f>ROUND((D121-D115-D116-D117-D118-D119-D120-D84)/D66,3)</f>
        <v>0</v>
      </c>
      <c r="E61" s="301">
        <f>ROUND((E121-E115-E116-E117-E118-E119-E120-E84-E103)/E66,3)</f>
        <v>0</v>
      </c>
      <c r="F61" s="301">
        <f>ROUND((F121-F115-F116-F117-F118-F119-F120-F84-F103)/F66,3)</f>
        <v>0</v>
      </c>
      <c r="G61" s="768">
        <f>VLOOKUP(Estimates!$B$1,CASH_FLOW,166,FALSE)</f>
        <v>0</v>
      </c>
      <c r="H61" s="747">
        <v>166</v>
      </c>
      <c r="I61" s="748" t="s">
        <v>286</v>
      </c>
      <c r="J61" s="761">
        <f>E61-G61</f>
        <v>0</v>
      </c>
    </row>
    <row r="62" spans="1:18" s="22" customFormat="1" ht="19" thickTop="1" x14ac:dyDescent="0.45">
      <c r="A62" s="226" t="s">
        <v>575</v>
      </c>
      <c r="B62" s="552"/>
      <c r="C62" s="338"/>
      <c r="D62" s="339"/>
      <c r="E62" s="285"/>
      <c r="F62" s="705"/>
      <c r="G62" s="744"/>
      <c r="H62" s="744"/>
      <c r="I62" s="744"/>
      <c r="J62" s="756"/>
      <c r="K62" s="646"/>
      <c r="L62" s="646"/>
      <c r="M62" s="647"/>
      <c r="N62" s="648"/>
      <c r="O62" s="648"/>
      <c r="P62" s="648"/>
      <c r="Q62" s="648"/>
      <c r="R62" s="602"/>
    </row>
    <row r="63" spans="1:18" x14ac:dyDescent="0.45">
      <c r="A63" s="36" t="s">
        <v>602</v>
      </c>
      <c r="B63" s="553"/>
      <c r="C63" s="232">
        <f>VLOOKUP(Estimates!$B$1,INITIAL_EST,18,FALSE)</f>
        <v>402.428</v>
      </c>
      <c r="D63" s="271">
        <f>C63</f>
        <v>402.428</v>
      </c>
      <c r="E63" s="302">
        <f>VLOOKUP(Estimates!$B$1,CASH_FLOW,18,FALSE)</f>
        <v>0</v>
      </c>
      <c r="F63" s="302">
        <f t="shared" ref="F63:F74" si="2">E63</f>
        <v>0</v>
      </c>
      <c r="G63" s="693"/>
      <c r="H63" s="694">
        <v>18</v>
      </c>
      <c r="I63" s="695" t="s">
        <v>138</v>
      </c>
      <c r="J63" s="756"/>
    </row>
    <row r="64" spans="1:18" x14ac:dyDescent="0.45">
      <c r="A64" s="36" t="s">
        <v>691</v>
      </c>
      <c r="B64" s="553"/>
      <c r="C64" s="345">
        <f>VLOOKUP(Estimates!$B$1,INITIAL_EST,15,FALSE)</f>
        <v>0</v>
      </c>
      <c r="D64" s="346">
        <f>C64</f>
        <v>0</v>
      </c>
      <c r="E64" s="488">
        <f>VLOOKUP(Estimates!$B$1,CASH_FLOW,15,FALSE)</f>
        <v>0</v>
      </c>
      <c r="F64" s="488">
        <f t="shared" si="2"/>
        <v>0</v>
      </c>
      <c r="G64" s="693"/>
      <c r="H64" s="694">
        <v>15</v>
      </c>
      <c r="I64" s="695" t="s">
        <v>135</v>
      </c>
      <c r="J64" s="756"/>
    </row>
    <row r="65" spans="1:18" x14ac:dyDescent="0.45">
      <c r="A65" s="36" t="s">
        <v>490</v>
      </c>
      <c r="B65" s="553"/>
      <c r="C65" s="233">
        <v>9.7200000000000006</v>
      </c>
      <c r="D65" s="271">
        <f>C65</f>
        <v>9.7200000000000006</v>
      </c>
      <c r="E65" s="302">
        <v>9.7200000000000006</v>
      </c>
      <c r="F65" s="302">
        <f t="shared" si="2"/>
        <v>9.7200000000000006</v>
      </c>
      <c r="G65" s="693"/>
      <c r="H65" s="740"/>
      <c r="I65" s="788"/>
      <c r="J65" s="756"/>
    </row>
    <row r="66" spans="1:18" x14ac:dyDescent="0.45">
      <c r="A66" s="36" t="s">
        <v>603</v>
      </c>
      <c r="B66" s="553"/>
      <c r="C66" s="236">
        <v>6159.0820000000003</v>
      </c>
      <c r="D66" s="272">
        <f>C66</f>
        <v>6159.0820000000003</v>
      </c>
      <c r="E66" s="303">
        <f>6159.97144</f>
        <v>6159.9714400000003</v>
      </c>
      <c r="F66" s="303">
        <f t="shared" si="2"/>
        <v>6159.9714400000003</v>
      </c>
      <c r="G66" s="693"/>
      <c r="H66" s="740"/>
      <c r="I66" s="788"/>
      <c r="J66" s="756"/>
    </row>
    <row r="67" spans="1:18" x14ac:dyDescent="0.45">
      <c r="A67" s="36" t="s">
        <v>604</v>
      </c>
      <c r="B67" s="553"/>
      <c r="C67" s="236">
        <v>1099</v>
      </c>
      <c r="D67" s="272">
        <f>C67</f>
        <v>1099</v>
      </c>
      <c r="E67" s="303">
        <f>1100.000000001</f>
        <v>1100.000000001</v>
      </c>
      <c r="F67" s="303">
        <f t="shared" si="2"/>
        <v>1100.000000001</v>
      </c>
      <c r="G67" s="693"/>
      <c r="H67" s="740"/>
      <c r="I67" s="788"/>
      <c r="J67" s="756"/>
    </row>
    <row r="68" spans="1:18" x14ac:dyDescent="0.45">
      <c r="A68" s="36" t="s">
        <v>909</v>
      </c>
      <c r="B68" s="529"/>
      <c r="C68" s="437"/>
      <c r="D68" s="669"/>
      <c r="E68" s="303">
        <f>ROUND(E66+E67,0)</f>
        <v>7260</v>
      </c>
      <c r="F68" s="303">
        <f t="shared" si="2"/>
        <v>7260</v>
      </c>
      <c r="G68" s="693"/>
      <c r="H68" s="740"/>
      <c r="I68" s="788"/>
      <c r="J68" s="756"/>
    </row>
    <row r="69" spans="1:18" x14ac:dyDescent="0.45">
      <c r="A69" s="36" t="s">
        <v>605</v>
      </c>
      <c r="B69" s="553"/>
      <c r="C69" s="477">
        <f>VLOOKUP(Estimates!$B$1,INITIAL_EST,162,FALSE)</f>
        <v>6.4728999999999995E-2</v>
      </c>
      <c r="D69" s="273">
        <f t="shared" ref="D69:D74" si="3">C69</f>
        <v>6.4728999999999995E-2</v>
      </c>
      <c r="E69" s="304">
        <f>VLOOKUP(Estimates!$B$1,CASH_FLOW,162,FALSE)</f>
        <v>6.3574999999999993E-2</v>
      </c>
      <c r="F69" s="304">
        <f t="shared" si="2"/>
        <v>6.3574999999999993E-2</v>
      </c>
      <c r="G69" s="693"/>
      <c r="H69" s="694">
        <v>162</v>
      </c>
      <c r="I69" s="695" t="s">
        <v>282</v>
      </c>
      <c r="J69" s="756"/>
    </row>
    <row r="70" spans="1:18" x14ac:dyDescent="0.45">
      <c r="A70" s="36" t="s">
        <v>606</v>
      </c>
      <c r="B70" s="553"/>
      <c r="C70" s="477">
        <f>VLOOKUP(Estimates!$B$1,INITIAL_EST,163,FALSE)</f>
        <v>2.6405999999999999E-2</v>
      </c>
      <c r="D70" s="273">
        <f t="shared" si="3"/>
        <v>2.6405999999999999E-2</v>
      </c>
      <c r="E70" s="304">
        <f>VLOOKUP(Estimates!$B$1,CASH_FLOW,163,FALSE)</f>
        <v>2.6298999999999999E-2</v>
      </c>
      <c r="F70" s="304">
        <f t="shared" si="2"/>
        <v>2.6298999999999999E-2</v>
      </c>
      <c r="G70" s="693"/>
      <c r="H70" s="694">
        <v>163</v>
      </c>
      <c r="I70" s="695" t="s">
        <v>283</v>
      </c>
      <c r="J70" s="756"/>
    </row>
    <row r="71" spans="1:18" x14ac:dyDescent="0.45">
      <c r="A71" s="36" t="s">
        <v>740</v>
      </c>
      <c r="B71" s="553"/>
      <c r="C71" s="477">
        <f>VLOOKUP(Estimates!$B$1,INITIAL_EST,210,FALSE)</f>
        <v>0</v>
      </c>
      <c r="D71" s="273">
        <f t="shared" si="3"/>
        <v>0</v>
      </c>
      <c r="E71" s="304">
        <f>VLOOKUP(Estimates!$B$1,CASH_FLOW,210,FALSE)</f>
        <v>4.5690999999999996E-2</v>
      </c>
      <c r="F71" s="304">
        <f t="shared" si="2"/>
        <v>4.5690999999999996E-2</v>
      </c>
      <c r="G71" s="693"/>
      <c r="H71" s="694">
        <v>210</v>
      </c>
      <c r="I71" s="695" t="s">
        <v>440</v>
      </c>
      <c r="J71" s="756"/>
    </row>
    <row r="72" spans="1:18" x14ac:dyDescent="0.45">
      <c r="A72" s="36" t="s">
        <v>608</v>
      </c>
      <c r="B72" s="553"/>
      <c r="C72" s="234">
        <v>35</v>
      </c>
      <c r="D72" s="274">
        <f t="shared" si="3"/>
        <v>35</v>
      </c>
      <c r="E72" s="494">
        <v>40</v>
      </c>
      <c r="F72" s="494">
        <f t="shared" si="2"/>
        <v>40</v>
      </c>
      <c r="G72" s="693"/>
      <c r="H72" s="807"/>
      <c r="I72" s="808"/>
      <c r="J72" s="756"/>
    </row>
    <row r="73" spans="1:18" x14ac:dyDescent="0.45">
      <c r="A73" s="36" t="s">
        <v>609</v>
      </c>
      <c r="B73" s="553"/>
      <c r="C73" s="234">
        <v>98.56</v>
      </c>
      <c r="D73" s="274">
        <f t="shared" si="3"/>
        <v>98.56</v>
      </c>
      <c r="E73" s="302">
        <v>98.56</v>
      </c>
      <c r="F73" s="494">
        <f t="shared" si="2"/>
        <v>98.56</v>
      </c>
      <c r="G73" s="693"/>
      <c r="H73" s="740"/>
      <c r="I73" s="788"/>
      <c r="J73" s="756"/>
    </row>
    <row r="74" spans="1:18" ht="19" thickBot="1" x14ac:dyDescent="0.5">
      <c r="A74" s="48" t="s">
        <v>610</v>
      </c>
      <c r="B74" s="554"/>
      <c r="C74" s="235">
        <v>49.28</v>
      </c>
      <c r="D74" s="275">
        <f t="shared" si="3"/>
        <v>49.28</v>
      </c>
      <c r="E74" s="489">
        <v>49.28</v>
      </c>
      <c r="F74" s="489">
        <f t="shared" si="2"/>
        <v>49.28</v>
      </c>
      <c r="G74" s="693"/>
      <c r="H74" s="740"/>
      <c r="I74" s="788"/>
      <c r="J74" s="756"/>
    </row>
    <row r="75" spans="1:18" s="19" customFormat="1" ht="19" thickTop="1" x14ac:dyDescent="0.45">
      <c r="A75" s="231" t="s">
        <v>475</v>
      </c>
      <c r="B75" s="555"/>
      <c r="C75" s="340"/>
      <c r="D75" s="341"/>
      <c r="E75" s="670"/>
      <c r="F75" s="340"/>
      <c r="G75" s="635"/>
      <c r="H75" s="744"/>
      <c r="I75" s="744"/>
      <c r="J75" s="756"/>
      <c r="K75" s="636"/>
      <c r="L75" s="636"/>
      <c r="M75" s="637"/>
      <c r="N75" s="638"/>
      <c r="O75" s="638"/>
      <c r="P75" s="638"/>
      <c r="Q75" s="638"/>
      <c r="R75" s="599"/>
    </row>
    <row r="76" spans="1:18" s="20" customFormat="1" ht="19" thickBot="1" x14ac:dyDescent="0.5">
      <c r="A76" s="211" t="s">
        <v>660</v>
      </c>
      <c r="B76" s="212"/>
      <c r="C76" s="436">
        <f>IF(C85&gt;C86,C45*C66,(C45*C66)-MIN(C87,C45*C66))</f>
        <v>0</v>
      </c>
      <c r="D76" s="436">
        <f>IF(D85&gt;D86,D45*D66,(D45*D66)-MIN(D87,D45*D66))</f>
        <v>0</v>
      </c>
      <c r="E76" s="436">
        <f>IF(E85&gt;E86,E45*E66,(E45*E66)-MIN(E87,E45*E66))</f>
        <v>0</v>
      </c>
      <c r="F76" s="436">
        <f>IF(F85&gt;F86,F45*F66,(F45*F66)-MIN(F87,F45*F66))</f>
        <v>0</v>
      </c>
      <c r="G76" s="777">
        <f>VLOOKUP(Estimates!$B$1,CASH_FLOW,105,FALSE)</f>
        <v>0</v>
      </c>
      <c r="H76" s="779">
        <v>105</v>
      </c>
      <c r="I76" s="748" t="s">
        <v>225</v>
      </c>
      <c r="J76" s="761">
        <f>E76-G76</f>
        <v>0</v>
      </c>
      <c r="K76" s="640"/>
      <c r="L76" s="640"/>
      <c r="M76" s="641"/>
      <c r="N76" s="642"/>
      <c r="O76" s="642"/>
      <c r="P76" s="642"/>
      <c r="Q76" s="642"/>
      <c r="R76" s="600"/>
    </row>
    <row r="77" spans="1:18" s="20" customFormat="1" ht="19.5" thickTop="1" thickBot="1" x14ac:dyDescent="0.5">
      <c r="A77" s="211" t="s">
        <v>620</v>
      </c>
      <c r="B77" s="212"/>
      <c r="C77" s="436">
        <f>C67*C45</f>
        <v>0</v>
      </c>
      <c r="D77" s="434">
        <f>D67*D45</f>
        <v>0</v>
      </c>
      <c r="E77" s="305">
        <f>E67*E45</f>
        <v>0</v>
      </c>
      <c r="F77" s="709">
        <f>F67*F45</f>
        <v>0</v>
      </c>
      <c r="G77" s="799">
        <f>VLOOKUP(Estimates!$B$1,CASH_FLOW,213,FALSE)</f>
        <v>0</v>
      </c>
      <c r="H77" s="790">
        <v>213</v>
      </c>
      <c r="I77" s="750" t="s">
        <v>495</v>
      </c>
      <c r="J77" s="784">
        <f>E77-G77</f>
        <v>0</v>
      </c>
      <c r="K77" s="640"/>
      <c r="L77" s="640"/>
      <c r="M77" s="641"/>
      <c r="N77" s="642"/>
      <c r="O77" s="642"/>
      <c r="P77" s="642"/>
      <c r="Q77" s="642"/>
      <c r="R77" s="600"/>
    </row>
    <row r="78" spans="1:18" s="23" customFormat="1" ht="19" thickTop="1" x14ac:dyDescent="0.45">
      <c r="A78" s="450" t="s">
        <v>628</v>
      </c>
      <c r="B78" s="453"/>
      <c r="C78" s="437"/>
      <c r="D78" s="431"/>
      <c r="E78" s="296"/>
      <c r="F78" s="710"/>
      <c r="G78" s="744"/>
      <c r="H78" s="744"/>
      <c r="I78" s="756"/>
      <c r="J78" s="744"/>
      <c r="K78" s="649"/>
      <c r="L78" s="649"/>
      <c r="M78" s="641"/>
      <c r="N78" s="642"/>
      <c r="O78" s="642"/>
      <c r="P78" s="642"/>
      <c r="Q78" s="642"/>
      <c r="R78" s="600"/>
    </row>
    <row r="79" spans="1:18" s="24" customFormat="1" ht="19" thickBot="1" x14ac:dyDescent="0.5">
      <c r="A79" s="315" t="s">
        <v>646</v>
      </c>
      <c r="B79" s="213"/>
      <c r="C79" s="438">
        <f>(C17-(C14*$B$14+C15*$B$15))*C66</f>
        <v>0</v>
      </c>
      <c r="D79" s="435">
        <f>(D17-(D14*$B$14+D15*$B$15))*D66</f>
        <v>0</v>
      </c>
      <c r="E79" s="306">
        <f>E17*E66</f>
        <v>0</v>
      </c>
      <c r="F79" s="306">
        <f>F17*F66</f>
        <v>0</v>
      </c>
      <c r="G79" s="800">
        <f>VLOOKUP(Estimates!$B$1,CASH_FLOW,137,FALSE)</f>
        <v>0</v>
      </c>
      <c r="H79" s="779">
        <v>137</v>
      </c>
      <c r="I79" s="748" t="s">
        <v>257</v>
      </c>
      <c r="J79" s="761">
        <f>E79-G79</f>
        <v>0</v>
      </c>
      <c r="K79" s="650"/>
      <c r="L79" s="650"/>
      <c r="M79" s="631"/>
      <c r="N79" s="633"/>
      <c r="O79" s="633"/>
      <c r="P79" s="633"/>
      <c r="Q79" s="633"/>
      <c r="R79" s="598"/>
    </row>
    <row r="80" spans="1:18" s="24" customFormat="1" ht="19.5" thickTop="1" thickBot="1" x14ac:dyDescent="0.5">
      <c r="A80" s="315" t="s">
        <v>630</v>
      </c>
      <c r="B80" s="213"/>
      <c r="C80" s="438">
        <f>C37*$B$37*C66</f>
        <v>0</v>
      </c>
      <c r="D80" s="435">
        <f>D37*$B$37*D66</f>
        <v>0</v>
      </c>
      <c r="E80" s="306">
        <f>E37*$B$37*E66</f>
        <v>0</v>
      </c>
      <c r="F80" s="711">
        <f>F37*$B$37*F66</f>
        <v>0</v>
      </c>
      <c r="G80" s="801">
        <f>VLOOKUP(Estimates!$B$1,CASH_FLOW,133,FALSE)</f>
        <v>0</v>
      </c>
      <c r="H80" s="790">
        <v>133</v>
      </c>
      <c r="I80" s="750" t="s">
        <v>253</v>
      </c>
      <c r="J80" s="784">
        <f>E80-G80</f>
        <v>0</v>
      </c>
      <c r="K80" s="650"/>
      <c r="L80" s="650"/>
      <c r="M80" s="631"/>
      <c r="N80" s="633"/>
      <c r="O80" s="633"/>
      <c r="P80" s="633"/>
      <c r="Q80" s="633"/>
      <c r="R80" s="598"/>
    </row>
    <row r="81" spans="1:18" s="24" customFormat="1" ht="19.5" thickTop="1" thickBot="1" x14ac:dyDescent="0.5">
      <c r="A81" s="315" t="s">
        <v>631</v>
      </c>
      <c r="B81" s="213"/>
      <c r="C81" s="438">
        <f>C15*$B$15*C66</f>
        <v>0</v>
      </c>
      <c r="D81" s="435">
        <f>D15*$B$15*D66</f>
        <v>0</v>
      </c>
      <c r="E81" s="306">
        <f>E15*$B$15*E66</f>
        <v>0</v>
      </c>
      <c r="F81" s="711">
        <f>F15*$B$15*F66</f>
        <v>0</v>
      </c>
      <c r="G81" s="801">
        <f>VLOOKUP(Estimates!$B$1,CASH_FLOW,138,FALSE)</f>
        <v>0</v>
      </c>
      <c r="H81" s="790">
        <v>138</v>
      </c>
      <c r="I81" s="750" t="s">
        <v>258</v>
      </c>
      <c r="J81" s="784">
        <f>E81-G81</f>
        <v>0</v>
      </c>
      <c r="K81" s="650"/>
      <c r="L81" s="650"/>
      <c r="M81" s="631"/>
      <c r="N81" s="633"/>
      <c r="O81" s="633"/>
      <c r="P81" s="633"/>
      <c r="Q81" s="633"/>
      <c r="R81" s="598"/>
    </row>
    <row r="82" spans="1:18" s="24" customFormat="1" ht="19" thickTop="1" x14ac:dyDescent="0.45">
      <c r="A82" s="315" t="s">
        <v>632</v>
      </c>
      <c r="B82" s="213"/>
      <c r="C82" s="438">
        <f>C14*$B$14*C66</f>
        <v>0</v>
      </c>
      <c r="D82" s="435">
        <f>D14*$B$14*D66</f>
        <v>0</v>
      </c>
      <c r="E82" s="306">
        <f>E14*$B$14*E66</f>
        <v>0</v>
      </c>
      <c r="F82" s="711">
        <f>F14*$B$14*F66</f>
        <v>0</v>
      </c>
      <c r="G82" s="809"/>
      <c r="H82" s="740"/>
      <c r="I82" s="788"/>
      <c r="J82" s="756"/>
      <c r="K82" s="650"/>
      <c r="L82" s="650"/>
      <c r="M82" s="631"/>
      <c r="N82" s="633"/>
      <c r="O82" s="633"/>
      <c r="P82" s="633"/>
      <c r="Q82" s="633"/>
      <c r="R82" s="598"/>
    </row>
    <row r="83" spans="1:18" s="24" customFormat="1" x14ac:dyDescent="0.45">
      <c r="A83" s="315" t="s">
        <v>633</v>
      </c>
      <c r="B83" s="213"/>
      <c r="C83" s="438">
        <f>C30*C66*0.75</f>
        <v>0</v>
      </c>
      <c r="D83" s="432">
        <f>D30*D66*0.75</f>
        <v>0</v>
      </c>
      <c r="E83" s="307">
        <f>E30*E66*0.75</f>
        <v>0</v>
      </c>
      <c r="F83" s="711">
        <f>F30*F66*0.75</f>
        <v>0</v>
      </c>
      <c r="G83" s="809"/>
      <c r="H83" s="740"/>
      <c r="I83" s="810"/>
      <c r="J83" s="756"/>
      <c r="K83" s="650"/>
      <c r="L83" s="650"/>
      <c r="M83" s="631"/>
      <c r="N83" s="633"/>
      <c r="O83" s="633"/>
      <c r="P83" s="633"/>
      <c r="Q83" s="633"/>
      <c r="R83" s="598"/>
    </row>
    <row r="84" spans="1:18" x14ac:dyDescent="0.45">
      <c r="A84" s="315" t="s">
        <v>784</v>
      </c>
      <c r="B84" s="229"/>
      <c r="C84" s="282">
        <f>-VLOOKUP($A$3,INITIAL_EST,117,FALSE)</f>
        <v>0</v>
      </c>
      <c r="D84" s="479">
        <f>IF($D$4=0,0,C84)</f>
        <v>0</v>
      </c>
      <c r="E84" s="490">
        <f>-VLOOKUP(A3,CASH_FLOW,117,FALSE)</f>
        <v>0</v>
      </c>
      <c r="F84" s="712">
        <f>E84</f>
        <v>0</v>
      </c>
      <c r="G84" s="774"/>
      <c r="H84" s="694">
        <v>117</v>
      </c>
      <c r="I84" s="695" t="s">
        <v>237</v>
      </c>
      <c r="J84" s="756"/>
    </row>
    <row r="85" spans="1:18" x14ac:dyDescent="0.45">
      <c r="A85" s="315" t="s">
        <v>923</v>
      </c>
      <c r="B85" s="229"/>
      <c r="C85" s="282">
        <f>SUM(C79:C83)</f>
        <v>0</v>
      </c>
      <c r="D85" s="479">
        <f>SUM(D79:D83)</f>
        <v>0</v>
      </c>
      <c r="E85" s="307">
        <f>SUM(E79:E83)</f>
        <v>0</v>
      </c>
      <c r="F85" s="307">
        <f>SUM(F79:F83)</f>
        <v>0</v>
      </c>
      <c r="G85" s="809"/>
      <c r="H85" s="740"/>
      <c r="I85" s="788"/>
      <c r="J85" s="756"/>
    </row>
    <row r="86" spans="1:18" x14ac:dyDescent="0.45">
      <c r="A86" s="315" t="s">
        <v>647</v>
      </c>
      <c r="B86" s="229"/>
      <c r="C86" s="282">
        <f>'Prior Law State Aid'!C67</f>
        <v>0</v>
      </c>
      <c r="D86" s="479">
        <f>IF(D4=0,0,'Prior Law State Aid'!D67)</f>
        <v>0</v>
      </c>
      <c r="E86" s="307">
        <f>IF(E4=0,0,'Prior Law State Aid'!E67)</f>
        <v>0</v>
      </c>
      <c r="F86" s="307">
        <f>IF(F4=0,0,'Prior Law State Aid'!F67)</f>
        <v>0</v>
      </c>
      <c r="G86" s="809"/>
      <c r="H86" s="740"/>
      <c r="I86" s="788"/>
      <c r="J86" s="756"/>
    </row>
    <row r="87" spans="1:18" x14ac:dyDescent="0.45">
      <c r="A87" s="315" t="s">
        <v>922</v>
      </c>
      <c r="B87" s="229"/>
      <c r="C87" s="282">
        <f>IF(C86-C85&lt;0,0,C86-C85)</f>
        <v>0</v>
      </c>
      <c r="D87" s="479">
        <f>IF(D86-D85&lt;0,0,D86-D85)</f>
        <v>0</v>
      </c>
      <c r="E87" s="307">
        <f>IF(E86-E85&lt;0,0,E86-E85)</f>
        <v>0</v>
      </c>
      <c r="F87" s="307">
        <f>IF(F86-F85&lt;0,0,F86-F85)</f>
        <v>0</v>
      </c>
      <c r="G87" s="809"/>
      <c r="H87" s="740"/>
      <c r="I87" s="788"/>
      <c r="J87" s="756"/>
    </row>
    <row r="88" spans="1:18" s="26" customFormat="1" ht="19" thickBot="1" x14ac:dyDescent="0.5">
      <c r="A88" s="328" t="s">
        <v>661</v>
      </c>
      <c r="B88" s="329"/>
      <c r="C88" s="253">
        <f>IF(C85&gt;C86,C84+C85,C84+C85+C87)</f>
        <v>0</v>
      </c>
      <c r="D88" s="470">
        <f>IF(D85&gt;D86,D84+D85,D84+D85+D87)</f>
        <v>0</v>
      </c>
      <c r="E88" s="469">
        <f>IF(E85&gt;E86,E84+E85,E84+E85+E87)</f>
        <v>0</v>
      </c>
      <c r="F88" s="713">
        <f>IF(F85&gt;F86,F84+F85,F84+F85+F87)</f>
        <v>0</v>
      </c>
      <c r="G88" s="777">
        <f>VLOOKUP(Estimates!$B$1,CASH_FLOW,116,FALSE)</f>
        <v>0</v>
      </c>
      <c r="H88" s="747">
        <v>116</v>
      </c>
      <c r="I88" s="778" t="s">
        <v>236</v>
      </c>
      <c r="J88" s="761">
        <f>E88-G88</f>
        <v>0</v>
      </c>
      <c r="K88" s="651"/>
      <c r="L88" s="651"/>
      <c r="M88" s="652"/>
      <c r="N88" s="653"/>
      <c r="O88" s="653"/>
      <c r="P88" s="653"/>
      <c r="Q88" s="653"/>
      <c r="R88" s="603"/>
    </row>
    <row r="89" spans="1:18" s="26" customFormat="1" ht="19.5" thickTop="1" thickBot="1" x14ac:dyDescent="0.5">
      <c r="A89" s="323" t="s">
        <v>662</v>
      </c>
      <c r="B89" s="327"/>
      <c r="C89" s="342">
        <f>C66*$B$46*C46</f>
        <v>0</v>
      </c>
      <c r="D89" s="280">
        <f>IF(D4=0,0,D66*$B$46*D46)</f>
        <v>0</v>
      </c>
      <c r="E89" s="310">
        <f>E66*$B$46*E46</f>
        <v>0</v>
      </c>
      <c r="F89" s="714">
        <f>F66*$B$46*F46</f>
        <v>0</v>
      </c>
      <c r="G89" s="777">
        <f>VLOOKUP(Estimates!$B$1,CASH_FLOW,214,FALSE)</f>
        <v>0</v>
      </c>
      <c r="H89" s="789">
        <v>214</v>
      </c>
      <c r="I89" s="806" t="s">
        <v>496</v>
      </c>
      <c r="J89" s="761">
        <f>E89-G89</f>
        <v>0</v>
      </c>
      <c r="K89" s="651"/>
      <c r="L89" s="651"/>
      <c r="M89" s="652"/>
      <c r="N89" s="653"/>
      <c r="O89" s="653"/>
      <c r="P89" s="653"/>
      <c r="Q89" s="653"/>
      <c r="R89" s="603"/>
    </row>
    <row r="90" spans="1:18" s="27" customFormat="1" ht="19" thickTop="1" x14ac:dyDescent="0.45">
      <c r="A90" s="452" t="s">
        <v>799</v>
      </c>
      <c r="B90" s="449"/>
      <c r="C90" s="439"/>
      <c r="D90" s="440"/>
      <c r="E90" s="441"/>
      <c r="F90" s="715"/>
      <c r="G90" s="744"/>
      <c r="H90" s="744"/>
      <c r="I90" s="756"/>
      <c r="J90" s="744"/>
      <c r="K90" s="654"/>
      <c r="L90" s="654"/>
      <c r="M90" s="647"/>
      <c r="N90" s="648"/>
      <c r="O90" s="648"/>
      <c r="P90" s="648"/>
      <c r="Q90" s="648"/>
      <c r="R90" s="602"/>
    </row>
    <row r="91" spans="1:18" s="24" customFormat="1" ht="19" thickBot="1" x14ac:dyDescent="0.5">
      <c r="A91" s="315" t="s">
        <v>648</v>
      </c>
      <c r="B91" s="213"/>
      <c r="C91" s="250">
        <f>C55*C66</f>
        <v>0</v>
      </c>
      <c r="D91" s="277">
        <f>IF(D4=0,0,D55*D66)</f>
        <v>0</v>
      </c>
      <c r="E91" s="308">
        <f>E55*E66</f>
        <v>0</v>
      </c>
      <c r="F91" s="716">
        <f>F55*F66</f>
        <v>0</v>
      </c>
      <c r="G91" s="777">
        <f>VLOOKUP(Estimates!$B$1,CASH_FLOW,108,FALSE)</f>
        <v>0</v>
      </c>
      <c r="H91" s="779">
        <v>108</v>
      </c>
      <c r="I91" s="778" t="s">
        <v>228</v>
      </c>
      <c r="J91" s="761">
        <f>E91-G91</f>
        <v>0</v>
      </c>
      <c r="K91" s="650"/>
      <c r="L91" s="650"/>
      <c r="M91" s="631"/>
      <c r="N91" s="633"/>
      <c r="O91" s="633"/>
      <c r="P91" s="633"/>
      <c r="Q91" s="633"/>
      <c r="R91" s="598"/>
    </row>
    <row r="92" spans="1:18" s="24" customFormat="1" ht="19.5" thickTop="1" thickBot="1" x14ac:dyDescent="0.5">
      <c r="A92" s="315" t="s">
        <v>649</v>
      </c>
      <c r="B92" s="213"/>
      <c r="C92" s="250">
        <f>C56*$B$56*C66</f>
        <v>0</v>
      </c>
      <c r="D92" s="277">
        <f>D56*$B$56*D66</f>
        <v>0</v>
      </c>
      <c r="E92" s="308">
        <f>E56*$B$56*E66</f>
        <v>0</v>
      </c>
      <c r="F92" s="716">
        <f>F56*$B$56*F66</f>
        <v>0</v>
      </c>
      <c r="G92" s="802">
        <f>VLOOKUP(Estimates!$B$1,CASH_FLOW,112,FALSE)</f>
        <v>0</v>
      </c>
      <c r="H92" s="790">
        <v>112</v>
      </c>
      <c r="I92" s="803" t="s">
        <v>232</v>
      </c>
      <c r="J92" s="784">
        <f>E92-G92</f>
        <v>0</v>
      </c>
      <c r="K92" s="650"/>
      <c r="L92" s="650"/>
      <c r="M92" s="631"/>
      <c r="N92" s="633"/>
      <c r="O92" s="633"/>
      <c r="P92" s="633"/>
      <c r="Q92" s="633"/>
      <c r="R92" s="598"/>
    </row>
    <row r="93" spans="1:18" s="24" customFormat="1" ht="33" thickTop="1" thickBot="1" x14ac:dyDescent="0.5">
      <c r="A93" s="316" t="s">
        <v>693</v>
      </c>
      <c r="B93" s="213"/>
      <c r="C93" s="250">
        <f>C57*B57*C66</f>
        <v>0</v>
      </c>
      <c r="D93" s="277">
        <f>D57*C57*D66</f>
        <v>0</v>
      </c>
      <c r="E93" s="308">
        <f>E57*B57*E66</f>
        <v>0</v>
      </c>
      <c r="F93" s="716">
        <f>E93</f>
        <v>0</v>
      </c>
      <c r="G93" s="802">
        <f>VLOOKUP(Estimates!$B$1,CASH_FLOW,237,FALSE)</f>
        <v>0</v>
      </c>
      <c r="H93" s="790">
        <v>237</v>
      </c>
      <c r="I93" s="812" t="s">
        <v>519</v>
      </c>
      <c r="J93" s="784">
        <f>E93-G93</f>
        <v>0</v>
      </c>
      <c r="K93" s="650"/>
      <c r="L93" s="650"/>
      <c r="M93" s="631"/>
      <c r="N93" s="633"/>
      <c r="O93" s="633"/>
      <c r="P93" s="633"/>
      <c r="Q93" s="633"/>
      <c r="R93" s="598"/>
    </row>
    <row r="94" spans="1:18" s="20" customFormat="1" ht="19.5" thickTop="1" thickBot="1" x14ac:dyDescent="0.5">
      <c r="A94" s="325" t="s">
        <v>663</v>
      </c>
      <c r="B94" s="329"/>
      <c r="C94" s="253">
        <f>SUM(C91:C93)</f>
        <v>0</v>
      </c>
      <c r="D94" s="279">
        <f>SUM(D91:D92)</f>
        <v>0</v>
      </c>
      <c r="E94" s="330">
        <f>SUM(E91:E93)</f>
        <v>0</v>
      </c>
      <c r="F94" s="717">
        <f>SUM(F91:F93)</f>
        <v>0</v>
      </c>
      <c r="G94" s="799">
        <f>VLOOKUP(Estimates!$B$1,CASH_FLOW,109,FALSE)</f>
        <v>0</v>
      </c>
      <c r="H94" s="790">
        <v>109</v>
      </c>
      <c r="I94" s="804" t="s">
        <v>229</v>
      </c>
      <c r="J94" s="784">
        <f>E94-G94</f>
        <v>0</v>
      </c>
      <c r="K94" s="640"/>
      <c r="L94" s="640"/>
      <c r="M94" s="641"/>
      <c r="N94" s="642"/>
      <c r="O94" s="642"/>
      <c r="P94" s="642"/>
      <c r="Q94" s="642"/>
      <c r="R94" s="600"/>
    </row>
    <row r="95" spans="1:18" s="20" customFormat="1" ht="19.5" thickTop="1" thickBot="1" x14ac:dyDescent="0.5">
      <c r="A95" s="323" t="s">
        <v>664</v>
      </c>
      <c r="B95" s="327"/>
      <c r="C95" s="342">
        <f>C36*C66</f>
        <v>0</v>
      </c>
      <c r="D95" s="280">
        <f>D36*D66</f>
        <v>0</v>
      </c>
      <c r="E95" s="310">
        <f>E36*E66</f>
        <v>0</v>
      </c>
      <c r="F95" s="714">
        <f>F36*F66</f>
        <v>0</v>
      </c>
      <c r="G95" s="799">
        <f>VLOOKUP(Estimates!$B$1,CASH_FLOW,23,FALSE)</f>
        <v>0</v>
      </c>
      <c r="H95" s="790">
        <v>23</v>
      </c>
      <c r="I95" s="804" t="s">
        <v>143</v>
      </c>
      <c r="J95" s="784">
        <f>E95-G95</f>
        <v>0</v>
      </c>
      <c r="K95" s="640"/>
      <c r="L95" s="640"/>
      <c r="M95" s="641"/>
      <c r="N95" s="642"/>
      <c r="O95" s="642"/>
      <c r="P95" s="642"/>
      <c r="Q95" s="642"/>
      <c r="R95" s="600"/>
    </row>
    <row r="96" spans="1:18" s="24" customFormat="1" ht="19.5" customHeight="1" thickTop="1" x14ac:dyDescent="0.45">
      <c r="A96" s="448" t="s">
        <v>634</v>
      </c>
      <c r="B96" s="449"/>
      <c r="C96" s="442"/>
      <c r="D96" s="443"/>
      <c r="E96" s="444"/>
      <c r="F96" s="718"/>
      <c r="G96" s="744"/>
      <c r="H96" s="744"/>
      <c r="I96" s="756"/>
      <c r="J96" s="744"/>
      <c r="K96" s="650"/>
      <c r="L96" s="650"/>
      <c r="M96" s="631"/>
      <c r="N96" s="633"/>
      <c r="O96" s="633"/>
      <c r="P96" s="633"/>
      <c r="Q96" s="633"/>
      <c r="R96" s="598"/>
    </row>
    <row r="97" spans="1:18" s="24" customFormat="1" ht="18.75" customHeight="1" x14ac:dyDescent="0.45">
      <c r="A97" s="315" t="s">
        <v>635</v>
      </c>
      <c r="B97" s="213"/>
      <c r="C97" s="250">
        <f>C43*$A$164*C66</f>
        <v>0</v>
      </c>
      <c r="D97" s="277">
        <f>D39*$A$164*D66</f>
        <v>0</v>
      </c>
      <c r="E97" s="308">
        <f>E43*E68</f>
        <v>0</v>
      </c>
      <c r="F97" s="308">
        <f>F43*F68</f>
        <v>0</v>
      </c>
      <c r="G97" s="822">
        <f>VLOOKUP(Estimates!$B$1,CASH_FLOW,183,FALSE)</f>
        <v>0</v>
      </c>
      <c r="H97" s="827">
        <v>183</v>
      </c>
      <c r="I97" s="823" t="s">
        <v>303</v>
      </c>
      <c r="J97" s="824">
        <f>E97-G97</f>
        <v>0</v>
      </c>
      <c r="K97" s="650"/>
      <c r="L97" s="650"/>
      <c r="M97" s="631"/>
      <c r="N97" s="633"/>
      <c r="O97" s="633"/>
      <c r="P97" s="633"/>
      <c r="Q97" s="633"/>
      <c r="R97" s="598"/>
    </row>
    <row r="98" spans="1:18" s="24" customFormat="1" ht="18.75" customHeight="1" x14ac:dyDescent="0.45">
      <c r="A98" s="315" t="s">
        <v>636</v>
      </c>
      <c r="B98" s="213"/>
      <c r="C98" s="250">
        <f>C44*$B$44</f>
        <v>0</v>
      </c>
      <c r="D98" s="277">
        <f>D44*$B$44</f>
        <v>0</v>
      </c>
      <c r="E98" s="308">
        <f>E44*$B$44</f>
        <v>0</v>
      </c>
      <c r="F98" s="716">
        <f>F44*$B$44</f>
        <v>0</v>
      </c>
      <c r="G98" s="822">
        <f>VLOOKUP(Estimates!$B$1,CASH_FLOW,181,FALSE)</f>
        <v>0</v>
      </c>
      <c r="H98" s="825">
        <v>181</v>
      </c>
      <c r="I98" s="826" t="s">
        <v>301</v>
      </c>
      <c r="J98" s="824">
        <f>E98-G98</f>
        <v>0</v>
      </c>
      <c r="K98" s="650"/>
      <c r="L98" s="650"/>
      <c r="M98" s="631"/>
      <c r="N98" s="633"/>
      <c r="O98" s="633"/>
      <c r="P98" s="633"/>
      <c r="Q98" s="633"/>
      <c r="R98" s="598"/>
    </row>
    <row r="99" spans="1:18" s="20" customFormat="1" ht="19.5" customHeight="1" thickBot="1" x14ac:dyDescent="0.5">
      <c r="A99" s="328" t="s">
        <v>665</v>
      </c>
      <c r="B99" s="329"/>
      <c r="C99" s="253">
        <f>SUM(C97:C98)</f>
        <v>0</v>
      </c>
      <c r="D99" s="279">
        <f>SUM(D97:D98)</f>
        <v>0</v>
      </c>
      <c r="E99" s="330">
        <f>SUM(E97:E98)</f>
        <v>0</v>
      </c>
      <c r="F99" s="717">
        <f>SUM(F97:F98)</f>
        <v>0</v>
      </c>
      <c r="G99" s="777">
        <f>VLOOKUP(Estimates!$B$1,CASH_FLOW,184,FALSE)</f>
        <v>0</v>
      </c>
      <c r="H99" s="789">
        <v>184</v>
      </c>
      <c r="I99" s="821" t="s">
        <v>304</v>
      </c>
      <c r="J99" s="761">
        <f>E99-G99</f>
        <v>0</v>
      </c>
      <c r="K99" s="640"/>
      <c r="L99" s="640"/>
      <c r="M99" s="641"/>
      <c r="N99" s="642"/>
      <c r="O99" s="642"/>
      <c r="P99" s="642"/>
      <c r="Q99" s="642"/>
      <c r="R99" s="600"/>
    </row>
    <row r="100" spans="1:18" s="20" customFormat="1" ht="19.5" thickTop="1" thickBot="1" x14ac:dyDescent="0.5">
      <c r="A100" s="331" t="s">
        <v>666</v>
      </c>
      <c r="B100" s="327"/>
      <c r="C100" s="342">
        <f>$B$58*C58*C66</f>
        <v>0</v>
      </c>
      <c r="D100" s="280">
        <f>IF($D$4=0,0,$B$58*D58*D66)</f>
        <v>0</v>
      </c>
      <c r="E100" s="332">
        <f>$B$58*E58*E66</f>
        <v>0</v>
      </c>
      <c r="F100" s="714">
        <f>$B$58*F58*F66</f>
        <v>0</v>
      </c>
      <c r="G100" s="799">
        <f>VLOOKUP(Estimates!$B$1,CASH_FLOW,215,FALSE)</f>
        <v>0</v>
      </c>
      <c r="H100" s="790">
        <v>215</v>
      </c>
      <c r="I100" s="804" t="s">
        <v>497</v>
      </c>
      <c r="J100" s="784">
        <f>E100-G100</f>
        <v>0</v>
      </c>
      <c r="K100" s="640"/>
      <c r="L100" s="640"/>
      <c r="M100" s="641"/>
      <c r="N100" s="642"/>
      <c r="O100" s="642"/>
      <c r="P100" s="642"/>
      <c r="Q100" s="642"/>
      <c r="R100" s="600"/>
    </row>
    <row r="101" spans="1:18" s="24" customFormat="1" ht="19" thickTop="1" x14ac:dyDescent="0.45">
      <c r="A101" s="448" t="s">
        <v>910</v>
      </c>
      <c r="B101" s="449"/>
      <c r="C101" s="442"/>
      <c r="D101" s="443"/>
      <c r="E101" s="444"/>
      <c r="F101" s="718"/>
      <c r="G101" s="635"/>
      <c r="H101" s="635"/>
      <c r="I101" s="756"/>
      <c r="J101" s="635"/>
      <c r="K101" s="650"/>
      <c r="L101" s="650"/>
      <c r="M101" s="631"/>
      <c r="N101" s="633"/>
      <c r="O101" s="633"/>
      <c r="P101" s="633"/>
      <c r="Q101" s="633"/>
      <c r="R101" s="598"/>
    </row>
    <row r="102" spans="1:18" s="26" customFormat="1" ht="19" thickBot="1" x14ac:dyDescent="0.5">
      <c r="A102" s="315" t="s">
        <v>915</v>
      </c>
      <c r="B102" s="212"/>
      <c r="C102" s="439"/>
      <c r="D102" s="276">
        <f>IF(D4=0,0,D66*$B$47*D47)</f>
        <v>0</v>
      </c>
      <c r="E102" s="308">
        <f>E66*$B$47*E47</f>
        <v>0</v>
      </c>
      <c r="F102" s="308">
        <f>F66*$B$47*F47</f>
        <v>0</v>
      </c>
      <c r="G102" s="782">
        <f>VLOOKUP(Estimates!$B$1,CASH_FLOW,53,FALSE)</f>
        <v>0</v>
      </c>
      <c r="H102" s="747">
        <v>53</v>
      </c>
      <c r="I102" s="778" t="s">
        <v>173</v>
      </c>
      <c r="J102" s="761">
        <f>E102-G102</f>
        <v>0</v>
      </c>
      <c r="K102" s="651"/>
      <c r="L102" s="651"/>
      <c r="M102" s="652"/>
      <c r="N102" s="653"/>
      <c r="O102" s="653"/>
      <c r="P102" s="653"/>
      <c r="Q102" s="653"/>
      <c r="R102" s="603"/>
    </row>
    <row r="103" spans="1:18" s="26" customFormat="1" ht="19" thickTop="1" x14ac:dyDescent="0.45">
      <c r="A103" s="315" t="s">
        <v>912</v>
      </c>
      <c r="B103" s="212"/>
      <c r="C103" s="439"/>
      <c r="D103" s="669"/>
      <c r="E103" s="530">
        <f>-VLOOKUP(A3,CASH_FLOW,56,FALSE)</f>
        <v>0</v>
      </c>
      <c r="F103" s="719">
        <f>E103</f>
        <v>0</v>
      </c>
      <c r="G103" s="775"/>
      <c r="H103" s="741">
        <v>56</v>
      </c>
      <c r="I103" s="805" t="s">
        <v>176</v>
      </c>
      <c r="J103" s="756"/>
      <c r="K103" s="651"/>
      <c r="L103" s="651"/>
      <c r="M103" s="652"/>
      <c r="N103" s="653"/>
      <c r="O103" s="653"/>
      <c r="P103" s="653"/>
      <c r="Q103" s="653"/>
      <c r="R103" s="603"/>
    </row>
    <row r="104" spans="1:18" s="26" customFormat="1" ht="19" thickBot="1" x14ac:dyDescent="0.5">
      <c r="A104" s="533" t="s">
        <v>911</v>
      </c>
      <c r="B104" s="329"/>
      <c r="C104" s="534"/>
      <c r="D104" s="671"/>
      <c r="E104" s="535">
        <f>E102+E103</f>
        <v>0</v>
      </c>
      <c r="F104" s="720">
        <f>F102+F103</f>
        <v>0</v>
      </c>
      <c r="G104" s="782">
        <f>VLOOKUP(Estimates!$B$1,CASH_FLOW,54,FALSE)</f>
        <v>0</v>
      </c>
      <c r="H104" s="747">
        <v>54</v>
      </c>
      <c r="I104" s="778" t="s">
        <v>174</v>
      </c>
      <c r="J104" s="761">
        <f>E104-G104</f>
        <v>0</v>
      </c>
      <c r="K104" s="651"/>
      <c r="L104" s="651"/>
      <c r="M104" s="652"/>
      <c r="N104" s="653"/>
      <c r="O104" s="653"/>
      <c r="P104" s="653"/>
      <c r="Q104" s="653"/>
      <c r="R104" s="603"/>
    </row>
    <row r="105" spans="1:18" s="20" customFormat="1" ht="19" thickTop="1" x14ac:dyDescent="0.45">
      <c r="A105" s="331" t="s">
        <v>667</v>
      </c>
      <c r="B105" s="327"/>
      <c r="C105" s="342">
        <f>Estimates!B59</f>
        <v>0</v>
      </c>
      <c r="D105" s="531">
        <f>IF($D$4=0,0,C105)</f>
        <v>0</v>
      </c>
      <c r="E105" s="532">
        <f>VLOOKUP(Estimates!$B$1,CASH_FLOW,220,FALSE)</f>
        <v>0</v>
      </c>
      <c r="F105" s="721">
        <f>E105</f>
        <v>0</v>
      </c>
      <c r="G105" s="635"/>
      <c r="H105" s="741">
        <v>220</v>
      </c>
      <c r="I105" s="805" t="s">
        <v>502</v>
      </c>
      <c r="J105" s="756"/>
      <c r="K105" s="640"/>
      <c r="L105" s="640"/>
      <c r="M105" s="641"/>
      <c r="N105" s="642"/>
      <c r="O105" s="642"/>
      <c r="P105" s="642"/>
      <c r="Q105" s="642"/>
      <c r="R105" s="600"/>
    </row>
    <row r="106" spans="1:18" s="20" customFormat="1" x14ac:dyDescent="0.45">
      <c r="A106" s="214" t="s">
        <v>621</v>
      </c>
      <c r="B106" s="212"/>
      <c r="C106" s="230">
        <f>Estimates!B62</f>
        <v>0</v>
      </c>
      <c r="D106" s="276">
        <f>IF($D$4=0,0,Estimates!B62)</f>
        <v>0</v>
      </c>
      <c r="E106" s="309">
        <f>VLOOKUP(Estimates!$B$1,CASH_FLOW,221,FALSE)</f>
        <v>0</v>
      </c>
      <c r="F106" s="722">
        <f>E106</f>
        <v>0</v>
      </c>
      <c r="G106" s="635"/>
      <c r="H106" s="694">
        <v>221</v>
      </c>
      <c r="I106" s="795" t="s">
        <v>503</v>
      </c>
      <c r="J106" s="756"/>
      <c r="K106" s="640"/>
      <c r="L106" s="640"/>
      <c r="M106" s="641"/>
      <c r="N106" s="642"/>
      <c r="O106" s="642"/>
      <c r="P106" s="642"/>
      <c r="Q106" s="642"/>
      <c r="R106" s="600"/>
    </row>
    <row r="107" spans="1:18" s="20" customFormat="1" x14ac:dyDescent="0.45">
      <c r="A107" s="214" t="s">
        <v>622</v>
      </c>
      <c r="B107" s="212"/>
      <c r="C107" s="230">
        <f>Estimates!B61</f>
        <v>0</v>
      </c>
      <c r="D107" s="276">
        <f>IF($D$4=0,0,Estimates!B61)</f>
        <v>0</v>
      </c>
      <c r="E107" s="309">
        <f>VLOOKUP(Estimates!$B$1,CASH_FLOW,222,FALSE)</f>
        <v>0</v>
      </c>
      <c r="F107" s="722">
        <f>E107</f>
        <v>0</v>
      </c>
      <c r="G107" s="744"/>
      <c r="H107" s="694">
        <v>222</v>
      </c>
      <c r="I107" s="795" t="s">
        <v>504</v>
      </c>
      <c r="J107" s="756"/>
      <c r="K107" s="640"/>
      <c r="L107" s="640"/>
      <c r="M107" s="641"/>
      <c r="N107" s="642"/>
      <c r="O107" s="642"/>
      <c r="P107" s="642"/>
      <c r="Q107" s="642"/>
      <c r="R107" s="600"/>
    </row>
    <row r="108" spans="1:18" s="20" customFormat="1" ht="19" thickBot="1" x14ac:dyDescent="0.5">
      <c r="A108" s="214" t="s">
        <v>623</v>
      </c>
      <c r="B108" s="212"/>
      <c r="C108" s="230">
        <f>C65*C4</f>
        <v>0</v>
      </c>
      <c r="D108" s="276">
        <f>D65*D4</f>
        <v>0</v>
      </c>
      <c r="E108" s="310">
        <f>E65*E4</f>
        <v>0</v>
      </c>
      <c r="F108" s="709">
        <f>F65*F4</f>
        <v>0</v>
      </c>
      <c r="G108" s="782">
        <f>VLOOKUP(Estimates!$B$1,CASH_FLOW,217,FALSE)</f>
        <v>0</v>
      </c>
      <c r="H108" s="747">
        <v>217</v>
      </c>
      <c r="I108" s="778" t="s">
        <v>499</v>
      </c>
      <c r="J108" s="761">
        <f>E108-G108</f>
        <v>0</v>
      </c>
      <c r="K108" s="640"/>
      <c r="L108" s="640"/>
      <c r="M108" s="641"/>
      <c r="N108" s="642"/>
      <c r="O108" s="642"/>
      <c r="P108" s="642"/>
      <c r="Q108" s="642"/>
      <c r="R108" s="600"/>
    </row>
    <row r="109" spans="1:18" s="17" customFormat="1" ht="19" thickTop="1" x14ac:dyDescent="0.45">
      <c r="A109" s="231" t="s">
        <v>476</v>
      </c>
      <c r="B109" s="555"/>
      <c r="C109" s="340"/>
      <c r="D109" s="341"/>
      <c r="E109" s="311"/>
      <c r="F109" s="723"/>
      <c r="G109" s="744"/>
      <c r="H109" s="691"/>
      <c r="I109" s="691"/>
      <c r="J109" s="756"/>
      <c r="K109" s="655"/>
      <c r="L109" s="655"/>
      <c r="M109" s="637"/>
      <c r="N109" s="638"/>
      <c r="O109" s="638"/>
      <c r="P109" s="638"/>
      <c r="Q109" s="638"/>
      <c r="R109" s="599"/>
    </row>
    <row r="110" spans="1:18" s="24" customFormat="1" x14ac:dyDescent="0.45">
      <c r="A110" s="448" t="s">
        <v>582</v>
      </c>
      <c r="B110" s="449"/>
      <c r="C110" s="445"/>
      <c r="D110" s="446"/>
      <c r="E110" s="447"/>
      <c r="F110" s="776"/>
      <c r="G110" s="744"/>
      <c r="H110" s="691"/>
      <c r="I110" s="691"/>
      <c r="J110" s="756"/>
      <c r="K110" s="650"/>
      <c r="L110" s="650"/>
      <c r="M110" s="631"/>
      <c r="N110" s="633"/>
      <c r="O110" s="633"/>
      <c r="P110" s="633"/>
      <c r="Q110" s="633"/>
      <c r="R110" s="598"/>
    </row>
    <row r="111" spans="1:18" s="24" customFormat="1" x14ac:dyDescent="0.45">
      <c r="A111" s="315" t="s">
        <v>644</v>
      </c>
      <c r="B111" s="215"/>
      <c r="C111" s="251">
        <f>IF($C$4=0,0,Estimates!B66)</f>
        <v>0</v>
      </c>
      <c r="D111" s="278">
        <f>IF($D$4=0,0,Estimates!B68)</f>
        <v>0</v>
      </c>
      <c r="E111" s="510">
        <f>VLOOKUP(Estimates!$B$1,CASH_FLOW,170,FALSE)</f>
        <v>0</v>
      </c>
      <c r="F111" s="724">
        <f>E111</f>
        <v>0</v>
      </c>
      <c r="G111" s="635"/>
      <c r="H111" s="694">
        <v>170</v>
      </c>
      <c r="I111" s="795" t="s">
        <v>290</v>
      </c>
      <c r="J111" s="756"/>
      <c r="K111" s="650"/>
      <c r="L111" s="650"/>
      <c r="M111" s="631"/>
      <c r="N111" s="633"/>
      <c r="O111" s="633"/>
      <c r="P111" s="633"/>
      <c r="Q111" s="633"/>
      <c r="R111" s="598"/>
    </row>
    <row r="112" spans="1:18" s="24" customFormat="1" x14ac:dyDescent="0.45">
      <c r="A112" s="315" t="s">
        <v>916</v>
      </c>
      <c r="B112" s="215"/>
      <c r="C112" s="251">
        <f>IF($C$4=0,0,Estimates!B67)</f>
        <v>0</v>
      </c>
      <c r="D112" s="278">
        <f>IF($D$4=0,0,Estimates!B69)</f>
        <v>0</v>
      </c>
      <c r="E112" s="510">
        <f>VLOOKUP(Estimates!$B$1,CASH_FLOW,169,FALSE)</f>
        <v>0</v>
      </c>
      <c r="F112" s="724">
        <f>E112</f>
        <v>0</v>
      </c>
      <c r="G112" s="635"/>
      <c r="H112" s="694">
        <v>169</v>
      </c>
      <c r="I112" s="795" t="s">
        <v>289</v>
      </c>
      <c r="J112" s="756"/>
      <c r="K112" s="650"/>
      <c r="L112" s="650"/>
      <c r="M112" s="631"/>
      <c r="N112" s="633"/>
      <c r="O112" s="633"/>
      <c r="P112" s="633"/>
      <c r="Q112" s="633"/>
      <c r="R112" s="598"/>
    </row>
    <row r="113" spans="1:19" s="24" customFormat="1" x14ac:dyDescent="0.45">
      <c r="A113" s="315" t="s">
        <v>645</v>
      </c>
      <c r="B113" s="213"/>
      <c r="C113" s="251">
        <f>IF($C$4=0,0,Estimates!B68)</f>
        <v>0</v>
      </c>
      <c r="D113" s="278">
        <f>IF($D$4=0,0,Estimates!B68)</f>
        <v>0</v>
      </c>
      <c r="E113" s="510">
        <f>VLOOKUP(Estimates!$B$1,CASH_FLOW,171,FALSE)</f>
        <v>0</v>
      </c>
      <c r="F113" s="724">
        <f>E113</f>
        <v>0</v>
      </c>
      <c r="G113" s="635"/>
      <c r="H113" s="694">
        <v>171</v>
      </c>
      <c r="I113" s="795" t="s">
        <v>291</v>
      </c>
      <c r="J113" s="756"/>
      <c r="K113" s="650"/>
      <c r="L113" s="650"/>
      <c r="M113" s="631"/>
      <c r="N113" s="633"/>
      <c r="O113" s="633"/>
      <c r="P113" s="633"/>
      <c r="Q113" s="633"/>
      <c r="R113" s="598"/>
    </row>
    <row r="114" spans="1:19" s="24" customFormat="1" x14ac:dyDescent="0.45">
      <c r="A114" s="315" t="s">
        <v>817</v>
      </c>
      <c r="B114" s="213"/>
      <c r="C114" s="251">
        <f>IF($C$4=0,0,Estimates!B69)</f>
        <v>0</v>
      </c>
      <c r="D114" s="278">
        <f>IF($D$4=0,0,Estimates!B69)</f>
        <v>0</v>
      </c>
      <c r="E114" s="510">
        <f>VLOOKUP(Estimates!$B$1,CASH_FLOW,174,FALSE)</f>
        <v>0</v>
      </c>
      <c r="F114" s="724">
        <f>E114</f>
        <v>0</v>
      </c>
      <c r="G114" s="635"/>
      <c r="H114" s="694">
        <v>174</v>
      </c>
      <c r="I114" s="795" t="s">
        <v>294</v>
      </c>
      <c r="J114" s="756"/>
      <c r="K114" s="650"/>
      <c r="L114" s="650"/>
      <c r="M114" s="631"/>
      <c r="N114" s="633"/>
      <c r="O114" s="633"/>
      <c r="P114" s="633"/>
      <c r="Q114" s="633"/>
      <c r="R114" s="598"/>
    </row>
    <row r="115" spans="1:19" s="20" customFormat="1" ht="19" thickBot="1" x14ac:dyDescent="0.5">
      <c r="A115" s="325" t="s">
        <v>668</v>
      </c>
      <c r="B115" s="326"/>
      <c r="C115" s="253">
        <f>SUM(C111:C114)</f>
        <v>0</v>
      </c>
      <c r="D115" s="279">
        <f>SUM(D111:D114)</f>
        <v>0</v>
      </c>
      <c r="E115" s="312">
        <f>SUM(E111:E114)</f>
        <v>0</v>
      </c>
      <c r="F115" s="725">
        <f>SUM(F111:F114)</f>
        <v>0</v>
      </c>
      <c r="G115" s="782">
        <f>VLOOKUP(Estimates!$B$1,CASH_FLOW,172,FALSE)</f>
        <v>0</v>
      </c>
      <c r="H115" s="747">
        <v>172</v>
      </c>
      <c r="I115" s="778" t="s">
        <v>292</v>
      </c>
      <c r="J115" s="759">
        <f>E115-G115</f>
        <v>0</v>
      </c>
      <c r="K115" s="640"/>
      <c r="L115" s="640"/>
      <c r="M115" s="641"/>
      <c r="N115" s="642"/>
      <c r="O115" s="642"/>
      <c r="P115" s="642"/>
      <c r="Q115" s="642"/>
      <c r="R115" s="600"/>
    </row>
    <row r="116" spans="1:19" s="20" customFormat="1" ht="19" thickTop="1" x14ac:dyDescent="0.45">
      <c r="A116" s="323" t="s">
        <v>669</v>
      </c>
      <c r="B116" s="324"/>
      <c r="C116" s="252">
        <f>VLOOKUP(Estimates!B1,INITIAL_EST,79,FALSE)</f>
        <v>0</v>
      </c>
      <c r="D116" s="280">
        <f>IF($D$4=0,0,C116)</f>
        <v>0</v>
      </c>
      <c r="E116" s="309">
        <f>VLOOKUP(Estimates!$B$1,CASH_FLOW,79,FALSE)</f>
        <v>0</v>
      </c>
      <c r="F116" s="726">
        <f>E116</f>
        <v>0</v>
      </c>
      <c r="G116" s="775"/>
      <c r="H116" s="741">
        <v>79</v>
      </c>
      <c r="I116" s="805"/>
      <c r="J116" s="756"/>
      <c r="K116" s="640"/>
      <c r="L116" s="640"/>
      <c r="M116" s="641"/>
      <c r="N116" s="642"/>
      <c r="O116" s="642"/>
      <c r="P116" s="642"/>
      <c r="Q116" s="642"/>
      <c r="R116" s="600"/>
    </row>
    <row r="117" spans="1:19" s="418" customFormat="1" ht="19" thickBot="1" x14ac:dyDescent="0.5">
      <c r="A117" s="325" t="s">
        <v>624</v>
      </c>
      <c r="B117" s="791"/>
      <c r="C117" s="713">
        <f>($B$60*C60)+($B$60*C59)</f>
        <v>0</v>
      </c>
      <c r="D117" s="470">
        <f>IF($D$4=0,0,($B$60*D60)+($B$59*D59))</f>
        <v>0</v>
      </c>
      <c r="E117" s="792">
        <f>IF($E$4=0,0,($B$60*(E60+E59)))</f>
        <v>0</v>
      </c>
      <c r="F117" s="793">
        <f>IF($E$4=0,0,($B$60*(F60+F59)))</f>
        <v>0</v>
      </c>
      <c r="G117" s="782">
        <f>VLOOKUP(Estimates!$B$1,CASH_FLOW,259,FALSE)</f>
        <v>0</v>
      </c>
      <c r="H117" s="747">
        <v>259</v>
      </c>
      <c r="I117" s="778"/>
      <c r="J117" s="761">
        <f>E117-G117</f>
        <v>0</v>
      </c>
      <c r="K117" s="640"/>
      <c r="L117" s="640"/>
      <c r="M117" s="641"/>
      <c r="N117" s="642"/>
      <c r="O117" s="642"/>
      <c r="P117" s="642"/>
      <c r="Q117" s="642"/>
      <c r="R117" s="600"/>
      <c r="S117" s="20"/>
    </row>
    <row r="118" spans="1:19" s="20" customFormat="1" ht="19" thickTop="1" x14ac:dyDescent="0.45">
      <c r="A118" s="323" t="s">
        <v>625</v>
      </c>
      <c r="B118" s="324"/>
      <c r="C118" s="342">
        <f>VLOOKUP(A3,INITIAL_EST,218,FALSE)</f>
        <v>0</v>
      </c>
      <c r="D118" s="280">
        <f>IF($D$4=0,0,Estimates!B63)</f>
        <v>0</v>
      </c>
      <c r="E118" s="532">
        <f>VLOOKUP(Estimates!$B$1,CASH_FLOW,218,FALSE)</f>
        <v>0</v>
      </c>
      <c r="F118" s="726">
        <f>E118</f>
        <v>0</v>
      </c>
      <c r="G118" s="775"/>
      <c r="H118" s="741">
        <v>218</v>
      </c>
      <c r="I118" s="805"/>
      <c r="J118" s="756"/>
      <c r="K118" s="640"/>
      <c r="L118" s="640"/>
      <c r="M118" s="641"/>
      <c r="N118" s="642"/>
      <c r="O118" s="642"/>
      <c r="P118" s="642"/>
      <c r="Q118" s="642"/>
      <c r="R118" s="600"/>
    </row>
    <row r="119" spans="1:19" s="20" customFormat="1" x14ac:dyDescent="0.45">
      <c r="A119" s="211" t="s">
        <v>626</v>
      </c>
      <c r="B119" s="216"/>
      <c r="C119" s="230">
        <f>VLOOKUP(A3,INITIAL_EST,219,FALSE)</f>
        <v>0</v>
      </c>
      <c r="D119" s="276">
        <f>IF($D$4=0,0,Estimates!B64)</f>
        <v>0</v>
      </c>
      <c r="E119" s="309">
        <f>VLOOKUP(Estimates!$B$1,CASH_FLOW,219,FALSE)</f>
        <v>0</v>
      </c>
      <c r="F119" s="727">
        <f>E119</f>
        <v>0</v>
      </c>
      <c r="G119" s="775"/>
      <c r="H119" s="694">
        <v>219</v>
      </c>
      <c r="I119" s="795"/>
      <c r="J119" s="756"/>
      <c r="K119" s="640"/>
      <c r="L119" s="640"/>
      <c r="M119" s="641"/>
      <c r="N119" s="642"/>
      <c r="O119" s="642"/>
      <c r="P119" s="642"/>
      <c r="Q119" s="642"/>
      <c r="R119" s="600"/>
    </row>
    <row r="120" spans="1:19" s="24" customFormat="1" x14ac:dyDescent="0.45">
      <c r="A120" s="674" t="s">
        <v>692</v>
      </c>
      <c r="B120" s="616"/>
      <c r="C120" s="672">
        <f>-VLOOKUP(Estimates!B1,INITIAL_EST,56,FALSE)</f>
        <v>0</v>
      </c>
      <c r="D120" s="673">
        <f>IF($D$4=0,0,C120)</f>
        <v>0</v>
      </c>
      <c r="E120" s="511"/>
      <c r="F120" s="728"/>
      <c r="G120" s="691"/>
      <c r="H120" s="691"/>
      <c r="I120" s="744"/>
      <c r="J120" s="691"/>
      <c r="K120" s="650"/>
      <c r="L120" s="650"/>
      <c r="M120" s="631"/>
      <c r="N120" s="633"/>
      <c r="O120" s="633"/>
      <c r="P120" s="633"/>
      <c r="Q120" s="633"/>
      <c r="R120" s="598"/>
    </row>
    <row r="121" spans="1:19" s="5" customFormat="1" ht="21.75" customHeight="1" thickBot="1" x14ac:dyDescent="0.55000000000000004">
      <c r="A121" s="217" t="s">
        <v>673</v>
      </c>
      <c r="B121" s="218"/>
      <c r="C121" s="468">
        <f>SUM(C76+C77+C88+C89+C94+C95+C99+C100+C105+C106+C107+C108+C115+C116+C117+C118+C119+C120)</f>
        <v>0</v>
      </c>
      <c r="D121" s="464">
        <f>SUM(D76+D77+D88+D89+D102+D94+D95+D99+D100+D105+D106+D107+D108+D115+D116+D117+D118+D119+D120)</f>
        <v>0</v>
      </c>
      <c r="E121" s="313">
        <f>SUM(E76+E77+E88+E89+E104+E94+E95+E99+E100+E105+E106+E107+E108+E115+E116+E117+E118+E119+E120)</f>
        <v>0</v>
      </c>
      <c r="F121" s="729">
        <f>SUM(F76+F77+F88+F89+F104+F94+F95+F99+F100+F105+F106+F107+F108+F115+F116+F117+F118+F119+F120)</f>
        <v>0</v>
      </c>
      <c r="G121" s="777">
        <f>VLOOKUP(Estimates!$B$1,CASH_FLOW,157,FALSE)</f>
        <v>0</v>
      </c>
      <c r="H121" s="779">
        <v>157</v>
      </c>
      <c r="I121" s="780" t="s">
        <v>277</v>
      </c>
      <c r="J121" s="761">
        <f>E121-G121</f>
        <v>0</v>
      </c>
      <c r="K121" s="634"/>
      <c r="L121" s="634"/>
      <c r="M121" s="631"/>
      <c r="N121" s="633"/>
      <c r="O121" s="633"/>
      <c r="P121" s="633"/>
      <c r="Q121" s="633"/>
      <c r="R121" s="598"/>
    </row>
    <row r="122" spans="1:19" s="19" customFormat="1" ht="19" thickTop="1" x14ac:dyDescent="0.45">
      <c r="A122" s="231" t="s">
        <v>474</v>
      </c>
      <c r="B122" s="555"/>
      <c r="C122" s="340"/>
      <c r="D122" s="341"/>
      <c r="E122" s="311"/>
      <c r="F122" s="723"/>
      <c r="G122" s="691"/>
      <c r="H122" s="691"/>
      <c r="I122" s="744"/>
      <c r="J122" s="691"/>
      <c r="K122" s="636"/>
      <c r="L122" s="636"/>
      <c r="M122" s="637"/>
      <c r="N122" s="638"/>
      <c r="O122" s="638"/>
      <c r="P122" s="638"/>
      <c r="Q122" s="638"/>
      <c r="R122" s="599"/>
    </row>
    <row r="123" spans="1:19" s="28" customFormat="1" ht="19" thickBot="1" x14ac:dyDescent="0.5">
      <c r="A123" s="319" t="s">
        <v>485</v>
      </c>
      <c r="B123" s="321"/>
      <c r="C123" s="343">
        <f>ROUND((C73*C61*C69*100),1)</f>
        <v>0</v>
      </c>
      <c r="D123" s="344">
        <f>ROUND((D73*D61*D69*100),1)</f>
        <v>0</v>
      </c>
      <c r="E123" s="322">
        <f>ROUND((E73*E61*E69*100),1)</f>
        <v>0</v>
      </c>
      <c r="F123" s="730">
        <f>ROUND((F73*F61*F69*100),1)</f>
        <v>0</v>
      </c>
      <c r="G123" s="782">
        <f>VLOOKUP(Estimates!$B$1,CASH_FLOW,160,FALSE)</f>
        <v>0</v>
      </c>
      <c r="H123" s="765">
        <v>160</v>
      </c>
      <c r="I123" s="811" t="s">
        <v>280</v>
      </c>
      <c r="J123" s="761">
        <f>E123-G123</f>
        <v>0</v>
      </c>
      <c r="K123" s="656"/>
      <c r="L123" s="656"/>
      <c r="M123" s="657"/>
      <c r="N123" s="658"/>
      <c r="O123" s="658"/>
      <c r="P123" s="658"/>
      <c r="Q123" s="658"/>
      <c r="R123" s="604"/>
    </row>
    <row r="124" spans="1:19" s="28" customFormat="1" ht="19.5" thickTop="1" thickBot="1" x14ac:dyDescent="0.5">
      <c r="A124" s="319" t="s">
        <v>486</v>
      </c>
      <c r="B124" s="321"/>
      <c r="C124" s="343">
        <f>ROUND((C74*C61*C70*100),1)</f>
        <v>0</v>
      </c>
      <c r="D124" s="344">
        <f>ROUND((D74*D61*D70*100),1)</f>
        <v>0</v>
      </c>
      <c r="E124" s="322">
        <f>ROUND((E74*E61*E70*100),1)</f>
        <v>0</v>
      </c>
      <c r="F124" s="730">
        <f>ROUND((F74*F61*F70*100),1)</f>
        <v>0</v>
      </c>
      <c r="G124" s="783">
        <f>VLOOKUP(Estimates!$B$1,CASH_FLOW,161,FALSE)</f>
        <v>0</v>
      </c>
      <c r="H124" s="766">
        <v>161</v>
      </c>
      <c r="I124" s="812" t="s">
        <v>281</v>
      </c>
      <c r="J124" s="784">
        <f>E124-G124</f>
        <v>0</v>
      </c>
      <c r="K124" s="656"/>
      <c r="L124" s="656"/>
      <c r="M124" s="657"/>
      <c r="N124" s="658"/>
      <c r="O124" s="658"/>
      <c r="P124" s="658"/>
      <c r="Q124" s="658"/>
      <c r="R124" s="604"/>
    </row>
    <row r="125" spans="1:19" s="17" customFormat="1" ht="22.5" customHeight="1" thickTop="1" thickBot="1" x14ac:dyDescent="0.55000000000000004">
      <c r="A125" s="217" t="s">
        <v>674</v>
      </c>
      <c r="B125" s="218"/>
      <c r="C125" s="468">
        <f>SUM(C123:C124)</f>
        <v>0</v>
      </c>
      <c r="D125" s="464">
        <f>SUM(D123:D124)</f>
        <v>0</v>
      </c>
      <c r="E125" s="314">
        <f>SUM(E123:E124)</f>
        <v>0</v>
      </c>
      <c r="F125" s="731">
        <f>SUM(F123:F124)</f>
        <v>0</v>
      </c>
      <c r="G125" s="775"/>
      <c r="H125" s="740"/>
      <c r="I125" s="101"/>
      <c r="J125" s="756"/>
      <c r="K125" s="655"/>
      <c r="L125" s="655"/>
      <c r="M125" s="637"/>
      <c r="N125" s="638"/>
      <c r="O125" s="638"/>
      <c r="P125" s="638"/>
      <c r="Q125" s="638"/>
      <c r="R125" s="599"/>
    </row>
    <row r="126" spans="1:19" ht="19.5" thickTop="1" thickBot="1" x14ac:dyDescent="0.5">
      <c r="A126" s="231" t="s">
        <v>11</v>
      </c>
      <c r="B126" s="555"/>
      <c r="C126" s="465"/>
      <c r="D126" s="433"/>
      <c r="E126" s="311"/>
      <c r="F126" s="723"/>
      <c r="G126" s="691"/>
      <c r="H126" s="691"/>
      <c r="I126" s="691"/>
      <c r="J126" s="691"/>
      <c r="K126" s="744"/>
    </row>
    <row r="127" spans="1:19" ht="38" thickTop="1" thickBot="1" x14ac:dyDescent="0.5">
      <c r="A127" s="837" t="s">
        <v>948</v>
      </c>
      <c r="B127" s="666" t="s">
        <v>949</v>
      </c>
      <c r="C127" s="586"/>
      <c r="D127" s="836"/>
      <c r="E127" s="532">
        <f>VLOOKUP(Estimates!$B$1,CASH_FLOW,291,FALSE)</f>
        <v>0</v>
      </c>
      <c r="F127" s="532">
        <f>E127</f>
        <v>0</v>
      </c>
      <c r="G127" s="838">
        <f>VLOOKUP(Estimates!$B$1,CASH_FLOW,291,FALSE)</f>
        <v>0</v>
      </c>
      <c r="H127" s="839">
        <v>291</v>
      </c>
      <c r="I127" s="841" t="s">
        <v>943</v>
      </c>
      <c r="J127" s="840">
        <f>E127-G127</f>
        <v>0</v>
      </c>
      <c r="K127" s="744"/>
    </row>
    <row r="128" spans="1:19" s="24" customFormat="1" ht="19" thickTop="1" x14ac:dyDescent="0.45">
      <c r="A128" s="450" t="s">
        <v>818</v>
      </c>
      <c r="B128" s="451"/>
      <c r="C128" s="491" t="str">
        <f>Estimates!B57</f>
        <v>No</v>
      </c>
      <c r="D128" s="492" t="str">
        <f>Estimates!B57</f>
        <v>No</v>
      </c>
      <c r="E128" s="493" t="str">
        <f>D128</f>
        <v>No</v>
      </c>
      <c r="F128" s="732" t="str">
        <f>E128</f>
        <v>No</v>
      </c>
      <c r="G128" s="691"/>
      <c r="H128" s="691"/>
      <c r="I128" s="691"/>
      <c r="J128" s="691"/>
      <c r="K128" s="781"/>
      <c r="L128" s="650"/>
      <c r="M128" s="631"/>
      <c r="N128" s="633"/>
      <c r="O128" s="633"/>
      <c r="P128" s="633"/>
      <c r="Q128" s="633"/>
      <c r="R128" s="598"/>
    </row>
    <row r="129" spans="1:18" s="5" customFormat="1" ht="19" thickBot="1" x14ac:dyDescent="0.5">
      <c r="A129" s="667" t="s">
        <v>479</v>
      </c>
      <c r="B129" s="668"/>
      <c r="C129" s="466">
        <f>IF(C128="YES", IFERROR(ROUND((C4*C71*C72*100),1),0), 0)</f>
        <v>0</v>
      </c>
      <c r="D129" s="458">
        <f>IF(D128="YES", IFERROR(ROUND((D4*D71*D72*100),1),0), 0)</f>
        <v>0</v>
      </c>
      <c r="E129" s="228">
        <f>IF(E128="YES",(E4*E71*E72*100), 0)</f>
        <v>0</v>
      </c>
      <c r="F129" s="733">
        <f>IF(F128="YES", IFERROR(ROUND((F4*F71*F72*100),1),0), 0)</f>
        <v>0</v>
      </c>
      <c r="G129" s="777">
        <f>VLOOKUP(Estimates!$B$1,CASH_FLOW,211,FALSE)</f>
        <v>0</v>
      </c>
      <c r="H129" s="747">
        <v>211</v>
      </c>
      <c r="I129" s="811" t="s">
        <v>441</v>
      </c>
      <c r="J129" s="761">
        <f>E129-G129</f>
        <v>0</v>
      </c>
      <c r="K129" s="634"/>
      <c r="L129" s="634"/>
      <c r="M129" s="631"/>
      <c r="N129" s="633"/>
      <c r="O129" s="633"/>
      <c r="P129" s="633"/>
      <c r="Q129" s="633"/>
      <c r="R129" s="598"/>
    </row>
    <row r="130" spans="1:18" s="5" customFormat="1" ht="45.75" customHeight="1" thickTop="1" x14ac:dyDescent="0.45">
      <c r="A130" s="665" t="s">
        <v>819</v>
      </c>
      <c r="B130" s="666" t="s">
        <v>695</v>
      </c>
      <c r="C130" s="465"/>
      <c r="D130" s="558"/>
      <c r="E130" s="557"/>
      <c r="F130" s="465"/>
      <c r="G130" s="691"/>
      <c r="H130" s="691"/>
      <c r="I130" s="691"/>
      <c r="J130" s="691"/>
      <c r="K130" s="634"/>
      <c r="L130" s="634"/>
      <c r="M130" s="631"/>
      <c r="N130" s="633"/>
      <c r="O130" s="633"/>
      <c r="P130" s="633"/>
      <c r="Q130" s="633"/>
      <c r="R130" s="598"/>
    </row>
    <row r="131" spans="1:18" s="5" customFormat="1" ht="18.75" customHeight="1" x14ac:dyDescent="0.45">
      <c r="A131" s="317" t="s">
        <v>816</v>
      </c>
      <c r="B131" s="227">
        <v>5</v>
      </c>
      <c r="C131" s="467">
        <f>'Prior Law State Aid'!C94</f>
        <v>0</v>
      </c>
      <c r="D131" s="459">
        <f>'Prior Law State Aid'!D94</f>
        <v>0</v>
      </c>
      <c r="E131" s="454">
        <f>'Prior Law State Aid'!E98</f>
        <v>0</v>
      </c>
      <c r="F131" s="308">
        <f>'Prior Law State Aid'!F98</f>
        <v>0</v>
      </c>
      <c r="G131" s="775"/>
      <c r="H131" s="691"/>
      <c r="I131" s="691"/>
      <c r="J131" s="775"/>
      <c r="K131" s="659"/>
      <c r="L131" s="634"/>
      <c r="M131" s="631"/>
      <c r="N131" s="633"/>
      <c r="O131" s="633"/>
      <c r="P131" s="633"/>
      <c r="Q131" s="633"/>
      <c r="R131" s="598"/>
    </row>
    <row r="132" spans="1:18" s="5" customFormat="1" x14ac:dyDescent="0.45">
      <c r="A132" s="317" t="s">
        <v>798</v>
      </c>
      <c r="B132" s="227">
        <v>12</v>
      </c>
      <c r="C132" s="467">
        <f>'Prior Law State Aid'!C99</f>
        <v>0</v>
      </c>
      <c r="D132" s="459">
        <f>'Prior Law State Aid'!D99</f>
        <v>0</v>
      </c>
      <c r="E132" s="455">
        <f>'Prior Law State Aid'!E99</f>
        <v>0</v>
      </c>
      <c r="F132" s="734">
        <f>'Prior Law State Aid'!F99</f>
        <v>0</v>
      </c>
      <c r="G132" s="691"/>
      <c r="H132" s="691"/>
      <c r="I132" s="691"/>
      <c r="J132" s="691"/>
      <c r="K132" s="634"/>
      <c r="L132" s="634"/>
      <c r="M132" s="633"/>
      <c r="N132" s="633"/>
      <c r="O132" s="633"/>
      <c r="P132" s="633"/>
      <c r="Q132" s="633"/>
      <c r="R132" s="598"/>
    </row>
    <row r="133" spans="1:18" s="25" customFormat="1" x14ac:dyDescent="0.45">
      <c r="A133" s="317" t="s">
        <v>778</v>
      </c>
      <c r="B133" s="227">
        <v>13</v>
      </c>
      <c r="C133" s="467">
        <f>VLOOKUP(A3,FTG,6,FALSE)</f>
        <v>9259</v>
      </c>
      <c r="D133" s="459">
        <f>C133</f>
        <v>9259</v>
      </c>
      <c r="E133" s="456">
        <f>D133</f>
        <v>9259</v>
      </c>
      <c r="F133" s="735">
        <f>E133</f>
        <v>9259</v>
      </c>
      <c r="G133" s="691"/>
      <c r="H133" s="691"/>
      <c r="I133" s="691"/>
      <c r="J133" s="691"/>
      <c r="K133" s="661"/>
      <c r="L133" s="661"/>
      <c r="M133" s="660"/>
      <c r="N133" s="633"/>
      <c r="O133" s="633"/>
      <c r="P133" s="633"/>
      <c r="Q133" s="633"/>
      <c r="R133" s="598"/>
    </row>
    <row r="134" spans="1:18" s="24" customFormat="1" x14ac:dyDescent="0.45">
      <c r="A134" s="317" t="s">
        <v>779</v>
      </c>
      <c r="B134" s="227">
        <v>14</v>
      </c>
      <c r="C134" s="467">
        <f>MAX(C132)*1.03</f>
        <v>0</v>
      </c>
      <c r="D134" s="459">
        <f>MAX(D132)*1.03</f>
        <v>0</v>
      </c>
      <c r="E134" s="420">
        <f>MAX(E132)*1.03</f>
        <v>0</v>
      </c>
      <c r="F134" s="588">
        <f>MAX(F132)*1.03</f>
        <v>0</v>
      </c>
      <c r="G134" s="691"/>
      <c r="H134" s="691"/>
      <c r="I134" s="691"/>
      <c r="J134" s="691"/>
      <c r="K134" s="662"/>
      <c r="L134" s="650"/>
      <c r="M134" s="633"/>
      <c r="N134" s="633"/>
      <c r="O134" s="633"/>
      <c r="P134" s="633"/>
      <c r="Q134" s="633"/>
      <c r="R134" s="598"/>
    </row>
    <row r="135" spans="1:18" s="24" customFormat="1" x14ac:dyDescent="0.45">
      <c r="A135" s="317" t="s">
        <v>780</v>
      </c>
      <c r="B135" s="227">
        <v>15</v>
      </c>
      <c r="C135" s="467">
        <f>C133*1.28</f>
        <v>11851.52</v>
      </c>
      <c r="D135" s="459">
        <f>D133*1.28</f>
        <v>11851.52</v>
      </c>
      <c r="E135" s="455">
        <f>E133*1.28</f>
        <v>11851.52</v>
      </c>
      <c r="F135" s="736">
        <f>F133*1.28</f>
        <v>11851.52</v>
      </c>
      <c r="G135" s="691"/>
      <c r="H135" s="691"/>
      <c r="I135" s="813"/>
      <c r="J135" s="691"/>
      <c r="K135" s="650"/>
      <c r="L135" s="650"/>
      <c r="M135" s="660"/>
      <c r="N135" s="633"/>
      <c r="O135" s="633"/>
      <c r="P135" s="633"/>
      <c r="Q135" s="633"/>
      <c r="R135" s="598"/>
    </row>
    <row r="136" spans="1:18" s="5" customFormat="1" x14ac:dyDescent="0.45">
      <c r="A136" s="317" t="s">
        <v>914</v>
      </c>
      <c r="B136" s="227">
        <v>16</v>
      </c>
      <c r="C136" s="467">
        <f>(MIN(C135,C134))</f>
        <v>0</v>
      </c>
      <c r="D136" s="459">
        <f>(MIN(D135,D134))</f>
        <v>0</v>
      </c>
      <c r="E136" s="454">
        <f>(MIN(E135,E134))</f>
        <v>0</v>
      </c>
      <c r="F136" s="308">
        <f>(MIN(F135,F134))</f>
        <v>0</v>
      </c>
      <c r="G136" s="691"/>
      <c r="H136" s="691"/>
      <c r="I136" s="691"/>
      <c r="J136" s="691"/>
      <c r="K136" s="634"/>
      <c r="L136" s="634"/>
      <c r="M136" s="631"/>
      <c r="N136" s="633"/>
      <c r="O136" s="633"/>
      <c r="P136" s="663"/>
      <c r="Q136" s="633"/>
      <c r="R136" s="598"/>
    </row>
    <row r="137" spans="1:18" s="24" customFormat="1" ht="19" thickBot="1" x14ac:dyDescent="0.5">
      <c r="A137" s="318" t="s">
        <v>913</v>
      </c>
      <c r="B137" s="180">
        <v>18</v>
      </c>
      <c r="C137" s="245">
        <f>C4*C136</f>
        <v>0</v>
      </c>
      <c r="D137" s="460">
        <f>D4*D136</f>
        <v>0</v>
      </c>
      <c r="E137" s="457">
        <f>E4*E136</f>
        <v>0</v>
      </c>
      <c r="F137" s="737">
        <f>F4*F136</f>
        <v>0</v>
      </c>
      <c r="G137" s="691"/>
      <c r="H137" s="691"/>
      <c r="I137" s="691"/>
      <c r="J137" s="691"/>
      <c r="K137" s="650"/>
      <c r="L137" s="650"/>
      <c r="M137" s="631"/>
      <c r="N137" s="633"/>
      <c r="O137" s="633"/>
      <c r="P137" s="633"/>
      <c r="Q137" s="633"/>
      <c r="R137" s="598"/>
    </row>
    <row r="138" spans="1:18" s="24" customFormat="1" x14ac:dyDescent="0.45">
      <c r="A138" s="248" t="s">
        <v>781</v>
      </c>
      <c r="B138" s="116"/>
      <c r="C138" s="246"/>
      <c r="D138" s="461"/>
      <c r="E138" s="587"/>
      <c r="F138" s="738"/>
      <c r="G138" s="691"/>
      <c r="H138" s="691"/>
      <c r="I138" s="691"/>
      <c r="J138" s="691"/>
      <c r="K138" s="650"/>
      <c r="L138" s="650"/>
      <c r="M138" s="631"/>
      <c r="N138" s="633"/>
      <c r="O138" s="633"/>
      <c r="P138" s="633"/>
      <c r="Q138" s="633"/>
      <c r="R138" s="598"/>
    </row>
    <row r="139" spans="1:18" s="24" customFormat="1" x14ac:dyDescent="0.45">
      <c r="A139" s="320" t="s">
        <v>694</v>
      </c>
      <c r="B139" s="115">
        <v>19</v>
      </c>
      <c r="C139" s="247">
        <f>C121+C125+C129</f>
        <v>0</v>
      </c>
      <c r="D139" s="462">
        <f>D121+D125+D129</f>
        <v>0</v>
      </c>
      <c r="E139" s="588">
        <f>E121+E125+E129</f>
        <v>0</v>
      </c>
      <c r="F139" s="588">
        <f>F121+F125+F129</f>
        <v>0</v>
      </c>
      <c r="G139" s="691"/>
      <c r="H139" s="814"/>
      <c r="I139" s="813"/>
      <c r="J139" s="691"/>
      <c r="K139" s="650"/>
      <c r="L139" s="650"/>
      <c r="M139" s="631"/>
      <c r="N139" s="633"/>
      <c r="O139" s="633"/>
      <c r="P139" s="633"/>
      <c r="Q139" s="633"/>
      <c r="R139" s="598"/>
    </row>
    <row r="140" spans="1:18" ht="34" x14ac:dyDescent="0.45">
      <c r="A140" s="582" t="s">
        <v>918</v>
      </c>
      <c r="B140" s="583">
        <v>20</v>
      </c>
      <c r="C140" s="584">
        <f>IF(C137&gt;C139,C137-C139,0)</f>
        <v>0</v>
      </c>
      <c r="D140" s="585">
        <f>IF(D137&gt;D139,D137-D139,0)</f>
        <v>0</v>
      </c>
      <c r="E140" s="588">
        <f>IF(E137&gt;E139,E137-E139,0)</f>
        <v>0</v>
      </c>
      <c r="F140" s="588">
        <f>IF(F137&gt;F139,F137-F139,0)</f>
        <v>0</v>
      </c>
      <c r="G140" s="691"/>
      <c r="H140" s="814"/>
      <c r="I140" s="813"/>
      <c r="J140" s="691"/>
    </row>
    <row r="141" spans="1:18" x14ac:dyDescent="0.45">
      <c r="A141" s="617" t="s">
        <v>919</v>
      </c>
      <c r="B141" s="618">
        <v>21</v>
      </c>
      <c r="C141" s="586"/>
      <c r="D141" s="590"/>
      <c r="E141" s="794">
        <f>VLOOKUP(Estimates!$B$1,CASH_FLOW,228,FALSE)</f>
        <v>0</v>
      </c>
      <c r="F141" s="794">
        <f>E141</f>
        <v>0</v>
      </c>
      <c r="G141" s="691"/>
      <c r="H141" s="814"/>
      <c r="I141" s="813"/>
      <c r="J141" s="691"/>
    </row>
    <row r="142" spans="1:18" s="18" customFormat="1" ht="21.75" customHeight="1" thickBot="1" x14ac:dyDescent="0.55000000000000004">
      <c r="A142" s="619" t="s">
        <v>675</v>
      </c>
      <c r="B142" s="620"/>
      <c r="C142" s="468">
        <f>C129+C140</f>
        <v>0</v>
      </c>
      <c r="D142" s="463">
        <f>D129+D140</f>
        <v>0</v>
      </c>
      <c r="E142" s="589">
        <f>E127+E129+E141</f>
        <v>0</v>
      </c>
      <c r="F142" s="589">
        <f>F127+F129+F141</f>
        <v>0</v>
      </c>
      <c r="G142" s="777">
        <f>VLOOKUP(Estimates!$B$1,CASH_FLOW,85,FALSE)</f>
        <v>0</v>
      </c>
      <c r="H142" s="747">
        <v>85</v>
      </c>
      <c r="I142" s="778" t="s">
        <v>205</v>
      </c>
      <c r="J142" s="761">
        <f>E142-G142</f>
        <v>0</v>
      </c>
      <c r="K142" s="664"/>
      <c r="L142" s="664"/>
      <c r="M142" s="657"/>
      <c r="N142" s="658"/>
      <c r="O142" s="658"/>
      <c r="P142" s="658"/>
      <c r="Q142" s="658"/>
      <c r="R142" s="604"/>
    </row>
    <row r="143" spans="1:18" s="18" customFormat="1" ht="19" thickTop="1" x14ac:dyDescent="0.45">
      <c r="A143" s="465"/>
      <c r="B143" s="465"/>
      <c r="C143" s="465"/>
      <c r="D143" s="558"/>
      <c r="E143" s="557"/>
      <c r="F143" s="465"/>
      <c r="G143" s="751"/>
      <c r="H143" s="751"/>
      <c r="I143" s="751"/>
      <c r="J143" s="756"/>
      <c r="K143" s="664"/>
      <c r="L143" s="664"/>
      <c r="M143" s="657"/>
      <c r="N143" s="658"/>
      <c r="O143" s="658"/>
      <c r="P143" s="658"/>
      <c r="Q143" s="658"/>
      <c r="R143" s="604"/>
    </row>
    <row r="144" spans="1:18" ht="40" customHeight="1" thickBot="1" x14ac:dyDescent="0.5">
      <c r="A144" s="219" t="s">
        <v>782</v>
      </c>
      <c r="B144" s="556" t="s">
        <v>457</v>
      </c>
      <c r="C144" s="466">
        <f>C146-C145</f>
        <v>0</v>
      </c>
      <c r="D144" s="458">
        <f>D146-D145</f>
        <v>0</v>
      </c>
      <c r="E144" s="228">
        <f>E146-E145</f>
        <v>0</v>
      </c>
      <c r="F144" s="228">
        <f>F146-F145</f>
        <v>0</v>
      </c>
      <c r="G144" s="782">
        <f>VLOOKUP(Estimates!$B$1,CASH_FLOW,48,FALSE)</f>
        <v>0</v>
      </c>
      <c r="H144" s="747">
        <v>48</v>
      </c>
      <c r="I144" s="811" t="s">
        <v>168</v>
      </c>
      <c r="J144" s="761">
        <f>E144-G144</f>
        <v>0</v>
      </c>
    </row>
    <row r="145" spans="1:18" ht="40" customHeight="1" thickTop="1" thickBot="1" x14ac:dyDescent="0.5">
      <c r="A145" s="219" t="s">
        <v>783</v>
      </c>
      <c r="B145" s="117" t="s">
        <v>456</v>
      </c>
      <c r="C145" s="466">
        <f>IF(C4=0,0,C64*C63)</f>
        <v>0</v>
      </c>
      <c r="D145" s="458">
        <f>IF($D$4=0,0,D64*D63)</f>
        <v>0</v>
      </c>
      <c r="E145" s="228">
        <f>IF($E$4=0,0,E64*E63)</f>
        <v>0</v>
      </c>
      <c r="F145" s="228">
        <f>IF($F$4=0,0,F64*F63)</f>
        <v>0</v>
      </c>
      <c r="G145" s="783">
        <f>VLOOKUP(Estimates!$B$1,CASH_FLOW,17,FALSE)</f>
        <v>0</v>
      </c>
      <c r="H145" s="749">
        <v>17</v>
      </c>
      <c r="I145" s="750" t="s">
        <v>137</v>
      </c>
      <c r="J145" s="784">
        <f>E145-G145</f>
        <v>0</v>
      </c>
    </row>
    <row r="146" spans="1:18" s="18" customFormat="1" ht="40" customHeight="1" thickTop="1" thickBot="1" x14ac:dyDescent="0.55000000000000004">
      <c r="A146" s="220" t="s">
        <v>676</v>
      </c>
      <c r="B146" s="221"/>
      <c r="C146" s="468">
        <f>C121+C125+C142</f>
        <v>0</v>
      </c>
      <c r="D146" s="464">
        <f>D121+D125+D142</f>
        <v>0</v>
      </c>
      <c r="E146" s="559">
        <f>E121+E125+E142</f>
        <v>0</v>
      </c>
      <c r="F146" s="739">
        <f>F121+F125+F142</f>
        <v>0</v>
      </c>
      <c r="G146" s="783">
        <f>VLOOKUP(Estimates!$B$1,CASH_FLOW,167,FALSE)</f>
        <v>0</v>
      </c>
      <c r="H146" s="749">
        <v>167</v>
      </c>
      <c r="I146" s="812" t="s">
        <v>287</v>
      </c>
      <c r="J146" s="784">
        <f>E146-G146</f>
        <v>0</v>
      </c>
      <c r="K146" s="664"/>
      <c r="L146" s="664"/>
      <c r="M146" s="657"/>
      <c r="N146" s="658"/>
      <c r="O146" s="658"/>
      <c r="P146" s="658"/>
      <c r="Q146" s="658"/>
      <c r="R146" s="604"/>
    </row>
    <row r="147" spans="1:18" ht="19" thickTop="1" x14ac:dyDescent="0.45">
      <c r="A147" s="28"/>
      <c r="C147" s="114"/>
      <c r="G147" s="692"/>
      <c r="H147" s="785"/>
      <c r="I147" s="786"/>
      <c r="J147" s="787"/>
    </row>
    <row r="148" spans="1:18" x14ac:dyDescent="0.45">
      <c r="A148" s="28"/>
      <c r="C148" s="114"/>
      <c r="G148" s="693"/>
      <c r="H148" s="740"/>
      <c r="I148" s="788"/>
      <c r="J148" s="756"/>
    </row>
    <row r="149" spans="1:18" x14ac:dyDescent="0.45">
      <c r="G149" s="693"/>
      <c r="H149" s="740"/>
      <c r="I149" s="788"/>
      <c r="J149" s="756"/>
    </row>
    <row r="150" spans="1:18" x14ac:dyDescent="0.45">
      <c r="J150" s="756"/>
    </row>
    <row r="151" spans="1:18" x14ac:dyDescent="0.45">
      <c r="C151" s="478"/>
      <c r="J151" s="756"/>
    </row>
    <row r="152" spans="1:18" x14ac:dyDescent="0.45">
      <c r="J152" s="756"/>
    </row>
    <row r="153" spans="1:18" x14ac:dyDescent="0.45">
      <c r="J153" s="756"/>
    </row>
    <row r="154" spans="1:18" x14ac:dyDescent="0.45">
      <c r="J154" s="756"/>
    </row>
    <row r="155" spans="1:18" x14ac:dyDescent="0.45">
      <c r="J155" s="756"/>
    </row>
    <row r="156" spans="1:18" x14ac:dyDescent="0.45">
      <c r="J156" s="756"/>
    </row>
    <row r="157" spans="1:18" x14ac:dyDescent="0.45">
      <c r="J157" s="756"/>
    </row>
    <row r="158" spans="1:18" x14ac:dyDescent="0.45">
      <c r="J158" s="756"/>
    </row>
    <row r="159" spans="1:18" x14ac:dyDescent="0.45">
      <c r="J159" s="756"/>
    </row>
    <row r="160" spans="1:18" x14ac:dyDescent="0.45">
      <c r="J160" s="756"/>
    </row>
    <row r="161" spans="1:10" x14ac:dyDescent="0.45">
      <c r="J161" s="756"/>
    </row>
    <row r="162" spans="1:10" x14ac:dyDescent="0.45">
      <c r="J162" s="756"/>
    </row>
    <row r="163" spans="1:10" x14ac:dyDescent="0.45">
      <c r="A163" s="635" t="s">
        <v>868</v>
      </c>
      <c r="B163" s="631"/>
      <c r="J163" s="756"/>
    </row>
    <row r="164" spans="1:10" x14ac:dyDescent="0.45">
      <c r="A164" s="639">
        <v>1.35</v>
      </c>
      <c r="B164" s="631"/>
    </row>
  </sheetData>
  <sheetProtection algorithmName="SHA-512" hashValue="r6ThgbHtbzmqmPFVO3i3Ud2WyGE/CICdNDGB1C2hZQlTTaqyjz6qYdP9/hUEbta27IM9R0N3Fd+31lKfKaxu9Q==" saltValue="td1cG640nMyoxamayziMnw==" spinCount="100000" sheet="1" objects="1" scenarios="1"/>
  <printOptions headings="1"/>
  <pageMargins left="0.45" right="0.45" top="0.75" bottom="0.75" header="0.3" footer="0.3"/>
  <pageSetup scale="58" fitToHeight="0" orientation="landscape" horizontalDpi="360" verticalDpi="360" r:id="rId1"/>
  <headerFooter>
    <oddHeader>&amp;C&amp;"Arial Nova,Bold"&amp;16House Bill 1525 Current Law SOF</oddHeader>
    <oddFooter>&amp;L&amp;"Arial Nova,Regular"&amp;14&amp;D
&amp;T&amp;C&amp;14 2021-2022 Version 3 
February 2022&amp;R&amp;"Arial Nova,Regular"&amp;14&amp;P of &amp;N</oddFooter>
  </headerFooter>
  <rowBreaks count="4" manualBreakCount="4">
    <brk id="30" max="5" man="1"/>
    <brk id="61" max="5" man="1"/>
    <brk id="95" max="5" man="1"/>
    <brk id="125" max="5"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71D72-D6D5-4D72-852C-16C5F22C4651}">
  <sheetPr codeName="Sheet5"/>
  <dimension ref="A1:C97"/>
  <sheetViews>
    <sheetView showGridLines="0" tabSelected="1" topLeftCell="B1" zoomScaleNormal="100" workbookViewId="0">
      <selection activeCell="B11" sqref="A11:XFD11"/>
    </sheetView>
  </sheetViews>
  <sheetFormatPr defaultRowHeight="18.5" x14ac:dyDescent="0.45"/>
  <cols>
    <col min="1" max="1" width="6.7265625" style="160" customWidth="1"/>
    <col min="2" max="2" width="214.26953125" style="32" customWidth="1"/>
  </cols>
  <sheetData>
    <row r="1" spans="1:3" x14ac:dyDescent="0.45">
      <c r="A1" s="33"/>
      <c r="B1" s="177" t="s">
        <v>975</v>
      </c>
    </row>
    <row r="2" spans="1:3" x14ac:dyDescent="0.45">
      <c r="A2" s="33"/>
      <c r="B2" s="177" t="s">
        <v>921</v>
      </c>
    </row>
    <row r="4" spans="1:3" x14ac:dyDescent="0.45">
      <c r="A4" s="33"/>
      <c r="B4" s="177" t="s">
        <v>771</v>
      </c>
      <c r="C4" s="2"/>
    </row>
    <row r="5" spans="1:3" x14ac:dyDescent="0.45">
      <c r="B5" s="32" t="s">
        <v>970</v>
      </c>
    </row>
    <row r="7" spans="1:3" ht="22" customHeight="1" x14ac:dyDescent="0.5">
      <c r="A7" s="160">
        <v>1</v>
      </c>
      <c r="B7" s="612" t="s">
        <v>976</v>
      </c>
    </row>
    <row r="8" spans="1:3" s="156" customFormat="1" ht="7.5" customHeight="1" x14ac:dyDescent="0.45">
      <c r="B8" s="609"/>
    </row>
    <row r="9" spans="1:3" ht="22" customHeight="1" x14ac:dyDescent="0.45">
      <c r="B9" s="608" t="s">
        <v>931</v>
      </c>
    </row>
    <row r="10" spans="1:3" s="156" customFormat="1" ht="7.5" customHeight="1" x14ac:dyDescent="0.45">
      <c r="B10" s="609"/>
    </row>
    <row r="11" spans="1:3" s="854" customFormat="1" ht="27" customHeight="1" x14ac:dyDescent="0.45">
      <c r="B11" s="855" t="s">
        <v>977</v>
      </c>
    </row>
    <row r="12" spans="1:3" s="156" customFormat="1" ht="12" customHeight="1" x14ac:dyDescent="0.45">
      <c r="B12" s="853"/>
    </row>
    <row r="13" spans="1:3" s="605" customFormat="1" ht="37" x14ac:dyDescent="0.45">
      <c r="B13" s="610" t="s">
        <v>971</v>
      </c>
    </row>
    <row r="14" spans="1:3" s="156" customFormat="1" ht="7.5" customHeight="1" x14ac:dyDescent="0.45">
      <c r="B14" s="609"/>
    </row>
    <row r="15" spans="1:3" s="605" customFormat="1" ht="18.75" customHeight="1" x14ac:dyDescent="0.45">
      <c r="B15" s="610" t="s">
        <v>973</v>
      </c>
    </row>
    <row r="16" spans="1:3" s="605" customFormat="1" ht="18.75" customHeight="1" x14ac:dyDescent="0.45">
      <c r="B16" s="611" t="s">
        <v>951</v>
      </c>
    </row>
    <row r="17" spans="1:2" s="605" customFormat="1" ht="18.75" customHeight="1" x14ac:dyDescent="0.45">
      <c r="B17" s="611" t="s">
        <v>955</v>
      </c>
    </row>
    <row r="18" spans="1:2" s="605" customFormat="1" ht="18.75" customHeight="1" x14ac:dyDescent="0.45">
      <c r="B18" s="611" t="s">
        <v>954</v>
      </c>
    </row>
    <row r="19" spans="1:2" s="605" customFormat="1" ht="18.75" customHeight="1" x14ac:dyDescent="0.45">
      <c r="B19" s="611" t="s">
        <v>953</v>
      </c>
    </row>
    <row r="20" spans="1:2" s="156" customFormat="1" x14ac:dyDescent="0.45">
      <c r="B20" s="611" t="s">
        <v>952</v>
      </c>
    </row>
    <row r="21" spans="1:2" s="156" customFormat="1" ht="7.5" customHeight="1" x14ac:dyDescent="0.45">
      <c r="B21" s="609"/>
    </row>
    <row r="22" spans="1:2" s="156" customFormat="1" ht="7.5" customHeight="1" x14ac:dyDescent="0.45">
      <c r="B22" s="609"/>
    </row>
    <row r="23" spans="1:2" s="606" customFormat="1" x14ac:dyDescent="0.45">
      <c r="A23" s="160"/>
      <c r="B23" s="610" t="s">
        <v>956</v>
      </c>
    </row>
    <row r="24" spans="1:2" s="606" customFormat="1" x14ac:dyDescent="0.45">
      <c r="A24" s="160"/>
      <c r="B24" s="610"/>
    </row>
    <row r="25" spans="1:2" s="606" customFormat="1" ht="37" x14ac:dyDescent="0.45">
      <c r="A25" s="160"/>
      <c r="B25" s="610" t="s">
        <v>972</v>
      </c>
    </row>
    <row r="26" spans="1:2" s="606" customFormat="1" x14ac:dyDescent="0.45">
      <c r="A26" s="160"/>
      <c r="B26" s="610"/>
    </row>
    <row r="27" spans="1:2" s="606" customFormat="1" ht="55.5" x14ac:dyDescent="0.45">
      <c r="A27" s="160"/>
      <c r="B27" s="610" t="s">
        <v>974</v>
      </c>
    </row>
    <row r="28" spans="1:2" s="1" customFormat="1" x14ac:dyDescent="0.45">
      <c r="A28" s="160"/>
      <c r="B28" s="611"/>
    </row>
    <row r="29" spans="1:2" s="615" customFormat="1" ht="21" x14ac:dyDescent="0.5">
      <c r="A29" s="613"/>
      <c r="B29" s="614" t="s">
        <v>932</v>
      </c>
    </row>
    <row r="30" spans="1:2" s="156" customFormat="1" ht="7.5" customHeight="1" x14ac:dyDescent="0.45">
      <c r="B30" s="177"/>
    </row>
    <row r="31" spans="1:2" ht="22" customHeight="1" x14ac:dyDescent="0.45">
      <c r="A31" s="160">
        <v>2</v>
      </c>
      <c r="B31" s="177" t="s">
        <v>927</v>
      </c>
    </row>
    <row r="32" spans="1:2" s="156" customFormat="1" ht="7.5" customHeight="1" x14ac:dyDescent="0.45">
      <c r="B32" s="514"/>
    </row>
    <row r="33" spans="1:2" x14ac:dyDescent="0.45">
      <c r="B33" s="522" t="s">
        <v>917</v>
      </c>
    </row>
    <row r="34" spans="1:2" x14ac:dyDescent="0.45">
      <c r="B34" s="514" t="s">
        <v>885</v>
      </c>
    </row>
    <row r="35" spans="1:2" x14ac:dyDescent="0.45">
      <c r="B35" s="514" t="s">
        <v>763</v>
      </c>
    </row>
    <row r="36" spans="1:2" s="156" customFormat="1" x14ac:dyDescent="0.45">
      <c r="B36" s="514" t="s">
        <v>964</v>
      </c>
    </row>
    <row r="37" spans="1:2" s="156" customFormat="1" ht="7.5" customHeight="1" x14ac:dyDescent="0.45">
      <c r="B37" s="514"/>
    </row>
    <row r="38" spans="1:2" s="538" customFormat="1" x14ac:dyDescent="0.45">
      <c r="A38" s="537"/>
      <c r="B38" s="536" t="s">
        <v>926</v>
      </c>
    </row>
    <row r="39" spans="1:2" s="514" customFormat="1" x14ac:dyDescent="0.45">
      <c r="B39" s="514" t="s">
        <v>807</v>
      </c>
    </row>
    <row r="40" spans="1:2" s="514" customFormat="1" x14ac:dyDescent="0.45">
      <c r="B40" s="514" t="s">
        <v>820</v>
      </c>
    </row>
    <row r="41" spans="1:2" s="514" customFormat="1" x14ac:dyDescent="0.45">
      <c r="B41" s="514" t="s">
        <v>762</v>
      </c>
    </row>
    <row r="42" spans="1:2" s="514" customFormat="1" x14ac:dyDescent="0.45">
      <c r="B42" s="514" t="s">
        <v>824</v>
      </c>
    </row>
    <row r="43" spans="1:2" s="514" customFormat="1" x14ac:dyDescent="0.45">
      <c r="B43" s="514" t="s">
        <v>827</v>
      </c>
    </row>
    <row r="44" spans="1:2" s="514" customFormat="1" x14ac:dyDescent="0.45">
      <c r="B44" s="514" t="s">
        <v>825</v>
      </c>
    </row>
    <row r="45" spans="1:2" s="514" customFormat="1" x14ac:dyDescent="0.45">
      <c r="B45" s="514" t="s">
        <v>826</v>
      </c>
    </row>
    <row r="46" spans="1:2" s="514" customFormat="1" x14ac:dyDescent="0.45">
      <c r="B46" s="514" t="s">
        <v>884</v>
      </c>
    </row>
    <row r="47" spans="1:2" s="539" customFormat="1" x14ac:dyDescent="0.45">
      <c r="B47" s="540" t="s">
        <v>828</v>
      </c>
    </row>
    <row r="48" spans="1:2" s="156" customFormat="1" ht="20.149999999999999" customHeight="1" x14ac:dyDescent="0.45"/>
    <row r="49" spans="1:2" s="31" customFormat="1" x14ac:dyDescent="0.45">
      <c r="A49" s="160">
        <v>3</v>
      </c>
      <c r="B49" s="177" t="s">
        <v>924</v>
      </c>
    </row>
    <row r="50" spans="1:2" ht="4.5" customHeight="1" x14ac:dyDescent="0.45">
      <c r="B50" s="31"/>
    </row>
    <row r="51" spans="1:2" s="162" customFormat="1" x14ac:dyDescent="0.45">
      <c r="A51" s="161"/>
      <c r="B51" s="157" t="s">
        <v>930</v>
      </c>
    </row>
    <row r="52" spans="1:2" s="607" customFormat="1" x14ac:dyDescent="0.45">
      <c r="A52" s="160"/>
      <c r="B52" s="157" t="s">
        <v>957</v>
      </c>
    </row>
    <row r="53" spans="1:2" ht="37" x14ac:dyDescent="0.45">
      <c r="B53" s="515" t="s">
        <v>963</v>
      </c>
    </row>
    <row r="54" spans="1:2" ht="36.75" customHeight="1" x14ac:dyDescent="0.45">
      <c r="B54" s="163" t="s">
        <v>962</v>
      </c>
    </row>
    <row r="55" spans="1:2" x14ac:dyDescent="0.45">
      <c r="B55" s="157"/>
    </row>
    <row r="56" spans="1:2" x14ac:dyDescent="0.45">
      <c r="A56" s="160">
        <v>4</v>
      </c>
      <c r="B56" s="177" t="s">
        <v>925</v>
      </c>
    </row>
    <row r="57" spans="1:2" ht="4.5" customHeight="1" x14ac:dyDescent="0.45">
      <c r="B57" s="31"/>
    </row>
    <row r="58" spans="1:2" ht="55.5" x14ac:dyDescent="0.45">
      <c r="B58" s="513" t="s">
        <v>886</v>
      </c>
    </row>
    <row r="59" spans="1:2" x14ac:dyDescent="0.45">
      <c r="B59" s="472"/>
    </row>
    <row r="60" spans="1:2" x14ac:dyDescent="0.45">
      <c r="A60" s="160">
        <v>5</v>
      </c>
      <c r="B60" s="177" t="s">
        <v>717</v>
      </c>
    </row>
    <row r="61" spans="1:2" ht="4.5" customHeight="1" x14ac:dyDescent="0.45">
      <c r="B61" s="31"/>
    </row>
    <row r="62" spans="1:2" ht="74" x14ac:dyDescent="0.45">
      <c r="B62" s="163" t="s">
        <v>890</v>
      </c>
    </row>
    <row r="63" spans="1:2" x14ac:dyDescent="0.45">
      <c r="B63" s="472"/>
    </row>
    <row r="64" spans="1:2" x14ac:dyDescent="0.45">
      <c r="A64" s="160">
        <v>6</v>
      </c>
      <c r="B64" s="177" t="s">
        <v>724</v>
      </c>
    </row>
    <row r="65" spans="1:2" ht="4.5" customHeight="1" x14ac:dyDescent="0.45">
      <c r="B65" s="31"/>
    </row>
    <row r="66" spans="1:2" x14ac:dyDescent="0.45">
      <c r="B66" s="157" t="s">
        <v>765</v>
      </c>
    </row>
    <row r="67" spans="1:2" s="1" customFormat="1" x14ac:dyDescent="0.45">
      <c r="A67" s="160"/>
      <c r="B67" s="31"/>
    </row>
    <row r="68" spans="1:2" s="1" customFormat="1" ht="10.5" customHeight="1" x14ac:dyDescent="0.45">
      <c r="A68" s="160"/>
      <c r="B68" s="31"/>
    </row>
    <row r="69" spans="1:2" x14ac:dyDescent="0.45">
      <c r="B69" s="513"/>
    </row>
    <row r="70" spans="1:2" ht="4.5" customHeight="1" x14ac:dyDescent="0.45">
      <c r="B70" s="513"/>
    </row>
    <row r="71" spans="1:2" x14ac:dyDescent="0.45">
      <c r="B71" s="513"/>
    </row>
    <row r="72" spans="1:2" ht="4.5" customHeight="1" x14ac:dyDescent="0.45">
      <c r="B72" s="513"/>
    </row>
    <row r="73" spans="1:2" x14ac:dyDescent="0.45">
      <c r="B73" s="513"/>
    </row>
    <row r="74" spans="1:2" ht="4.5" customHeight="1" x14ac:dyDescent="0.45">
      <c r="B74" s="31"/>
    </row>
    <row r="75" spans="1:2" x14ac:dyDescent="0.45">
      <c r="B75" s="523"/>
    </row>
    <row r="76" spans="1:2" x14ac:dyDescent="0.45">
      <c r="B76" s="156"/>
    </row>
    <row r="77" spans="1:2" x14ac:dyDescent="0.45">
      <c r="B77" s="31"/>
    </row>
    <row r="78" spans="1:2" ht="4.5" customHeight="1" x14ac:dyDescent="0.45">
      <c r="B78" s="31"/>
    </row>
    <row r="79" spans="1:2" x14ac:dyDescent="0.45">
      <c r="B79" s="523"/>
    </row>
    <row r="85" spans="2:2" x14ac:dyDescent="0.45">
      <c r="B85" s="523"/>
    </row>
    <row r="89" spans="2:2" x14ac:dyDescent="0.45">
      <c r="B89" s="156"/>
    </row>
    <row r="90" spans="2:2" x14ac:dyDescent="0.45">
      <c r="B90" s="156"/>
    </row>
    <row r="91" spans="2:2" x14ac:dyDescent="0.45">
      <c r="B91" s="156"/>
    </row>
    <row r="92" spans="2:2" x14ac:dyDescent="0.45">
      <c r="B92" s="156"/>
    </row>
    <row r="93" spans="2:2" x14ac:dyDescent="0.45">
      <c r="B93" s="156"/>
    </row>
    <row r="94" spans="2:2" x14ac:dyDescent="0.45">
      <c r="B94" s="156"/>
    </row>
    <row r="95" spans="2:2" x14ac:dyDescent="0.45">
      <c r="B95" s="156"/>
    </row>
    <row r="96" spans="2:2" x14ac:dyDescent="0.45">
      <c r="B96" s="156"/>
    </row>
    <row r="97" spans="2:2" x14ac:dyDescent="0.45">
      <c r="B97" s="156"/>
    </row>
  </sheetData>
  <sheetProtection algorithmName="SHA-512" hashValue="tC7h1TAcODVLABJXxZhvXBclkhtqBp2ax1w6c4HQpmBUqFhaIglz7iAtKRcAi7XKpNa04iCOJQ+d4ey6mjiydg==" saltValue="gV7uAh/dWnSJ2ZUgGyr43Q==" spinCount="100000" sheet="1" objects="1" scenarios="1"/>
  <hyperlinks>
    <hyperlink ref="B47" r:id="rId1" xr:uid="{D6EB3A9E-9EC9-4DBC-A745-9299A58473D8}"/>
  </hyperlinks>
  <pageMargins left="0.7" right="0.7" top="0.75" bottom="0.75" header="0.3" footer="0.3"/>
  <pageSetup scale="53" orientation="landscape"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pageSetUpPr fitToPage="1"/>
  </sheetPr>
  <dimension ref="A1:GV1729"/>
  <sheetViews>
    <sheetView showGridLines="0" showRuler="0" zoomScaleNormal="100" zoomScaleSheetLayoutView="40" workbookViewId="0">
      <selection activeCell="B2" sqref="B2"/>
    </sheetView>
  </sheetViews>
  <sheetFormatPr defaultColWidth="63.81640625" defaultRowHeight="23.5" x14ac:dyDescent="0.55000000000000004"/>
  <cols>
    <col min="1" max="1" width="155" style="4" bestFit="1" customWidth="1"/>
    <col min="2" max="2" width="25.453125" style="15" customWidth="1"/>
    <col min="3" max="3" width="71.453125" style="424" customWidth="1"/>
    <col min="4" max="16384" width="63.81640625" style="4"/>
  </cols>
  <sheetData>
    <row r="1" spans="1:15" s="9" customFormat="1" ht="24.5" thickTop="1" thickBot="1" x14ac:dyDescent="0.6">
      <c r="A1" s="621" t="s">
        <v>933</v>
      </c>
      <c r="B1" s="623">
        <v>0</v>
      </c>
      <c r="C1" s="560" t="s">
        <v>774</v>
      </c>
      <c r="O1" s="8" t="s">
        <v>67</v>
      </c>
    </row>
    <row r="2" spans="1:15" s="9" customFormat="1" ht="24" thickTop="1" x14ac:dyDescent="0.55000000000000004">
      <c r="A2" s="174" t="str">
        <f>VLOOKUP(B1,DATA!A:D,2,FALSE)</f>
        <v>CHARTER DISTRICT</v>
      </c>
      <c r="B2" s="622"/>
      <c r="C2" s="424"/>
      <c r="O2" s="8"/>
    </row>
    <row r="3" spans="1:15" s="8" customFormat="1" ht="62" x14ac:dyDescent="0.55000000000000004">
      <c r="A3" s="561" t="s">
        <v>772</v>
      </c>
      <c r="B3" s="109"/>
      <c r="C3" s="424" t="s">
        <v>968</v>
      </c>
      <c r="O3" s="8" t="s">
        <v>66</v>
      </c>
    </row>
    <row r="4" spans="1:15" s="14" customFormat="1" ht="37" x14ac:dyDescent="0.35">
      <c r="A4" s="562" t="s">
        <v>801</v>
      </c>
      <c r="B4" s="118">
        <v>0.95</v>
      </c>
      <c r="C4" s="424"/>
    </row>
    <row r="5" spans="1:15" s="13" customFormat="1" ht="37" x14ac:dyDescent="0.45">
      <c r="A5" s="563" t="s">
        <v>729</v>
      </c>
      <c r="B5" s="110" t="s">
        <v>710</v>
      </c>
      <c r="C5" s="424" t="str">
        <f>IF(B6&gt;VLOOKUP($C$2,DATA!A:C,3,FALSE)," Total Enrollment entered exceeds Approved Enrollment","")</f>
        <v/>
      </c>
    </row>
    <row r="6" spans="1:15" s="3" customFormat="1" ht="18.5" x14ac:dyDescent="0.45">
      <c r="A6" s="564" t="s">
        <v>747</v>
      </c>
      <c r="B6" s="480">
        <v>0</v>
      </c>
      <c r="C6" s="424" t="s">
        <v>773</v>
      </c>
    </row>
    <row r="7" spans="1:15" s="108" customFormat="1" ht="68.25" customHeight="1" x14ac:dyDescent="0.35">
      <c r="A7" s="565" t="s">
        <v>797</v>
      </c>
      <c r="B7" s="419">
        <v>0</v>
      </c>
      <c r="C7" s="424" t="s">
        <v>830</v>
      </c>
    </row>
    <row r="8" spans="1:15" ht="37" x14ac:dyDescent="0.45">
      <c r="A8" s="566" t="s">
        <v>759</v>
      </c>
      <c r="B8" s="119">
        <v>0</v>
      </c>
    </row>
    <row r="9" spans="1:15" s="108" customFormat="1" ht="65.25" customHeight="1" x14ac:dyDescent="0.35">
      <c r="A9" s="565" t="s">
        <v>745</v>
      </c>
      <c r="B9" s="419">
        <v>0</v>
      </c>
      <c r="C9" s="424" t="s">
        <v>802</v>
      </c>
    </row>
    <row r="10" spans="1:15" ht="18.5" x14ac:dyDescent="0.45">
      <c r="A10" s="564" t="s">
        <v>744</v>
      </c>
      <c r="B10" s="119">
        <v>0</v>
      </c>
    </row>
    <row r="11" spans="1:15" ht="37" x14ac:dyDescent="0.45">
      <c r="A11" s="567" t="s">
        <v>758</v>
      </c>
      <c r="B11" s="421">
        <f>VLOOKUP($B$1,INITIAL_EST,238,FALSE)</f>
        <v>0</v>
      </c>
      <c r="C11" s="424" t="s">
        <v>829</v>
      </c>
    </row>
    <row r="12" spans="1:15" ht="18.5" x14ac:dyDescent="0.45">
      <c r="A12" s="564" t="s">
        <v>746</v>
      </c>
      <c r="B12" s="119">
        <v>0</v>
      </c>
    </row>
    <row r="13" spans="1:15" s="14" customFormat="1" ht="37" x14ac:dyDescent="0.45">
      <c r="A13" s="568" t="s">
        <v>741</v>
      </c>
      <c r="B13" s="12" t="s">
        <v>711</v>
      </c>
      <c r="C13" s="424"/>
    </row>
    <row r="14" spans="1:15" ht="18.5" x14ac:dyDescent="0.45">
      <c r="A14" s="564" t="s">
        <v>739</v>
      </c>
      <c r="B14" s="119">
        <v>0</v>
      </c>
    </row>
    <row r="15" spans="1:15" ht="18.5" x14ac:dyDescent="0.45">
      <c r="A15" s="564" t="s">
        <v>748</v>
      </c>
      <c r="B15" s="119">
        <v>0</v>
      </c>
    </row>
    <row r="16" spans="1:15" ht="18.5" x14ac:dyDescent="0.45">
      <c r="A16" s="564" t="s">
        <v>749</v>
      </c>
      <c r="B16" s="119">
        <v>0</v>
      </c>
    </row>
    <row r="17" spans="1:204" s="14" customFormat="1" ht="37" x14ac:dyDescent="0.45">
      <c r="A17" s="568" t="s">
        <v>742</v>
      </c>
      <c r="B17" s="12" t="s">
        <v>709</v>
      </c>
      <c r="C17" s="424"/>
    </row>
    <row r="18" spans="1:204" ht="18.5" x14ac:dyDescent="0.45">
      <c r="A18" s="564" t="s">
        <v>565</v>
      </c>
      <c r="B18" s="119">
        <v>0</v>
      </c>
    </row>
    <row r="19" spans="1:204" ht="18.5" x14ac:dyDescent="0.45">
      <c r="A19" s="564" t="s">
        <v>566</v>
      </c>
      <c r="B19" s="119">
        <v>0</v>
      </c>
    </row>
    <row r="20" spans="1:204" ht="18.5" x14ac:dyDescent="0.45">
      <c r="A20" s="564" t="s">
        <v>567</v>
      </c>
      <c r="B20" s="119">
        <v>0</v>
      </c>
    </row>
    <row r="21" spans="1:204" ht="18.5" x14ac:dyDescent="0.45">
      <c r="A21" s="564" t="s">
        <v>584</v>
      </c>
      <c r="B21" s="119">
        <v>0</v>
      </c>
    </row>
    <row r="22" spans="1:204" ht="18.5" x14ac:dyDescent="0.45">
      <c r="A22" s="564" t="s">
        <v>585</v>
      </c>
      <c r="B22" s="119">
        <v>0</v>
      </c>
    </row>
    <row r="23" spans="1:204" ht="18.5" x14ac:dyDescent="0.45">
      <c r="A23" s="564" t="s">
        <v>586</v>
      </c>
      <c r="B23" s="119">
        <v>0</v>
      </c>
    </row>
    <row r="24" spans="1:204" ht="18.5" x14ac:dyDescent="0.45">
      <c r="A24" s="564" t="s">
        <v>587</v>
      </c>
      <c r="B24" s="119">
        <v>0</v>
      </c>
    </row>
    <row r="25" spans="1:204" ht="18.5" x14ac:dyDescent="0.45">
      <c r="A25" s="564" t="s">
        <v>568</v>
      </c>
      <c r="B25" s="119">
        <v>0</v>
      </c>
    </row>
    <row r="26" spans="1:204" ht="18.5" x14ac:dyDescent="0.45">
      <c r="A26" s="564" t="s">
        <v>588</v>
      </c>
      <c r="B26" s="119">
        <v>0</v>
      </c>
    </row>
    <row r="27" spans="1:204" ht="18.5" x14ac:dyDescent="0.45">
      <c r="A27" s="564" t="s">
        <v>569</v>
      </c>
      <c r="B27" s="119">
        <v>0</v>
      </c>
    </row>
    <row r="28" spans="1:204" ht="18.5" x14ac:dyDescent="0.45">
      <c r="A28" s="564" t="s">
        <v>712</v>
      </c>
      <c r="B28" s="119">
        <v>0</v>
      </c>
    </row>
    <row r="29" spans="1:204" s="14" customFormat="1" ht="37" x14ac:dyDescent="0.45">
      <c r="A29" s="568" t="s">
        <v>750</v>
      </c>
      <c r="B29" s="12" t="s">
        <v>708</v>
      </c>
      <c r="C29" s="424"/>
    </row>
    <row r="30" spans="1:204" s="6" customFormat="1" ht="18.5" x14ac:dyDescent="0.45">
      <c r="A30" s="564" t="s">
        <v>570</v>
      </c>
      <c r="B30" s="119">
        <v>0</v>
      </c>
      <c r="C30" s="42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row>
    <row r="31" spans="1:204" s="6" customFormat="1" ht="18.5" x14ac:dyDescent="0.45">
      <c r="A31" s="564" t="s">
        <v>571</v>
      </c>
      <c r="B31" s="119">
        <v>0</v>
      </c>
      <c r="C31" s="42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row>
    <row r="32" spans="1:204" s="6" customFormat="1" ht="18.5" x14ac:dyDescent="0.45">
      <c r="A32" s="564" t="s">
        <v>572</v>
      </c>
      <c r="B32" s="119">
        <v>0</v>
      </c>
      <c r="C32" s="42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row>
    <row r="33" spans="1:204" s="6" customFormat="1" ht="18.5" x14ac:dyDescent="0.45">
      <c r="A33" s="564" t="s">
        <v>594</v>
      </c>
      <c r="B33" s="119">
        <v>0</v>
      </c>
      <c r="C33" s="42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row>
    <row r="34" spans="1:204" s="6" customFormat="1" ht="18.5" x14ac:dyDescent="0.45">
      <c r="A34" s="564" t="s">
        <v>595</v>
      </c>
      <c r="B34" s="119">
        <v>0</v>
      </c>
      <c r="C34" s="42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row>
    <row r="35" spans="1:204" s="6" customFormat="1" ht="18.5" x14ac:dyDescent="0.45">
      <c r="A35" s="564" t="s">
        <v>596</v>
      </c>
      <c r="B35" s="119">
        <v>0</v>
      </c>
      <c r="C35" s="42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row>
    <row r="36" spans="1:204" s="6" customFormat="1" ht="18.5" x14ac:dyDescent="0.45">
      <c r="A36" s="564" t="s">
        <v>597</v>
      </c>
      <c r="B36" s="119">
        <v>0</v>
      </c>
      <c r="C36" s="42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row>
    <row r="37" spans="1:204" s="6" customFormat="1" ht="18.5" x14ac:dyDescent="0.45">
      <c r="A37" s="564" t="s">
        <v>573</v>
      </c>
      <c r="B37" s="119">
        <v>0</v>
      </c>
      <c r="C37" s="42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row>
    <row r="38" spans="1:204" s="6" customFormat="1" ht="18.5" x14ac:dyDescent="0.45">
      <c r="A38" s="564" t="s">
        <v>598</v>
      </c>
      <c r="B38" s="119">
        <v>0</v>
      </c>
      <c r="C38" s="42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row>
    <row r="39" spans="1:204" s="6" customFormat="1" ht="18.5" x14ac:dyDescent="0.45">
      <c r="A39" s="564" t="s">
        <v>574</v>
      </c>
      <c r="B39" s="119">
        <v>0</v>
      </c>
      <c r="C39" s="42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row>
    <row r="40" spans="1:204" s="6" customFormat="1" ht="18.5" x14ac:dyDescent="0.45">
      <c r="A40" s="564" t="s">
        <v>713</v>
      </c>
      <c r="B40" s="119">
        <v>0</v>
      </c>
      <c r="C40" s="42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row>
    <row r="41" spans="1:204" s="14" customFormat="1" ht="37" x14ac:dyDescent="0.45">
      <c r="A41" s="568" t="s">
        <v>866</v>
      </c>
      <c r="B41" s="12" t="s">
        <v>867</v>
      </c>
      <c r="C41" s="424"/>
    </row>
    <row r="42" spans="1:204" ht="18.5" x14ac:dyDescent="0.45">
      <c r="A42" s="564" t="s">
        <v>865</v>
      </c>
      <c r="B42" s="119">
        <v>0</v>
      </c>
    </row>
    <row r="43" spans="1:204" ht="18.5" x14ac:dyDescent="0.45">
      <c r="A43" s="564" t="s">
        <v>864</v>
      </c>
      <c r="B43" s="119">
        <v>0</v>
      </c>
    </row>
    <row r="44" spans="1:204" ht="18.5" x14ac:dyDescent="0.45">
      <c r="A44" s="564" t="s">
        <v>863</v>
      </c>
      <c r="B44" s="119">
        <v>0</v>
      </c>
    </row>
    <row r="45" spans="1:204" ht="18.5" x14ac:dyDescent="0.45">
      <c r="A45" s="569" t="s">
        <v>726</v>
      </c>
      <c r="B45" s="12"/>
    </row>
    <row r="46" spans="1:204" ht="18.5" x14ac:dyDescent="0.45">
      <c r="A46" s="569" t="s">
        <v>727</v>
      </c>
      <c r="B46" s="12"/>
    </row>
    <row r="47" spans="1:204" ht="18.5" x14ac:dyDescent="0.45">
      <c r="A47" s="569" t="s">
        <v>728</v>
      </c>
      <c r="B47" s="12"/>
    </row>
    <row r="48" spans="1:204" ht="37" x14ac:dyDescent="0.45">
      <c r="A48" s="570" t="s">
        <v>831</v>
      </c>
      <c r="B48" s="119">
        <v>0</v>
      </c>
    </row>
    <row r="49" spans="1:3" s="159" customFormat="1" ht="37" x14ac:dyDescent="0.25">
      <c r="A49" s="571" t="s">
        <v>743</v>
      </c>
      <c r="B49" s="158" t="s">
        <v>714</v>
      </c>
      <c r="C49" s="424" t="s">
        <v>760</v>
      </c>
    </row>
    <row r="50" spans="1:3" ht="46.5" x14ac:dyDescent="0.35">
      <c r="A50" s="422" t="s">
        <v>576</v>
      </c>
      <c r="B50" s="112">
        <f>VLOOKUP($B$1,INITIAL_EST,231,FALSE)</f>
        <v>0</v>
      </c>
      <c r="C50" s="425" t="s">
        <v>969</v>
      </c>
    </row>
    <row r="51" spans="1:3" ht="18.5" x14ac:dyDescent="0.35">
      <c r="A51" s="422" t="s">
        <v>577</v>
      </c>
      <c r="B51" s="112">
        <f>VLOOKUP($B$1,INITIAL_EST,232,FALSE)</f>
        <v>0</v>
      </c>
      <c r="C51" s="572"/>
    </row>
    <row r="52" spans="1:3" ht="18.5" x14ac:dyDescent="0.35">
      <c r="A52" s="422" t="s">
        <v>578</v>
      </c>
      <c r="B52" s="112">
        <f>VLOOKUP($B$1,INITIAL_EST,233,FALSE)</f>
        <v>0</v>
      </c>
      <c r="C52" s="572"/>
    </row>
    <row r="53" spans="1:3" ht="18.5" x14ac:dyDescent="0.35">
      <c r="A53" s="422" t="s">
        <v>579</v>
      </c>
      <c r="B53" s="112">
        <f>VLOOKUP($B$1,INITIAL_EST,234,FALSE)</f>
        <v>0</v>
      </c>
      <c r="C53" s="572"/>
    </row>
    <row r="54" spans="1:3" ht="18.5" x14ac:dyDescent="0.35">
      <c r="A54" s="422" t="s">
        <v>580</v>
      </c>
      <c r="B54" s="112">
        <f>VLOOKUP($B$1,INITIAL_EST,235,FALSE)</f>
        <v>0</v>
      </c>
      <c r="C54" s="572"/>
    </row>
    <row r="55" spans="1:3" s="159" customFormat="1" ht="32.25" customHeight="1" x14ac:dyDescent="0.25">
      <c r="A55" s="562" t="s">
        <v>813</v>
      </c>
      <c r="B55" s="112">
        <f>VLOOKUP($B$1,INITIAL_EST,55,FALSE)</f>
        <v>0</v>
      </c>
      <c r="C55" s="424"/>
    </row>
    <row r="56" spans="1:3" s="111" customFormat="1" ht="71.25" customHeight="1" x14ac:dyDescent="0.25">
      <c r="A56" s="562" t="s">
        <v>814</v>
      </c>
      <c r="B56" s="112">
        <f>VLOOKUP($B$1,INITIAL_EST,15,FALSE)</f>
        <v>0</v>
      </c>
      <c r="C56" s="424" t="s">
        <v>800</v>
      </c>
    </row>
    <row r="57" spans="1:3" s="111" customFormat="1" ht="74" x14ac:dyDescent="0.25">
      <c r="A57" s="571" t="s">
        <v>887</v>
      </c>
      <c r="B57" s="112" t="str">
        <f>VLOOKUP(B1,DATA!A:F,6,FALSE)</f>
        <v>No</v>
      </c>
      <c r="C57" s="424" t="s">
        <v>806</v>
      </c>
    </row>
    <row r="58" spans="1:3" s="14" customFormat="1" ht="18.5" x14ac:dyDescent="0.45">
      <c r="A58" s="568" t="s">
        <v>815</v>
      </c>
      <c r="B58" s="579" t="s">
        <v>761</v>
      </c>
      <c r="C58" s="424"/>
    </row>
    <row r="59" spans="1:3" ht="18.5" x14ac:dyDescent="0.45">
      <c r="A59" s="573" t="s">
        <v>751</v>
      </c>
      <c r="B59" s="624">
        <f>VLOOKUP($B$1,INITIAL_EST,220,FALSE)</f>
        <v>0</v>
      </c>
    </row>
    <row r="60" spans="1:3" ht="18.5" x14ac:dyDescent="0.45">
      <c r="A60" s="573" t="s">
        <v>752</v>
      </c>
      <c r="B60" s="624">
        <f>VLOOKUP(B1,INITIAL_EST,79,FALSE)</f>
        <v>0</v>
      </c>
    </row>
    <row r="61" spans="1:3" ht="18.5" x14ac:dyDescent="0.45">
      <c r="A61" s="573" t="s">
        <v>754</v>
      </c>
      <c r="B61" s="624">
        <f>VLOOKUP(B1,INITIAL_EST,222,FALSE)</f>
        <v>0</v>
      </c>
    </row>
    <row r="62" spans="1:3" ht="18.5" x14ac:dyDescent="0.45">
      <c r="A62" s="573" t="s">
        <v>753</v>
      </c>
      <c r="B62" s="624">
        <f>VLOOKUP($B$1,INITIAL_EST,221,FALSE)</f>
        <v>0</v>
      </c>
    </row>
    <row r="63" spans="1:3" ht="18.5" x14ac:dyDescent="0.45">
      <c r="A63" s="573" t="s">
        <v>755</v>
      </c>
      <c r="B63" s="624">
        <f>VLOOKUP(B1,INITIAL_EST,218,FALSE)</f>
        <v>0</v>
      </c>
    </row>
    <row r="64" spans="1:3" ht="19" thickBot="1" x14ac:dyDescent="0.5">
      <c r="A64" s="574" t="s">
        <v>756</v>
      </c>
      <c r="B64" s="625">
        <f>VLOOKUP(B1,INITIAL_EST,219,FALSE)</f>
        <v>0</v>
      </c>
    </row>
    <row r="65" spans="1:2" ht="18.5" x14ac:dyDescent="0.45">
      <c r="A65" s="575" t="s">
        <v>757</v>
      </c>
      <c r="B65" s="423"/>
    </row>
    <row r="66" spans="1:2" ht="18.5" x14ac:dyDescent="0.45">
      <c r="A66" s="576" t="s">
        <v>934</v>
      </c>
      <c r="B66" s="580">
        <f>VLOOKUP(Estimates!$B$1,INITIAL_EST,170,FALSE)</f>
        <v>0</v>
      </c>
    </row>
    <row r="67" spans="1:2" ht="18.5" x14ac:dyDescent="0.45">
      <c r="A67" s="577" t="s">
        <v>916</v>
      </c>
      <c r="B67" s="580">
        <f>VLOOKUP(Estimates!$B$1,INITIAL_EST,169,FALSE)</f>
        <v>0</v>
      </c>
    </row>
    <row r="68" spans="1:2" ht="18.5" x14ac:dyDescent="0.45">
      <c r="A68" s="577" t="s">
        <v>715</v>
      </c>
      <c r="B68" s="581">
        <f>VLOOKUP(Estimates!$B$1,INITIAL_EST,171,FALSE)</f>
        <v>0</v>
      </c>
    </row>
    <row r="69" spans="1:2" ht="18.5" x14ac:dyDescent="0.45">
      <c r="A69" s="577" t="s">
        <v>716</v>
      </c>
      <c r="B69" s="581">
        <f>VLOOKUP(Estimates!$B$1,INITIAL_EST,174,FALSE)</f>
        <v>0</v>
      </c>
    </row>
    <row r="70" spans="1:2" ht="19" thickBot="1" x14ac:dyDescent="0.5">
      <c r="A70" s="578" t="s">
        <v>581</v>
      </c>
      <c r="B70" s="487">
        <f>SUM(B66:B69)</f>
        <v>0</v>
      </c>
    </row>
    <row r="1478" spans="2:204" s="7" customFormat="1" x14ac:dyDescent="0.55000000000000004">
      <c r="B1478" s="16"/>
      <c r="C1478" s="424"/>
      <c r="D1478" s="4"/>
      <c r="E1478" s="4"/>
      <c r="F1478" s="4"/>
      <c r="G1478" s="4"/>
      <c r="H1478" s="4"/>
      <c r="I1478" s="4"/>
      <c r="J1478" s="4"/>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row>
    <row r="1479" spans="2:204" s="7" customFormat="1" x14ac:dyDescent="0.55000000000000004">
      <c r="B1479" s="16"/>
      <c r="C1479" s="424"/>
      <c r="D1479" s="4"/>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row>
    <row r="1480" spans="2:204" s="7" customFormat="1" x14ac:dyDescent="0.55000000000000004">
      <c r="B1480" s="16"/>
      <c r="C1480" s="424"/>
      <c r="D1480" s="4"/>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row>
    <row r="1481" spans="2:204" s="7" customFormat="1" x14ac:dyDescent="0.55000000000000004">
      <c r="B1481" s="16"/>
      <c r="C1481" s="424"/>
      <c r="D1481" s="4"/>
      <c r="E1481" s="4"/>
      <c r="F1481" s="4"/>
      <c r="G1481" s="4"/>
      <c r="H1481" s="4"/>
      <c r="I1481" s="4"/>
      <c r="J1481" s="4"/>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row>
    <row r="1482" spans="2:204" s="7" customFormat="1" x14ac:dyDescent="0.55000000000000004">
      <c r="B1482" s="16"/>
      <c r="C1482" s="424"/>
      <c r="D1482" s="4"/>
      <c r="E1482" s="4"/>
      <c r="F1482" s="4"/>
      <c r="G1482" s="4"/>
      <c r="H1482" s="4"/>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row>
    <row r="1483" spans="2:204" s="7" customFormat="1" x14ac:dyDescent="0.55000000000000004">
      <c r="B1483" s="16"/>
      <c r="C1483" s="424"/>
      <c r="D1483" s="4"/>
      <c r="E1483" s="4"/>
      <c r="F1483" s="4"/>
      <c r="G1483" s="4"/>
      <c r="H1483" s="4"/>
      <c r="I1483" s="4"/>
      <c r="J1483" s="4"/>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row>
    <row r="1484" spans="2:204" s="7" customFormat="1" x14ac:dyDescent="0.55000000000000004">
      <c r="B1484" s="16"/>
      <c r="C1484" s="424"/>
      <c r="D1484" s="4"/>
      <c r="E1484" s="4"/>
      <c r="F1484" s="4"/>
      <c r="G1484" s="4"/>
      <c r="H1484" s="4"/>
      <c r="I1484" s="4"/>
      <c r="J1484" s="4"/>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row>
    <row r="1485" spans="2:204" s="7" customFormat="1" x14ac:dyDescent="0.55000000000000004">
      <c r="B1485" s="16"/>
      <c r="C1485" s="424"/>
      <c r="D1485" s="4"/>
      <c r="E1485" s="4"/>
      <c r="F1485" s="4"/>
      <c r="G1485" s="4"/>
      <c r="H1485" s="4"/>
      <c r="I1485" s="4"/>
      <c r="J1485" s="4"/>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row>
    <row r="1486" spans="2:204" s="7" customFormat="1" x14ac:dyDescent="0.55000000000000004">
      <c r="B1486" s="16"/>
      <c r="C1486" s="424"/>
      <c r="D1486" s="4"/>
      <c r="E1486" s="4"/>
      <c r="F1486" s="4"/>
      <c r="G1486" s="4"/>
      <c r="H1486" s="4"/>
      <c r="I1486" s="4"/>
      <c r="J1486" s="4"/>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row>
    <row r="1487" spans="2:204" s="7" customFormat="1" x14ac:dyDescent="0.55000000000000004">
      <c r="B1487" s="16"/>
      <c r="C1487" s="424"/>
      <c r="D1487" s="4"/>
      <c r="E1487" s="4"/>
      <c r="F1487" s="4"/>
      <c r="G1487" s="4"/>
      <c r="H1487" s="4"/>
      <c r="I1487" s="4"/>
      <c r="J1487" s="4"/>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row>
    <row r="1488" spans="2:204" s="7" customFormat="1" x14ac:dyDescent="0.55000000000000004">
      <c r="B1488" s="16"/>
      <c r="C1488" s="424"/>
      <c r="D1488" s="4"/>
      <c r="E1488" s="4"/>
      <c r="F1488" s="4"/>
      <c r="G1488" s="4"/>
      <c r="H1488" s="4"/>
      <c r="I1488" s="4"/>
      <c r="J1488" s="4"/>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row>
    <row r="1489" spans="2:204" s="7" customFormat="1" x14ac:dyDescent="0.55000000000000004">
      <c r="B1489" s="16"/>
      <c r="C1489" s="424"/>
      <c r="D1489" s="4"/>
      <c r="E1489" s="4"/>
      <c r="F1489" s="4"/>
      <c r="G1489" s="4"/>
      <c r="H1489" s="4"/>
      <c r="I1489" s="4"/>
      <c r="J1489" s="4"/>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row>
    <row r="1490" spans="2:204" s="7" customFormat="1" x14ac:dyDescent="0.55000000000000004">
      <c r="B1490" s="16"/>
      <c r="C1490" s="424"/>
      <c r="D1490" s="4"/>
      <c r="E1490" s="4"/>
      <c r="F1490" s="4"/>
      <c r="G1490" s="4"/>
      <c r="H1490" s="4"/>
      <c r="I1490" s="4"/>
      <c r="J1490" s="4"/>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row>
    <row r="1491" spans="2:204" s="7" customFormat="1" x14ac:dyDescent="0.55000000000000004">
      <c r="B1491" s="16"/>
      <c r="C1491" s="424"/>
      <c r="D1491" s="4"/>
      <c r="E1491" s="4"/>
      <c r="F1491" s="4"/>
      <c r="G1491" s="4"/>
      <c r="H1491" s="4"/>
      <c r="I1491" s="4"/>
      <c r="J1491" s="4"/>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row>
    <row r="1492" spans="2:204" s="7" customFormat="1" x14ac:dyDescent="0.55000000000000004">
      <c r="B1492" s="16"/>
      <c r="C1492" s="424"/>
      <c r="D1492" s="4"/>
      <c r="E1492" s="4"/>
      <c r="F1492" s="4"/>
      <c r="G1492" s="4"/>
      <c r="H1492" s="4"/>
      <c r="I1492" s="4"/>
      <c r="J1492" s="4"/>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row>
    <row r="1493" spans="2:204" s="7" customFormat="1" x14ac:dyDescent="0.55000000000000004">
      <c r="B1493" s="16"/>
      <c r="C1493" s="424"/>
      <c r="D1493" s="4"/>
      <c r="E1493" s="4"/>
      <c r="F1493" s="4"/>
      <c r="G1493" s="4"/>
      <c r="H1493" s="4"/>
      <c r="I1493" s="4"/>
      <c r="J1493" s="4"/>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row>
    <row r="1494" spans="2:204" s="7" customFormat="1" x14ac:dyDescent="0.55000000000000004">
      <c r="B1494" s="16"/>
      <c r="C1494" s="424"/>
      <c r="D1494" s="4"/>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row>
    <row r="1495" spans="2:204" s="7" customFormat="1" x14ac:dyDescent="0.55000000000000004">
      <c r="B1495" s="16"/>
      <c r="C1495" s="424"/>
      <c r="D1495" s="4"/>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row>
    <row r="1496" spans="2:204" s="7" customFormat="1" x14ac:dyDescent="0.55000000000000004">
      <c r="B1496" s="16"/>
      <c r="C1496" s="424"/>
      <c r="D1496" s="4"/>
      <c r="E1496" s="4"/>
      <c r="F1496" s="4"/>
      <c r="G1496" s="4"/>
      <c r="H1496" s="4"/>
      <c r="I1496" s="4"/>
      <c r="J1496" s="4"/>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row>
    <row r="1497" spans="2:204" s="7" customFormat="1" x14ac:dyDescent="0.55000000000000004">
      <c r="B1497" s="16"/>
      <c r="C1497" s="424"/>
      <c r="D1497" s="4"/>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row>
    <row r="1498" spans="2:204" s="7" customFormat="1" x14ac:dyDescent="0.55000000000000004">
      <c r="B1498" s="16"/>
      <c r="C1498" s="424"/>
      <c r="D1498" s="4"/>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row>
    <row r="1499" spans="2:204" s="7" customFormat="1" x14ac:dyDescent="0.55000000000000004">
      <c r="B1499" s="16"/>
      <c r="C1499" s="424"/>
      <c r="D1499" s="4"/>
      <c r="E1499" s="4"/>
      <c r="F1499" s="4"/>
      <c r="G1499" s="4"/>
      <c r="H1499" s="4"/>
      <c r="I1499" s="4"/>
      <c r="J1499" s="4"/>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row>
    <row r="1500" spans="2:204" s="7" customFormat="1" x14ac:dyDescent="0.55000000000000004">
      <c r="B1500" s="16"/>
      <c r="C1500" s="424"/>
      <c r="D1500" s="4"/>
      <c r="E1500" s="4"/>
      <c r="F1500" s="4"/>
      <c r="G1500" s="4"/>
      <c r="H1500" s="4"/>
      <c r="I1500" s="4"/>
      <c r="J1500" s="4"/>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row>
    <row r="1501" spans="2:204" s="7" customFormat="1" x14ac:dyDescent="0.55000000000000004">
      <c r="B1501" s="16"/>
      <c r="C1501" s="424"/>
      <c r="D1501" s="4"/>
      <c r="E1501" s="4"/>
      <c r="F1501" s="4"/>
      <c r="G1501" s="4"/>
      <c r="H1501" s="4"/>
      <c r="I1501" s="4"/>
      <c r="J1501" s="4"/>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row>
    <row r="1502" spans="2:204" s="7" customFormat="1" x14ac:dyDescent="0.55000000000000004">
      <c r="B1502" s="16"/>
      <c r="C1502" s="424"/>
      <c r="D1502" s="4"/>
      <c r="E1502" s="4"/>
      <c r="F1502" s="4"/>
      <c r="G1502" s="4"/>
      <c r="H1502" s="4"/>
      <c r="I1502" s="4"/>
      <c r="J1502" s="4"/>
      <c r="K1502" s="4"/>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row>
    <row r="1503" spans="2:204" s="7" customFormat="1" x14ac:dyDescent="0.55000000000000004">
      <c r="B1503" s="16"/>
      <c r="C1503" s="424"/>
      <c r="D1503" s="4"/>
      <c r="E1503" s="4"/>
      <c r="F1503" s="4"/>
      <c r="G1503" s="4"/>
      <c r="H1503" s="4"/>
      <c r="I1503" s="4"/>
      <c r="J1503" s="4"/>
      <c r="K1503" s="4"/>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row>
    <row r="1504" spans="2:204" s="7" customFormat="1" x14ac:dyDescent="0.55000000000000004">
      <c r="B1504" s="16"/>
      <c r="C1504" s="424"/>
      <c r="D1504" s="4"/>
      <c r="E1504" s="4"/>
      <c r="F1504" s="4"/>
      <c r="G1504" s="4"/>
      <c r="H1504" s="4"/>
      <c r="I1504" s="4"/>
      <c r="J1504" s="4"/>
      <c r="K1504" s="4"/>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row>
    <row r="1505" spans="2:204" s="7" customFormat="1" x14ac:dyDescent="0.55000000000000004">
      <c r="B1505" s="16"/>
      <c r="C1505" s="424"/>
      <c r="D1505" s="4"/>
      <c r="E1505" s="4"/>
      <c r="F1505" s="4"/>
      <c r="G1505" s="4"/>
      <c r="H1505" s="4"/>
      <c r="I1505" s="4"/>
      <c r="J1505" s="4"/>
      <c r="K1505" s="4"/>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row>
    <row r="1506" spans="2:204" s="7" customFormat="1" x14ac:dyDescent="0.55000000000000004">
      <c r="B1506" s="16"/>
      <c r="C1506" s="424"/>
      <c r="D1506" s="4"/>
      <c r="E1506" s="4"/>
      <c r="F1506" s="4"/>
      <c r="G1506" s="4"/>
      <c r="H1506" s="4"/>
      <c r="I1506" s="4"/>
      <c r="J1506" s="4"/>
      <c r="K1506" s="4"/>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row>
    <row r="1507" spans="2:204" s="7" customFormat="1" x14ac:dyDescent="0.55000000000000004">
      <c r="B1507" s="16"/>
      <c r="C1507" s="424"/>
      <c r="D1507" s="4"/>
      <c r="E1507" s="4"/>
      <c r="F1507" s="4"/>
      <c r="G1507" s="4"/>
      <c r="H1507" s="4"/>
      <c r="I1507" s="4"/>
      <c r="J1507" s="4"/>
      <c r="K1507" s="4"/>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row>
    <row r="1508" spans="2:204" s="7" customFormat="1" x14ac:dyDescent="0.55000000000000004">
      <c r="B1508" s="16"/>
      <c r="C1508" s="424"/>
      <c r="D1508" s="4"/>
      <c r="E1508" s="4"/>
      <c r="F1508" s="4"/>
      <c r="G1508" s="4"/>
      <c r="H1508" s="4"/>
      <c r="I1508" s="4"/>
      <c r="J1508" s="4"/>
      <c r="K1508" s="4"/>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row>
    <row r="1509" spans="2:204" s="7" customFormat="1" x14ac:dyDescent="0.55000000000000004">
      <c r="B1509" s="16"/>
      <c r="C1509" s="424"/>
      <c r="D1509" s="4"/>
      <c r="E1509" s="4"/>
      <c r="F1509" s="4"/>
      <c r="G1509" s="4"/>
      <c r="H1509" s="4"/>
      <c r="I1509" s="4"/>
      <c r="J1509" s="4"/>
      <c r="K1509" s="4"/>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row>
    <row r="1510" spans="2:204" s="7" customFormat="1" x14ac:dyDescent="0.55000000000000004">
      <c r="B1510" s="16"/>
      <c r="C1510" s="424"/>
      <c r="D1510" s="4"/>
      <c r="E1510" s="4"/>
      <c r="F1510" s="4"/>
      <c r="G1510" s="4"/>
      <c r="H1510" s="4"/>
      <c r="I1510" s="4"/>
      <c r="J1510" s="4"/>
      <c r="K1510" s="4"/>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row>
    <row r="1511" spans="2:204" s="7" customFormat="1" x14ac:dyDescent="0.55000000000000004">
      <c r="B1511" s="16"/>
      <c r="C1511" s="424"/>
      <c r="D1511" s="4"/>
      <c r="E1511" s="4"/>
      <c r="F1511" s="4"/>
      <c r="G1511" s="4"/>
      <c r="H1511" s="4"/>
      <c r="I1511" s="4"/>
      <c r="J1511" s="4"/>
      <c r="K1511" s="4"/>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row>
    <row r="1512" spans="2:204" s="7" customFormat="1" x14ac:dyDescent="0.55000000000000004">
      <c r="B1512" s="16"/>
      <c r="C1512" s="424"/>
      <c r="D1512" s="4"/>
      <c r="E1512" s="4"/>
      <c r="F1512" s="4"/>
      <c r="G1512" s="4"/>
      <c r="H1512" s="4"/>
      <c r="I1512" s="4"/>
      <c r="J1512" s="4"/>
      <c r="K1512" s="4"/>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row>
    <row r="1513" spans="2:204" s="7" customFormat="1" x14ac:dyDescent="0.55000000000000004">
      <c r="B1513" s="16"/>
      <c r="C1513" s="424"/>
      <c r="D1513" s="4"/>
      <c r="E1513" s="4"/>
      <c r="F1513" s="4"/>
      <c r="G1513" s="4"/>
      <c r="H1513" s="4"/>
      <c r="I1513" s="4"/>
      <c r="J1513" s="4"/>
      <c r="K1513" s="4"/>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row>
    <row r="1514" spans="2:204" s="7" customFormat="1" x14ac:dyDescent="0.55000000000000004">
      <c r="B1514" s="16"/>
      <c r="C1514" s="42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row>
    <row r="1515" spans="2:204" s="7" customFormat="1" x14ac:dyDescent="0.55000000000000004">
      <c r="B1515" s="16"/>
      <c r="C1515" s="424"/>
      <c r="D1515" s="4"/>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row>
    <row r="1516" spans="2:204" s="7" customFormat="1" x14ac:dyDescent="0.55000000000000004">
      <c r="B1516" s="16"/>
      <c r="C1516" s="424"/>
      <c r="D1516" s="4"/>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row>
    <row r="1517" spans="2:204" s="7" customFormat="1" x14ac:dyDescent="0.55000000000000004">
      <c r="B1517" s="16"/>
      <c r="C1517" s="424"/>
      <c r="D1517" s="4"/>
      <c r="E1517" s="4"/>
      <c r="F1517" s="4"/>
      <c r="G1517" s="4"/>
      <c r="H1517" s="4"/>
      <c r="I1517" s="4"/>
      <c r="J1517" s="4"/>
      <c r="K1517" s="4"/>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row>
    <row r="1518" spans="2:204" s="7" customFormat="1" x14ac:dyDescent="0.55000000000000004">
      <c r="B1518" s="16"/>
      <c r="C1518" s="424"/>
      <c r="D1518" s="4"/>
      <c r="E1518" s="4"/>
      <c r="F1518" s="4"/>
      <c r="G1518" s="4"/>
      <c r="H1518" s="4"/>
      <c r="I1518" s="4"/>
      <c r="J1518" s="4"/>
      <c r="K1518" s="4"/>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row>
    <row r="1519" spans="2:204" s="7" customFormat="1" x14ac:dyDescent="0.55000000000000004">
      <c r="B1519" s="16"/>
      <c r="C1519" s="424"/>
      <c r="D1519" s="4"/>
      <c r="E1519" s="4"/>
      <c r="F1519" s="4"/>
      <c r="G1519" s="4"/>
      <c r="H1519" s="4"/>
      <c r="I1519" s="4"/>
      <c r="J1519" s="4"/>
      <c r="K1519" s="4"/>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row>
    <row r="1520" spans="2:204" s="7" customFormat="1" x14ac:dyDescent="0.55000000000000004">
      <c r="B1520" s="16"/>
      <c r="C1520" s="424"/>
      <c r="D1520" s="4"/>
      <c r="E1520" s="4"/>
      <c r="F1520" s="4"/>
      <c r="G1520" s="4"/>
      <c r="H1520" s="4"/>
      <c r="I1520" s="4"/>
      <c r="J1520" s="4"/>
      <c r="K1520" s="4"/>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row>
    <row r="1521" spans="2:204" s="7" customFormat="1" x14ac:dyDescent="0.55000000000000004">
      <c r="B1521" s="16"/>
      <c r="C1521" s="424"/>
      <c r="D1521" s="4"/>
      <c r="E1521" s="4"/>
      <c r="F1521" s="4"/>
      <c r="G1521" s="4"/>
      <c r="H1521" s="4"/>
      <c r="I1521" s="4"/>
      <c r="J1521" s="4"/>
      <c r="K1521" s="4"/>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row>
    <row r="1522" spans="2:204" s="7" customFormat="1" x14ac:dyDescent="0.55000000000000004">
      <c r="B1522" s="16"/>
      <c r="C1522" s="424"/>
      <c r="D1522" s="4"/>
      <c r="E1522" s="4"/>
      <c r="F1522" s="4"/>
      <c r="G1522" s="4"/>
      <c r="H1522" s="4"/>
      <c r="I1522" s="4"/>
      <c r="J1522" s="4"/>
      <c r="K1522" s="4"/>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row>
    <row r="1523" spans="2:204" s="7" customFormat="1" x14ac:dyDescent="0.55000000000000004">
      <c r="B1523" s="16"/>
      <c r="C1523" s="424"/>
      <c r="D1523" s="4"/>
      <c r="E1523" s="4"/>
      <c r="F1523" s="4"/>
      <c r="G1523" s="4"/>
      <c r="H1523" s="4"/>
      <c r="I1523" s="4"/>
      <c r="J1523" s="4"/>
      <c r="K1523" s="4"/>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row>
    <row r="1524" spans="2:204" s="7" customFormat="1" x14ac:dyDescent="0.55000000000000004">
      <c r="B1524" s="16"/>
      <c r="C1524" s="424"/>
      <c r="D1524" s="4"/>
      <c r="E1524" s="4"/>
      <c r="F1524" s="4"/>
      <c r="G1524" s="4"/>
      <c r="H1524" s="4"/>
      <c r="I1524" s="4"/>
      <c r="J1524" s="4"/>
      <c r="K1524" s="4"/>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row>
    <row r="1525" spans="2:204" s="7" customFormat="1" x14ac:dyDescent="0.55000000000000004">
      <c r="B1525" s="16"/>
      <c r="C1525" s="424"/>
      <c r="D1525" s="4"/>
      <c r="E1525" s="4"/>
      <c r="F1525" s="4"/>
      <c r="G1525" s="4"/>
      <c r="H1525" s="4"/>
      <c r="I1525" s="4"/>
      <c r="J1525" s="4"/>
      <c r="K1525" s="4"/>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row>
    <row r="1526" spans="2:204" s="7" customFormat="1" x14ac:dyDescent="0.55000000000000004">
      <c r="B1526" s="16"/>
      <c r="C1526" s="424"/>
      <c r="D1526" s="4"/>
      <c r="E1526" s="4"/>
      <c r="F1526" s="4"/>
      <c r="G1526" s="4"/>
      <c r="H1526" s="4"/>
      <c r="I1526" s="4"/>
      <c r="J1526" s="4"/>
      <c r="K1526" s="4"/>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row>
    <row r="1527" spans="2:204" s="7" customFormat="1" x14ac:dyDescent="0.55000000000000004">
      <c r="B1527" s="16"/>
      <c r="C1527" s="424"/>
      <c r="D1527" s="4"/>
      <c r="E1527" s="4"/>
      <c r="F1527" s="4"/>
      <c r="G1527" s="4"/>
      <c r="H1527" s="4"/>
      <c r="I1527" s="4"/>
      <c r="J1527" s="4"/>
      <c r="K1527" s="4"/>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row>
    <row r="1528" spans="2:204" s="7" customFormat="1" x14ac:dyDescent="0.55000000000000004">
      <c r="B1528" s="16"/>
      <c r="C1528" s="424"/>
      <c r="D1528" s="4"/>
      <c r="E1528" s="4"/>
      <c r="F1528" s="4"/>
      <c r="G1528" s="4"/>
      <c r="H1528" s="4"/>
      <c r="I1528" s="4"/>
      <c r="J1528" s="4"/>
      <c r="K1528" s="4"/>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row>
    <row r="1529" spans="2:204" s="7" customFormat="1" x14ac:dyDescent="0.55000000000000004">
      <c r="B1529" s="16"/>
      <c r="C1529" s="424"/>
      <c r="D1529" s="4"/>
      <c r="E1529" s="4"/>
      <c r="F1529" s="4"/>
      <c r="G1529" s="4"/>
      <c r="H1529" s="4"/>
      <c r="I1529" s="4"/>
      <c r="J1529" s="4"/>
      <c r="K1529" s="4"/>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row>
    <row r="1530" spans="2:204" s="7" customFormat="1" x14ac:dyDescent="0.55000000000000004">
      <c r="B1530" s="16"/>
      <c r="C1530" s="424"/>
      <c r="D1530" s="4"/>
      <c r="E1530" s="4"/>
      <c r="F1530" s="4"/>
      <c r="G1530" s="4"/>
      <c r="H1530" s="4"/>
      <c r="I1530" s="4"/>
      <c r="J1530" s="4"/>
      <c r="K1530" s="4"/>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row>
    <row r="1531" spans="2:204" s="7" customFormat="1" x14ac:dyDescent="0.55000000000000004">
      <c r="B1531" s="16"/>
      <c r="C1531" s="424"/>
      <c r="D1531" s="4"/>
      <c r="E1531" s="4"/>
      <c r="F1531" s="4"/>
      <c r="G1531" s="4"/>
      <c r="H1531" s="4"/>
      <c r="I1531" s="4"/>
      <c r="J1531" s="4"/>
      <c r="K1531" s="4"/>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row>
    <row r="1532" spans="2:204" s="7" customFormat="1" x14ac:dyDescent="0.55000000000000004">
      <c r="B1532" s="16"/>
      <c r="C1532" s="424"/>
      <c r="D1532" s="4"/>
      <c r="E1532" s="4"/>
      <c r="F1532" s="4"/>
      <c r="G1532" s="4"/>
      <c r="H1532" s="4"/>
      <c r="I1532" s="4"/>
      <c r="J1532" s="4"/>
      <c r="K1532" s="4"/>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row>
    <row r="1533" spans="2:204" s="7" customFormat="1" x14ac:dyDescent="0.55000000000000004">
      <c r="B1533" s="16"/>
      <c r="C1533" s="42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row>
    <row r="1534" spans="2:204" s="7" customFormat="1" x14ac:dyDescent="0.55000000000000004">
      <c r="B1534" s="16"/>
      <c r="C1534" s="424"/>
      <c r="D1534" s="4"/>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row>
    <row r="1535" spans="2:204" s="7" customFormat="1" x14ac:dyDescent="0.55000000000000004">
      <c r="B1535" s="16"/>
      <c r="C1535" s="424"/>
      <c r="D1535" s="4"/>
      <c r="E1535" s="4"/>
      <c r="F1535" s="4"/>
      <c r="G1535" s="4"/>
      <c r="H1535" s="4"/>
      <c r="I1535" s="4"/>
      <c r="J1535" s="4"/>
      <c r="K1535" s="4"/>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row>
    <row r="1536" spans="2:204" s="7" customFormat="1" x14ac:dyDescent="0.55000000000000004">
      <c r="B1536" s="16"/>
      <c r="C1536" s="424"/>
      <c r="D1536" s="4"/>
      <c r="E1536" s="4"/>
      <c r="F1536" s="4"/>
      <c r="G1536" s="4"/>
      <c r="H1536" s="4"/>
      <c r="I1536" s="4"/>
      <c r="J1536" s="4"/>
      <c r="K1536" s="4"/>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row>
    <row r="1537" spans="2:204" s="7" customFormat="1" x14ac:dyDescent="0.55000000000000004">
      <c r="B1537" s="16"/>
      <c r="C1537" s="424"/>
      <c r="D1537" s="4"/>
      <c r="E1537" s="4"/>
      <c r="F1537" s="4"/>
      <c r="G1537" s="4"/>
      <c r="H1537" s="4"/>
      <c r="I1537" s="4"/>
      <c r="J1537" s="4"/>
      <c r="K1537" s="4"/>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row>
    <row r="1538" spans="2:204" s="7" customFormat="1" x14ac:dyDescent="0.55000000000000004">
      <c r="B1538" s="16"/>
      <c r="C1538" s="424"/>
      <c r="D1538" s="4"/>
      <c r="E1538" s="4"/>
      <c r="F1538" s="4"/>
      <c r="G1538" s="4"/>
      <c r="H1538" s="4"/>
      <c r="I1538" s="4"/>
      <c r="J1538" s="4"/>
      <c r="K1538" s="4"/>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row>
    <row r="1539" spans="2:204" s="7" customFormat="1" x14ac:dyDescent="0.55000000000000004">
      <c r="B1539" s="16"/>
      <c r="C1539" s="424"/>
      <c r="D1539" s="4"/>
      <c r="E1539" s="4"/>
      <c r="F1539" s="4"/>
      <c r="G1539" s="4"/>
      <c r="H1539" s="4"/>
      <c r="I1539" s="4"/>
      <c r="J1539" s="4"/>
      <c r="K1539" s="4"/>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row>
    <row r="1540" spans="2:204" s="7" customFormat="1" x14ac:dyDescent="0.55000000000000004">
      <c r="B1540" s="16"/>
      <c r="C1540" s="424"/>
      <c r="D1540" s="4"/>
      <c r="E1540" s="4"/>
      <c r="F1540" s="4"/>
      <c r="G1540" s="4"/>
      <c r="H1540" s="4"/>
      <c r="I1540" s="4"/>
      <c r="J1540" s="4"/>
      <c r="K1540" s="4"/>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row>
    <row r="1541" spans="2:204" s="7" customFormat="1" x14ac:dyDescent="0.55000000000000004">
      <c r="B1541" s="16"/>
      <c r="C1541" s="424"/>
      <c r="D1541" s="4"/>
      <c r="E1541" s="4"/>
      <c r="F1541" s="4"/>
      <c r="G1541" s="4"/>
      <c r="H1541" s="4"/>
      <c r="I1541" s="4"/>
      <c r="J1541" s="4"/>
      <c r="K1541" s="4"/>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row>
    <row r="1542" spans="2:204" s="7" customFormat="1" x14ac:dyDescent="0.55000000000000004">
      <c r="B1542" s="16"/>
      <c r="C1542" s="424"/>
      <c r="D1542" s="4"/>
      <c r="E1542" s="4"/>
      <c r="F1542" s="4"/>
      <c r="G1542" s="4"/>
      <c r="H1542" s="4"/>
      <c r="I1542" s="4"/>
      <c r="J1542" s="4"/>
      <c r="K1542" s="4"/>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row>
    <row r="1543" spans="2:204" s="7" customFormat="1" x14ac:dyDescent="0.55000000000000004">
      <c r="B1543" s="16"/>
      <c r="C1543" s="424"/>
      <c r="D1543" s="4"/>
      <c r="E1543" s="4"/>
      <c r="F1543" s="4"/>
      <c r="G1543" s="4"/>
      <c r="H1543" s="4"/>
      <c r="I1543" s="4"/>
      <c r="J1543" s="4"/>
      <c r="K1543" s="4"/>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row>
    <row r="1544" spans="2:204" s="7" customFormat="1" x14ac:dyDescent="0.55000000000000004">
      <c r="B1544" s="16"/>
      <c r="C1544" s="424"/>
      <c r="D1544" s="4"/>
      <c r="E1544" s="4"/>
      <c r="F1544" s="4"/>
      <c r="G1544" s="4"/>
      <c r="H1544" s="4"/>
      <c r="I1544" s="4"/>
      <c r="J1544" s="4"/>
      <c r="K1544" s="4"/>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row>
    <row r="1545" spans="2:204" s="7" customFormat="1" x14ac:dyDescent="0.55000000000000004">
      <c r="B1545" s="16"/>
      <c r="C1545" s="424"/>
      <c r="D1545" s="4"/>
      <c r="E1545" s="4"/>
      <c r="F1545" s="4"/>
      <c r="G1545" s="4"/>
      <c r="H1545" s="4"/>
      <c r="I1545" s="4"/>
      <c r="J1545" s="4"/>
      <c r="K1545" s="4"/>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row>
    <row r="1546" spans="2:204" s="7" customFormat="1" x14ac:dyDescent="0.55000000000000004">
      <c r="B1546" s="16"/>
      <c r="C1546" s="424"/>
      <c r="D1546" s="4"/>
      <c r="E1546" s="4"/>
      <c r="F1546" s="4"/>
      <c r="G1546" s="4"/>
      <c r="H1546" s="4"/>
      <c r="I1546" s="4"/>
      <c r="J1546" s="4"/>
      <c r="K1546" s="4"/>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row>
    <row r="1547" spans="2:204" s="7" customFormat="1" x14ac:dyDescent="0.55000000000000004">
      <c r="B1547" s="16"/>
      <c r="C1547" s="424"/>
      <c r="D1547" s="4"/>
      <c r="E1547" s="4"/>
      <c r="F1547" s="4"/>
      <c r="G1547" s="4"/>
      <c r="H1547" s="4"/>
      <c r="I1547" s="4"/>
      <c r="J1547" s="4"/>
      <c r="K1547" s="4"/>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row>
    <row r="1548" spans="2:204" s="7" customFormat="1" x14ac:dyDescent="0.55000000000000004">
      <c r="B1548" s="16"/>
      <c r="C1548" s="424"/>
      <c r="D1548" s="4"/>
      <c r="E1548" s="4"/>
      <c r="F1548" s="4"/>
      <c r="G1548" s="4"/>
      <c r="H1548" s="4"/>
      <c r="I1548" s="4"/>
      <c r="J1548" s="4"/>
      <c r="K1548" s="4"/>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row>
    <row r="1549" spans="2:204" s="7" customFormat="1" x14ac:dyDescent="0.55000000000000004">
      <c r="B1549" s="16"/>
      <c r="C1549" s="424"/>
      <c r="D1549" s="4"/>
      <c r="E1549" s="4"/>
      <c r="F1549" s="4"/>
      <c r="G1549" s="4"/>
      <c r="H1549" s="4"/>
      <c r="I1549" s="4"/>
      <c r="J1549" s="4"/>
      <c r="K1549" s="4"/>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row>
    <row r="1550" spans="2:204" s="7" customFormat="1" x14ac:dyDescent="0.55000000000000004">
      <c r="B1550" s="16"/>
      <c r="C1550" s="424"/>
      <c r="D1550" s="4"/>
      <c r="E1550" s="4"/>
      <c r="F1550" s="4"/>
      <c r="G1550" s="4"/>
      <c r="H1550" s="4"/>
      <c r="I1550" s="4"/>
      <c r="J1550" s="4"/>
      <c r="K1550" s="4"/>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row>
    <row r="1551" spans="2:204" s="7" customFormat="1" x14ac:dyDescent="0.55000000000000004">
      <c r="B1551" s="16"/>
      <c r="C1551" s="424"/>
      <c r="D1551" s="4"/>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row>
    <row r="1552" spans="2:204" s="7" customFormat="1" x14ac:dyDescent="0.55000000000000004">
      <c r="B1552" s="16"/>
      <c r="C1552" s="42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row>
    <row r="1553" spans="2:204" s="7" customFormat="1" x14ac:dyDescent="0.55000000000000004">
      <c r="B1553" s="16"/>
      <c r="C1553" s="424"/>
      <c r="D1553" s="4"/>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row>
    <row r="1554" spans="2:204" s="7" customFormat="1" x14ac:dyDescent="0.55000000000000004">
      <c r="B1554" s="16"/>
      <c r="C1554" s="424"/>
      <c r="D1554" s="4"/>
      <c r="E1554" s="4"/>
      <c r="F1554" s="4"/>
      <c r="G1554" s="4"/>
      <c r="H1554" s="4"/>
      <c r="I1554" s="4"/>
      <c r="J1554" s="4"/>
      <c r="K1554" s="4"/>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row>
    <row r="1555" spans="2:204" s="7" customFormat="1" x14ac:dyDescent="0.55000000000000004">
      <c r="B1555" s="16"/>
      <c r="C1555" s="424"/>
      <c r="D1555" s="4"/>
      <c r="E1555" s="4"/>
      <c r="F1555" s="4"/>
      <c r="G1555" s="4"/>
      <c r="H1555" s="4"/>
      <c r="I1555" s="4"/>
      <c r="J1555" s="4"/>
      <c r="K1555" s="4"/>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row>
    <row r="1556" spans="2:204" s="7" customFormat="1" x14ac:dyDescent="0.55000000000000004">
      <c r="B1556" s="16"/>
      <c r="C1556" s="424"/>
      <c r="D1556" s="4"/>
      <c r="E1556" s="4"/>
      <c r="F1556" s="4"/>
      <c r="G1556" s="4"/>
      <c r="H1556" s="4"/>
      <c r="I1556" s="4"/>
      <c r="J1556" s="4"/>
      <c r="K1556" s="4"/>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row>
    <row r="1557" spans="2:204" s="7" customFormat="1" x14ac:dyDescent="0.55000000000000004">
      <c r="B1557" s="16"/>
      <c r="C1557" s="424"/>
      <c r="D1557" s="4"/>
      <c r="E1557" s="4"/>
      <c r="F1557" s="4"/>
      <c r="G1557" s="4"/>
      <c r="H1557" s="4"/>
      <c r="I1557" s="4"/>
      <c r="J1557" s="4"/>
      <c r="K1557" s="4"/>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row>
    <row r="1558" spans="2:204" s="7" customFormat="1" x14ac:dyDescent="0.55000000000000004">
      <c r="B1558" s="16"/>
      <c r="C1558" s="424"/>
      <c r="D1558" s="4"/>
      <c r="E1558" s="4"/>
      <c r="F1558" s="4"/>
      <c r="G1558" s="4"/>
      <c r="H1558" s="4"/>
      <c r="I1558" s="4"/>
      <c r="J1558" s="4"/>
      <c r="K1558" s="4"/>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row>
    <row r="1559" spans="2:204" s="7" customFormat="1" x14ac:dyDescent="0.55000000000000004">
      <c r="B1559" s="16"/>
      <c r="C1559" s="424"/>
      <c r="D1559" s="4"/>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row>
    <row r="1560" spans="2:204" s="7" customFormat="1" x14ac:dyDescent="0.55000000000000004">
      <c r="B1560" s="16"/>
      <c r="C1560" s="424"/>
      <c r="D1560" s="4"/>
      <c r="E1560" s="4"/>
      <c r="F1560" s="4"/>
      <c r="G1560" s="4"/>
      <c r="H1560" s="4"/>
      <c r="I1560" s="4"/>
      <c r="J1560" s="4"/>
      <c r="K1560" s="4"/>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row>
    <row r="1561" spans="2:204" s="7" customFormat="1" x14ac:dyDescent="0.55000000000000004">
      <c r="B1561" s="16"/>
      <c r="C1561" s="424"/>
      <c r="D1561" s="4"/>
      <c r="E1561" s="4"/>
      <c r="F1561" s="4"/>
      <c r="G1561" s="4"/>
      <c r="H1561" s="4"/>
      <c r="I1561" s="4"/>
      <c r="J1561" s="4"/>
      <c r="K1561" s="4"/>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row>
    <row r="1562" spans="2:204" s="7" customFormat="1" x14ac:dyDescent="0.55000000000000004">
      <c r="B1562" s="16"/>
      <c r="C1562" s="424"/>
      <c r="D1562" s="4"/>
      <c r="E1562" s="4"/>
      <c r="F1562" s="4"/>
      <c r="G1562" s="4"/>
      <c r="H1562" s="4"/>
      <c r="I1562" s="4"/>
      <c r="J1562" s="4"/>
      <c r="K1562" s="4"/>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row>
    <row r="1563" spans="2:204" s="7" customFormat="1" x14ac:dyDescent="0.55000000000000004">
      <c r="B1563" s="16"/>
      <c r="C1563" s="424"/>
      <c r="D1563" s="4"/>
      <c r="E1563" s="4"/>
      <c r="F1563" s="4"/>
      <c r="G1563" s="4"/>
      <c r="H1563" s="4"/>
      <c r="I1563" s="4"/>
      <c r="J1563" s="4"/>
      <c r="K1563" s="4"/>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row>
    <row r="1564" spans="2:204" s="7" customFormat="1" x14ac:dyDescent="0.55000000000000004">
      <c r="B1564" s="16"/>
      <c r="C1564" s="424"/>
      <c r="D1564" s="4"/>
      <c r="E1564" s="4"/>
      <c r="F1564" s="4"/>
      <c r="G1564" s="4"/>
      <c r="H1564" s="4"/>
      <c r="I1564" s="4"/>
      <c r="J1564" s="4"/>
      <c r="K1564" s="4"/>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row>
    <row r="1565" spans="2:204" s="7" customFormat="1" x14ac:dyDescent="0.55000000000000004">
      <c r="B1565" s="16"/>
      <c r="C1565" s="424"/>
      <c r="D1565" s="4"/>
      <c r="E1565" s="4"/>
      <c r="F1565" s="4"/>
      <c r="G1565" s="4"/>
      <c r="H1565" s="4"/>
      <c r="I1565" s="4"/>
      <c r="J1565" s="4"/>
      <c r="K1565" s="4"/>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row>
    <row r="1566" spans="2:204" s="7" customFormat="1" x14ac:dyDescent="0.55000000000000004">
      <c r="B1566" s="16"/>
      <c r="C1566" s="424"/>
      <c r="D1566" s="4"/>
      <c r="E1566" s="4"/>
      <c r="F1566" s="4"/>
      <c r="G1566" s="4"/>
      <c r="H1566" s="4"/>
      <c r="I1566" s="4"/>
      <c r="J1566" s="4"/>
      <c r="K1566" s="4"/>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row>
    <row r="1567" spans="2:204" s="7" customFormat="1" x14ac:dyDescent="0.55000000000000004">
      <c r="B1567" s="16"/>
      <c r="C1567" s="424"/>
      <c r="D1567" s="4"/>
      <c r="E1567" s="4"/>
      <c r="F1567" s="4"/>
      <c r="G1567" s="4"/>
      <c r="H1567" s="4"/>
      <c r="I1567" s="4"/>
      <c r="J1567" s="4"/>
      <c r="K1567" s="4"/>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row>
    <row r="1568" spans="2:204" s="7" customFormat="1" x14ac:dyDescent="0.55000000000000004">
      <c r="B1568" s="16"/>
      <c r="C1568" s="424"/>
      <c r="D1568" s="4"/>
      <c r="E1568" s="4"/>
      <c r="F1568" s="4"/>
      <c r="G1568" s="4"/>
      <c r="H1568" s="4"/>
      <c r="I1568" s="4"/>
      <c r="J1568" s="4"/>
      <c r="K1568" s="4"/>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row>
    <row r="1569" spans="2:204" s="7" customFormat="1" x14ac:dyDescent="0.55000000000000004">
      <c r="B1569" s="16"/>
      <c r="C1569" s="424"/>
      <c r="D1569" s="4"/>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row>
    <row r="1570" spans="2:204" s="7" customFormat="1" x14ac:dyDescent="0.55000000000000004">
      <c r="B1570" s="16"/>
      <c r="C1570" s="424"/>
      <c r="D1570" s="4"/>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row>
    <row r="1571" spans="2:204" s="7" customFormat="1" x14ac:dyDescent="0.55000000000000004">
      <c r="B1571" s="16"/>
      <c r="C1571" s="424"/>
      <c r="D1571" s="4"/>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row>
    <row r="1572" spans="2:204" s="7" customFormat="1" x14ac:dyDescent="0.55000000000000004">
      <c r="B1572" s="16"/>
      <c r="C1572" s="424"/>
      <c r="D1572" s="4"/>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row>
    <row r="1573" spans="2:204" s="7" customFormat="1" x14ac:dyDescent="0.55000000000000004">
      <c r="B1573" s="16"/>
      <c r="C1573" s="424"/>
      <c r="D1573" s="4"/>
      <c r="E1573" s="4"/>
      <c r="F1573" s="4"/>
      <c r="G1573" s="4"/>
      <c r="H1573" s="4"/>
      <c r="I1573" s="4"/>
      <c r="J1573" s="4"/>
      <c r="K1573" s="4"/>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row>
    <row r="1574" spans="2:204" s="7" customFormat="1" x14ac:dyDescent="0.55000000000000004">
      <c r="B1574" s="16"/>
      <c r="C1574" s="424"/>
      <c r="D1574" s="4"/>
      <c r="E1574" s="4"/>
      <c r="F1574" s="4"/>
      <c r="G1574" s="4"/>
      <c r="H1574" s="4"/>
      <c r="I1574" s="4"/>
      <c r="J1574" s="4"/>
      <c r="K1574" s="4"/>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row>
    <row r="1575" spans="2:204" s="7" customFormat="1" x14ac:dyDescent="0.55000000000000004">
      <c r="B1575" s="16"/>
      <c r="C1575" s="424"/>
      <c r="D1575" s="4"/>
      <c r="E1575" s="4"/>
      <c r="F1575" s="4"/>
      <c r="G1575" s="4"/>
      <c r="H1575" s="4"/>
      <c r="I1575" s="4"/>
      <c r="J1575" s="4"/>
      <c r="K1575" s="4"/>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row>
    <row r="1576" spans="2:204" s="7" customFormat="1" x14ac:dyDescent="0.55000000000000004">
      <c r="B1576" s="16"/>
      <c r="C1576" s="424"/>
      <c r="D1576" s="4"/>
      <c r="E1576" s="4"/>
      <c r="F1576" s="4"/>
      <c r="G1576" s="4"/>
      <c r="H1576" s="4"/>
      <c r="I1576" s="4"/>
      <c r="J1576" s="4"/>
      <c r="K1576" s="4"/>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row>
    <row r="1577" spans="2:204" s="7" customFormat="1" x14ac:dyDescent="0.55000000000000004">
      <c r="B1577" s="16"/>
      <c r="C1577" s="424"/>
      <c r="D1577" s="4"/>
      <c r="E1577" s="4"/>
      <c r="F1577" s="4"/>
      <c r="G1577" s="4"/>
      <c r="H1577" s="4"/>
      <c r="I1577" s="4"/>
      <c r="J1577" s="4"/>
      <c r="K1577" s="4"/>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row>
    <row r="1578" spans="2:204" s="7" customFormat="1" x14ac:dyDescent="0.55000000000000004">
      <c r="B1578" s="16"/>
      <c r="C1578" s="424"/>
      <c r="D1578" s="4"/>
      <c r="E1578" s="4"/>
      <c r="F1578" s="4"/>
      <c r="G1578" s="4"/>
      <c r="H1578" s="4"/>
      <c r="I1578" s="4"/>
      <c r="J1578" s="4"/>
      <c r="K1578" s="4"/>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row>
    <row r="1579" spans="2:204" s="7" customFormat="1" x14ac:dyDescent="0.55000000000000004">
      <c r="B1579" s="16"/>
      <c r="C1579" s="424"/>
      <c r="D1579" s="4"/>
      <c r="E1579" s="4"/>
      <c r="F1579" s="4"/>
      <c r="G1579" s="4"/>
      <c r="H1579" s="4"/>
      <c r="I1579" s="4"/>
      <c r="J1579" s="4"/>
      <c r="K1579" s="4"/>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row>
    <row r="1580" spans="2:204" s="7" customFormat="1" x14ac:dyDescent="0.55000000000000004">
      <c r="B1580" s="16"/>
      <c r="C1580" s="424"/>
      <c r="D1580" s="4"/>
      <c r="E1580" s="4"/>
      <c r="F1580" s="4"/>
      <c r="G1580" s="4"/>
      <c r="H1580" s="4"/>
      <c r="I1580" s="4"/>
      <c r="J1580" s="4"/>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row>
    <row r="1581" spans="2:204" s="7" customFormat="1" x14ac:dyDescent="0.55000000000000004">
      <c r="B1581" s="16"/>
      <c r="C1581" s="424"/>
      <c r="D1581" s="4"/>
      <c r="E1581" s="4"/>
      <c r="F1581" s="4"/>
      <c r="G1581" s="4"/>
      <c r="H1581" s="4"/>
      <c r="I1581" s="4"/>
      <c r="J1581" s="4"/>
      <c r="K1581" s="4"/>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row>
    <row r="1582" spans="2:204" s="7" customFormat="1" x14ac:dyDescent="0.55000000000000004">
      <c r="B1582" s="16"/>
      <c r="C1582" s="424"/>
      <c r="D1582" s="4"/>
      <c r="E1582" s="4"/>
      <c r="F1582" s="4"/>
      <c r="G1582" s="4"/>
      <c r="H1582" s="4"/>
      <c r="I1582" s="4"/>
      <c r="J1582" s="4"/>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row>
    <row r="1583" spans="2:204" s="7" customFormat="1" x14ac:dyDescent="0.55000000000000004">
      <c r="B1583" s="16"/>
      <c r="C1583" s="424"/>
      <c r="D1583" s="4"/>
      <c r="E1583" s="4"/>
      <c r="F1583" s="4"/>
      <c r="G1583" s="4"/>
      <c r="H1583" s="4"/>
      <c r="I1583" s="4"/>
      <c r="J1583" s="4"/>
      <c r="K1583" s="4"/>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row>
    <row r="1584" spans="2:204" s="7" customFormat="1" x14ac:dyDescent="0.55000000000000004">
      <c r="B1584" s="16"/>
      <c r="C1584" s="424"/>
      <c r="D1584" s="4"/>
      <c r="E1584" s="4"/>
      <c r="F1584" s="4"/>
      <c r="G1584" s="4"/>
      <c r="H1584" s="4"/>
      <c r="I1584" s="4"/>
      <c r="J1584" s="4"/>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row>
    <row r="1585" spans="2:204" s="7" customFormat="1" x14ac:dyDescent="0.55000000000000004">
      <c r="B1585" s="16"/>
      <c r="C1585" s="424"/>
      <c r="D1585" s="4"/>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row>
    <row r="1586" spans="2:204" s="7" customFormat="1" x14ac:dyDescent="0.55000000000000004">
      <c r="B1586" s="16"/>
      <c r="C1586" s="424"/>
      <c r="D1586" s="4"/>
      <c r="E1586" s="4"/>
      <c r="F1586" s="4"/>
      <c r="G1586" s="4"/>
      <c r="H1586" s="4"/>
      <c r="I1586" s="4"/>
      <c r="J1586" s="4"/>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row>
    <row r="1587" spans="2:204" s="7" customFormat="1" x14ac:dyDescent="0.55000000000000004">
      <c r="B1587" s="16"/>
      <c r="C1587" s="424"/>
      <c r="D1587" s="4"/>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row>
    <row r="1588" spans="2:204" s="7" customFormat="1" x14ac:dyDescent="0.55000000000000004">
      <c r="B1588" s="16"/>
      <c r="C1588" s="424"/>
      <c r="D1588" s="4"/>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row>
    <row r="1589" spans="2:204" s="7" customFormat="1" x14ac:dyDescent="0.55000000000000004">
      <c r="B1589" s="16"/>
      <c r="C1589" s="424"/>
      <c r="D1589" s="4"/>
      <c r="E1589" s="4"/>
      <c r="F1589" s="4"/>
      <c r="G1589" s="4"/>
      <c r="H1589" s="4"/>
      <c r="I1589" s="4"/>
      <c r="J1589" s="4"/>
      <c r="K1589" s="4"/>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row>
    <row r="1590" spans="2:204" s="7" customFormat="1" x14ac:dyDescent="0.55000000000000004">
      <c r="B1590" s="16"/>
      <c r="C1590" s="424"/>
      <c r="D1590" s="4"/>
      <c r="E1590" s="4"/>
      <c r="F1590" s="4"/>
      <c r="G1590" s="4"/>
      <c r="H1590" s="4"/>
      <c r="I1590" s="4"/>
      <c r="J1590" s="4"/>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row>
    <row r="1591" spans="2:204" s="7" customFormat="1" x14ac:dyDescent="0.55000000000000004">
      <c r="B1591" s="16"/>
      <c r="C1591" s="424"/>
      <c r="D1591" s="4"/>
      <c r="E1591" s="4"/>
      <c r="F1591" s="4"/>
      <c r="G1591" s="4"/>
      <c r="H1591" s="4"/>
      <c r="I1591" s="4"/>
      <c r="J1591" s="4"/>
      <c r="K1591" s="4"/>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row>
    <row r="1592" spans="2:204" s="7" customFormat="1" x14ac:dyDescent="0.55000000000000004">
      <c r="B1592" s="16"/>
      <c r="C1592" s="424"/>
      <c r="D1592" s="4"/>
      <c r="E1592" s="4"/>
      <c r="F1592" s="4"/>
      <c r="G1592" s="4"/>
      <c r="H1592" s="4"/>
      <c r="I1592" s="4"/>
      <c r="J1592" s="4"/>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row>
    <row r="1593" spans="2:204" s="7" customFormat="1" x14ac:dyDescent="0.55000000000000004">
      <c r="B1593" s="16"/>
      <c r="C1593" s="424"/>
      <c r="D1593" s="4"/>
      <c r="E1593" s="4"/>
      <c r="F1593" s="4"/>
      <c r="G1593" s="4"/>
      <c r="H1593" s="4"/>
      <c r="I1593" s="4"/>
      <c r="J1593" s="4"/>
      <c r="K1593" s="4"/>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row>
    <row r="1594" spans="2:204" s="7" customFormat="1" x14ac:dyDescent="0.55000000000000004">
      <c r="B1594" s="16"/>
      <c r="C1594" s="424"/>
      <c r="D1594" s="4"/>
      <c r="E1594" s="4"/>
      <c r="F1594" s="4"/>
      <c r="G1594" s="4"/>
      <c r="H1594" s="4"/>
      <c r="I1594" s="4"/>
      <c r="J1594" s="4"/>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row>
    <row r="1595" spans="2:204" s="7" customFormat="1" x14ac:dyDescent="0.55000000000000004">
      <c r="B1595" s="16"/>
      <c r="C1595" s="424"/>
      <c r="D1595" s="4"/>
      <c r="E1595" s="4"/>
      <c r="F1595" s="4"/>
      <c r="G1595" s="4"/>
      <c r="H1595" s="4"/>
      <c r="I1595" s="4"/>
      <c r="J1595" s="4"/>
      <c r="K1595" s="4"/>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row>
    <row r="1596" spans="2:204" s="7" customFormat="1" x14ac:dyDescent="0.55000000000000004">
      <c r="B1596" s="16"/>
      <c r="C1596" s="424"/>
      <c r="D1596" s="4"/>
      <c r="E1596" s="4"/>
      <c r="F1596" s="4"/>
      <c r="G1596" s="4"/>
      <c r="H1596" s="4"/>
      <c r="I1596" s="4"/>
      <c r="J1596" s="4"/>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row>
    <row r="1597" spans="2:204" s="7" customFormat="1" x14ac:dyDescent="0.55000000000000004">
      <c r="B1597" s="16"/>
      <c r="C1597" s="424"/>
      <c r="D1597" s="4"/>
      <c r="E1597" s="4"/>
      <c r="F1597" s="4"/>
      <c r="G1597" s="4"/>
      <c r="H1597" s="4"/>
      <c r="I1597" s="4"/>
      <c r="J1597" s="4"/>
      <c r="K1597" s="4"/>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row>
    <row r="1598" spans="2:204" s="7" customFormat="1" x14ac:dyDescent="0.55000000000000004">
      <c r="B1598" s="16"/>
      <c r="C1598" s="42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row>
    <row r="1599" spans="2:204" s="7" customFormat="1" x14ac:dyDescent="0.55000000000000004">
      <c r="B1599" s="16"/>
      <c r="C1599" s="424"/>
      <c r="D1599" s="4"/>
      <c r="E1599" s="4"/>
      <c r="F1599" s="4"/>
      <c r="G1599" s="4"/>
      <c r="H1599" s="4"/>
      <c r="I1599" s="4"/>
      <c r="J1599" s="4"/>
      <c r="K1599" s="4"/>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row>
    <row r="1600" spans="2:204" s="7" customFormat="1" x14ac:dyDescent="0.55000000000000004">
      <c r="B1600" s="16"/>
      <c r="C1600" s="424"/>
      <c r="D1600" s="4"/>
      <c r="E1600" s="4"/>
      <c r="F1600" s="4"/>
      <c r="G1600" s="4"/>
      <c r="H1600" s="4"/>
      <c r="I1600" s="4"/>
      <c r="J1600" s="4"/>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row>
    <row r="1601" spans="2:204" s="7" customFormat="1" x14ac:dyDescent="0.55000000000000004">
      <c r="B1601" s="16"/>
      <c r="C1601" s="424"/>
      <c r="D1601" s="4"/>
      <c r="E1601" s="4"/>
      <c r="F1601" s="4"/>
      <c r="G1601" s="4"/>
      <c r="H1601" s="4"/>
      <c r="I1601" s="4"/>
      <c r="J1601" s="4"/>
      <c r="K1601" s="4"/>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row>
    <row r="1602" spans="2:204" s="7" customFormat="1" x14ac:dyDescent="0.55000000000000004">
      <c r="B1602" s="16"/>
      <c r="C1602" s="424"/>
      <c r="D1602" s="4"/>
      <c r="E1602" s="4"/>
      <c r="F1602" s="4"/>
      <c r="G1602" s="4"/>
      <c r="H1602" s="4"/>
      <c r="I1602" s="4"/>
      <c r="J1602" s="4"/>
      <c r="K1602" s="4"/>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row>
    <row r="1603" spans="2:204" s="7" customFormat="1" x14ac:dyDescent="0.55000000000000004">
      <c r="B1603" s="16"/>
      <c r="C1603" s="424"/>
      <c r="D1603" s="4"/>
      <c r="E1603" s="4"/>
      <c r="F1603" s="4"/>
      <c r="G1603" s="4"/>
      <c r="H1603" s="4"/>
      <c r="I1603" s="4"/>
      <c r="J1603" s="4"/>
      <c r="K1603" s="4"/>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row>
    <row r="1604" spans="2:204" s="7" customFormat="1" x14ac:dyDescent="0.55000000000000004">
      <c r="B1604" s="16"/>
      <c r="C1604" s="424"/>
      <c r="D1604" s="4"/>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row>
    <row r="1605" spans="2:204" s="7" customFormat="1" x14ac:dyDescent="0.55000000000000004">
      <c r="B1605" s="16"/>
      <c r="C1605" s="424"/>
      <c r="D1605" s="4"/>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row>
    <row r="1606" spans="2:204" s="7" customFormat="1" x14ac:dyDescent="0.55000000000000004">
      <c r="B1606" s="16"/>
      <c r="C1606" s="424"/>
      <c r="D1606" s="4"/>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row>
    <row r="1607" spans="2:204" s="7" customFormat="1" x14ac:dyDescent="0.55000000000000004">
      <c r="B1607" s="16"/>
      <c r="C1607" s="424"/>
      <c r="D1607" s="4"/>
      <c r="E1607" s="4"/>
      <c r="F1607" s="4"/>
      <c r="G1607" s="4"/>
      <c r="H1607" s="4"/>
      <c r="I1607" s="4"/>
      <c r="J1607" s="4"/>
      <c r="K1607" s="4"/>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row>
    <row r="1608" spans="2:204" s="7" customFormat="1" x14ac:dyDescent="0.55000000000000004">
      <c r="B1608" s="16"/>
      <c r="C1608" s="424"/>
      <c r="D1608" s="4"/>
      <c r="E1608" s="4"/>
      <c r="F1608" s="4"/>
      <c r="G1608" s="4"/>
      <c r="H1608" s="4"/>
      <c r="I1608" s="4"/>
      <c r="J1608" s="4"/>
      <c r="K1608" s="4"/>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row>
    <row r="1609" spans="2:204" s="7" customFormat="1" x14ac:dyDescent="0.55000000000000004">
      <c r="B1609" s="16"/>
      <c r="C1609" s="424"/>
      <c r="D1609" s="4"/>
      <c r="E1609" s="4"/>
      <c r="F1609" s="4"/>
      <c r="G1609" s="4"/>
      <c r="H1609" s="4"/>
      <c r="I1609" s="4"/>
      <c r="J1609" s="4"/>
      <c r="K1609" s="4"/>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row>
    <row r="1610" spans="2:204" s="7" customFormat="1" x14ac:dyDescent="0.55000000000000004">
      <c r="B1610" s="16"/>
      <c r="C1610" s="424"/>
      <c r="D1610" s="4"/>
      <c r="E1610" s="4"/>
      <c r="F1610" s="4"/>
      <c r="G1610" s="4"/>
      <c r="H1610" s="4"/>
      <c r="I1610" s="4"/>
      <c r="J1610" s="4"/>
      <c r="K1610" s="4"/>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row>
    <row r="1611" spans="2:204" s="7" customFormat="1" x14ac:dyDescent="0.55000000000000004">
      <c r="B1611" s="16"/>
      <c r="C1611" s="42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row>
    <row r="1612" spans="2:204" s="7" customFormat="1" x14ac:dyDescent="0.55000000000000004">
      <c r="B1612" s="16"/>
      <c r="C1612" s="424"/>
      <c r="D1612" s="4"/>
      <c r="E1612" s="4"/>
      <c r="F1612" s="4"/>
      <c r="G1612" s="4"/>
      <c r="H1612" s="4"/>
      <c r="I1612" s="4"/>
      <c r="J1612" s="4"/>
      <c r="K1612" s="4"/>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row>
    <row r="1613" spans="2:204" s="7" customFormat="1" x14ac:dyDescent="0.55000000000000004">
      <c r="B1613" s="16"/>
      <c r="C1613" s="424"/>
      <c r="D1613" s="4"/>
      <c r="E1613" s="4"/>
      <c r="F1613" s="4"/>
      <c r="G1613" s="4"/>
      <c r="H1613" s="4"/>
      <c r="I1613" s="4"/>
      <c r="J1613" s="4"/>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row>
    <row r="1614" spans="2:204" s="7" customFormat="1" x14ac:dyDescent="0.55000000000000004">
      <c r="B1614" s="16"/>
      <c r="C1614" s="424"/>
      <c r="D1614" s="4"/>
      <c r="E1614" s="4"/>
      <c r="F1614" s="4"/>
      <c r="G1614" s="4"/>
      <c r="H1614" s="4"/>
      <c r="I1614" s="4"/>
      <c r="J1614" s="4"/>
      <c r="K1614" s="4"/>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row>
    <row r="1615" spans="2:204" s="7" customFormat="1" x14ac:dyDescent="0.55000000000000004">
      <c r="B1615" s="16"/>
      <c r="C1615" s="424"/>
      <c r="D1615" s="4"/>
      <c r="E1615" s="4"/>
      <c r="F1615" s="4"/>
      <c r="G1615" s="4"/>
      <c r="H1615" s="4"/>
      <c r="I1615" s="4"/>
      <c r="J1615" s="4"/>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row>
    <row r="1616" spans="2:204" s="7" customFormat="1" x14ac:dyDescent="0.55000000000000004">
      <c r="B1616" s="16"/>
      <c r="C1616" s="424"/>
      <c r="D1616" s="4"/>
      <c r="E1616" s="4"/>
      <c r="F1616" s="4"/>
      <c r="G1616" s="4"/>
      <c r="H1616" s="4"/>
      <c r="I1616" s="4"/>
      <c r="J1616" s="4"/>
      <c r="K1616" s="4"/>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row>
    <row r="1617" spans="2:204" s="7" customFormat="1" x14ac:dyDescent="0.55000000000000004">
      <c r="B1617" s="16"/>
      <c r="C1617" s="424"/>
      <c r="D1617" s="4"/>
      <c r="E1617" s="4"/>
      <c r="F1617" s="4"/>
      <c r="G1617" s="4"/>
      <c r="H1617" s="4"/>
      <c r="I1617" s="4"/>
      <c r="J1617" s="4"/>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row>
    <row r="1618" spans="2:204" s="7" customFormat="1" x14ac:dyDescent="0.55000000000000004">
      <c r="B1618" s="16"/>
      <c r="C1618" s="424"/>
      <c r="D1618" s="4"/>
      <c r="E1618" s="4"/>
      <c r="F1618" s="4"/>
      <c r="G1618" s="4"/>
      <c r="H1618" s="4"/>
      <c r="I1618" s="4"/>
      <c r="J1618" s="4"/>
      <c r="K1618" s="4"/>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row>
    <row r="1619" spans="2:204" s="7" customFormat="1" x14ac:dyDescent="0.55000000000000004">
      <c r="B1619" s="16"/>
      <c r="C1619" s="424"/>
      <c r="D1619" s="4"/>
      <c r="E1619" s="4"/>
      <c r="F1619" s="4"/>
      <c r="G1619" s="4"/>
      <c r="H1619" s="4"/>
      <c r="I1619" s="4"/>
      <c r="J1619" s="4"/>
      <c r="K1619" s="4"/>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row>
    <row r="1620" spans="2:204" s="7" customFormat="1" x14ac:dyDescent="0.55000000000000004">
      <c r="B1620" s="16"/>
      <c r="C1620" s="424"/>
      <c r="D1620" s="4"/>
      <c r="E1620" s="4"/>
      <c r="F1620" s="4"/>
      <c r="G1620" s="4"/>
      <c r="H1620" s="4"/>
      <c r="I1620" s="4"/>
      <c r="J1620" s="4"/>
      <c r="K1620" s="4"/>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row>
    <row r="1621" spans="2:204" s="7" customFormat="1" x14ac:dyDescent="0.55000000000000004">
      <c r="B1621" s="16"/>
      <c r="C1621" s="424"/>
      <c r="D1621" s="4"/>
      <c r="E1621" s="4"/>
      <c r="F1621" s="4"/>
      <c r="G1621" s="4"/>
      <c r="H1621" s="4"/>
      <c r="I1621" s="4"/>
      <c r="J1621" s="4"/>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row>
    <row r="1622" spans="2:204" s="7" customFormat="1" x14ac:dyDescent="0.55000000000000004">
      <c r="B1622" s="16"/>
      <c r="C1622" s="424"/>
      <c r="D1622" s="4"/>
      <c r="E1622" s="4"/>
      <c r="F1622" s="4"/>
      <c r="G1622" s="4"/>
      <c r="H1622" s="4"/>
      <c r="I1622" s="4"/>
      <c r="J1622" s="4"/>
      <c r="K1622" s="4"/>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row>
    <row r="1623" spans="2:204" s="7" customFormat="1" x14ac:dyDescent="0.55000000000000004">
      <c r="B1623" s="16"/>
      <c r="C1623" s="424"/>
      <c r="D1623" s="4"/>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row>
    <row r="1624" spans="2:204" s="7" customFormat="1" x14ac:dyDescent="0.55000000000000004">
      <c r="B1624" s="16"/>
      <c r="C1624" s="42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row>
    <row r="1625" spans="2:204" s="7" customFormat="1" x14ac:dyDescent="0.55000000000000004">
      <c r="B1625" s="16"/>
      <c r="C1625" s="424"/>
      <c r="D1625" s="4"/>
      <c r="E1625" s="4"/>
      <c r="F1625" s="4"/>
      <c r="G1625" s="4"/>
      <c r="H1625" s="4"/>
      <c r="I1625" s="4"/>
      <c r="J1625" s="4"/>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row>
    <row r="1626" spans="2:204" s="7" customFormat="1" x14ac:dyDescent="0.55000000000000004">
      <c r="B1626" s="16"/>
      <c r="C1626" s="424"/>
      <c r="D1626" s="4"/>
      <c r="E1626" s="4"/>
      <c r="F1626" s="4"/>
      <c r="G1626" s="4"/>
      <c r="H1626" s="4"/>
      <c r="I1626" s="4"/>
      <c r="J1626" s="4"/>
      <c r="K1626" s="4"/>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row>
    <row r="1627" spans="2:204" s="7" customFormat="1" x14ac:dyDescent="0.55000000000000004">
      <c r="B1627" s="16"/>
      <c r="C1627" s="424"/>
      <c r="D1627" s="4"/>
      <c r="E1627" s="4"/>
      <c r="F1627" s="4"/>
      <c r="G1627" s="4"/>
      <c r="H1627" s="4"/>
      <c r="I1627" s="4"/>
      <c r="J1627" s="4"/>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row>
    <row r="1628" spans="2:204" s="7" customFormat="1" x14ac:dyDescent="0.55000000000000004">
      <c r="B1628" s="16"/>
      <c r="C1628" s="424"/>
      <c r="D1628" s="4"/>
      <c r="E1628" s="4"/>
      <c r="F1628" s="4"/>
      <c r="G1628" s="4"/>
      <c r="H1628" s="4"/>
      <c r="I1628" s="4"/>
      <c r="J1628" s="4"/>
      <c r="K1628" s="4"/>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row>
    <row r="1629" spans="2:204" s="7" customFormat="1" x14ac:dyDescent="0.55000000000000004">
      <c r="B1629" s="16"/>
      <c r="C1629" s="424"/>
      <c r="D1629" s="4"/>
      <c r="E1629" s="4"/>
      <c r="F1629" s="4"/>
      <c r="G1629" s="4"/>
      <c r="H1629" s="4"/>
      <c r="I1629" s="4"/>
      <c r="J1629" s="4"/>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row>
    <row r="1630" spans="2:204" s="7" customFormat="1" x14ac:dyDescent="0.55000000000000004">
      <c r="B1630" s="16"/>
      <c r="C1630" s="424"/>
      <c r="D1630" s="4"/>
      <c r="E1630" s="4"/>
      <c r="F1630" s="4"/>
      <c r="G1630" s="4"/>
      <c r="H1630" s="4"/>
      <c r="I1630" s="4"/>
      <c r="J1630" s="4"/>
      <c r="K1630" s="4"/>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row>
    <row r="1631" spans="2:204" s="7" customFormat="1" x14ac:dyDescent="0.55000000000000004">
      <c r="B1631" s="16"/>
      <c r="C1631" s="424"/>
      <c r="D1631" s="4"/>
      <c r="E1631" s="4"/>
      <c r="F1631" s="4"/>
      <c r="G1631" s="4"/>
      <c r="H1631" s="4"/>
      <c r="I1631" s="4"/>
      <c r="J1631" s="4"/>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row>
    <row r="1632" spans="2:204" s="7" customFormat="1" x14ac:dyDescent="0.55000000000000004">
      <c r="B1632" s="16"/>
      <c r="C1632" s="424"/>
      <c r="D1632" s="4"/>
      <c r="E1632" s="4"/>
      <c r="F1632" s="4"/>
      <c r="G1632" s="4"/>
      <c r="H1632" s="4"/>
      <c r="I1632" s="4"/>
      <c r="J1632" s="4"/>
      <c r="K1632" s="4"/>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row>
    <row r="1633" spans="2:204" s="7" customFormat="1" x14ac:dyDescent="0.55000000000000004">
      <c r="B1633" s="16"/>
      <c r="C1633" s="424"/>
      <c r="D1633" s="4"/>
      <c r="E1633" s="4"/>
      <c r="F1633" s="4"/>
      <c r="G1633" s="4"/>
      <c r="H1633" s="4"/>
      <c r="I1633" s="4"/>
      <c r="J1633" s="4"/>
      <c r="K1633" s="4"/>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row>
    <row r="1634" spans="2:204" s="7" customFormat="1" x14ac:dyDescent="0.55000000000000004">
      <c r="B1634" s="16"/>
      <c r="C1634" s="424"/>
      <c r="D1634" s="4"/>
      <c r="E1634" s="4"/>
      <c r="F1634" s="4"/>
      <c r="G1634" s="4"/>
      <c r="H1634" s="4"/>
      <c r="I1634" s="4"/>
      <c r="J1634" s="4"/>
      <c r="K1634" s="4"/>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row>
    <row r="1635" spans="2:204" s="7" customFormat="1" x14ac:dyDescent="0.55000000000000004">
      <c r="B1635" s="16"/>
      <c r="C1635" s="424"/>
      <c r="D1635" s="4"/>
      <c r="E1635" s="4"/>
      <c r="F1635" s="4"/>
      <c r="G1635" s="4"/>
      <c r="H1635" s="4"/>
      <c r="I1635" s="4"/>
      <c r="J1635" s="4"/>
      <c r="K1635" s="4"/>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row>
    <row r="1636" spans="2:204" s="7" customFormat="1" x14ac:dyDescent="0.55000000000000004">
      <c r="B1636" s="16"/>
      <c r="C1636" s="424"/>
      <c r="D1636" s="4"/>
      <c r="E1636" s="4"/>
      <c r="F1636" s="4"/>
      <c r="G1636" s="4"/>
      <c r="H1636" s="4"/>
      <c r="I1636" s="4"/>
      <c r="J1636" s="4"/>
      <c r="K1636" s="4"/>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row>
    <row r="1637" spans="2:204" s="7" customFormat="1" x14ac:dyDescent="0.55000000000000004">
      <c r="B1637" s="16"/>
      <c r="C1637" s="424"/>
      <c r="D1637" s="4"/>
      <c r="E1637" s="4"/>
      <c r="F1637" s="4"/>
      <c r="G1637" s="4"/>
      <c r="H1637" s="4"/>
      <c r="I1637" s="4"/>
      <c r="J1637" s="4"/>
      <c r="K1637" s="4"/>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row>
    <row r="1638" spans="2:204" s="7" customFormat="1" x14ac:dyDescent="0.55000000000000004">
      <c r="B1638" s="16"/>
      <c r="C1638" s="424"/>
      <c r="D1638" s="4"/>
      <c r="E1638" s="4"/>
      <c r="F1638" s="4"/>
      <c r="G1638" s="4"/>
      <c r="H1638" s="4"/>
      <c r="I1638" s="4"/>
      <c r="J1638" s="4"/>
      <c r="K1638" s="4"/>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row>
    <row r="1639" spans="2:204" s="7" customFormat="1" x14ac:dyDescent="0.55000000000000004">
      <c r="B1639" s="16"/>
      <c r="C1639" s="424"/>
      <c r="D1639" s="4"/>
      <c r="E1639" s="4"/>
      <c r="F1639" s="4"/>
      <c r="G1639" s="4"/>
      <c r="H1639" s="4"/>
      <c r="I1639" s="4"/>
      <c r="J1639" s="4"/>
      <c r="K1639" s="4"/>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row>
    <row r="1640" spans="2:204" s="7" customFormat="1" x14ac:dyDescent="0.55000000000000004">
      <c r="B1640" s="16"/>
      <c r="C1640" s="424"/>
      <c r="D1640" s="4"/>
      <c r="E1640" s="4"/>
      <c r="F1640" s="4"/>
      <c r="G1640" s="4"/>
      <c r="H1640" s="4"/>
      <c r="I1640" s="4"/>
      <c r="J1640" s="4"/>
      <c r="K1640" s="4"/>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row>
    <row r="1641" spans="2:204" s="7" customFormat="1" x14ac:dyDescent="0.55000000000000004">
      <c r="B1641" s="16"/>
      <c r="C1641" s="424"/>
      <c r="D1641" s="4"/>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row>
    <row r="1642" spans="2:204" s="7" customFormat="1" x14ac:dyDescent="0.55000000000000004">
      <c r="B1642" s="16"/>
      <c r="C1642" s="424"/>
      <c r="D1642" s="4"/>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row>
    <row r="1643" spans="2:204" s="7" customFormat="1" x14ac:dyDescent="0.55000000000000004">
      <c r="B1643" s="16"/>
      <c r="C1643" s="42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row>
    <row r="1644" spans="2:204" s="7" customFormat="1" x14ac:dyDescent="0.55000000000000004">
      <c r="B1644" s="16"/>
      <c r="C1644" s="424"/>
      <c r="D1644" s="4"/>
      <c r="E1644" s="4"/>
      <c r="F1644" s="4"/>
      <c r="G1644" s="4"/>
      <c r="H1644" s="4"/>
      <c r="I1644" s="4"/>
      <c r="J1644" s="4"/>
      <c r="K1644" s="4"/>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row>
    <row r="1645" spans="2:204" s="7" customFormat="1" x14ac:dyDescent="0.55000000000000004">
      <c r="B1645" s="16"/>
      <c r="C1645" s="424"/>
      <c r="D1645" s="4"/>
      <c r="E1645" s="4"/>
      <c r="F1645" s="4"/>
      <c r="G1645" s="4"/>
      <c r="H1645" s="4"/>
      <c r="I1645" s="4"/>
      <c r="J1645" s="4"/>
      <c r="K1645" s="4"/>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row>
    <row r="1646" spans="2:204" s="7" customFormat="1" x14ac:dyDescent="0.55000000000000004">
      <c r="B1646" s="16"/>
      <c r="C1646" s="424"/>
      <c r="D1646" s="4"/>
      <c r="E1646" s="4"/>
      <c r="F1646" s="4"/>
      <c r="G1646" s="4"/>
      <c r="H1646" s="4"/>
      <c r="I1646" s="4"/>
      <c r="J1646" s="4"/>
      <c r="K1646" s="4"/>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row>
    <row r="1647" spans="2:204" s="7" customFormat="1" x14ac:dyDescent="0.55000000000000004">
      <c r="B1647" s="16"/>
      <c r="C1647" s="424"/>
      <c r="D1647" s="4"/>
      <c r="E1647" s="4"/>
      <c r="F1647" s="4"/>
      <c r="G1647" s="4"/>
      <c r="H1647" s="4"/>
      <c r="I1647" s="4"/>
      <c r="J1647" s="4"/>
      <c r="K1647" s="4"/>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row>
    <row r="1648" spans="2:204" s="7" customFormat="1" x14ac:dyDescent="0.55000000000000004">
      <c r="B1648" s="16"/>
      <c r="C1648" s="424"/>
      <c r="D1648" s="4"/>
      <c r="E1648" s="4"/>
      <c r="F1648" s="4"/>
      <c r="G1648" s="4"/>
      <c r="H1648" s="4"/>
      <c r="I1648" s="4"/>
      <c r="J1648" s="4"/>
      <c r="K1648" s="4"/>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row>
    <row r="1649" spans="2:204" s="7" customFormat="1" x14ac:dyDescent="0.55000000000000004">
      <c r="B1649" s="16"/>
      <c r="C1649" s="424"/>
      <c r="D1649" s="4"/>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row>
    <row r="1650" spans="2:204" s="7" customFormat="1" x14ac:dyDescent="0.55000000000000004">
      <c r="B1650" s="16"/>
      <c r="C1650" s="424"/>
      <c r="D1650" s="4"/>
      <c r="E1650" s="4"/>
      <c r="F1650" s="4"/>
      <c r="G1650" s="4"/>
      <c r="H1650" s="4"/>
      <c r="I1650" s="4"/>
      <c r="J1650" s="4"/>
      <c r="K1650" s="4"/>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row>
    <row r="1651" spans="2:204" s="7" customFormat="1" x14ac:dyDescent="0.55000000000000004">
      <c r="B1651" s="16"/>
      <c r="C1651" s="424"/>
      <c r="D1651" s="4"/>
      <c r="E1651" s="4"/>
      <c r="F1651" s="4"/>
      <c r="G1651" s="4"/>
      <c r="H1651" s="4"/>
      <c r="I1651" s="4"/>
      <c r="J1651" s="4"/>
      <c r="K1651" s="4"/>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row>
    <row r="1652" spans="2:204" s="7" customFormat="1" x14ac:dyDescent="0.55000000000000004">
      <c r="B1652" s="16"/>
      <c r="C1652" s="424"/>
      <c r="D1652" s="4"/>
      <c r="E1652" s="4"/>
      <c r="F1652" s="4"/>
      <c r="G1652" s="4"/>
      <c r="H1652" s="4"/>
      <c r="I1652" s="4"/>
      <c r="J1652" s="4"/>
      <c r="K1652" s="4"/>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row>
    <row r="1653" spans="2:204" s="7" customFormat="1" x14ac:dyDescent="0.55000000000000004">
      <c r="B1653" s="16"/>
      <c r="C1653" s="424"/>
      <c r="D1653" s="4"/>
      <c r="E1653" s="4"/>
      <c r="F1653" s="4"/>
      <c r="G1653" s="4"/>
      <c r="H1653" s="4"/>
      <c r="I1653" s="4"/>
      <c r="J1653" s="4"/>
      <c r="K1653" s="4"/>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row>
    <row r="1654" spans="2:204" s="7" customFormat="1" x14ac:dyDescent="0.55000000000000004">
      <c r="B1654" s="16"/>
      <c r="C1654" s="424"/>
      <c r="D1654" s="4"/>
      <c r="E1654" s="4"/>
      <c r="F1654" s="4"/>
      <c r="G1654" s="4"/>
      <c r="H1654" s="4"/>
      <c r="I1654" s="4"/>
      <c r="J1654" s="4"/>
      <c r="K1654" s="4"/>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row>
    <row r="1655" spans="2:204" s="7" customFormat="1" x14ac:dyDescent="0.55000000000000004">
      <c r="B1655" s="16"/>
      <c r="C1655" s="424"/>
      <c r="D1655" s="4"/>
      <c r="E1655" s="4"/>
      <c r="F1655" s="4"/>
      <c r="G1655" s="4"/>
      <c r="H1655" s="4"/>
      <c r="I1655" s="4"/>
      <c r="J1655" s="4"/>
      <c r="K1655" s="4"/>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row>
    <row r="1656" spans="2:204" s="7" customFormat="1" x14ac:dyDescent="0.55000000000000004">
      <c r="B1656" s="16"/>
      <c r="C1656" s="424"/>
      <c r="D1656" s="4"/>
      <c r="E1656" s="4"/>
      <c r="F1656" s="4"/>
      <c r="G1656" s="4"/>
      <c r="H1656" s="4"/>
      <c r="I1656" s="4"/>
      <c r="J1656" s="4"/>
      <c r="K1656" s="4"/>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row>
    <row r="1657" spans="2:204" s="7" customFormat="1" x14ac:dyDescent="0.55000000000000004">
      <c r="B1657" s="16"/>
      <c r="C1657" s="424"/>
      <c r="D1657" s="4"/>
      <c r="E1657" s="4"/>
      <c r="F1657" s="4"/>
      <c r="G1657" s="4"/>
      <c r="H1657" s="4"/>
      <c r="I1657" s="4"/>
      <c r="J1657" s="4"/>
      <c r="K1657" s="4"/>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row>
    <row r="1658" spans="2:204" s="7" customFormat="1" x14ac:dyDescent="0.55000000000000004">
      <c r="B1658" s="16"/>
      <c r="C1658" s="424"/>
      <c r="D1658" s="4"/>
      <c r="E1658" s="4"/>
      <c r="F1658" s="4"/>
      <c r="G1658" s="4"/>
      <c r="H1658" s="4"/>
      <c r="I1658" s="4"/>
      <c r="J1658" s="4"/>
      <c r="K1658" s="4"/>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row>
    <row r="1659" spans="2:204" s="7" customFormat="1" x14ac:dyDescent="0.55000000000000004">
      <c r="B1659" s="16"/>
      <c r="C1659" s="424"/>
      <c r="D1659" s="4"/>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row>
    <row r="1660" spans="2:204" s="7" customFormat="1" x14ac:dyDescent="0.55000000000000004">
      <c r="B1660" s="16"/>
      <c r="C1660" s="42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row>
    <row r="1661" spans="2:204" s="7" customFormat="1" x14ac:dyDescent="0.55000000000000004">
      <c r="B1661" s="16"/>
      <c r="C1661" s="424"/>
      <c r="D1661" s="4"/>
      <c r="E1661" s="4"/>
      <c r="F1661" s="4"/>
      <c r="G1661" s="4"/>
      <c r="H1661" s="4"/>
      <c r="I1661" s="4"/>
      <c r="J1661" s="4"/>
      <c r="K1661" s="4"/>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row>
    <row r="1662" spans="2:204" s="7" customFormat="1" x14ac:dyDescent="0.55000000000000004">
      <c r="B1662" s="16"/>
      <c r="C1662" s="424"/>
      <c r="D1662" s="4"/>
      <c r="E1662" s="4"/>
      <c r="F1662" s="4"/>
      <c r="G1662" s="4"/>
      <c r="H1662" s="4"/>
      <c r="I1662" s="4"/>
      <c r="J1662" s="4"/>
      <c r="K1662" s="4"/>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row>
    <row r="1663" spans="2:204" s="7" customFormat="1" x14ac:dyDescent="0.55000000000000004">
      <c r="B1663" s="16"/>
      <c r="C1663" s="424"/>
      <c r="D1663" s="4"/>
      <c r="E1663" s="4"/>
      <c r="F1663" s="4"/>
      <c r="G1663" s="4"/>
      <c r="H1663" s="4"/>
      <c r="I1663" s="4"/>
      <c r="J1663" s="4"/>
      <c r="K1663" s="4"/>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row>
    <row r="1664" spans="2:204" s="7" customFormat="1" x14ac:dyDescent="0.55000000000000004">
      <c r="B1664" s="16"/>
      <c r="C1664" s="424"/>
      <c r="D1664" s="4"/>
      <c r="E1664" s="4"/>
      <c r="F1664" s="4"/>
      <c r="G1664" s="4"/>
      <c r="H1664" s="4"/>
      <c r="I1664" s="4"/>
      <c r="J1664" s="4"/>
      <c r="K1664" s="4"/>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row>
    <row r="1665" spans="2:204" s="7" customFormat="1" x14ac:dyDescent="0.55000000000000004">
      <c r="B1665" s="16"/>
      <c r="C1665" s="424"/>
      <c r="D1665" s="4"/>
      <c r="E1665" s="4"/>
      <c r="F1665" s="4"/>
      <c r="G1665" s="4"/>
      <c r="H1665" s="4"/>
      <c r="I1665" s="4"/>
      <c r="J1665" s="4"/>
      <c r="K1665" s="4"/>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row>
    <row r="1666" spans="2:204" s="7" customFormat="1" x14ac:dyDescent="0.55000000000000004">
      <c r="B1666" s="16"/>
      <c r="C1666" s="424"/>
      <c r="D1666" s="4"/>
      <c r="E1666" s="4"/>
      <c r="F1666" s="4"/>
      <c r="G1666" s="4"/>
      <c r="H1666" s="4"/>
      <c r="I1666" s="4"/>
      <c r="J1666" s="4"/>
      <c r="K1666" s="4"/>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row>
    <row r="1667" spans="2:204" s="7" customFormat="1" x14ac:dyDescent="0.55000000000000004">
      <c r="B1667" s="16"/>
      <c r="C1667" s="424"/>
      <c r="D1667" s="4"/>
      <c r="E1667" s="4"/>
      <c r="F1667" s="4"/>
      <c r="G1667" s="4"/>
      <c r="H1667" s="4"/>
      <c r="I1667" s="4"/>
      <c r="J1667" s="4"/>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row>
    <row r="1668" spans="2:204" s="7" customFormat="1" x14ac:dyDescent="0.55000000000000004">
      <c r="B1668" s="16"/>
      <c r="C1668" s="424"/>
      <c r="D1668" s="4"/>
      <c r="E1668" s="4"/>
      <c r="F1668" s="4"/>
      <c r="G1668" s="4"/>
      <c r="H1668" s="4"/>
      <c r="I1668" s="4"/>
      <c r="J1668" s="4"/>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row>
    <row r="1669" spans="2:204" s="7" customFormat="1" x14ac:dyDescent="0.55000000000000004">
      <c r="B1669" s="16"/>
      <c r="C1669" s="424"/>
      <c r="D1669" s="4"/>
      <c r="E1669" s="4"/>
      <c r="F1669" s="4"/>
      <c r="G1669" s="4"/>
      <c r="H1669" s="4"/>
      <c r="I1669" s="4"/>
      <c r="J1669" s="4"/>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row>
    <row r="1670" spans="2:204" s="7" customFormat="1" x14ac:dyDescent="0.55000000000000004">
      <c r="B1670" s="16"/>
      <c r="C1670" s="424"/>
      <c r="D1670" s="4"/>
      <c r="E1670" s="4"/>
      <c r="F1670" s="4"/>
      <c r="G1670" s="4"/>
      <c r="H1670" s="4"/>
      <c r="I1670" s="4"/>
      <c r="J1670" s="4"/>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row>
    <row r="1671" spans="2:204" s="7" customFormat="1" x14ac:dyDescent="0.55000000000000004">
      <c r="B1671" s="16"/>
      <c r="C1671" s="424"/>
      <c r="D1671" s="4"/>
      <c r="E1671" s="4"/>
      <c r="F1671" s="4"/>
      <c r="G1671" s="4"/>
      <c r="H1671" s="4"/>
      <c r="I1671" s="4"/>
      <c r="J1671" s="4"/>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row>
    <row r="1672" spans="2:204" s="7" customFormat="1" x14ac:dyDescent="0.55000000000000004">
      <c r="B1672" s="16"/>
      <c r="C1672" s="424"/>
      <c r="D1672" s="4"/>
      <c r="E1672" s="4"/>
      <c r="F1672" s="4"/>
      <c r="G1672" s="4"/>
      <c r="H1672" s="4"/>
      <c r="I1672" s="4"/>
      <c r="J1672" s="4"/>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row>
    <row r="1673" spans="2:204" s="7" customFormat="1" x14ac:dyDescent="0.55000000000000004">
      <c r="B1673" s="16"/>
      <c r="C1673" s="424"/>
      <c r="D1673" s="4"/>
      <c r="E1673" s="4"/>
      <c r="F1673" s="4"/>
      <c r="G1673" s="4"/>
      <c r="H1673" s="4"/>
      <c r="I1673" s="4"/>
      <c r="J1673" s="4"/>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row>
    <row r="1674" spans="2:204" s="7" customFormat="1" x14ac:dyDescent="0.55000000000000004">
      <c r="B1674" s="16"/>
      <c r="C1674" s="424"/>
      <c r="D1674" s="4"/>
      <c r="E1674" s="4"/>
      <c r="F1674" s="4"/>
      <c r="G1674" s="4"/>
      <c r="H1674" s="4"/>
      <c r="I1674" s="4"/>
      <c r="J1674" s="4"/>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row>
    <row r="1675" spans="2:204" s="7" customFormat="1" x14ac:dyDescent="0.55000000000000004">
      <c r="B1675" s="16"/>
      <c r="C1675" s="424"/>
      <c r="D1675" s="4"/>
      <c r="E1675" s="4"/>
      <c r="F1675" s="4"/>
      <c r="G1675" s="4"/>
      <c r="H1675" s="4"/>
      <c r="I1675" s="4"/>
      <c r="J1675" s="4"/>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row>
    <row r="1676" spans="2:204" s="7" customFormat="1" x14ac:dyDescent="0.55000000000000004">
      <c r="B1676" s="16"/>
      <c r="C1676" s="424"/>
      <c r="D1676" s="4"/>
      <c r="E1676" s="4"/>
      <c r="F1676" s="4"/>
      <c r="G1676" s="4"/>
      <c r="H1676" s="4"/>
      <c r="I1676" s="4"/>
      <c r="J1676" s="4"/>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row>
    <row r="1677" spans="2:204" s="7" customFormat="1" x14ac:dyDescent="0.55000000000000004">
      <c r="B1677" s="16"/>
      <c r="C1677" s="424"/>
      <c r="D1677" s="4"/>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row>
    <row r="1678" spans="2:204" s="7" customFormat="1" x14ac:dyDescent="0.55000000000000004">
      <c r="B1678" s="16"/>
      <c r="C1678" s="424"/>
      <c r="D1678" s="4"/>
      <c r="E1678" s="4"/>
      <c r="F1678" s="4"/>
      <c r="G1678" s="4"/>
      <c r="H1678" s="4"/>
      <c r="I1678" s="4"/>
      <c r="J1678" s="4"/>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row>
    <row r="1679" spans="2:204" s="7" customFormat="1" x14ac:dyDescent="0.55000000000000004">
      <c r="B1679" s="16"/>
      <c r="C1679" s="424"/>
      <c r="D1679" s="4"/>
      <c r="E1679" s="4"/>
      <c r="F1679" s="4"/>
      <c r="G1679" s="4"/>
      <c r="H1679" s="4"/>
      <c r="I1679" s="4"/>
      <c r="J1679" s="4"/>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row>
    <row r="1680" spans="2:204" s="7" customFormat="1" x14ac:dyDescent="0.55000000000000004">
      <c r="B1680" s="16"/>
      <c r="C1680" s="424"/>
      <c r="D1680" s="4"/>
      <c r="E1680" s="4"/>
      <c r="F1680" s="4"/>
      <c r="G1680" s="4"/>
      <c r="H1680" s="4"/>
      <c r="I1680" s="4"/>
      <c r="J1680" s="4"/>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row>
    <row r="1681" spans="2:204" s="7" customFormat="1" x14ac:dyDescent="0.55000000000000004">
      <c r="B1681" s="16"/>
      <c r="C1681" s="424"/>
      <c r="D1681" s="4"/>
      <c r="E1681" s="4"/>
      <c r="F1681" s="4"/>
      <c r="G1681" s="4"/>
      <c r="H1681" s="4"/>
      <c r="I1681" s="4"/>
      <c r="J1681" s="4"/>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row>
    <row r="1682" spans="2:204" s="7" customFormat="1" x14ac:dyDescent="0.55000000000000004">
      <c r="B1682" s="16"/>
      <c r="C1682" s="424"/>
      <c r="D1682" s="4"/>
      <c r="E1682" s="4"/>
      <c r="F1682" s="4"/>
      <c r="G1682" s="4"/>
      <c r="H1682" s="4"/>
      <c r="I1682" s="4"/>
      <c r="J1682" s="4"/>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row>
    <row r="1683" spans="2:204" s="7" customFormat="1" x14ac:dyDescent="0.55000000000000004">
      <c r="B1683" s="16"/>
      <c r="C1683" s="424"/>
      <c r="D1683" s="4"/>
      <c r="E1683" s="4"/>
      <c r="F1683" s="4"/>
      <c r="G1683" s="4"/>
      <c r="H1683" s="4"/>
      <c r="I1683" s="4"/>
      <c r="J1683" s="4"/>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row>
    <row r="1684" spans="2:204" s="7" customFormat="1" x14ac:dyDescent="0.55000000000000004">
      <c r="B1684" s="16"/>
      <c r="C1684" s="424"/>
      <c r="D1684" s="4"/>
      <c r="E1684" s="4"/>
      <c r="F1684" s="4"/>
      <c r="G1684" s="4"/>
      <c r="H1684" s="4"/>
      <c r="I1684" s="4"/>
      <c r="J1684" s="4"/>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row>
    <row r="1685" spans="2:204" s="7" customFormat="1" x14ac:dyDescent="0.55000000000000004">
      <c r="B1685" s="16"/>
      <c r="C1685" s="424"/>
      <c r="D1685" s="4"/>
      <c r="E1685" s="4"/>
      <c r="F1685" s="4"/>
      <c r="G1685" s="4"/>
      <c r="H1685" s="4"/>
      <c r="I1685" s="4"/>
      <c r="J1685" s="4"/>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row>
    <row r="1686" spans="2:204" s="7" customFormat="1" x14ac:dyDescent="0.55000000000000004">
      <c r="B1686" s="16"/>
      <c r="C1686" s="424"/>
      <c r="D1686" s="4"/>
      <c r="E1686" s="4"/>
      <c r="F1686" s="4"/>
      <c r="G1686" s="4"/>
      <c r="H1686" s="4"/>
      <c r="I1686" s="4"/>
      <c r="J1686" s="4"/>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row>
    <row r="1687" spans="2:204" s="7" customFormat="1" x14ac:dyDescent="0.55000000000000004">
      <c r="B1687" s="16"/>
      <c r="C1687" s="424"/>
      <c r="D1687" s="4"/>
      <c r="E1687" s="4"/>
      <c r="F1687" s="4"/>
      <c r="G1687" s="4"/>
      <c r="H1687" s="4"/>
      <c r="I1687" s="4"/>
      <c r="J1687" s="4"/>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row>
    <row r="1688" spans="2:204" s="7" customFormat="1" x14ac:dyDescent="0.55000000000000004">
      <c r="B1688" s="16"/>
      <c r="C1688" s="424"/>
      <c r="D1688" s="4"/>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row>
    <row r="1689" spans="2:204" s="7" customFormat="1" x14ac:dyDescent="0.55000000000000004">
      <c r="B1689" s="16"/>
      <c r="C1689" s="424"/>
      <c r="D1689" s="4"/>
      <c r="E1689" s="4"/>
      <c r="F1689" s="4"/>
      <c r="G1689" s="4"/>
      <c r="H1689" s="4"/>
      <c r="I1689" s="4"/>
      <c r="J1689" s="4"/>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row>
    <row r="1690" spans="2:204" s="7" customFormat="1" x14ac:dyDescent="0.55000000000000004">
      <c r="B1690" s="16"/>
      <c r="C1690" s="424"/>
      <c r="D1690" s="4"/>
      <c r="E1690" s="4"/>
      <c r="F1690" s="4"/>
      <c r="G1690" s="4"/>
      <c r="H1690" s="4"/>
      <c r="I1690" s="4"/>
      <c r="J1690" s="4"/>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row>
    <row r="1691" spans="2:204" s="7" customFormat="1" x14ac:dyDescent="0.55000000000000004">
      <c r="B1691" s="16"/>
      <c r="C1691" s="424"/>
      <c r="D1691" s="4"/>
      <c r="E1691" s="4"/>
      <c r="F1691" s="4"/>
      <c r="G1691" s="4"/>
      <c r="H1691" s="4"/>
      <c r="I1691" s="4"/>
      <c r="J1691" s="4"/>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row>
    <row r="1692" spans="2:204" s="7" customFormat="1" x14ac:dyDescent="0.55000000000000004">
      <c r="B1692" s="16"/>
      <c r="C1692" s="424"/>
      <c r="D1692" s="4"/>
      <c r="E1692" s="4"/>
      <c r="F1692" s="4"/>
      <c r="G1692" s="4"/>
      <c r="H1692" s="4"/>
      <c r="I1692" s="4"/>
      <c r="J1692" s="4"/>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row>
    <row r="1693" spans="2:204" s="7" customFormat="1" x14ac:dyDescent="0.55000000000000004">
      <c r="B1693" s="16"/>
      <c r="C1693" s="424"/>
      <c r="D1693" s="4"/>
      <c r="E1693" s="4"/>
      <c r="F1693" s="4"/>
      <c r="G1693" s="4"/>
      <c r="H1693" s="4"/>
      <c r="I1693" s="4"/>
      <c r="J1693" s="4"/>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row>
    <row r="1694" spans="2:204" s="7" customFormat="1" x14ac:dyDescent="0.55000000000000004">
      <c r="B1694" s="16"/>
      <c r="C1694" s="424"/>
      <c r="D1694" s="4"/>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row>
    <row r="1695" spans="2:204" s="7" customFormat="1" x14ac:dyDescent="0.55000000000000004">
      <c r="B1695" s="16"/>
      <c r="C1695" s="424"/>
      <c r="D1695" s="4"/>
      <c r="E1695" s="4"/>
      <c r="F1695" s="4"/>
      <c r="G1695" s="4"/>
      <c r="H1695" s="4"/>
      <c r="I1695" s="4"/>
      <c r="J1695" s="4"/>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row>
    <row r="1696" spans="2:204" s="7" customFormat="1" x14ac:dyDescent="0.55000000000000004">
      <c r="B1696" s="16"/>
      <c r="C1696" s="424"/>
      <c r="D1696" s="4"/>
      <c r="E1696" s="4"/>
      <c r="F1696" s="4"/>
      <c r="G1696" s="4"/>
      <c r="H1696" s="4"/>
      <c r="I1696" s="4"/>
      <c r="J1696" s="4"/>
      <c r="K1696" s="4"/>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row>
    <row r="1697" spans="2:204" s="7" customFormat="1" x14ac:dyDescent="0.55000000000000004">
      <c r="B1697" s="16"/>
      <c r="C1697" s="424"/>
      <c r="D1697" s="4"/>
      <c r="E1697" s="4"/>
      <c r="F1697" s="4"/>
      <c r="G1697" s="4"/>
      <c r="H1697" s="4"/>
      <c r="I1697" s="4"/>
      <c r="J1697" s="4"/>
      <c r="K1697" s="4"/>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row>
    <row r="1698" spans="2:204" s="7" customFormat="1" x14ac:dyDescent="0.55000000000000004">
      <c r="B1698" s="16"/>
      <c r="C1698" s="424"/>
      <c r="D1698" s="4"/>
      <c r="E1698" s="4"/>
      <c r="F1698" s="4"/>
      <c r="G1698" s="4"/>
      <c r="H1698" s="4"/>
      <c r="I1698" s="4"/>
      <c r="J1698" s="4"/>
      <c r="K1698" s="4"/>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row>
    <row r="1699" spans="2:204" s="7" customFormat="1" x14ac:dyDescent="0.55000000000000004">
      <c r="B1699" s="16"/>
      <c r="C1699" s="424"/>
      <c r="D1699" s="4"/>
      <c r="E1699" s="4"/>
      <c r="F1699" s="4"/>
      <c r="G1699" s="4"/>
      <c r="H1699" s="4"/>
      <c r="I1699" s="4"/>
      <c r="J1699" s="4"/>
      <c r="K1699" s="4"/>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row>
    <row r="1700" spans="2:204" s="7" customFormat="1" x14ac:dyDescent="0.55000000000000004">
      <c r="B1700" s="16"/>
      <c r="C1700" s="424"/>
      <c r="D1700" s="4"/>
      <c r="E1700" s="4"/>
      <c r="F1700" s="4"/>
      <c r="G1700" s="4"/>
      <c r="H1700" s="4"/>
      <c r="I1700" s="4"/>
      <c r="J1700" s="4"/>
      <c r="K1700" s="4"/>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row>
    <row r="1701" spans="2:204" s="7" customFormat="1" x14ac:dyDescent="0.55000000000000004">
      <c r="B1701" s="16"/>
      <c r="C1701" s="424"/>
      <c r="D1701" s="4"/>
      <c r="E1701" s="4"/>
      <c r="F1701" s="4"/>
      <c r="G1701" s="4"/>
      <c r="H1701" s="4"/>
      <c r="I1701" s="4"/>
      <c r="J1701" s="4"/>
      <c r="K1701" s="4"/>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row>
    <row r="1702" spans="2:204" s="7" customFormat="1" x14ac:dyDescent="0.55000000000000004">
      <c r="B1702" s="16"/>
      <c r="C1702" s="424"/>
      <c r="D1702" s="4"/>
      <c r="E1702" s="4"/>
      <c r="F1702" s="4"/>
      <c r="G1702" s="4"/>
      <c r="H1702" s="4"/>
      <c r="I1702" s="4"/>
      <c r="J1702" s="4"/>
      <c r="K1702" s="4"/>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row>
    <row r="1703" spans="2:204" s="7" customFormat="1" x14ac:dyDescent="0.55000000000000004">
      <c r="B1703" s="16"/>
      <c r="C1703" s="424"/>
      <c r="D1703" s="4"/>
      <c r="E1703" s="4"/>
      <c r="F1703" s="4"/>
      <c r="G1703" s="4"/>
      <c r="H1703" s="4"/>
      <c r="I1703" s="4"/>
      <c r="J1703" s="4"/>
      <c r="K1703" s="4"/>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row>
    <row r="1704" spans="2:204" s="7" customFormat="1" x14ac:dyDescent="0.55000000000000004">
      <c r="B1704" s="16"/>
      <c r="C1704" s="424"/>
      <c r="D1704" s="4"/>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row>
    <row r="1705" spans="2:204" s="7" customFormat="1" x14ac:dyDescent="0.55000000000000004">
      <c r="B1705" s="16"/>
      <c r="C1705" s="424"/>
      <c r="D1705" s="4"/>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row>
    <row r="1706" spans="2:204" s="7" customFormat="1" x14ac:dyDescent="0.55000000000000004">
      <c r="B1706" s="16"/>
      <c r="C1706" s="424"/>
      <c r="D1706" s="4"/>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row>
    <row r="1707" spans="2:204" s="7" customFormat="1" x14ac:dyDescent="0.55000000000000004">
      <c r="B1707" s="16"/>
      <c r="C1707" s="424"/>
      <c r="D1707" s="4"/>
      <c r="E1707" s="4"/>
      <c r="F1707" s="4"/>
      <c r="G1707" s="4"/>
      <c r="H1707" s="4"/>
      <c r="I1707" s="4"/>
      <c r="J1707" s="4"/>
      <c r="K1707" s="4"/>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row>
    <row r="1708" spans="2:204" s="7" customFormat="1" x14ac:dyDescent="0.55000000000000004">
      <c r="B1708" s="16"/>
      <c r="C1708" s="424"/>
      <c r="D1708" s="4"/>
      <c r="E1708" s="4"/>
      <c r="F1708" s="4"/>
      <c r="G1708" s="4"/>
      <c r="H1708" s="4"/>
      <c r="I1708" s="4"/>
      <c r="J1708" s="4"/>
      <c r="K1708" s="4"/>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row>
    <row r="1709" spans="2:204" s="7" customFormat="1" x14ac:dyDescent="0.55000000000000004">
      <c r="B1709" s="16"/>
      <c r="C1709" s="424"/>
      <c r="D1709" s="4"/>
      <c r="E1709" s="4"/>
      <c r="F1709" s="4"/>
      <c r="G1709" s="4"/>
      <c r="H1709" s="4"/>
      <c r="I1709" s="4"/>
      <c r="J1709" s="4"/>
      <c r="K1709" s="4"/>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row>
    <row r="1710" spans="2:204" s="7" customFormat="1" x14ac:dyDescent="0.55000000000000004">
      <c r="B1710" s="16"/>
      <c r="C1710" s="424"/>
      <c r="D1710" s="4"/>
      <c r="E1710" s="4"/>
      <c r="F1710" s="4"/>
      <c r="G1710" s="4"/>
      <c r="H1710" s="4"/>
      <c r="I1710" s="4"/>
      <c r="J1710" s="4"/>
      <c r="K1710" s="4"/>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row>
    <row r="1711" spans="2:204" s="7" customFormat="1" x14ac:dyDescent="0.55000000000000004">
      <c r="B1711" s="16"/>
      <c r="C1711" s="424"/>
      <c r="D1711" s="4"/>
      <c r="E1711" s="4"/>
      <c r="F1711" s="4"/>
      <c r="G1711" s="4"/>
      <c r="H1711" s="4"/>
      <c r="I1711" s="4"/>
      <c r="J1711" s="4"/>
      <c r="K1711" s="4"/>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row>
    <row r="1712" spans="2:204" s="7" customFormat="1" x14ac:dyDescent="0.55000000000000004">
      <c r="B1712" s="16"/>
      <c r="C1712" s="424"/>
      <c r="D1712" s="4"/>
      <c r="E1712" s="4"/>
      <c r="F1712" s="4"/>
      <c r="G1712" s="4"/>
      <c r="H1712" s="4"/>
      <c r="I1712" s="4"/>
      <c r="J1712" s="4"/>
      <c r="K1712" s="4"/>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row>
    <row r="1713" spans="2:204" s="7" customFormat="1" x14ac:dyDescent="0.55000000000000004">
      <c r="B1713" s="16"/>
      <c r="C1713" s="424"/>
      <c r="D1713" s="4"/>
      <c r="E1713" s="4"/>
      <c r="F1713" s="4"/>
      <c r="G1713" s="4"/>
      <c r="H1713" s="4"/>
      <c r="I1713" s="4"/>
      <c r="J1713" s="4"/>
      <c r="K1713" s="4"/>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row>
    <row r="1714" spans="2:204" s="7" customFormat="1" x14ac:dyDescent="0.55000000000000004">
      <c r="B1714" s="16"/>
      <c r="C1714" s="424"/>
      <c r="D1714" s="4"/>
      <c r="E1714" s="4"/>
      <c r="F1714" s="4"/>
      <c r="G1714" s="4"/>
      <c r="H1714" s="4"/>
      <c r="I1714" s="4"/>
      <c r="J1714" s="4"/>
      <c r="K1714" s="4"/>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row>
    <row r="1715" spans="2:204" s="7" customFormat="1" x14ac:dyDescent="0.55000000000000004">
      <c r="B1715" s="16"/>
      <c r="C1715" s="424"/>
      <c r="D1715" s="4"/>
      <c r="E1715" s="4"/>
      <c r="F1715" s="4"/>
      <c r="G1715" s="4"/>
      <c r="H1715" s="4"/>
      <c r="I1715" s="4"/>
      <c r="J1715" s="4"/>
      <c r="K1715" s="4"/>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row>
    <row r="1716" spans="2:204" s="7" customFormat="1" x14ac:dyDescent="0.55000000000000004">
      <c r="B1716" s="16"/>
      <c r="C1716" s="424"/>
      <c r="D1716" s="4"/>
      <c r="E1716" s="4"/>
      <c r="F1716" s="4"/>
      <c r="G1716" s="4"/>
      <c r="H1716" s="4"/>
      <c r="I1716" s="4"/>
      <c r="J1716" s="4"/>
      <c r="K1716" s="4"/>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row>
    <row r="1717" spans="2:204" s="7" customFormat="1" x14ac:dyDescent="0.55000000000000004">
      <c r="B1717" s="16"/>
      <c r="C1717" s="424"/>
      <c r="D1717" s="4"/>
      <c r="E1717" s="4"/>
      <c r="F1717" s="4"/>
      <c r="G1717" s="4"/>
      <c r="H1717" s="4"/>
      <c r="I1717" s="4"/>
      <c r="J1717" s="4"/>
      <c r="K1717" s="4"/>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row>
    <row r="1718" spans="2:204" s="7" customFormat="1" x14ac:dyDescent="0.55000000000000004">
      <c r="B1718" s="16"/>
      <c r="C1718" s="424"/>
      <c r="D1718" s="4"/>
      <c r="E1718" s="4"/>
      <c r="F1718" s="4"/>
      <c r="G1718" s="4"/>
      <c r="H1718" s="4"/>
      <c r="I1718" s="4"/>
      <c r="J1718" s="4"/>
      <c r="K1718" s="4"/>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row>
    <row r="1719" spans="2:204" s="7" customFormat="1" x14ac:dyDescent="0.55000000000000004">
      <c r="B1719" s="16"/>
      <c r="C1719" s="424"/>
      <c r="D1719" s="4"/>
      <c r="E1719" s="4"/>
      <c r="F1719" s="4"/>
      <c r="G1719" s="4"/>
      <c r="H1719" s="4"/>
      <c r="I1719" s="4"/>
      <c r="J1719" s="4"/>
      <c r="K1719" s="4"/>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row>
    <row r="1720" spans="2:204" s="7" customFormat="1" x14ac:dyDescent="0.55000000000000004">
      <c r="B1720" s="16"/>
      <c r="C1720" s="424"/>
      <c r="D1720" s="4"/>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row>
    <row r="1721" spans="2:204" s="7" customFormat="1" x14ac:dyDescent="0.55000000000000004">
      <c r="B1721" s="16"/>
      <c r="C1721" s="424"/>
      <c r="D1721" s="4"/>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row>
    <row r="1722" spans="2:204" s="7" customFormat="1" x14ac:dyDescent="0.55000000000000004">
      <c r="B1722" s="16"/>
      <c r="C1722" s="424"/>
      <c r="D1722" s="4"/>
      <c r="E1722" s="4"/>
      <c r="F1722" s="4"/>
      <c r="G1722" s="4"/>
      <c r="H1722" s="4"/>
      <c r="I1722" s="4"/>
      <c r="J1722" s="4"/>
      <c r="K1722" s="4"/>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row>
    <row r="1723" spans="2:204" s="7" customFormat="1" x14ac:dyDescent="0.55000000000000004">
      <c r="B1723" s="16"/>
      <c r="C1723" s="424"/>
      <c r="D1723" s="4"/>
      <c r="E1723" s="4"/>
      <c r="F1723" s="4"/>
      <c r="G1723" s="4"/>
      <c r="H1723" s="4"/>
      <c r="I1723" s="4"/>
      <c r="J1723" s="4"/>
      <c r="K1723" s="4"/>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row>
    <row r="1724" spans="2:204" s="7" customFormat="1" x14ac:dyDescent="0.55000000000000004">
      <c r="B1724" s="16"/>
      <c r="C1724" s="424"/>
      <c r="D1724" s="4"/>
      <c r="E1724" s="4"/>
      <c r="F1724" s="4"/>
      <c r="G1724" s="4"/>
      <c r="H1724" s="4"/>
      <c r="I1724" s="4"/>
      <c r="J1724" s="4"/>
      <c r="K1724" s="4"/>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row>
    <row r="1725" spans="2:204" s="7" customFormat="1" x14ac:dyDescent="0.55000000000000004">
      <c r="B1725" s="16"/>
      <c r="C1725" s="424"/>
      <c r="D1725" s="4"/>
      <c r="E1725" s="4"/>
      <c r="F1725" s="4"/>
      <c r="G1725" s="4"/>
      <c r="H1725" s="4"/>
      <c r="I1725" s="4"/>
      <c r="J1725" s="4"/>
      <c r="K1725" s="4"/>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row>
    <row r="1726" spans="2:204" s="7" customFormat="1" x14ac:dyDescent="0.55000000000000004">
      <c r="B1726" s="16"/>
      <c r="C1726" s="424"/>
      <c r="D1726" s="4"/>
      <c r="E1726" s="4"/>
      <c r="F1726" s="4"/>
      <c r="G1726" s="4"/>
      <c r="H1726" s="4"/>
      <c r="I1726" s="4"/>
      <c r="J1726" s="4"/>
      <c r="K1726" s="4"/>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row>
    <row r="1727" spans="2:204" s="7" customFormat="1" x14ac:dyDescent="0.55000000000000004">
      <c r="B1727" s="16"/>
      <c r="C1727" s="424"/>
      <c r="D1727" s="4"/>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row>
    <row r="1728" spans="2:204" s="7" customFormat="1" x14ac:dyDescent="0.55000000000000004">
      <c r="B1728" s="16"/>
      <c r="C1728" s="424"/>
      <c r="D1728" s="4"/>
      <c r="E1728" s="4"/>
      <c r="F1728" s="4"/>
      <c r="G1728" s="4"/>
      <c r="H1728" s="4"/>
      <c r="I1728" s="4"/>
      <c r="J1728" s="4"/>
      <c r="K1728" s="4"/>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row>
    <row r="1729" spans="2:204" s="7" customFormat="1" x14ac:dyDescent="0.55000000000000004">
      <c r="B1729" s="16"/>
      <c r="C1729" s="424"/>
      <c r="D1729" s="4"/>
      <c r="E1729" s="4"/>
      <c r="F1729" s="4"/>
      <c r="G1729" s="4"/>
      <c r="H1729" s="4"/>
      <c r="I1729" s="4"/>
      <c r="J1729" s="4"/>
      <c r="K1729" s="4"/>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row>
  </sheetData>
  <sheetProtection algorithmName="SHA-512" hashValue="E25UtYgW3SWiH/jJwk15qRaz6sl++mft1hLM7pfdcPBpgS6/l468+Eq1OCNQ3h6LEGtejeIwR2JqvTs1x1aCuw==" saltValue="ZxDg1iPvyU1sfmhI7pGCvg==" spinCount="100000" sheet="1" objects="1" scenarios="1"/>
  <phoneticPr fontId="6" type="noConversion"/>
  <dataValidations count="20">
    <dataValidation type="custom" allowBlank="1" showInputMessage="1" showErrorMessage="1" errorTitle="Value Error" error="Students in this instructional setting cannot exceed Total Enrollment.  Also, the data required is students enrolled, not ADA or FTE's._x000a_" sqref="B24:B28 B14:B16 B30:B33 B35:B40 B18:B22" xr:uid="{CC87186C-BC27-4A27-8F3C-A71B56D7D3D5}">
      <formula1>AND(B14&lt;=B$6,MOD(B14,0.5)=0)</formula1>
    </dataValidation>
    <dataValidation errorStyle="warning" allowBlank="1" showInputMessage="1" showErrorMessage="1" sqref="B60:B64 B12 B66:B67 B68:B69 B49:B56" xr:uid="{A41BC670-8A07-4957-9BD4-A5203148BD63}"/>
    <dataValidation allowBlank="1" showInputMessage="1" showErrorMessage="1" errorTitle="Dashes Prohibited" error="Dashes prohibited in data entry" sqref="B2" xr:uid="{1A4D3C74-8F6F-4ED5-8F4E-2CD34C08703B}"/>
    <dataValidation type="custom" allowBlank="1" showInputMessage="1" showErrorMessage="1" errorTitle="Value Error" error="The number of students enrolled in this program cannot be greater than Total Number of Students Enrolled." sqref="B12" xr:uid="{3F42F069-26C7-4164-BDD5-574C6522AF98}">
      <formula1>AND(B12&lt;=B$6)</formula1>
    </dataValidation>
    <dataValidation type="custom" allowBlank="1" showInputMessage="1" showErrorMessage="1" errorTitle="Value Error" error="Students enrolled in this category cannot be greater than Total Enrollment.  Additionally the data entered here must be students enrolled, not ADA or FTE's._x000a_" sqref="B11" xr:uid="{B1FD3ABA-990B-4774-B8C3-B7D24E4E687E}">
      <formula1>AND(B11&lt;=B$6,MOD(B11,0.5)=0)</formula1>
    </dataValidation>
    <dataValidation type="custom" allowBlank="1" showInputMessage="1" showErrorMessage="1" errorTitle="Value Error" error="Students enrolled in V5 cannot exceed Total Enrollment.  Additionally the data entered here must be students enrolled, not ADA or FTE's." sqref="B47" xr:uid="{8B4986CE-3B20-4D0A-8893-1F9599BD92B3}">
      <formula1>AND(B47&lt;=C$1,MOD(B47,0.5)=0)</formula1>
    </dataValidation>
    <dataValidation type="custom" allowBlank="1" showInputMessage="1" showErrorMessage="1" errorTitle="Invalid Value" error="Total Enrollment entered must be whole number or end in .5 decimal. ADA entries not accepted." sqref="B6" xr:uid="{7CBBF372-BE4E-4339-A487-5C448EF1703B}">
      <formula1>AND(MOD(B6,0.5)=0)</formula1>
    </dataValidation>
    <dataValidation type="custom" allowBlank="1" showInputMessage="1" showErrorMessage="1" errorTitle="Value Error" error="Students enrolled in V1 cannot exceed Total Enrollment.  Additionally the data entered here must be students enrolled, not ADA or FTE's._x000a_" sqref="B42" xr:uid="{712F0B13-6D42-4B3B-8385-CF9390DCD3BF}">
      <formula1>AND(B42&lt;=B$6,MOD(B42,0.5)=0)</formula1>
    </dataValidation>
    <dataValidation type="custom" allowBlank="1" showInputMessage="1" showErrorMessage="1" error="Dyslexia Enrollment enrollment cannot be greater than Total Enrollment.  Also, do not enter ADA or FTE." sqref="B7" xr:uid="{1ED286F8-89F8-456A-AC1F-B3F24260EF0D}">
      <formula1>AND(B7&lt;=B$6,MOD(B7,0.5)=0)</formula1>
    </dataValidation>
    <dataValidation type="custom" allowBlank="1" showInputMessage="1" showErrorMessage="1" error="K through 3 Early Education enrollment cannot be greater than Total Enrollment.  Also, no data entry of ADA or FTE." sqref="B8" xr:uid="{5E6B6990-EB98-45F9-93F1-92C7B4A82085}">
      <formula1>AND(B8&lt;=B$6,MOD(B8,0.5)=0)</formula1>
    </dataValidation>
    <dataValidation type="custom" allowBlank="1" showInputMessage="1" showErrorMessage="1" errorTitle="Value Error" error="Dropout Recovery School  enrollment cannot exceed Total Enrollment. Additionally the data entered here must be students enrolled, not ADA or FTE's._x000a_" sqref="B9" xr:uid="{F9197986-30A5-4086-9B43-F1A7DCD04BBD}">
      <formula1>AND(B9&lt;=B$6,MOD(B9,0.5)=0)</formula1>
    </dataValidation>
    <dataValidation type="custom" allowBlank="1" showInputMessage="1" showErrorMessage="1" errorTitle="Value Error" error="Residential Placement Facility Enrollment must not exceed Total Enrollment.  Additionally the data entered here must be students enrolled, not ADA or FTE's._x000a_" sqref="B10" xr:uid="{30AF3AC4-D02B-4640-9BD3-401B1235367E}">
      <formula1>AND(B10&lt;=B$6,MOD(B10,0.5)=0)</formula1>
    </dataValidation>
    <dataValidation type="custom" allowBlank="1" showInputMessage="1" showErrorMessage="1" errorTitle="Value Error" error="Pregnancy Related enrollment cannot exceed Total Enrollment.  Additionally the data entered here must be students enrolled, not ADA or FTE's._x000a_" sqref="B12" xr:uid="{C3087EBF-D81A-4DC2-90DD-87253FDAE8A4}">
      <formula1>AND(B12&lt;=B$6,MOD(B12,0.5)=0)</formula1>
    </dataValidation>
    <dataValidation type="custom" allowBlank="1" showInputMessage="1" showErrorMessage="1" errorTitle="Value Error" error="Students enrolled in V2 cannot exceed Total Enrollment.  Additionally the data entered here must be students enrolled, not ADA or FTE's._x000a_" sqref="B43" xr:uid="{C7B196B1-B38B-4920-89C8-9CA66F46E17F}">
      <formula1>AND(B43&lt;=B$6,MOD(B43,0.5)=0)</formula1>
    </dataValidation>
    <dataValidation type="custom" allowBlank="1" showInputMessage="1" showErrorMessage="1" errorTitle="Value Error" error="Students enrolled in V3 cannot exceed Total Enrollment.  Additionally the data entered here must be students enrolled, not ADA or FTE's._x000a_" sqref="B44" xr:uid="{824E140F-5EA4-435F-B063-6601E471D28E}">
      <formula1>AND(B44&lt;=B$6,MOD(B44,0.5)=0)</formula1>
    </dataValidation>
    <dataValidation type="custom" allowBlank="1" showInputMessage="1" showErrorMessage="1" errorTitle="Value Error" error="Students in this instructional setting cannot exceed Total Enrollment.  Also, the data required is students enrolled, not ADA or FTE's._x000a__x000a_" sqref="B23" xr:uid="{961A6620-DB4E-44C0-90AD-8CE8749110CF}">
      <formula1>AND(B23&lt;=B$6,MOD(B23,0.5)=0)</formula1>
    </dataValidation>
    <dataValidation type="custom" allowBlank="1" showInputMessage="1" showErrorMessage="1" errorTitle="Value Error" error="Students in this instructional setting cannot exceed Total Enrollment.  Also, the data required is students enrolled, not ADA or FTE's._x000a_FTE's._x000a_" sqref="B34" xr:uid="{9A9B2CBA-7507-4124-87E2-F5ABEDD4F29C}">
      <formula1>AND(B34&lt;=B$6,MOD(B34,0.5)=0)</formula1>
    </dataValidation>
    <dataValidation type="custom" allowBlank="1" showInputMessage="1" showErrorMessage="1" errorTitle="Value Error" error="Students enrolled in V6 cannot exceed Total Enrollment.  Additionally the data entered here must be students enrolled, not ADA or FTE's." sqref="B48" xr:uid="{2EF854CE-A508-41CF-8DA2-8A0FA364A425}">
      <formula1>AND(B48&lt;=$B$6,MOD(B48,0.5)=0)</formula1>
    </dataValidation>
    <dataValidation type="custom" allowBlank="1" showInputMessage="1" showErrorMessage="1" errorTitle="Value Error" error="Students enrolled in V4 cannot exceed Total Enrollment.  Additionally the data entered here must be students enrolled, not ADA or FTE's." sqref="B45" xr:uid="{F99E7416-8091-4AD8-9282-1962EBA4187F}">
      <formula1>AND(B45&lt;=C$1,MOD(B45,0.5)=0)</formula1>
    </dataValidation>
    <dataValidation type="custom" allowBlank="1" showInputMessage="1" showErrorMessage="1" errorTitle="Value Error" error="Students enrolled in V5 cannot exceed Total Enrollment.  Additionally the data entered here must be students enrolled, not ADA or FTE's._x000a_" sqref="B46" xr:uid="{36C990CB-D1FA-4696-B54D-9766D0BDB7B2}">
      <formula1>AND(B46&lt;=C$1,MOD(B46,0.5)=0)</formula1>
    </dataValidation>
  </dataValidations>
  <printOptions gridLines="1"/>
  <pageMargins left="0.7" right="0.7" top="0.75" bottom="0.75" header="0.3" footer="0.3"/>
  <pageSetup scale="10" fitToHeight="0" orientation="landscape" r:id="rId1"/>
  <headerFooter alignWithMargins="0">
    <oddHeader>&amp;C&amp;"veranda,Regular"&amp;16 &amp;"-,Bold"&amp;20Estimates</oddHeader>
    <oddFooter>&amp;L&amp;"Calibri,Bold"&amp;D
&amp;T&amp;C&amp;"-,Bold"2021-2022 Charter School Estimate of State Aid
&amp;R&amp;"Calibri,Bold"&amp;P of &amp;N</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79998168889431442"/>
    <pageSetUpPr fitToPage="1"/>
  </sheetPr>
  <dimension ref="A1:R164"/>
  <sheetViews>
    <sheetView zoomScale="70" zoomScaleNormal="70" zoomScaleSheetLayoutView="40" zoomScalePageLayoutView="85" workbookViewId="0">
      <selection activeCell="F43" sqref="F43"/>
    </sheetView>
  </sheetViews>
  <sheetFormatPr defaultColWidth="8.7265625" defaultRowHeight="18.5" x14ac:dyDescent="0.45"/>
  <cols>
    <col min="1" max="1" width="88.7265625" style="22" customWidth="1"/>
    <col min="2" max="2" width="15.1796875" style="18" customWidth="1"/>
    <col min="3" max="3" width="24.81640625" style="113" customWidth="1"/>
    <col min="4" max="4" width="22.453125" style="113" customWidth="1"/>
    <col min="5" max="5" width="33.7265625" style="284" customWidth="1"/>
    <col min="6" max="6" width="33.7265625" style="286" customWidth="1"/>
    <col min="7" max="7" width="8.7265625" style="598"/>
    <col min="8" max="13" width="8.7265625" style="11"/>
    <col min="14" max="14" width="10.81640625" style="11" bestFit="1" customWidth="1"/>
    <col min="15" max="16384" width="8.7265625" style="11"/>
  </cols>
  <sheetData>
    <row r="1" spans="1:7" s="486" customFormat="1" ht="57" thickBot="1" x14ac:dyDescent="0.6">
      <c r="A1" s="482" t="s">
        <v>838</v>
      </c>
      <c r="B1" s="483"/>
      <c r="C1" s="484" t="s">
        <v>785</v>
      </c>
      <c r="D1" s="485" t="s">
        <v>786</v>
      </c>
      <c r="E1" s="849" t="s">
        <v>966</v>
      </c>
      <c r="F1" s="850" t="s">
        <v>959</v>
      </c>
      <c r="G1" s="597"/>
    </row>
    <row r="2" spans="1:7" s="10" customFormat="1" ht="45" customHeight="1" x14ac:dyDescent="0.55000000000000004">
      <c r="A2" s="183" t="str">
        <f>VLOOKUP(A3,DATA!1:1048576,2,FALSE)</f>
        <v>CHARTER DISTRICT</v>
      </c>
      <c r="B2" s="254"/>
      <c r="C2" s="517" t="s">
        <v>929</v>
      </c>
      <c r="D2" s="518"/>
      <c r="E2" s="528" t="s">
        <v>950</v>
      </c>
      <c r="F2" s="843" t="s">
        <v>950</v>
      </c>
      <c r="G2" s="598"/>
    </row>
    <row r="3" spans="1:7" s="10" customFormat="1" ht="46.5" x14ac:dyDescent="0.55000000000000004">
      <c r="A3" s="184">
        <f>Estimates!B1</f>
        <v>0</v>
      </c>
      <c r="B3" s="255"/>
      <c r="C3" s="281"/>
      <c r="D3" s="283"/>
      <c r="E3" s="851" t="s">
        <v>967</v>
      </c>
      <c r="F3" s="852" t="s">
        <v>965</v>
      </c>
      <c r="G3" s="598"/>
    </row>
    <row r="4" spans="1:7" s="5" customFormat="1" ht="24" customHeight="1" x14ac:dyDescent="0.45">
      <c r="A4" s="249" t="s">
        <v>589</v>
      </c>
      <c r="B4" s="541"/>
      <c r="C4" s="182">
        <f>VLOOKUP(Estimates!B1,INITIAL_EST,6,FALSE)</f>
        <v>0</v>
      </c>
      <c r="D4" s="256">
        <f>Estimates!B6*Estimates!B4</f>
        <v>0</v>
      </c>
      <c r="E4" s="287">
        <f>VLOOKUP(Estimates!B1,CASH_FLOW,6,FALSE)</f>
        <v>0</v>
      </c>
      <c r="F4" s="698">
        <f>VLOOKUP(Estimates!B1,DPE,6,FALSE)</f>
        <v>0</v>
      </c>
      <c r="G4" s="598"/>
    </row>
    <row r="5" spans="1:7" ht="23.25" customHeight="1" x14ac:dyDescent="0.45">
      <c r="A5" s="223" t="s">
        <v>832</v>
      </c>
      <c r="B5" s="542" t="s">
        <v>611</v>
      </c>
      <c r="C5" s="333"/>
      <c r="D5" s="334"/>
      <c r="E5" s="288"/>
      <c r="F5" s="699"/>
    </row>
    <row r="6" spans="1:7" ht="23.25" customHeight="1" x14ac:dyDescent="0.45">
      <c r="A6" s="36" t="s">
        <v>565</v>
      </c>
      <c r="B6" s="543">
        <v>5</v>
      </c>
      <c r="C6" s="35">
        <f>VLOOKUP(Estimates!B1,INITIAL_EST,130,FALSE)</f>
        <v>0</v>
      </c>
      <c r="D6" s="257">
        <f>Estimates!B18*Estimates!$B$4*1/6</f>
        <v>0</v>
      </c>
      <c r="E6" s="289">
        <f>VLOOKUP(Estimates!$B$1,CASH_FLOW,130,FALSE)</f>
        <v>0</v>
      </c>
      <c r="F6" s="289">
        <f>VLOOKUP(Estimates!$B$1,DPE,130,FALSE)</f>
        <v>0</v>
      </c>
    </row>
    <row r="7" spans="1:7" ht="23.25" customHeight="1" x14ac:dyDescent="0.45">
      <c r="A7" s="36" t="s">
        <v>566</v>
      </c>
      <c r="B7" s="543">
        <v>3</v>
      </c>
      <c r="C7" s="35">
        <f>VLOOKUP(Estimates!B1,INITIAL_EST,131,FALSE)</f>
        <v>0</v>
      </c>
      <c r="D7" s="257">
        <f>Estimates!B19*Estimates!$B$4*4.5/6</f>
        <v>0</v>
      </c>
      <c r="E7" s="289">
        <f>VLOOKUP(Estimates!$B$1,CASH_FLOW,131,FALSE)</f>
        <v>0</v>
      </c>
      <c r="F7" s="289">
        <f>VLOOKUP(Estimates!$B$1,DPE,131,FALSE)</f>
        <v>0</v>
      </c>
    </row>
    <row r="8" spans="1:7" ht="23.25" customHeight="1" x14ac:dyDescent="0.45">
      <c r="A8" s="36" t="s">
        <v>567</v>
      </c>
      <c r="B8" s="543">
        <v>5</v>
      </c>
      <c r="C8" s="35">
        <f>VLOOKUP(Estimates!B1,INITIAL_EST,143,FALSE)</f>
        <v>0</v>
      </c>
      <c r="D8" s="257">
        <f>Estimates!B20*Estimates!$B$4*0.25/6</f>
        <v>0</v>
      </c>
      <c r="E8" s="289">
        <f>VLOOKUP(Estimates!$B$1,CASH_FLOW,143,FALSE)</f>
        <v>0</v>
      </c>
      <c r="F8" s="289">
        <f>VLOOKUP(Estimates!$B$1,DPE,143,FALSE)</f>
        <v>0</v>
      </c>
    </row>
    <row r="9" spans="1:7" ht="23.25" customHeight="1" x14ac:dyDescent="0.45">
      <c r="A9" s="36" t="s">
        <v>584</v>
      </c>
      <c r="B9" s="543">
        <v>3</v>
      </c>
      <c r="C9" s="35">
        <f>VLOOKUP(Estimates!B1,INITIAL_EST,140,FALSE)</f>
        <v>0</v>
      </c>
      <c r="D9" s="257">
        <f>Estimates!B21*Estimates!$B$4*2.859/6</f>
        <v>0</v>
      </c>
      <c r="E9" s="289">
        <f>VLOOKUP(Estimates!$B$1,CASH_FLOW,140,FALSE)</f>
        <v>0</v>
      </c>
      <c r="F9" s="289">
        <f>VLOOKUP(Estimates!$B$1,DPE,140,FALSE)</f>
        <v>0</v>
      </c>
    </row>
    <row r="10" spans="1:7" ht="23.25" customHeight="1" x14ac:dyDescent="0.45">
      <c r="A10" s="36" t="s">
        <v>585</v>
      </c>
      <c r="B10" s="543">
        <v>3</v>
      </c>
      <c r="C10" s="237">
        <f>VLOOKUP(Estimates!B1,INITIAL_EST,142,FALSE)</f>
        <v>0</v>
      </c>
      <c r="D10" s="257">
        <f>Estimates!B22*Estimates!$B$4*2.859/6</f>
        <v>0</v>
      </c>
      <c r="E10" s="289">
        <f>VLOOKUP(Estimates!$B$1,CASH_FLOW,142,FALSE)</f>
        <v>0</v>
      </c>
      <c r="F10" s="289">
        <f>VLOOKUP(Estimates!$B$1,DPE,142,FALSE)</f>
        <v>0</v>
      </c>
    </row>
    <row r="11" spans="1:7" ht="23.25" customHeight="1" x14ac:dyDescent="0.45">
      <c r="A11" s="36" t="s">
        <v>586</v>
      </c>
      <c r="B11" s="543">
        <v>3</v>
      </c>
      <c r="C11" s="35">
        <v>0</v>
      </c>
      <c r="D11" s="257">
        <f>Estimates!B23*Estimates!$B$4*2.859/6</f>
        <v>0</v>
      </c>
      <c r="E11" s="289">
        <v>0</v>
      </c>
      <c r="F11" s="289">
        <v>0</v>
      </c>
    </row>
    <row r="12" spans="1:7" ht="23.25" customHeight="1" x14ac:dyDescent="0.45">
      <c r="A12" s="36" t="s">
        <v>587</v>
      </c>
      <c r="B12" s="543">
        <v>2.7</v>
      </c>
      <c r="C12" s="70">
        <f>VLOOKUP(Estimates!B1,INITIAL_EST,136,FALSE)</f>
        <v>0</v>
      </c>
      <c r="D12" s="257">
        <f>Estimates!B24*Estimates!$B$4*4.25/6</f>
        <v>0</v>
      </c>
      <c r="E12" s="289">
        <f>VLOOKUP(Estimates!$B$1,CASH_FLOW,136,FALSE)</f>
        <v>0</v>
      </c>
      <c r="F12" s="289">
        <f>VLOOKUP(Estimates!$B$1,DPE,136,FALSE)</f>
        <v>0</v>
      </c>
    </row>
    <row r="13" spans="1:7" ht="23.25" customHeight="1" x14ac:dyDescent="0.45">
      <c r="A13" s="36" t="s">
        <v>568</v>
      </c>
      <c r="B13" s="543">
        <v>2.2999999999999998</v>
      </c>
      <c r="C13" s="35">
        <f>VLOOKUP(Estimates!B1,INITIAL_EST,147,FALSE)</f>
        <v>0</v>
      </c>
      <c r="D13" s="257">
        <f>Estimates!B25*Estimates!$B$4*5.5/6</f>
        <v>0</v>
      </c>
      <c r="E13" s="289">
        <f>VLOOKUP(Estimates!$B$1,CASH_FLOW,147,FALSE)</f>
        <v>0</v>
      </c>
      <c r="F13" s="289">
        <f>VLOOKUP(Estimates!$B$1,DPE,147,FALSE)</f>
        <v>0</v>
      </c>
    </row>
    <row r="14" spans="1:7" ht="23.25" customHeight="1" x14ac:dyDescent="0.45">
      <c r="A14" s="36" t="s">
        <v>588</v>
      </c>
      <c r="B14" s="543">
        <v>2.8</v>
      </c>
      <c r="C14" s="35">
        <f>VLOOKUP(Estimates!B1,INITIAL_EST,145,FALSE)</f>
        <v>0</v>
      </c>
      <c r="D14" s="257">
        <f>Estimates!B26*Estimates!$B$4*5.5/6</f>
        <v>0</v>
      </c>
      <c r="E14" s="289">
        <f>VLOOKUP(Estimates!$B$1,CASH_FLOW,145,FALSE)</f>
        <v>0</v>
      </c>
      <c r="F14" s="289">
        <f>VLOOKUP(Estimates!$B$1,DPE,145,FALSE)</f>
        <v>0</v>
      </c>
    </row>
    <row r="15" spans="1:7" ht="18.75" customHeight="1" x14ac:dyDescent="0.45">
      <c r="A15" s="36" t="s">
        <v>569</v>
      </c>
      <c r="B15" s="543">
        <v>4</v>
      </c>
      <c r="C15" s="35">
        <f>VLOOKUP(Estimates!B1,INITIAL_EST,139,FALSE)</f>
        <v>0</v>
      </c>
      <c r="D15" s="257">
        <f>Estimates!B27*Estimates!$B$4*5.5/6</f>
        <v>0</v>
      </c>
      <c r="E15" s="289">
        <f>VLOOKUP(Estimates!$B$1,CASH_FLOW,139,FALSE)</f>
        <v>0</v>
      </c>
      <c r="F15" s="289">
        <f>VLOOKUP(Estimates!$B$1,DPE,139,FALSE)</f>
        <v>0</v>
      </c>
    </row>
    <row r="16" spans="1:7" ht="19" thickBot="1" x14ac:dyDescent="0.5">
      <c r="A16" s="37" t="s">
        <v>590</v>
      </c>
      <c r="B16" s="544"/>
      <c r="C16" s="239">
        <f>SUM(C6:C15)</f>
        <v>0</v>
      </c>
      <c r="D16" s="258">
        <f>SUM(D6:D15)</f>
        <v>0</v>
      </c>
      <c r="E16" s="290">
        <f>SUM(E6:E15)</f>
        <v>0</v>
      </c>
      <c r="F16" s="290">
        <f>SUM(F6:F15)</f>
        <v>0</v>
      </c>
    </row>
    <row r="17" spans="1:7" ht="19.5" thickTop="1" thickBot="1" x14ac:dyDescent="0.5">
      <c r="A17" s="39" t="s">
        <v>591</v>
      </c>
      <c r="B17" s="544"/>
      <c r="C17" s="181">
        <f>(C6*$B$19)+(C7*$B$20)+(C8*$B$21)+(C9*$B$22)+(C10*$B$23)+(C11*$B$24)+(C12*$B$25)+(C13*$B$26)</f>
        <v>0</v>
      </c>
      <c r="D17" s="259">
        <f>(D6*$B$19)+(D7*$B$20)+(D8*$B$21)+(D9*$B$22)+(D10*$B$23)+(D11*$B$24)+(D12*$B$25)+(D13*$B$26)</f>
        <v>0</v>
      </c>
      <c r="E17" s="291">
        <f>(E6*$B$19)+(E7*$B$20)+(E8*$B$21)+(E9*$B$22)+(E10*$B$23)+(E11*$B$24)+(E12*$B$25)+(E13*$B$26)</f>
        <v>0</v>
      </c>
      <c r="F17" s="291">
        <f>(F6*$B$19)+(F7*$B$20)+(F8*$B$21)+(F9*$B$22)+(F10*$B$23)+(F11*$B$24)+(F12*$B$25)+(F13*$B$26)</f>
        <v>0</v>
      </c>
    </row>
    <row r="18" spans="1:7" s="19" customFormat="1" ht="19" thickTop="1" x14ac:dyDescent="0.45">
      <c r="A18" s="224" t="s">
        <v>459</v>
      </c>
      <c r="B18" s="222"/>
      <c r="C18" s="222"/>
      <c r="D18" s="335"/>
      <c r="E18" s="292"/>
      <c r="F18" s="292"/>
      <c r="G18" s="599"/>
    </row>
    <row r="19" spans="1:7" x14ac:dyDescent="0.45">
      <c r="A19" s="34" t="s">
        <v>570</v>
      </c>
      <c r="B19" s="543">
        <v>5</v>
      </c>
      <c r="C19" s="35">
        <f>VLOOKUP(Estimates!$B$1,INITIAL_EST,119,FALSE)</f>
        <v>0</v>
      </c>
      <c r="D19" s="257">
        <f>(Estimates!B30*Estimates!$B$4*1/6)/6</f>
        <v>0</v>
      </c>
      <c r="E19" s="289">
        <f>VLOOKUP(Estimates!$B$1,CASH_FLOW,119,FALSE)</f>
        <v>0</v>
      </c>
      <c r="F19" s="289">
        <f>VLOOKUP(Estimates!$B$1,DPE,119,FALSE)</f>
        <v>0</v>
      </c>
    </row>
    <row r="20" spans="1:7" x14ac:dyDescent="0.45">
      <c r="A20" s="34" t="s">
        <v>571</v>
      </c>
      <c r="B20" s="543">
        <v>3</v>
      </c>
      <c r="C20" s="35">
        <f>VLOOKUP(Estimates!$B$1,INITIAL_EST,120,FALSE)</f>
        <v>0</v>
      </c>
      <c r="D20" s="257">
        <f>(Estimates!B31*Estimates!$B$4*4.5/6)/6</f>
        <v>0</v>
      </c>
      <c r="E20" s="289">
        <f>VLOOKUP(Estimates!$B$1,CASH_FLOW,120,FALSE)</f>
        <v>0</v>
      </c>
      <c r="F20" s="289">
        <f>VLOOKUP(Estimates!$B$1,DPE,120,FALSE)</f>
        <v>0</v>
      </c>
    </row>
    <row r="21" spans="1:7" x14ac:dyDescent="0.45">
      <c r="A21" s="34" t="s">
        <v>572</v>
      </c>
      <c r="B21" s="543">
        <v>5</v>
      </c>
      <c r="C21" s="35">
        <f>VLOOKUP(Estimates!$B$1,INITIAL_EST,126,FALSE)</f>
        <v>0</v>
      </c>
      <c r="D21" s="257">
        <f>(Estimates!B32*Estimates!$B$4*0.25/6)/6</f>
        <v>0</v>
      </c>
      <c r="E21" s="289">
        <f>VLOOKUP(Estimates!$B$1,CASH_FLOW,126,FALSE)</f>
        <v>0</v>
      </c>
      <c r="F21" s="289">
        <f>VLOOKUP(Estimates!$B$1,DPE,126,FALSE)</f>
        <v>0</v>
      </c>
    </row>
    <row r="22" spans="1:7" x14ac:dyDescent="0.45">
      <c r="A22" s="34" t="s">
        <v>594</v>
      </c>
      <c r="B22" s="543">
        <v>3</v>
      </c>
      <c r="C22" s="35">
        <f>VLOOKUP(Estimates!$B$1,INITIAL_EST,123,FALSE)</f>
        <v>0</v>
      </c>
      <c r="D22" s="257">
        <f>(Estimates!B33*Estimates!$B$4*2.859/6)/6</f>
        <v>0</v>
      </c>
      <c r="E22" s="289">
        <f>VLOOKUP(Estimates!$B$1,CASH_FLOW,123,FALSE)</f>
        <v>0</v>
      </c>
      <c r="F22" s="289">
        <f>VLOOKUP(Estimates!$B$1,DPE,123,FALSE)</f>
        <v>0</v>
      </c>
    </row>
    <row r="23" spans="1:7" x14ac:dyDescent="0.45">
      <c r="A23" s="34" t="s">
        <v>595</v>
      </c>
      <c r="B23" s="543">
        <v>3</v>
      </c>
      <c r="C23" s="35">
        <f>VLOOKUP(Estimates!$B$1,INITIAL_EST,124,FALSE)</f>
        <v>0</v>
      </c>
      <c r="D23" s="257">
        <f>(Estimates!B34*Estimates!$B$4*2.859/6)/6</f>
        <v>0</v>
      </c>
      <c r="E23" s="289">
        <f>VLOOKUP(Estimates!$B$1,CASH_FLOW,124,FALSE)</f>
        <v>0</v>
      </c>
      <c r="F23" s="289">
        <f>VLOOKUP(Estimates!$B$1,DPE,124,FALSE)</f>
        <v>0</v>
      </c>
    </row>
    <row r="24" spans="1:7" x14ac:dyDescent="0.45">
      <c r="A24" s="34" t="s">
        <v>596</v>
      </c>
      <c r="B24" s="543">
        <v>3</v>
      </c>
      <c r="C24" s="35">
        <f>VLOOKUP(Estimates!$B$1,INITIAL_EST,125,FALSE)</f>
        <v>0</v>
      </c>
      <c r="D24" s="257">
        <f>(Estimates!B35*Estimates!$B$4*2.859/6)/6</f>
        <v>0</v>
      </c>
      <c r="E24" s="289">
        <v>0</v>
      </c>
      <c r="F24" s="289">
        <v>0</v>
      </c>
    </row>
    <row r="25" spans="1:7" x14ac:dyDescent="0.45">
      <c r="A25" s="34" t="s">
        <v>597</v>
      </c>
      <c r="B25" s="543">
        <v>2.7</v>
      </c>
      <c r="C25" s="35">
        <f>VLOOKUP(Estimates!$B$1,INITIAL_EST,121,FALSE)</f>
        <v>0</v>
      </c>
      <c r="D25" s="257">
        <f>(Estimates!B36*Estimates!$B$4*4.25/6)/6</f>
        <v>0</v>
      </c>
      <c r="E25" s="289">
        <f>VLOOKUP(Estimates!$B$1,CASH_FLOW,121,FALSE)</f>
        <v>0</v>
      </c>
      <c r="F25" s="289">
        <f>VLOOKUP(Estimates!$B$1,DPE,121,FALSE)</f>
        <v>0</v>
      </c>
    </row>
    <row r="26" spans="1:7" x14ac:dyDescent="0.45">
      <c r="A26" s="34" t="s">
        <v>573</v>
      </c>
      <c r="B26" s="543">
        <v>2.2999999999999998</v>
      </c>
      <c r="C26" s="35">
        <f>VLOOKUP(Estimates!$B$1,INITIAL_EST,128,FALSE)</f>
        <v>0</v>
      </c>
      <c r="D26" s="257">
        <f>(Estimates!B37*Estimates!$B$4*5.5/6)/6</f>
        <v>0</v>
      </c>
      <c r="E26" s="289">
        <f>VLOOKUP(Estimates!$B$1,CASH_FLOW,128,FALSE)</f>
        <v>0</v>
      </c>
      <c r="F26" s="289">
        <f>VLOOKUP(Estimates!$B$1,DPE,128,FALSE)</f>
        <v>0</v>
      </c>
    </row>
    <row r="27" spans="1:7" x14ac:dyDescent="0.45">
      <c r="A27" s="34" t="s">
        <v>598</v>
      </c>
      <c r="B27" s="543">
        <v>2.8</v>
      </c>
      <c r="C27" s="35">
        <f>VLOOKUP(Estimates!$B$1,INITIAL_EST,127,FALSE)</f>
        <v>0</v>
      </c>
      <c r="D27" s="257">
        <f>(Estimates!B38*Estimates!$B$4*5.5/6)/6</f>
        <v>0</v>
      </c>
      <c r="E27" s="289">
        <f>VLOOKUP(Estimates!$B$1,CASH_FLOW,127,FALSE)</f>
        <v>0</v>
      </c>
      <c r="F27" s="289">
        <f>VLOOKUP(Estimates!$B$1,DPE,127,FALSE)</f>
        <v>0</v>
      </c>
    </row>
    <row r="28" spans="1:7" x14ac:dyDescent="0.45">
      <c r="A28" s="34" t="s">
        <v>574</v>
      </c>
      <c r="B28" s="543">
        <v>4</v>
      </c>
      <c r="C28" s="35">
        <f>VLOOKUP(Estimates!$B$1,INITIAL_EST,122,FALSE)</f>
        <v>0</v>
      </c>
      <c r="D28" s="257">
        <f>(Estimates!B39*Estimates!$B$4*5.5/6)/6</f>
        <v>0</v>
      </c>
      <c r="E28" s="289">
        <f>VLOOKUP(Estimates!$B$1,CASH_FLOW,122,FALSE)</f>
        <v>0</v>
      </c>
      <c r="F28" s="289">
        <f>VLOOKUP(Estimates!$B$1,DPE,122,FALSE)</f>
        <v>0</v>
      </c>
    </row>
    <row r="29" spans="1:7" ht="19" thickBot="1" x14ac:dyDescent="0.5">
      <c r="A29" s="37" t="s">
        <v>592</v>
      </c>
      <c r="B29" s="544"/>
      <c r="C29" s="38">
        <f>SUM(C19:C28)</f>
        <v>0</v>
      </c>
      <c r="D29" s="258">
        <f>SUM(D19:D28)</f>
        <v>0</v>
      </c>
      <c r="E29" s="293">
        <f>SUM(E19:E28)</f>
        <v>0</v>
      </c>
      <c r="F29" s="293">
        <f>SUM(F19:F28)</f>
        <v>0</v>
      </c>
    </row>
    <row r="30" spans="1:7" ht="19.5" thickTop="1" thickBot="1" x14ac:dyDescent="0.5">
      <c r="A30" s="39" t="s">
        <v>593</v>
      </c>
      <c r="B30" s="544"/>
      <c r="C30" s="40">
        <f>(C19*$B$19)+(C20*$B$20)+(C21*$B$21)+(C22*$B$22)+(C23*$B$23)+(C24*$B$24)+(C25*$B$25)+(C26*$B$26)+(C27*$B$27)+(C28*$B$28)</f>
        <v>0</v>
      </c>
      <c r="D30" s="260">
        <f>(D19*$B$19)+(D20*$B$20)+(D21*$B$21)+(D22*$B$22)+(D23*$B$23)+(D24*$B$24)+(D25*$B$25)+(D26*$B$26)+(D27*$B$27)+(D28*$B$28)</f>
        <v>0</v>
      </c>
      <c r="E30" s="294">
        <f>(E19*$B$19)+(E20*$B$20)+(E21*$B$21)+(E22*$B$22)+(E23*$B$23)+(E24*$B$24)+(E25*$B$25)+(E26*$B$26)+(E27*$B$27)+(E28*$B$28)</f>
        <v>0</v>
      </c>
      <c r="F30" s="294">
        <f>(F19*$B$19)+(F20*$B$20)+(F21*$B$21)+(F22*$B$22)+(F23*$B$23)+(F24*$B$24)+(F25*$B$25)+(F26*$B$26)+(F27*$B$27)+(F28*$B$28)</f>
        <v>0</v>
      </c>
    </row>
    <row r="31" spans="1:7" s="19" customFormat="1" ht="19" thickTop="1" x14ac:dyDescent="0.45">
      <c r="A31" s="223" t="s">
        <v>833</v>
      </c>
      <c r="B31" s="542" t="s">
        <v>611</v>
      </c>
      <c r="C31" s="336"/>
      <c r="D31" s="337"/>
      <c r="E31" s="295"/>
      <c r="F31" s="798"/>
      <c r="G31" s="599"/>
    </row>
    <row r="32" spans="1:7" x14ac:dyDescent="0.45">
      <c r="A32" s="36" t="s">
        <v>599</v>
      </c>
      <c r="B32" s="545">
        <v>0.1</v>
      </c>
      <c r="C32" s="35">
        <f>VLOOKUP(Estimates!$B$1,INITIAL_EST,21,FALSE)</f>
        <v>0</v>
      </c>
      <c r="D32" s="257">
        <f>Estimates!B14*Estimates!$B$4</f>
        <v>0</v>
      </c>
      <c r="E32" s="289">
        <f>VLOOKUP(Estimates!$B$1,CASH_FLOW,21,FALSE)</f>
        <v>0</v>
      </c>
      <c r="F32" s="289">
        <f>VLOOKUP(Estimates!$B$1,DPE,21,FALSE)</f>
        <v>0</v>
      </c>
    </row>
    <row r="33" spans="1:8" x14ac:dyDescent="0.45">
      <c r="A33" s="36" t="s">
        <v>600</v>
      </c>
      <c r="B33" s="545">
        <v>0.15</v>
      </c>
      <c r="C33" s="35">
        <f>VLOOKUP(Estimates!$B$1,INITIAL_EST,238,FALSE)</f>
        <v>0</v>
      </c>
      <c r="D33" s="257">
        <f>Estimates!B15*Estimates!$B$4</f>
        <v>0</v>
      </c>
      <c r="E33" s="289">
        <f>VLOOKUP(Estimates!$B$1,CASH_FLOW,238,FALSE)</f>
        <v>0</v>
      </c>
      <c r="F33" s="289">
        <f>VLOOKUP(Estimates!$B$1,DPE,238,FALSE)</f>
        <v>0</v>
      </c>
    </row>
    <row r="34" spans="1:8" ht="18.75" customHeight="1" x14ac:dyDescent="0.45">
      <c r="A34" s="36" t="s">
        <v>601</v>
      </c>
      <c r="B34" s="545">
        <v>0.05</v>
      </c>
      <c r="C34" s="35">
        <f>VLOOKUP(Estimates!$B$1,INITIAL_EST,239,FALSE)</f>
        <v>0</v>
      </c>
      <c r="D34" s="257">
        <f>Estimates!B16*Estimates!$B$4</f>
        <v>0</v>
      </c>
      <c r="E34" s="289">
        <f>VLOOKUP(Estimates!$B$1,CASH_FLOW,239,FALSE)</f>
        <v>0</v>
      </c>
      <c r="F34" s="289">
        <f>VLOOKUP(Estimates!$B$1,DPE,239,FALSE)</f>
        <v>0</v>
      </c>
    </row>
    <row r="35" spans="1:8" ht="19.5" customHeight="1" thickBot="1" x14ac:dyDescent="0.5">
      <c r="A35" s="37" t="s">
        <v>897</v>
      </c>
      <c r="B35" s="544"/>
      <c r="C35" s="38">
        <f>SUM(C32:C34)</f>
        <v>0</v>
      </c>
      <c r="D35" s="258">
        <f>SUM(D32:D34)</f>
        <v>0</v>
      </c>
      <c r="E35" s="293">
        <f>SUM(E32:E34)</f>
        <v>0</v>
      </c>
      <c r="F35" s="293">
        <f>SUM(F32:F34)</f>
        <v>0</v>
      </c>
    </row>
    <row r="36" spans="1:8" ht="19.5" thickTop="1" thickBot="1" x14ac:dyDescent="0.5">
      <c r="A36" s="43" t="s">
        <v>690</v>
      </c>
      <c r="B36" s="67"/>
      <c r="C36" s="471">
        <f>(C32*$B$32)+(C33*$B$33)+(C34*$B$34)</f>
        <v>0</v>
      </c>
      <c r="D36" s="261">
        <f>(D32*$B$32)+(D33*$B$33)+(D34*$B$34)</f>
        <v>0</v>
      </c>
      <c r="E36" s="526">
        <f>(E32*$B$32)+(E33*$B$33)+(E34*$B$34)</f>
        <v>0</v>
      </c>
      <c r="F36" s="701">
        <f>(F32*$B$32)+(F33*$B$33)+(F34*$B$34)</f>
        <v>0</v>
      </c>
    </row>
    <row r="37" spans="1:8" ht="19" thickTop="1" x14ac:dyDescent="0.45">
      <c r="A37" s="165" t="s">
        <v>834</v>
      </c>
      <c r="B37" s="175">
        <v>1.1499999999999999</v>
      </c>
      <c r="C37" s="238">
        <f>VLOOKUP(Estimates!$B$1,INITIAL_EST,132,FALSE)</f>
        <v>0</v>
      </c>
      <c r="D37" s="262">
        <f>Estimates!B28*Estimates!B4</f>
        <v>0</v>
      </c>
      <c r="E37" s="289">
        <f>VLOOKUP(Estimates!$B$1,CASH_FLOW,132,FALSE)</f>
        <v>0</v>
      </c>
      <c r="F37" s="289">
        <f>VLOOKUP(Estimates!$B$1,DPE,132,FALSE)</f>
        <v>0</v>
      </c>
    </row>
    <row r="38" spans="1:8" s="19" customFormat="1" ht="18.75" customHeight="1" x14ac:dyDescent="0.45">
      <c r="A38" s="225" t="s">
        <v>835</v>
      </c>
      <c r="B38" s="542" t="s">
        <v>611</v>
      </c>
      <c r="C38" s="338"/>
      <c r="D38" s="339"/>
      <c r="E38" s="296"/>
      <c r="F38" s="702"/>
      <c r="G38" s="599"/>
    </row>
    <row r="39" spans="1:8" x14ac:dyDescent="0.45">
      <c r="A39" s="36" t="s">
        <v>845</v>
      </c>
      <c r="B39" s="546">
        <v>1.1000000000000001</v>
      </c>
      <c r="C39" s="437"/>
      <c r="D39" s="498">
        <f>Estimates!B42</f>
        <v>0</v>
      </c>
      <c r="E39" s="289">
        <f>VLOOKUP(Estimates!$B$1,CASH_FLOW,274,FALSE)</f>
        <v>0</v>
      </c>
      <c r="F39" s="289">
        <f>VLOOKUP(Estimates!$B$1,DPE,274,FALSE)</f>
        <v>0</v>
      </c>
    </row>
    <row r="40" spans="1:8" x14ac:dyDescent="0.45">
      <c r="A40" s="36" t="s">
        <v>846</v>
      </c>
      <c r="B40" s="546">
        <v>1.28</v>
      </c>
      <c r="C40" s="437"/>
      <c r="D40" s="499">
        <f>Estimates!B43</f>
        <v>0</v>
      </c>
      <c r="E40" s="289">
        <f>VLOOKUP(Estimates!$B$1,CASH_FLOW,275,FALSE)</f>
        <v>0</v>
      </c>
      <c r="F40" s="289">
        <f>VLOOKUP(Estimates!$B$1,DPE,275,FALSE)</f>
        <v>0</v>
      </c>
    </row>
    <row r="41" spans="1:8" x14ac:dyDescent="0.45">
      <c r="A41" s="36" t="s">
        <v>847</v>
      </c>
      <c r="B41" s="546">
        <v>1.47</v>
      </c>
      <c r="C41" s="437"/>
      <c r="D41" s="499">
        <f>Estimates!B44</f>
        <v>0</v>
      </c>
      <c r="E41" s="289">
        <f>VLOOKUP(Estimates!$B$1,CASH_FLOW,276,FALSE)</f>
        <v>0</v>
      </c>
      <c r="F41" s="289">
        <f>VLOOKUP(Estimates!$B$1,DPE,276,FALSE)</f>
        <v>0</v>
      </c>
    </row>
    <row r="42" spans="1:8" ht="19.5" customHeight="1" thickBot="1" x14ac:dyDescent="0.5">
      <c r="A42" s="684" t="s">
        <v>892</v>
      </c>
      <c r="B42" s="685"/>
      <c r="C42" s="686"/>
      <c r="D42" s="687">
        <f>SUM(D39:D41)</f>
        <v>0</v>
      </c>
      <c r="E42" s="688">
        <f>SUM(E39:E41)</f>
        <v>0</v>
      </c>
      <c r="F42" s="689">
        <f>SUM(F39:F41)</f>
        <v>0</v>
      </c>
    </row>
    <row r="43" spans="1:8" ht="20.25" customHeight="1" thickTop="1" thickBot="1" x14ac:dyDescent="0.5">
      <c r="A43" s="680" t="s">
        <v>891</v>
      </c>
      <c r="B43" s="681"/>
      <c r="C43" s="681">
        <f>VLOOKUP(Estimates!$B$1,INITIAL_EST,185,FALSE)</f>
        <v>0</v>
      </c>
      <c r="D43" s="682"/>
      <c r="E43" s="683">
        <f>(E39*$B$39)+(E40*$B$40)+(E41*$B$41)</f>
        <v>0</v>
      </c>
      <c r="F43" s="683">
        <f>(F39*$B$39)+(F40*$B$40)+(F41*$B$41)</f>
        <v>0</v>
      </c>
    </row>
    <row r="44" spans="1:8" ht="19.5" customHeight="1" thickTop="1" x14ac:dyDescent="0.45">
      <c r="A44" s="508" t="s">
        <v>767</v>
      </c>
      <c r="B44" s="509">
        <v>50</v>
      </c>
      <c r="C44" s="70">
        <f>VLOOKUP(Estimates!$B$1,INITIAL_EST,182,FALSE)</f>
        <v>0</v>
      </c>
      <c r="D44" s="257">
        <f>Estimates!B48*Estimates!B4</f>
        <v>0</v>
      </c>
      <c r="E44" s="289">
        <f>VLOOKUP(Estimates!$B$1,CASH_FLOW,182,FALSE)</f>
        <v>0</v>
      </c>
      <c r="F44" s="289">
        <f>VLOOKUP(Estimates!$B$1,DPE,182,FALSE)</f>
        <v>0</v>
      </c>
    </row>
    <row r="45" spans="1:8" s="20" customFormat="1" ht="19.5" customHeight="1" thickBot="1" x14ac:dyDescent="0.5">
      <c r="A45" s="43" t="s">
        <v>454</v>
      </c>
      <c r="B45" s="544"/>
      <c r="C45" s="239">
        <f>C4-C16-C43</f>
        <v>0</v>
      </c>
      <c r="D45" s="258">
        <f>D4-D16-D39</f>
        <v>0</v>
      </c>
      <c r="E45" s="293">
        <f>E4-E16-E42</f>
        <v>0</v>
      </c>
      <c r="F45" s="293">
        <f>F4-F16-F42</f>
        <v>0</v>
      </c>
      <c r="G45" s="600"/>
    </row>
    <row r="46" spans="1:8" s="29" customFormat="1" ht="19" thickTop="1" x14ac:dyDescent="0.45">
      <c r="A46" s="165" t="s">
        <v>836</v>
      </c>
      <c r="B46" s="175">
        <v>0.1</v>
      </c>
      <c r="C46" s="70">
        <f>VLOOKUP(Estimates!$B$1,INITIAL_EST,240,FALSE)</f>
        <v>0</v>
      </c>
      <c r="D46" s="262">
        <f>Estimates!B7</f>
        <v>0</v>
      </c>
      <c r="E46" s="501">
        <f>VLOOKUP(Estimates!$B$1,CASH_FLOW,240,FALSE)</f>
        <v>0</v>
      </c>
      <c r="F46" s="501">
        <f>VLOOKUP(Estimates!$B$1,DPE,240,FALSE)</f>
        <v>0</v>
      </c>
      <c r="G46" s="598"/>
      <c r="H46" s="11"/>
    </row>
    <row r="47" spans="1:8" s="19" customFormat="1" ht="18.75" customHeight="1" x14ac:dyDescent="0.45">
      <c r="A47" s="45" t="s">
        <v>837</v>
      </c>
      <c r="B47" s="546">
        <v>7.0000000000000007E-2</v>
      </c>
      <c r="C47" s="240"/>
      <c r="D47" s="263">
        <f>Estimates!B55</f>
        <v>0</v>
      </c>
      <c r="E47" s="500">
        <f>VLOOKUP(Estimates!$B$1,CASH_FLOW,55,FALSE)</f>
        <v>0</v>
      </c>
      <c r="F47" s="500">
        <f>VLOOKUP(Estimates!$B$1,DPE,55,FALSE)</f>
        <v>0</v>
      </c>
      <c r="G47" s="599"/>
    </row>
    <row r="48" spans="1:8" s="19" customFormat="1" x14ac:dyDescent="0.45">
      <c r="A48" s="225" t="s">
        <v>839</v>
      </c>
      <c r="B48" s="547"/>
      <c r="C48" s="240"/>
      <c r="D48" s="264"/>
      <c r="E48" s="285"/>
      <c r="F48" s="705"/>
      <c r="G48" s="599"/>
    </row>
    <row r="49" spans="1:7" ht="18.75" customHeight="1" x14ac:dyDescent="0.45">
      <c r="A49" s="167" t="s">
        <v>561</v>
      </c>
      <c r="B49" s="548">
        <v>0.22500000000000001</v>
      </c>
      <c r="C49" s="241">
        <f>Estimates!B50</f>
        <v>0</v>
      </c>
      <c r="D49" s="265">
        <f>C49</f>
        <v>0</v>
      </c>
      <c r="E49" s="481">
        <f>VLOOKUP(Estimates!$B$1,CASH_FLOW,231,FALSE)</f>
        <v>0</v>
      </c>
      <c r="F49" s="481">
        <f>VLOOKUP(Estimates!$B$1,DPE,231,FALSE)</f>
        <v>0</v>
      </c>
    </row>
    <row r="50" spans="1:7" x14ac:dyDescent="0.45">
      <c r="A50" s="167" t="s">
        <v>705</v>
      </c>
      <c r="B50" s="548">
        <v>0.23749999999999999</v>
      </c>
      <c r="C50" s="241">
        <f>Estimates!B51</f>
        <v>0</v>
      </c>
      <c r="D50" s="265">
        <f>C50</f>
        <v>0</v>
      </c>
      <c r="E50" s="481">
        <f>VLOOKUP(Estimates!$B$1,CASH_FLOW,232,FALSE)</f>
        <v>0</v>
      </c>
      <c r="F50" s="481">
        <f>VLOOKUP(Estimates!$B$1,DPE,232,FALSE)</f>
        <v>0</v>
      </c>
    </row>
    <row r="51" spans="1:7" x14ac:dyDescent="0.45">
      <c r="A51" s="167" t="s">
        <v>706</v>
      </c>
      <c r="B51" s="548">
        <v>0.25</v>
      </c>
      <c r="C51" s="241">
        <f>Estimates!B52</f>
        <v>0</v>
      </c>
      <c r="D51" s="265">
        <f>C51</f>
        <v>0</v>
      </c>
      <c r="E51" s="481">
        <f>VLOOKUP(Estimates!$B$1,CASH_FLOW,233,FALSE)</f>
        <v>0</v>
      </c>
      <c r="F51" s="481">
        <f>VLOOKUP(Estimates!$B$1,DPE,233,FALSE)</f>
        <v>0</v>
      </c>
    </row>
    <row r="52" spans="1:7" x14ac:dyDescent="0.45">
      <c r="A52" s="167" t="s">
        <v>707</v>
      </c>
      <c r="B52" s="548">
        <v>0.26250000000000001</v>
      </c>
      <c r="C52" s="241">
        <f>Estimates!B53</f>
        <v>0</v>
      </c>
      <c r="D52" s="265">
        <f>C52</f>
        <v>0</v>
      </c>
      <c r="E52" s="481">
        <f>VLOOKUP(Estimates!$B$1,CASH_FLOW,234,FALSE)</f>
        <v>0</v>
      </c>
      <c r="F52" s="481">
        <f>VLOOKUP(Estimates!$B$1,DPE,234,FALSE)</f>
        <v>0</v>
      </c>
    </row>
    <row r="53" spans="1:7" x14ac:dyDescent="0.45">
      <c r="A53" s="167" t="s">
        <v>560</v>
      </c>
      <c r="B53" s="548">
        <v>0.27500000000000002</v>
      </c>
      <c r="C53" s="241">
        <f>Estimates!B54</f>
        <v>0</v>
      </c>
      <c r="D53" s="265">
        <f>C53</f>
        <v>0</v>
      </c>
      <c r="E53" s="481">
        <f>VLOOKUP(Estimates!$B$1,CASH_FLOW,235,FALSE)</f>
        <v>0</v>
      </c>
      <c r="F53" s="481">
        <f>VLOOKUP(Estimates!$B$1,DPE,235,FALSE)</f>
        <v>0</v>
      </c>
    </row>
    <row r="54" spans="1:7" ht="19" thickBot="1" x14ac:dyDescent="0.5">
      <c r="A54" s="43" t="s">
        <v>898</v>
      </c>
      <c r="B54" s="218"/>
      <c r="C54" s="38">
        <f>SUM(C49:C53)</f>
        <v>0</v>
      </c>
      <c r="D54" s="258">
        <f>SUM(D49:D53)</f>
        <v>0</v>
      </c>
      <c r="E54" s="293">
        <f>SUM(E49:E53)</f>
        <v>0</v>
      </c>
      <c r="F54" s="293">
        <f>SUM(F49:F53)</f>
        <v>0</v>
      </c>
    </row>
    <row r="55" spans="1:7" ht="20.25" customHeight="1" thickTop="1" thickBot="1" x14ac:dyDescent="0.5">
      <c r="A55" s="43" t="s">
        <v>477</v>
      </c>
      <c r="B55" s="218"/>
      <c r="C55" s="38">
        <f>$B$49*C49+$B$50*$C$50+$B$51*C51+$B$52*C52+$B$53*C53</f>
        <v>0</v>
      </c>
      <c r="D55" s="258">
        <f>$B$49*D49+$B$50*$D$50+$B$51*D51+$B$52*D52+$B$53*D53</f>
        <v>0</v>
      </c>
      <c r="E55" s="293">
        <f>IF(E4=0,0,$B$49*E49+$B$50*E50+$B$51*E51+$B$52*E52+$B$53*E53)</f>
        <v>0</v>
      </c>
      <c r="F55" s="293">
        <f>IF(F4=0,0,$B$49*F49+$B$50*F50+$B$51*F51+$B$52*F52+$B$53*F53)</f>
        <v>0</v>
      </c>
    </row>
    <row r="56" spans="1:7" ht="19" thickTop="1" x14ac:dyDescent="0.45">
      <c r="A56" s="165" t="s">
        <v>840</v>
      </c>
      <c r="B56" s="549">
        <v>2.41</v>
      </c>
      <c r="C56" s="35">
        <f>VLOOKUP(Estimates!$B$1,INITIAL_EST,93,FALSE)</f>
        <v>0</v>
      </c>
      <c r="D56" s="266">
        <f>Estimates!B12*Estimates!$B$4*0.2936</f>
        <v>0</v>
      </c>
      <c r="E56" s="297">
        <f>VLOOKUP(Estimates!$B$1,CASH_FLOW,93,FALSE)</f>
        <v>0</v>
      </c>
      <c r="F56" s="297">
        <f>VLOOKUP(Estimates!$B$1,DPE,93,FALSE)</f>
        <v>0</v>
      </c>
    </row>
    <row r="57" spans="1:7" s="21" customFormat="1" ht="55.5" x14ac:dyDescent="0.45">
      <c r="A57" s="165" t="s">
        <v>842</v>
      </c>
      <c r="B57" s="550">
        <v>0.2</v>
      </c>
      <c r="C57" s="242">
        <f>VLOOKUP(Estimates!B1,INITIAL_EST,237,FALSE)</f>
        <v>0</v>
      </c>
      <c r="D57" s="268">
        <f>Estimates!B11</f>
        <v>0</v>
      </c>
      <c r="E57" s="299">
        <f>VLOOKUP(Estimates!$B$1,CASH_FLOW,237,FALSE)</f>
        <v>0</v>
      </c>
      <c r="F57" s="299">
        <f>VLOOKUP(Estimates!$B$1,DPE,237,FALSE)</f>
        <v>0</v>
      </c>
      <c r="G57" s="601"/>
    </row>
    <row r="58" spans="1:7" s="19" customFormat="1" x14ac:dyDescent="0.45">
      <c r="A58" s="244" t="s">
        <v>841</v>
      </c>
      <c r="B58" s="545">
        <v>0.1</v>
      </c>
      <c r="C58" s="41">
        <f>VLOOKUP(Estimates!$B$1,INITIAL_EST,241,FALSE)</f>
        <v>0</v>
      </c>
      <c r="D58" s="267">
        <f>Estimates!B8*Estimates!$B$4</f>
        <v>0</v>
      </c>
      <c r="E58" s="298">
        <f>VLOOKUP(Estimates!$B$1,CASH_FLOW,241,FALSE)</f>
        <v>0</v>
      </c>
      <c r="F58" s="298">
        <f>VLOOKUP(Estimates!$B$1,DPE,241,FALSE)</f>
        <v>0</v>
      </c>
      <c r="G58" s="599"/>
    </row>
    <row r="59" spans="1:7" s="21" customFormat="1" x14ac:dyDescent="0.45">
      <c r="A59" s="166" t="s">
        <v>843</v>
      </c>
      <c r="B59" s="551">
        <v>275</v>
      </c>
      <c r="C59" s="243">
        <f>VLOOKUP(Estimates!$B$1,INITIAL_EST,242,FALSE)</f>
        <v>0</v>
      </c>
      <c r="D59" s="268">
        <f>Estimates!B9*Estimates!B4</f>
        <v>0</v>
      </c>
      <c r="E59" s="299">
        <f>VLOOKUP(Estimates!$B$1,CASH_FLOW,242,FALSE)</f>
        <v>0</v>
      </c>
      <c r="F59" s="299">
        <f>VLOOKUP(Estimates!$B$1,DPE,242,FALSE)</f>
        <v>0</v>
      </c>
      <c r="G59" s="601"/>
    </row>
    <row r="60" spans="1:7" x14ac:dyDescent="0.45">
      <c r="A60" s="165" t="s">
        <v>844</v>
      </c>
      <c r="B60" s="551">
        <v>275</v>
      </c>
      <c r="C60" s="237">
        <f>VLOOKUP(Estimates!$B$1,INITIAL_EST,244,FALSE)</f>
        <v>0</v>
      </c>
      <c r="D60" s="269">
        <f>Estimates!B10*Estimates!B4</f>
        <v>0</v>
      </c>
      <c r="E60" s="300">
        <f>VLOOKUP(Estimates!$B$1,CASH_FLOW,244,FALSE)</f>
        <v>0</v>
      </c>
      <c r="F60" s="300">
        <f>VLOOKUP(Estimates!$B$1,DPE,244,FALSE)</f>
        <v>0</v>
      </c>
    </row>
    <row r="61" spans="1:7" ht="19" thickBot="1" x14ac:dyDescent="0.5">
      <c r="A61" s="46" t="s">
        <v>651</v>
      </c>
      <c r="B61" s="544"/>
      <c r="C61" s="47">
        <f>ROUND((C121-C115-C116-C117-C118-C119-C120-C84)/C66,3)</f>
        <v>0</v>
      </c>
      <c r="D61" s="270">
        <f>ROUND((D121-D115-D116-D117-D118-D119-D120-D84)/D66,3)</f>
        <v>0</v>
      </c>
      <c r="E61" s="301">
        <f>ROUND((E121-E115-E116-E117-E118-E119-E120-E84-E103)/E66,3)</f>
        <v>0</v>
      </c>
      <c r="F61" s="301">
        <f>ROUND((F121-F115-F116-F117-F118-F119-F120-F84-F103)/F66,3)</f>
        <v>0</v>
      </c>
    </row>
    <row r="62" spans="1:7" s="22" customFormat="1" ht="19" thickTop="1" x14ac:dyDescent="0.45">
      <c r="A62" s="226" t="s">
        <v>575</v>
      </c>
      <c r="B62" s="552"/>
      <c r="C62" s="338"/>
      <c r="D62" s="339"/>
      <c r="E62" s="285"/>
      <c r="F62" s="705"/>
      <c r="G62" s="602"/>
    </row>
    <row r="63" spans="1:7" x14ac:dyDescent="0.45">
      <c r="A63" s="36" t="s">
        <v>602</v>
      </c>
      <c r="B63" s="553"/>
      <c r="C63" s="232">
        <f>VLOOKUP(Estimates!$B$1,INITIAL_EST,18,FALSE)</f>
        <v>402.428</v>
      </c>
      <c r="D63" s="271">
        <f>C63</f>
        <v>402.428</v>
      </c>
      <c r="E63" s="302">
        <f>VLOOKUP(Estimates!$B$1,CASH_FLOW,18,FALSE)</f>
        <v>0</v>
      </c>
      <c r="F63" s="302">
        <f>VLOOKUP(Estimates!$B$1,DPE,18,FALSE)</f>
        <v>0</v>
      </c>
    </row>
    <row r="64" spans="1:7" x14ac:dyDescent="0.45">
      <c r="A64" s="36" t="s">
        <v>691</v>
      </c>
      <c r="B64" s="553"/>
      <c r="C64" s="345">
        <f>VLOOKUP(Estimates!$B$1,INITIAL_EST,15,FALSE)</f>
        <v>0</v>
      </c>
      <c r="D64" s="346">
        <f>C64</f>
        <v>0</v>
      </c>
      <c r="E64" s="488">
        <f>VLOOKUP(Estimates!$B$1,CASH_FLOW,15,FALSE)</f>
        <v>0</v>
      </c>
      <c r="F64" s="488">
        <f>VLOOKUP(Estimates!$B$1,DPE,15,FALSE)</f>
        <v>0</v>
      </c>
    </row>
    <row r="65" spans="1:7" x14ac:dyDescent="0.45">
      <c r="A65" s="36" t="s">
        <v>490</v>
      </c>
      <c r="B65" s="553"/>
      <c r="C65" s="233">
        <v>9.7200000000000006</v>
      </c>
      <c r="D65" s="271">
        <f>C65</f>
        <v>9.7200000000000006</v>
      </c>
      <c r="E65" s="302">
        <v>9.7200000000000006</v>
      </c>
      <c r="F65" s="302">
        <f t="shared" ref="F65:F74" si="0">E65</f>
        <v>9.7200000000000006</v>
      </c>
    </row>
    <row r="66" spans="1:7" x14ac:dyDescent="0.45">
      <c r="A66" s="36" t="s">
        <v>603</v>
      </c>
      <c r="B66" s="553"/>
      <c r="C66" s="236">
        <v>6159.0820000000003</v>
      </c>
      <c r="D66" s="272">
        <f>C66</f>
        <v>6159.0820000000003</v>
      </c>
      <c r="E66" s="303">
        <f>6159.97144</f>
        <v>6159.9714400000003</v>
      </c>
      <c r="F66" s="303">
        <f t="shared" si="0"/>
        <v>6159.9714400000003</v>
      </c>
    </row>
    <row r="67" spans="1:7" x14ac:dyDescent="0.45">
      <c r="A67" s="36" t="s">
        <v>604</v>
      </c>
      <c r="B67" s="553"/>
      <c r="C67" s="236">
        <v>1099</v>
      </c>
      <c r="D67" s="272">
        <f>C67</f>
        <v>1099</v>
      </c>
      <c r="E67" s="303">
        <f>1100.000000001</f>
        <v>1100.000000001</v>
      </c>
      <c r="F67" s="303">
        <f>1103</f>
        <v>1103</v>
      </c>
    </row>
    <row r="68" spans="1:7" x14ac:dyDescent="0.45">
      <c r="A68" s="36" t="s">
        <v>909</v>
      </c>
      <c r="B68" s="529"/>
      <c r="C68" s="437"/>
      <c r="D68" s="669"/>
      <c r="E68" s="842">
        <f>ROUND(E66+E67,0)</f>
        <v>7260</v>
      </c>
      <c r="F68" s="842">
        <f>ROUND(F66+F67,0)</f>
        <v>7263</v>
      </c>
    </row>
    <row r="69" spans="1:7" x14ac:dyDescent="0.45">
      <c r="A69" s="36" t="s">
        <v>605</v>
      </c>
      <c r="B69" s="553"/>
      <c r="C69" s="477">
        <f>VLOOKUP(Estimates!$B$1,INITIAL_EST,162,FALSE)</f>
        <v>6.4728999999999995E-2</v>
      </c>
      <c r="D69" s="273">
        <f t="shared" ref="D69:D74" si="1">C69</f>
        <v>6.4728999999999995E-2</v>
      </c>
      <c r="E69" s="304">
        <f>VLOOKUP(Estimates!$B$1,CASH_FLOW,162,FALSE)</f>
        <v>6.3574999999999993E-2</v>
      </c>
      <c r="F69" s="304">
        <f>VLOOKUP(Estimates!$B$1,DPE,162,FALSE)</f>
        <v>6.3574999999999993E-2</v>
      </c>
    </row>
    <row r="70" spans="1:7" x14ac:dyDescent="0.45">
      <c r="A70" s="36" t="s">
        <v>606</v>
      </c>
      <c r="B70" s="553"/>
      <c r="C70" s="477">
        <f>VLOOKUP(Estimates!$B$1,INITIAL_EST,163,FALSE)</f>
        <v>2.6405999999999999E-2</v>
      </c>
      <c r="D70" s="273">
        <f t="shared" si="1"/>
        <v>2.6405999999999999E-2</v>
      </c>
      <c r="E70" s="304">
        <f>VLOOKUP(Estimates!$B$1,CASH_FLOW,163,FALSE)</f>
        <v>2.6298999999999999E-2</v>
      </c>
      <c r="F70" s="304">
        <f>VLOOKUP(Estimates!$B$1,DPE,163,FALSE)</f>
        <v>2.6297999999999998E-2</v>
      </c>
    </row>
    <row r="71" spans="1:7" x14ac:dyDescent="0.45">
      <c r="A71" s="36" t="s">
        <v>740</v>
      </c>
      <c r="B71" s="553"/>
      <c r="C71" s="477">
        <f>VLOOKUP(Estimates!$B$1,INITIAL_EST,210,FALSE)</f>
        <v>0</v>
      </c>
      <c r="D71" s="273">
        <f t="shared" si="1"/>
        <v>0</v>
      </c>
      <c r="E71" s="304">
        <f>VLOOKUP(Estimates!$B$1,CASH_FLOW,210,FALSE)</f>
        <v>4.5690999999999996E-2</v>
      </c>
      <c r="F71" s="304">
        <f>VLOOKUP(Estimates!$B$1,DPE,210,FALSE)</f>
        <v>4.4138999999999998E-2</v>
      </c>
    </row>
    <row r="72" spans="1:7" x14ac:dyDescent="0.45">
      <c r="A72" s="36" t="s">
        <v>608</v>
      </c>
      <c r="B72" s="553"/>
      <c r="C72" s="234">
        <v>35</v>
      </c>
      <c r="D72" s="274">
        <f t="shared" si="1"/>
        <v>35</v>
      </c>
      <c r="E72" s="494">
        <v>40</v>
      </c>
      <c r="F72" s="494">
        <v>40</v>
      </c>
    </row>
    <row r="73" spans="1:7" x14ac:dyDescent="0.45">
      <c r="A73" s="36" t="s">
        <v>609</v>
      </c>
      <c r="B73" s="553"/>
      <c r="C73" s="234">
        <v>98.56</v>
      </c>
      <c r="D73" s="274">
        <f t="shared" si="1"/>
        <v>98.56</v>
      </c>
      <c r="E73" s="494">
        <v>98.56</v>
      </c>
      <c r="F73" s="494">
        <f t="shared" si="0"/>
        <v>98.56</v>
      </c>
    </row>
    <row r="74" spans="1:7" ht="19" thickBot="1" x14ac:dyDescent="0.5">
      <c r="A74" s="48" t="s">
        <v>610</v>
      </c>
      <c r="B74" s="554"/>
      <c r="C74" s="235">
        <v>49.28</v>
      </c>
      <c r="D74" s="275">
        <f t="shared" si="1"/>
        <v>49.28</v>
      </c>
      <c r="E74" s="489">
        <v>49.28</v>
      </c>
      <c r="F74" s="489">
        <f t="shared" si="0"/>
        <v>49.28</v>
      </c>
    </row>
    <row r="75" spans="1:7" s="19" customFormat="1" ht="19" thickTop="1" x14ac:dyDescent="0.45">
      <c r="A75" s="231" t="s">
        <v>475</v>
      </c>
      <c r="B75" s="555"/>
      <c r="C75" s="340"/>
      <c r="D75" s="341"/>
      <c r="E75" s="670"/>
      <c r="F75" s="340"/>
      <c r="G75" s="599"/>
    </row>
    <row r="76" spans="1:7" s="20" customFormat="1" x14ac:dyDescent="0.25">
      <c r="A76" s="211" t="s">
        <v>660</v>
      </c>
      <c r="B76" s="212"/>
      <c r="C76" s="436">
        <f>IF(C85&gt;C86,C45*C66,(C45*C66)-MIN(C87,C45*C66))</f>
        <v>0</v>
      </c>
      <c r="D76" s="434">
        <f>IF(D85&gt;D86,D45*D66,(D45*D66)-D87)</f>
        <v>0</v>
      </c>
      <c r="E76" s="430">
        <f>IF(E4=0,0,(IF(E85&gt;E86,E45*E66,(E45*E66)-MIN(E87,E45*E66))))</f>
        <v>0</v>
      </c>
      <c r="F76" s="430">
        <f>IF(F4=0,0,(IF(F85&gt;F86,F45*F66,(F45*F66)-MIN(F87,F45*F66))))</f>
        <v>0</v>
      </c>
      <c r="G76" s="600"/>
    </row>
    <row r="77" spans="1:7" s="20" customFormat="1" x14ac:dyDescent="0.25">
      <c r="A77" s="211" t="s">
        <v>620</v>
      </c>
      <c r="B77" s="212"/>
      <c r="C77" s="436">
        <f>C67*C45</f>
        <v>0</v>
      </c>
      <c r="D77" s="434">
        <f>D67*D45</f>
        <v>0</v>
      </c>
      <c r="E77" s="305">
        <f>E67*E45</f>
        <v>0</v>
      </c>
      <c r="F77" s="709">
        <f>F67*F45</f>
        <v>0</v>
      </c>
      <c r="G77" s="600"/>
    </row>
    <row r="78" spans="1:7" s="23" customFormat="1" x14ac:dyDescent="0.25">
      <c r="A78" s="450" t="s">
        <v>628</v>
      </c>
      <c r="B78" s="453"/>
      <c r="C78" s="437"/>
      <c r="D78" s="431"/>
      <c r="E78" s="296"/>
      <c r="F78" s="710"/>
      <c r="G78" s="600"/>
    </row>
    <row r="79" spans="1:7" s="24" customFormat="1" x14ac:dyDescent="0.45">
      <c r="A79" s="315" t="s">
        <v>646</v>
      </c>
      <c r="B79" s="213"/>
      <c r="C79" s="438">
        <f>C17*C66</f>
        <v>0</v>
      </c>
      <c r="D79" s="438">
        <f>D17*D66</f>
        <v>0</v>
      </c>
      <c r="E79" s="306">
        <f>E17*E66</f>
        <v>0</v>
      </c>
      <c r="F79" s="306">
        <f>F17*F66</f>
        <v>0</v>
      </c>
      <c r="G79" s="598"/>
    </row>
    <row r="80" spans="1:7" s="24" customFormat="1" x14ac:dyDescent="0.45">
      <c r="A80" s="315" t="s">
        <v>630</v>
      </c>
      <c r="B80" s="213"/>
      <c r="C80" s="438">
        <f>C37*$B$37*C66</f>
        <v>0</v>
      </c>
      <c r="D80" s="435">
        <f>D37*$B$37*D66</f>
        <v>0</v>
      </c>
      <c r="E80" s="306">
        <f>E37*$B$37*E66</f>
        <v>0</v>
      </c>
      <c r="F80" s="711">
        <f>F37*$B$37*F66</f>
        <v>0</v>
      </c>
      <c r="G80" s="598"/>
    </row>
    <row r="81" spans="1:7" s="24" customFormat="1" x14ac:dyDescent="0.45">
      <c r="A81" s="315" t="s">
        <v>631</v>
      </c>
      <c r="B81" s="213"/>
      <c r="C81" s="438">
        <f>C15*$B$15*C66</f>
        <v>0</v>
      </c>
      <c r="D81" s="435">
        <f>D15*$B$15*D66</f>
        <v>0</v>
      </c>
      <c r="E81" s="306">
        <f>E15*$B$15*E66</f>
        <v>0</v>
      </c>
      <c r="F81" s="711">
        <f>F15*$B$15*F66</f>
        <v>0</v>
      </c>
      <c r="G81" s="598"/>
    </row>
    <row r="82" spans="1:7" s="24" customFormat="1" x14ac:dyDescent="0.45">
      <c r="A82" s="315" t="s">
        <v>632</v>
      </c>
      <c r="B82" s="213"/>
      <c r="C82" s="438">
        <f>C14*$B$14*C66</f>
        <v>0</v>
      </c>
      <c r="D82" s="435">
        <f>D14*$B$14*D66</f>
        <v>0</v>
      </c>
      <c r="E82" s="306">
        <f>E14*$B$14*E66</f>
        <v>0</v>
      </c>
      <c r="F82" s="711">
        <f>F14*$B$14*F66</f>
        <v>0</v>
      </c>
      <c r="G82" s="598"/>
    </row>
    <row r="83" spans="1:7" s="24" customFormat="1" x14ac:dyDescent="0.45">
      <c r="A83" s="315" t="s">
        <v>633</v>
      </c>
      <c r="B83" s="213"/>
      <c r="C83" s="438">
        <f>C30*C66*0.75</f>
        <v>0</v>
      </c>
      <c r="D83" s="432">
        <f>D30*D66*0.75</f>
        <v>0</v>
      </c>
      <c r="E83" s="307">
        <f>E30*E66*0.75</f>
        <v>0</v>
      </c>
      <c r="F83" s="711">
        <f>F30*F66*0.75</f>
        <v>0</v>
      </c>
      <c r="G83" s="598"/>
    </row>
    <row r="84" spans="1:7" x14ac:dyDescent="0.45">
      <c r="A84" s="315" t="s">
        <v>784</v>
      </c>
      <c r="B84" s="229"/>
      <c r="C84" s="282">
        <f>-VLOOKUP($A$3,INITIAL_EST,117,FALSE)</f>
        <v>0</v>
      </c>
      <c r="D84" s="479">
        <f>IF($D$4=0,0,C84)</f>
        <v>0</v>
      </c>
      <c r="E84" s="490">
        <f>-VLOOKUP($A$3,CASH_FLOW,117,FALSE)</f>
        <v>0</v>
      </c>
      <c r="F84" s="490">
        <f>-VLOOKUP($A$3,DPE,117,FALSE)</f>
        <v>0</v>
      </c>
    </row>
    <row r="85" spans="1:7" x14ac:dyDescent="0.45">
      <c r="A85" s="315" t="s">
        <v>923</v>
      </c>
      <c r="B85" s="229"/>
      <c r="C85" s="282">
        <f>SUM(C79:C83)</f>
        <v>0</v>
      </c>
      <c r="D85" s="479">
        <f>SUM(D79:D83)</f>
        <v>0</v>
      </c>
      <c r="E85" s="307">
        <f>SUM(E79:E83)</f>
        <v>0</v>
      </c>
      <c r="F85" s="307">
        <f>SUM(F79:F83)</f>
        <v>0</v>
      </c>
    </row>
    <row r="86" spans="1:7" x14ac:dyDescent="0.45">
      <c r="A86" s="315" t="s">
        <v>647</v>
      </c>
      <c r="B86" s="229"/>
      <c r="C86" s="282">
        <f>'Prior Law State Aid'!C67</f>
        <v>0</v>
      </c>
      <c r="D86" s="479">
        <f>IF(D4=0,0,'Prior Law State Aid'!D67)</f>
        <v>0</v>
      </c>
      <c r="E86" s="307">
        <f>IF(E4=0,0,'Prior Law State Aid'!E67)</f>
        <v>0</v>
      </c>
      <c r="F86" s="307">
        <f>IF(F4=0,0,'Prior Law State Aid'!F67)</f>
        <v>0</v>
      </c>
    </row>
    <row r="87" spans="1:7" x14ac:dyDescent="0.45">
      <c r="A87" s="315" t="s">
        <v>922</v>
      </c>
      <c r="B87" s="229"/>
      <c r="C87" s="282">
        <f>IF(C86-C85&lt;0,0,C86-C85)</f>
        <v>0</v>
      </c>
      <c r="D87" s="479">
        <f>IF(D86-D85&lt;0,0,D86-D85)</f>
        <v>0</v>
      </c>
      <c r="E87" s="307">
        <f>IF(E86-E85&lt;0,0,E86-E85)</f>
        <v>0</v>
      </c>
      <c r="F87" s="307">
        <f>IF(F86-F85&lt;0,0,F86-F85)</f>
        <v>0</v>
      </c>
    </row>
    <row r="88" spans="1:7" s="26" customFormat="1" ht="19" thickBot="1" x14ac:dyDescent="0.3">
      <c r="A88" s="328" t="s">
        <v>661</v>
      </c>
      <c r="B88" s="329"/>
      <c r="C88" s="253">
        <f>IF(C85&gt;C86,C84+C85,C84+C85+C87)</f>
        <v>0</v>
      </c>
      <c r="D88" s="470">
        <f>IF(D85&gt;D86,D84+D85,D84+D85+D87)</f>
        <v>0</v>
      </c>
      <c r="E88" s="469">
        <f>IF(E85&gt;E86,E84+E85,E84+E85+E87)</f>
        <v>0</v>
      </c>
      <c r="F88" s="713">
        <f>IF(F85&gt;F86,F84+F85,F84+F85+F87)</f>
        <v>0</v>
      </c>
      <c r="G88" s="603"/>
    </row>
    <row r="89" spans="1:7" s="26" customFormat="1" ht="19" thickTop="1" x14ac:dyDescent="0.25">
      <c r="A89" s="323" t="s">
        <v>662</v>
      </c>
      <c r="B89" s="327"/>
      <c r="C89" s="342">
        <f>C66*$B$46*C46</f>
        <v>0</v>
      </c>
      <c r="D89" s="280">
        <f>IF(D4=0,0,D66*$B$46*D46)</f>
        <v>0</v>
      </c>
      <c r="E89" s="310">
        <f>E66*$B$46*E46</f>
        <v>0</v>
      </c>
      <c r="F89" s="714">
        <f>F66*$B$46*F46</f>
        <v>0</v>
      </c>
      <c r="G89" s="603"/>
    </row>
    <row r="90" spans="1:7" s="27" customFormat="1" x14ac:dyDescent="0.45">
      <c r="A90" s="452" t="s">
        <v>799</v>
      </c>
      <c r="B90" s="449"/>
      <c r="C90" s="439"/>
      <c r="D90" s="440"/>
      <c r="E90" s="441"/>
      <c r="F90" s="715"/>
      <c r="G90" s="602"/>
    </row>
    <row r="91" spans="1:7" s="24" customFormat="1" x14ac:dyDescent="0.45">
      <c r="A91" s="315" t="s">
        <v>648</v>
      </c>
      <c r="B91" s="213"/>
      <c r="C91" s="250">
        <f>C55*C66</f>
        <v>0</v>
      </c>
      <c r="D91" s="277">
        <f>IF(D4=0,0,D55*D66)</f>
        <v>0</v>
      </c>
      <c r="E91" s="308">
        <f>E55*E66</f>
        <v>0</v>
      </c>
      <c r="F91" s="716">
        <f>F55*F66</f>
        <v>0</v>
      </c>
      <c r="G91" s="598"/>
    </row>
    <row r="92" spans="1:7" s="24" customFormat="1" x14ac:dyDescent="0.45">
      <c r="A92" s="315" t="s">
        <v>649</v>
      </c>
      <c r="B92" s="213"/>
      <c r="C92" s="250">
        <f>C56*$B$56*C66</f>
        <v>0</v>
      </c>
      <c r="D92" s="277">
        <f>D56*$B$56*D66</f>
        <v>0</v>
      </c>
      <c r="E92" s="308">
        <f>E56*$B$56*E66</f>
        <v>0</v>
      </c>
      <c r="F92" s="716">
        <f>F56*$B$56*F66</f>
        <v>0</v>
      </c>
      <c r="G92" s="598"/>
    </row>
    <row r="93" spans="1:7" s="24" customFormat="1" ht="32" x14ac:dyDescent="0.45">
      <c r="A93" s="316" t="s">
        <v>693</v>
      </c>
      <c r="B93" s="213"/>
      <c r="C93" s="250">
        <f>C57*B57*C66</f>
        <v>0</v>
      </c>
      <c r="D93" s="277">
        <f>D57*C57*D66</f>
        <v>0</v>
      </c>
      <c r="E93" s="308">
        <f>E57*B57*E66</f>
        <v>0</v>
      </c>
      <c r="F93" s="716">
        <f>E93</f>
        <v>0</v>
      </c>
      <c r="G93" s="598"/>
    </row>
    <row r="94" spans="1:7" s="20" customFormat="1" ht="19" thickBot="1" x14ac:dyDescent="0.3">
      <c r="A94" s="325" t="s">
        <v>663</v>
      </c>
      <c r="B94" s="329"/>
      <c r="C94" s="253">
        <f>SUM(C91:C93)</f>
        <v>0</v>
      </c>
      <c r="D94" s="279">
        <f>SUM(D91:D92)</f>
        <v>0</v>
      </c>
      <c r="E94" s="330">
        <f>SUM(E91:E93)</f>
        <v>0</v>
      </c>
      <c r="F94" s="717">
        <f>SUM(F91:F93)</f>
        <v>0</v>
      </c>
      <c r="G94" s="600"/>
    </row>
    <row r="95" spans="1:7" s="20" customFormat="1" ht="19" thickTop="1" x14ac:dyDescent="0.25">
      <c r="A95" s="323" t="s">
        <v>664</v>
      </c>
      <c r="B95" s="327"/>
      <c r="C95" s="342">
        <f>C36*C66</f>
        <v>0</v>
      </c>
      <c r="D95" s="280">
        <f>D36*D66</f>
        <v>0</v>
      </c>
      <c r="E95" s="310">
        <f>E36*E66</f>
        <v>0</v>
      </c>
      <c r="F95" s="714">
        <f>F36*F66</f>
        <v>0</v>
      </c>
      <c r="G95" s="600"/>
    </row>
    <row r="96" spans="1:7" s="24" customFormat="1" ht="19.5" customHeight="1" x14ac:dyDescent="0.45">
      <c r="A96" s="448" t="s">
        <v>634</v>
      </c>
      <c r="B96" s="449"/>
      <c r="C96" s="442"/>
      <c r="D96" s="443"/>
      <c r="E96" s="444"/>
      <c r="F96" s="718"/>
      <c r="G96" s="598"/>
    </row>
    <row r="97" spans="1:7" s="24" customFormat="1" ht="18.75" customHeight="1" x14ac:dyDescent="0.45">
      <c r="A97" s="315" t="s">
        <v>635</v>
      </c>
      <c r="B97" s="213"/>
      <c r="C97" s="250">
        <f>C43*$A$164*C66</f>
        <v>0</v>
      </c>
      <c r="D97" s="277">
        <f>D39*$A$164*D66</f>
        <v>0</v>
      </c>
      <c r="E97" s="308">
        <f>E43*E68</f>
        <v>0</v>
      </c>
      <c r="F97" s="308">
        <f>F43*F68</f>
        <v>0</v>
      </c>
      <c r="G97" s="598"/>
    </row>
    <row r="98" spans="1:7" s="24" customFormat="1" ht="18.75" customHeight="1" x14ac:dyDescent="0.45">
      <c r="A98" s="315" t="s">
        <v>636</v>
      </c>
      <c r="B98" s="213"/>
      <c r="C98" s="250">
        <f>C44*$B$44</f>
        <v>0</v>
      </c>
      <c r="D98" s="277">
        <f>D44*$B$44</f>
        <v>0</v>
      </c>
      <c r="E98" s="308">
        <f>E44*$B$44</f>
        <v>0</v>
      </c>
      <c r="F98" s="716">
        <f>F44*$B$44</f>
        <v>0</v>
      </c>
      <c r="G98" s="598"/>
    </row>
    <row r="99" spans="1:7" s="20" customFormat="1" ht="19.5" customHeight="1" thickBot="1" x14ac:dyDescent="0.3">
      <c r="A99" s="328" t="s">
        <v>665</v>
      </c>
      <c r="B99" s="329"/>
      <c r="C99" s="253">
        <f>SUM(C97:C98)</f>
        <v>0</v>
      </c>
      <c r="D99" s="279">
        <f>SUM(D97:D98)</f>
        <v>0</v>
      </c>
      <c r="E99" s="330">
        <f>SUM(E97:E98)</f>
        <v>0</v>
      </c>
      <c r="F99" s="717">
        <f>SUM(F97:F98)</f>
        <v>0</v>
      </c>
      <c r="G99" s="600"/>
    </row>
    <row r="100" spans="1:7" s="20" customFormat="1" ht="19" thickTop="1" x14ac:dyDescent="0.25">
      <c r="A100" s="331" t="s">
        <v>666</v>
      </c>
      <c r="B100" s="327"/>
      <c r="C100" s="342">
        <f>$B$58*C58*C66</f>
        <v>0</v>
      </c>
      <c r="D100" s="280">
        <f>IF($D$4=0,0,$B$58*D58*D66)</f>
        <v>0</v>
      </c>
      <c r="E100" s="332">
        <f>$B$58*E58*E66</f>
        <v>0</v>
      </c>
      <c r="F100" s="714">
        <f>$B$58*F58*F66</f>
        <v>0</v>
      </c>
      <c r="G100" s="600"/>
    </row>
    <row r="101" spans="1:7" s="24" customFormat="1" x14ac:dyDescent="0.45">
      <c r="A101" s="448" t="s">
        <v>910</v>
      </c>
      <c r="B101" s="449"/>
      <c r="C101" s="442"/>
      <c r="D101" s="443"/>
      <c r="E101" s="444"/>
      <c r="F101" s="718"/>
      <c r="G101" s="598"/>
    </row>
    <row r="102" spans="1:7" s="26" customFormat="1" x14ac:dyDescent="0.35">
      <c r="A102" s="315" t="s">
        <v>915</v>
      </c>
      <c r="B102" s="212"/>
      <c r="C102" s="439"/>
      <c r="D102" s="276">
        <f>IF(D4=0,0,D66*$B$47*D47)</f>
        <v>0</v>
      </c>
      <c r="E102" s="308">
        <f>E66*$B$47*E47</f>
        <v>0</v>
      </c>
      <c r="F102" s="308">
        <f>F66*$B$47*F47</f>
        <v>0</v>
      </c>
      <c r="G102" s="603"/>
    </row>
    <row r="103" spans="1:7" s="26" customFormat="1" x14ac:dyDescent="0.35">
      <c r="A103" s="315" t="s">
        <v>912</v>
      </c>
      <c r="B103" s="212"/>
      <c r="C103" s="439"/>
      <c r="D103" s="669"/>
      <c r="E103" s="530">
        <f>-VLOOKUP($A$3,CASH_FLOW,56,FALSE)</f>
        <v>0</v>
      </c>
      <c r="F103" s="530">
        <f>-VLOOKUP($A$3,DPE,56,FALSE)</f>
        <v>0</v>
      </c>
      <c r="G103" s="603"/>
    </row>
    <row r="104" spans="1:7" s="26" customFormat="1" ht="19" thickBot="1" x14ac:dyDescent="0.3">
      <c r="A104" s="533" t="s">
        <v>911</v>
      </c>
      <c r="B104" s="329"/>
      <c r="C104" s="534"/>
      <c r="D104" s="671"/>
      <c r="E104" s="535">
        <f>E102+E103</f>
        <v>0</v>
      </c>
      <c r="F104" s="720">
        <f>F102+F103</f>
        <v>0</v>
      </c>
      <c r="G104" s="603"/>
    </row>
    <row r="105" spans="1:7" s="20" customFormat="1" ht="19" thickTop="1" x14ac:dyDescent="0.25">
      <c r="A105" s="331" t="s">
        <v>667</v>
      </c>
      <c r="B105" s="327"/>
      <c r="C105" s="342">
        <f>Estimates!B59</f>
        <v>0</v>
      </c>
      <c r="D105" s="531">
        <f>IF($D$4=0,0,C105)</f>
        <v>0</v>
      </c>
      <c r="E105" s="532">
        <f>VLOOKUP(Estimates!$B$1,CASH_FLOW,220,FALSE)</f>
        <v>0</v>
      </c>
      <c r="F105" s="532">
        <f>VLOOKUP(Estimates!$B$1,DPE,220,FALSE)</f>
        <v>0</v>
      </c>
      <c r="G105" s="600"/>
    </row>
    <row r="106" spans="1:7" s="20" customFormat="1" x14ac:dyDescent="0.25">
      <c r="A106" s="214" t="s">
        <v>621</v>
      </c>
      <c r="B106" s="212"/>
      <c r="C106" s="230">
        <f>Estimates!B62</f>
        <v>0</v>
      </c>
      <c r="D106" s="276">
        <f>IF($D$4=0,0,Estimates!B62)</f>
        <v>0</v>
      </c>
      <c r="E106" s="309">
        <f>VLOOKUP(Estimates!$B$1,CASH_FLOW,221,FALSE)</f>
        <v>0</v>
      </c>
      <c r="F106" s="309">
        <f>VLOOKUP(Estimates!$B$1,DPE,221,FALSE)</f>
        <v>0</v>
      </c>
      <c r="G106" s="600"/>
    </row>
    <row r="107" spans="1:7" s="20" customFormat="1" x14ac:dyDescent="0.25">
      <c r="A107" s="214" t="s">
        <v>622</v>
      </c>
      <c r="B107" s="212"/>
      <c r="C107" s="230">
        <f>Estimates!B61</f>
        <v>0</v>
      </c>
      <c r="D107" s="276">
        <f>IF($D$4=0,0,Estimates!B61)</f>
        <v>0</v>
      </c>
      <c r="E107" s="309">
        <f>VLOOKUP(Estimates!$B$1,CASH_FLOW,222,FALSE)</f>
        <v>0</v>
      </c>
      <c r="F107" s="309">
        <f>VLOOKUP(Estimates!$B$1,DPE,222,FALSE)</f>
        <v>0</v>
      </c>
      <c r="G107" s="600"/>
    </row>
    <row r="108" spans="1:7" s="20" customFormat="1" ht="19" thickBot="1" x14ac:dyDescent="0.3">
      <c r="A108" s="214" t="s">
        <v>623</v>
      </c>
      <c r="B108" s="212"/>
      <c r="C108" s="230">
        <f>C65*C4</f>
        <v>0</v>
      </c>
      <c r="D108" s="276">
        <f>D65*D4</f>
        <v>0</v>
      </c>
      <c r="E108" s="310">
        <f>E65*E4</f>
        <v>0</v>
      </c>
      <c r="F108" s="709">
        <f>F65*F4</f>
        <v>0</v>
      </c>
      <c r="G108" s="600"/>
    </row>
    <row r="109" spans="1:7" s="17" customFormat="1" ht="19" thickTop="1" x14ac:dyDescent="0.45">
      <c r="A109" s="231" t="s">
        <v>476</v>
      </c>
      <c r="B109" s="555"/>
      <c r="C109" s="340"/>
      <c r="D109" s="341"/>
      <c r="E109" s="311"/>
      <c r="F109" s="723"/>
      <c r="G109" s="599"/>
    </row>
    <row r="110" spans="1:7" s="24" customFormat="1" x14ac:dyDescent="0.45">
      <c r="A110" s="448" t="s">
        <v>582</v>
      </c>
      <c r="B110" s="449"/>
      <c r="C110" s="445"/>
      <c r="D110" s="446"/>
      <c r="E110" s="447"/>
      <c r="F110" s="776"/>
      <c r="G110" s="598"/>
    </row>
    <row r="111" spans="1:7" s="24" customFormat="1" x14ac:dyDescent="0.45">
      <c r="A111" s="315" t="s">
        <v>644</v>
      </c>
      <c r="B111" s="215"/>
      <c r="C111" s="251">
        <f>IF($C$4=0,0,Estimates!B66)</f>
        <v>0</v>
      </c>
      <c r="D111" s="278">
        <f>IF($D$4=0,0,Estimates!B68)</f>
        <v>0</v>
      </c>
      <c r="E111" s="510">
        <f>VLOOKUP(Estimates!$B$1,CASH_FLOW,170,FALSE)</f>
        <v>0</v>
      </c>
      <c r="F111" s="510">
        <f>VLOOKUP(Estimates!$B$1,DPE,170,FALSE)</f>
        <v>0</v>
      </c>
      <c r="G111" s="598"/>
    </row>
    <row r="112" spans="1:7" s="24" customFormat="1" x14ac:dyDescent="0.45">
      <c r="A112" s="315" t="s">
        <v>916</v>
      </c>
      <c r="B112" s="215"/>
      <c r="C112" s="251">
        <f>IF($C$4=0,0,Estimates!B67)</f>
        <v>0</v>
      </c>
      <c r="D112" s="278">
        <f>IF($D$4=0,0,Estimates!B69)</f>
        <v>0</v>
      </c>
      <c r="E112" s="510">
        <f>VLOOKUP(Estimates!$B$1,CASH_FLOW,169,FALSE)</f>
        <v>0</v>
      </c>
      <c r="F112" s="510">
        <f>VLOOKUP(Estimates!$B$1,DPE,169,FALSE)</f>
        <v>0</v>
      </c>
      <c r="G112" s="598"/>
    </row>
    <row r="113" spans="1:18" s="24" customFormat="1" x14ac:dyDescent="0.45">
      <c r="A113" s="315" t="s">
        <v>645</v>
      </c>
      <c r="B113" s="213"/>
      <c r="C113" s="251">
        <f>IF($C$4=0,0,Estimates!B68)</f>
        <v>0</v>
      </c>
      <c r="D113" s="278">
        <f>IF($D$4=0,0,Estimates!B68)</f>
        <v>0</v>
      </c>
      <c r="E113" s="510">
        <f>VLOOKUP(Estimates!$B$1,CASH_FLOW,171,FALSE)</f>
        <v>0</v>
      </c>
      <c r="F113" s="510">
        <f>VLOOKUP(Estimates!$B$1,DPE,171,FALSE)</f>
        <v>0</v>
      </c>
      <c r="G113" s="598"/>
    </row>
    <row r="114" spans="1:18" s="24" customFormat="1" x14ac:dyDescent="0.45">
      <c r="A114" s="315" t="s">
        <v>817</v>
      </c>
      <c r="B114" s="213"/>
      <c r="C114" s="251">
        <f>IF($C$4=0,0,Estimates!B69)</f>
        <v>0</v>
      </c>
      <c r="D114" s="278">
        <f>IF($D$4=0,0,Estimates!B69)</f>
        <v>0</v>
      </c>
      <c r="E114" s="510">
        <f>VLOOKUP(Estimates!$B$1,CASH_FLOW,174,FALSE)</f>
        <v>0</v>
      </c>
      <c r="F114" s="510">
        <f>VLOOKUP(Estimates!$B$1,DPE,174,FALSE)</f>
        <v>0</v>
      </c>
      <c r="G114" s="598"/>
    </row>
    <row r="115" spans="1:18" s="20" customFormat="1" ht="19" thickBot="1" x14ac:dyDescent="0.3">
      <c r="A115" s="325" t="s">
        <v>668</v>
      </c>
      <c r="B115" s="326"/>
      <c r="C115" s="253">
        <f>SUM(C111:C114)</f>
        <v>0</v>
      </c>
      <c r="D115" s="279">
        <f>SUM(D111:D114)</f>
        <v>0</v>
      </c>
      <c r="E115" s="312">
        <f>SUM(E111:E114)</f>
        <v>0</v>
      </c>
      <c r="F115" s="725">
        <f>SUM(F111:F114)</f>
        <v>0</v>
      </c>
      <c r="G115" s="600"/>
    </row>
    <row r="116" spans="1:18" s="20" customFormat="1" ht="19" thickTop="1" x14ac:dyDescent="0.25">
      <c r="A116" s="323" t="s">
        <v>669</v>
      </c>
      <c r="B116" s="324"/>
      <c r="C116" s="252">
        <f>VLOOKUP(Estimates!B1,INITIAL_EST,79,FALSE)</f>
        <v>0</v>
      </c>
      <c r="D116" s="280">
        <f>IF($D$4=0,0,C116)</f>
        <v>0</v>
      </c>
      <c r="E116" s="309">
        <f>VLOOKUP(Estimates!$B$1,CASH_FLOW,79,FALSE)</f>
        <v>0</v>
      </c>
      <c r="F116" s="309">
        <f>VLOOKUP(Estimates!$B$1,DPE,79,FALSE)</f>
        <v>0</v>
      </c>
      <c r="G116" s="600"/>
    </row>
    <row r="117" spans="1:18" s="418" customFormat="1" ht="19" thickBot="1" x14ac:dyDescent="0.3">
      <c r="A117" s="325" t="s">
        <v>624</v>
      </c>
      <c r="B117" s="791"/>
      <c r="C117" s="713">
        <f>($B$60*C60)+($B$60*C59)</f>
        <v>0</v>
      </c>
      <c r="D117" s="470">
        <f>IF($D$4=0,0,($B$60*D60)+($B$59*D59))</f>
        <v>0</v>
      </c>
      <c r="E117" s="792">
        <f>IF($E$4=0,0,($B$60*(E60+E59)))</f>
        <v>0</v>
      </c>
      <c r="F117" s="793">
        <f>IF($E$4=0,0,($B$60*(F60+F59)))</f>
        <v>0</v>
      </c>
      <c r="G117" s="600"/>
      <c r="H117" s="20"/>
    </row>
    <row r="118" spans="1:18" s="20" customFormat="1" ht="19" thickTop="1" x14ac:dyDescent="0.25">
      <c r="A118" s="323" t="s">
        <v>625</v>
      </c>
      <c r="B118" s="324"/>
      <c r="C118" s="342">
        <f>VLOOKUP(A3,INITIAL_EST,218,FALSE)</f>
        <v>0</v>
      </c>
      <c r="D118" s="280">
        <f>IF($D$4=0,0,Estimates!B63)</f>
        <v>0</v>
      </c>
      <c r="E118" s="532">
        <f>VLOOKUP(Estimates!$B$1,CASH_FLOW,218,FALSE)</f>
        <v>0</v>
      </c>
      <c r="F118" s="532">
        <f>VLOOKUP(Estimates!$B$1,DPE,218,FALSE)</f>
        <v>0</v>
      </c>
      <c r="G118" s="600"/>
    </row>
    <row r="119" spans="1:18" s="20" customFormat="1" x14ac:dyDescent="0.25">
      <c r="A119" s="211" t="s">
        <v>626</v>
      </c>
      <c r="B119" s="216"/>
      <c r="C119" s="230">
        <f>VLOOKUP(A3,INITIAL_EST,219,FALSE)</f>
        <v>0</v>
      </c>
      <c r="D119" s="276">
        <f>IF($D$4=0,0,Estimates!B64)</f>
        <v>0</v>
      </c>
      <c r="E119" s="309">
        <f>VLOOKUP(Estimates!$B$1,CASH_FLOW,219,FALSE)</f>
        <v>0</v>
      </c>
      <c r="F119" s="309">
        <f>VLOOKUP(Estimates!$B$1,DPE,219,FALSE)</f>
        <v>0</v>
      </c>
      <c r="G119" s="600"/>
    </row>
    <row r="120" spans="1:18" s="24" customFormat="1" x14ac:dyDescent="0.45">
      <c r="A120" s="674" t="s">
        <v>692</v>
      </c>
      <c r="B120" s="616"/>
      <c r="C120" s="672">
        <f>-VLOOKUP(Estimates!B1,INITIAL_EST,56,FALSE)</f>
        <v>0</v>
      </c>
      <c r="D120" s="673">
        <f>IF($D$4=0,0,C120)</f>
        <v>0</v>
      </c>
      <c r="E120" s="511"/>
      <c r="F120" s="728"/>
      <c r="G120" s="598"/>
    </row>
    <row r="121" spans="1:18" s="5" customFormat="1" ht="21.75" customHeight="1" thickBot="1" x14ac:dyDescent="0.55000000000000004">
      <c r="A121" s="217" t="s">
        <v>673</v>
      </c>
      <c r="B121" s="218"/>
      <c r="C121" s="468">
        <f>SUM(C76+C77+C88+C89+C94+C95+C99+C100+C105+C106+C107+C108+C115+C116+C117+C118+C119+C120)</f>
        <v>0</v>
      </c>
      <c r="D121" s="464">
        <f>SUM(D76+D77+D88+D89+D102+D94+D95+D99+D100+D105+D106+D107+D108+D115+D116+D117+D118+D119+D120)</f>
        <v>0</v>
      </c>
      <c r="E121" s="313">
        <f>SUM(E76+E77+E88+E89+E104+E94+E95+E99+E100+E105+E106+E107+E108+E115+E116+E117+E118+E119+E120)</f>
        <v>0</v>
      </c>
      <c r="F121" s="729">
        <f>SUM(F76+F77+F88+F89+F104+F94+F95+F99+F100+F105+F106+F107+F108+F115+F116+F117+F118+F119+F120)</f>
        <v>0</v>
      </c>
      <c r="G121" s="598"/>
    </row>
    <row r="122" spans="1:18" s="19" customFormat="1" ht="19" thickTop="1" x14ac:dyDescent="0.45">
      <c r="A122" s="231" t="s">
        <v>474</v>
      </c>
      <c r="B122" s="555"/>
      <c r="C122" s="340"/>
      <c r="D122" s="341"/>
      <c r="E122" s="311"/>
      <c r="F122" s="723"/>
      <c r="G122" s="599"/>
    </row>
    <row r="123" spans="1:18" s="28" customFormat="1" x14ac:dyDescent="0.45">
      <c r="A123" s="319" t="s">
        <v>485</v>
      </c>
      <c r="B123" s="321"/>
      <c r="C123" s="343">
        <f>ROUND((C73*C61*C69*100),1)</f>
        <v>0</v>
      </c>
      <c r="D123" s="344">
        <f>ROUND((D73*D61*D69*100),1)</f>
        <v>0</v>
      </c>
      <c r="E123" s="322">
        <f>ROUND((E73*E61*E69*100),1)</f>
        <v>0</v>
      </c>
      <c r="F123" s="730">
        <f>ROUND((F73*F61*F69*100),1)</f>
        <v>0</v>
      </c>
      <c r="G123" s="604"/>
    </row>
    <row r="124" spans="1:18" s="28" customFormat="1" x14ac:dyDescent="0.45">
      <c r="A124" s="319" t="s">
        <v>486</v>
      </c>
      <c r="B124" s="321"/>
      <c r="C124" s="343">
        <f>ROUND((C74*C61*C70*100),1)</f>
        <v>0</v>
      </c>
      <c r="D124" s="344">
        <f>ROUND((D74*D61*D70*100),1)</f>
        <v>0</v>
      </c>
      <c r="E124" s="322">
        <f>ROUND((E74*E61*E70*100),1)</f>
        <v>0</v>
      </c>
      <c r="F124" s="730">
        <f>ROUND((F74*F61*F70*100),1)</f>
        <v>0</v>
      </c>
      <c r="G124" s="604"/>
    </row>
    <row r="125" spans="1:18" s="17" customFormat="1" ht="22.5" customHeight="1" thickBot="1" x14ac:dyDescent="0.55000000000000004">
      <c r="A125" s="217" t="s">
        <v>674</v>
      </c>
      <c r="B125" s="218"/>
      <c r="C125" s="468">
        <f>SUM(C123:C124)</f>
        <v>0</v>
      </c>
      <c r="D125" s="464">
        <f>SUM(D123:D124)</f>
        <v>0</v>
      </c>
      <c r="E125" s="314">
        <f>SUM(E123:E124)</f>
        <v>0</v>
      </c>
      <c r="F125" s="731">
        <f>SUM(F123:F124)</f>
        <v>0</v>
      </c>
      <c r="G125" s="599"/>
    </row>
    <row r="126" spans="1:18" ht="19" thickTop="1" x14ac:dyDescent="0.45">
      <c r="A126" s="231" t="s">
        <v>11</v>
      </c>
      <c r="B126" s="555"/>
      <c r="C126" s="465"/>
      <c r="D126" s="433"/>
      <c r="E126" s="311"/>
      <c r="F126" s="723"/>
    </row>
    <row r="127" spans="1:18" ht="37" x14ac:dyDescent="0.45">
      <c r="A127" s="837" t="s">
        <v>948</v>
      </c>
      <c r="B127" s="666" t="s">
        <v>949</v>
      </c>
      <c r="C127" s="586"/>
      <c r="D127" s="836"/>
      <c r="E127" s="532">
        <f>VLOOKUP(Estimates!$B$1,CASH_FLOW,291,FALSE)</f>
        <v>0</v>
      </c>
      <c r="F127" s="532">
        <f>VLOOKUP(Estimates!$B$1,DPE,291,FALSE)</f>
        <v>0</v>
      </c>
      <c r="G127" s="691"/>
      <c r="H127" s="691"/>
      <c r="I127" s="691"/>
      <c r="J127" s="691"/>
      <c r="K127" s="744"/>
      <c r="L127" s="635"/>
      <c r="M127" s="631"/>
      <c r="N127" s="633"/>
      <c r="O127" s="633"/>
      <c r="P127" s="633"/>
      <c r="Q127" s="633"/>
      <c r="R127" s="598"/>
    </row>
    <row r="128" spans="1:18" s="24" customFormat="1" x14ac:dyDescent="0.45">
      <c r="A128" s="450" t="s">
        <v>818</v>
      </c>
      <c r="B128" s="451"/>
      <c r="C128" s="491" t="str">
        <f>Estimates!B57</f>
        <v>No</v>
      </c>
      <c r="D128" s="492" t="str">
        <f>Estimates!B57</f>
        <v>No</v>
      </c>
      <c r="E128" s="493" t="str">
        <f>D128</f>
        <v>No</v>
      </c>
      <c r="F128" s="732" t="str">
        <f>E128</f>
        <v>No</v>
      </c>
      <c r="G128" s="598"/>
    </row>
    <row r="129" spans="1:7" s="5" customFormat="1" ht="19" thickBot="1" x14ac:dyDescent="0.5">
      <c r="A129" s="667" t="s">
        <v>479</v>
      </c>
      <c r="B129" s="668"/>
      <c r="C129" s="466">
        <f>IF(C128="YES", IFERROR(ROUND((C4*C71*C72*100),1),0), 0)</f>
        <v>0</v>
      </c>
      <c r="D129" s="458">
        <f>IF(D128="YES", IFERROR(ROUND((D4*D71*D72*100),1),0), 0)</f>
        <v>0</v>
      </c>
      <c r="E129" s="228">
        <f>IF(E128="YES",(E4*E71*E72*100), 0)</f>
        <v>0</v>
      </c>
      <c r="F129" s="733">
        <f>IF(F128="YES", IFERROR(ROUND((F4*F71*F72*100),1),0), 0)</f>
        <v>0</v>
      </c>
      <c r="G129" s="598"/>
    </row>
    <row r="130" spans="1:7" s="5" customFormat="1" ht="45.75" customHeight="1" thickTop="1" x14ac:dyDescent="0.45">
      <c r="A130" s="665" t="s">
        <v>819</v>
      </c>
      <c r="B130" s="666" t="s">
        <v>695</v>
      </c>
      <c r="C130" s="465"/>
      <c r="D130" s="558"/>
      <c r="E130" s="557"/>
      <c r="F130" s="465"/>
      <c r="G130" s="598"/>
    </row>
    <row r="131" spans="1:7" s="5" customFormat="1" ht="18.75" customHeight="1" x14ac:dyDescent="0.45">
      <c r="A131" s="317" t="s">
        <v>816</v>
      </c>
      <c r="B131" s="227">
        <v>5</v>
      </c>
      <c r="C131" s="467">
        <f>'Prior Law State Aid'!C94</f>
        <v>0</v>
      </c>
      <c r="D131" s="459">
        <f>'Prior Law State Aid'!D94</f>
        <v>0</v>
      </c>
      <c r="E131" s="454">
        <f>'Prior Law State Aid'!E98</f>
        <v>0</v>
      </c>
      <c r="F131" s="308">
        <f>'Prior Law State Aid'!F98</f>
        <v>0</v>
      </c>
      <c r="G131" s="598"/>
    </row>
    <row r="132" spans="1:7" s="5" customFormat="1" x14ac:dyDescent="0.45">
      <c r="A132" s="317" t="s">
        <v>798</v>
      </c>
      <c r="B132" s="227">
        <v>12</v>
      </c>
      <c r="C132" s="467">
        <f>'Prior Law State Aid'!C99</f>
        <v>0</v>
      </c>
      <c r="D132" s="459">
        <f>'Prior Law State Aid'!D99</f>
        <v>0</v>
      </c>
      <c r="E132" s="455">
        <f>'Prior Law State Aid'!E99</f>
        <v>0</v>
      </c>
      <c r="F132" s="734">
        <f>'Prior Law State Aid'!F99</f>
        <v>0</v>
      </c>
      <c r="G132" s="598"/>
    </row>
    <row r="133" spans="1:7" s="25" customFormat="1" x14ac:dyDescent="0.45">
      <c r="A133" s="317" t="s">
        <v>778</v>
      </c>
      <c r="B133" s="227">
        <v>13</v>
      </c>
      <c r="C133" s="467">
        <f>VLOOKUP(A3,FTG,6,FALSE)</f>
        <v>9259</v>
      </c>
      <c r="D133" s="459">
        <f>C133</f>
        <v>9259</v>
      </c>
      <c r="E133" s="456">
        <f>D133</f>
        <v>9259</v>
      </c>
      <c r="F133" s="735">
        <f>E133</f>
        <v>9259</v>
      </c>
      <c r="G133" s="598"/>
    </row>
    <row r="134" spans="1:7" s="24" customFormat="1" x14ac:dyDescent="0.45">
      <c r="A134" s="317" t="s">
        <v>779</v>
      </c>
      <c r="B134" s="227">
        <v>14</v>
      </c>
      <c r="C134" s="467">
        <f>MAX(C132)*1.03</f>
        <v>0</v>
      </c>
      <c r="D134" s="459">
        <f>MAX(D132)*1.03</f>
        <v>0</v>
      </c>
      <c r="E134" s="420">
        <f>MAX(E132)*1.03</f>
        <v>0</v>
      </c>
      <c r="F134" s="588">
        <f>MAX(F132)*1.03</f>
        <v>0</v>
      </c>
      <c r="G134" s="598"/>
    </row>
    <row r="135" spans="1:7" s="24" customFormat="1" x14ac:dyDescent="0.45">
      <c r="A135" s="317" t="s">
        <v>780</v>
      </c>
      <c r="B135" s="227">
        <v>15</v>
      </c>
      <c r="C135" s="467">
        <f>C133*1.28</f>
        <v>11851.52</v>
      </c>
      <c r="D135" s="459">
        <f>D133*1.28</f>
        <v>11851.52</v>
      </c>
      <c r="E135" s="455">
        <f>E133*1.28</f>
        <v>11851.52</v>
      </c>
      <c r="F135" s="736">
        <f>F133*1.28</f>
        <v>11851.52</v>
      </c>
      <c r="G135" s="598"/>
    </row>
    <row r="136" spans="1:7" s="5" customFormat="1" x14ac:dyDescent="0.45">
      <c r="A136" s="317" t="s">
        <v>914</v>
      </c>
      <c r="B136" s="227">
        <v>16</v>
      </c>
      <c r="C136" s="467">
        <f>(MIN(C135,C134))</f>
        <v>0</v>
      </c>
      <c r="D136" s="459">
        <f>(MIN(D135,D134))</f>
        <v>0</v>
      </c>
      <c r="E136" s="454">
        <f>(MIN(E135,E134))</f>
        <v>0</v>
      </c>
      <c r="F136" s="308">
        <f>(MIN(F135,F134))</f>
        <v>0</v>
      </c>
      <c r="G136" s="598"/>
    </row>
    <row r="137" spans="1:7" s="24" customFormat="1" ht="19" thickBot="1" x14ac:dyDescent="0.5">
      <c r="A137" s="318" t="s">
        <v>913</v>
      </c>
      <c r="B137" s="180">
        <v>18</v>
      </c>
      <c r="C137" s="245">
        <f>C4*C136</f>
        <v>0</v>
      </c>
      <c r="D137" s="460">
        <f>D4*D136</f>
        <v>0</v>
      </c>
      <c r="E137" s="457">
        <f>E4*E136</f>
        <v>0</v>
      </c>
      <c r="F137" s="737">
        <f>F4*F136</f>
        <v>0</v>
      </c>
      <c r="G137" s="598"/>
    </row>
    <row r="138" spans="1:7" s="24" customFormat="1" x14ac:dyDescent="0.45">
      <c r="A138" s="248" t="s">
        <v>781</v>
      </c>
      <c r="B138" s="116"/>
      <c r="C138" s="246"/>
      <c r="D138" s="461"/>
      <c r="E138" s="587"/>
      <c r="F138" s="738"/>
      <c r="G138" s="598"/>
    </row>
    <row r="139" spans="1:7" s="24" customFormat="1" x14ac:dyDescent="0.45">
      <c r="A139" s="320" t="s">
        <v>694</v>
      </c>
      <c r="B139" s="115">
        <v>19</v>
      </c>
      <c r="C139" s="247">
        <f>C121+C125+C129</f>
        <v>0</v>
      </c>
      <c r="D139" s="462">
        <f>D121+D125+D129</f>
        <v>0</v>
      </c>
      <c r="E139" s="588">
        <f>E121+E125+E129</f>
        <v>0</v>
      </c>
      <c r="F139" s="588">
        <f>F121+F125+F129</f>
        <v>0</v>
      </c>
      <c r="G139" s="598"/>
    </row>
    <row r="140" spans="1:7" ht="34" x14ac:dyDescent="0.45">
      <c r="A140" s="582" t="s">
        <v>958</v>
      </c>
      <c r="B140" s="583">
        <v>20</v>
      </c>
      <c r="C140" s="584">
        <f>IF(C137&gt;C139,C137-C139,0)</f>
        <v>0</v>
      </c>
      <c r="D140" s="585">
        <f>IF(D137&gt;D139,D137-D139,0)</f>
        <v>0</v>
      </c>
      <c r="E140" s="588">
        <f>IF(E137&gt;E139,E137-E139,0)</f>
        <v>0</v>
      </c>
      <c r="F140" s="588">
        <f>IF(F137&gt;F139,F137-F139,0)</f>
        <v>0</v>
      </c>
    </row>
    <row r="141" spans="1:7" x14ac:dyDescent="0.45">
      <c r="A141" s="617" t="s">
        <v>919</v>
      </c>
      <c r="B141" s="618">
        <v>21</v>
      </c>
      <c r="C141" s="586"/>
      <c r="D141" s="590"/>
      <c r="E141" s="794">
        <f>VLOOKUP(Estimates!$B$1,CASH_FLOW,228,FALSE)</f>
        <v>0</v>
      </c>
      <c r="F141" s="794">
        <f>VLOOKUP(Estimates!$B$1,DPE,228,FALSE)</f>
        <v>0</v>
      </c>
    </row>
    <row r="142" spans="1:7" s="18" customFormat="1" ht="21.75" customHeight="1" thickBot="1" x14ac:dyDescent="0.55000000000000004">
      <c r="A142" s="619" t="s">
        <v>675</v>
      </c>
      <c r="B142" s="620"/>
      <c r="C142" s="468">
        <f>C129+C140</f>
        <v>0</v>
      </c>
      <c r="D142" s="463">
        <f>D129+D140</f>
        <v>0</v>
      </c>
      <c r="E142" s="589">
        <f>E127+E129+E141</f>
        <v>0</v>
      </c>
      <c r="F142" s="589">
        <f>F127+F129+F141</f>
        <v>0</v>
      </c>
      <c r="G142" s="604"/>
    </row>
    <row r="143" spans="1:7" s="18" customFormat="1" ht="19" thickTop="1" x14ac:dyDescent="0.45">
      <c r="A143" s="465"/>
      <c r="B143" s="465"/>
      <c r="C143" s="465"/>
      <c r="D143" s="558"/>
      <c r="E143" s="557"/>
      <c r="F143" s="465"/>
      <c r="G143" s="604"/>
    </row>
    <row r="144" spans="1:7" ht="40" customHeight="1" x14ac:dyDescent="0.45">
      <c r="A144" s="219" t="s">
        <v>782</v>
      </c>
      <c r="B144" s="556" t="s">
        <v>457</v>
      </c>
      <c r="C144" s="466">
        <f>C146-C145</f>
        <v>0</v>
      </c>
      <c r="D144" s="458">
        <f>D146-D145</f>
        <v>0</v>
      </c>
      <c r="E144" s="228">
        <f>E146-E145</f>
        <v>0</v>
      </c>
      <c r="F144" s="228">
        <f>F146-F145</f>
        <v>0</v>
      </c>
    </row>
    <row r="145" spans="1:7" ht="40" customHeight="1" x14ac:dyDescent="0.45">
      <c r="A145" s="219" t="s">
        <v>783</v>
      </c>
      <c r="B145" s="117" t="s">
        <v>456</v>
      </c>
      <c r="C145" s="466">
        <f>IF(C4=0,0,C64*C63)</f>
        <v>0</v>
      </c>
      <c r="D145" s="458">
        <f>IF($D$4=0,0,D64*D63)</f>
        <v>0</v>
      </c>
      <c r="E145" s="228">
        <f>IF($E$4=0,0,E64*E63)</f>
        <v>0</v>
      </c>
      <c r="F145" s="228">
        <f>IF($F$4=0,0,F64*F63)</f>
        <v>0</v>
      </c>
    </row>
    <row r="146" spans="1:7" s="18" customFormat="1" ht="40" customHeight="1" thickBot="1" x14ac:dyDescent="0.55000000000000004">
      <c r="A146" s="220" t="s">
        <v>676</v>
      </c>
      <c r="B146" s="221"/>
      <c r="C146" s="468">
        <f>C121+C125+C142</f>
        <v>0</v>
      </c>
      <c r="D146" s="464">
        <f>D121+D125+D142</f>
        <v>0</v>
      </c>
      <c r="E146" s="559">
        <f>E121+E125+E142</f>
        <v>0</v>
      </c>
      <c r="F146" s="739">
        <f>F121+F125+F142</f>
        <v>0</v>
      </c>
      <c r="G146" s="604"/>
    </row>
    <row r="147" spans="1:7" ht="19" thickTop="1" x14ac:dyDescent="0.45">
      <c r="A147" s="28"/>
      <c r="C147" s="114"/>
    </row>
    <row r="148" spans="1:7" x14ac:dyDescent="0.45">
      <c r="A148" s="28"/>
      <c r="C148" s="114"/>
    </row>
    <row r="151" spans="1:7" x14ac:dyDescent="0.45">
      <c r="C151" s="478"/>
    </row>
    <row r="163" spans="1:2" x14ac:dyDescent="0.45">
      <c r="A163" s="635" t="s">
        <v>868</v>
      </c>
      <c r="B163" s="631"/>
    </row>
    <row r="164" spans="1:2" x14ac:dyDescent="0.45">
      <c r="A164" s="639">
        <v>1.35</v>
      </c>
      <c r="B164" s="631"/>
    </row>
  </sheetData>
  <phoneticPr fontId="6" type="noConversion"/>
  <printOptions headings="1"/>
  <pageMargins left="0.45" right="0.45" top="0.75" bottom="0.75" header="0.3" footer="0.3"/>
  <pageSetup scale="58" fitToHeight="0" orientation="landscape" horizontalDpi="360" verticalDpi="360" r:id="rId1"/>
  <headerFooter>
    <oddHeader>&amp;C&amp;"Arial Nova,Bold"&amp;16House Bill 1525 Current Law SOF</oddHeader>
    <oddFooter>&amp;L&amp;"Arial Nova,Regular"&amp;14&amp;D
&amp;T&amp;C&amp;14 2021-2022 Version 3 
February 2022&amp;R&amp;"Arial Nova,Regular"&amp;14&amp;P of &amp;N</oddFooter>
  </headerFooter>
  <rowBreaks count="4" manualBreakCount="4">
    <brk id="30" max="5" man="1"/>
    <brk id="61" max="5" man="1"/>
    <brk id="95" max="5" man="1"/>
    <brk id="125" max="5" man="1"/>
  </rowBreak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79998168889431442"/>
    <pageSetUpPr fitToPage="1"/>
  </sheetPr>
  <dimension ref="A1:NRE103"/>
  <sheetViews>
    <sheetView zoomScaleNormal="100" workbookViewId="0">
      <selection activeCell="A97" sqref="A97"/>
    </sheetView>
  </sheetViews>
  <sheetFormatPr defaultColWidth="9" defaultRowHeight="20.149999999999999" customHeight="1" x14ac:dyDescent="0.45"/>
  <cols>
    <col min="1" max="1" width="99.81640625" style="22" bestFit="1" customWidth="1"/>
    <col min="2" max="2" width="15.7265625" style="28" customWidth="1"/>
    <col min="3" max="6" width="25.7265625" style="286" customWidth="1"/>
    <col min="7" max="9937" width="9" style="74"/>
    <col min="9938" max="16384" width="9" style="11"/>
  </cols>
  <sheetData>
    <row r="1" spans="1:9937" s="51" customFormat="1" ht="47" x14ac:dyDescent="0.25">
      <c r="A1" s="347" t="s">
        <v>821</v>
      </c>
      <c r="B1" s="348"/>
      <c r="C1" s="504" t="s">
        <v>822</v>
      </c>
      <c r="D1" s="504" t="s">
        <v>822</v>
      </c>
      <c r="E1" s="504" t="s">
        <v>822</v>
      </c>
      <c r="F1" s="504" t="s">
        <v>822</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row>
    <row r="2" spans="1:9937" s="30" customFormat="1" ht="31" x14ac:dyDescent="0.55000000000000004">
      <c r="A2" s="178" t="str">
        <f>VLOOKUP(A3,DATA!1:1048576,2,FALSE)</f>
        <v>CHARTER DISTRICT</v>
      </c>
      <c r="B2" s="95"/>
      <c r="C2" s="512" t="s">
        <v>823</v>
      </c>
      <c r="D2" s="512" t="s">
        <v>823</v>
      </c>
      <c r="E2" s="502" t="s">
        <v>823</v>
      </c>
      <c r="F2" s="502" t="s">
        <v>823</v>
      </c>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c r="IR2" s="97"/>
      <c r="IS2" s="97"/>
      <c r="IT2" s="97"/>
      <c r="IU2" s="97"/>
      <c r="IV2" s="97"/>
      <c r="IW2" s="97"/>
      <c r="IX2" s="97"/>
      <c r="IY2" s="97"/>
      <c r="IZ2" s="97"/>
      <c r="JA2" s="97"/>
      <c r="JB2" s="97"/>
      <c r="JC2" s="97"/>
      <c r="JD2" s="97"/>
      <c r="JE2" s="97"/>
      <c r="JF2" s="97"/>
      <c r="JG2" s="97"/>
      <c r="JH2" s="97"/>
      <c r="JI2" s="97"/>
      <c r="JJ2" s="97"/>
      <c r="JK2" s="97"/>
      <c r="JL2" s="97"/>
      <c r="JM2" s="97"/>
      <c r="JN2" s="97"/>
      <c r="JO2" s="97"/>
      <c r="JP2" s="97"/>
      <c r="JQ2" s="97"/>
      <c r="JR2" s="97"/>
      <c r="JS2" s="97"/>
      <c r="JT2" s="97"/>
      <c r="JU2" s="97"/>
      <c r="JV2" s="97"/>
      <c r="JW2" s="97"/>
      <c r="JX2" s="97"/>
      <c r="JY2" s="97"/>
      <c r="JZ2" s="97"/>
      <c r="KA2" s="97"/>
      <c r="KB2" s="97"/>
      <c r="KC2" s="97"/>
      <c r="KD2" s="97"/>
      <c r="KE2" s="97"/>
      <c r="KF2" s="97"/>
      <c r="KG2" s="97"/>
      <c r="KH2" s="97"/>
      <c r="KI2" s="97"/>
      <c r="KJ2" s="97"/>
      <c r="KK2" s="97"/>
      <c r="KL2" s="97"/>
      <c r="KM2" s="97"/>
      <c r="KN2" s="97"/>
      <c r="KO2" s="97"/>
      <c r="KP2" s="97"/>
      <c r="KQ2" s="97"/>
      <c r="KR2" s="97"/>
      <c r="KS2" s="97"/>
      <c r="KT2" s="97"/>
      <c r="KU2" s="97"/>
      <c r="KV2" s="97"/>
      <c r="KW2" s="97"/>
      <c r="KX2" s="97"/>
      <c r="KY2" s="97"/>
      <c r="KZ2" s="97"/>
      <c r="LA2" s="97"/>
      <c r="LB2" s="97"/>
      <c r="LC2" s="97"/>
      <c r="LD2" s="97"/>
      <c r="LE2" s="97"/>
      <c r="LF2" s="97"/>
      <c r="LG2" s="97"/>
      <c r="LH2" s="97"/>
      <c r="LI2" s="97"/>
      <c r="LJ2" s="97"/>
      <c r="LK2" s="97"/>
      <c r="LL2" s="97"/>
      <c r="LM2" s="97"/>
      <c r="LN2" s="97"/>
      <c r="LO2" s="97"/>
      <c r="LP2" s="97"/>
      <c r="LQ2" s="97"/>
      <c r="LR2" s="97"/>
      <c r="LS2" s="97"/>
      <c r="LT2" s="97"/>
      <c r="LU2" s="97"/>
      <c r="LV2" s="97"/>
      <c r="LW2" s="97"/>
      <c r="LX2" s="97"/>
      <c r="LY2" s="97"/>
      <c r="LZ2" s="97"/>
      <c r="MA2" s="97"/>
      <c r="MB2" s="97"/>
      <c r="MC2" s="97"/>
      <c r="MD2" s="97"/>
      <c r="ME2" s="97"/>
      <c r="MF2" s="97"/>
      <c r="MG2" s="97"/>
      <c r="MH2" s="97"/>
      <c r="MI2" s="97"/>
      <c r="MJ2" s="97"/>
      <c r="MK2" s="97"/>
      <c r="ML2" s="97"/>
      <c r="MM2" s="97"/>
      <c r="MN2" s="97"/>
      <c r="MO2" s="97"/>
      <c r="MP2" s="97"/>
      <c r="MQ2" s="97"/>
      <c r="MR2" s="97"/>
      <c r="MS2" s="97"/>
      <c r="MT2" s="97"/>
      <c r="MU2" s="97"/>
      <c r="MV2" s="97"/>
      <c r="MW2" s="97"/>
      <c r="MX2" s="97"/>
      <c r="MY2" s="97"/>
      <c r="MZ2" s="97"/>
      <c r="NA2" s="97"/>
      <c r="NB2" s="97"/>
      <c r="NC2" s="97"/>
      <c r="ND2" s="97"/>
      <c r="NE2" s="97"/>
      <c r="NF2" s="97"/>
      <c r="NG2" s="97"/>
      <c r="NH2" s="97"/>
      <c r="NI2" s="97"/>
      <c r="NJ2" s="97"/>
      <c r="NK2" s="97"/>
      <c r="NL2" s="97"/>
      <c r="NM2" s="97"/>
      <c r="NN2" s="97"/>
      <c r="NO2" s="97"/>
      <c r="NP2" s="97"/>
      <c r="NQ2" s="97"/>
      <c r="NR2" s="97"/>
      <c r="NS2" s="97"/>
      <c r="NT2" s="97"/>
      <c r="NU2" s="97"/>
      <c r="NV2" s="97"/>
      <c r="NW2" s="97"/>
      <c r="NX2" s="97"/>
      <c r="NY2" s="97"/>
      <c r="NZ2" s="97"/>
      <c r="OA2" s="97"/>
      <c r="OB2" s="97"/>
      <c r="OC2" s="97"/>
      <c r="OD2" s="97"/>
      <c r="OE2" s="97"/>
      <c r="OF2" s="97"/>
      <c r="OG2" s="97"/>
      <c r="OH2" s="97"/>
      <c r="OI2" s="97"/>
      <c r="OJ2" s="97"/>
      <c r="OK2" s="97"/>
      <c r="OL2" s="97"/>
      <c r="OM2" s="97"/>
      <c r="ON2" s="97"/>
      <c r="OO2" s="97"/>
      <c r="OP2" s="97"/>
      <c r="OQ2" s="97"/>
      <c r="OR2" s="97"/>
      <c r="OS2" s="97"/>
      <c r="OT2" s="97"/>
      <c r="OU2" s="97"/>
      <c r="OV2" s="97"/>
      <c r="OW2" s="97"/>
      <c r="OX2" s="97"/>
      <c r="OY2" s="97"/>
      <c r="OZ2" s="97"/>
      <c r="PA2" s="97"/>
      <c r="PB2" s="97"/>
      <c r="PC2" s="97"/>
      <c r="PD2" s="97"/>
      <c r="PE2" s="97"/>
      <c r="PF2" s="97"/>
      <c r="PG2" s="97"/>
      <c r="PH2" s="97"/>
      <c r="PI2" s="97"/>
      <c r="PJ2" s="97"/>
      <c r="PK2" s="97"/>
      <c r="PL2" s="97"/>
      <c r="PM2" s="97"/>
      <c r="PN2" s="97"/>
      <c r="PO2" s="97"/>
      <c r="PP2" s="97"/>
      <c r="PQ2" s="97"/>
      <c r="PR2" s="97"/>
      <c r="PS2" s="97"/>
      <c r="PT2" s="97"/>
      <c r="PU2" s="97"/>
      <c r="PV2" s="97"/>
      <c r="PW2" s="97"/>
      <c r="PX2" s="97"/>
      <c r="PY2" s="97"/>
      <c r="PZ2" s="97"/>
      <c r="QA2" s="97"/>
      <c r="QB2" s="97"/>
      <c r="QC2" s="97"/>
      <c r="QD2" s="97"/>
      <c r="QE2" s="97"/>
      <c r="QF2" s="97"/>
      <c r="QG2" s="97"/>
      <c r="QH2" s="97"/>
      <c r="QI2" s="97"/>
      <c r="QJ2" s="97"/>
      <c r="QK2" s="97"/>
      <c r="QL2" s="97"/>
      <c r="QM2" s="97"/>
      <c r="QN2" s="97"/>
      <c r="QO2" s="97"/>
      <c r="QP2" s="97"/>
      <c r="QQ2" s="97"/>
      <c r="QR2" s="97"/>
      <c r="QS2" s="97"/>
      <c r="QT2" s="97"/>
      <c r="QU2" s="97"/>
      <c r="QV2" s="97"/>
      <c r="QW2" s="97"/>
      <c r="QX2" s="97"/>
      <c r="QY2" s="97"/>
      <c r="QZ2" s="97"/>
      <c r="RA2" s="97"/>
      <c r="RB2" s="97"/>
      <c r="RC2" s="97"/>
      <c r="RD2" s="97"/>
      <c r="RE2" s="97"/>
      <c r="RF2" s="97"/>
      <c r="RG2" s="97"/>
      <c r="RH2" s="97"/>
      <c r="RI2" s="97"/>
      <c r="RJ2" s="97"/>
      <c r="RK2" s="97"/>
      <c r="RL2" s="97"/>
      <c r="RM2" s="97"/>
      <c r="RN2" s="97"/>
      <c r="RO2" s="97"/>
      <c r="RP2" s="97"/>
      <c r="RQ2" s="97"/>
      <c r="RR2" s="97"/>
      <c r="RS2" s="97"/>
      <c r="RT2" s="97"/>
      <c r="RU2" s="97"/>
      <c r="RV2" s="97"/>
      <c r="RW2" s="97"/>
      <c r="RX2" s="97"/>
      <c r="RY2" s="97"/>
      <c r="RZ2" s="97"/>
      <c r="SA2" s="97"/>
      <c r="SB2" s="97"/>
      <c r="SC2" s="97"/>
      <c r="SD2" s="97"/>
      <c r="SE2" s="97"/>
      <c r="SF2" s="97"/>
      <c r="SG2" s="97"/>
      <c r="SH2" s="97"/>
      <c r="SI2" s="97"/>
      <c r="SJ2" s="97"/>
      <c r="SK2" s="97"/>
      <c r="SL2" s="97"/>
      <c r="SM2" s="97"/>
      <c r="SN2" s="97"/>
      <c r="SO2" s="97"/>
      <c r="SP2" s="97"/>
      <c r="SQ2" s="97"/>
      <c r="SR2" s="97"/>
      <c r="SS2" s="97"/>
      <c r="ST2" s="97"/>
      <c r="SU2" s="97"/>
      <c r="SV2" s="97"/>
      <c r="SW2" s="97"/>
      <c r="SX2" s="97"/>
      <c r="SY2" s="97"/>
      <c r="SZ2" s="97"/>
      <c r="TA2" s="97"/>
      <c r="TB2" s="97"/>
      <c r="TC2" s="97"/>
      <c r="TD2" s="97"/>
      <c r="TE2" s="97"/>
      <c r="TF2" s="97"/>
      <c r="TG2" s="97"/>
      <c r="TH2" s="97"/>
      <c r="TI2" s="97"/>
      <c r="TJ2" s="97"/>
      <c r="TK2" s="97"/>
      <c r="TL2" s="97"/>
      <c r="TM2" s="97"/>
      <c r="TN2" s="97"/>
      <c r="TO2" s="97"/>
      <c r="TP2" s="97"/>
      <c r="TQ2" s="97"/>
      <c r="TR2" s="97"/>
      <c r="TS2" s="97"/>
      <c r="TT2" s="97"/>
      <c r="TU2" s="97"/>
      <c r="TV2" s="97"/>
      <c r="TW2" s="97"/>
      <c r="TX2" s="97"/>
      <c r="TY2" s="97"/>
      <c r="TZ2" s="97"/>
      <c r="UA2" s="97"/>
      <c r="UB2" s="97"/>
      <c r="UC2" s="97"/>
      <c r="UD2" s="97"/>
      <c r="UE2" s="97"/>
      <c r="UF2" s="97"/>
      <c r="UG2" s="97"/>
      <c r="UH2" s="97"/>
      <c r="UI2" s="97"/>
      <c r="UJ2" s="97"/>
      <c r="UK2" s="97"/>
      <c r="UL2" s="97"/>
      <c r="UM2" s="97"/>
      <c r="UN2" s="97"/>
      <c r="UO2" s="97"/>
      <c r="UP2" s="97"/>
      <c r="UQ2" s="97"/>
      <c r="UR2" s="97"/>
      <c r="US2" s="97"/>
      <c r="UT2" s="97"/>
      <c r="UU2" s="97"/>
      <c r="UV2" s="97"/>
      <c r="UW2" s="97"/>
      <c r="UX2" s="97"/>
      <c r="UY2" s="97"/>
      <c r="UZ2" s="97"/>
      <c r="VA2" s="97"/>
      <c r="VB2" s="97"/>
      <c r="VC2" s="97"/>
      <c r="VD2" s="97"/>
      <c r="VE2" s="97"/>
      <c r="VF2" s="97"/>
      <c r="VG2" s="97"/>
      <c r="VH2" s="97"/>
      <c r="VI2" s="97"/>
      <c r="VJ2" s="97"/>
      <c r="VK2" s="97"/>
      <c r="VL2" s="97"/>
      <c r="VM2" s="97"/>
      <c r="VN2" s="97"/>
      <c r="VO2" s="97"/>
      <c r="VP2" s="97"/>
      <c r="VQ2" s="97"/>
      <c r="VR2" s="97"/>
      <c r="VS2" s="97"/>
      <c r="VT2" s="97"/>
      <c r="VU2" s="97"/>
      <c r="VV2" s="97"/>
      <c r="VW2" s="97"/>
      <c r="VX2" s="97"/>
      <c r="VY2" s="97"/>
      <c r="VZ2" s="97"/>
      <c r="WA2" s="97"/>
      <c r="WB2" s="97"/>
      <c r="WC2" s="97"/>
      <c r="WD2" s="97"/>
      <c r="WE2" s="97"/>
      <c r="WF2" s="97"/>
      <c r="WG2" s="97"/>
      <c r="WH2" s="97"/>
      <c r="WI2" s="97"/>
      <c r="WJ2" s="97"/>
      <c r="WK2" s="97"/>
      <c r="WL2" s="97"/>
      <c r="WM2" s="97"/>
      <c r="WN2" s="97"/>
      <c r="WO2" s="97"/>
      <c r="WP2" s="97"/>
      <c r="WQ2" s="97"/>
      <c r="WR2" s="97"/>
      <c r="WS2" s="97"/>
      <c r="WT2" s="97"/>
      <c r="WU2" s="97"/>
      <c r="WV2" s="97"/>
      <c r="WW2" s="97"/>
      <c r="WX2" s="97"/>
      <c r="WY2" s="97"/>
      <c r="WZ2" s="97"/>
      <c r="XA2" s="97"/>
      <c r="XB2" s="97"/>
      <c r="XC2" s="97"/>
      <c r="XD2" s="97"/>
      <c r="XE2" s="97"/>
      <c r="XF2" s="97"/>
      <c r="XG2" s="97"/>
      <c r="XH2" s="97"/>
      <c r="XI2" s="97"/>
      <c r="XJ2" s="97"/>
      <c r="XK2" s="97"/>
      <c r="XL2" s="97"/>
      <c r="XM2" s="97"/>
      <c r="XN2" s="97"/>
      <c r="XO2" s="97"/>
      <c r="XP2" s="97"/>
      <c r="XQ2" s="97"/>
      <c r="XR2" s="97"/>
      <c r="XS2" s="97"/>
      <c r="XT2" s="97"/>
      <c r="XU2" s="97"/>
      <c r="XV2" s="97"/>
      <c r="XW2" s="97"/>
      <c r="XX2" s="97"/>
      <c r="XY2" s="97"/>
      <c r="XZ2" s="97"/>
      <c r="YA2" s="97"/>
      <c r="YB2" s="97"/>
      <c r="YC2" s="97"/>
      <c r="YD2" s="97"/>
      <c r="YE2" s="97"/>
      <c r="YF2" s="97"/>
      <c r="YG2" s="97"/>
      <c r="YH2" s="97"/>
      <c r="YI2" s="97"/>
      <c r="YJ2" s="97"/>
      <c r="YK2" s="97"/>
      <c r="YL2" s="97"/>
      <c r="YM2" s="97"/>
      <c r="YN2" s="97"/>
      <c r="YO2" s="97"/>
      <c r="YP2" s="97"/>
      <c r="YQ2" s="97"/>
      <c r="YR2" s="97"/>
      <c r="YS2" s="97"/>
      <c r="YT2" s="97"/>
      <c r="YU2" s="97"/>
      <c r="YV2" s="97"/>
      <c r="YW2" s="97"/>
      <c r="YX2" s="97"/>
      <c r="YY2" s="97"/>
      <c r="YZ2" s="97"/>
      <c r="ZA2" s="97"/>
      <c r="ZB2" s="97"/>
      <c r="ZC2" s="97"/>
      <c r="ZD2" s="97"/>
      <c r="ZE2" s="97"/>
      <c r="ZF2" s="97"/>
      <c r="ZG2" s="97"/>
      <c r="ZH2" s="97"/>
      <c r="ZI2" s="97"/>
      <c r="ZJ2" s="97"/>
      <c r="ZK2" s="97"/>
      <c r="ZL2" s="97"/>
      <c r="ZM2" s="97"/>
      <c r="ZN2" s="97"/>
      <c r="ZO2" s="97"/>
      <c r="ZP2" s="97"/>
      <c r="ZQ2" s="97"/>
      <c r="ZR2" s="97"/>
      <c r="ZS2" s="97"/>
      <c r="ZT2" s="97"/>
      <c r="ZU2" s="97"/>
      <c r="ZV2" s="97"/>
      <c r="ZW2" s="97"/>
      <c r="ZX2" s="97"/>
      <c r="ZY2" s="97"/>
      <c r="ZZ2" s="97"/>
      <c r="AAA2" s="97"/>
      <c r="AAB2" s="97"/>
      <c r="AAC2" s="97"/>
      <c r="AAD2" s="97"/>
      <c r="AAE2" s="97"/>
      <c r="AAF2" s="97"/>
      <c r="AAG2" s="97"/>
      <c r="AAH2" s="97"/>
      <c r="AAI2" s="97"/>
      <c r="AAJ2" s="97"/>
      <c r="AAK2" s="97"/>
      <c r="AAL2" s="97"/>
      <c r="AAM2" s="97"/>
      <c r="AAN2" s="97"/>
      <c r="AAO2" s="97"/>
      <c r="AAP2" s="97"/>
      <c r="AAQ2" s="97"/>
      <c r="AAR2" s="97"/>
      <c r="AAS2" s="97"/>
      <c r="AAT2" s="97"/>
      <c r="AAU2" s="97"/>
      <c r="AAV2" s="97"/>
      <c r="AAW2" s="97"/>
      <c r="AAX2" s="97"/>
      <c r="AAY2" s="97"/>
      <c r="AAZ2" s="97"/>
      <c r="ABA2" s="97"/>
      <c r="ABB2" s="97"/>
      <c r="ABC2" s="97"/>
      <c r="ABD2" s="97"/>
      <c r="ABE2" s="97"/>
      <c r="ABF2" s="97"/>
      <c r="ABG2" s="97"/>
      <c r="ABH2" s="97"/>
      <c r="ABI2" s="97"/>
      <c r="ABJ2" s="97"/>
      <c r="ABK2" s="97"/>
      <c r="ABL2" s="97"/>
      <c r="ABM2" s="97"/>
      <c r="ABN2" s="97"/>
      <c r="ABO2" s="97"/>
      <c r="ABP2" s="97"/>
      <c r="ABQ2" s="97"/>
      <c r="ABR2" s="97"/>
      <c r="ABS2" s="97"/>
      <c r="ABT2" s="97"/>
      <c r="ABU2" s="97"/>
      <c r="ABV2" s="97"/>
      <c r="ABW2" s="97"/>
      <c r="ABX2" s="97"/>
      <c r="ABY2" s="97"/>
      <c r="ABZ2" s="97"/>
      <c r="ACA2" s="97"/>
      <c r="ACB2" s="97"/>
      <c r="ACC2" s="97"/>
      <c r="ACD2" s="97"/>
      <c r="ACE2" s="97"/>
      <c r="ACF2" s="97"/>
      <c r="ACG2" s="97"/>
      <c r="ACH2" s="97"/>
      <c r="ACI2" s="97"/>
      <c r="ACJ2" s="97"/>
      <c r="ACK2" s="97"/>
      <c r="ACL2" s="97"/>
      <c r="ACM2" s="97"/>
      <c r="ACN2" s="97"/>
      <c r="ACO2" s="97"/>
      <c r="ACP2" s="97"/>
      <c r="ACQ2" s="97"/>
      <c r="ACR2" s="97"/>
      <c r="ACS2" s="97"/>
      <c r="ACT2" s="97"/>
      <c r="ACU2" s="97"/>
      <c r="ACV2" s="97"/>
      <c r="ACW2" s="97"/>
      <c r="ACX2" s="97"/>
      <c r="ACY2" s="97"/>
      <c r="ACZ2" s="97"/>
      <c r="ADA2" s="97"/>
      <c r="ADB2" s="97"/>
      <c r="ADC2" s="97"/>
      <c r="ADD2" s="97"/>
      <c r="ADE2" s="97"/>
      <c r="ADF2" s="97"/>
      <c r="ADG2" s="97"/>
      <c r="ADH2" s="97"/>
      <c r="ADI2" s="97"/>
      <c r="ADJ2" s="97"/>
      <c r="ADK2" s="97"/>
      <c r="ADL2" s="97"/>
      <c r="ADM2" s="97"/>
      <c r="ADN2" s="97"/>
      <c r="ADO2" s="97"/>
      <c r="ADP2" s="97"/>
      <c r="ADQ2" s="97"/>
      <c r="ADR2" s="97"/>
      <c r="ADS2" s="97"/>
      <c r="ADT2" s="97"/>
      <c r="ADU2" s="97"/>
      <c r="ADV2" s="97"/>
      <c r="ADW2" s="97"/>
      <c r="ADX2" s="97"/>
      <c r="ADY2" s="97"/>
      <c r="ADZ2" s="97"/>
      <c r="AEA2" s="97"/>
      <c r="AEB2" s="97"/>
      <c r="AEC2" s="97"/>
      <c r="AED2" s="97"/>
      <c r="AEE2" s="97"/>
      <c r="AEF2" s="97"/>
      <c r="AEG2" s="97"/>
      <c r="AEH2" s="97"/>
      <c r="AEI2" s="97"/>
      <c r="AEJ2" s="97"/>
      <c r="AEK2" s="97"/>
      <c r="AEL2" s="97"/>
      <c r="AEM2" s="97"/>
      <c r="AEN2" s="97"/>
      <c r="AEO2" s="97"/>
      <c r="AEP2" s="97"/>
      <c r="AEQ2" s="97"/>
      <c r="AER2" s="97"/>
      <c r="AES2" s="97"/>
      <c r="AET2" s="97"/>
      <c r="AEU2" s="97"/>
      <c r="AEV2" s="97"/>
      <c r="AEW2" s="97"/>
      <c r="AEX2" s="97"/>
      <c r="AEY2" s="97"/>
      <c r="AEZ2" s="97"/>
      <c r="AFA2" s="97"/>
      <c r="AFB2" s="97"/>
      <c r="AFC2" s="97"/>
      <c r="AFD2" s="97"/>
      <c r="AFE2" s="97"/>
      <c r="AFF2" s="97"/>
      <c r="AFG2" s="97"/>
      <c r="AFH2" s="97"/>
      <c r="AFI2" s="97"/>
      <c r="AFJ2" s="97"/>
      <c r="AFK2" s="97"/>
      <c r="AFL2" s="97"/>
      <c r="AFM2" s="97"/>
      <c r="AFN2" s="97"/>
      <c r="AFO2" s="97"/>
      <c r="AFP2" s="97"/>
      <c r="AFQ2" s="97"/>
      <c r="AFR2" s="97"/>
      <c r="AFS2" s="97"/>
      <c r="AFT2" s="97"/>
      <c r="AFU2" s="97"/>
      <c r="AFV2" s="97"/>
      <c r="AFW2" s="97"/>
      <c r="AFX2" s="97"/>
      <c r="AFY2" s="97"/>
      <c r="AFZ2" s="97"/>
      <c r="AGA2" s="97"/>
      <c r="AGB2" s="97"/>
      <c r="AGC2" s="97"/>
      <c r="AGD2" s="97"/>
      <c r="AGE2" s="97"/>
      <c r="AGF2" s="97"/>
      <c r="AGG2" s="97"/>
      <c r="AGH2" s="97"/>
      <c r="AGI2" s="97"/>
      <c r="AGJ2" s="97"/>
      <c r="AGK2" s="97"/>
      <c r="AGL2" s="97"/>
      <c r="AGM2" s="97"/>
      <c r="AGN2" s="97"/>
      <c r="AGO2" s="97"/>
      <c r="AGP2" s="97"/>
      <c r="AGQ2" s="97"/>
      <c r="AGR2" s="97"/>
      <c r="AGS2" s="97"/>
      <c r="AGT2" s="97"/>
      <c r="AGU2" s="97"/>
      <c r="AGV2" s="97"/>
      <c r="AGW2" s="97"/>
      <c r="AGX2" s="97"/>
      <c r="AGY2" s="97"/>
      <c r="AGZ2" s="97"/>
      <c r="AHA2" s="97"/>
      <c r="AHB2" s="97"/>
      <c r="AHC2" s="97"/>
      <c r="AHD2" s="97"/>
      <c r="AHE2" s="97"/>
      <c r="AHF2" s="97"/>
      <c r="AHG2" s="97"/>
      <c r="AHH2" s="97"/>
      <c r="AHI2" s="97"/>
      <c r="AHJ2" s="97"/>
      <c r="AHK2" s="97"/>
      <c r="AHL2" s="97"/>
      <c r="AHM2" s="97"/>
      <c r="AHN2" s="97"/>
      <c r="AHO2" s="97"/>
      <c r="AHP2" s="97"/>
      <c r="AHQ2" s="97"/>
      <c r="AHR2" s="97"/>
      <c r="AHS2" s="97"/>
      <c r="AHT2" s="97"/>
      <c r="AHU2" s="97"/>
      <c r="AHV2" s="97"/>
      <c r="AHW2" s="97"/>
      <c r="AHX2" s="97"/>
      <c r="AHY2" s="97"/>
      <c r="AHZ2" s="97"/>
      <c r="AIA2" s="97"/>
      <c r="AIB2" s="97"/>
      <c r="AIC2" s="97"/>
      <c r="AID2" s="97"/>
      <c r="AIE2" s="97"/>
      <c r="AIF2" s="97"/>
      <c r="AIG2" s="97"/>
      <c r="AIH2" s="97"/>
      <c r="AII2" s="97"/>
      <c r="AIJ2" s="97"/>
      <c r="AIK2" s="97"/>
      <c r="AIL2" s="97"/>
      <c r="AIM2" s="97"/>
      <c r="AIN2" s="97"/>
      <c r="AIO2" s="97"/>
      <c r="AIP2" s="97"/>
      <c r="AIQ2" s="97"/>
      <c r="AIR2" s="97"/>
      <c r="AIS2" s="97"/>
      <c r="AIT2" s="97"/>
      <c r="AIU2" s="97"/>
      <c r="AIV2" s="97"/>
      <c r="AIW2" s="97"/>
      <c r="AIX2" s="97"/>
      <c r="AIY2" s="97"/>
      <c r="AIZ2" s="97"/>
      <c r="AJA2" s="97"/>
      <c r="AJB2" s="97"/>
      <c r="AJC2" s="97"/>
      <c r="AJD2" s="97"/>
      <c r="AJE2" s="97"/>
      <c r="AJF2" s="97"/>
      <c r="AJG2" s="97"/>
      <c r="AJH2" s="97"/>
      <c r="AJI2" s="97"/>
      <c r="AJJ2" s="97"/>
      <c r="AJK2" s="97"/>
      <c r="AJL2" s="97"/>
      <c r="AJM2" s="97"/>
      <c r="AJN2" s="97"/>
      <c r="AJO2" s="97"/>
      <c r="AJP2" s="97"/>
      <c r="AJQ2" s="97"/>
      <c r="AJR2" s="97"/>
      <c r="AJS2" s="97"/>
      <c r="AJT2" s="97"/>
      <c r="AJU2" s="97"/>
      <c r="AJV2" s="97"/>
      <c r="AJW2" s="97"/>
      <c r="AJX2" s="97"/>
      <c r="AJY2" s="97"/>
      <c r="AJZ2" s="97"/>
      <c r="AKA2" s="97"/>
      <c r="AKB2" s="97"/>
      <c r="AKC2" s="97"/>
      <c r="AKD2" s="97"/>
      <c r="AKE2" s="97"/>
      <c r="AKF2" s="97"/>
      <c r="AKG2" s="97"/>
      <c r="AKH2" s="97"/>
      <c r="AKI2" s="97"/>
      <c r="AKJ2" s="97"/>
      <c r="AKK2" s="97"/>
      <c r="AKL2" s="97"/>
      <c r="AKM2" s="97"/>
      <c r="AKN2" s="97"/>
      <c r="AKO2" s="97"/>
      <c r="AKP2" s="97"/>
      <c r="AKQ2" s="97"/>
      <c r="AKR2" s="97"/>
      <c r="AKS2" s="97"/>
      <c r="AKT2" s="97"/>
      <c r="AKU2" s="97"/>
      <c r="AKV2" s="97"/>
      <c r="AKW2" s="97"/>
      <c r="AKX2" s="97"/>
      <c r="AKY2" s="97"/>
      <c r="AKZ2" s="97"/>
      <c r="ALA2" s="97"/>
      <c r="ALB2" s="97"/>
      <c r="ALC2" s="97"/>
      <c r="ALD2" s="97"/>
      <c r="ALE2" s="97"/>
      <c r="ALF2" s="97"/>
      <c r="ALG2" s="97"/>
      <c r="ALH2" s="97"/>
      <c r="ALI2" s="97"/>
      <c r="ALJ2" s="97"/>
      <c r="ALK2" s="97"/>
      <c r="ALL2" s="97"/>
      <c r="ALM2" s="97"/>
      <c r="ALN2" s="97"/>
      <c r="ALO2" s="97"/>
      <c r="ALP2" s="97"/>
      <c r="ALQ2" s="97"/>
      <c r="ALR2" s="97"/>
      <c r="ALS2" s="97"/>
      <c r="ALT2" s="97"/>
      <c r="ALU2" s="97"/>
      <c r="ALV2" s="97"/>
      <c r="ALW2" s="97"/>
      <c r="ALX2" s="97"/>
      <c r="ALY2" s="97"/>
      <c r="ALZ2" s="97"/>
      <c r="AMA2" s="97"/>
      <c r="AMB2" s="97"/>
      <c r="AMC2" s="97"/>
      <c r="AMD2" s="97"/>
      <c r="AME2" s="97"/>
      <c r="AMF2" s="97"/>
      <c r="AMG2" s="97"/>
      <c r="AMH2" s="97"/>
      <c r="AMI2" s="97"/>
      <c r="AMJ2" s="97"/>
      <c r="AMK2" s="97"/>
      <c r="AML2" s="97"/>
      <c r="AMM2" s="97"/>
      <c r="AMN2" s="97"/>
      <c r="AMO2" s="97"/>
      <c r="AMP2" s="97"/>
      <c r="AMQ2" s="97"/>
      <c r="AMR2" s="97"/>
      <c r="AMS2" s="97"/>
      <c r="AMT2" s="97"/>
      <c r="AMU2" s="97"/>
      <c r="AMV2" s="97"/>
      <c r="AMW2" s="97"/>
      <c r="AMX2" s="97"/>
      <c r="AMY2" s="97"/>
      <c r="AMZ2" s="97"/>
      <c r="ANA2" s="97"/>
      <c r="ANB2" s="97"/>
      <c r="ANC2" s="97"/>
      <c r="AND2" s="97"/>
      <c r="ANE2" s="97"/>
      <c r="ANF2" s="97"/>
      <c r="ANG2" s="97"/>
      <c r="ANH2" s="97"/>
      <c r="ANI2" s="97"/>
      <c r="ANJ2" s="97"/>
      <c r="ANK2" s="97"/>
      <c r="ANL2" s="97"/>
      <c r="ANM2" s="97"/>
      <c r="ANN2" s="97"/>
      <c r="ANO2" s="97"/>
      <c r="ANP2" s="97"/>
      <c r="ANQ2" s="97"/>
      <c r="ANR2" s="97"/>
      <c r="ANS2" s="97"/>
      <c r="ANT2" s="97"/>
      <c r="ANU2" s="97"/>
      <c r="ANV2" s="97"/>
      <c r="ANW2" s="97"/>
      <c r="ANX2" s="97"/>
      <c r="ANY2" s="97"/>
      <c r="ANZ2" s="97"/>
      <c r="AOA2" s="97"/>
      <c r="AOB2" s="97"/>
      <c r="AOC2" s="97"/>
      <c r="AOD2" s="97"/>
      <c r="AOE2" s="97"/>
      <c r="AOF2" s="97"/>
      <c r="AOG2" s="97"/>
      <c r="AOH2" s="97"/>
      <c r="AOI2" s="97"/>
      <c r="AOJ2" s="97"/>
      <c r="AOK2" s="97"/>
      <c r="AOL2" s="97"/>
      <c r="AOM2" s="97"/>
      <c r="AON2" s="97"/>
      <c r="AOO2" s="97"/>
      <c r="AOP2" s="97"/>
      <c r="AOQ2" s="97"/>
      <c r="AOR2" s="97"/>
      <c r="AOS2" s="97"/>
      <c r="AOT2" s="97"/>
      <c r="AOU2" s="97"/>
      <c r="AOV2" s="97"/>
      <c r="AOW2" s="97"/>
      <c r="AOX2" s="97"/>
      <c r="AOY2" s="97"/>
      <c r="AOZ2" s="97"/>
      <c r="APA2" s="97"/>
      <c r="APB2" s="97"/>
      <c r="APC2" s="97"/>
      <c r="APD2" s="97"/>
      <c r="APE2" s="97"/>
      <c r="APF2" s="97"/>
      <c r="APG2" s="97"/>
      <c r="APH2" s="97"/>
      <c r="API2" s="97"/>
      <c r="APJ2" s="97"/>
      <c r="APK2" s="97"/>
      <c r="APL2" s="97"/>
      <c r="APM2" s="97"/>
      <c r="APN2" s="97"/>
      <c r="APO2" s="97"/>
      <c r="APP2" s="97"/>
      <c r="APQ2" s="97"/>
      <c r="APR2" s="97"/>
      <c r="APS2" s="97"/>
      <c r="APT2" s="97"/>
      <c r="APU2" s="97"/>
      <c r="APV2" s="97"/>
      <c r="APW2" s="97"/>
      <c r="APX2" s="97"/>
      <c r="APY2" s="97"/>
      <c r="APZ2" s="97"/>
      <c r="AQA2" s="97"/>
      <c r="AQB2" s="97"/>
      <c r="AQC2" s="97"/>
      <c r="AQD2" s="97"/>
      <c r="AQE2" s="97"/>
      <c r="AQF2" s="97"/>
      <c r="AQG2" s="97"/>
      <c r="AQH2" s="97"/>
      <c r="AQI2" s="97"/>
      <c r="AQJ2" s="97"/>
      <c r="AQK2" s="97"/>
      <c r="AQL2" s="97"/>
      <c r="AQM2" s="97"/>
      <c r="AQN2" s="97"/>
      <c r="AQO2" s="97"/>
      <c r="AQP2" s="97"/>
      <c r="AQQ2" s="97"/>
      <c r="AQR2" s="97"/>
      <c r="AQS2" s="97"/>
      <c r="AQT2" s="97"/>
      <c r="AQU2" s="97"/>
      <c r="AQV2" s="97"/>
      <c r="AQW2" s="97"/>
      <c r="AQX2" s="97"/>
      <c r="AQY2" s="97"/>
      <c r="AQZ2" s="97"/>
      <c r="ARA2" s="97"/>
      <c r="ARB2" s="97"/>
      <c r="ARC2" s="97"/>
      <c r="ARD2" s="97"/>
      <c r="ARE2" s="97"/>
      <c r="ARF2" s="97"/>
      <c r="ARG2" s="97"/>
      <c r="ARH2" s="97"/>
      <c r="ARI2" s="97"/>
      <c r="ARJ2" s="97"/>
      <c r="ARK2" s="97"/>
      <c r="ARL2" s="97"/>
      <c r="ARM2" s="97"/>
      <c r="ARN2" s="97"/>
      <c r="ARO2" s="97"/>
      <c r="ARP2" s="97"/>
      <c r="ARQ2" s="97"/>
      <c r="ARR2" s="97"/>
      <c r="ARS2" s="97"/>
      <c r="ART2" s="97"/>
      <c r="ARU2" s="97"/>
      <c r="ARV2" s="97"/>
      <c r="ARW2" s="97"/>
      <c r="ARX2" s="97"/>
      <c r="ARY2" s="97"/>
      <c r="ARZ2" s="97"/>
      <c r="ASA2" s="97"/>
      <c r="ASB2" s="97"/>
      <c r="ASC2" s="97"/>
      <c r="ASD2" s="97"/>
      <c r="ASE2" s="97"/>
      <c r="ASF2" s="97"/>
      <c r="ASG2" s="97"/>
      <c r="ASH2" s="97"/>
      <c r="ASI2" s="97"/>
      <c r="ASJ2" s="97"/>
      <c r="ASK2" s="97"/>
      <c r="ASL2" s="97"/>
      <c r="ASM2" s="97"/>
      <c r="ASN2" s="97"/>
      <c r="ASO2" s="97"/>
      <c r="ASP2" s="97"/>
      <c r="ASQ2" s="97"/>
      <c r="ASR2" s="97"/>
      <c r="ASS2" s="97"/>
      <c r="AST2" s="97"/>
      <c r="ASU2" s="97"/>
      <c r="ASV2" s="97"/>
      <c r="ASW2" s="97"/>
      <c r="ASX2" s="97"/>
      <c r="ASY2" s="97"/>
      <c r="ASZ2" s="97"/>
      <c r="ATA2" s="97"/>
      <c r="ATB2" s="97"/>
      <c r="ATC2" s="97"/>
      <c r="ATD2" s="97"/>
      <c r="ATE2" s="97"/>
      <c r="ATF2" s="97"/>
      <c r="ATG2" s="97"/>
      <c r="ATH2" s="97"/>
      <c r="ATI2" s="97"/>
      <c r="ATJ2" s="97"/>
      <c r="ATK2" s="97"/>
      <c r="ATL2" s="97"/>
      <c r="ATM2" s="97"/>
      <c r="ATN2" s="97"/>
      <c r="ATO2" s="97"/>
      <c r="ATP2" s="97"/>
      <c r="ATQ2" s="97"/>
      <c r="ATR2" s="97"/>
      <c r="ATS2" s="97"/>
      <c r="ATT2" s="97"/>
      <c r="ATU2" s="97"/>
      <c r="ATV2" s="97"/>
      <c r="ATW2" s="97"/>
      <c r="ATX2" s="97"/>
      <c r="ATY2" s="97"/>
      <c r="ATZ2" s="97"/>
      <c r="AUA2" s="97"/>
      <c r="AUB2" s="97"/>
      <c r="AUC2" s="97"/>
      <c r="AUD2" s="97"/>
      <c r="AUE2" s="97"/>
      <c r="AUF2" s="97"/>
      <c r="AUG2" s="97"/>
      <c r="AUH2" s="97"/>
      <c r="AUI2" s="97"/>
      <c r="AUJ2" s="97"/>
      <c r="AUK2" s="97"/>
      <c r="AUL2" s="97"/>
      <c r="AUM2" s="97"/>
      <c r="AUN2" s="97"/>
      <c r="AUO2" s="97"/>
      <c r="AUP2" s="97"/>
      <c r="AUQ2" s="97"/>
      <c r="AUR2" s="97"/>
      <c r="AUS2" s="97"/>
      <c r="AUT2" s="97"/>
      <c r="AUU2" s="97"/>
      <c r="AUV2" s="97"/>
      <c r="AUW2" s="97"/>
      <c r="AUX2" s="97"/>
      <c r="AUY2" s="97"/>
      <c r="AUZ2" s="97"/>
      <c r="AVA2" s="97"/>
      <c r="AVB2" s="97"/>
      <c r="AVC2" s="97"/>
      <c r="AVD2" s="97"/>
      <c r="AVE2" s="97"/>
      <c r="AVF2" s="97"/>
      <c r="AVG2" s="97"/>
      <c r="AVH2" s="97"/>
      <c r="AVI2" s="97"/>
      <c r="AVJ2" s="97"/>
      <c r="AVK2" s="97"/>
      <c r="AVL2" s="97"/>
      <c r="AVM2" s="97"/>
      <c r="AVN2" s="97"/>
      <c r="AVO2" s="97"/>
      <c r="AVP2" s="97"/>
      <c r="AVQ2" s="97"/>
      <c r="AVR2" s="97"/>
      <c r="AVS2" s="97"/>
      <c r="AVT2" s="97"/>
      <c r="AVU2" s="97"/>
      <c r="AVV2" s="97"/>
      <c r="AVW2" s="97"/>
      <c r="AVX2" s="97"/>
      <c r="AVY2" s="97"/>
      <c r="AVZ2" s="97"/>
      <c r="AWA2" s="97"/>
      <c r="AWB2" s="97"/>
      <c r="AWC2" s="97"/>
      <c r="AWD2" s="97"/>
      <c r="AWE2" s="97"/>
      <c r="AWF2" s="97"/>
      <c r="AWG2" s="97"/>
      <c r="AWH2" s="97"/>
      <c r="AWI2" s="97"/>
      <c r="AWJ2" s="97"/>
      <c r="AWK2" s="97"/>
      <c r="AWL2" s="97"/>
      <c r="AWM2" s="97"/>
      <c r="AWN2" s="97"/>
      <c r="AWO2" s="97"/>
      <c r="AWP2" s="97"/>
      <c r="AWQ2" s="97"/>
      <c r="AWR2" s="97"/>
      <c r="AWS2" s="97"/>
      <c r="AWT2" s="97"/>
      <c r="AWU2" s="97"/>
      <c r="AWV2" s="97"/>
      <c r="AWW2" s="97"/>
      <c r="AWX2" s="97"/>
      <c r="AWY2" s="97"/>
      <c r="AWZ2" s="97"/>
      <c r="AXA2" s="97"/>
      <c r="AXB2" s="97"/>
      <c r="AXC2" s="97"/>
      <c r="AXD2" s="97"/>
      <c r="AXE2" s="97"/>
      <c r="AXF2" s="97"/>
      <c r="AXG2" s="97"/>
      <c r="AXH2" s="97"/>
      <c r="AXI2" s="97"/>
      <c r="AXJ2" s="97"/>
      <c r="AXK2" s="97"/>
      <c r="AXL2" s="97"/>
      <c r="AXM2" s="97"/>
      <c r="AXN2" s="97"/>
      <c r="AXO2" s="97"/>
      <c r="AXP2" s="97"/>
      <c r="AXQ2" s="97"/>
      <c r="AXR2" s="97"/>
      <c r="AXS2" s="97"/>
      <c r="AXT2" s="97"/>
      <c r="AXU2" s="97"/>
      <c r="AXV2" s="97"/>
      <c r="AXW2" s="97"/>
      <c r="AXX2" s="97"/>
      <c r="AXY2" s="97"/>
      <c r="AXZ2" s="97"/>
      <c r="AYA2" s="97"/>
      <c r="AYB2" s="97"/>
      <c r="AYC2" s="97"/>
      <c r="AYD2" s="97"/>
      <c r="AYE2" s="97"/>
      <c r="AYF2" s="97"/>
      <c r="AYG2" s="97"/>
      <c r="AYH2" s="97"/>
      <c r="AYI2" s="97"/>
      <c r="AYJ2" s="97"/>
      <c r="AYK2" s="97"/>
      <c r="AYL2" s="97"/>
      <c r="AYM2" s="97"/>
      <c r="AYN2" s="97"/>
      <c r="AYO2" s="97"/>
      <c r="AYP2" s="97"/>
      <c r="AYQ2" s="97"/>
      <c r="AYR2" s="97"/>
      <c r="AYS2" s="97"/>
      <c r="AYT2" s="97"/>
      <c r="AYU2" s="97"/>
      <c r="AYV2" s="97"/>
      <c r="AYW2" s="97"/>
      <c r="AYX2" s="97"/>
      <c r="AYY2" s="97"/>
      <c r="AYZ2" s="97"/>
      <c r="AZA2" s="97"/>
      <c r="AZB2" s="97"/>
      <c r="AZC2" s="97"/>
      <c r="AZD2" s="97"/>
      <c r="AZE2" s="97"/>
      <c r="AZF2" s="97"/>
      <c r="AZG2" s="97"/>
      <c r="AZH2" s="97"/>
      <c r="AZI2" s="97"/>
      <c r="AZJ2" s="97"/>
      <c r="AZK2" s="97"/>
      <c r="AZL2" s="97"/>
      <c r="AZM2" s="97"/>
      <c r="AZN2" s="97"/>
      <c r="AZO2" s="97"/>
      <c r="AZP2" s="97"/>
      <c r="AZQ2" s="97"/>
      <c r="AZR2" s="97"/>
      <c r="AZS2" s="97"/>
      <c r="AZT2" s="97"/>
      <c r="AZU2" s="97"/>
      <c r="AZV2" s="97"/>
      <c r="AZW2" s="97"/>
      <c r="AZX2" s="97"/>
      <c r="AZY2" s="97"/>
      <c r="AZZ2" s="97"/>
      <c r="BAA2" s="97"/>
      <c r="BAB2" s="97"/>
      <c r="BAC2" s="97"/>
      <c r="BAD2" s="97"/>
      <c r="BAE2" s="97"/>
      <c r="BAF2" s="97"/>
      <c r="BAG2" s="97"/>
      <c r="BAH2" s="97"/>
      <c r="BAI2" s="97"/>
      <c r="BAJ2" s="97"/>
      <c r="BAK2" s="97"/>
      <c r="BAL2" s="97"/>
      <c r="BAM2" s="97"/>
      <c r="BAN2" s="97"/>
      <c r="BAO2" s="97"/>
      <c r="BAP2" s="97"/>
      <c r="BAQ2" s="97"/>
      <c r="BAR2" s="97"/>
      <c r="BAS2" s="97"/>
      <c r="BAT2" s="97"/>
      <c r="BAU2" s="97"/>
      <c r="BAV2" s="97"/>
      <c r="BAW2" s="97"/>
      <c r="BAX2" s="97"/>
      <c r="BAY2" s="97"/>
      <c r="BAZ2" s="97"/>
      <c r="BBA2" s="97"/>
      <c r="BBB2" s="97"/>
      <c r="BBC2" s="97"/>
      <c r="BBD2" s="97"/>
      <c r="BBE2" s="97"/>
      <c r="BBF2" s="97"/>
      <c r="BBG2" s="97"/>
      <c r="BBH2" s="97"/>
      <c r="BBI2" s="97"/>
      <c r="BBJ2" s="97"/>
      <c r="BBK2" s="97"/>
      <c r="BBL2" s="97"/>
      <c r="BBM2" s="97"/>
      <c r="BBN2" s="97"/>
      <c r="BBO2" s="97"/>
      <c r="BBP2" s="97"/>
      <c r="BBQ2" s="97"/>
      <c r="BBR2" s="97"/>
      <c r="BBS2" s="97"/>
      <c r="BBT2" s="97"/>
      <c r="BBU2" s="97"/>
      <c r="BBV2" s="97"/>
      <c r="BBW2" s="97"/>
      <c r="BBX2" s="97"/>
      <c r="BBY2" s="97"/>
      <c r="BBZ2" s="97"/>
      <c r="BCA2" s="97"/>
      <c r="BCB2" s="97"/>
      <c r="BCC2" s="97"/>
      <c r="BCD2" s="97"/>
      <c r="BCE2" s="97"/>
      <c r="BCF2" s="97"/>
      <c r="BCG2" s="97"/>
      <c r="BCH2" s="97"/>
      <c r="BCI2" s="97"/>
      <c r="BCJ2" s="97"/>
      <c r="BCK2" s="97"/>
      <c r="BCL2" s="97"/>
      <c r="BCM2" s="97"/>
      <c r="BCN2" s="97"/>
      <c r="BCO2" s="97"/>
      <c r="BCP2" s="97"/>
      <c r="BCQ2" s="97"/>
      <c r="BCR2" s="97"/>
      <c r="BCS2" s="97"/>
      <c r="BCT2" s="97"/>
      <c r="BCU2" s="97"/>
      <c r="BCV2" s="97"/>
      <c r="BCW2" s="97"/>
      <c r="BCX2" s="97"/>
      <c r="BCY2" s="97"/>
      <c r="BCZ2" s="97"/>
      <c r="BDA2" s="97"/>
      <c r="BDB2" s="97"/>
      <c r="BDC2" s="97"/>
      <c r="BDD2" s="97"/>
      <c r="BDE2" s="97"/>
      <c r="BDF2" s="97"/>
      <c r="BDG2" s="97"/>
      <c r="BDH2" s="97"/>
      <c r="BDI2" s="97"/>
      <c r="BDJ2" s="97"/>
      <c r="BDK2" s="97"/>
      <c r="BDL2" s="97"/>
      <c r="BDM2" s="97"/>
      <c r="BDN2" s="97"/>
      <c r="BDO2" s="97"/>
      <c r="BDP2" s="97"/>
      <c r="BDQ2" s="97"/>
      <c r="BDR2" s="97"/>
      <c r="BDS2" s="97"/>
      <c r="BDT2" s="97"/>
      <c r="BDU2" s="97"/>
      <c r="BDV2" s="97"/>
      <c r="BDW2" s="97"/>
      <c r="BDX2" s="97"/>
      <c r="BDY2" s="97"/>
      <c r="BDZ2" s="97"/>
      <c r="BEA2" s="97"/>
      <c r="BEB2" s="97"/>
      <c r="BEC2" s="97"/>
      <c r="BED2" s="97"/>
      <c r="BEE2" s="97"/>
      <c r="BEF2" s="97"/>
      <c r="BEG2" s="97"/>
      <c r="BEH2" s="97"/>
      <c r="BEI2" s="97"/>
      <c r="BEJ2" s="97"/>
      <c r="BEK2" s="97"/>
      <c r="BEL2" s="97"/>
      <c r="BEM2" s="97"/>
      <c r="BEN2" s="97"/>
      <c r="BEO2" s="97"/>
      <c r="BEP2" s="97"/>
      <c r="BEQ2" s="97"/>
      <c r="BER2" s="97"/>
      <c r="BES2" s="97"/>
      <c r="BET2" s="97"/>
      <c r="BEU2" s="97"/>
      <c r="BEV2" s="97"/>
      <c r="BEW2" s="97"/>
      <c r="BEX2" s="97"/>
      <c r="BEY2" s="97"/>
      <c r="BEZ2" s="97"/>
      <c r="BFA2" s="97"/>
      <c r="BFB2" s="97"/>
      <c r="BFC2" s="97"/>
      <c r="BFD2" s="97"/>
      <c r="BFE2" s="97"/>
      <c r="BFF2" s="97"/>
      <c r="BFG2" s="97"/>
      <c r="BFH2" s="97"/>
      <c r="BFI2" s="97"/>
      <c r="BFJ2" s="97"/>
      <c r="BFK2" s="97"/>
      <c r="BFL2" s="97"/>
      <c r="BFM2" s="97"/>
      <c r="BFN2" s="97"/>
      <c r="BFO2" s="97"/>
      <c r="BFP2" s="97"/>
      <c r="BFQ2" s="97"/>
      <c r="BFR2" s="97"/>
      <c r="BFS2" s="97"/>
      <c r="BFT2" s="97"/>
      <c r="BFU2" s="97"/>
      <c r="BFV2" s="97"/>
      <c r="BFW2" s="97"/>
      <c r="BFX2" s="97"/>
      <c r="BFY2" s="97"/>
      <c r="BFZ2" s="97"/>
      <c r="BGA2" s="97"/>
      <c r="BGB2" s="97"/>
      <c r="BGC2" s="97"/>
      <c r="BGD2" s="97"/>
      <c r="BGE2" s="97"/>
      <c r="BGF2" s="97"/>
      <c r="BGG2" s="97"/>
      <c r="BGH2" s="97"/>
      <c r="BGI2" s="97"/>
      <c r="BGJ2" s="97"/>
      <c r="BGK2" s="97"/>
      <c r="BGL2" s="97"/>
      <c r="BGM2" s="97"/>
      <c r="BGN2" s="97"/>
      <c r="BGO2" s="97"/>
      <c r="BGP2" s="97"/>
      <c r="BGQ2" s="97"/>
      <c r="BGR2" s="97"/>
      <c r="BGS2" s="97"/>
      <c r="BGT2" s="97"/>
      <c r="BGU2" s="97"/>
      <c r="BGV2" s="97"/>
      <c r="BGW2" s="97"/>
      <c r="BGX2" s="97"/>
      <c r="BGY2" s="97"/>
      <c r="BGZ2" s="97"/>
      <c r="BHA2" s="97"/>
      <c r="BHB2" s="97"/>
      <c r="BHC2" s="97"/>
      <c r="BHD2" s="97"/>
      <c r="BHE2" s="97"/>
      <c r="BHF2" s="97"/>
      <c r="BHG2" s="97"/>
      <c r="BHH2" s="97"/>
      <c r="BHI2" s="97"/>
      <c r="BHJ2" s="97"/>
      <c r="BHK2" s="97"/>
      <c r="BHL2" s="97"/>
      <c r="BHM2" s="97"/>
      <c r="BHN2" s="97"/>
      <c r="BHO2" s="97"/>
      <c r="BHP2" s="97"/>
      <c r="BHQ2" s="97"/>
      <c r="BHR2" s="97"/>
      <c r="BHS2" s="97"/>
      <c r="BHT2" s="97"/>
      <c r="BHU2" s="97"/>
      <c r="BHV2" s="97"/>
      <c r="BHW2" s="97"/>
      <c r="BHX2" s="97"/>
      <c r="BHY2" s="97"/>
      <c r="BHZ2" s="97"/>
      <c r="BIA2" s="97"/>
      <c r="BIB2" s="97"/>
      <c r="BIC2" s="97"/>
      <c r="BID2" s="97"/>
      <c r="BIE2" s="97"/>
      <c r="BIF2" s="97"/>
      <c r="BIG2" s="97"/>
      <c r="BIH2" s="97"/>
      <c r="BII2" s="97"/>
      <c r="BIJ2" s="97"/>
      <c r="BIK2" s="97"/>
      <c r="BIL2" s="97"/>
      <c r="BIM2" s="97"/>
      <c r="BIN2" s="97"/>
      <c r="BIO2" s="97"/>
      <c r="BIP2" s="97"/>
      <c r="BIQ2" s="97"/>
      <c r="BIR2" s="97"/>
      <c r="BIS2" s="97"/>
      <c r="BIT2" s="97"/>
      <c r="BIU2" s="97"/>
      <c r="BIV2" s="97"/>
      <c r="BIW2" s="97"/>
      <c r="BIX2" s="97"/>
      <c r="BIY2" s="97"/>
      <c r="BIZ2" s="97"/>
      <c r="BJA2" s="97"/>
      <c r="BJB2" s="97"/>
      <c r="BJC2" s="97"/>
      <c r="BJD2" s="97"/>
      <c r="BJE2" s="97"/>
      <c r="BJF2" s="97"/>
      <c r="BJG2" s="97"/>
      <c r="BJH2" s="97"/>
      <c r="BJI2" s="97"/>
      <c r="BJJ2" s="97"/>
      <c r="BJK2" s="97"/>
      <c r="BJL2" s="97"/>
      <c r="BJM2" s="97"/>
      <c r="BJN2" s="97"/>
      <c r="BJO2" s="97"/>
      <c r="BJP2" s="97"/>
      <c r="BJQ2" s="97"/>
      <c r="BJR2" s="97"/>
      <c r="BJS2" s="97"/>
      <c r="BJT2" s="97"/>
      <c r="BJU2" s="97"/>
      <c r="BJV2" s="97"/>
      <c r="BJW2" s="97"/>
      <c r="BJX2" s="97"/>
      <c r="BJY2" s="97"/>
      <c r="BJZ2" s="97"/>
      <c r="BKA2" s="97"/>
      <c r="BKB2" s="97"/>
      <c r="BKC2" s="97"/>
      <c r="BKD2" s="97"/>
      <c r="BKE2" s="97"/>
      <c r="BKF2" s="97"/>
      <c r="BKG2" s="97"/>
      <c r="BKH2" s="97"/>
      <c r="BKI2" s="97"/>
      <c r="BKJ2" s="97"/>
      <c r="BKK2" s="97"/>
      <c r="BKL2" s="97"/>
      <c r="BKM2" s="97"/>
      <c r="BKN2" s="97"/>
      <c r="BKO2" s="97"/>
      <c r="BKP2" s="97"/>
      <c r="BKQ2" s="97"/>
      <c r="BKR2" s="97"/>
      <c r="BKS2" s="97"/>
      <c r="BKT2" s="97"/>
      <c r="BKU2" s="97"/>
      <c r="BKV2" s="97"/>
      <c r="BKW2" s="97"/>
      <c r="BKX2" s="97"/>
      <c r="BKY2" s="97"/>
      <c r="BKZ2" s="97"/>
      <c r="BLA2" s="97"/>
      <c r="BLB2" s="97"/>
      <c r="BLC2" s="97"/>
      <c r="BLD2" s="97"/>
      <c r="BLE2" s="97"/>
      <c r="BLF2" s="97"/>
      <c r="BLG2" s="97"/>
      <c r="BLH2" s="97"/>
      <c r="BLI2" s="97"/>
      <c r="BLJ2" s="97"/>
      <c r="BLK2" s="97"/>
      <c r="BLL2" s="97"/>
      <c r="BLM2" s="97"/>
      <c r="BLN2" s="97"/>
      <c r="BLO2" s="97"/>
      <c r="BLP2" s="97"/>
      <c r="BLQ2" s="97"/>
      <c r="BLR2" s="97"/>
      <c r="BLS2" s="97"/>
      <c r="BLT2" s="97"/>
      <c r="BLU2" s="97"/>
      <c r="BLV2" s="97"/>
      <c r="BLW2" s="97"/>
      <c r="BLX2" s="97"/>
      <c r="BLY2" s="97"/>
      <c r="BLZ2" s="97"/>
      <c r="BMA2" s="97"/>
      <c r="BMB2" s="97"/>
      <c r="BMC2" s="97"/>
      <c r="BMD2" s="97"/>
      <c r="BME2" s="97"/>
      <c r="BMF2" s="97"/>
      <c r="BMG2" s="97"/>
      <c r="BMH2" s="97"/>
      <c r="BMI2" s="97"/>
      <c r="BMJ2" s="97"/>
      <c r="BMK2" s="97"/>
      <c r="BML2" s="97"/>
      <c r="BMM2" s="97"/>
      <c r="BMN2" s="97"/>
      <c r="BMO2" s="97"/>
      <c r="BMP2" s="97"/>
      <c r="BMQ2" s="97"/>
      <c r="BMR2" s="97"/>
      <c r="BMS2" s="97"/>
      <c r="BMT2" s="97"/>
      <c r="BMU2" s="97"/>
      <c r="BMV2" s="97"/>
      <c r="BMW2" s="97"/>
      <c r="BMX2" s="97"/>
      <c r="BMY2" s="97"/>
      <c r="BMZ2" s="97"/>
      <c r="BNA2" s="97"/>
      <c r="BNB2" s="97"/>
      <c r="BNC2" s="97"/>
      <c r="BND2" s="97"/>
      <c r="BNE2" s="97"/>
      <c r="BNF2" s="97"/>
      <c r="BNG2" s="97"/>
      <c r="BNH2" s="97"/>
      <c r="BNI2" s="97"/>
      <c r="BNJ2" s="97"/>
      <c r="BNK2" s="97"/>
      <c r="BNL2" s="97"/>
      <c r="BNM2" s="97"/>
      <c r="BNN2" s="97"/>
      <c r="BNO2" s="97"/>
      <c r="BNP2" s="97"/>
      <c r="BNQ2" s="97"/>
      <c r="BNR2" s="97"/>
      <c r="BNS2" s="97"/>
      <c r="BNT2" s="97"/>
      <c r="BNU2" s="97"/>
      <c r="BNV2" s="97"/>
      <c r="BNW2" s="97"/>
      <c r="BNX2" s="97"/>
      <c r="BNY2" s="97"/>
      <c r="BNZ2" s="97"/>
      <c r="BOA2" s="97"/>
      <c r="BOB2" s="97"/>
      <c r="BOC2" s="97"/>
      <c r="BOD2" s="97"/>
      <c r="BOE2" s="97"/>
      <c r="BOF2" s="97"/>
      <c r="BOG2" s="97"/>
      <c r="BOH2" s="97"/>
      <c r="BOI2" s="97"/>
      <c r="BOJ2" s="97"/>
      <c r="BOK2" s="97"/>
      <c r="BOL2" s="97"/>
      <c r="BOM2" s="97"/>
      <c r="BON2" s="97"/>
      <c r="BOO2" s="97"/>
      <c r="BOP2" s="97"/>
      <c r="BOQ2" s="97"/>
      <c r="BOR2" s="97"/>
      <c r="BOS2" s="97"/>
      <c r="BOT2" s="97"/>
      <c r="BOU2" s="97"/>
      <c r="BOV2" s="97"/>
      <c r="BOW2" s="97"/>
      <c r="BOX2" s="97"/>
      <c r="BOY2" s="97"/>
      <c r="BOZ2" s="97"/>
      <c r="BPA2" s="97"/>
      <c r="BPB2" s="97"/>
      <c r="BPC2" s="97"/>
      <c r="BPD2" s="97"/>
      <c r="BPE2" s="97"/>
      <c r="BPF2" s="97"/>
      <c r="BPG2" s="97"/>
      <c r="BPH2" s="97"/>
      <c r="BPI2" s="97"/>
      <c r="BPJ2" s="97"/>
      <c r="BPK2" s="97"/>
      <c r="BPL2" s="97"/>
      <c r="BPM2" s="97"/>
      <c r="BPN2" s="97"/>
      <c r="BPO2" s="97"/>
      <c r="BPP2" s="97"/>
      <c r="BPQ2" s="97"/>
      <c r="BPR2" s="97"/>
      <c r="BPS2" s="97"/>
      <c r="BPT2" s="97"/>
      <c r="BPU2" s="97"/>
      <c r="BPV2" s="97"/>
      <c r="BPW2" s="97"/>
      <c r="BPX2" s="97"/>
      <c r="BPY2" s="97"/>
      <c r="BPZ2" s="97"/>
      <c r="BQA2" s="97"/>
      <c r="BQB2" s="97"/>
      <c r="BQC2" s="97"/>
      <c r="BQD2" s="97"/>
      <c r="BQE2" s="97"/>
      <c r="BQF2" s="97"/>
      <c r="BQG2" s="97"/>
      <c r="BQH2" s="97"/>
      <c r="BQI2" s="97"/>
      <c r="BQJ2" s="97"/>
      <c r="BQK2" s="97"/>
      <c r="BQL2" s="97"/>
      <c r="BQM2" s="97"/>
      <c r="BQN2" s="97"/>
      <c r="BQO2" s="97"/>
      <c r="BQP2" s="97"/>
      <c r="BQQ2" s="97"/>
      <c r="BQR2" s="97"/>
      <c r="BQS2" s="97"/>
      <c r="BQT2" s="97"/>
      <c r="BQU2" s="97"/>
      <c r="BQV2" s="97"/>
      <c r="BQW2" s="97"/>
      <c r="BQX2" s="97"/>
      <c r="BQY2" s="97"/>
      <c r="BQZ2" s="97"/>
      <c r="BRA2" s="97"/>
      <c r="BRB2" s="97"/>
      <c r="BRC2" s="97"/>
      <c r="BRD2" s="97"/>
      <c r="BRE2" s="97"/>
      <c r="BRF2" s="97"/>
      <c r="BRG2" s="97"/>
      <c r="BRH2" s="97"/>
      <c r="BRI2" s="97"/>
      <c r="BRJ2" s="97"/>
      <c r="BRK2" s="97"/>
      <c r="BRL2" s="97"/>
      <c r="BRM2" s="97"/>
      <c r="BRN2" s="97"/>
      <c r="BRO2" s="97"/>
      <c r="BRP2" s="97"/>
      <c r="BRQ2" s="97"/>
      <c r="BRR2" s="97"/>
      <c r="BRS2" s="97"/>
      <c r="BRT2" s="97"/>
      <c r="BRU2" s="97"/>
      <c r="BRV2" s="97"/>
      <c r="BRW2" s="97"/>
      <c r="BRX2" s="97"/>
      <c r="BRY2" s="97"/>
      <c r="BRZ2" s="97"/>
      <c r="BSA2" s="97"/>
      <c r="BSB2" s="97"/>
      <c r="BSC2" s="97"/>
      <c r="BSD2" s="97"/>
      <c r="BSE2" s="97"/>
      <c r="BSF2" s="97"/>
      <c r="BSG2" s="97"/>
      <c r="BSH2" s="97"/>
      <c r="BSI2" s="97"/>
      <c r="BSJ2" s="97"/>
      <c r="BSK2" s="97"/>
      <c r="BSL2" s="97"/>
      <c r="BSM2" s="97"/>
      <c r="BSN2" s="97"/>
      <c r="BSO2" s="97"/>
      <c r="BSP2" s="97"/>
      <c r="BSQ2" s="97"/>
      <c r="BSR2" s="97"/>
      <c r="BSS2" s="97"/>
      <c r="BST2" s="97"/>
      <c r="BSU2" s="97"/>
      <c r="BSV2" s="97"/>
      <c r="BSW2" s="97"/>
      <c r="BSX2" s="97"/>
      <c r="BSY2" s="97"/>
      <c r="BSZ2" s="97"/>
      <c r="BTA2" s="97"/>
      <c r="BTB2" s="97"/>
      <c r="BTC2" s="97"/>
      <c r="BTD2" s="97"/>
      <c r="BTE2" s="97"/>
      <c r="BTF2" s="97"/>
      <c r="BTG2" s="97"/>
      <c r="BTH2" s="97"/>
      <c r="BTI2" s="97"/>
      <c r="BTJ2" s="97"/>
      <c r="BTK2" s="97"/>
      <c r="BTL2" s="97"/>
      <c r="BTM2" s="97"/>
      <c r="BTN2" s="97"/>
      <c r="BTO2" s="97"/>
      <c r="BTP2" s="97"/>
      <c r="BTQ2" s="97"/>
      <c r="BTR2" s="97"/>
      <c r="BTS2" s="97"/>
      <c r="BTT2" s="97"/>
      <c r="BTU2" s="97"/>
      <c r="BTV2" s="97"/>
      <c r="BTW2" s="97"/>
      <c r="BTX2" s="97"/>
      <c r="BTY2" s="97"/>
      <c r="BTZ2" s="97"/>
      <c r="BUA2" s="97"/>
      <c r="BUB2" s="97"/>
      <c r="BUC2" s="97"/>
      <c r="BUD2" s="97"/>
      <c r="BUE2" s="97"/>
      <c r="BUF2" s="97"/>
      <c r="BUG2" s="97"/>
      <c r="BUH2" s="97"/>
      <c r="BUI2" s="97"/>
      <c r="BUJ2" s="97"/>
      <c r="BUK2" s="97"/>
      <c r="BUL2" s="97"/>
      <c r="BUM2" s="97"/>
      <c r="BUN2" s="97"/>
      <c r="BUO2" s="97"/>
      <c r="BUP2" s="97"/>
      <c r="BUQ2" s="97"/>
      <c r="BUR2" s="97"/>
      <c r="BUS2" s="97"/>
      <c r="BUT2" s="97"/>
      <c r="BUU2" s="97"/>
      <c r="BUV2" s="97"/>
      <c r="BUW2" s="97"/>
      <c r="BUX2" s="97"/>
      <c r="BUY2" s="97"/>
      <c r="BUZ2" s="97"/>
      <c r="BVA2" s="97"/>
      <c r="BVB2" s="97"/>
      <c r="BVC2" s="97"/>
      <c r="BVD2" s="97"/>
      <c r="BVE2" s="97"/>
      <c r="BVF2" s="97"/>
      <c r="BVG2" s="97"/>
      <c r="BVH2" s="97"/>
      <c r="BVI2" s="97"/>
      <c r="BVJ2" s="97"/>
      <c r="BVK2" s="97"/>
      <c r="BVL2" s="97"/>
      <c r="BVM2" s="97"/>
      <c r="BVN2" s="97"/>
      <c r="BVO2" s="97"/>
      <c r="BVP2" s="97"/>
      <c r="BVQ2" s="97"/>
      <c r="BVR2" s="97"/>
      <c r="BVS2" s="97"/>
      <c r="BVT2" s="97"/>
      <c r="BVU2" s="97"/>
      <c r="BVV2" s="97"/>
      <c r="BVW2" s="97"/>
      <c r="BVX2" s="97"/>
      <c r="BVY2" s="97"/>
      <c r="BVZ2" s="97"/>
      <c r="BWA2" s="97"/>
      <c r="BWB2" s="97"/>
      <c r="BWC2" s="97"/>
      <c r="BWD2" s="97"/>
      <c r="BWE2" s="97"/>
      <c r="BWF2" s="97"/>
      <c r="BWG2" s="97"/>
      <c r="BWH2" s="97"/>
      <c r="BWI2" s="97"/>
      <c r="BWJ2" s="97"/>
      <c r="BWK2" s="97"/>
      <c r="BWL2" s="97"/>
      <c r="BWM2" s="97"/>
      <c r="BWN2" s="97"/>
      <c r="BWO2" s="97"/>
      <c r="BWP2" s="97"/>
      <c r="BWQ2" s="97"/>
      <c r="BWR2" s="97"/>
      <c r="BWS2" s="97"/>
      <c r="BWT2" s="97"/>
      <c r="BWU2" s="97"/>
      <c r="BWV2" s="97"/>
      <c r="BWW2" s="97"/>
      <c r="BWX2" s="97"/>
      <c r="BWY2" s="97"/>
      <c r="BWZ2" s="97"/>
      <c r="BXA2" s="97"/>
      <c r="BXB2" s="97"/>
      <c r="BXC2" s="97"/>
      <c r="BXD2" s="97"/>
      <c r="BXE2" s="97"/>
      <c r="BXF2" s="97"/>
      <c r="BXG2" s="97"/>
      <c r="BXH2" s="97"/>
      <c r="BXI2" s="97"/>
      <c r="BXJ2" s="97"/>
      <c r="BXK2" s="97"/>
      <c r="BXL2" s="97"/>
      <c r="BXM2" s="97"/>
      <c r="BXN2" s="97"/>
      <c r="BXO2" s="97"/>
      <c r="BXP2" s="97"/>
      <c r="BXQ2" s="97"/>
      <c r="BXR2" s="97"/>
      <c r="BXS2" s="97"/>
      <c r="BXT2" s="97"/>
      <c r="BXU2" s="97"/>
      <c r="BXV2" s="97"/>
      <c r="BXW2" s="97"/>
      <c r="BXX2" s="97"/>
      <c r="BXY2" s="97"/>
      <c r="BXZ2" s="97"/>
      <c r="BYA2" s="97"/>
      <c r="BYB2" s="97"/>
      <c r="BYC2" s="97"/>
      <c r="BYD2" s="97"/>
      <c r="BYE2" s="97"/>
      <c r="BYF2" s="97"/>
      <c r="BYG2" s="97"/>
      <c r="BYH2" s="97"/>
      <c r="BYI2" s="97"/>
      <c r="BYJ2" s="97"/>
      <c r="BYK2" s="97"/>
      <c r="BYL2" s="97"/>
      <c r="BYM2" s="97"/>
      <c r="BYN2" s="97"/>
      <c r="BYO2" s="97"/>
      <c r="BYP2" s="97"/>
      <c r="BYQ2" s="97"/>
      <c r="BYR2" s="97"/>
      <c r="BYS2" s="97"/>
      <c r="BYT2" s="97"/>
      <c r="BYU2" s="97"/>
      <c r="BYV2" s="97"/>
      <c r="BYW2" s="97"/>
      <c r="BYX2" s="97"/>
      <c r="BYY2" s="97"/>
      <c r="BYZ2" s="97"/>
      <c r="BZA2" s="97"/>
      <c r="BZB2" s="97"/>
      <c r="BZC2" s="97"/>
      <c r="BZD2" s="97"/>
      <c r="BZE2" s="97"/>
      <c r="BZF2" s="97"/>
      <c r="BZG2" s="97"/>
      <c r="BZH2" s="97"/>
      <c r="BZI2" s="97"/>
      <c r="BZJ2" s="97"/>
      <c r="BZK2" s="97"/>
      <c r="BZL2" s="97"/>
      <c r="BZM2" s="97"/>
      <c r="BZN2" s="97"/>
      <c r="BZO2" s="97"/>
      <c r="BZP2" s="97"/>
      <c r="BZQ2" s="97"/>
      <c r="BZR2" s="97"/>
      <c r="BZS2" s="97"/>
      <c r="BZT2" s="97"/>
      <c r="BZU2" s="97"/>
      <c r="BZV2" s="97"/>
      <c r="BZW2" s="97"/>
      <c r="BZX2" s="97"/>
      <c r="BZY2" s="97"/>
      <c r="BZZ2" s="97"/>
      <c r="CAA2" s="97"/>
      <c r="CAB2" s="97"/>
      <c r="CAC2" s="97"/>
      <c r="CAD2" s="97"/>
      <c r="CAE2" s="97"/>
      <c r="CAF2" s="97"/>
      <c r="CAG2" s="97"/>
      <c r="CAH2" s="97"/>
      <c r="CAI2" s="97"/>
      <c r="CAJ2" s="97"/>
      <c r="CAK2" s="97"/>
      <c r="CAL2" s="97"/>
      <c r="CAM2" s="97"/>
      <c r="CAN2" s="97"/>
      <c r="CAO2" s="97"/>
      <c r="CAP2" s="97"/>
      <c r="CAQ2" s="97"/>
      <c r="CAR2" s="97"/>
      <c r="CAS2" s="97"/>
      <c r="CAT2" s="97"/>
      <c r="CAU2" s="97"/>
      <c r="CAV2" s="97"/>
      <c r="CAW2" s="97"/>
      <c r="CAX2" s="97"/>
      <c r="CAY2" s="97"/>
      <c r="CAZ2" s="97"/>
      <c r="CBA2" s="97"/>
      <c r="CBB2" s="97"/>
      <c r="CBC2" s="97"/>
      <c r="CBD2" s="97"/>
      <c r="CBE2" s="97"/>
      <c r="CBF2" s="97"/>
      <c r="CBG2" s="97"/>
      <c r="CBH2" s="97"/>
      <c r="CBI2" s="97"/>
      <c r="CBJ2" s="97"/>
      <c r="CBK2" s="97"/>
      <c r="CBL2" s="97"/>
      <c r="CBM2" s="97"/>
      <c r="CBN2" s="97"/>
      <c r="CBO2" s="97"/>
      <c r="CBP2" s="97"/>
      <c r="CBQ2" s="97"/>
      <c r="CBR2" s="97"/>
      <c r="CBS2" s="97"/>
      <c r="CBT2" s="97"/>
      <c r="CBU2" s="97"/>
      <c r="CBV2" s="97"/>
      <c r="CBW2" s="97"/>
      <c r="CBX2" s="97"/>
      <c r="CBY2" s="97"/>
      <c r="CBZ2" s="97"/>
      <c r="CCA2" s="97"/>
      <c r="CCB2" s="97"/>
      <c r="CCC2" s="97"/>
      <c r="CCD2" s="97"/>
      <c r="CCE2" s="97"/>
      <c r="CCF2" s="97"/>
      <c r="CCG2" s="97"/>
      <c r="CCH2" s="97"/>
      <c r="CCI2" s="97"/>
      <c r="CCJ2" s="97"/>
      <c r="CCK2" s="97"/>
      <c r="CCL2" s="97"/>
      <c r="CCM2" s="97"/>
      <c r="CCN2" s="97"/>
      <c r="CCO2" s="97"/>
      <c r="CCP2" s="97"/>
      <c r="CCQ2" s="97"/>
      <c r="CCR2" s="97"/>
      <c r="CCS2" s="97"/>
      <c r="CCT2" s="97"/>
      <c r="CCU2" s="97"/>
      <c r="CCV2" s="97"/>
      <c r="CCW2" s="97"/>
      <c r="CCX2" s="97"/>
      <c r="CCY2" s="97"/>
      <c r="CCZ2" s="97"/>
      <c r="CDA2" s="97"/>
      <c r="CDB2" s="97"/>
      <c r="CDC2" s="97"/>
      <c r="CDD2" s="97"/>
      <c r="CDE2" s="97"/>
      <c r="CDF2" s="97"/>
      <c r="CDG2" s="97"/>
      <c r="CDH2" s="97"/>
      <c r="CDI2" s="97"/>
      <c r="CDJ2" s="97"/>
      <c r="CDK2" s="97"/>
      <c r="CDL2" s="97"/>
      <c r="CDM2" s="97"/>
      <c r="CDN2" s="97"/>
      <c r="CDO2" s="97"/>
      <c r="CDP2" s="97"/>
      <c r="CDQ2" s="97"/>
      <c r="CDR2" s="97"/>
      <c r="CDS2" s="97"/>
      <c r="CDT2" s="97"/>
      <c r="CDU2" s="97"/>
      <c r="CDV2" s="97"/>
      <c r="CDW2" s="97"/>
      <c r="CDX2" s="97"/>
      <c r="CDY2" s="97"/>
      <c r="CDZ2" s="97"/>
      <c r="CEA2" s="97"/>
      <c r="CEB2" s="97"/>
      <c r="CEC2" s="97"/>
      <c r="CED2" s="97"/>
      <c r="CEE2" s="97"/>
      <c r="CEF2" s="97"/>
      <c r="CEG2" s="97"/>
      <c r="CEH2" s="97"/>
      <c r="CEI2" s="97"/>
      <c r="CEJ2" s="97"/>
      <c r="CEK2" s="97"/>
      <c r="CEL2" s="97"/>
      <c r="CEM2" s="97"/>
      <c r="CEN2" s="97"/>
      <c r="CEO2" s="97"/>
      <c r="CEP2" s="97"/>
      <c r="CEQ2" s="97"/>
      <c r="CER2" s="97"/>
      <c r="CES2" s="97"/>
      <c r="CET2" s="97"/>
      <c r="CEU2" s="97"/>
      <c r="CEV2" s="97"/>
      <c r="CEW2" s="97"/>
      <c r="CEX2" s="97"/>
      <c r="CEY2" s="97"/>
      <c r="CEZ2" s="97"/>
      <c r="CFA2" s="97"/>
      <c r="CFB2" s="97"/>
      <c r="CFC2" s="97"/>
      <c r="CFD2" s="97"/>
      <c r="CFE2" s="97"/>
      <c r="CFF2" s="97"/>
      <c r="CFG2" s="97"/>
      <c r="CFH2" s="97"/>
      <c r="CFI2" s="97"/>
      <c r="CFJ2" s="97"/>
      <c r="CFK2" s="97"/>
      <c r="CFL2" s="97"/>
      <c r="CFM2" s="97"/>
      <c r="CFN2" s="97"/>
      <c r="CFO2" s="97"/>
      <c r="CFP2" s="97"/>
      <c r="CFQ2" s="97"/>
      <c r="CFR2" s="97"/>
      <c r="CFS2" s="97"/>
      <c r="CFT2" s="97"/>
      <c r="CFU2" s="97"/>
      <c r="CFV2" s="97"/>
      <c r="CFW2" s="97"/>
      <c r="CFX2" s="97"/>
      <c r="CFY2" s="97"/>
      <c r="CFZ2" s="97"/>
      <c r="CGA2" s="97"/>
      <c r="CGB2" s="97"/>
      <c r="CGC2" s="97"/>
      <c r="CGD2" s="97"/>
      <c r="CGE2" s="97"/>
      <c r="CGF2" s="97"/>
      <c r="CGG2" s="97"/>
      <c r="CGH2" s="97"/>
      <c r="CGI2" s="97"/>
      <c r="CGJ2" s="97"/>
      <c r="CGK2" s="97"/>
      <c r="CGL2" s="97"/>
      <c r="CGM2" s="97"/>
      <c r="CGN2" s="97"/>
      <c r="CGO2" s="97"/>
      <c r="CGP2" s="97"/>
      <c r="CGQ2" s="97"/>
      <c r="CGR2" s="97"/>
      <c r="CGS2" s="97"/>
      <c r="CGT2" s="97"/>
      <c r="CGU2" s="97"/>
      <c r="CGV2" s="97"/>
      <c r="CGW2" s="97"/>
      <c r="CGX2" s="97"/>
      <c r="CGY2" s="97"/>
      <c r="CGZ2" s="97"/>
      <c r="CHA2" s="97"/>
      <c r="CHB2" s="97"/>
      <c r="CHC2" s="97"/>
      <c r="CHD2" s="97"/>
      <c r="CHE2" s="97"/>
      <c r="CHF2" s="97"/>
      <c r="CHG2" s="97"/>
      <c r="CHH2" s="97"/>
      <c r="CHI2" s="97"/>
      <c r="CHJ2" s="97"/>
      <c r="CHK2" s="97"/>
      <c r="CHL2" s="97"/>
      <c r="CHM2" s="97"/>
      <c r="CHN2" s="97"/>
      <c r="CHO2" s="97"/>
      <c r="CHP2" s="97"/>
      <c r="CHQ2" s="97"/>
      <c r="CHR2" s="97"/>
      <c r="CHS2" s="97"/>
      <c r="CHT2" s="97"/>
      <c r="CHU2" s="97"/>
      <c r="CHV2" s="97"/>
      <c r="CHW2" s="97"/>
      <c r="CHX2" s="97"/>
      <c r="CHY2" s="97"/>
      <c r="CHZ2" s="97"/>
      <c r="CIA2" s="97"/>
      <c r="CIB2" s="97"/>
      <c r="CIC2" s="97"/>
      <c r="CID2" s="97"/>
      <c r="CIE2" s="97"/>
      <c r="CIF2" s="97"/>
      <c r="CIG2" s="97"/>
      <c r="CIH2" s="97"/>
      <c r="CII2" s="97"/>
      <c r="CIJ2" s="97"/>
      <c r="CIK2" s="97"/>
      <c r="CIL2" s="97"/>
      <c r="CIM2" s="97"/>
      <c r="CIN2" s="97"/>
      <c r="CIO2" s="97"/>
      <c r="CIP2" s="97"/>
      <c r="CIQ2" s="97"/>
      <c r="CIR2" s="97"/>
      <c r="CIS2" s="97"/>
      <c r="CIT2" s="97"/>
      <c r="CIU2" s="97"/>
      <c r="CIV2" s="97"/>
      <c r="CIW2" s="97"/>
      <c r="CIX2" s="97"/>
      <c r="CIY2" s="97"/>
      <c r="CIZ2" s="97"/>
      <c r="CJA2" s="97"/>
      <c r="CJB2" s="97"/>
      <c r="CJC2" s="97"/>
      <c r="CJD2" s="97"/>
      <c r="CJE2" s="97"/>
      <c r="CJF2" s="97"/>
      <c r="CJG2" s="97"/>
      <c r="CJH2" s="97"/>
      <c r="CJI2" s="97"/>
      <c r="CJJ2" s="97"/>
      <c r="CJK2" s="97"/>
      <c r="CJL2" s="97"/>
      <c r="CJM2" s="97"/>
      <c r="CJN2" s="97"/>
      <c r="CJO2" s="97"/>
      <c r="CJP2" s="97"/>
      <c r="CJQ2" s="97"/>
      <c r="CJR2" s="97"/>
      <c r="CJS2" s="97"/>
      <c r="CJT2" s="97"/>
      <c r="CJU2" s="97"/>
      <c r="CJV2" s="97"/>
      <c r="CJW2" s="97"/>
      <c r="CJX2" s="97"/>
      <c r="CJY2" s="97"/>
      <c r="CJZ2" s="97"/>
      <c r="CKA2" s="97"/>
      <c r="CKB2" s="97"/>
      <c r="CKC2" s="97"/>
      <c r="CKD2" s="97"/>
      <c r="CKE2" s="97"/>
      <c r="CKF2" s="97"/>
      <c r="CKG2" s="97"/>
      <c r="CKH2" s="97"/>
      <c r="CKI2" s="97"/>
      <c r="CKJ2" s="97"/>
      <c r="CKK2" s="97"/>
      <c r="CKL2" s="97"/>
      <c r="CKM2" s="97"/>
      <c r="CKN2" s="97"/>
      <c r="CKO2" s="97"/>
      <c r="CKP2" s="97"/>
      <c r="CKQ2" s="97"/>
      <c r="CKR2" s="97"/>
      <c r="CKS2" s="97"/>
      <c r="CKT2" s="97"/>
      <c r="CKU2" s="97"/>
      <c r="CKV2" s="97"/>
      <c r="CKW2" s="97"/>
      <c r="CKX2" s="97"/>
      <c r="CKY2" s="97"/>
      <c r="CKZ2" s="97"/>
      <c r="CLA2" s="97"/>
      <c r="CLB2" s="97"/>
      <c r="CLC2" s="97"/>
      <c r="CLD2" s="97"/>
      <c r="CLE2" s="97"/>
      <c r="CLF2" s="97"/>
      <c r="CLG2" s="97"/>
      <c r="CLH2" s="97"/>
      <c r="CLI2" s="97"/>
      <c r="CLJ2" s="97"/>
      <c r="CLK2" s="97"/>
      <c r="CLL2" s="97"/>
      <c r="CLM2" s="97"/>
      <c r="CLN2" s="97"/>
      <c r="CLO2" s="97"/>
      <c r="CLP2" s="97"/>
      <c r="CLQ2" s="97"/>
      <c r="CLR2" s="97"/>
      <c r="CLS2" s="97"/>
      <c r="CLT2" s="97"/>
      <c r="CLU2" s="97"/>
      <c r="CLV2" s="97"/>
      <c r="CLW2" s="97"/>
      <c r="CLX2" s="97"/>
      <c r="CLY2" s="97"/>
      <c r="CLZ2" s="97"/>
      <c r="CMA2" s="97"/>
      <c r="CMB2" s="97"/>
      <c r="CMC2" s="97"/>
      <c r="CMD2" s="97"/>
      <c r="CME2" s="97"/>
      <c r="CMF2" s="97"/>
      <c r="CMG2" s="97"/>
      <c r="CMH2" s="97"/>
      <c r="CMI2" s="97"/>
      <c r="CMJ2" s="97"/>
      <c r="CMK2" s="97"/>
      <c r="CML2" s="97"/>
      <c r="CMM2" s="97"/>
      <c r="CMN2" s="97"/>
      <c r="CMO2" s="97"/>
      <c r="CMP2" s="97"/>
      <c r="CMQ2" s="97"/>
      <c r="CMR2" s="97"/>
      <c r="CMS2" s="97"/>
      <c r="CMT2" s="97"/>
      <c r="CMU2" s="97"/>
      <c r="CMV2" s="97"/>
      <c r="CMW2" s="97"/>
      <c r="CMX2" s="97"/>
      <c r="CMY2" s="97"/>
      <c r="CMZ2" s="97"/>
      <c r="CNA2" s="97"/>
      <c r="CNB2" s="97"/>
      <c r="CNC2" s="97"/>
      <c r="CND2" s="97"/>
      <c r="CNE2" s="97"/>
      <c r="CNF2" s="97"/>
      <c r="CNG2" s="97"/>
      <c r="CNH2" s="97"/>
      <c r="CNI2" s="97"/>
      <c r="CNJ2" s="97"/>
      <c r="CNK2" s="97"/>
      <c r="CNL2" s="97"/>
      <c r="CNM2" s="97"/>
      <c r="CNN2" s="97"/>
      <c r="CNO2" s="97"/>
      <c r="CNP2" s="97"/>
      <c r="CNQ2" s="97"/>
      <c r="CNR2" s="97"/>
      <c r="CNS2" s="97"/>
      <c r="CNT2" s="97"/>
      <c r="CNU2" s="97"/>
      <c r="CNV2" s="97"/>
      <c r="CNW2" s="97"/>
      <c r="CNX2" s="97"/>
      <c r="CNY2" s="97"/>
      <c r="CNZ2" s="97"/>
      <c r="COA2" s="97"/>
      <c r="COB2" s="97"/>
      <c r="COC2" s="97"/>
      <c r="COD2" s="97"/>
      <c r="COE2" s="97"/>
      <c r="COF2" s="97"/>
      <c r="COG2" s="97"/>
      <c r="COH2" s="97"/>
      <c r="COI2" s="97"/>
      <c r="COJ2" s="97"/>
      <c r="COK2" s="97"/>
      <c r="COL2" s="97"/>
      <c r="COM2" s="97"/>
      <c r="CON2" s="97"/>
      <c r="COO2" s="97"/>
      <c r="COP2" s="97"/>
      <c r="COQ2" s="97"/>
      <c r="COR2" s="97"/>
      <c r="COS2" s="97"/>
      <c r="COT2" s="97"/>
      <c r="COU2" s="97"/>
      <c r="COV2" s="97"/>
      <c r="COW2" s="97"/>
      <c r="COX2" s="97"/>
      <c r="COY2" s="97"/>
      <c r="COZ2" s="97"/>
      <c r="CPA2" s="97"/>
      <c r="CPB2" s="97"/>
      <c r="CPC2" s="97"/>
      <c r="CPD2" s="97"/>
      <c r="CPE2" s="97"/>
      <c r="CPF2" s="97"/>
      <c r="CPG2" s="97"/>
      <c r="CPH2" s="97"/>
      <c r="CPI2" s="97"/>
      <c r="CPJ2" s="97"/>
      <c r="CPK2" s="97"/>
      <c r="CPL2" s="97"/>
      <c r="CPM2" s="97"/>
      <c r="CPN2" s="97"/>
      <c r="CPO2" s="97"/>
      <c r="CPP2" s="97"/>
      <c r="CPQ2" s="97"/>
      <c r="CPR2" s="97"/>
      <c r="CPS2" s="97"/>
      <c r="CPT2" s="97"/>
      <c r="CPU2" s="97"/>
      <c r="CPV2" s="97"/>
      <c r="CPW2" s="97"/>
      <c r="CPX2" s="97"/>
      <c r="CPY2" s="97"/>
      <c r="CPZ2" s="97"/>
      <c r="CQA2" s="97"/>
      <c r="CQB2" s="97"/>
      <c r="CQC2" s="97"/>
      <c r="CQD2" s="97"/>
      <c r="CQE2" s="97"/>
      <c r="CQF2" s="97"/>
      <c r="CQG2" s="97"/>
      <c r="CQH2" s="97"/>
      <c r="CQI2" s="97"/>
      <c r="CQJ2" s="97"/>
      <c r="CQK2" s="97"/>
      <c r="CQL2" s="97"/>
      <c r="CQM2" s="97"/>
      <c r="CQN2" s="97"/>
      <c r="CQO2" s="97"/>
      <c r="CQP2" s="97"/>
      <c r="CQQ2" s="97"/>
      <c r="CQR2" s="97"/>
      <c r="CQS2" s="97"/>
      <c r="CQT2" s="97"/>
      <c r="CQU2" s="97"/>
      <c r="CQV2" s="97"/>
      <c r="CQW2" s="97"/>
      <c r="CQX2" s="97"/>
      <c r="CQY2" s="97"/>
      <c r="CQZ2" s="97"/>
      <c r="CRA2" s="97"/>
      <c r="CRB2" s="97"/>
      <c r="CRC2" s="97"/>
      <c r="CRD2" s="97"/>
      <c r="CRE2" s="97"/>
      <c r="CRF2" s="97"/>
      <c r="CRG2" s="97"/>
      <c r="CRH2" s="97"/>
      <c r="CRI2" s="97"/>
      <c r="CRJ2" s="97"/>
      <c r="CRK2" s="97"/>
      <c r="CRL2" s="97"/>
      <c r="CRM2" s="97"/>
      <c r="CRN2" s="97"/>
      <c r="CRO2" s="97"/>
      <c r="CRP2" s="97"/>
      <c r="CRQ2" s="97"/>
      <c r="CRR2" s="97"/>
      <c r="CRS2" s="97"/>
      <c r="CRT2" s="97"/>
      <c r="CRU2" s="97"/>
      <c r="CRV2" s="97"/>
      <c r="CRW2" s="97"/>
      <c r="CRX2" s="97"/>
      <c r="CRY2" s="97"/>
      <c r="CRZ2" s="97"/>
      <c r="CSA2" s="97"/>
      <c r="CSB2" s="97"/>
      <c r="CSC2" s="97"/>
      <c r="CSD2" s="97"/>
      <c r="CSE2" s="97"/>
      <c r="CSF2" s="97"/>
      <c r="CSG2" s="97"/>
      <c r="CSH2" s="97"/>
      <c r="CSI2" s="97"/>
      <c r="CSJ2" s="97"/>
      <c r="CSK2" s="97"/>
      <c r="CSL2" s="97"/>
      <c r="CSM2" s="97"/>
      <c r="CSN2" s="97"/>
      <c r="CSO2" s="97"/>
      <c r="CSP2" s="97"/>
      <c r="CSQ2" s="97"/>
      <c r="CSR2" s="97"/>
      <c r="CSS2" s="97"/>
      <c r="CST2" s="97"/>
      <c r="CSU2" s="97"/>
      <c r="CSV2" s="97"/>
      <c r="CSW2" s="97"/>
      <c r="CSX2" s="97"/>
      <c r="CSY2" s="97"/>
      <c r="CSZ2" s="97"/>
      <c r="CTA2" s="97"/>
      <c r="CTB2" s="97"/>
      <c r="CTC2" s="97"/>
      <c r="CTD2" s="97"/>
      <c r="CTE2" s="97"/>
      <c r="CTF2" s="97"/>
      <c r="CTG2" s="97"/>
      <c r="CTH2" s="97"/>
      <c r="CTI2" s="97"/>
      <c r="CTJ2" s="97"/>
      <c r="CTK2" s="97"/>
      <c r="CTL2" s="97"/>
      <c r="CTM2" s="97"/>
      <c r="CTN2" s="97"/>
      <c r="CTO2" s="97"/>
      <c r="CTP2" s="97"/>
      <c r="CTQ2" s="97"/>
      <c r="CTR2" s="97"/>
      <c r="CTS2" s="97"/>
      <c r="CTT2" s="97"/>
      <c r="CTU2" s="97"/>
      <c r="CTV2" s="97"/>
      <c r="CTW2" s="97"/>
      <c r="CTX2" s="97"/>
      <c r="CTY2" s="97"/>
      <c r="CTZ2" s="97"/>
      <c r="CUA2" s="97"/>
      <c r="CUB2" s="97"/>
      <c r="CUC2" s="97"/>
      <c r="CUD2" s="97"/>
      <c r="CUE2" s="97"/>
      <c r="CUF2" s="97"/>
      <c r="CUG2" s="97"/>
      <c r="CUH2" s="97"/>
      <c r="CUI2" s="97"/>
      <c r="CUJ2" s="97"/>
      <c r="CUK2" s="97"/>
      <c r="CUL2" s="97"/>
      <c r="CUM2" s="97"/>
      <c r="CUN2" s="97"/>
      <c r="CUO2" s="97"/>
      <c r="CUP2" s="97"/>
      <c r="CUQ2" s="97"/>
      <c r="CUR2" s="97"/>
      <c r="CUS2" s="97"/>
      <c r="CUT2" s="97"/>
      <c r="CUU2" s="97"/>
      <c r="CUV2" s="97"/>
      <c r="CUW2" s="97"/>
      <c r="CUX2" s="97"/>
      <c r="CUY2" s="97"/>
      <c r="CUZ2" s="97"/>
      <c r="CVA2" s="97"/>
      <c r="CVB2" s="97"/>
      <c r="CVC2" s="97"/>
      <c r="CVD2" s="97"/>
      <c r="CVE2" s="97"/>
      <c r="CVF2" s="97"/>
      <c r="CVG2" s="97"/>
      <c r="CVH2" s="97"/>
      <c r="CVI2" s="97"/>
      <c r="CVJ2" s="97"/>
      <c r="CVK2" s="97"/>
      <c r="CVL2" s="97"/>
      <c r="CVM2" s="97"/>
      <c r="CVN2" s="97"/>
      <c r="CVO2" s="97"/>
      <c r="CVP2" s="97"/>
      <c r="CVQ2" s="97"/>
      <c r="CVR2" s="97"/>
      <c r="CVS2" s="97"/>
      <c r="CVT2" s="97"/>
      <c r="CVU2" s="97"/>
      <c r="CVV2" s="97"/>
      <c r="CVW2" s="97"/>
      <c r="CVX2" s="97"/>
      <c r="CVY2" s="97"/>
      <c r="CVZ2" s="97"/>
      <c r="CWA2" s="97"/>
      <c r="CWB2" s="97"/>
      <c r="CWC2" s="97"/>
      <c r="CWD2" s="97"/>
      <c r="CWE2" s="97"/>
      <c r="CWF2" s="97"/>
      <c r="CWG2" s="97"/>
      <c r="CWH2" s="97"/>
      <c r="CWI2" s="97"/>
      <c r="CWJ2" s="97"/>
      <c r="CWK2" s="97"/>
      <c r="CWL2" s="97"/>
      <c r="CWM2" s="97"/>
      <c r="CWN2" s="97"/>
      <c r="CWO2" s="97"/>
      <c r="CWP2" s="97"/>
      <c r="CWQ2" s="97"/>
      <c r="CWR2" s="97"/>
      <c r="CWS2" s="97"/>
      <c r="CWT2" s="97"/>
      <c r="CWU2" s="97"/>
      <c r="CWV2" s="97"/>
      <c r="CWW2" s="97"/>
      <c r="CWX2" s="97"/>
      <c r="CWY2" s="97"/>
      <c r="CWZ2" s="97"/>
      <c r="CXA2" s="97"/>
      <c r="CXB2" s="97"/>
      <c r="CXC2" s="97"/>
      <c r="CXD2" s="97"/>
      <c r="CXE2" s="97"/>
      <c r="CXF2" s="97"/>
      <c r="CXG2" s="97"/>
      <c r="CXH2" s="97"/>
      <c r="CXI2" s="97"/>
      <c r="CXJ2" s="97"/>
      <c r="CXK2" s="97"/>
      <c r="CXL2" s="97"/>
      <c r="CXM2" s="97"/>
      <c r="CXN2" s="97"/>
      <c r="CXO2" s="97"/>
      <c r="CXP2" s="97"/>
      <c r="CXQ2" s="97"/>
      <c r="CXR2" s="97"/>
      <c r="CXS2" s="97"/>
      <c r="CXT2" s="97"/>
      <c r="CXU2" s="97"/>
      <c r="CXV2" s="97"/>
      <c r="CXW2" s="97"/>
      <c r="CXX2" s="97"/>
      <c r="CXY2" s="97"/>
      <c r="CXZ2" s="97"/>
      <c r="CYA2" s="97"/>
      <c r="CYB2" s="97"/>
      <c r="CYC2" s="97"/>
      <c r="CYD2" s="97"/>
      <c r="CYE2" s="97"/>
      <c r="CYF2" s="97"/>
      <c r="CYG2" s="97"/>
      <c r="CYH2" s="97"/>
      <c r="CYI2" s="97"/>
      <c r="CYJ2" s="97"/>
      <c r="CYK2" s="97"/>
      <c r="CYL2" s="97"/>
      <c r="CYM2" s="97"/>
      <c r="CYN2" s="97"/>
      <c r="CYO2" s="97"/>
      <c r="CYP2" s="97"/>
      <c r="CYQ2" s="97"/>
      <c r="CYR2" s="97"/>
      <c r="CYS2" s="97"/>
      <c r="CYT2" s="97"/>
      <c r="CYU2" s="97"/>
      <c r="CYV2" s="97"/>
      <c r="CYW2" s="97"/>
      <c r="CYX2" s="97"/>
      <c r="CYY2" s="97"/>
      <c r="CYZ2" s="97"/>
      <c r="CZA2" s="97"/>
      <c r="CZB2" s="97"/>
      <c r="CZC2" s="97"/>
      <c r="CZD2" s="97"/>
      <c r="CZE2" s="97"/>
      <c r="CZF2" s="97"/>
      <c r="CZG2" s="97"/>
      <c r="CZH2" s="97"/>
      <c r="CZI2" s="97"/>
      <c r="CZJ2" s="97"/>
      <c r="CZK2" s="97"/>
      <c r="CZL2" s="97"/>
      <c r="CZM2" s="97"/>
      <c r="CZN2" s="97"/>
      <c r="CZO2" s="97"/>
      <c r="CZP2" s="97"/>
      <c r="CZQ2" s="97"/>
      <c r="CZR2" s="97"/>
      <c r="CZS2" s="97"/>
      <c r="CZT2" s="97"/>
      <c r="CZU2" s="97"/>
      <c r="CZV2" s="97"/>
      <c r="CZW2" s="97"/>
      <c r="CZX2" s="97"/>
      <c r="CZY2" s="97"/>
      <c r="CZZ2" s="97"/>
      <c r="DAA2" s="97"/>
      <c r="DAB2" s="97"/>
      <c r="DAC2" s="97"/>
      <c r="DAD2" s="97"/>
      <c r="DAE2" s="97"/>
      <c r="DAF2" s="97"/>
      <c r="DAG2" s="97"/>
      <c r="DAH2" s="97"/>
      <c r="DAI2" s="97"/>
      <c r="DAJ2" s="97"/>
      <c r="DAK2" s="97"/>
      <c r="DAL2" s="97"/>
      <c r="DAM2" s="97"/>
      <c r="DAN2" s="97"/>
      <c r="DAO2" s="97"/>
      <c r="DAP2" s="97"/>
      <c r="DAQ2" s="97"/>
      <c r="DAR2" s="97"/>
      <c r="DAS2" s="97"/>
      <c r="DAT2" s="97"/>
      <c r="DAU2" s="97"/>
      <c r="DAV2" s="97"/>
      <c r="DAW2" s="97"/>
      <c r="DAX2" s="97"/>
      <c r="DAY2" s="97"/>
      <c r="DAZ2" s="97"/>
      <c r="DBA2" s="97"/>
      <c r="DBB2" s="97"/>
      <c r="DBC2" s="97"/>
      <c r="DBD2" s="97"/>
      <c r="DBE2" s="97"/>
      <c r="DBF2" s="97"/>
      <c r="DBG2" s="97"/>
      <c r="DBH2" s="97"/>
      <c r="DBI2" s="97"/>
      <c r="DBJ2" s="97"/>
      <c r="DBK2" s="97"/>
      <c r="DBL2" s="97"/>
      <c r="DBM2" s="97"/>
      <c r="DBN2" s="97"/>
      <c r="DBO2" s="97"/>
      <c r="DBP2" s="97"/>
      <c r="DBQ2" s="97"/>
      <c r="DBR2" s="97"/>
      <c r="DBS2" s="97"/>
      <c r="DBT2" s="97"/>
      <c r="DBU2" s="97"/>
      <c r="DBV2" s="97"/>
      <c r="DBW2" s="97"/>
      <c r="DBX2" s="97"/>
      <c r="DBY2" s="97"/>
      <c r="DBZ2" s="97"/>
      <c r="DCA2" s="97"/>
      <c r="DCB2" s="97"/>
      <c r="DCC2" s="97"/>
      <c r="DCD2" s="97"/>
      <c r="DCE2" s="97"/>
      <c r="DCF2" s="97"/>
      <c r="DCG2" s="97"/>
      <c r="DCH2" s="97"/>
      <c r="DCI2" s="97"/>
      <c r="DCJ2" s="97"/>
      <c r="DCK2" s="97"/>
      <c r="DCL2" s="97"/>
      <c r="DCM2" s="97"/>
      <c r="DCN2" s="97"/>
      <c r="DCO2" s="97"/>
      <c r="DCP2" s="97"/>
      <c r="DCQ2" s="97"/>
      <c r="DCR2" s="97"/>
      <c r="DCS2" s="97"/>
      <c r="DCT2" s="97"/>
      <c r="DCU2" s="97"/>
      <c r="DCV2" s="97"/>
      <c r="DCW2" s="97"/>
      <c r="DCX2" s="97"/>
      <c r="DCY2" s="97"/>
      <c r="DCZ2" s="97"/>
      <c r="DDA2" s="97"/>
      <c r="DDB2" s="97"/>
      <c r="DDC2" s="97"/>
      <c r="DDD2" s="97"/>
      <c r="DDE2" s="97"/>
      <c r="DDF2" s="97"/>
      <c r="DDG2" s="97"/>
      <c r="DDH2" s="97"/>
      <c r="DDI2" s="97"/>
      <c r="DDJ2" s="97"/>
      <c r="DDK2" s="97"/>
      <c r="DDL2" s="97"/>
      <c r="DDM2" s="97"/>
      <c r="DDN2" s="97"/>
      <c r="DDO2" s="97"/>
      <c r="DDP2" s="97"/>
      <c r="DDQ2" s="97"/>
      <c r="DDR2" s="97"/>
      <c r="DDS2" s="97"/>
      <c r="DDT2" s="97"/>
      <c r="DDU2" s="97"/>
      <c r="DDV2" s="97"/>
      <c r="DDW2" s="97"/>
      <c r="DDX2" s="97"/>
      <c r="DDY2" s="97"/>
      <c r="DDZ2" s="97"/>
      <c r="DEA2" s="97"/>
      <c r="DEB2" s="97"/>
      <c r="DEC2" s="97"/>
      <c r="DED2" s="97"/>
      <c r="DEE2" s="97"/>
      <c r="DEF2" s="97"/>
      <c r="DEG2" s="97"/>
      <c r="DEH2" s="97"/>
      <c r="DEI2" s="97"/>
      <c r="DEJ2" s="97"/>
      <c r="DEK2" s="97"/>
      <c r="DEL2" s="97"/>
      <c r="DEM2" s="97"/>
      <c r="DEN2" s="97"/>
      <c r="DEO2" s="97"/>
      <c r="DEP2" s="97"/>
      <c r="DEQ2" s="97"/>
      <c r="DER2" s="97"/>
      <c r="DES2" s="97"/>
      <c r="DET2" s="97"/>
      <c r="DEU2" s="97"/>
      <c r="DEV2" s="97"/>
      <c r="DEW2" s="97"/>
      <c r="DEX2" s="97"/>
      <c r="DEY2" s="97"/>
      <c r="DEZ2" s="97"/>
      <c r="DFA2" s="97"/>
      <c r="DFB2" s="97"/>
      <c r="DFC2" s="97"/>
      <c r="DFD2" s="97"/>
      <c r="DFE2" s="97"/>
      <c r="DFF2" s="97"/>
      <c r="DFG2" s="97"/>
      <c r="DFH2" s="97"/>
      <c r="DFI2" s="97"/>
      <c r="DFJ2" s="97"/>
      <c r="DFK2" s="97"/>
      <c r="DFL2" s="97"/>
      <c r="DFM2" s="97"/>
      <c r="DFN2" s="97"/>
      <c r="DFO2" s="97"/>
      <c r="DFP2" s="97"/>
      <c r="DFQ2" s="97"/>
      <c r="DFR2" s="97"/>
      <c r="DFS2" s="97"/>
      <c r="DFT2" s="97"/>
      <c r="DFU2" s="97"/>
      <c r="DFV2" s="97"/>
      <c r="DFW2" s="97"/>
      <c r="DFX2" s="97"/>
      <c r="DFY2" s="97"/>
      <c r="DFZ2" s="97"/>
      <c r="DGA2" s="97"/>
      <c r="DGB2" s="97"/>
      <c r="DGC2" s="97"/>
      <c r="DGD2" s="97"/>
      <c r="DGE2" s="97"/>
      <c r="DGF2" s="97"/>
      <c r="DGG2" s="97"/>
      <c r="DGH2" s="97"/>
      <c r="DGI2" s="97"/>
      <c r="DGJ2" s="97"/>
      <c r="DGK2" s="97"/>
      <c r="DGL2" s="97"/>
      <c r="DGM2" s="97"/>
      <c r="DGN2" s="97"/>
      <c r="DGO2" s="97"/>
      <c r="DGP2" s="97"/>
      <c r="DGQ2" s="97"/>
      <c r="DGR2" s="97"/>
      <c r="DGS2" s="97"/>
      <c r="DGT2" s="97"/>
      <c r="DGU2" s="97"/>
      <c r="DGV2" s="97"/>
      <c r="DGW2" s="97"/>
      <c r="DGX2" s="97"/>
      <c r="DGY2" s="97"/>
      <c r="DGZ2" s="97"/>
      <c r="DHA2" s="97"/>
      <c r="DHB2" s="97"/>
      <c r="DHC2" s="97"/>
      <c r="DHD2" s="97"/>
      <c r="DHE2" s="97"/>
      <c r="DHF2" s="97"/>
      <c r="DHG2" s="97"/>
      <c r="DHH2" s="97"/>
      <c r="DHI2" s="97"/>
      <c r="DHJ2" s="97"/>
      <c r="DHK2" s="97"/>
      <c r="DHL2" s="97"/>
      <c r="DHM2" s="97"/>
      <c r="DHN2" s="97"/>
      <c r="DHO2" s="97"/>
      <c r="DHP2" s="97"/>
      <c r="DHQ2" s="97"/>
      <c r="DHR2" s="97"/>
      <c r="DHS2" s="97"/>
      <c r="DHT2" s="97"/>
      <c r="DHU2" s="97"/>
      <c r="DHV2" s="97"/>
      <c r="DHW2" s="97"/>
      <c r="DHX2" s="97"/>
      <c r="DHY2" s="97"/>
      <c r="DHZ2" s="97"/>
      <c r="DIA2" s="97"/>
      <c r="DIB2" s="97"/>
      <c r="DIC2" s="97"/>
      <c r="DID2" s="97"/>
      <c r="DIE2" s="97"/>
      <c r="DIF2" s="97"/>
      <c r="DIG2" s="97"/>
      <c r="DIH2" s="97"/>
      <c r="DII2" s="97"/>
      <c r="DIJ2" s="97"/>
      <c r="DIK2" s="97"/>
      <c r="DIL2" s="97"/>
      <c r="DIM2" s="97"/>
      <c r="DIN2" s="97"/>
      <c r="DIO2" s="97"/>
      <c r="DIP2" s="97"/>
      <c r="DIQ2" s="97"/>
      <c r="DIR2" s="97"/>
      <c r="DIS2" s="97"/>
      <c r="DIT2" s="97"/>
      <c r="DIU2" s="97"/>
      <c r="DIV2" s="97"/>
      <c r="DIW2" s="97"/>
      <c r="DIX2" s="97"/>
      <c r="DIY2" s="97"/>
      <c r="DIZ2" s="97"/>
      <c r="DJA2" s="97"/>
      <c r="DJB2" s="97"/>
      <c r="DJC2" s="97"/>
      <c r="DJD2" s="97"/>
      <c r="DJE2" s="97"/>
      <c r="DJF2" s="97"/>
      <c r="DJG2" s="97"/>
      <c r="DJH2" s="97"/>
      <c r="DJI2" s="97"/>
      <c r="DJJ2" s="97"/>
      <c r="DJK2" s="97"/>
      <c r="DJL2" s="97"/>
      <c r="DJM2" s="97"/>
      <c r="DJN2" s="97"/>
      <c r="DJO2" s="97"/>
      <c r="DJP2" s="97"/>
      <c r="DJQ2" s="97"/>
      <c r="DJR2" s="97"/>
      <c r="DJS2" s="97"/>
      <c r="DJT2" s="97"/>
      <c r="DJU2" s="97"/>
      <c r="DJV2" s="97"/>
      <c r="DJW2" s="97"/>
      <c r="DJX2" s="97"/>
      <c r="DJY2" s="97"/>
      <c r="DJZ2" s="97"/>
      <c r="DKA2" s="97"/>
      <c r="DKB2" s="97"/>
      <c r="DKC2" s="97"/>
      <c r="DKD2" s="97"/>
      <c r="DKE2" s="97"/>
      <c r="DKF2" s="97"/>
      <c r="DKG2" s="97"/>
      <c r="DKH2" s="97"/>
      <c r="DKI2" s="97"/>
      <c r="DKJ2" s="97"/>
      <c r="DKK2" s="97"/>
      <c r="DKL2" s="97"/>
      <c r="DKM2" s="97"/>
      <c r="DKN2" s="97"/>
      <c r="DKO2" s="97"/>
      <c r="DKP2" s="97"/>
      <c r="DKQ2" s="97"/>
      <c r="DKR2" s="97"/>
      <c r="DKS2" s="97"/>
      <c r="DKT2" s="97"/>
      <c r="DKU2" s="97"/>
      <c r="DKV2" s="97"/>
      <c r="DKW2" s="97"/>
      <c r="DKX2" s="97"/>
      <c r="DKY2" s="97"/>
      <c r="DKZ2" s="97"/>
      <c r="DLA2" s="97"/>
      <c r="DLB2" s="97"/>
      <c r="DLC2" s="97"/>
      <c r="DLD2" s="97"/>
      <c r="DLE2" s="97"/>
      <c r="DLF2" s="97"/>
      <c r="DLG2" s="97"/>
      <c r="DLH2" s="97"/>
      <c r="DLI2" s="97"/>
      <c r="DLJ2" s="97"/>
      <c r="DLK2" s="97"/>
      <c r="DLL2" s="97"/>
      <c r="DLM2" s="97"/>
      <c r="DLN2" s="97"/>
      <c r="DLO2" s="97"/>
      <c r="DLP2" s="97"/>
      <c r="DLQ2" s="97"/>
      <c r="DLR2" s="97"/>
      <c r="DLS2" s="97"/>
      <c r="DLT2" s="97"/>
      <c r="DLU2" s="97"/>
      <c r="DLV2" s="97"/>
      <c r="DLW2" s="97"/>
      <c r="DLX2" s="97"/>
      <c r="DLY2" s="97"/>
      <c r="DLZ2" s="97"/>
      <c r="DMA2" s="97"/>
      <c r="DMB2" s="97"/>
      <c r="DMC2" s="97"/>
      <c r="DMD2" s="97"/>
      <c r="DME2" s="97"/>
      <c r="DMF2" s="97"/>
      <c r="DMG2" s="97"/>
      <c r="DMH2" s="97"/>
      <c r="DMI2" s="97"/>
      <c r="DMJ2" s="97"/>
      <c r="DMK2" s="97"/>
      <c r="DML2" s="97"/>
      <c r="DMM2" s="97"/>
      <c r="DMN2" s="97"/>
      <c r="DMO2" s="97"/>
      <c r="DMP2" s="97"/>
      <c r="DMQ2" s="97"/>
      <c r="DMR2" s="97"/>
      <c r="DMS2" s="97"/>
      <c r="DMT2" s="97"/>
      <c r="DMU2" s="97"/>
      <c r="DMV2" s="97"/>
      <c r="DMW2" s="97"/>
      <c r="DMX2" s="97"/>
      <c r="DMY2" s="97"/>
      <c r="DMZ2" s="97"/>
      <c r="DNA2" s="97"/>
      <c r="DNB2" s="97"/>
      <c r="DNC2" s="97"/>
      <c r="DND2" s="97"/>
      <c r="DNE2" s="97"/>
      <c r="DNF2" s="97"/>
      <c r="DNG2" s="97"/>
      <c r="DNH2" s="97"/>
      <c r="DNI2" s="97"/>
      <c r="DNJ2" s="97"/>
      <c r="DNK2" s="97"/>
      <c r="DNL2" s="97"/>
      <c r="DNM2" s="97"/>
      <c r="DNN2" s="97"/>
      <c r="DNO2" s="97"/>
      <c r="DNP2" s="97"/>
      <c r="DNQ2" s="97"/>
      <c r="DNR2" s="97"/>
      <c r="DNS2" s="97"/>
      <c r="DNT2" s="97"/>
      <c r="DNU2" s="97"/>
      <c r="DNV2" s="97"/>
      <c r="DNW2" s="97"/>
      <c r="DNX2" s="97"/>
      <c r="DNY2" s="97"/>
      <c r="DNZ2" s="97"/>
      <c r="DOA2" s="97"/>
      <c r="DOB2" s="97"/>
      <c r="DOC2" s="97"/>
      <c r="DOD2" s="97"/>
      <c r="DOE2" s="97"/>
      <c r="DOF2" s="97"/>
      <c r="DOG2" s="97"/>
      <c r="DOH2" s="97"/>
      <c r="DOI2" s="97"/>
      <c r="DOJ2" s="97"/>
      <c r="DOK2" s="97"/>
      <c r="DOL2" s="97"/>
      <c r="DOM2" s="97"/>
      <c r="DON2" s="97"/>
      <c r="DOO2" s="97"/>
      <c r="DOP2" s="97"/>
      <c r="DOQ2" s="97"/>
      <c r="DOR2" s="97"/>
      <c r="DOS2" s="97"/>
      <c r="DOT2" s="97"/>
      <c r="DOU2" s="97"/>
      <c r="DOV2" s="97"/>
      <c r="DOW2" s="97"/>
      <c r="DOX2" s="97"/>
      <c r="DOY2" s="97"/>
      <c r="DOZ2" s="97"/>
      <c r="DPA2" s="97"/>
      <c r="DPB2" s="97"/>
      <c r="DPC2" s="97"/>
      <c r="DPD2" s="97"/>
      <c r="DPE2" s="97"/>
      <c r="DPF2" s="97"/>
      <c r="DPG2" s="97"/>
      <c r="DPH2" s="97"/>
      <c r="DPI2" s="97"/>
      <c r="DPJ2" s="97"/>
      <c r="DPK2" s="97"/>
      <c r="DPL2" s="97"/>
      <c r="DPM2" s="97"/>
      <c r="DPN2" s="97"/>
      <c r="DPO2" s="97"/>
      <c r="DPP2" s="97"/>
      <c r="DPQ2" s="97"/>
      <c r="DPR2" s="97"/>
      <c r="DPS2" s="97"/>
      <c r="DPT2" s="97"/>
      <c r="DPU2" s="97"/>
      <c r="DPV2" s="97"/>
      <c r="DPW2" s="97"/>
      <c r="DPX2" s="97"/>
      <c r="DPY2" s="97"/>
      <c r="DPZ2" s="97"/>
      <c r="DQA2" s="97"/>
      <c r="DQB2" s="97"/>
      <c r="DQC2" s="97"/>
      <c r="DQD2" s="97"/>
      <c r="DQE2" s="97"/>
      <c r="DQF2" s="97"/>
      <c r="DQG2" s="97"/>
      <c r="DQH2" s="97"/>
      <c r="DQI2" s="97"/>
      <c r="DQJ2" s="97"/>
      <c r="DQK2" s="97"/>
      <c r="DQL2" s="97"/>
      <c r="DQM2" s="97"/>
      <c r="DQN2" s="97"/>
      <c r="DQO2" s="97"/>
      <c r="DQP2" s="97"/>
      <c r="DQQ2" s="97"/>
      <c r="DQR2" s="97"/>
      <c r="DQS2" s="97"/>
      <c r="DQT2" s="97"/>
      <c r="DQU2" s="97"/>
      <c r="DQV2" s="97"/>
      <c r="DQW2" s="97"/>
      <c r="DQX2" s="97"/>
      <c r="DQY2" s="97"/>
      <c r="DQZ2" s="97"/>
      <c r="DRA2" s="97"/>
      <c r="DRB2" s="97"/>
      <c r="DRC2" s="97"/>
      <c r="DRD2" s="97"/>
      <c r="DRE2" s="97"/>
      <c r="DRF2" s="97"/>
      <c r="DRG2" s="97"/>
      <c r="DRH2" s="97"/>
      <c r="DRI2" s="97"/>
      <c r="DRJ2" s="97"/>
      <c r="DRK2" s="97"/>
      <c r="DRL2" s="97"/>
      <c r="DRM2" s="97"/>
      <c r="DRN2" s="97"/>
      <c r="DRO2" s="97"/>
      <c r="DRP2" s="97"/>
      <c r="DRQ2" s="97"/>
      <c r="DRR2" s="97"/>
      <c r="DRS2" s="97"/>
      <c r="DRT2" s="97"/>
      <c r="DRU2" s="97"/>
      <c r="DRV2" s="97"/>
      <c r="DRW2" s="97"/>
      <c r="DRX2" s="97"/>
      <c r="DRY2" s="97"/>
      <c r="DRZ2" s="97"/>
      <c r="DSA2" s="97"/>
      <c r="DSB2" s="97"/>
      <c r="DSC2" s="97"/>
      <c r="DSD2" s="97"/>
      <c r="DSE2" s="97"/>
      <c r="DSF2" s="97"/>
      <c r="DSG2" s="97"/>
      <c r="DSH2" s="97"/>
      <c r="DSI2" s="97"/>
      <c r="DSJ2" s="97"/>
      <c r="DSK2" s="97"/>
      <c r="DSL2" s="97"/>
      <c r="DSM2" s="97"/>
      <c r="DSN2" s="97"/>
      <c r="DSO2" s="97"/>
      <c r="DSP2" s="97"/>
      <c r="DSQ2" s="97"/>
      <c r="DSR2" s="97"/>
      <c r="DSS2" s="97"/>
      <c r="DST2" s="97"/>
      <c r="DSU2" s="97"/>
      <c r="DSV2" s="97"/>
      <c r="DSW2" s="97"/>
      <c r="DSX2" s="97"/>
      <c r="DSY2" s="97"/>
      <c r="DSZ2" s="97"/>
      <c r="DTA2" s="97"/>
      <c r="DTB2" s="97"/>
      <c r="DTC2" s="97"/>
      <c r="DTD2" s="97"/>
      <c r="DTE2" s="97"/>
      <c r="DTF2" s="97"/>
      <c r="DTG2" s="97"/>
      <c r="DTH2" s="97"/>
      <c r="DTI2" s="97"/>
      <c r="DTJ2" s="97"/>
      <c r="DTK2" s="97"/>
      <c r="DTL2" s="97"/>
      <c r="DTM2" s="97"/>
      <c r="DTN2" s="97"/>
      <c r="DTO2" s="97"/>
      <c r="DTP2" s="97"/>
      <c r="DTQ2" s="97"/>
      <c r="DTR2" s="97"/>
      <c r="DTS2" s="97"/>
      <c r="DTT2" s="97"/>
      <c r="DTU2" s="97"/>
      <c r="DTV2" s="97"/>
      <c r="DTW2" s="97"/>
      <c r="DTX2" s="97"/>
      <c r="DTY2" s="97"/>
      <c r="DTZ2" s="97"/>
      <c r="DUA2" s="97"/>
      <c r="DUB2" s="97"/>
      <c r="DUC2" s="97"/>
      <c r="DUD2" s="97"/>
      <c r="DUE2" s="97"/>
      <c r="DUF2" s="97"/>
      <c r="DUG2" s="97"/>
      <c r="DUH2" s="97"/>
      <c r="DUI2" s="97"/>
      <c r="DUJ2" s="97"/>
      <c r="DUK2" s="97"/>
      <c r="DUL2" s="97"/>
      <c r="DUM2" s="97"/>
      <c r="DUN2" s="97"/>
      <c r="DUO2" s="97"/>
      <c r="DUP2" s="97"/>
      <c r="DUQ2" s="97"/>
      <c r="DUR2" s="97"/>
      <c r="DUS2" s="97"/>
      <c r="DUT2" s="97"/>
      <c r="DUU2" s="97"/>
      <c r="DUV2" s="97"/>
      <c r="DUW2" s="97"/>
      <c r="DUX2" s="97"/>
      <c r="DUY2" s="97"/>
      <c r="DUZ2" s="97"/>
      <c r="DVA2" s="97"/>
      <c r="DVB2" s="97"/>
      <c r="DVC2" s="97"/>
      <c r="DVD2" s="97"/>
      <c r="DVE2" s="97"/>
      <c r="DVF2" s="97"/>
      <c r="DVG2" s="97"/>
      <c r="DVH2" s="97"/>
      <c r="DVI2" s="97"/>
      <c r="DVJ2" s="97"/>
      <c r="DVK2" s="97"/>
      <c r="DVL2" s="97"/>
      <c r="DVM2" s="97"/>
      <c r="DVN2" s="97"/>
      <c r="DVO2" s="97"/>
      <c r="DVP2" s="97"/>
      <c r="DVQ2" s="97"/>
      <c r="DVR2" s="97"/>
      <c r="DVS2" s="97"/>
      <c r="DVT2" s="97"/>
      <c r="DVU2" s="97"/>
      <c r="DVV2" s="97"/>
      <c r="DVW2" s="97"/>
      <c r="DVX2" s="97"/>
      <c r="DVY2" s="97"/>
      <c r="DVZ2" s="97"/>
      <c r="DWA2" s="97"/>
      <c r="DWB2" s="97"/>
      <c r="DWC2" s="97"/>
      <c r="DWD2" s="97"/>
      <c r="DWE2" s="97"/>
      <c r="DWF2" s="97"/>
      <c r="DWG2" s="97"/>
      <c r="DWH2" s="97"/>
      <c r="DWI2" s="97"/>
      <c r="DWJ2" s="97"/>
      <c r="DWK2" s="97"/>
      <c r="DWL2" s="97"/>
      <c r="DWM2" s="97"/>
      <c r="DWN2" s="97"/>
      <c r="DWO2" s="97"/>
      <c r="DWP2" s="97"/>
      <c r="DWQ2" s="97"/>
      <c r="DWR2" s="97"/>
      <c r="DWS2" s="97"/>
      <c r="DWT2" s="97"/>
      <c r="DWU2" s="97"/>
      <c r="DWV2" s="97"/>
      <c r="DWW2" s="97"/>
      <c r="DWX2" s="97"/>
      <c r="DWY2" s="97"/>
      <c r="DWZ2" s="97"/>
      <c r="DXA2" s="97"/>
      <c r="DXB2" s="97"/>
      <c r="DXC2" s="97"/>
      <c r="DXD2" s="97"/>
      <c r="DXE2" s="97"/>
      <c r="DXF2" s="97"/>
      <c r="DXG2" s="97"/>
      <c r="DXH2" s="97"/>
      <c r="DXI2" s="97"/>
      <c r="DXJ2" s="97"/>
      <c r="DXK2" s="97"/>
      <c r="DXL2" s="97"/>
      <c r="DXM2" s="97"/>
      <c r="DXN2" s="97"/>
      <c r="DXO2" s="97"/>
      <c r="DXP2" s="97"/>
      <c r="DXQ2" s="97"/>
      <c r="DXR2" s="97"/>
      <c r="DXS2" s="97"/>
      <c r="DXT2" s="97"/>
      <c r="DXU2" s="97"/>
      <c r="DXV2" s="97"/>
      <c r="DXW2" s="97"/>
      <c r="DXX2" s="97"/>
      <c r="DXY2" s="97"/>
      <c r="DXZ2" s="97"/>
      <c r="DYA2" s="97"/>
      <c r="DYB2" s="97"/>
      <c r="DYC2" s="97"/>
      <c r="DYD2" s="97"/>
      <c r="DYE2" s="97"/>
      <c r="DYF2" s="97"/>
      <c r="DYG2" s="97"/>
      <c r="DYH2" s="97"/>
      <c r="DYI2" s="97"/>
      <c r="DYJ2" s="97"/>
      <c r="DYK2" s="97"/>
      <c r="DYL2" s="97"/>
      <c r="DYM2" s="97"/>
      <c r="DYN2" s="97"/>
      <c r="DYO2" s="97"/>
      <c r="DYP2" s="97"/>
      <c r="DYQ2" s="97"/>
      <c r="DYR2" s="97"/>
      <c r="DYS2" s="97"/>
      <c r="DYT2" s="97"/>
      <c r="DYU2" s="97"/>
      <c r="DYV2" s="97"/>
      <c r="DYW2" s="97"/>
      <c r="DYX2" s="97"/>
      <c r="DYY2" s="97"/>
      <c r="DYZ2" s="97"/>
      <c r="DZA2" s="97"/>
      <c r="DZB2" s="97"/>
      <c r="DZC2" s="97"/>
      <c r="DZD2" s="97"/>
      <c r="DZE2" s="97"/>
      <c r="DZF2" s="97"/>
      <c r="DZG2" s="97"/>
      <c r="DZH2" s="97"/>
      <c r="DZI2" s="97"/>
      <c r="DZJ2" s="97"/>
      <c r="DZK2" s="97"/>
      <c r="DZL2" s="97"/>
      <c r="DZM2" s="97"/>
      <c r="DZN2" s="97"/>
      <c r="DZO2" s="97"/>
      <c r="DZP2" s="97"/>
      <c r="DZQ2" s="97"/>
      <c r="DZR2" s="97"/>
      <c r="DZS2" s="97"/>
      <c r="DZT2" s="97"/>
      <c r="DZU2" s="97"/>
      <c r="DZV2" s="97"/>
      <c r="DZW2" s="97"/>
      <c r="DZX2" s="97"/>
      <c r="DZY2" s="97"/>
      <c r="DZZ2" s="97"/>
      <c r="EAA2" s="97"/>
      <c r="EAB2" s="97"/>
      <c r="EAC2" s="97"/>
      <c r="EAD2" s="97"/>
      <c r="EAE2" s="97"/>
      <c r="EAF2" s="97"/>
      <c r="EAG2" s="97"/>
      <c r="EAH2" s="97"/>
      <c r="EAI2" s="97"/>
      <c r="EAJ2" s="97"/>
      <c r="EAK2" s="97"/>
      <c r="EAL2" s="97"/>
      <c r="EAM2" s="97"/>
      <c r="EAN2" s="97"/>
      <c r="EAO2" s="97"/>
      <c r="EAP2" s="97"/>
      <c r="EAQ2" s="97"/>
      <c r="EAR2" s="97"/>
      <c r="EAS2" s="97"/>
      <c r="EAT2" s="97"/>
      <c r="EAU2" s="97"/>
      <c r="EAV2" s="97"/>
      <c r="EAW2" s="97"/>
      <c r="EAX2" s="97"/>
      <c r="EAY2" s="97"/>
      <c r="EAZ2" s="97"/>
      <c r="EBA2" s="97"/>
      <c r="EBB2" s="97"/>
      <c r="EBC2" s="97"/>
      <c r="EBD2" s="97"/>
      <c r="EBE2" s="97"/>
      <c r="EBF2" s="97"/>
      <c r="EBG2" s="97"/>
      <c r="EBH2" s="97"/>
      <c r="EBI2" s="97"/>
      <c r="EBJ2" s="97"/>
      <c r="EBK2" s="97"/>
      <c r="EBL2" s="97"/>
      <c r="EBM2" s="97"/>
      <c r="EBN2" s="97"/>
      <c r="EBO2" s="97"/>
      <c r="EBP2" s="97"/>
      <c r="EBQ2" s="97"/>
      <c r="EBR2" s="97"/>
      <c r="EBS2" s="97"/>
      <c r="EBT2" s="97"/>
      <c r="EBU2" s="97"/>
      <c r="EBV2" s="97"/>
      <c r="EBW2" s="97"/>
      <c r="EBX2" s="97"/>
      <c r="EBY2" s="97"/>
      <c r="EBZ2" s="97"/>
      <c r="ECA2" s="97"/>
      <c r="ECB2" s="97"/>
      <c r="ECC2" s="97"/>
      <c r="ECD2" s="97"/>
      <c r="ECE2" s="97"/>
      <c r="ECF2" s="97"/>
      <c r="ECG2" s="97"/>
      <c r="ECH2" s="97"/>
      <c r="ECI2" s="97"/>
      <c r="ECJ2" s="97"/>
      <c r="ECK2" s="97"/>
      <c r="ECL2" s="97"/>
      <c r="ECM2" s="97"/>
      <c r="ECN2" s="97"/>
      <c r="ECO2" s="97"/>
      <c r="ECP2" s="97"/>
      <c r="ECQ2" s="97"/>
      <c r="ECR2" s="97"/>
      <c r="ECS2" s="97"/>
      <c r="ECT2" s="97"/>
      <c r="ECU2" s="97"/>
      <c r="ECV2" s="97"/>
      <c r="ECW2" s="97"/>
      <c r="ECX2" s="97"/>
      <c r="ECY2" s="97"/>
      <c r="ECZ2" s="97"/>
      <c r="EDA2" s="97"/>
      <c r="EDB2" s="97"/>
      <c r="EDC2" s="97"/>
      <c r="EDD2" s="97"/>
      <c r="EDE2" s="97"/>
      <c r="EDF2" s="97"/>
      <c r="EDG2" s="97"/>
      <c r="EDH2" s="97"/>
      <c r="EDI2" s="97"/>
      <c r="EDJ2" s="97"/>
      <c r="EDK2" s="97"/>
      <c r="EDL2" s="97"/>
      <c r="EDM2" s="97"/>
      <c r="EDN2" s="97"/>
      <c r="EDO2" s="97"/>
      <c r="EDP2" s="97"/>
      <c r="EDQ2" s="97"/>
      <c r="EDR2" s="97"/>
      <c r="EDS2" s="97"/>
      <c r="EDT2" s="97"/>
      <c r="EDU2" s="97"/>
      <c r="EDV2" s="97"/>
      <c r="EDW2" s="97"/>
      <c r="EDX2" s="97"/>
      <c r="EDY2" s="97"/>
      <c r="EDZ2" s="97"/>
      <c r="EEA2" s="97"/>
      <c r="EEB2" s="97"/>
      <c r="EEC2" s="97"/>
      <c r="EED2" s="97"/>
      <c r="EEE2" s="97"/>
      <c r="EEF2" s="97"/>
      <c r="EEG2" s="97"/>
      <c r="EEH2" s="97"/>
      <c r="EEI2" s="97"/>
      <c r="EEJ2" s="97"/>
      <c r="EEK2" s="97"/>
      <c r="EEL2" s="97"/>
      <c r="EEM2" s="97"/>
      <c r="EEN2" s="97"/>
      <c r="EEO2" s="97"/>
      <c r="EEP2" s="97"/>
      <c r="EEQ2" s="97"/>
      <c r="EER2" s="97"/>
      <c r="EES2" s="97"/>
      <c r="EET2" s="97"/>
      <c r="EEU2" s="97"/>
      <c r="EEV2" s="97"/>
      <c r="EEW2" s="97"/>
      <c r="EEX2" s="97"/>
      <c r="EEY2" s="97"/>
      <c r="EEZ2" s="97"/>
      <c r="EFA2" s="97"/>
      <c r="EFB2" s="97"/>
      <c r="EFC2" s="97"/>
      <c r="EFD2" s="97"/>
      <c r="EFE2" s="97"/>
      <c r="EFF2" s="97"/>
      <c r="EFG2" s="97"/>
      <c r="EFH2" s="97"/>
      <c r="EFI2" s="97"/>
      <c r="EFJ2" s="97"/>
      <c r="EFK2" s="97"/>
      <c r="EFL2" s="97"/>
      <c r="EFM2" s="97"/>
      <c r="EFN2" s="97"/>
      <c r="EFO2" s="97"/>
      <c r="EFP2" s="97"/>
      <c r="EFQ2" s="97"/>
      <c r="EFR2" s="97"/>
      <c r="EFS2" s="97"/>
      <c r="EFT2" s="97"/>
      <c r="EFU2" s="97"/>
      <c r="EFV2" s="97"/>
      <c r="EFW2" s="97"/>
      <c r="EFX2" s="97"/>
      <c r="EFY2" s="97"/>
      <c r="EFZ2" s="97"/>
      <c r="EGA2" s="97"/>
      <c r="EGB2" s="97"/>
      <c r="EGC2" s="97"/>
      <c r="EGD2" s="97"/>
      <c r="EGE2" s="97"/>
      <c r="EGF2" s="97"/>
      <c r="EGG2" s="97"/>
      <c r="EGH2" s="97"/>
      <c r="EGI2" s="97"/>
      <c r="EGJ2" s="97"/>
      <c r="EGK2" s="97"/>
      <c r="EGL2" s="97"/>
      <c r="EGM2" s="97"/>
      <c r="EGN2" s="97"/>
      <c r="EGO2" s="97"/>
      <c r="EGP2" s="97"/>
      <c r="EGQ2" s="97"/>
      <c r="EGR2" s="97"/>
      <c r="EGS2" s="97"/>
      <c r="EGT2" s="97"/>
      <c r="EGU2" s="97"/>
      <c r="EGV2" s="97"/>
      <c r="EGW2" s="97"/>
      <c r="EGX2" s="97"/>
      <c r="EGY2" s="97"/>
      <c r="EGZ2" s="97"/>
      <c r="EHA2" s="97"/>
      <c r="EHB2" s="97"/>
      <c r="EHC2" s="97"/>
      <c r="EHD2" s="97"/>
      <c r="EHE2" s="97"/>
      <c r="EHF2" s="97"/>
      <c r="EHG2" s="97"/>
      <c r="EHH2" s="97"/>
      <c r="EHI2" s="97"/>
      <c r="EHJ2" s="97"/>
      <c r="EHK2" s="97"/>
      <c r="EHL2" s="97"/>
      <c r="EHM2" s="97"/>
      <c r="EHN2" s="97"/>
      <c r="EHO2" s="97"/>
      <c r="EHP2" s="97"/>
      <c r="EHQ2" s="97"/>
      <c r="EHR2" s="97"/>
      <c r="EHS2" s="97"/>
      <c r="EHT2" s="97"/>
      <c r="EHU2" s="97"/>
      <c r="EHV2" s="97"/>
      <c r="EHW2" s="97"/>
      <c r="EHX2" s="97"/>
      <c r="EHY2" s="97"/>
      <c r="EHZ2" s="97"/>
      <c r="EIA2" s="97"/>
      <c r="EIB2" s="97"/>
      <c r="EIC2" s="97"/>
      <c r="EID2" s="97"/>
      <c r="EIE2" s="97"/>
      <c r="EIF2" s="97"/>
      <c r="EIG2" s="97"/>
      <c r="EIH2" s="97"/>
      <c r="EII2" s="97"/>
      <c r="EIJ2" s="97"/>
      <c r="EIK2" s="97"/>
      <c r="EIL2" s="97"/>
      <c r="EIM2" s="97"/>
      <c r="EIN2" s="97"/>
      <c r="EIO2" s="97"/>
      <c r="EIP2" s="97"/>
      <c r="EIQ2" s="97"/>
      <c r="EIR2" s="97"/>
      <c r="EIS2" s="97"/>
      <c r="EIT2" s="97"/>
      <c r="EIU2" s="97"/>
      <c r="EIV2" s="97"/>
      <c r="EIW2" s="97"/>
      <c r="EIX2" s="97"/>
      <c r="EIY2" s="97"/>
      <c r="EIZ2" s="97"/>
      <c r="EJA2" s="97"/>
      <c r="EJB2" s="97"/>
      <c r="EJC2" s="97"/>
      <c r="EJD2" s="97"/>
      <c r="EJE2" s="97"/>
      <c r="EJF2" s="97"/>
      <c r="EJG2" s="97"/>
      <c r="EJH2" s="97"/>
      <c r="EJI2" s="97"/>
      <c r="EJJ2" s="97"/>
      <c r="EJK2" s="97"/>
      <c r="EJL2" s="97"/>
      <c r="EJM2" s="97"/>
      <c r="EJN2" s="97"/>
      <c r="EJO2" s="97"/>
      <c r="EJP2" s="97"/>
      <c r="EJQ2" s="97"/>
      <c r="EJR2" s="97"/>
      <c r="EJS2" s="97"/>
      <c r="EJT2" s="97"/>
      <c r="EJU2" s="97"/>
      <c r="EJV2" s="97"/>
      <c r="EJW2" s="97"/>
      <c r="EJX2" s="97"/>
      <c r="EJY2" s="97"/>
      <c r="EJZ2" s="97"/>
      <c r="EKA2" s="97"/>
      <c r="EKB2" s="97"/>
      <c r="EKC2" s="97"/>
      <c r="EKD2" s="97"/>
      <c r="EKE2" s="97"/>
      <c r="EKF2" s="97"/>
      <c r="EKG2" s="97"/>
      <c r="EKH2" s="97"/>
      <c r="EKI2" s="97"/>
      <c r="EKJ2" s="97"/>
      <c r="EKK2" s="97"/>
      <c r="EKL2" s="97"/>
      <c r="EKM2" s="97"/>
      <c r="EKN2" s="97"/>
      <c r="EKO2" s="97"/>
      <c r="EKP2" s="97"/>
      <c r="EKQ2" s="97"/>
      <c r="EKR2" s="97"/>
      <c r="EKS2" s="97"/>
      <c r="EKT2" s="97"/>
      <c r="EKU2" s="97"/>
      <c r="EKV2" s="97"/>
      <c r="EKW2" s="97"/>
      <c r="EKX2" s="97"/>
      <c r="EKY2" s="97"/>
      <c r="EKZ2" s="97"/>
      <c r="ELA2" s="97"/>
      <c r="ELB2" s="97"/>
      <c r="ELC2" s="97"/>
      <c r="ELD2" s="97"/>
      <c r="ELE2" s="97"/>
      <c r="ELF2" s="97"/>
      <c r="ELG2" s="97"/>
      <c r="ELH2" s="97"/>
      <c r="ELI2" s="97"/>
      <c r="ELJ2" s="97"/>
      <c r="ELK2" s="97"/>
      <c r="ELL2" s="97"/>
      <c r="ELM2" s="97"/>
      <c r="ELN2" s="97"/>
      <c r="ELO2" s="97"/>
      <c r="ELP2" s="97"/>
      <c r="ELQ2" s="97"/>
      <c r="ELR2" s="97"/>
      <c r="ELS2" s="97"/>
      <c r="ELT2" s="97"/>
      <c r="ELU2" s="97"/>
      <c r="ELV2" s="97"/>
      <c r="ELW2" s="97"/>
      <c r="ELX2" s="97"/>
      <c r="ELY2" s="97"/>
      <c r="ELZ2" s="97"/>
      <c r="EMA2" s="97"/>
      <c r="EMB2" s="97"/>
      <c r="EMC2" s="97"/>
      <c r="EMD2" s="97"/>
      <c r="EME2" s="97"/>
      <c r="EMF2" s="97"/>
      <c r="EMG2" s="97"/>
      <c r="EMH2" s="97"/>
      <c r="EMI2" s="97"/>
      <c r="EMJ2" s="97"/>
      <c r="EMK2" s="97"/>
      <c r="EML2" s="97"/>
      <c r="EMM2" s="97"/>
      <c r="EMN2" s="97"/>
      <c r="EMO2" s="97"/>
      <c r="EMP2" s="97"/>
      <c r="EMQ2" s="97"/>
      <c r="EMR2" s="97"/>
      <c r="EMS2" s="97"/>
      <c r="EMT2" s="97"/>
      <c r="EMU2" s="97"/>
      <c r="EMV2" s="97"/>
      <c r="EMW2" s="97"/>
      <c r="EMX2" s="97"/>
      <c r="EMY2" s="97"/>
      <c r="EMZ2" s="97"/>
      <c r="ENA2" s="97"/>
      <c r="ENB2" s="97"/>
      <c r="ENC2" s="97"/>
      <c r="END2" s="97"/>
      <c r="ENE2" s="97"/>
      <c r="ENF2" s="97"/>
      <c r="ENG2" s="97"/>
      <c r="ENH2" s="97"/>
      <c r="ENI2" s="97"/>
      <c r="ENJ2" s="97"/>
      <c r="ENK2" s="97"/>
      <c r="ENL2" s="97"/>
      <c r="ENM2" s="97"/>
      <c r="ENN2" s="97"/>
      <c r="ENO2" s="97"/>
      <c r="ENP2" s="97"/>
      <c r="ENQ2" s="97"/>
      <c r="ENR2" s="97"/>
      <c r="ENS2" s="97"/>
      <c r="ENT2" s="97"/>
      <c r="ENU2" s="97"/>
      <c r="ENV2" s="97"/>
      <c r="ENW2" s="97"/>
      <c r="ENX2" s="97"/>
      <c r="ENY2" s="97"/>
      <c r="ENZ2" s="97"/>
      <c r="EOA2" s="97"/>
      <c r="EOB2" s="97"/>
      <c r="EOC2" s="97"/>
      <c r="EOD2" s="97"/>
      <c r="EOE2" s="97"/>
      <c r="EOF2" s="97"/>
      <c r="EOG2" s="97"/>
      <c r="EOH2" s="97"/>
      <c r="EOI2" s="97"/>
      <c r="EOJ2" s="97"/>
      <c r="EOK2" s="97"/>
      <c r="EOL2" s="97"/>
      <c r="EOM2" s="97"/>
      <c r="EON2" s="97"/>
      <c r="EOO2" s="97"/>
      <c r="EOP2" s="97"/>
      <c r="EOQ2" s="97"/>
      <c r="EOR2" s="97"/>
      <c r="EOS2" s="97"/>
      <c r="EOT2" s="97"/>
      <c r="EOU2" s="97"/>
      <c r="EOV2" s="97"/>
      <c r="EOW2" s="97"/>
      <c r="EOX2" s="97"/>
      <c r="EOY2" s="97"/>
      <c r="EOZ2" s="97"/>
      <c r="EPA2" s="97"/>
      <c r="EPB2" s="97"/>
      <c r="EPC2" s="97"/>
      <c r="EPD2" s="97"/>
      <c r="EPE2" s="97"/>
      <c r="EPF2" s="97"/>
      <c r="EPG2" s="97"/>
      <c r="EPH2" s="97"/>
      <c r="EPI2" s="97"/>
      <c r="EPJ2" s="97"/>
      <c r="EPK2" s="97"/>
      <c r="EPL2" s="97"/>
      <c r="EPM2" s="97"/>
      <c r="EPN2" s="97"/>
      <c r="EPO2" s="97"/>
      <c r="EPP2" s="97"/>
      <c r="EPQ2" s="97"/>
      <c r="EPR2" s="97"/>
      <c r="EPS2" s="97"/>
      <c r="EPT2" s="97"/>
      <c r="EPU2" s="97"/>
      <c r="EPV2" s="97"/>
      <c r="EPW2" s="97"/>
      <c r="EPX2" s="97"/>
      <c r="EPY2" s="97"/>
      <c r="EPZ2" s="97"/>
      <c r="EQA2" s="97"/>
      <c r="EQB2" s="97"/>
      <c r="EQC2" s="97"/>
      <c r="EQD2" s="97"/>
      <c r="EQE2" s="97"/>
      <c r="EQF2" s="97"/>
      <c r="EQG2" s="97"/>
      <c r="EQH2" s="97"/>
      <c r="EQI2" s="97"/>
      <c r="EQJ2" s="97"/>
      <c r="EQK2" s="97"/>
      <c r="EQL2" s="97"/>
      <c r="EQM2" s="97"/>
      <c r="EQN2" s="97"/>
      <c r="EQO2" s="97"/>
      <c r="EQP2" s="97"/>
      <c r="EQQ2" s="97"/>
      <c r="EQR2" s="97"/>
      <c r="EQS2" s="97"/>
      <c r="EQT2" s="97"/>
      <c r="EQU2" s="97"/>
      <c r="EQV2" s="97"/>
      <c r="EQW2" s="97"/>
      <c r="EQX2" s="97"/>
      <c r="EQY2" s="97"/>
      <c r="EQZ2" s="97"/>
      <c r="ERA2" s="97"/>
      <c r="ERB2" s="97"/>
      <c r="ERC2" s="97"/>
      <c r="ERD2" s="97"/>
      <c r="ERE2" s="97"/>
      <c r="ERF2" s="97"/>
      <c r="ERG2" s="97"/>
      <c r="ERH2" s="97"/>
      <c r="ERI2" s="97"/>
      <c r="ERJ2" s="97"/>
      <c r="ERK2" s="97"/>
      <c r="ERL2" s="97"/>
      <c r="ERM2" s="97"/>
      <c r="ERN2" s="97"/>
      <c r="ERO2" s="97"/>
      <c r="ERP2" s="97"/>
      <c r="ERQ2" s="97"/>
      <c r="ERR2" s="97"/>
      <c r="ERS2" s="97"/>
      <c r="ERT2" s="97"/>
      <c r="ERU2" s="97"/>
      <c r="ERV2" s="97"/>
      <c r="ERW2" s="97"/>
      <c r="ERX2" s="97"/>
      <c r="ERY2" s="97"/>
      <c r="ERZ2" s="97"/>
      <c r="ESA2" s="97"/>
      <c r="ESB2" s="97"/>
      <c r="ESC2" s="97"/>
      <c r="ESD2" s="97"/>
      <c r="ESE2" s="97"/>
      <c r="ESF2" s="97"/>
      <c r="ESG2" s="97"/>
      <c r="ESH2" s="97"/>
      <c r="ESI2" s="97"/>
      <c r="ESJ2" s="97"/>
      <c r="ESK2" s="97"/>
      <c r="ESL2" s="97"/>
      <c r="ESM2" s="97"/>
      <c r="ESN2" s="97"/>
      <c r="ESO2" s="97"/>
      <c r="ESP2" s="97"/>
      <c r="ESQ2" s="97"/>
      <c r="ESR2" s="97"/>
      <c r="ESS2" s="97"/>
      <c r="EST2" s="97"/>
      <c r="ESU2" s="97"/>
      <c r="ESV2" s="97"/>
      <c r="ESW2" s="97"/>
      <c r="ESX2" s="97"/>
      <c r="ESY2" s="97"/>
      <c r="ESZ2" s="97"/>
      <c r="ETA2" s="97"/>
      <c r="ETB2" s="97"/>
      <c r="ETC2" s="97"/>
      <c r="ETD2" s="97"/>
      <c r="ETE2" s="97"/>
      <c r="ETF2" s="97"/>
      <c r="ETG2" s="97"/>
      <c r="ETH2" s="97"/>
      <c r="ETI2" s="97"/>
      <c r="ETJ2" s="97"/>
      <c r="ETK2" s="97"/>
      <c r="ETL2" s="97"/>
      <c r="ETM2" s="97"/>
      <c r="ETN2" s="97"/>
      <c r="ETO2" s="97"/>
      <c r="ETP2" s="97"/>
      <c r="ETQ2" s="97"/>
      <c r="ETR2" s="97"/>
      <c r="ETS2" s="97"/>
      <c r="ETT2" s="97"/>
      <c r="ETU2" s="97"/>
      <c r="ETV2" s="97"/>
      <c r="ETW2" s="97"/>
      <c r="ETX2" s="97"/>
      <c r="ETY2" s="97"/>
      <c r="ETZ2" s="97"/>
      <c r="EUA2" s="97"/>
      <c r="EUB2" s="97"/>
      <c r="EUC2" s="97"/>
      <c r="EUD2" s="97"/>
      <c r="EUE2" s="97"/>
      <c r="EUF2" s="97"/>
      <c r="EUG2" s="97"/>
      <c r="EUH2" s="97"/>
      <c r="EUI2" s="97"/>
      <c r="EUJ2" s="97"/>
      <c r="EUK2" s="97"/>
      <c r="EUL2" s="97"/>
      <c r="EUM2" s="97"/>
      <c r="EUN2" s="97"/>
      <c r="EUO2" s="97"/>
      <c r="EUP2" s="97"/>
      <c r="EUQ2" s="97"/>
      <c r="EUR2" s="97"/>
      <c r="EUS2" s="97"/>
      <c r="EUT2" s="97"/>
      <c r="EUU2" s="97"/>
      <c r="EUV2" s="97"/>
      <c r="EUW2" s="97"/>
      <c r="EUX2" s="97"/>
      <c r="EUY2" s="97"/>
      <c r="EUZ2" s="97"/>
      <c r="EVA2" s="97"/>
      <c r="EVB2" s="97"/>
      <c r="EVC2" s="97"/>
      <c r="EVD2" s="97"/>
      <c r="EVE2" s="97"/>
      <c r="EVF2" s="97"/>
      <c r="EVG2" s="97"/>
      <c r="EVH2" s="97"/>
      <c r="EVI2" s="97"/>
      <c r="EVJ2" s="97"/>
      <c r="EVK2" s="97"/>
      <c r="EVL2" s="97"/>
      <c r="EVM2" s="97"/>
      <c r="EVN2" s="97"/>
      <c r="EVO2" s="97"/>
      <c r="EVP2" s="97"/>
      <c r="EVQ2" s="97"/>
      <c r="EVR2" s="97"/>
      <c r="EVS2" s="97"/>
      <c r="EVT2" s="97"/>
      <c r="EVU2" s="97"/>
      <c r="EVV2" s="97"/>
      <c r="EVW2" s="97"/>
      <c r="EVX2" s="97"/>
      <c r="EVY2" s="97"/>
      <c r="EVZ2" s="97"/>
      <c r="EWA2" s="97"/>
      <c r="EWB2" s="97"/>
      <c r="EWC2" s="97"/>
      <c r="EWD2" s="97"/>
      <c r="EWE2" s="97"/>
      <c r="EWF2" s="97"/>
      <c r="EWG2" s="97"/>
      <c r="EWH2" s="97"/>
      <c r="EWI2" s="97"/>
      <c r="EWJ2" s="97"/>
      <c r="EWK2" s="97"/>
      <c r="EWL2" s="97"/>
      <c r="EWM2" s="97"/>
      <c r="EWN2" s="97"/>
      <c r="EWO2" s="97"/>
      <c r="EWP2" s="97"/>
      <c r="EWQ2" s="97"/>
      <c r="EWR2" s="97"/>
      <c r="EWS2" s="97"/>
      <c r="EWT2" s="97"/>
      <c r="EWU2" s="97"/>
      <c r="EWV2" s="97"/>
      <c r="EWW2" s="97"/>
      <c r="EWX2" s="97"/>
      <c r="EWY2" s="97"/>
      <c r="EWZ2" s="97"/>
      <c r="EXA2" s="97"/>
      <c r="EXB2" s="97"/>
      <c r="EXC2" s="97"/>
      <c r="EXD2" s="97"/>
      <c r="EXE2" s="97"/>
      <c r="EXF2" s="97"/>
      <c r="EXG2" s="97"/>
      <c r="EXH2" s="97"/>
      <c r="EXI2" s="97"/>
      <c r="EXJ2" s="97"/>
      <c r="EXK2" s="97"/>
      <c r="EXL2" s="97"/>
      <c r="EXM2" s="97"/>
      <c r="EXN2" s="97"/>
      <c r="EXO2" s="97"/>
      <c r="EXP2" s="97"/>
      <c r="EXQ2" s="97"/>
      <c r="EXR2" s="97"/>
      <c r="EXS2" s="97"/>
      <c r="EXT2" s="97"/>
      <c r="EXU2" s="97"/>
      <c r="EXV2" s="97"/>
      <c r="EXW2" s="97"/>
      <c r="EXX2" s="97"/>
      <c r="EXY2" s="97"/>
      <c r="EXZ2" s="97"/>
      <c r="EYA2" s="97"/>
      <c r="EYB2" s="97"/>
      <c r="EYC2" s="97"/>
      <c r="EYD2" s="97"/>
      <c r="EYE2" s="97"/>
      <c r="EYF2" s="97"/>
      <c r="EYG2" s="97"/>
      <c r="EYH2" s="97"/>
      <c r="EYI2" s="97"/>
      <c r="EYJ2" s="97"/>
      <c r="EYK2" s="97"/>
      <c r="EYL2" s="97"/>
      <c r="EYM2" s="97"/>
      <c r="EYN2" s="97"/>
      <c r="EYO2" s="97"/>
      <c r="EYP2" s="97"/>
      <c r="EYQ2" s="97"/>
      <c r="EYR2" s="97"/>
      <c r="EYS2" s="97"/>
      <c r="EYT2" s="97"/>
      <c r="EYU2" s="97"/>
      <c r="EYV2" s="97"/>
      <c r="EYW2" s="97"/>
      <c r="EYX2" s="97"/>
      <c r="EYY2" s="97"/>
      <c r="EYZ2" s="97"/>
      <c r="EZA2" s="97"/>
      <c r="EZB2" s="97"/>
      <c r="EZC2" s="97"/>
      <c r="EZD2" s="97"/>
      <c r="EZE2" s="97"/>
      <c r="EZF2" s="97"/>
      <c r="EZG2" s="97"/>
      <c r="EZH2" s="97"/>
      <c r="EZI2" s="97"/>
      <c r="EZJ2" s="97"/>
      <c r="EZK2" s="97"/>
      <c r="EZL2" s="97"/>
      <c r="EZM2" s="97"/>
      <c r="EZN2" s="97"/>
      <c r="EZO2" s="97"/>
      <c r="EZP2" s="97"/>
      <c r="EZQ2" s="97"/>
      <c r="EZR2" s="97"/>
      <c r="EZS2" s="97"/>
      <c r="EZT2" s="97"/>
      <c r="EZU2" s="97"/>
      <c r="EZV2" s="97"/>
      <c r="EZW2" s="97"/>
      <c r="EZX2" s="97"/>
      <c r="EZY2" s="97"/>
      <c r="EZZ2" s="97"/>
      <c r="FAA2" s="97"/>
      <c r="FAB2" s="97"/>
      <c r="FAC2" s="97"/>
      <c r="FAD2" s="97"/>
      <c r="FAE2" s="97"/>
      <c r="FAF2" s="97"/>
      <c r="FAG2" s="97"/>
      <c r="FAH2" s="97"/>
      <c r="FAI2" s="97"/>
      <c r="FAJ2" s="97"/>
      <c r="FAK2" s="97"/>
      <c r="FAL2" s="97"/>
      <c r="FAM2" s="97"/>
      <c r="FAN2" s="97"/>
      <c r="FAO2" s="97"/>
      <c r="FAP2" s="97"/>
      <c r="FAQ2" s="97"/>
      <c r="FAR2" s="97"/>
      <c r="FAS2" s="97"/>
      <c r="FAT2" s="97"/>
      <c r="FAU2" s="97"/>
      <c r="FAV2" s="97"/>
      <c r="FAW2" s="97"/>
      <c r="FAX2" s="97"/>
      <c r="FAY2" s="97"/>
      <c r="FAZ2" s="97"/>
      <c r="FBA2" s="97"/>
      <c r="FBB2" s="97"/>
      <c r="FBC2" s="97"/>
      <c r="FBD2" s="97"/>
      <c r="FBE2" s="97"/>
      <c r="FBF2" s="97"/>
      <c r="FBG2" s="97"/>
      <c r="FBH2" s="97"/>
      <c r="FBI2" s="97"/>
      <c r="FBJ2" s="97"/>
      <c r="FBK2" s="97"/>
      <c r="FBL2" s="97"/>
      <c r="FBM2" s="97"/>
      <c r="FBN2" s="97"/>
      <c r="FBO2" s="97"/>
      <c r="FBP2" s="97"/>
      <c r="FBQ2" s="97"/>
      <c r="FBR2" s="97"/>
      <c r="FBS2" s="97"/>
      <c r="FBT2" s="97"/>
      <c r="FBU2" s="97"/>
      <c r="FBV2" s="97"/>
      <c r="FBW2" s="97"/>
      <c r="FBX2" s="97"/>
      <c r="FBY2" s="97"/>
      <c r="FBZ2" s="97"/>
      <c r="FCA2" s="97"/>
      <c r="FCB2" s="97"/>
      <c r="FCC2" s="97"/>
      <c r="FCD2" s="97"/>
      <c r="FCE2" s="97"/>
      <c r="FCF2" s="97"/>
      <c r="FCG2" s="97"/>
      <c r="FCH2" s="97"/>
      <c r="FCI2" s="97"/>
      <c r="FCJ2" s="97"/>
      <c r="FCK2" s="97"/>
      <c r="FCL2" s="97"/>
      <c r="FCM2" s="97"/>
      <c r="FCN2" s="97"/>
      <c r="FCO2" s="97"/>
      <c r="FCP2" s="97"/>
      <c r="FCQ2" s="97"/>
      <c r="FCR2" s="97"/>
      <c r="FCS2" s="97"/>
      <c r="FCT2" s="97"/>
      <c r="FCU2" s="97"/>
      <c r="FCV2" s="97"/>
      <c r="FCW2" s="97"/>
      <c r="FCX2" s="97"/>
      <c r="FCY2" s="97"/>
      <c r="FCZ2" s="97"/>
      <c r="FDA2" s="97"/>
      <c r="FDB2" s="97"/>
      <c r="FDC2" s="97"/>
      <c r="FDD2" s="97"/>
      <c r="FDE2" s="97"/>
      <c r="FDF2" s="97"/>
      <c r="FDG2" s="97"/>
      <c r="FDH2" s="97"/>
      <c r="FDI2" s="97"/>
      <c r="FDJ2" s="97"/>
      <c r="FDK2" s="97"/>
      <c r="FDL2" s="97"/>
      <c r="FDM2" s="97"/>
      <c r="FDN2" s="97"/>
      <c r="FDO2" s="97"/>
      <c r="FDP2" s="97"/>
      <c r="FDQ2" s="97"/>
      <c r="FDR2" s="97"/>
      <c r="FDS2" s="97"/>
      <c r="FDT2" s="97"/>
      <c r="FDU2" s="97"/>
      <c r="FDV2" s="97"/>
      <c r="FDW2" s="97"/>
      <c r="FDX2" s="97"/>
      <c r="FDY2" s="97"/>
      <c r="FDZ2" s="97"/>
      <c r="FEA2" s="97"/>
      <c r="FEB2" s="97"/>
      <c r="FEC2" s="97"/>
      <c r="FED2" s="97"/>
      <c r="FEE2" s="97"/>
      <c r="FEF2" s="97"/>
      <c r="FEG2" s="97"/>
      <c r="FEH2" s="97"/>
      <c r="FEI2" s="97"/>
      <c r="FEJ2" s="97"/>
      <c r="FEK2" s="97"/>
      <c r="FEL2" s="97"/>
      <c r="FEM2" s="97"/>
      <c r="FEN2" s="97"/>
      <c r="FEO2" s="97"/>
      <c r="FEP2" s="97"/>
      <c r="FEQ2" s="97"/>
      <c r="FER2" s="97"/>
      <c r="FES2" s="97"/>
      <c r="FET2" s="97"/>
      <c r="FEU2" s="97"/>
      <c r="FEV2" s="97"/>
      <c r="FEW2" s="97"/>
      <c r="FEX2" s="97"/>
      <c r="FEY2" s="97"/>
      <c r="FEZ2" s="97"/>
      <c r="FFA2" s="97"/>
      <c r="FFB2" s="97"/>
      <c r="FFC2" s="97"/>
      <c r="FFD2" s="97"/>
      <c r="FFE2" s="97"/>
      <c r="FFF2" s="97"/>
      <c r="FFG2" s="97"/>
      <c r="FFH2" s="97"/>
      <c r="FFI2" s="97"/>
      <c r="FFJ2" s="97"/>
      <c r="FFK2" s="97"/>
      <c r="FFL2" s="97"/>
      <c r="FFM2" s="97"/>
      <c r="FFN2" s="97"/>
      <c r="FFO2" s="97"/>
      <c r="FFP2" s="97"/>
      <c r="FFQ2" s="97"/>
      <c r="FFR2" s="97"/>
      <c r="FFS2" s="97"/>
      <c r="FFT2" s="97"/>
      <c r="FFU2" s="97"/>
      <c r="FFV2" s="97"/>
      <c r="FFW2" s="97"/>
      <c r="FFX2" s="97"/>
      <c r="FFY2" s="97"/>
      <c r="FFZ2" s="97"/>
      <c r="FGA2" s="97"/>
      <c r="FGB2" s="97"/>
      <c r="FGC2" s="97"/>
      <c r="FGD2" s="97"/>
      <c r="FGE2" s="97"/>
      <c r="FGF2" s="97"/>
      <c r="FGG2" s="97"/>
      <c r="FGH2" s="97"/>
      <c r="FGI2" s="97"/>
      <c r="FGJ2" s="97"/>
      <c r="FGK2" s="97"/>
      <c r="FGL2" s="97"/>
      <c r="FGM2" s="97"/>
      <c r="FGN2" s="97"/>
      <c r="FGO2" s="97"/>
      <c r="FGP2" s="97"/>
      <c r="FGQ2" s="97"/>
      <c r="FGR2" s="97"/>
      <c r="FGS2" s="97"/>
      <c r="FGT2" s="97"/>
      <c r="FGU2" s="97"/>
      <c r="FGV2" s="97"/>
      <c r="FGW2" s="97"/>
      <c r="FGX2" s="97"/>
      <c r="FGY2" s="97"/>
      <c r="FGZ2" s="97"/>
      <c r="FHA2" s="97"/>
      <c r="FHB2" s="97"/>
      <c r="FHC2" s="97"/>
      <c r="FHD2" s="97"/>
      <c r="FHE2" s="97"/>
      <c r="FHF2" s="97"/>
      <c r="FHG2" s="97"/>
      <c r="FHH2" s="97"/>
      <c r="FHI2" s="97"/>
      <c r="FHJ2" s="97"/>
      <c r="FHK2" s="97"/>
      <c r="FHL2" s="97"/>
      <c r="FHM2" s="97"/>
      <c r="FHN2" s="97"/>
      <c r="FHO2" s="97"/>
      <c r="FHP2" s="97"/>
      <c r="FHQ2" s="97"/>
      <c r="FHR2" s="97"/>
      <c r="FHS2" s="97"/>
      <c r="FHT2" s="97"/>
      <c r="FHU2" s="97"/>
      <c r="FHV2" s="97"/>
      <c r="FHW2" s="97"/>
      <c r="FHX2" s="97"/>
      <c r="FHY2" s="97"/>
      <c r="FHZ2" s="97"/>
      <c r="FIA2" s="97"/>
      <c r="FIB2" s="97"/>
      <c r="FIC2" s="97"/>
      <c r="FID2" s="97"/>
      <c r="FIE2" s="97"/>
      <c r="FIF2" s="97"/>
      <c r="FIG2" s="97"/>
      <c r="FIH2" s="97"/>
      <c r="FII2" s="97"/>
      <c r="FIJ2" s="97"/>
      <c r="FIK2" s="97"/>
      <c r="FIL2" s="97"/>
      <c r="FIM2" s="97"/>
      <c r="FIN2" s="97"/>
      <c r="FIO2" s="97"/>
      <c r="FIP2" s="97"/>
      <c r="FIQ2" s="97"/>
      <c r="FIR2" s="97"/>
      <c r="FIS2" s="97"/>
      <c r="FIT2" s="97"/>
      <c r="FIU2" s="97"/>
      <c r="FIV2" s="97"/>
      <c r="FIW2" s="97"/>
      <c r="FIX2" s="97"/>
      <c r="FIY2" s="97"/>
      <c r="FIZ2" s="97"/>
      <c r="FJA2" s="97"/>
      <c r="FJB2" s="97"/>
      <c r="FJC2" s="97"/>
      <c r="FJD2" s="97"/>
      <c r="FJE2" s="97"/>
      <c r="FJF2" s="97"/>
      <c r="FJG2" s="97"/>
      <c r="FJH2" s="97"/>
      <c r="FJI2" s="97"/>
      <c r="FJJ2" s="97"/>
      <c r="FJK2" s="97"/>
      <c r="FJL2" s="97"/>
      <c r="FJM2" s="97"/>
      <c r="FJN2" s="97"/>
      <c r="FJO2" s="97"/>
      <c r="FJP2" s="97"/>
      <c r="FJQ2" s="97"/>
      <c r="FJR2" s="97"/>
      <c r="FJS2" s="97"/>
      <c r="FJT2" s="97"/>
      <c r="FJU2" s="97"/>
      <c r="FJV2" s="97"/>
      <c r="FJW2" s="97"/>
      <c r="FJX2" s="97"/>
      <c r="FJY2" s="97"/>
      <c r="FJZ2" s="97"/>
      <c r="FKA2" s="97"/>
      <c r="FKB2" s="97"/>
      <c r="FKC2" s="97"/>
      <c r="FKD2" s="97"/>
      <c r="FKE2" s="97"/>
      <c r="FKF2" s="97"/>
      <c r="FKG2" s="97"/>
      <c r="FKH2" s="97"/>
      <c r="FKI2" s="97"/>
      <c r="FKJ2" s="97"/>
      <c r="FKK2" s="97"/>
      <c r="FKL2" s="97"/>
      <c r="FKM2" s="97"/>
      <c r="FKN2" s="97"/>
      <c r="FKO2" s="97"/>
      <c r="FKP2" s="97"/>
      <c r="FKQ2" s="97"/>
      <c r="FKR2" s="97"/>
      <c r="FKS2" s="97"/>
      <c r="FKT2" s="97"/>
      <c r="FKU2" s="97"/>
      <c r="FKV2" s="97"/>
      <c r="FKW2" s="97"/>
      <c r="FKX2" s="97"/>
      <c r="FKY2" s="97"/>
      <c r="FKZ2" s="97"/>
      <c r="FLA2" s="97"/>
      <c r="FLB2" s="97"/>
      <c r="FLC2" s="97"/>
      <c r="FLD2" s="97"/>
      <c r="FLE2" s="97"/>
      <c r="FLF2" s="97"/>
      <c r="FLG2" s="97"/>
      <c r="FLH2" s="97"/>
      <c r="FLI2" s="97"/>
      <c r="FLJ2" s="97"/>
      <c r="FLK2" s="97"/>
      <c r="FLL2" s="97"/>
      <c r="FLM2" s="97"/>
      <c r="FLN2" s="97"/>
      <c r="FLO2" s="97"/>
      <c r="FLP2" s="97"/>
      <c r="FLQ2" s="97"/>
      <c r="FLR2" s="97"/>
      <c r="FLS2" s="97"/>
      <c r="FLT2" s="97"/>
      <c r="FLU2" s="97"/>
      <c r="FLV2" s="97"/>
      <c r="FLW2" s="97"/>
      <c r="FLX2" s="97"/>
      <c r="FLY2" s="97"/>
      <c r="FLZ2" s="97"/>
      <c r="FMA2" s="97"/>
      <c r="FMB2" s="97"/>
      <c r="FMC2" s="97"/>
      <c r="FMD2" s="97"/>
      <c r="FME2" s="97"/>
      <c r="FMF2" s="97"/>
      <c r="FMG2" s="97"/>
      <c r="FMH2" s="97"/>
      <c r="FMI2" s="97"/>
      <c r="FMJ2" s="97"/>
      <c r="FMK2" s="97"/>
      <c r="FML2" s="97"/>
      <c r="FMM2" s="97"/>
      <c r="FMN2" s="97"/>
      <c r="FMO2" s="97"/>
      <c r="FMP2" s="97"/>
      <c r="FMQ2" s="97"/>
      <c r="FMR2" s="97"/>
      <c r="FMS2" s="97"/>
      <c r="FMT2" s="97"/>
      <c r="FMU2" s="97"/>
      <c r="FMV2" s="97"/>
      <c r="FMW2" s="97"/>
      <c r="FMX2" s="97"/>
      <c r="FMY2" s="97"/>
      <c r="FMZ2" s="97"/>
      <c r="FNA2" s="97"/>
      <c r="FNB2" s="97"/>
      <c r="FNC2" s="97"/>
      <c r="FND2" s="97"/>
      <c r="FNE2" s="97"/>
      <c r="FNF2" s="97"/>
      <c r="FNG2" s="97"/>
      <c r="FNH2" s="97"/>
      <c r="FNI2" s="97"/>
      <c r="FNJ2" s="97"/>
      <c r="FNK2" s="97"/>
      <c r="FNL2" s="97"/>
      <c r="FNM2" s="97"/>
      <c r="FNN2" s="97"/>
      <c r="FNO2" s="97"/>
      <c r="FNP2" s="97"/>
      <c r="FNQ2" s="97"/>
      <c r="FNR2" s="97"/>
      <c r="FNS2" s="97"/>
      <c r="FNT2" s="97"/>
      <c r="FNU2" s="97"/>
      <c r="FNV2" s="97"/>
      <c r="FNW2" s="97"/>
      <c r="FNX2" s="97"/>
      <c r="FNY2" s="97"/>
      <c r="FNZ2" s="97"/>
      <c r="FOA2" s="97"/>
      <c r="FOB2" s="97"/>
      <c r="FOC2" s="97"/>
      <c r="FOD2" s="97"/>
      <c r="FOE2" s="97"/>
      <c r="FOF2" s="97"/>
      <c r="FOG2" s="97"/>
      <c r="FOH2" s="97"/>
      <c r="FOI2" s="97"/>
      <c r="FOJ2" s="97"/>
      <c r="FOK2" s="97"/>
      <c r="FOL2" s="97"/>
      <c r="FOM2" s="97"/>
      <c r="FON2" s="97"/>
      <c r="FOO2" s="97"/>
      <c r="FOP2" s="97"/>
      <c r="FOQ2" s="97"/>
      <c r="FOR2" s="97"/>
      <c r="FOS2" s="97"/>
      <c r="FOT2" s="97"/>
      <c r="FOU2" s="97"/>
      <c r="FOV2" s="97"/>
      <c r="FOW2" s="97"/>
      <c r="FOX2" s="97"/>
      <c r="FOY2" s="97"/>
      <c r="FOZ2" s="97"/>
      <c r="FPA2" s="97"/>
      <c r="FPB2" s="97"/>
      <c r="FPC2" s="97"/>
      <c r="FPD2" s="97"/>
      <c r="FPE2" s="97"/>
      <c r="FPF2" s="97"/>
      <c r="FPG2" s="97"/>
      <c r="FPH2" s="97"/>
      <c r="FPI2" s="97"/>
      <c r="FPJ2" s="97"/>
      <c r="FPK2" s="97"/>
      <c r="FPL2" s="97"/>
      <c r="FPM2" s="97"/>
      <c r="FPN2" s="97"/>
      <c r="FPO2" s="97"/>
      <c r="FPP2" s="97"/>
      <c r="FPQ2" s="97"/>
      <c r="FPR2" s="97"/>
      <c r="FPS2" s="97"/>
      <c r="FPT2" s="97"/>
      <c r="FPU2" s="97"/>
      <c r="FPV2" s="97"/>
      <c r="FPW2" s="97"/>
      <c r="FPX2" s="97"/>
      <c r="FPY2" s="97"/>
      <c r="FPZ2" s="97"/>
      <c r="FQA2" s="97"/>
      <c r="FQB2" s="97"/>
      <c r="FQC2" s="97"/>
      <c r="FQD2" s="97"/>
      <c r="FQE2" s="97"/>
      <c r="FQF2" s="97"/>
      <c r="FQG2" s="97"/>
      <c r="FQH2" s="97"/>
      <c r="FQI2" s="97"/>
      <c r="FQJ2" s="97"/>
      <c r="FQK2" s="97"/>
      <c r="FQL2" s="97"/>
      <c r="FQM2" s="97"/>
      <c r="FQN2" s="97"/>
      <c r="FQO2" s="97"/>
      <c r="FQP2" s="97"/>
      <c r="FQQ2" s="97"/>
      <c r="FQR2" s="97"/>
      <c r="FQS2" s="97"/>
      <c r="FQT2" s="97"/>
      <c r="FQU2" s="97"/>
      <c r="FQV2" s="97"/>
      <c r="FQW2" s="97"/>
      <c r="FQX2" s="97"/>
      <c r="FQY2" s="97"/>
      <c r="FQZ2" s="97"/>
      <c r="FRA2" s="97"/>
      <c r="FRB2" s="97"/>
      <c r="FRC2" s="97"/>
      <c r="FRD2" s="97"/>
      <c r="FRE2" s="97"/>
      <c r="FRF2" s="97"/>
      <c r="FRG2" s="97"/>
      <c r="FRH2" s="97"/>
      <c r="FRI2" s="97"/>
      <c r="FRJ2" s="97"/>
      <c r="FRK2" s="97"/>
      <c r="FRL2" s="97"/>
      <c r="FRM2" s="97"/>
      <c r="FRN2" s="97"/>
      <c r="FRO2" s="97"/>
      <c r="FRP2" s="97"/>
      <c r="FRQ2" s="97"/>
      <c r="FRR2" s="97"/>
      <c r="FRS2" s="97"/>
      <c r="FRT2" s="97"/>
      <c r="FRU2" s="97"/>
      <c r="FRV2" s="97"/>
      <c r="FRW2" s="97"/>
      <c r="FRX2" s="97"/>
      <c r="FRY2" s="97"/>
      <c r="FRZ2" s="97"/>
      <c r="FSA2" s="97"/>
      <c r="FSB2" s="97"/>
      <c r="FSC2" s="97"/>
      <c r="FSD2" s="97"/>
      <c r="FSE2" s="97"/>
      <c r="FSF2" s="97"/>
      <c r="FSG2" s="97"/>
      <c r="FSH2" s="97"/>
      <c r="FSI2" s="97"/>
      <c r="FSJ2" s="97"/>
      <c r="FSK2" s="97"/>
      <c r="FSL2" s="97"/>
      <c r="FSM2" s="97"/>
      <c r="FSN2" s="97"/>
      <c r="FSO2" s="97"/>
      <c r="FSP2" s="97"/>
      <c r="FSQ2" s="97"/>
      <c r="FSR2" s="97"/>
      <c r="FSS2" s="97"/>
      <c r="FST2" s="97"/>
      <c r="FSU2" s="97"/>
      <c r="FSV2" s="97"/>
      <c r="FSW2" s="97"/>
      <c r="FSX2" s="97"/>
      <c r="FSY2" s="97"/>
      <c r="FSZ2" s="97"/>
      <c r="FTA2" s="97"/>
      <c r="FTB2" s="97"/>
      <c r="FTC2" s="97"/>
      <c r="FTD2" s="97"/>
      <c r="FTE2" s="97"/>
      <c r="FTF2" s="97"/>
      <c r="FTG2" s="97"/>
      <c r="FTH2" s="97"/>
      <c r="FTI2" s="97"/>
      <c r="FTJ2" s="97"/>
      <c r="FTK2" s="97"/>
      <c r="FTL2" s="97"/>
      <c r="FTM2" s="97"/>
      <c r="FTN2" s="97"/>
      <c r="FTO2" s="97"/>
      <c r="FTP2" s="97"/>
      <c r="FTQ2" s="97"/>
      <c r="FTR2" s="97"/>
      <c r="FTS2" s="97"/>
      <c r="FTT2" s="97"/>
      <c r="FTU2" s="97"/>
      <c r="FTV2" s="97"/>
      <c r="FTW2" s="97"/>
      <c r="FTX2" s="97"/>
      <c r="FTY2" s="97"/>
      <c r="FTZ2" s="97"/>
      <c r="FUA2" s="97"/>
      <c r="FUB2" s="97"/>
      <c r="FUC2" s="97"/>
      <c r="FUD2" s="97"/>
      <c r="FUE2" s="97"/>
      <c r="FUF2" s="97"/>
      <c r="FUG2" s="97"/>
      <c r="FUH2" s="97"/>
      <c r="FUI2" s="97"/>
      <c r="FUJ2" s="97"/>
      <c r="FUK2" s="97"/>
      <c r="FUL2" s="97"/>
      <c r="FUM2" s="97"/>
      <c r="FUN2" s="97"/>
      <c r="FUO2" s="97"/>
      <c r="FUP2" s="97"/>
      <c r="FUQ2" s="97"/>
      <c r="FUR2" s="97"/>
      <c r="FUS2" s="97"/>
      <c r="FUT2" s="97"/>
      <c r="FUU2" s="97"/>
      <c r="FUV2" s="97"/>
      <c r="FUW2" s="97"/>
      <c r="FUX2" s="97"/>
      <c r="FUY2" s="97"/>
      <c r="FUZ2" s="97"/>
      <c r="FVA2" s="97"/>
      <c r="FVB2" s="97"/>
      <c r="FVC2" s="97"/>
      <c r="FVD2" s="97"/>
      <c r="FVE2" s="97"/>
      <c r="FVF2" s="97"/>
      <c r="FVG2" s="97"/>
      <c r="FVH2" s="97"/>
      <c r="FVI2" s="97"/>
      <c r="FVJ2" s="97"/>
      <c r="FVK2" s="97"/>
      <c r="FVL2" s="97"/>
      <c r="FVM2" s="97"/>
      <c r="FVN2" s="97"/>
      <c r="FVO2" s="97"/>
      <c r="FVP2" s="97"/>
      <c r="FVQ2" s="97"/>
      <c r="FVR2" s="97"/>
      <c r="FVS2" s="97"/>
      <c r="FVT2" s="97"/>
      <c r="FVU2" s="97"/>
      <c r="FVV2" s="97"/>
      <c r="FVW2" s="97"/>
      <c r="FVX2" s="97"/>
      <c r="FVY2" s="97"/>
      <c r="FVZ2" s="97"/>
      <c r="FWA2" s="97"/>
      <c r="FWB2" s="97"/>
      <c r="FWC2" s="97"/>
      <c r="FWD2" s="97"/>
      <c r="FWE2" s="97"/>
      <c r="FWF2" s="97"/>
      <c r="FWG2" s="97"/>
      <c r="FWH2" s="97"/>
      <c r="FWI2" s="97"/>
      <c r="FWJ2" s="97"/>
      <c r="FWK2" s="97"/>
      <c r="FWL2" s="97"/>
      <c r="FWM2" s="97"/>
      <c r="FWN2" s="97"/>
      <c r="FWO2" s="97"/>
      <c r="FWP2" s="97"/>
      <c r="FWQ2" s="97"/>
      <c r="FWR2" s="97"/>
      <c r="FWS2" s="97"/>
      <c r="FWT2" s="97"/>
      <c r="FWU2" s="97"/>
      <c r="FWV2" s="97"/>
      <c r="FWW2" s="97"/>
      <c r="FWX2" s="97"/>
      <c r="FWY2" s="97"/>
      <c r="FWZ2" s="97"/>
      <c r="FXA2" s="97"/>
      <c r="FXB2" s="97"/>
      <c r="FXC2" s="97"/>
      <c r="FXD2" s="97"/>
      <c r="FXE2" s="97"/>
      <c r="FXF2" s="97"/>
      <c r="FXG2" s="97"/>
      <c r="FXH2" s="97"/>
      <c r="FXI2" s="97"/>
      <c r="FXJ2" s="97"/>
      <c r="FXK2" s="97"/>
      <c r="FXL2" s="97"/>
      <c r="FXM2" s="97"/>
      <c r="FXN2" s="97"/>
      <c r="FXO2" s="97"/>
      <c r="FXP2" s="97"/>
      <c r="FXQ2" s="97"/>
      <c r="FXR2" s="97"/>
      <c r="FXS2" s="97"/>
      <c r="FXT2" s="97"/>
      <c r="FXU2" s="97"/>
      <c r="FXV2" s="97"/>
      <c r="FXW2" s="97"/>
      <c r="FXX2" s="97"/>
      <c r="FXY2" s="97"/>
      <c r="FXZ2" s="97"/>
      <c r="FYA2" s="97"/>
      <c r="FYB2" s="97"/>
      <c r="FYC2" s="97"/>
      <c r="FYD2" s="97"/>
      <c r="FYE2" s="97"/>
      <c r="FYF2" s="97"/>
      <c r="FYG2" s="97"/>
      <c r="FYH2" s="97"/>
      <c r="FYI2" s="97"/>
      <c r="FYJ2" s="97"/>
      <c r="FYK2" s="97"/>
      <c r="FYL2" s="97"/>
      <c r="FYM2" s="97"/>
      <c r="FYN2" s="97"/>
      <c r="FYO2" s="97"/>
      <c r="FYP2" s="97"/>
      <c r="FYQ2" s="97"/>
      <c r="FYR2" s="97"/>
      <c r="FYS2" s="97"/>
      <c r="FYT2" s="97"/>
      <c r="FYU2" s="97"/>
      <c r="FYV2" s="97"/>
      <c r="FYW2" s="97"/>
      <c r="FYX2" s="97"/>
      <c r="FYY2" s="97"/>
      <c r="FYZ2" s="97"/>
      <c r="FZA2" s="97"/>
      <c r="FZB2" s="97"/>
      <c r="FZC2" s="97"/>
      <c r="FZD2" s="97"/>
      <c r="FZE2" s="97"/>
      <c r="FZF2" s="97"/>
      <c r="FZG2" s="97"/>
      <c r="FZH2" s="97"/>
      <c r="FZI2" s="97"/>
      <c r="FZJ2" s="97"/>
      <c r="FZK2" s="97"/>
      <c r="FZL2" s="97"/>
      <c r="FZM2" s="97"/>
      <c r="FZN2" s="97"/>
      <c r="FZO2" s="97"/>
      <c r="FZP2" s="97"/>
      <c r="FZQ2" s="97"/>
      <c r="FZR2" s="97"/>
      <c r="FZS2" s="97"/>
      <c r="FZT2" s="97"/>
      <c r="FZU2" s="97"/>
      <c r="FZV2" s="97"/>
      <c r="FZW2" s="97"/>
      <c r="FZX2" s="97"/>
      <c r="FZY2" s="97"/>
      <c r="FZZ2" s="97"/>
      <c r="GAA2" s="97"/>
      <c r="GAB2" s="97"/>
      <c r="GAC2" s="97"/>
      <c r="GAD2" s="97"/>
      <c r="GAE2" s="97"/>
      <c r="GAF2" s="97"/>
      <c r="GAG2" s="97"/>
      <c r="GAH2" s="97"/>
      <c r="GAI2" s="97"/>
      <c r="GAJ2" s="97"/>
      <c r="GAK2" s="97"/>
      <c r="GAL2" s="97"/>
      <c r="GAM2" s="97"/>
      <c r="GAN2" s="97"/>
      <c r="GAO2" s="97"/>
      <c r="GAP2" s="97"/>
      <c r="GAQ2" s="97"/>
      <c r="GAR2" s="97"/>
      <c r="GAS2" s="97"/>
      <c r="GAT2" s="97"/>
      <c r="GAU2" s="97"/>
      <c r="GAV2" s="97"/>
      <c r="GAW2" s="97"/>
      <c r="GAX2" s="97"/>
      <c r="GAY2" s="97"/>
      <c r="GAZ2" s="97"/>
      <c r="GBA2" s="97"/>
      <c r="GBB2" s="97"/>
      <c r="GBC2" s="97"/>
      <c r="GBD2" s="97"/>
      <c r="GBE2" s="97"/>
      <c r="GBF2" s="97"/>
      <c r="GBG2" s="97"/>
      <c r="GBH2" s="97"/>
      <c r="GBI2" s="97"/>
      <c r="GBJ2" s="97"/>
      <c r="GBK2" s="97"/>
      <c r="GBL2" s="97"/>
      <c r="GBM2" s="97"/>
      <c r="GBN2" s="97"/>
      <c r="GBO2" s="97"/>
      <c r="GBP2" s="97"/>
      <c r="GBQ2" s="97"/>
      <c r="GBR2" s="97"/>
      <c r="GBS2" s="97"/>
      <c r="GBT2" s="97"/>
      <c r="GBU2" s="97"/>
      <c r="GBV2" s="97"/>
      <c r="GBW2" s="97"/>
      <c r="GBX2" s="97"/>
      <c r="GBY2" s="97"/>
      <c r="GBZ2" s="97"/>
      <c r="GCA2" s="97"/>
      <c r="GCB2" s="97"/>
      <c r="GCC2" s="97"/>
      <c r="GCD2" s="97"/>
      <c r="GCE2" s="97"/>
      <c r="GCF2" s="97"/>
      <c r="GCG2" s="97"/>
      <c r="GCH2" s="97"/>
      <c r="GCI2" s="97"/>
      <c r="GCJ2" s="97"/>
      <c r="GCK2" s="97"/>
      <c r="GCL2" s="97"/>
      <c r="GCM2" s="97"/>
      <c r="GCN2" s="97"/>
      <c r="GCO2" s="97"/>
      <c r="GCP2" s="97"/>
      <c r="GCQ2" s="97"/>
      <c r="GCR2" s="97"/>
      <c r="GCS2" s="97"/>
      <c r="GCT2" s="97"/>
      <c r="GCU2" s="97"/>
      <c r="GCV2" s="97"/>
      <c r="GCW2" s="97"/>
      <c r="GCX2" s="97"/>
      <c r="GCY2" s="97"/>
      <c r="GCZ2" s="97"/>
      <c r="GDA2" s="97"/>
      <c r="GDB2" s="97"/>
      <c r="GDC2" s="97"/>
      <c r="GDD2" s="97"/>
      <c r="GDE2" s="97"/>
      <c r="GDF2" s="97"/>
      <c r="GDG2" s="97"/>
      <c r="GDH2" s="97"/>
      <c r="GDI2" s="97"/>
      <c r="GDJ2" s="97"/>
      <c r="GDK2" s="97"/>
      <c r="GDL2" s="97"/>
      <c r="GDM2" s="97"/>
      <c r="GDN2" s="97"/>
      <c r="GDO2" s="97"/>
      <c r="GDP2" s="97"/>
      <c r="GDQ2" s="97"/>
      <c r="GDR2" s="97"/>
      <c r="GDS2" s="97"/>
      <c r="GDT2" s="97"/>
      <c r="GDU2" s="97"/>
      <c r="GDV2" s="97"/>
      <c r="GDW2" s="97"/>
      <c r="GDX2" s="97"/>
      <c r="GDY2" s="97"/>
      <c r="GDZ2" s="97"/>
      <c r="GEA2" s="97"/>
      <c r="GEB2" s="97"/>
      <c r="GEC2" s="97"/>
      <c r="GED2" s="97"/>
      <c r="GEE2" s="97"/>
      <c r="GEF2" s="97"/>
      <c r="GEG2" s="97"/>
      <c r="GEH2" s="97"/>
      <c r="GEI2" s="97"/>
      <c r="GEJ2" s="97"/>
      <c r="GEK2" s="97"/>
      <c r="GEL2" s="97"/>
      <c r="GEM2" s="97"/>
      <c r="GEN2" s="97"/>
      <c r="GEO2" s="97"/>
      <c r="GEP2" s="97"/>
      <c r="GEQ2" s="97"/>
      <c r="GER2" s="97"/>
      <c r="GES2" s="97"/>
      <c r="GET2" s="97"/>
      <c r="GEU2" s="97"/>
      <c r="GEV2" s="97"/>
      <c r="GEW2" s="97"/>
      <c r="GEX2" s="97"/>
      <c r="GEY2" s="97"/>
      <c r="GEZ2" s="97"/>
      <c r="GFA2" s="97"/>
      <c r="GFB2" s="97"/>
      <c r="GFC2" s="97"/>
      <c r="GFD2" s="97"/>
      <c r="GFE2" s="97"/>
      <c r="GFF2" s="97"/>
      <c r="GFG2" s="97"/>
      <c r="GFH2" s="97"/>
      <c r="GFI2" s="97"/>
      <c r="GFJ2" s="97"/>
      <c r="GFK2" s="97"/>
      <c r="GFL2" s="97"/>
      <c r="GFM2" s="97"/>
      <c r="GFN2" s="97"/>
      <c r="GFO2" s="97"/>
      <c r="GFP2" s="97"/>
      <c r="GFQ2" s="97"/>
      <c r="GFR2" s="97"/>
      <c r="GFS2" s="97"/>
      <c r="GFT2" s="97"/>
      <c r="GFU2" s="97"/>
      <c r="GFV2" s="97"/>
      <c r="GFW2" s="97"/>
      <c r="GFX2" s="97"/>
      <c r="GFY2" s="97"/>
      <c r="GFZ2" s="97"/>
      <c r="GGA2" s="97"/>
      <c r="GGB2" s="97"/>
      <c r="GGC2" s="97"/>
      <c r="GGD2" s="97"/>
      <c r="GGE2" s="97"/>
      <c r="GGF2" s="97"/>
      <c r="GGG2" s="97"/>
      <c r="GGH2" s="97"/>
      <c r="GGI2" s="97"/>
      <c r="GGJ2" s="97"/>
      <c r="GGK2" s="97"/>
      <c r="GGL2" s="97"/>
      <c r="GGM2" s="97"/>
      <c r="GGN2" s="97"/>
      <c r="GGO2" s="97"/>
      <c r="GGP2" s="97"/>
      <c r="GGQ2" s="97"/>
      <c r="GGR2" s="97"/>
      <c r="GGS2" s="97"/>
      <c r="GGT2" s="97"/>
      <c r="GGU2" s="97"/>
      <c r="GGV2" s="97"/>
      <c r="GGW2" s="97"/>
      <c r="GGX2" s="97"/>
      <c r="GGY2" s="97"/>
      <c r="GGZ2" s="97"/>
      <c r="GHA2" s="97"/>
      <c r="GHB2" s="97"/>
      <c r="GHC2" s="97"/>
      <c r="GHD2" s="97"/>
      <c r="GHE2" s="97"/>
      <c r="GHF2" s="97"/>
      <c r="GHG2" s="97"/>
      <c r="GHH2" s="97"/>
      <c r="GHI2" s="97"/>
      <c r="GHJ2" s="97"/>
      <c r="GHK2" s="97"/>
      <c r="GHL2" s="97"/>
      <c r="GHM2" s="97"/>
      <c r="GHN2" s="97"/>
      <c r="GHO2" s="97"/>
      <c r="GHP2" s="97"/>
      <c r="GHQ2" s="97"/>
      <c r="GHR2" s="97"/>
      <c r="GHS2" s="97"/>
      <c r="GHT2" s="97"/>
      <c r="GHU2" s="97"/>
      <c r="GHV2" s="97"/>
      <c r="GHW2" s="97"/>
      <c r="GHX2" s="97"/>
      <c r="GHY2" s="97"/>
      <c r="GHZ2" s="97"/>
      <c r="GIA2" s="97"/>
      <c r="GIB2" s="97"/>
      <c r="GIC2" s="97"/>
      <c r="GID2" s="97"/>
      <c r="GIE2" s="97"/>
      <c r="GIF2" s="97"/>
      <c r="GIG2" s="97"/>
      <c r="GIH2" s="97"/>
      <c r="GII2" s="97"/>
      <c r="GIJ2" s="97"/>
      <c r="GIK2" s="97"/>
      <c r="GIL2" s="97"/>
      <c r="GIM2" s="97"/>
      <c r="GIN2" s="97"/>
      <c r="GIO2" s="97"/>
      <c r="GIP2" s="97"/>
      <c r="GIQ2" s="97"/>
      <c r="GIR2" s="97"/>
      <c r="GIS2" s="97"/>
      <c r="GIT2" s="97"/>
      <c r="GIU2" s="97"/>
      <c r="GIV2" s="97"/>
      <c r="GIW2" s="97"/>
      <c r="GIX2" s="97"/>
      <c r="GIY2" s="97"/>
      <c r="GIZ2" s="97"/>
      <c r="GJA2" s="97"/>
      <c r="GJB2" s="97"/>
      <c r="GJC2" s="97"/>
      <c r="GJD2" s="97"/>
      <c r="GJE2" s="97"/>
      <c r="GJF2" s="97"/>
      <c r="GJG2" s="97"/>
      <c r="GJH2" s="97"/>
      <c r="GJI2" s="97"/>
      <c r="GJJ2" s="97"/>
      <c r="GJK2" s="97"/>
      <c r="GJL2" s="97"/>
      <c r="GJM2" s="97"/>
      <c r="GJN2" s="97"/>
      <c r="GJO2" s="97"/>
      <c r="GJP2" s="97"/>
      <c r="GJQ2" s="97"/>
      <c r="GJR2" s="97"/>
      <c r="GJS2" s="97"/>
      <c r="GJT2" s="97"/>
      <c r="GJU2" s="97"/>
      <c r="GJV2" s="97"/>
      <c r="GJW2" s="97"/>
      <c r="GJX2" s="97"/>
      <c r="GJY2" s="97"/>
      <c r="GJZ2" s="97"/>
      <c r="GKA2" s="97"/>
      <c r="GKB2" s="97"/>
      <c r="GKC2" s="97"/>
      <c r="GKD2" s="97"/>
      <c r="GKE2" s="97"/>
      <c r="GKF2" s="97"/>
      <c r="GKG2" s="97"/>
      <c r="GKH2" s="97"/>
      <c r="GKI2" s="97"/>
      <c r="GKJ2" s="97"/>
      <c r="GKK2" s="97"/>
      <c r="GKL2" s="97"/>
      <c r="GKM2" s="97"/>
      <c r="GKN2" s="97"/>
      <c r="GKO2" s="97"/>
      <c r="GKP2" s="97"/>
      <c r="GKQ2" s="97"/>
      <c r="GKR2" s="97"/>
      <c r="GKS2" s="97"/>
      <c r="GKT2" s="97"/>
      <c r="GKU2" s="97"/>
      <c r="GKV2" s="97"/>
      <c r="GKW2" s="97"/>
      <c r="GKX2" s="97"/>
      <c r="GKY2" s="97"/>
      <c r="GKZ2" s="97"/>
      <c r="GLA2" s="97"/>
      <c r="GLB2" s="97"/>
      <c r="GLC2" s="97"/>
      <c r="GLD2" s="97"/>
      <c r="GLE2" s="97"/>
      <c r="GLF2" s="97"/>
      <c r="GLG2" s="97"/>
      <c r="GLH2" s="97"/>
      <c r="GLI2" s="97"/>
      <c r="GLJ2" s="97"/>
      <c r="GLK2" s="97"/>
      <c r="GLL2" s="97"/>
      <c r="GLM2" s="97"/>
      <c r="GLN2" s="97"/>
      <c r="GLO2" s="97"/>
      <c r="GLP2" s="97"/>
      <c r="GLQ2" s="97"/>
      <c r="GLR2" s="97"/>
      <c r="GLS2" s="97"/>
      <c r="GLT2" s="97"/>
      <c r="GLU2" s="97"/>
      <c r="GLV2" s="97"/>
      <c r="GLW2" s="97"/>
      <c r="GLX2" s="97"/>
      <c r="GLY2" s="97"/>
      <c r="GLZ2" s="97"/>
      <c r="GMA2" s="97"/>
      <c r="GMB2" s="97"/>
      <c r="GMC2" s="97"/>
      <c r="GMD2" s="97"/>
      <c r="GME2" s="97"/>
      <c r="GMF2" s="97"/>
      <c r="GMG2" s="97"/>
      <c r="GMH2" s="97"/>
      <c r="GMI2" s="97"/>
      <c r="GMJ2" s="97"/>
      <c r="GMK2" s="97"/>
      <c r="GML2" s="97"/>
      <c r="GMM2" s="97"/>
      <c r="GMN2" s="97"/>
      <c r="GMO2" s="97"/>
      <c r="GMP2" s="97"/>
      <c r="GMQ2" s="97"/>
      <c r="GMR2" s="97"/>
      <c r="GMS2" s="97"/>
      <c r="GMT2" s="97"/>
      <c r="GMU2" s="97"/>
      <c r="GMV2" s="97"/>
      <c r="GMW2" s="97"/>
      <c r="GMX2" s="97"/>
      <c r="GMY2" s="97"/>
      <c r="GMZ2" s="97"/>
      <c r="GNA2" s="97"/>
      <c r="GNB2" s="97"/>
      <c r="GNC2" s="97"/>
      <c r="GND2" s="97"/>
      <c r="GNE2" s="97"/>
      <c r="GNF2" s="97"/>
      <c r="GNG2" s="97"/>
      <c r="GNH2" s="97"/>
      <c r="GNI2" s="97"/>
      <c r="GNJ2" s="97"/>
      <c r="GNK2" s="97"/>
      <c r="GNL2" s="97"/>
      <c r="GNM2" s="97"/>
      <c r="GNN2" s="97"/>
      <c r="GNO2" s="97"/>
      <c r="GNP2" s="97"/>
      <c r="GNQ2" s="97"/>
      <c r="GNR2" s="97"/>
      <c r="GNS2" s="97"/>
      <c r="GNT2" s="97"/>
      <c r="GNU2" s="97"/>
      <c r="GNV2" s="97"/>
      <c r="GNW2" s="97"/>
      <c r="GNX2" s="97"/>
      <c r="GNY2" s="97"/>
      <c r="GNZ2" s="97"/>
      <c r="GOA2" s="97"/>
      <c r="GOB2" s="97"/>
      <c r="GOC2" s="97"/>
      <c r="GOD2" s="97"/>
      <c r="GOE2" s="97"/>
      <c r="GOF2" s="97"/>
      <c r="GOG2" s="97"/>
      <c r="GOH2" s="97"/>
      <c r="GOI2" s="97"/>
      <c r="GOJ2" s="97"/>
      <c r="GOK2" s="97"/>
      <c r="GOL2" s="97"/>
      <c r="GOM2" s="97"/>
      <c r="GON2" s="97"/>
      <c r="GOO2" s="97"/>
      <c r="GOP2" s="97"/>
      <c r="GOQ2" s="97"/>
      <c r="GOR2" s="97"/>
      <c r="GOS2" s="97"/>
      <c r="GOT2" s="97"/>
      <c r="GOU2" s="97"/>
      <c r="GOV2" s="97"/>
      <c r="GOW2" s="97"/>
      <c r="GOX2" s="97"/>
      <c r="GOY2" s="97"/>
      <c r="GOZ2" s="97"/>
      <c r="GPA2" s="97"/>
      <c r="GPB2" s="97"/>
      <c r="GPC2" s="97"/>
      <c r="GPD2" s="97"/>
      <c r="GPE2" s="97"/>
      <c r="GPF2" s="97"/>
      <c r="GPG2" s="97"/>
      <c r="GPH2" s="97"/>
      <c r="GPI2" s="97"/>
      <c r="GPJ2" s="97"/>
      <c r="GPK2" s="97"/>
      <c r="GPL2" s="97"/>
      <c r="GPM2" s="97"/>
      <c r="GPN2" s="97"/>
      <c r="GPO2" s="97"/>
      <c r="GPP2" s="97"/>
      <c r="GPQ2" s="97"/>
      <c r="GPR2" s="97"/>
      <c r="GPS2" s="97"/>
      <c r="GPT2" s="97"/>
      <c r="GPU2" s="97"/>
      <c r="GPV2" s="97"/>
      <c r="GPW2" s="97"/>
      <c r="GPX2" s="97"/>
      <c r="GPY2" s="97"/>
      <c r="GPZ2" s="97"/>
      <c r="GQA2" s="97"/>
      <c r="GQB2" s="97"/>
      <c r="GQC2" s="97"/>
      <c r="GQD2" s="97"/>
      <c r="GQE2" s="97"/>
      <c r="GQF2" s="97"/>
      <c r="GQG2" s="97"/>
      <c r="GQH2" s="97"/>
      <c r="GQI2" s="97"/>
      <c r="GQJ2" s="97"/>
      <c r="GQK2" s="97"/>
      <c r="GQL2" s="97"/>
      <c r="GQM2" s="97"/>
      <c r="GQN2" s="97"/>
      <c r="GQO2" s="97"/>
      <c r="GQP2" s="97"/>
      <c r="GQQ2" s="97"/>
      <c r="GQR2" s="97"/>
      <c r="GQS2" s="97"/>
      <c r="GQT2" s="97"/>
      <c r="GQU2" s="97"/>
      <c r="GQV2" s="97"/>
      <c r="GQW2" s="97"/>
      <c r="GQX2" s="97"/>
      <c r="GQY2" s="97"/>
      <c r="GQZ2" s="97"/>
      <c r="GRA2" s="97"/>
      <c r="GRB2" s="97"/>
      <c r="GRC2" s="97"/>
      <c r="GRD2" s="97"/>
      <c r="GRE2" s="97"/>
      <c r="GRF2" s="97"/>
      <c r="GRG2" s="97"/>
      <c r="GRH2" s="97"/>
      <c r="GRI2" s="97"/>
      <c r="GRJ2" s="97"/>
      <c r="GRK2" s="97"/>
      <c r="GRL2" s="97"/>
      <c r="GRM2" s="97"/>
      <c r="GRN2" s="97"/>
      <c r="GRO2" s="97"/>
      <c r="GRP2" s="97"/>
      <c r="GRQ2" s="97"/>
      <c r="GRR2" s="97"/>
      <c r="GRS2" s="97"/>
      <c r="GRT2" s="97"/>
      <c r="GRU2" s="97"/>
      <c r="GRV2" s="97"/>
      <c r="GRW2" s="97"/>
      <c r="GRX2" s="97"/>
      <c r="GRY2" s="97"/>
      <c r="GRZ2" s="97"/>
      <c r="GSA2" s="97"/>
      <c r="GSB2" s="97"/>
      <c r="GSC2" s="97"/>
      <c r="GSD2" s="97"/>
      <c r="GSE2" s="97"/>
      <c r="GSF2" s="97"/>
      <c r="GSG2" s="97"/>
      <c r="GSH2" s="97"/>
      <c r="GSI2" s="97"/>
      <c r="GSJ2" s="97"/>
      <c r="GSK2" s="97"/>
      <c r="GSL2" s="97"/>
      <c r="GSM2" s="97"/>
      <c r="GSN2" s="97"/>
      <c r="GSO2" s="97"/>
      <c r="GSP2" s="97"/>
      <c r="GSQ2" s="97"/>
      <c r="GSR2" s="97"/>
      <c r="GSS2" s="97"/>
      <c r="GST2" s="97"/>
      <c r="GSU2" s="97"/>
      <c r="GSV2" s="97"/>
      <c r="GSW2" s="97"/>
      <c r="GSX2" s="97"/>
      <c r="GSY2" s="97"/>
      <c r="GSZ2" s="97"/>
      <c r="GTA2" s="97"/>
      <c r="GTB2" s="97"/>
      <c r="GTC2" s="97"/>
      <c r="GTD2" s="97"/>
      <c r="GTE2" s="97"/>
      <c r="GTF2" s="97"/>
      <c r="GTG2" s="97"/>
      <c r="GTH2" s="97"/>
      <c r="GTI2" s="97"/>
      <c r="GTJ2" s="97"/>
      <c r="GTK2" s="97"/>
      <c r="GTL2" s="97"/>
      <c r="GTM2" s="97"/>
      <c r="GTN2" s="97"/>
      <c r="GTO2" s="97"/>
      <c r="GTP2" s="97"/>
      <c r="GTQ2" s="97"/>
      <c r="GTR2" s="97"/>
      <c r="GTS2" s="97"/>
      <c r="GTT2" s="97"/>
      <c r="GTU2" s="97"/>
      <c r="GTV2" s="97"/>
      <c r="GTW2" s="97"/>
      <c r="GTX2" s="97"/>
      <c r="GTY2" s="97"/>
      <c r="GTZ2" s="97"/>
      <c r="GUA2" s="97"/>
      <c r="GUB2" s="97"/>
      <c r="GUC2" s="97"/>
      <c r="GUD2" s="97"/>
      <c r="GUE2" s="97"/>
      <c r="GUF2" s="97"/>
      <c r="GUG2" s="97"/>
      <c r="GUH2" s="97"/>
      <c r="GUI2" s="97"/>
      <c r="GUJ2" s="97"/>
      <c r="GUK2" s="97"/>
      <c r="GUL2" s="97"/>
      <c r="GUM2" s="97"/>
      <c r="GUN2" s="97"/>
      <c r="GUO2" s="97"/>
      <c r="GUP2" s="97"/>
      <c r="GUQ2" s="97"/>
      <c r="GUR2" s="97"/>
      <c r="GUS2" s="97"/>
      <c r="GUT2" s="97"/>
      <c r="GUU2" s="97"/>
      <c r="GUV2" s="97"/>
      <c r="GUW2" s="97"/>
      <c r="GUX2" s="97"/>
      <c r="GUY2" s="97"/>
      <c r="GUZ2" s="97"/>
      <c r="GVA2" s="97"/>
      <c r="GVB2" s="97"/>
      <c r="GVC2" s="97"/>
      <c r="GVD2" s="97"/>
      <c r="GVE2" s="97"/>
      <c r="GVF2" s="97"/>
      <c r="GVG2" s="97"/>
      <c r="GVH2" s="97"/>
      <c r="GVI2" s="97"/>
      <c r="GVJ2" s="97"/>
      <c r="GVK2" s="97"/>
      <c r="GVL2" s="97"/>
      <c r="GVM2" s="97"/>
      <c r="GVN2" s="97"/>
      <c r="GVO2" s="97"/>
      <c r="GVP2" s="97"/>
      <c r="GVQ2" s="97"/>
      <c r="GVR2" s="97"/>
      <c r="GVS2" s="97"/>
      <c r="GVT2" s="97"/>
      <c r="GVU2" s="97"/>
      <c r="GVV2" s="97"/>
      <c r="GVW2" s="97"/>
      <c r="GVX2" s="97"/>
      <c r="GVY2" s="97"/>
      <c r="GVZ2" s="97"/>
      <c r="GWA2" s="97"/>
      <c r="GWB2" s="97"/>
      <c r="GWC2" s="97"/>
      <c r="GWD2" s="97"/>
      <c r="GWE2" s="97"/>
      <c r="GWF2" s="97"/>
      <c r="GWG2" s="97"/>
      <c r="GWH2" s="97"/>
      <c r="GWI2" s="97"/>
      <c r="GWJ2" s="97"/>
      <c r="GWK2" s="97"/>
      <c r="GWL2" s="97"/>
      <c r="GWM2" s="97"/>
      <c r="GWN2" s="97"/>
      <c r="GWO2" s="97"/>
      <c r="GWP2" s="97"/>
      <c r="GWQ2" s="97"/>
      <c r="GWR2" s="97"/>
      <c r="GWS2" s="97"/>
      <c r="GWT2" s="97"/>
      <c r="GWU2" s="97"/>
      <c r="GWV2" s="97"/>
      <c r="GWW2" s="97"/>
      <c r="GWX2" s="97"/>
      <c r="GWY2" s="97"/>
      <c r="GWZ2" s="97"/>
      <c r="GXA2" s="97"/>
      <c r="GXB2" s="97"/>
      <c r="GXC2" s="97"/>
      <c r="GXD2" s="97"/>
      <c r="GXE2" s="97"/>
      <c r="GXF2" s="97"/>
      <c r="GXG2" s="97"/>
      <c r="GXH2" s="97"/>
      <c r="GXI2" s="97"/>
      <c r="GXJ2" s="97"/>
      <c r="GXK2" s="97"/>
      <c r="GXL2" s="97"/>
      <c r="GXM2" s="97"/>
      <c r="GXN2" s="97"/>
      <c r="GXO2" s="97"/>
      <c r="GXP2" s="97"/>
      <c r="GXQ2" s="97"/>
      <c r="GXR2" s="97"/>
      <c r="GXS2" s="97"/>
      <c r="GXT2" s="97"/>
      <c r="GXU2" s="97"/>
      <c r="GXV2" s="97"/>
      <c r="GXW2" s="97"/>
      <c r="GXX2" s="97"/>
      <c r="GXY2" s="97"/>
      <c r="GXZ2" s="97"/>
      <c r="GYA2" s="97"/>
      <c r="GYB2" s="97"/>
      <c r="GYC2" s="97"/>
      <c r="GYD2" s="97"/>
      <c r="GYE2" s="97"/>
      <c r="GYF2" s="97"/>
      <c r="GYG2" s="97"/>
      <c r="GYH2" s="97"/>
      <c r="GYI2" s="97"/>
      <c r="GYJ2" s="97"/>
      <c r="GYK2" s="97"/>
      <c r="GYL2" s="97"/>
      <c r="GYM2" s="97"/>
      <c r="GYN2" s="97"/>
      <c r="GYO2" s="97"/>
      <c r="GYP2" s="97"/>
      <c r="GYQ2" s="97"/>
      <c r="GYR2" s="97"/>
      <c r="GYS2" s="97"/>
      <c r="GYT2" s="97"/>
      <c r="GYU2" s="97"/>
      <c r="GYV2" s="97"/>
      <c r="GYW2" s="97"/>
      <c r="GYX2" s="97"/>
      <c r="GYY2" s="97"/>
      <c r="GYZ2" s="97"/>
      <c r="GZA2" s="97"/>
      <c r="GZB2" s="97"/>
      <c r="GZC2" s="97"/>
      <c r="GZD2" s="97"/>
      <c r="GZE2" s="97"/>
      <c r="GZF2" s="97"/>
      <c r="GZG2" s="97"/>
      <c r="GZH2" s="97"/>
      <c r="GZI2" s="97"/>
      <c r="GZJ2" s="97"/>
      <c r="GZK2" s="97"/>
      <c r="GZL2" s="97"/>
      <c r="GZM2" s="97"/>
      <c r="GZN2" s="97"/>
      <c r="GZO2" s="97"/>
      <c r="GZP2" s="97"/>
      <c r="GZQ2" s="97"/>
      <c r="GZR2" s="97"/>
      <c r="GZS2" s="97"/>
      <c r="GZT2" s="97"/>
      <c r="GZU2" s="97"/>
      <c r="GZV2" s="97"/>
      <c r="GZW2" s="97"/>
      <c r="GZX2" s="97"/>
      <c r="GZY2" s="97"/>
      <c r="GZZ2" s="97"/>
      <c r="HAA2" s="97"/>
      <c r="HAB2" s="97"/>
      <c r="HAC2" s="97"/>
      <c r="HAD2" s="97"/>
      <c r="HAE2" s="97"/>
      <c r="HAF2" s="97"/>
      <c r="HAG2" s="97"/>
      <c r="HAH2" s="97"/>
      <c r="HAI2" s="97"/>
      <c r="HAJ2" s="97"/>
      <c r="HAK2" s="97"/>
      <c r="HAL2" s="97"/>
      <c r="HAM2" s="97"/>
      <c r="HAN2" s="97"/>
      <c r="HAO2" s="97"/>
      <c r="HAP2" s="97"/>
      <c r="HAQ2" s="97"/>
      <c r="HAR2" s="97"/>
      <c r="HAS2" s="97"/>
      <c r="HAT2" s="97"/>
      <c r="HAU2" s="97"/>
      <c r="HAV2" s="97"/>
      <c r="HAW2" s="97"/>
      <c r="HAX2" s="97"/>
      <c r="HAY2" s="97"/>
      <c r="HAZ2" s="97"/>
      <c r="HBA2" s="97"/>
      <c r="HBB2" s="97"/>
      <c r="HBC2" s="97"/>
      <c r="HBD2" s="97"/>
      <c r="HBE2" s="97"/>
      <c r="HBF2" s="97"/>
      <c r="HBG2" s="97"/>
      <c r="HBH2" s="97"/>
      <c r="HBI2" s="97"/>
      <c r="HBJ2" s="97"/>
      <c r="HBK2" s="97"/>
      <c r="HBL2" s="97"/>
      <c r="HBM2" s="97"/>
      <c r="HBN2" s="97"/>
      <c r="HBO2" s="97"/>
      <c r="HBP2" s="97"/>
      <c r="HBQ2" s="97"/>
      <c r="HBR2" s="97"/>
      <c r="HBS2" s="97"/>
      <c r="HBT2" s="97"/>
      <c r="HBU2" s="97"/>
      <c r="HBV2" s="97"/>
      <c r="HBW2" s="97"/>
      <c r="HBX2" s="97"/>
      <c r="HBY2" s="97"/>
      <c r="HBZ2" s="97"/>
      <c r="HCA2" s="97"/>
      <c r="HCB2" s="97"/>
      <c r="HCC2" s="97"/>
      <c r="HCD2" s="97"/>
      <c r="HCE2" s="97"/>
      <c r="HCF2" s="97"/>
      <c r="HCG2" s="97"/>
      <c r="HCH2" s="97"/>
      <c r="HCI2" s="97"/>
      <c r="HCJ2" s="97"/>
      <c r="HCK2" s="97"/>
      <c r="HCL2" s="97"/>
      <c r="HCM2" s="97"/>
      <c r="HCN2" s="97"/>
      <c r="HCO2" s="97"/>
      <c r="HCP2" s="97"/>
      <c r="HCQ2" s="97"/>
      <c r="HCR2" s="97"/>
      <c r="HCS2" s="97"/>
      <c r="HCT2" s="97"/>
      <c r="HCU2" s="97"/>
      <c r="HCV2" s="97"/>
      <c r="HCW2" s="97"/>
      <c r="HCX2" s="97"/>
      <c r="HCY2" s="97"/>
      <c r="HCZ2" s="97"/>
      <c r="HDA2" s="97"/>
      <c r="HDB2" s="97"/>
      <c r="HDC2" s="97"/>
      <c r="HDD2" s="97"/>
      <c r="HDE2" s="97"/>
      <c r="HDF2" s="97"/>
      <c r="HDG2" s="97"/>
      <c r="HDH2" s="97"/>
      <c r="HDI2" s="97"/>
      <c r="HDJ2" s="97"/>
      <c r="HDK2" s="97"/>
      <c r="HDL2" s="97"/>
      <c r="HDM2" s="97"/>
      <c r="HDN2" s="97"/>
      <c r="HDO2" s="97"/>
      <c r="HDP2" s="97"/>
      <c r="HDQ2" s="97"/>
      <c r="HDR2" s="97"/>
      <c r="HDS2" s="97"/>
      <c r="HDT2" s="97"/>
      <c r="HDU2" s="97"/>
      <c r="HDV2" s="97"/>
      <c r="HDW2" s="97"/>
      <c r="HDX2" s="97"/>
      <c r="HDY2" s="97"/>
      <c r="HDZ2" s="97"/>
      <c r="HEA2" s="97"/>
      <c r="HEB2" s="97"/>
      <c r="HEC2" s="97"/>
      <c r="HED2" s="97"/>
      <c r="HEE2" s="97"/>
      <c r="HEF2" s="97"/>
      <c r="HEG2" s="97"/>
      <c r="HEH2" s="97"/>
      <c r="HEI2" s="97"/>
      <c r="HEJ2" s="97"/>
      <c r="HEK2" s="97"/>
      <c r="HEL2" s="97"/>
      <c r="HEM2" s="97"/>
      <c r="HEN2" s="97"/>
      <c r="HEO2" s="97"/>
      <c r="HEP2" s="97"/>
      <c r="HEQ2" s="97"/>
      <c r="HER2" s="97"/>
      <c r="HES2" s="97"/>
      <c r="HET2" s="97"/>
      <c r="HEU2" s="97"/>
      <c r="HEV2" s="97"/>
      <c r="HEW2" s="97"/>
      <c r="HEX2" s="97"/>
      <c r="HEY2" s="97"/>
      <c r="HEZ2" s="97"/>
      <c r="HFA2" s="97"/>
      <c r="HFB2" s="97"/>
      <c r="HFC2" s="97"/>
      <c r="HFD2" s="97"/>
      <c r="HFE2" s="97"/>
      <c r="HFF2" s="97"/>
      <c r="HFG2" s="97"/>
      <c r="HFH2" s="97"/>
      <c r="HFI2" s="97"/>
      <c r="HFJ2" s="97"/>
      <c r="HFK2" s="97"/>
      <c r="HFL2" s="97"/>
      <c r="HFM2" s="97"/>
      <c r="HFN2" s="97"/>
      <c r="HFO2" s="97"/>
      <c r="HFP2" s="97"/>
      <c r="HFQ2" s="97"/>
      <c r="HFR2" s="97"/>
      <c r="HFS2" s="97"/>
      <c r="HFT2" s="97"/>
      <c r="HFU2" s="97"/>
      <c r="HFV2" s="97"/>
      <c r="HFW2" s="97"/>
      <c r="HFX2" s="97"/>
      <c r="HFY2" s="97"/>
      <c r="HFZ2" s="97"/>
      <c r="HGA2" s="97"/>
      <c r="HGB2" s="97"/>
      <c r="HGC2" s="97"/>
      <c r="HGD2" s="97"/>
      <c r="HGE2" s="97"/>
      <c r="HGF2" s="97"/>
      <c r="HGG2" s="97"/>
      <c r="HGH2" s="97"/>
      <c r="HGI2" s="97"/>
      <c r="HGJ2" s="97"/>
      <c r="HGK2" s="97"/>
      <c r="HGL2" s="97"/>
      <c r="HGM2" s="97"/>
      <c r="HGN2" s="97"/>
      <c r="HGO2" s="97"/>
      <c r="HGP2" s="97"/>
      <c r="HGQ2" s="97"/>
      <c r="HGR2" s="97"/>
      <c r="HGS2" s="97"/>
      <c r="HGT2" s="97"/>
      <c r="HGU2" s="97"/>
      <c r="HGV2" s="97"/>
      <c r="HGW2" s="97"/>
      <c r="HGX2" s="97"/>
      <c r="HGY2" s="97"/>
      <c r="HGZ2" s="97"/>
      <c r="HHA2" s="97"/>
      <c r="HHB2" s="97"/>
      <c r="HHC2" s="97"/>
      <c r="HHD2" s="97"/>
      <c r="HHE2" s="97"/>
      <c r="HHF2" s="97"/>
      <c r="HHG2" s="97"/>
      <c r="HHH2" s="97"/>
      <c r="HHI2" s="97"/>
      <c r="HHJ2" s="97"/>
      <c r="HHK2" s="97"/>
      <c r="HHL2" s="97"/>
      <c r="HHM2" s="97"/>
      <c r="HHN2" s="97"/>
      <c r="HHO2" s="97"/>
      <c r="HHP2" s="97"/>
      <c r="HHQ2" s="97"/>
      <c r="HHR2" s="97"/>
      <c r="HHS2" s="97"/>
      <c r="HHT2" s="97"/>
      <c r="HHU2" s="97"/>
      <c r="HHV2" s="97"/>
      <c r="HHW2" s="97"/>
      <c r="HHX2" s="97"/>
      <c r="HHY2" s="97"/>
      <c r="HHZ2" s="97"/>
      <c r="HIA2" s="97"/>
      <c r="HIB2" s="97"/>
      <c r="HIC2" s="97"/>
      <c r="HID2" s="97"/>
      <c r="HIE2" s="97"/>
      <c r="HIF2" s="97"/>
      <c r="HIG2" s="97"/>
      <c r="HIH2" s="97"/>
      <c r="HII2" s="97"/>
      <c r="HIJ2" s="97"/>
      <c r="HIK2" s="97"/>
      <c r="HIL2" s="97"/>
      <c r="HIM2" s="97"/>
      <c r="HIN2" s="97"/>
      <c r="HIO2" s="97"/>
      <c r="HIP2" s="97"/>
      <c r="HIQ2" s="97"/>
      <c r="HIR2" s="97"/>
      <c r="HIS2" s="97"/>
      <c r="HIT2" s="97"/>
      <c r="HIU2" s="97"/>
      <c r="HIV2" s="97"/>
      <c r="HIW2" s="97"/>
      <c r="HIX2" s="97"/>
      <c r="HIY2" s="97"/>
      <c r="HIZ2" s="97"/>
      <c r="HJA2" s="97"/>
      <c r="HJB2" s="97"/>
      <c r="HJC2" s="97"/>
      <c r="HJD2" s="97"/>
      <c r="HJE2" s="97"/>
      <c r="HJF2" s="97"/>
      <c r="HJG2" s="97"/>
      <c r="HJH2" s="97"/>
      <c r="HJI2" s="97"/>
      <c r="HJJ2" s="97"/>
      <c r="HJK2" s="97"/>
      <c r="HJL2" s="97"/>
      <c r="HJM2" s="97"/>
      <c r="HJN2" s="97"/>
      <c r="HJO2" s="97"/>
      <c r="HJP2" s="97"/>
      <c r="HJQ2" s="97"/>
      <c r="HJR2" s="97"/>
      <c r="HJS2" s="97"/>
      <c r="HJT2" s="97"/>
      <c r="HJU2" s="97"/>
      <c r="HJV2" s="97"/>
      <c r="HJW2" s="97"/>
      <c r="HJX2" s="97"/>
      <c r="HJY2" s="97"/>
      <c r="HJZ2" s="97"/>
      <c r="HKA2" s="97"/>
      <c r="HKB2" s="97"/>
      <c r="HKC2" s="97"/>
      <c r="HKD2" s="97"/>
      <c r="HKE2" s="97"/>
      <c r="HKF2" s="97"/>
      <c r="HKG2" s="97"/>
      <c r="HKH2" s="97"/>
      <c r="HKI2" s="97"/>
      <c r="HKJ2" s="97"/>
      <c r="HKK2" s="97"/>
      <c r="HKL2" s="97"/>
      <c r="HKM2" s="97"/>
      <c r="HKN2" s="97"/>
      <c r="HKO2" s="97"/>
      <c r="HKP2" s="97"/>
      <c r="HKQ2" s="97"/>
      <c r="HKR2" s="97"/>
      <c r="HKS2" s="97"/>
      <c r="HKT2" s="97"/>
      <c r="HKU2" s="97"/>
      <c r="HKV2" s="97"/>
      <c r="HKW2" s="97"/>
      <c r="HKX2" s="97"/>
      <c r="HKY2" s="97"/>
      <c r="HKZ2" s="97"/>
      <c r="HLA2" s="97"/>
      <c r="HLB2" s="97"/>
      <c r="HLC2" s="97"/>
      <c r="HLD2" s="97"/>
      <c r="HLE2" s="97"/>
      <c r="HLF2" s="97"/>
      <c r="HLG2" s="97"/>
      <c r="HLH2" s="97"/>
      <c r="HLI2" s="97"/>
      <c r="HLJ2" s="97"/>
      <c r="HLK2" s="97"/>
      <c r="HLL2" s="97"/>
      <c r="HLM2" s="97"/>
      <c r="HLN2" s="97"/>
      <c r="HLO2" s="97"/>
      <c r="HLP2" s="97"/>
      <c r="HLQ2" s="97"/>
      <c r="HLR2" s="97"/>
      <c r="HLS2" s="97"/>
      <c r="HLT2" s="97"/>
      <c r="HLU2" s="97"/>
      <c r="HLV2" s="97"/>
      <c r="HLW2" s="97"/>
      <c r="HLX2" s="97"/>
      <c r="HLY2" s="97"/>
      <c r="HLZ2" s="97"/>
      <c r="HMA2" s="97"/>
      <c r="HMB2" s="97"/>
      <c r="HMC2" s="97"/>
      <c r="HMD2" s="97"/>
      <c r="HME2" s="97"/>
      <c r="HMF2" s="97"/>
      <c r="HMG2" s="97"/>
      <c r="HMH2" s="97"/>
      <c r="HMI2" s="97"/>
      <c r="HMJ2" s="97"/>
      <c r="HMK2" s="97"/>
      <c r="HML2" s="97"/>
      <c r="HMM2" s="97"/>
      <c r="HMN2" s="97"/>
      <c r="HMO2" s="97"/>
      <c r="HMP2" s="97"/>
      <c r="HMQ2" s="97"/>
      <c r="HMR2" s="97"/>
      <c r="HMS2" s="97"/>
      <c r="HMT2" s="97"/>
      <c r="HMU2" s="97"/>
      <c r="HMV2" s="97"/>
      <c r="HMW2" s="97"/>
      <c r="HMX2" s="97"/>
      <c r="HMY2" s="97"/>
      <c r="HMZ2" s="97"/>
      <c r="HNA2" s="97"/>
      <c r="HNB2" s="97"/>
      <c r="HNC2" s="97"/>
      <c r="HND2" s="97"/>
      <c r="HNE2" s="97"/>
      <c r="HNF2" s="97"/>
      <c r="HNG2" s="97"/>
      <c r="HNH2" s="97"/>
      <c r="HNI2" s="97"/>
      <c r="HNJ2" s="97"/>
      <c r="HNK2" s="97"/>
      <c r="HNL2" s="97"/>
      <c r="HNM2" s="97"/>
      <c r="HNN2" s="97"/>
      <c r="HNO2" s="97"/>
      <c r="HNP2" s="97"/>
      <c r="HNQ2" s="97"/>
      <c r="HNR2" s="97"/>
      <c r="HNS2" s="97"/>
      <c r="HNT2" s="97"/>
      <c r="HNU2" s="97"/>
      <c r="HNV2" s="97"/>
      <c r="HNW2" s="97"/>
      <c r="HNX2" s="97"/>
      <c r="HNY2" s="97"/>
      <c r="HNZ2" s="97"/>
      <c r="HOA2" s="97"/>
      <c r="HOB2" s="97"/>
      <c r="HOC2" s="97"/>
      <c r="HOD2" s="97"/>
      <c r="HOE2" s="97"/>
      <c r="HOF2" s="97"/>
      <c r="HOG2" s="97"/>
      <c r="HOH2" s="97"/>
      <c r="HOI2" s="97"/>
      <c r="HOJ2" s="97"/>
      <c r="HOK2" s="97"/>
      <c r="HOL2" s="97"/>
      <c r="HOM2" s="97"/>
      <c r="HON2" s="97"/>
      <c r="HOO2" s="97"/>
      <c r="HOP2" s="97"/>
      <c r="HOQ2" s="97"/>
      <c r="HOR2" s="97"/>
      <c r="HOS2" s="97"/>
      <c r="HOT2" s="97"/>
      <c r="HOU2" s="97"/>
      <c r="HOV2" s="97"/>
      <c r="HOW2" s="97"/>
      <c r="HOX2" s="97"/>
      <c r="HOY2" s="97"/>
      <c r="HOZ2" s="97"/>
      <c r="HPA2" s="97"/>
      <c r="HPB2" s="97"/>
      <c r="HPC2" s="97"/>
      <c r="HPD2" s="97"/>
      <c r="HPE2" s="97"/>
      <c r="HPF2" s="97"/>
      <c r="HPG2" s="97"/>
      <c r="HPH2" s="97"/>
      <c r="HPI2" s="97"/>
      <c r="HPJ2" s="97"/>
      <c r="HPK2" s="97"/>
      <c r="HPL2" s="97"/>
      <c r="HPM2" s="97"/>
      <c r="HPN2" s="97"/>
      <c r="HPO2" s="97"/>
      <c r="HPP2" s="97"/>
      <c r="HPQ2" s="97"/>
      <c r="HPR2" s="97"/>
      <c r="HPS2" s="97"/>
      <c r="HPT2" s="97"/>
      <c r="HPU2" s="97"/>
      <c r="HPV2" s="97"/>
      <c r="HPW2" s="97"/>
      <c r="HPX2" s="97"/>
      <c r="HPY2" s="97"/>
      <c r="HPZ2" s="97"/>
      <c r="HQA2" s="97"/>
      <c r="HQB2" s="97"/>
      <c r="HQC2" s="97"/>
      <c r="HQD2" s="97"/>
      <c r="HQE2" s="97"/>
      <c r="HQF2" s="97"/>
      <c r="HQG2" s="97"/>
      <c r="HQH2" s="97"/>
      <c r="HQI2" s="97"/>
      <c r="HQJ2" s="97"/>
      <c r="HQK2" s="97"/>
      <c r="HQL2" s="97"/>
      <c r="HQM2" s="97"/>
      <c r="HQN2" s="97"/>
      <c r="HQO2" s="97"/>
      <c r="HQP2" s="97"/>
      <c r="HQQ2" s="97"/>
      <c r="HQR2" s="97"/>
      <c r="HQS2" s="97"/>
      <c r="HQT2" s="97"/>
      <c r="HQU2" s="97"/>
      <c r="HQV2" s="97"/>
      <c r="HQW2" s="97"/>
      <c r="HQX2" s="97"/>
      <c r="HQY2" s="97"/>
      <c r="HQZ2" s="97"/>
      <c r="HRA2" s="97"/>
      <c r="HRB2" s="97"/>
      <c r="HRC2" s="97"/>
      <c r="HRD2" s="97"/>
      <c r="HRE2" s="97"/>
      <c r="HRF2" s="97"/>
      <c r="HRG2" s="97"/>
      <c r="HRH2" s="97"/>
      <c r="HRI2" s="97"/>
      <c r="HRJ2" s="97"/>
      <c r="HRK2" s="97"/>
      <c r="HRL2" s="97"/>
      <c r="HRM2" s="97"/>
      <c r="HRN2" s="97"/>
      <c r="HRO2" s="97"/>
      <c r="HRP2" s="97"/>
      <c r="HRQ2" s="97"/>
      <c r="HRR2" s="97"/>
      <c r="HRS2" s="97"/>
      <c r="HRT2" s="97"/>
      <c r="HRU2" s="97"/>
      <c r="HRV2" s="97"/>
      <c r="HRW2" s="97"/>
      <c r="HRX2" s="97"/>
      <c r="HRY2" s="97"/>
      <c r="HRZ2" s="97"/>
      <c r="HSA2" s="97"/>
      <c r="HSB2" s="97"/>
      <c r="HSC2" s="97"/>
      <c r="HSD2" s="97"/>
      <c r="HSE2" s="97"/>
      <c r="HSF2" s="97"/>
      <c r="HSG2" s="97"/>
      <c r="HSH2" s="97"/>
      <c r="HSI2" s="97"/>
      <c r="HSJ2" s="97"/>
      <c r="HSK2" s="97"/>
      <c r="HSL2" s="97"/>
      <c r="HSM2" s="97"/>
      <c r="HSN2" s="97"/>
      <c r="HSO2" s="97"/>
      <c r="HSP2" s="97"/>
      <c r="HSQ2" s="97"/>
      <c r="HSR2" s="97"/>
      <c r="HSS2" s="97"/>
      <c r="HST2" s="97"/>
      <c r="HSU2" s="97"/>
      <c r="HSV2" s="97"/>
      <c r="HSW2" s="97"/>
      <c r="HSX2" s="97"/>
      <c r="HSY2" s="97"/>
      <c r="HSZ2" s="97"/>
      <c r="HTA2" s="97"/>
      <c r="HTB2" s="97"/>
      <c r="HTC2" s="97"/>
      <c r="HTD2" s="97"/>
      <c r="HTE2" s="97"/>
      <c r="HTF2" s="97"/>
      <c r="HTG2" s="97"/>
      <c r="HTH2" s="97"/>
      <c r="HTI2" s="97"/>
      <c r="HTJ2" s="97"/>
      <c r="HTK2" s="97"/>
      <c r="HTL2" s="97"/>
      <c r="HTM2" s="97"/>
      <c r="HTN2" s="97"/>
      <c r="HTO2" s="97"/>
      <c r="HTP2" s="97"/>
      <c r="HTQ2" s="97"/>
      <c r="HTR2" s="97"/>
      <c r="HTS2" s="97"/>
      <c r="HTT2" s="97"/>
      <c r="HTU2" s="97"/>
      <c r="HTV2" s="97"/>
      <c r="HTW2" s="97"/>
      <c r="HTX2" s="97"/>
      <c r="HTY2" s="97"/>
      <c r="HTZ2" s="97"/>
      <c r="HUA2" s="97"/>
      <c r="HUB2" s="97"/>
      <c r="HUC2" s="97"/>
      <c r="HUD2" s="97"/>
      <c r="HUE2" s="97"/>
      <c r="HUF2" s="97"/>
      <c r="HUG2" s="97"/>
      <c r="HUH2" s="97"/>
      <c r="HUI2" s="97"/>
      <c r="HUJ2" s="97"/>
      <c r="HUK2" s="97"/>
      <c r="HUL2" s="97"/>
      <c r="HUM2" s="97"/>
      <c r="HUN2" s="97"/>
      <c r="HUO2" s="97"/>
      <c r="HUP2" s="97"/>
      <c r="HUQ2" s="97"/>
      <c r="HUR2" s="97"/>
      <c r="HUS2" s="97"/>
      <c r="HUT2" s="97"/>
      <c r="HUU2" s="97"/>
      <c r="HUV2" s="97"/>
      <c r="HUW2" s="97"/>
      <c r="HUX2" s="97"/>
      <c r="HUY2" s="97"/>
      <c r="HUZ2" s="97"/>
      <c r="HVA2" s="97"/>
      <c r="HVB2" s="97"/>
      <c r="HVC2" s="97"/>
      <c r="HVD2" s="97"/>
      <c r="HVE2" s="97"/>
      <c r="HVF2" s="97"/>
      <c r="HVG2" s="97"/>
      <c r="HVH2" s="97"/>
      <c r="HVI2" s="97"/>
      <c r="HVJ2" s="97"/>
      <c r="HVK2" s="97"/>
      <c r="HVL2" s="97"/>
      <c r="HVM2" s="97"/>
      <c r="HVN2" s="97"/>
      <c r="HVO2" s="97"/>
      <c r="HVP2" s="97"/>
      <c r="HVQ2" s="97"/>
      <c r="HVR2" s="97"/>
      <c r="HVS2" s="97"/>
      <c r="HVT2" s="97"/>
      <c r="HVU2" s="97"/>
      <c r="HVV2" s="97"/>
      <c r="HVW2" s="97"/>
      <c r="HVX2" s="97"/>
      <c r="HVY2" s="97"/>
      <c r="HVZ2" s="97"/>
      <c r="HWA2" s="97"/>
      <c r="HWB2" s="97"/>
      <c r="HWC2" s="97"/>
      <c r="HWD2" s="97"/>
      <c r="HWE2" s="97"/>
      <c r="HWF2" s="97"/>
      <c r="HWG2" s="97"/>
      <c r="HWH2" s="97"/>
      <c r="HWI2" s="97"/>
      <c r="HWJ2" s="97"/>
      <c r="HWK2" s="97"/>
      <c r="HWL2" s="97"/>
      <c r="HWM2" s="97"/>
      <c r="HWN2" s="97"/>
      <c r="HWO2" s="97"/>
      <c r="HWP2" s="97"/>
      <c r="HWQ2" s="97"/>
      <c r="HWR2" s="97"/>
      <c r="HWS2" s="97"/>
      <c r="HWT2" s="97"/>
      <c r="HWU2" s="97"/>
      <c r="HWV2" s="97"/>
      <c r="HWW2" s="97"/>
      <c r="HWX2" s="97"/>
      <c r="HWY2" s="97"/>
      <c r="HWZ2" s="97"/>
      <c r="HXA2" s="97"/>
      <c r="HXB2" s="97"/>
      <c r="HXC2" s="97"/>
      <c r="HXD2" s="97"/>
      <c r="HXE2" s="97"/>
      <c r="HXF2" s="97"/>
      <c r="HXG2" s="97"/>
      <c r="HXH2" s="97"/>
      <c r="HXI2" s="97"/>
      <c r="HXJ2" s="97"/>
      <c r="HXK2" s="97"/>
      <c r="HXL2" s="97"/>
      <c r="HXM2" s="97"/>
      <c r="HXN2" s="97"/>
      <c r="HXO2" s="97"/>
      <c r="HXP2" s="97"/>
      <c r="HXQ2" s="97"/>
      <c r="HXR2" s="97"/>
      <c r="HXS2" s="97"/>
      <c r="HXT2" s="97"/>
      <c r="HXU2" s="97"/>
      <c r="HXV2" s="97"/>
      <c r="HXW2" s="97"/>
      <c r="HXX2" s="97"/>
      <c r="HXY2" s="97"/>
      <c r="HXZ2" s="97"/>
      <c r="HYA2" s="97"/>
      <c r="HYB2" s="97"/>
      <c r="HYC2" s="97"/>
      <c r="HYD2" s="97"/>
      <c r="HYE2" s="97"/>
      <c r="HYF2" s="97"/>
      <c r="HYG2" s="97"/>
      <c r="HYH2" s="97"/>
      <c r="HYI2" s="97"/>
      <c r="HYJ2" s="97"/>
      <c r="HYK2" s="97"/>
      <c r="HYL2" s="97"/>
      <c r="HYM2" s="97"/>
      <c r="HYN2" s="97"/>
      <c r="HYO2" s="97"/>
      <c r="HYP2" s="97"/>
      <c r="HYQ2" s="97"/>
      <c r="HYR2" s="97"/>
      <c r="HYS2" s="97"/>
      <c r="HYT2" s="97"/>
      <c r="HYU2" s="97"/>
      <c r="HYV2" s="97"/>
      <c r="HYW2" s="97"/>
      <c r="HYX2" s="97"/>
      <c r="HYY2" s="97"/>
      <c r="HYZ2" s="97"/>
      <c r="HZA2" s="97"/>
      <c r="HZB2" s="97"/>
      <c r="HZC2" s="97"/>
      <c r="HZD2" s="97"/>
      <c r="HZE2" s="97"/>
      <c r="HZF2" s="97"/>
      <c r="HZG2" s="97"/>
      <c r="HZH2" s="97"/>
      <c r="HZI2" s="97"/>
      <c r="HZJ2" s="97"/>
      <c r="HZK2" s="97"/>
      <c r="HZL2" s="97"/>
      <c r="HZM2" s="97"/>
      <c r="HZN2" s="97"/>
      <c r="HZO2" s="97"/>
      <c r="HZP2" s="97"/>
      <c r="HZQ2" s="97"/>
      <c r="HZR2" s="97"/>
      <c r="HZS2" s="97"/>
      <c r="HZT2" s="97"/>
      <c r="HZU2" s="97"/>
      <c r="HZV2" s="97"/>
      <c r="HZW2" s="97"/>
      <c r="HZX2" s="97"/>
      <c r="HZY2" s="97"/>
      <c r="HZZ2" s="97"/>
      <c r="IAA2" s="97"/>
      <c r="IAB2" s="97"/>
      <c r="IAC2" s="97"/>
      <c r="IAD2" s="97"/>
      <c r="IAE2" s="97"/>
      <c r="IAF2" s="97"/>
      <c r="IAG2" s="97"/>
      <c r="IAH2" s="97"/>
      <c r="IAI2" s="97"/>
      <c r="IAJ2" s="97"/>
      <c r="IAK2" s="97"/>
      <c r="IAL2" s="97"/>
      <c r="IAM2" s="97"/>
      <c r="IAN2" s="97"/>
      <c r="IAO2" s="97"/>
      <c r="IAP2" s="97"/>
      <c r="IAQ2" s="97"/>
      <c r="IAR2" s="97"/>
      <c r="IAS2" s="97"/>
      <c r="IAT2" s="97"/>
      <c r="IAU2" s="97"/>
      <c r="IAV2" s="97"/>
      <c r="IAW2" s="97"/>
      <c r="IAX2" s="97"/>
      <c r="IAY2" s="97"/>
      <c r="IAZ2" s="97"/>
      <c r="IBA2" s="97"/>
      <c r="IBB2" s="97"/>
      <c r="IBC2" s="97"/>
      <c r="IBD2" s="97"/>
      <c r="IBE2" s="97"/>
      <c r="IBF2" s="97"/>
      <c r="IBG2" s="97"/>
      <c r="IBH2" s="97"/>
      <c r="IBI2" s="97"/>
      <c r="IBJ2" s="97"/>
      <c r="IBK2" s="97"/>
      <c r="IBL2" s="97"/>
      <c r="IBM2" s="97"/>
      <c r="IBN2" s="97"/>
      <c r="IBO2" s="97"/>
      <c r="IBP2" s="97"/>
      <c r="IBQ2" s="97"/>
      <c r="IBR2" s="97"/>
      <c r="IBS2" s="97"/>
      <c r="IBT2" s="97"/>
      <c r="IBU2" s="97"/>
      <c r="IBV2" s="97"/>
      <c r="IBW2" s="97"/>
      <c r="IBX2" s="97"/>
      <c r="IBY2" s="97"/>
      <c r="IBZ2" s="97"/>
      <c r="ICA2" s="97"/>
      <c r="ICB2" s="97"/>
      <c r="ICC2" s="97"/>
      <c r="ICD2" s="97"/>
      <c r="ICE2" s="97"/>
      <c r="ICF2" s="97"/>
      <c r="ICG2" s="97"/>
      <c r="ICH2" s="97"/>
      <c r="ICI2" s="97"/>
      <c r="ICJ2" s="97"/>
      <c r="ICK2" s="97"/>
      <c r="ICL2" s="97"/>
      <c r="ICM2" s="97"/>
      <c r="ICN2" s="97"/>
      <c r="ICO2" s="97"/>
      <c r="ICP2" s="97"/>
      <c r="ICQ2" s="97"/>
      <c r="ICR2" s="97"/>
      <c r="ICS2" s="97"/>
      <c r="ICT2" s="97"/>
      <c r="ICU2" s="97"/>
      <c r="ICV2" s="97"/>
      <c r="ICW2" s="97"/>
      <c r="ICX2" s="97"/>
      <c r="ICY2" s="97"/>
      <c r="ICZ2" s="97"/>
      <c r="IDA2" s="97"/>
      <c r="IDB2" s="97"/>
      <c r="IDC2" s="97"/>
      <c r="IDD2" s="97"/>
      <c r="IDE2" s="97"/>
      <c r="IDF2" s="97"/>
      <c r="IDG2" s="97"/>
      <c r="IDH2" s="97"/>
      <c r="IDI2" s="97"/>
      <c r="IDJ2" s="97"/>
      <c r="IDK2" s="97"/>
      <c r="IDL2" s="97"/>
      <c r="IDM2" s="97"/>
      <c r="IDN2" s="97"/>
      <c r="IDO2" s="97"/>
      <c r="IDP2" s="97"/>
      <c r="IDQ2" s="97"/>
      <c r="IDR2" s="97"/>
      <c r="IDS2" s="97"/>
      <c r="IDT2" s="97"/>
      <c r="IDU2" s="97"/>
      <c r="IDV2" s="97"/>
      <c r="IDW2" s="97"/>
      <c r="IDX2" s="97"/>
      <c r="IDY2" s="97"/>
      <c r="IDZ2" s="97"/>
      <c r="IEA2" s="97"/>
      <c r="IEB2" s="97"/>
      <c r="IEC2" s="97"/>
      <c r="IED2" s="97"/>
      <c r="IEE2" s="97"/>
      <c r="IEF2" s="97"/>
      <c r="IEG2" s="97"/>
      <c r="IEH2" s="97"/>
      <c r="IEI2" s="97"/>
      <c r="IEJ2" s="97"/>
      <c r="IEK2" s="97"/>
      <c r="IEL2" s="97"/>
      <c r="IEM2" s="97"/>
      <c r="IEN2" s="97"/>
      <c r="IEO2" s="97"/>
      <c r="IEP2" s="97"/>
      <c r="IEQ2" s="97"/>
      <c r="IER2" s="97"/>
      <c r="IES2" s="97"/>
      <c r="IET2" s="97"/>
      <c r="IEU2" s="97"/>
      <c r="IEV2" s="97"/>
      <c r="IEW2" s="97"/>
      <c r="IEX2" s="97"/>
      <c r="IEY2" s="97"/>
      <c r="IEZ2" s="97"/>
      <c r="IFA2" s="97"/>
      <c r="IFB2" s="97"/>
      <c r="IFC2" s="97"/>
      <c r="IFD2" s="97"/>
      <c r="IFE2" s="97"/>
      <c r="IFF2" s="97"/>
      <c r="IFG2" s="97"/>
      <c r="IFH2" s="97"/>
      <c r="IFI2" s="97"/>
      <c r="IFJ2" s="97"/>
      <c r="IFK2" s="97"/>
      <c r="IFL2" s="97"/>
      <c r="IFM2" s="97"/>
      <c r="IFN2" s="97"/>
      <c r="IFO2" s="97"/>
      <c r="IFP2" s="97"/>
      <c r="IFQ2" s="97"/>
      <c r="IFR2" s="97"/>
      <c r="IFS2" s="97"/>
      <c r="IFT2" s="97"/>
      <c r="IFU2" s="97"/>
      <c r="IFV2" s="97"/>
      <c r="IFW2" s="97"/>
      <c r="IFX2" s="97"/>
      <c r="IFY2" s="97"/>
      <c r="IFZ2" s="97"/>
      <c r="IGA2" s="97"/>
      <c r="IGB2" s="97"/>
      <c r="IGC2" s="97"/>
      <c r="IGD2" s="97"/>
      <c r="IGE2" s="97"/>
      <c r="IGF2" s="97"/>
      <c r="IGG2" s="97"/>
      <c r="IGH2" s="97"/>
      <c r="IGI2" s="97"/>
      <c r="IGJ2" s="97"/>
      <c r="IGK2" s="97"/>
      <c r="IGL2" s="97"/>
      <c r="IGM2" s="97"/>
      <c r="IGN2" s="97"/>
      <c r="IGO2" s="97"/>
      <c r="IGP2" s="97"/>
      <c r="IGQ2" s="97"/>
      <c r="IGR2" s="97"/>
      <c r="IGS2" s="97"/>
      <c r="IGT2" s="97"/>
      <c r="IGU2" s="97"/>
      <c r="IGV2" s="97"/>
      <c r="IGW2" s="97"/>
      <c r="IGX2" s="97"/>
      <c r="IGY2" s="97"/>
      <c r="IGZ2" s="97"/>
      <c r="IHA2" s="97"/>
      <c r="IHB2" s="97"/>
      <c r="IHC2" s="97"/>
      <c r="IHD2" s="97"/>
      <c r="IHE2" s="97"/>
      <c r="IHF2" s="97"/>
      <c r="IHG2" s="97"/>
      <c r="IHH2" s="97"/>
      <c r="IHI2" s="97"/>
      <c r="IHJ2" s="97"/>
      <c r="IHK2" s="97"/>
      <c r="IHL2" s="97"/>
      <c r="IHM2" s="97"/>
      <c r="IHN2" s="97"/>
      <c r="IHO2" s="97"/>
      <c r="IHP2" s="97"/>
      <c r="IHQ2" s="97"/>
      <c r="IHR2" s="97"/>
      <c r="IHS2" s="97"/>
      <c r="IHT2" s="97"/>
      <c r="IHU2" s="97"/>
      <c r="IHV2" s="97"/>
      <c r="IHW2" s="97"/>
      <c r="IHX2" s="97"/>
      <c r="IHY2" s="97"/>
      <c r="IHZ2" s="97"/>
      <c r="IIA2" s="97"/>
      <c r="IIB2" s="97"/>
      <c r="IIC2" s="97"/>
      <c r="IID2" s="97"/>
      <c r="IIE2" s="97"/>
      <c r="IIF2" s="97"/>
      <c r="IIG2" s="97"/>
      <c r="IIH2" s="97"/>
      <c r="III2" s="97"/>
      <c r="IIJ2" s="97"/>
      <c r="IIK2" s="97"/>
      <c r="IIL2" s="97"/>
      <c r="IIM2" s="97"/>
      <c r="IIN2" s="97"/>
      <c r="IIO2" s="97"/>
      <c r="IIP2" s="97"/>
      <c r="IIQ2" s="97"/>
      <c r="IIR2" s="97"/>
      <c r="IIS2" s="97"/>
      <c r="IIT2" s="97"/>
      <c r="IIU2" s="97"/>
      <c r="IIV2" s="97"/>
      <c r="IIW2" s="97"/>
      <c r="IIX2" s="97"/>
      <c r="IIY2" s="97"/>
      <c r="IIZ2" s="97"/>
      <c r="IJA2" s="97"/>
      <c r="IJB2" s="97"/>
      <c r="IJC2" s="97"/>
      <c r="IJD2" s="97"/>
      <c r="IJE2" s="97"/>
      <c r="IJF2" s="97"/>
      <c r="IJG2" s="97"/>
      <c r="IJH2" s="97"/>
      <c r="IJI2" s="97"/>
      <c r="IJJ2" s="97"/>
      <c r="IJK2" s="97"/>
      <c r="IJL2" s="97"/>
      <c r="IJM2" s="97"/>
      <c r="IJN2" s="97"/>
      <c r="IJO2" s="97"/>
      <c r="IJP2" s="97"/>
      <c r="IJQ2" s="97"/>
      <c r="IJR2" s="97"/>
      <c r="IJS2" s="97"/>
      <c r="IJT2" s="97"/>
      <c r="IJU2" s="97"/>
      <c r="IJV2" s="97"/>
      <c r="IJW2" s="97"/>
      <c r="IJX2" s="97"/>
      <c r="IJY2" s="97"/>
      <c r="IJZ2" s="97"/>
      <c r="IKA2" s="97"/>
      <c r="IKB2" s="97"/>
      <c r="IKC2" s="97"/>
      <c r="IKD2" s="97"/>
      <c r="IKE2" s="97"/>
      <c r="IKF2" s="97"/>
      <c r="IKG2" s="97"/>
      <c r="IKH2" s="97"/>
      <c r="IKI2" s="97"/>
      <c r="IKJ2" s="97"/>
      <c r="IKK2" s="97"/>
      <c r="IKL2" s="97"/>
      <c r="IKM2" s="97"/>
      <c r="IKN2" s="97"/>
      <c r="IKO2" s="97"/>
      <c r="IKP2" s="97"/>
      <c r="IKQ2" s="97"/>
      <c r="IKR2" s="97"/>
      <c r="IKS2" s="97"/>
      <c r="IKT2" s="97"/>
      <c r="IKU2" s="97"/>
      <c r="IKV2" s="97"/>
      <c r="IKW2" s="97"/>
      <c r="IKX2" s="97"/>
      <c r="IKY2" s="97"/>
      <c r="IKZ2" s="97"/>
      <c r="ILA2" s="97"/>
      <c r="ILB2" s="97"/>
      <c r="ILC2" s="97"/>
      <c r="ILD2" s="97"/>
      <c r="ILE2" s="97"/>
      <c r="ILF2" s="97"/>
      <c r="ILG2" s="97"/>
      <c r="ILH2" s="97"/>
      <c r="ILI2" s="97"/>
      <c r="ILJ2" s="97"/>
      <c r="ILK2" s="97"/>
      <c r="ILL2" s="97"/>
      <c r="ILM2" s="97"/>
      <c r="ILN2" s="97"/>
      <c r="ILO2" s="97"/>
      <c r="ILP2" s="97"/>
      <c r="ILQ2" s="97"/>
      <c r="ILR2" s="97"/>
      <c r="ILS2" s="97"/>
      <c r="ILT2" s="97"/>
      <c r="ILU2" s="97"/>
      <c r="ILV2" s="97"/>
      <c r="ILW2" s="97"/>
      <c r="ILX2" s="97"/>
      <c r="ILY2" s="97"/>
      <c r="ILZ2" s="97"/>
      <c r="IMA2" s="97"/>
      <c r="IMB2" s="97"/>
      <c r="IMC2" s="97"/>
      <c r="IMD2" s="97"/>
      <c r="IME2" s="97"/>
      <c r="IMF2" s="97"/>
      <c r="IMG2" s="97"/>
      <c r="IMH2" s="97"/>
      <c r="IMI2" s="97"/>
      <c r="IMJ2" s="97"/>
      <c r="IMK2" s="97"/>
      <c r="IML2" s="97"/>
      <c r="IMM2" s="97"/>
      <c r="IMN2" s="97"/>
      <c r="IMO2" s="97"/>
      <c r="IMP2" s="97"/>
      <c r="IMQ2" s="97"/>
      <c r="IMR2" s="97"/>
      <c r="IMS2" s="97"/>
      <c r="IMT2" s="97"/>
      <c r="IMU2" s="97"/>
      <c r="IMV2" s="97"/>
      <c r="IMW2" s="97"/>
      <c r="IMX2" s="97"/>
      <c r="IMY2" s="97"/>
      <c r="IMZ2" s="97"/>
      <c r="INA2" s="97"/>
      <c r="INB2" s="97"/>
      <c r="INC2" s="97"/>
      <c r="IND2" s="97"/>
      <c r="INE2" s="97"/>
      <c r="INF2" s="97"/>
      <c r="ING2" s="97"/>
      <c r="INH2" s="97"/>
      <c r="INI2" s="97"/>
      <c r="INJ2" s="97"/>
      <c r="INK2" s="97"/>
      <c r="INL2" s="97"/>
      <c r="INM2" s="97"/>
      <c r="INN2" s="97"/>
      <c r="INO2" s="97"/>
      <c r="INP2" s="97"/>
      <c r="INQ2" s="97"/>
      <c r="INR2" s="97"/>
      <c r="INS2" s="97"/>
      <c r="INT2" s="97"/>
      <c r="INU2" s="97"/>
      <c r="INV2" s="97"/>
      <c r="INW2" s="97"/>
      <c r="INX2" s="97"/>
      <c r="INY2" s="97"/>
      <c r="INZ2" s="97"/>
      <c r="IOA2" s="97"/>
      <c r="IOB2" s="97"/>
      <c r="IOC2" s="97"/>
      <c r="IOD2" s="97"/>
      <c r="IOE2" s="97"/>
      <c r="IOF2" s="97"/>
      <c r="IOG2" s="97"/>
      <c r="IOH2" s="97"/>
      <c r="IOI2" s="97"/>
      <c r="IOJ2" s="97"/>
      <c r="IOK2" s="97"/>
      <c r="IOL2" s="97"/>
      <c r="IOM2" s="97"/>
      <c r="ION2" s="97"/>
      <c r="IOO2" s="97"/>
      <c r="IOP2" s="97"/>
      <c r="IOQ2" s="97"/>
      <c r="IOR2" s="97"/>
      <c r="IOS2" s="97"/>
      <c r="IOT2" s="97"/>
      <c r="IOU2" s="97"/>
      <c r="IOV2" s="97"/>
      <c r="IOW2" s="97"/>
      <c r="IOX2" s="97"/>
      <c r="IOY2" s="97"/>
      <c r="IOZ2" s="97"/>
      <c r="IPA2" s="97"/>
      <c r="IPB2" s="97"/>
      <c r="IPC2" s="97"/>
      <c r="IPD2" s="97"/>
      <c r="IPE2" s="97"/>
      <c r="IPF2" s="97"/>
      <c r="IPG2" s="97"/>
      <c r="IPH2" s="97"/>
      <c r="IPI2" s="97"/>
      <c r="IPJ2" s="97"/>
      <c r="IPK2" s="97"/>
      <c r="IPL2" s="97"/>
      <c r="IPM2" s="97"/>
      <c r="IPN2" s="97"/>
      <c r="IPO2" s="97"/>
      <c r="IPP2" s="97"/>
      <c r="IPQ2" s="97"/>
      <c r="IPR2" s="97"/>
      <c r="IPS2" s="97"/>
      <c r="IPT2" s="97"/>
      <c r="IPU2" s="97"/>
      <c r="IPV2" s="97"/>
      <c r="IPW2" s="97"/>
      <c r="IPX2" s="97"/>
      <c r="IPY2" s="97"/>
      <c r="IPZ2" s="97"/>
      <c r="IQA2" s="97"/>
      <c r="IQB2" s="97"/>
      <c r="IQC2" s="97"/>
      <c r="IQD2" s="97"/>
      <c r="IQE2" s="97"/>
      <c r="IQF2" s="97"/>
      <c r="IQG2" s="97"/>
      <c r="IQH2" s="97"/>
      <c r="IQI2" s="97"/>
      <c r="IQJ2" s="97"/>
      <c r="IQK2" s="97"/>
      <c r="IQL2" s="97"/>
      <c r="IQM2" s="97"/>
      <c r="IQN2" s="97"/>
      <c r="IQO2" s="97"/>
      <c r="IQP2" s="97"/>
      <c r="IQQ2" s="97"/>
      <c r="IQR2" s="97"/>
      <c r="IQS2" s="97"/>
      <c r="IQT2" s="97"/>
      <c r="IQU2" s="97"/>
      <c r="IQV2" s="97"/>
      <c r="IQW2" s="97"/>
      <c r="IQX2" s="97"/>
      <c r="IQY2" s="97"/>
      <c r="IQZ2" s="97"/>
      <c r="IRA2" s="97"/>
      <c r="IRB2" s="97"/>
      <c r="IRC2" s="97"/>
      <c r="IRD2" s="97"/>
      <c r="IRE2" s="97"/>
      <c r="IRF2" s="97"/>
      <c r="IRG2" s="97"/>
      <c r="IRH2" s="97"/>
      <c r="IRI2" s="97"/>
      <c r="IRJ2" s="97"/>
      <c r="IRK2" s="97"/>
      <c r="IRL2" s="97"/>
      <c r="IRM2" s="97"/>
      <c r="IRN2" s="97"/>
      <c r="IRO2" s="97"/>
      <c r="IRP2" s="97"/>
      <c r="IRQ2" s="97"/>
      <c r="IRR2" s="97"/>
      <c r="IRS2" s="97"/>
      <c r="IRT2" s="97"/>
      <c r="IRU2" s="97"/>
      <c r="IRV2" s="97"/>
      <c r="IRW2" s="97"/>
      <c r="IRX2" s="97"/>
      <c r="IRY2" s="97"/>
      <c r="IRZ2" s="97"/>
      <c r="ISA2" s="97"/>
      <c r="ISB2" s="97"/>
      <c r="ISC2" s="97"/>
      <c r="ISD2" s="97"/>
      <c r="ISE2" s="97"/>
      <c r="ISF2" s="97"/>
      <c r="ISG2" s="97"/>
      <c r="ISH2" s="97"/>
      <c r="ISI2" s="97"/>
      <c r="ISJ2" s="97"/>
      <c r="ISK2" s="97"/>
      <c r="ISL2" s="97"/>
      <c r="ISM2" s="97"/>
      <c r="ISN2" s="97"/>
      <c r="ISO2" s="97"/>
      <c r="ISP2" s="97"/>
      <c r="ISQ2" s="97"/>
      <c r="ISR2" s="97"/>
      <c r="ISS2" s="97"/>
      <c r="IST2" s="97"/>
      <c r="ISU2" s="97"/>
      <c r="ISV2" s="97"/>
      <c r="ISW2" s="97"/>
      <c r="ISX2" s="97"/>
      <c r="ISY2" s="97"/>
      <c r="ISZ2" s="97"/>
      <c r="ITA2" s="97"/>
      <c r="ITB2" s="97"/>
      <c r="ITC2" s="97"/>
      <c r="ITD2" s="97"/>
      <c r="ITE2" s="97"/>
      <c r="ITF2" s="97"/>
      <c r="ITG2" s="97"/>
      <c r="ITH2" s="97"/>
      <c r="ITI2" s="97"/>
      <c r="ITJ2" s="97"/>
      <c r="ITK2" s="97"/>
      <c r="ITL2" s="97"/>
      <c r="ITM2" s="97"/>
      <c r="ITN2" s="97"/>
      <c r="ITO2" s="97"/>
      <c r="ITP2" s="97"/>
      <c r="ITQ2" s="97"/>
      <c r="ITR2" s="97"/>
      <c r="ITS2" s="97"/>
      <c r="ITT2" s="97"/>
      <c r="ITU2" s="97"/>
      <c r="ITV2" s="97"/>
      <c r="ITW2" s="97"/>
      <c r="ITX2" s="97"/>
      <c r="ITY2" s="97"/>
      <c r="ITZ2" s="97"/>
      <c r="IUA2" s="97"/>
      <c r="IUB2" s="97"/>
      <c r="IUC2" s="97"/>
      <c r="IUD2" s="97"/>
      <c r="IUE2" s="97"/>
      <c r="IUF2" s="97"/>
      <c r="IUG2" s="97"/>
      <c r="IUH2" s="97"/>
      <c r="IUI2" s="97"/>
      <c r="IUJ2" s="97"/>
      <c r="IUK2" s="97"/>
      <c r="IUL2" s="97"/>
      <c r="IUM2" s="97"/>
      <c r="IUN2" s="97"/>
      <c r="IUO2" s="97"/>
      <c r="IUP2" s="97"/>
      <c r="IUQ2" s="97"/>
      <c r="IUR2" s="97"/>
      <c r="IUS2" s="97"/>
      <c r="IUT2" s="97"/>
      <c r="IUU2" s="97"/>
      <c r="IUV2" s="97"/>
      <c r="IUW2" s="97"/>
      <c r="IUX2" s="97"/>
      <c r="IUY2" s="97"/>
      <c r="IUZ2" s="97"/>
      <c r="IVA2" s="97"/>
      <c r="IVB2" s="97"/>
      <c r="IVC2" s="97"/>
      <c r="IVD2" s="97"/>
      <c r="IVE2" s="97"/>
      <c r="IVF2" s="97"/>
      <c r="IVG2" s="97"/>
      <c r="IVH2" s="97"/>
      <c r="IVI2" s="97"/>
      <c r="IVJ2" s="97"/>
      <c r="IVK2" s="97"/>
      <c r="IVL2" s="97"/>
      <c r="IVM2" s="97"/>
      <c r="IVN2" s="97"/>
      <c r="IVO2" s="97"/>
      <c r="IVP2" s="97"/>
      <c r="IVQ2" s="97"/>
      <c r="IVR2" s="97"/>
      <c r="IVS2" s="97"/>
      <c r="IVT2" s="97"/>
      <c r="IVU2" s="97"/>
      <c r="IVV2" s="97"/>
      <c r="IVW2" s="97"/>
      <c r="IVX2" s="97"/>
      <c r="IVY2" s="97"/>
      <c r="IVZ2" s="97"/>
      <c r="IWA2" s="97"/>
      <c r="IWB2" s="97"/>
      <c r="IWC2" s="97"/>
      <c r="IWD2" s="97"/>
      <c r="IWE2" s="97"/>
      <c r="IWF2" s="97"/>
      <c r="IWG2" s="97"/>
      <c r="IWH2" s="97"/>
      <c r="IWI2" s="97"/>
      <c r="IWJ2" s="97"/>
      <c r="IWK2" s="97"/>
      <c r="IWL2" s="97"/>
      <c r="IWM2" s="97"/>
      <c r="IWN2" s="97"/>
      <c r="IWO2" s="97"/>
      <c r="IWP2" s="97"/>
      <c r="IWQ2" s="97"/>
      <c r="IWR2" s="97"/>
      <c r="IWS2" s="97"/>
      <c r="IWT2" s="97"/>
      <c r="IWU2" s="97"/>
      <c r="IWV2" s="97"/>
      <c r="IWW2" s="97"/>
      <c r="IWX2" s="97"/>
      <c r="IWY2" s="97"/>
      <c r="IWZ2" s="97"/>
      <c r="IXA2" s="97"/>
      <c r="IXB2" s="97"/>
      <c r="IXC2" s="97"/>
      <c r="IXD2" s="97"/>
      <c r="IXE2" s="97"/>
      <c r="IXF2" s="97"/>
      <c r="IXG2" s="97"/>
      <c r="IXH2" s="97"/>
      <c r="IXI2" s="97"/>
      <c r="IXJ2" s="97"/>
      <c r="IXK2" s="97"/>
      <c r="IXL2" s="97"/>
      <c r="IXM2" s="97"/>
      <c r="IXN2" s="97"/>
      <c r="IXO2" s="97"/>
      <c r="IXP2" s="97"/>
      <c r="IXQ2" s="97"/>
      <c r="IXR2" s="97"/>
      <c r="IXS2" s="97"/>
      <c r="IXT2" s="97"/>
      <c r="IXU2" s="97"/>
      <c r="IXV2" s="97"/>
      <c r="IXW2" s="97"/>
      <c r="IXX2" s="97"/>
      <c r="IXY2" s="97"/>
      <c r="IXZ2" s="97"/>
      <c r="IYA2" s="97"/>
      <c r="IYB2" s="97"/>
      <c r="IYC2" s="97"/>
      <c r="IYD2" s="97"/>
      <c r="IYE2" s="97"/>
      <c r="IYF2" s="97"/>
      <c r="IYG2" s="97"/>
      <c r="IYH2" s="97"/>
      <c r="IYI2" s="97"/>
      <c r="IYJ2" s="97"/>
      <c r="IYK2" s="97"/>
      <c r="IYL2" s="97"/>
      <c r="IYM2" s="97"/>
      <c r="IYN2" s="97"/>
      <c r="IYO2" s="97"/>
      <c r="IYP2" s="97"/>
      <c r="IYQ2" s="97"/>
      <c r="IYR2" s="97"/>
      <c r="IYS2" s="97"/>
      <c r="IYT2" s="97"/>
      <c r="IYU2" s="97"/>
      <c r="IYV2" s="97"/>
      <c r="IYW2" s="97"/>
      <c r="IYX2" s="97"/>
      <c r="IYY2" s="97"/>
      <c r="IYZ2" s="97"/>
      <c r="IZA2" s="97"/>
      <c r="IZB2" s="97"/>
      <c r="IZC2" s="97"/>
      <c r="IZD2" s="97"/>
      <c r="IZE2" s="97"/>
      <c r="IZF2" s="97"/>
      <c r="IZG2" s="97"/>
      <c r="IZH2" s="97"/>
      <c r="IZI2" s="97"/>
      <c r="IZJ2" s="97"/>
      <c r="IZK2" s="97"/>
      <c r="IZL2" s="97"/>
      <c r="IZM2" s="97"/>
      <c r="IZN2" s="97"/>
      <c r="IZO2" s="97"/>
      <c r="IZP2" s="97"/>
      <c r="IZQ2" s="97"/>
      <c r="IZR2" s="97"/>
      <c r="IZS2" s="97"/>
      <c r="IZT2" s="97"/>
      <c r="IZU2" s="97"/>
      <c r="IZV2" s="97"/>
      <c r="IZW2" s="97"/>
      <c r="IZX2" s="97"/>
      <c r="IZY2" s="97"/>
      <c r="IZZ2" s="97"/>
      <c r="JAA2" s="97"/>
      <c r="JAB2" s="97"/>
      <c r="JAC2" s="97"/>
      <c r="JAD2" s="97"/>
      <c r="JAE2" s="97"/>
      <c r="JAF2" s="97"/>
      <c r="JAG2" s="97"/>
      <c r="JAH2" s="97"/>
      <c r="JAI2" s="97"/>
      <c r="JAJ2" s="97"/>
      <c r="JAK2" s="97"/>
      <c r="JAL2" s="97"/>
      <c r="JAM2" s="97"/>
      <c r="JAN2" s="97"/>
      <c r="JAO2" s="97"/>
      <c r="JAP2" s="97"/>
      <c r="JAQ2" s="97"/>
      <c r="JAR2" s="97"/>
      <c r="JAS2" s="97"/>
      <c r="JAT2" s="97"/>
      <c r="JAU2" s="97"/>
      <c r="JAV2" s="97"/>
      <c r="JAW2" s="97"/>
      <c r="JAX2" s="97"/>
      <c r="JAY2" s="97"/>
      <c r="JAZ2" s="97"/>
      <c r="JBA2" s="97"/>
      <c r="JBB2" s="97"/>
      <c r="JBC2" s="97"/>
      <c r="JBD2" s="97"/>
      <c r="JBE2" s="97"/>
      <c r="JBF2" s="97"/>
      <c r="JBG2" s="97"/>
      <c r="JBH2" s="97"/>
      <c r="JBI2" s="97"/>
      <c r="JBJ2" s="97"/>
      <c r="JBK2" s="97"/>
      <c r="JBL2" s="97"/>
      <c r="JBM2" s="97"/>
      <c r="JBN2" s="97"/>
      <c r="JBO2" s="97"/>
      <c r="JBP2" s="97"/>
      <c r="JBQ2" s="97"/>
      <c r="JBR2" s="97"/>
      <c r="JBS2" s="97"/>
      <c r="JBT2" s="97"/>
      <c r="JBU2" s="97"/>
      <c r="JBV2" s="97"/>
      <c r="JBW2" s="97"/>
      <c r="JBX2" s="97"/>
      <c r="JBY2" s="97"/>
      <c r="JBZ2" s="97"/>
      <c r="JCA2" s="97"/>
      <c r="JCB2" s="97"/>
      <c r="JCC2" s="97"/>
      <c r="JCD2" s="97"/>
      <c r="JCE2" s="97"/>
      <c r="JCF2" s="97"/>
      <c r="JCG2" s="97"/>
      <c r="JCH2" s="97"/>
      <c r="JCI2" s="97"/>
      <c r="JCJ2" s="97"/>
      <c r="JCK2" s="97"/>
      <c r="JCL2" s="97"/>
      <c r="JCM2" s="97"/>
      <c r="JCN2" s="97"/>
      <c r="JCO2" s="97"/>
      <c r="JCP2" s="97"/>
      <c r="JCQ2" s="97"/>
      <c r="JCR2" s="97"/>
      <c r="JCS2" s="97"/>
      <c r="JCT2" s="97"/>
      <c r="JCU2" s="97"/>
      <c r="JCV2" s="97"/>
      <c r="JCW2" s="97"/>
      <c r="JCX2" s="97"/>
      <c r="JCY2" s="97"/>
      <c r="JCZ2" s="97"/>
      <c r="JDA2" s="97"/>
      <c r="JDB2" s="97"/>
      <c r="JDC2" s="97"/>
      <c r="JDD2" s="97"/>
      <c r="JDE2" s="97"/>
      <c r="JDF2" s="97"/>
      <c r="JDG2" s="97"/>
      <c r="JDH2" s="97"/>
      <c r="JDI2" s="97"/>
      <c r="JDJ2" s="97"/>
      <c r="JDK2" s="97"/>
      <c r="JDL2" s="97"/>
      <c r="JDM2" s="97"/>
      <c r="JDN2" s="97"/>
      <c r="JDO2" s="97"/>
      <c r="JDP2" s="97"/>
      <c r="JDQ2" s="97"/>
      <c r="JDR2" s="97"/>
      <c r="JDS2" s="97"/>
      <c r="JDT2" s="97"/>
      <c r="JDU2" s="97"/>
      <c r="JDV2" s="97"/>
      <c r="JDW2" s="97"/>
      <c r="JDX2" s="97"/>
      <c r="JDY2" s="97"/>
      <c r="JDZ2" s="97"/>
      <c r="JEA2" s="97"/>
      <c r="JEB2" s="97"/>
      <c r="JEC2" s="97"/>
      <c r="JED2" s="97"/>
      <c r="JEE2" s="97"/>
      <c r="JEF2" s="97"/>
      <c r="JEG2" s="97"/>
      <c r="JEH2" s="97"/>
      <c r="JEI2" s="97"/>
      <c r="JEJ2" s="97"/>
      <c r="JEK2" s="97"/>
      <c r="JEL2" s="97"/>
      <c r="JEM2" s="97"/>
      <c r="JEN2" s="97"/>
      <c r="JEO2" s="97"/>
      <c r="JEP2" s="97"/>
      <c r="JEQ2" s="97"/>
      <c r="JER2" s="97"/>
      <c r="JES2" s="97"/>
      <c r="JET2" s="97"/>
      <c r="JEU2" s="97"/>
      <c r="JEV2" s="97"/>
      <c r="JEW2" s="97"/>
      <c r="JEX2" s="97"/>
      <c r="JEY2" s="97"/>
      <c r="JEZ2" s="97"/>
      <c r="JFA2" s="97"/>
      <c r="JFB2" s="97"/>
      <c r="JFC2" s="97"/>
      <c r="JFD2" s="97"/>
      <c r="JFE2" s="97"/>
      <c r="JFF2" s="97"/>
      <c r="JFG2" s="97"/>
      <c r="JFH2" s="97"/>
      <c r="JFI2" s="97"/>
      <c r="JFJ2" s="97"/>
      <c r="JFK2" s="97"/>
      <c r="JFL2" s="97"/>
      <c r="JFM2" s="97"/>
      <c r="JFN2" s="97"/>
      <c r="JFO2" s="97"/>
      <c r="JFP2" s="97"/>
      <c r="JFQ2" s="97"/>
      <c r="JFR2" s="97"/>
      <c r="JFS2" s="97"/>
      <c r="JFT2" s="97"/>
      <c r="JFU2" s="97"/>
      <c r="JFV2" s="97"/>
      <c r="JFW2" s="97"/>
      <c r="JFX2" s="97"/>
      <c r="JFY2" s="97"/>
      <c r="JFZ2" s="97"/>
      <c r="JGA2" s="97"/>
      <c r="JGB2" s="97"/>
      <c r="JGC2" s="97"/>
      <c r="JGD2" s="97"/>
      <c r="JGE2" s="97"/>
      <c r="JGF2" s="97"/>
      <c r="JGG2" s="97"/>
      <c r="JGH2" s="97"/>
      <c r="JGI2" s="97"/>
      <c r="JGJ2" s="97"/>
      <c r="JGK2" s="97"/>
      <c r="JGL2" s="97"/>
      <c r="JGM2" s="97"/>
      <c r="JGN2" s="97"/>
      <c r="JGO2" s="97"/>
      <c r="JGP2" s="97"/>
      <c r="JGQ2" s="97"/>
      <c r="JGR2" s="97"/>
      <c r="JGS2" s="97"/>
      <c r="JGT2" s="97"/>
      <c r="JGU2" s="97"/>
      <c r="JGV2" s="97"/>
      <c r="JGW2" s="97"/>
      <c r="JGX2" s="97"/>
      <c r="JGY2" s="97"/>
      <c r="JGZ2" s="97"/>
      <c r="JHA2" s="97"/>
      <c r="JHB2" s="97"/>
      <c r="JHC2" s="97"/>
      <c r="JHD2" s="97"/>
      <c r="JHE2" s="97"/>
      <c r="JHF2" s="97"/>
      <c r="JHG2" s="97"/>
      <c r="JHH2" s="97"/>
      <c r="JHI2" s="97"/>
      <c r="JHJ2" s="97"/>
      <c r="JHK2" s="97"/>
      <c r="JHL2" s="97"/>
      <c r="JHM2" s="97"/>
      <c r="JHN2" s="97"/>
      <c r="JHO2" s="97"/>
      <c r="JHP2" s="97"/>
      <c r="JHQ2" s="97"/>
      <c r="JHR2" s="97"/>
      <c r="JHS2" s="97"/>
      <c r="JHT2" s="97"/>
      <c r="JHU2" s="97"/>
      <c r="JHV2" s="97"/>
      <c r="JHW2" s="97"/>
      <c r="JHX2" s="97"/>
      <c r="JHY2" s="97"/>
      <c r="JHZ2" s="97"/>
      <c r="JIA2" s="97"/>
      <c r="JIB2" s="97"/>
      <c r="JIC2" s="97"/>
      <c r="JID2" s="97"/>
      <c r="JIE2" s="97"/>
      <c r="JIF2" s="97"/>
      <c r="JIG2" s="97"/>
      <c r="JIH2" s="97"/>
      <c r="JII2" s="97"/>
      <c r="JIJ2" s="97"/>
      <c r="JIK2" s="97"/>
      <c r="JIL2" s="97"/>
      <c r="JIM2" s="97"/>
      <c r="JIN2" s="97"/>
      <c r="JIO2" s="97"/>
      <c r="JIP2" s="97"/>
      <c r="JIQ2" s="97"/>
      <c r="JIR2" s="97"/>
      <c r="JIS2" s="97"/>
      <c r="JIT2" s="97"/>
      <c r="JIU2" s="97"/>
      <c r="JIV2" s="97"/>
      <c r="JIW2" s="97"/>
      <c r="JIX2" s="97"/>
      <c r="JIY2" s="97"/>
      <c r="JIZ2" s="97"/>
      <c r="JJA2" s="97"/>
      <c r="JJB2" s="97"/>
      <c r="JJC2" s="97"/>
      <c r="JJD2" s="97"/>
      <c r="JJE2" s="97"/>
      <c r="JJF2" s="97"/>
      <c r="JJG2" s="97"/>
      <c r="JJH2" s="97"/>
      <c r="JJI2" s="97"/>
      <c r="JJJ2" s="97"/>
      <c r="JJK2" s="97"/>
      <c r="JJL2" s="97"/>
      <c r="JJM2" s="97"/>
      <c r="JJN2" s="97"/>
      <c r="JJO2" s="97"/>
      <c r="JJP2" s="97"/>
      <c r="JJQ2" s="97"/>
      <c r="JJR2" s="97"/>
      <c r="JJS2" s="97"/>
      <c r="JJT2" s="97"/>
      <c r="JJU2" s="97"/>
      <c r="JJV2" s="97"/>
      <c r="JJW2" s="97"/>
      <c r="JJX2" s="97"/>
      <c r="JJY2" s="97"/>
      <c r="JJZ2" s="97"/>
      <c r="JKA2" s="97"/>
      <c r="JKB2" s="97"/>
      <c r="JKC2" s="97"/>
      <c r="JKD2" s="97"/>
      <c r="JKE2" s="97"/>
      <c r="JKF2" s="97"/>
      <c r="JKG2" s="97"/>
      <c r="JKH2" s="97"/>
      <c r="JKI2" s="97"/>
      <c r="JKJ2" s="97"/>
      <c r="JKK2" s="97"/>
      <c r="JKL2" s="97"/>
      <c r="JKM2" s="97"/>
      <c r="JKN2" s="97"/>
      <c r="JKO2" s="97"/>
      <c r="JKP2" s="97"/>
      <c r="JKQ2" s="97"/>
      <c r="JKR2" s="97"/>
      <c r="JKS2" s="97"/>
      <c r="JKT2" s="97"/>
      <c r="JKU2" s="97"/>
      <c r="JKV2" s="97"/>
      <c r="JKW2" s="97"/>
      <c r="JKX2" s="97"/>
      <c r="JKY2" s="97"/>
      <c r="JKZ2" s="97"/>
      <c r="JLA2" s="97"/>
      <c r="JLB2" s="97"/>
      <c r="JLC2" s="97"/>
      <c r="JLD2" s="97"/>
      <c r="JLE2" s="97"/>
      <c r="JLF2" s="97"/>
      <c r="JLG2" s="97"/>
      <c r="JLH2" s="97"/>
      <c r="JLI2" s="97"/>
      <c r="JLJ2" s="97"/>
      <c r="JLK2" s="97"/>
      <c r="JLL2" s="97"/>
      <c r="JLM2" s="97"/>
      <c r="JLN2" s="97"/>
      <c r="JLO2" s="97"/>
      <c r="JLP2" s="97"/>
      <c r="JLQ2" s="97"/>
      <c r="JLR2" s="97"/>
      <c r="JLS2" s="97"/>
      <c r="JLT2" s="97"/>
      <c r="JLU2" s="97"/>
      <c r="JLV2" s="97"/>
      <c r="JLW2" s="97"/>
      <c r="JLX2" s="97"/>
      <c r="JLY2" s="97"/>
      <c r="JLZ2" s="97"/>
      <c r="JMA2" s="97"/>
      <c r="JMB2" s="97"/>
      <c r="JMC2" s="97"/>
      <c r="JMD2" s="97"/>
      <c r="JME2" s="97"/>
      <c r="JMF2" s="97"/>
      <c r="JMG2" s="97"/>
      <c r="JMH2" s="97"/>
      <c r="JMI2" s="97"/>
      <c r="JMJ2" s="97"/>
      <c r="JMK2" s="97"/>
      <c r="JML2" s="97"/>
      <c r="JMM2" s="97"/>
      <c r="JMN2" s="97"/>
      <c r="JMO2" s="97"/>
      <c r="JMP2" s="97"/>
      <c r="JMQ2" s="97"/>
      <c r="JMR2" s="97"/>
      <c r="JMS2" s="97"/>
      <c r="JMT2" s="97"/>
      <c r="JMU2" s="97"/>
      <c r="JMV2" s="97"/>
      <c r="JMW2" s="97"/>
      <c r="JMX2" s="97"/>
      <c r="JMY2" s="97"/>
      <c r="JMZ2" s="97"/>
      <c r="JNA2" s="97"/>
      <c r="JNB2" s="97"/>
      <c r="JNC2" s="97"/>
      <c r="JND2" s="97"/>
      <c r="JNE2" s="97"/>
      <c r="JNF2" s="97"/>
      <c r="JNG2" s="97"/>
      <c r="JNH2" s="97"/>
      <c r="JNI2" s="97"/>
      <c r="JNJ2" s="97"/>
      <c r="JNK2" s="97"/>
      <c r="JNL2" s="97"/>
      <c r="JNM2" s="97"/>
      <c r="JNN2" s="97"/>
      <c r="JNO2" s="97"/>
      <c r="JNP2" s="97"/>
      <c r="JNQ2" s="97"/>
      <c r="JNR2" s="97"/>
      <c r="JNS2" s="97"/>
      <c r="JNT2" s="97"/>
      <c r="JNU2" s="97"/>
      <c r="JNV2" s="97"/>
      <c r="JNW2" s="97"/>
      <c r="JNX2" s="97"/>
      <c r="JNY2" s="97"/>
      <c r="JNZ2" s="97"/>
      <c r="JOA2" s="97"/>
      <c r="JOB2" s="97"/>
      <c r="JOC2" s="97"/>
      <c r="JOD2" s="97"/>
      <c r="JOE2" s="97"/>
      <c r="JOF2" s="97"/>
      <c r="JOG2" s="97"/>
      <c r="JOH2" s="97"/>
      <c r="JOI2" s="97"/>
      <c r="JOJ2" s="97"/>
      <c r="JOK2" s="97"/>
      <c r="JOL2" s="97"/>
      <c r="JOM2" s="97"/>
      <c r="JON2" s="97"/>
      <c r="JOO2" s="97"/>
      <c r="JOP2" s="97"/>
      <c r="JOQ2" s="97"/>
      <c r="JOR2" s="97"/>
      <c r="JOS2" s="97"/>
      <c r="JOT2" s="97"/>
      <c r="JOU2" s="97"/>
      <c r="JOV2" s="97"/>
      <c r="JOW2" s="97"/>
      <c r="JOX2" s="97"/>
      <c r="JOY2" s="97"/>
      <c r="JOZ2" s="97"/>
      <c r="JPA2" s="97"/>
      <c r="JPB2" s="97"/>
      <c r="JPC2" s="97"/>
      <c r="JPD2" s="97"/>
      <c r="JPE2" s="97"/>
      <c r="JPF2" s="97"/>
      <c r="JPG2" s="97"/>
      <c r="JPH2" s="97"/>
      <c r="JPI2" s="97"/>
      <c r="JPJ2" s="97"/>
      <c r="JPK2" s="97"/>
      <c r="JPL2" s="97"/>
      <c r="JPM2" s="97"/>
      <c r="JPN2" s="97"/>
      <c r="JPO2" s="97"/>
      <c r="JPP2" s="97"/>
      <c r="JPQ2" s="97"/>
      <c r="JPR2" s="97"/>
      <c r="JPS2" s="97"/>
      <c r="JPT2" s="97"/>
      <c r="JPU2" s="97"/>
      <c r="JPV2" s="97"/>
      <c r="JPW2" s="97"/>
      <c r="JPX2" s="97"/>
      <c r="JPY2" s="97"/>
      <c r="JPZ2" s="97"/>
      <c r="JQA2" s="97"/>
      <c r="JQB2" s="97"/>
      <c r="JQC2" s="97"/>
      <c r="JQD2" s="97"/>
      <c r="JQE2" s="97"/>
      <c r="JQF2" s="97"/>
      <c r="JQG2" s="97"/>
      <c r="JQH2" s="97"/>
      <c r="JQI2" s="97"/>
      <c r="JQJ2" s="97"/>
      <c r="JQK2" s="97"/>
      <c r="JQL2" s="97"/>
      <c r="JQM2" s="97"/>
      <c r="JQN2" s="97"/>
      <c r="JQO2" s="97"/>
      <c r="JQP2" s="97"/>
      <c r="JQQ2" s="97"/>
      <c r="JQR2" s="97"/>
      <c r="JQS2" s="97"/>
      <c r="JQT2" s="97"/>
      <c r="JQU2" s="97"/>
      <c r="JQV2" s="97"/>
      <c r="JQW2" s="97"/>
      <c r="JQX2" s="97"/>
      <c r="JQY2" s="97"/>
      <c r="JQZ2" s="97"/>
      <c r="JRA2" s="97"/>
      <c r="JRB2" s="97"/>
      <c r="JRC2" s="97"/>
      <c r="JRD2" s="97"/>
      <c r="JRE2" s="97"/>
      <c r="JRF2" s="97"/>
      <c r="JRG2" s="97"/>
      <c r="JRH2" s="97"/>
      <c r="JRI2" s="97"/>
      <c r="JRJ2" s="97"/>
      <c r="JRK2" s="97"/>
      <c r="JRL2" s="97"/>
      <c r="JRM2" s="97"/>
      <c r="JRN2" s="97"/>
      <c r="JRO2" s="97"/>
      <c r="JRP2" s="97"/>
      <c r="JRQ2" s="97"/>
      <c r="JRR2" s="97"/>
      <c r="JRS2" s="97"/>
      <c r="JRT2" s="97"/>
      <c r="JRU2" s="97"/>
      <c r="JRV2" s="97"/>
      <c r="JRW2" s="97"/>
      <c r="JRX2" s="97"/>
      <c r="JRY2" s="97"/>
      <c r="JRZ2" s="97"/>
      <c r="JSA2" s="97"/>
      <c r="JSB2" s="97"/>
      <c r="JSC2" s="97"/>
      <c r="JSD2" s="97"/>
      <c r="JSE2" s="97"/>
      <c r="JSF2" s="97"/>
      <c r="JSG2" s="97"/>
      <c r="JSH2" s="97"/>
      <c r="JSI2" s="97"/>
      <c r="JSJ2" s="97"/>
      <c r="JSK2" s="97"/>
      <c r="JSL2" s="97"/>
      <c r="JSM2" s="97"/>
      <c r="JSN2" s="97"/>
      <c r="JSO2" s="97"/>
      <c r="JSP2" s="97"/>
      <c r="JSQ2" s="97"/>
      <c r="JSR2" s="97"/>
      <c r="JSS2" s="97"/>
      <c r="JST2" s="97"/>
      <c r="JSU2" s="97"/>
      <c r="JSV2" s="97"/>
      <c r="JSW2" s="97"/>
      <c r="JSX2" s="97"/>
      <c r="JSY2" s="97"/>
      <c r="JSZ2" s="97"/>
      <c r="JTA2" s="97"/>
      <c r="JTB2" s="97"/>
      <c r="JTC2" s="97"/>
      <c r="JTD2" s="97"/>
      <c r="JTE2" s="97"/>
      <c r="JTF2" s="97"/>
      <c r="JTG2" s="97"/>
      <c r="JTH2" s="97"/>
      <c r="JTI2" s="97"/>
      <c r="JTJ2" s="97"/>
      <c r="JTK2" s="97"/>
      <c r="JTL2" s="97"/>
      <c r="JTM2" s="97"/>
      <c r="JTN2" s="97"/>
      <c r="JTO2" s="97"/>
      <c r="JTP2" s="97"/>
      <c r="JTQ2" s="97"/>
      <c r="JTR2" s="97"/>
      <c r="JTS2" s="97"/>
      <c r="JTT2" s="97"/>
      <c r="JTU2" s="97"/>
      <c r="JTV2" s="97"/>
      <c r="JTW2" s="97"/>
      <c r="JTX2" s="97"/>
      <c r="JTY2" s="97"/>
      <c r="JTZ2" s="97"/>
      <c r="JUA2" s="97"/>
      <c r="JUB2" s="97"/>
      <c r="JUC2" s="97"/>
      <c r="JUD2" s="97"/>
      <c r="JUE2" s="97"/>
      <c r="JUF2" s="97"/>
      <c r="JUG2" s="97"/>
      <c r="JUH2" s="97"/>
      <c r="JUI2" s="97"/>
      <c r="JUJ2" s="97"/>
      <c r="JUK2" s="97"/>
      <c r="JUL2" s="97"/>
      <c r="JUM2" s="97"/>
      <c r="JUN2" s="97"/>
      <c r="JUO2" s="97"/>
      <c r="JUP2" s="97"/>
      <c r="JUQ2" s="97"/>
      <c r="JUR2" s="97"/>
      <c r="JUS2" s="97"/>
      <c r="JUT2" s="97"/>
      <c r="JUU2" s="97"/>
      <c r="JUV2" s="97"/>
      <c r="JUW2" s="97"/>
      <c r="JUX2" s="97"/>
      <c r="JUY2" s="97"/>
      <c r="JUZ2" s="97"/>
      <c r="JVA2" s="97"/>
      <c r="JVB2" s="97"/>
      <c r="JVC2" s="97"/>
      <c r="JVD2" s="97"/>
      <c r="JVE2" s="97"/>
      <c r="JVF2" s="97"/>
      <c r="JVG2" s="97"/>
      <c r="JVH2" s="97"/>
      <c r="JVI2" s="97"/>
      <c r="JVJ2" s="97"/>
      <c r="JVK2" s="97"/>
      <c r="JVL2" s="97"/>
      <c r="JVM2" s="97"/>
      <c r="JVN2" s="97"/>
      <c r="JVO2" s="97"/>
      <c r="JVP2" s="97"/>
      <c r="JVQ2" s="97"/>
      <c r="JVR2" s="97"/>
      <c r="JVS2" s="97"/>
      <c r="JVT2" s="97"/>
      <c r="JVU2" s="97"/>
      <c r="JVV2" s="97"/>
      <c r="JVW2" s="97"/>
      <c r="JVX2" s="97"/>
      <c r="JVY2" s="97"/>
      <c r="JVZ2" s="97"/>
      <c r="JWA2" s="97"/>
      <c r="JWB2" s="97"/>
      <c r="JWC2" s="97"/>
      <c r="JWD2" s="97"/>
      <c r="JWE2" s="97"/>
      <c r="JWF2" s="97"/>
      <c r="JWG2" s="97"/>
      <c r="JWH2" s="97"/>
      <c r="JWI2" s="97"/>
      <c r="JWJ2" s="97"/>
      <c r="JWK2" s="97"/>
      <c r="JWL2" s="97"/>
      <c r="JWM2" s="97"/>
      <c r="JWN2" s="97"/>
      <c r="JWO2" s="97"/>
      <c r="JWP2" s="97"/>
      <c r="JWQ2" s="97"/>
      <c r="JWR2" s="97"/>
      <c r="JWS2" s="97"/>
      <c r="JWT2" s="97"/>
      <c r="JWU2" s="97"/>
      <c r="JWV2" s="97"/>
      <c r="JWW2" s="97"/>
      <c r="JWX2" s="97"/>
      <c r="JWY2" s="97"/>
      <c r="JWZ2" s="97"/>
      <c r="JXA2" s="97"/>
      <c r="JXB2" s="97"/>
      <c r="JXC2" s="97"/>
      <c r="JXD2" s="97"/>
      <c r="JXE2" s="97"/>
      <c r="JXF2" s="97"/>
      <c r="JXG2" s="97"/>
      <c r="JXH2" s="97"/>
      <c r="JXI2" s="97"/>
      <c r="JXJ2" s="97"/>
      <c r="JXK2" s="97"/>
      <c r="JXL2" s="97"/>
      <c r="JXM2" s="97"/>
      <c r="JXN2" s="97"/>
      <c r="JXO2" s="97"/>
      <c r="JXP2" s="97"/>
      <c r="JXQ2" s="97"/>
      <c r="JXR2" s="97"/>
      <c r="JXS2" s="97"/>
      <c r="JXT2" s="97"/>
      <c r="JXU2" s="97"/>
      <c r="JXV2" s="97"/>
      <c r="JXW2" s="97"/>
      <c r="JXX2" s="97"/>
      <c r="JXY2" s="97"/>
      <c r="JXZ2" s="97"/>
      <c r="JYA2" s="97"/>
      <c r="JYB2" s="97"/>
      <c r="JYC2" s="97"/>
      <c r="JYD2" s="97"/>
      <c r="JYE2" s="97"/>
      <c r="JYF2" s="97"/>
      <c r="JYG2" s="97"/>
      <c r="JYH2" s="97"/>
      <c r="JYI2" s="97"/>
      <c r="JYJ2" s="97"/>
      <c r="JYK2" s="97"/>
      <c r="JYL2" s="97"/>
      <c r="JYM2" s="97"/>
      <c r="JYN2" s="97"/>
      <c r="JYO2" s="97"/>
      <c r="JYP2" s="97"/>
      <c r="JYQ2" s="97"/>
      <c r="JYR2" s="97"/>
      <c r="JYS2" s="97"/>
      <c r="JYT2" s="97"/>
      <c r="JYU2" s="97"/>
      <c r="JYV2" s="97"/>
      <c r="JYW2" s="97"/>
      <c r="JYX2" s="97"/>
      <c r="JYY2" s="97"/>
      <c r="JYZ2" s="97"/>
      <c r="JZA2" s="97"/>
      <c r="JZB2" s="97"/>
      <c r="JZC2" s="97"/>
      <c r="JZD2" s="97"/>
      <c r="JZE2" s="97"/>
      <c r="JZF2" s="97"/>
      <c r="JZG2" s="97"/>
      <c r="JZH2" s="97"/>
      <c r="JZI2" s="97"/>
      <c r="JZJ2" s="97"/>
      <c r="JZK2" s="97"/>
      <c r="JZL2" s="97"/>
      <c r="JZM2" s="97"/>
      <c r="JZN2" s="97"/>
      <c r="JZO2" s="97"/>
      <c r="JZP2" s="97"/>
      <c r="JZQ2" s="97"/>
      <c r="JZR2" s="97"/>
      <c r="JZS2" s="97"/>
      <c r="JZT2" s="97"/>
      <c r="JZU2" s="97"/>
      <c r="JZV2" s="97"/>
      <c r="JZW2" s="97"/>
      <c r="JZX2" s="97"/>
      <c r="JZY2" s="97"/>
      <c r="JZZ2" s="97"/>
      <c r="KAA2" s="97"/>
      <c r="KAB2" s="97"/>
      <c r="KAC2" s="97"/>
      <c r="KAD2" s="97"/>
      <c r="KAE2" s="97"/>
      <c r="KAF2" s="97"/>
      <c r="KAG2" s="97"/>
      <c r="KAH2" s="97"/>
      <c r="KAI2" s="97"/>
      <c r="KAJ2" s="97"/>
      <c r="KAK2" s="97"/>
      <c r="KAL2" s="97"/>
      <c r="KAM2" s="97"/>
      <c r="KAN2" s="97"/>
      <c r="KAO2" s="97"/>
      <c r="KAP2" s="97"/>
      <c r="KAQ2" s="97"/>
      <c r="KAR2" s="97"/>
      <c r="KAS2" s="97"/>
      <c r="KAT2" s="97"/>
      <c r="KAU2" s="97"/>
      <c r="KAV2" s="97"/>
      <c r="KAW2" s="97"/>
      <c r="KAX2" s="97"/>
      <c r="KAY2" s="97"/>
      <c r="KAZ2" s="97"/>
      <c r="KBA2" s="97"/>
      <c r="KBB2" s="97"/>
      <c r="KBC2" s="97"/>
      <c r="KBD2" s="97"/>
      <c r="KBE2" s="97"/>
      <c r="KBF2" s="97"/>
      <c r="KBG2" s="97"/>
      <c r="KBH2" s="97"/>
      <c r="KBI2" s="97"/>
      <c r="KBJ2" s="97"/>
      <c r="KBK2" s="97"/>
      <c r="KBL2" s="97"/>
      <c r="KBM2" s="97"/>
      <c r="KBN2" s="97"/>
      <c r="KBO2" s="97"/>
      <c r="KBP2" s="97"/>
      <c r="KBQ2" s="97"/>
      <c r="KBR2" s="97"/>
      <c r="KBS2" s="97"/>
      <c r="KBT2" s="97"/>
      <c r="KBU2" s="97"/>
      <c r="KBV2" s="97"/>
      <c r="KBW2" s="97"/>
      <c r="KBX2" s="97"/>
      <c r="KBY2" s="97"/>
      <c r="KBZ2" s="97"/>
      <c r="KCA2" s="97"/>
      <c r="KCB2" s="97"/>
      <c r="KCC2" s="97"/>
      <c r="KCD2" s="97"/>
      <c r="KCE2" s="97"/>
      <c r="KCF2" s="97"/>
      <c r="KCG2" s="97"/>
      <c r="KCH2" s="97"/>
      <c r="KCI2" s="97"/>
      <c r="KCJ2" s="97"/>
      <c r="KCK2" s="97"/>
      <c r="KCL2" s="97"/>
      <c r="KCM2" s="97"/>
      <c r="KCN2" s="97"/>
      <c r="KCO2" s="97"/>
      <c r="KCP2" s="97"/>
      <c r="KCQ2" s="97"/>
      <c r="KCR2" s="97"/>
      <c r="KCS2" s="97"/>
      <c r="KCT2" s="97"/>
      <c r="KCU2" s="97"/>
      <c r="KCV2" s="97"/>
      <c r="KCW2" s="97"/>
      <c r="KCX2" s="97"/>
      <c r="KCY2" s="97"/>
      <c r="KCZ2" s="97"/>
      <c r="KDA2" s="97"/>
      <c r="KDB2" s="97"/>
      <c r="KDC2" s="97"/>
      <c r="KDD2" s="97"/>
      <c r="KDE2" s="97"/>
      <c r="KDF2" s="97"/>
      <c r="KDG2" s="97"/>
      <c r="KDH2" s="97"/>
      <c r="KDI2" s="97"/>
      <c r="KDJ2" s="97"/>
      <c r="KDK2" s="97"/>
      <c r="KDL2" s="97"/>
      <c r="KDM2" s="97"/>
      <c r="KDN2" s="97"/>
      <c r="KDO2" s="97"/>
      <c r="KDP2" s="97"/>
      <c r="KDQ2" s="97"/>
      <c r="KDR2" s="97"/>
      <c r="KDS2" s="97"/>
      <c r="KDT2" s="97"/>
      <c r="KDU2" s="97"/>
      <c r="KDV2" s="97"/>
      <c r="KDW2" s="97"/>
      <c r="KDX2" s="97"/>
      <c r="KDY2" s="97"/>
      <c r="KDZ2" s="97"/>
      <c r="KEA2" s="97"/>
      <c r="KEB2" s="97"/>
      <c r="KEC2" s="97"/>
      <c r="KED2" s="97"/>
      <c r="KEE2" s="97"/>
      <c r="KEF2" s="97"/>
      <c r="KEG2" s="97"/>
      <c r="KEH2" s="97"/>
      <c r="KEI2" s="97"/>
      <c r="KEJ2" s="97"/>
      <c r="KEK2" s="97"/>
      <c r="KEL2" s="97"/>
      <c r="KEM2" s="97"/>
      <c r="KEN2" s="97"/>
      <c r="KEO2" s="97"/>
      <c r="KEP2" s="97"/>
      <c r="KEQ2" s="97"/>
      <c r="KER2" s="97"/>
      <c r="KES2" s="97"/>
      <c r="KET2" s="97"/>
      <c r="KEU2" s="97"/>
      <c r="KEV2" s="97"/>
      <c r="KEW2" s="97"/>
      <c r="KEX2" s="97"/>
      <c r="KEY2" s="97"/>
      <c r="KEZ2" s="97"/>
      <c r="KFA2" s="97"/>
      <c r="KFB2" s="97"/>
      <c r="KFC2" s="97"/>
      <c r="KFD2" s="97"/>
      <c r="KFE2" s="97"/>
      <c r="KFF2" s="97"/>
      <c r="KFG2" s="97"/>
      <c r="KFH2" s="97"/>
      <c r="KFI2" s="97"/>
      <c r="KFJ2" s="97"/>
      <c r="KFK2" s="97"/>
      <c r="KFL2" s="97"/>
      <c r="KFM2" s="97"/>
      <c r="KFN2" s="97"/>
      <c r="KFO2" s="97"/>
      <c r="KFP2" s="97"/>
      <c r="KFQ2" s="97"/>
      <c r="KFR2" s="97"/>
      <c r="KFS2" s="97"/>
      <c r="KFT2" s="97"/>
      <c r="KFU2" s="97"/>
      <c r="KFV2" s="97"/>
      <c r="KFW2" s="97"/>
      <c r="KFX2" s="97"/>
      <c r="KFY2" s="97"/>
      <c r="KFZ2" s="97"/>
      <c r="KGA2" s="97"/>
      <c r="KGB2" s="97"/>
      <c r="KGC2" s="97"/>
      <c r="KGD2" s="97"/>
      <c r="KGE2" s="97"/>
      <c r="KGF2" s="97"/>
      <c r="KGG2" s="97"/>
      <c r="KGH2" s="97"/>
      <c r="KGI2" s="97"/>
      <c r="KGJ2" s="97"/>
      <c r="KGK2" s="97"/>
      <c r="KGL2" s="97"/>
      <c r="KGM2" s="97"/>
      <c r="KGN2" s="97"/>
      <c r="KGO2" s="97"/>
      <c r="KGP2" s="97"/>
      <c r="KGQ2" s="97"/>
      <c r="KGR2" s="97"/>
      <c r="KGS2" s="97"/>
      <c r="KGT2" s="97"/>
      <c r="KGU2" s="97"/>
      <c r="KGV2" s="97"/>
      <c r="KGW2" s="97"/>
      <c r="KGX2" s="97"/>
      <c r="KGY2" s="97"/>
      <c r="KGZ2" s="97"/>
      <c r="KHA2" s="97"/>
      <c r="KHB2" s="97"/>
      <c r="KHC2" s="97"/>
      <c r="KHD2" s="97"/>
      <c r="KHE2" s="97"/>
      <c r="KHF2" s="97"/>
      <c r="KHG2" s="97"/>
      <c r="KHH2" s="97"/>
      <c r="KHI2" s="97"/>
      <c r="KHJ2" s="97"/>
      <c r="KHK2" s="97"/>
      <c r="KHL2" s="97"/>
      <c r="KHM2" s="97"/>
      <c r="KHN2" s="97"/>
      <c r="KHO2" s="97"/>
      <c r="KHP2" s="97"/>
      <c r="KHQ2" s="97"/>
      <c r="KHR2" s="97"/>
      <c r="KHS2" s="97"/>
      <c r="KHT2" s="97"/>
      <c r="KHU2" s="97"/>
      <c r="KHV2" s="97"/>
      <c r="KHW2" s="97"/>
      <c r="KHX2" s="97"/>
      <c r="KHY2" s="97"/>
      <c r="KHZ2" s="97"/>
      <c r="KIA2" s="97"/>
      <c r="KIB2" s="97"/>
      <c r="KIC2" s="97"/>
      <c r="KID2" s="97"/>
      <c r="KIE2" s="97"/>
      <c r="KIF2" s="97"/>
      <c r="KIG2" s="97"/>
      <c r="KIH2" s="97"/>
      <c r="KII2" s="97"/>
      <c r="KIJ2" s="97"/>
      <c r="KIK2" s="97"/>
      <c r="KIL2" s="97"/>
      <c r="KIM2" s="97"/>
      <c r="KIN2" s="97"/>
      <c r="KIO2" s="97"/>
      <c r="KIP2" s="97"/>
      <c r="KIQ2" s="97"/>
      <c r="KIR2" s="97"/>
      <c r="KIS2" s="97"/>
      <c r="KIT2" s="97"/>
      <c r="KIU2" s="97"/>
      <c r="KIV2" s="97"/>
      <c r="KIW2" s="97"/>
      <c r="KIX2" s="97"/>
      <c r="KIY2" s="97"/>
      <c r="KIZ2" s="97"/>
      <c r="KJA2" s="97"/>
      <c r="KJB2" s="97"/>
      <c r="KJC2" s="97"/>
      <c r="KJD2" s="97"/>
      <c r="KJE2" s="97"/>
      <c r="KJF2" s="97"/>
      <c r="KJG2" s="97"/>
      <c r="KJH2" s="97"/>
      <c r="KJI2" s="97"/>
      <c r="KJJ2" s="97"/>
      <c r="KJK2" s="97"/>
      <c r="KJL2" s="97"/>
      <c r="KJM2" s="97"/>
      <c r="KJN2" s="97"/>
      <c r="KJO2" s="97"/>
      <c r="KJP2" s="97"/>
      <c r="KJQ2" s="97"/>
      <c r="KJR2" s="97"/>
      <c r="KJS2" s="97"/>
      <c r="KJT2" s="97"/>
      <c r="KJU2" s="97"/>
      <c r="KJV2" s="97"/>
      <c r="KJW2" s="97"/>
      <c r="KJX2" s="97"/>
      <c r="KJY2" s="97"/>
      <c r="KJZ2" s="97"/>
      <c r="KKA2" s="97"/>
      <c r="KKB2" s="97"/>
      <c r="KKC2" s="97"/>
      <c r="KKD2" s="97"/>
      <c r="KKE2" s="97"/>
      <c r="KKF2" s="97"/>
      <c r="KKG2" s="97"/>
      <c r="KKH2" s="97"/>
      <c r="KKI2" s="97"/>
      <c r="KKJ2" s="97"/>
      <c r="KKK2" s="97"/>
      <c r="KKL2" s="97"/>
      <c r="KKM2" s="97"/>
      <c r="KKN2" s="97"/>
      <c r="KKO2" s="97"/>
      <c r="KKP2" s="97"/>
      <c r="KKQ2" s="97"/>
      <c r="KKR2" s="97"/>
      <c r="KKS2" s="97"/>
      <c r="KKT2" s="97"/>
      <c r="KKU2" s="97"/>
      <c r="KKV2" s="97"/>
      <c r="KKW2" s="97"/>
      <c r="KKX2" s="97"/>
      <c r="KKY2" s="97"/>
      <c r="KKZ2" s="97"/>
      <c r="KLA2" s="97"/>
      <c r="KLB2" s="97"/>
      <c r="KLC2" s="97"/>
      <c r="KLD2" s="97"/>
      <c r="KLE2" s="97"/>
      <c r="KLF2" s="97"/>
      <c r="KLG2" s="97"/>
      <c r="KLH2" s="97"/>
      <c r="KLI2" s="97"/>
      <c r="KLJ2" s="97"/>
      <c r="KLK2" s="97"/>
      <c r="KLL2" s="97"/>
      <c r="KLM2" s="97"/>
      <c r="KLN2" s="97"/>
      <c r="KLO2" s="97"/>
      <c r="KLP2" s="97"/>
      <c r="KLQ2" s="97"/>
      <c r="KLR2" s="97"/>
      <c r="KLS2" s="97"/>
      <c r="KLT2" s="97"/>
      <c r="KLU2" s="97"/>
      <c r="KLV2" s="97"/>
      <c r="KLW2" s="97"/>
      <c r="KLX2" s="97"/>
      <c r="KLY2" s="97"/>
      <c r="KLZ2" s="97"/>
      <c r="KMA2" s="97"/>
      <c r="KMB2" s="97"/>
      <c r="KMC2" s="97"/>
      <c r="KMD2" s="97"/>
      <c r="KME2" s="97"/>
      <c r="KMF2" s="97"/>
      <c r="KMG2" s="97"/>
      <c r="KMH2" s="97"/>
      <c r="KMI2" s="97"/>
      <c r="KMJ2" s="97"/>
      <c r="KMK2" s="97"/>
      <c r="KML2" s="97"/>
      <c r="KMM2" s="97"/>
      <c r="KMN2" s="97"/>
      <c r="KMO2" s="97"/>
      <c r="KMP2" s="97"/>
      <c r="KMQ2" s="97"/>
      <c r="KMR2" s="97"/>
      <c r="KMS2" s="97"/>
      <c r="KMT2" s="97"/>
      <c r="KMU2" s="97"/>
      <c r="KMV2" s="97"/>
      <c r="KMW2" s="97"/>
      <c r="KMX2" s="97"/>
      <c r="KMY2" s="97"/>
      <c r="KMZ2" s="97"/>
      <c r="KNA2" s="97"/>
      <c r="KNB2" s="97"/>
      <c r="KNC2" s="97"/>
      <c r="KND2" s="97"/>
      <c r="KNE2" s="97"/>
      <c r="KNF2" s="97"/>
      <c r="KNG2" s="97"/>
      <c r="KNH2" s="97"/>
      <c r="KNI2" s="97"/>
      <c r="KNJ2" s="97"/>
      <c r="KNK2" s="97"/>
      <c r="KNL2" s="97"/>
      <c r="KNM2" s="97"/>
      <c r="KNN2" s="97"/>
      <c r="KNO2" s="97"/>
      <c r="KNP2" s="97"/>
      <c r="KNQ2" s="97"/>
      <c r="KNR2" s="97"/>
      <c r="KNS2" s="97"/>
      <c r="KNT2" s="97"/>
      <c r="KNU2" s="97"/>
      <c r="KNV2" s="97"/>
      <c r="KNW2" s="97"/>
      <c r="KNX2" s="97"/>
      <c r="KNY2" s="97"/>
      <c r="KNZ2" s="97"/>
      <c r="KOA2" s="97"/>
      <c r="KOB2" s="97"/>
      <c r="KOC2" s="97"/>
      <c r="KOD2" s="97"/>
      <c r="KOE2" s="97"/>
      <c r="KOF2" s="97"/>
      <c r="KOG2" s="97"/>
      <c r="KOH2" s="97"/>
      <c r="KOI2" s="97"/>
      <c r="KOJ2" s="97"/>
      <c r="KOK2" s="97"/>
      <c r="KOL2" s="97"/>
      <c r="KOM2" s="97"/>
      <c r="KON2" s="97"/>
      <c r="KOO2" s="97"/>
      <c r="KOP2" s="97"/>
      <c r="KOQ2" s="97"/>
      <c r="KOR2" s="97"/>
      <c r="KOS2" s="97"/>
      <c r="KOT2" s="97"/>
      <c r="KOU2" s="97"/>
      <c r="KOV2" s="97"/>
      <c r="KOW2" s="97"/>
      <c r="KOX2" s="97"/>
      <c r="KOY2" s="97"/>
      <c r="KOZ2" s="97"/>
      <c r="KPA2" s="97"/>
      <c r="KPB2" s="97"/>
      <c r="KPC2" s="97"/>
      <c r="KPD2" s="97"/>
      <c r="KPE2" s="97"/>
      <c r="KPF2" s="97"/>
      <c r="KPG2" s="97"/>
      <c r="KPH2" s="97"/>
      <c r="KPI2" s="97"/>
      <c r="KPJ2" s="97"/>
      <c r="KPK2" s="97"/>
      <c r="KPL2" s="97"/>
      <c r="KPM2" s="97"/>
      <c r="KPN2" s="97"/>
      <c r="KPO2" s="97"/>
      <c r="KPP2" s="97"/>
      <c r="KPQ2" s="97"/>
      <c r="KPR2" s="97"/>
      <c r="KPS2" s="97"/>
      <c r="KPT2" s="97"/>
      <c r="KPU2" s="97"/>
      <c r="KPV2" s="97"/>
      <c r="KPW2" s="97"/>
      <c r="KPX2" s="97"/>
      <c r="KPY2" s="97"/>
      <c r="KPZ2" s="97"/>
      <c r="KQA2" s="97"/>
      <c r="KQB2" s="97"/>
      <c r="KQC2" s="97"/>
      <c r="KQD2" s="97"/>
      <c r="KQE2" s="97"/>
      <c r="KQF2" s="97"/>
      <c r="KQG2" s="97"/>
      <c r="KQH2" s="97"/>
      <c r="KQI2" s="97"/>
      <c r="KQJ2" s="97"/>
      <c r="KQK2" s="97"/>
      <c r="KQL2" s="97"/>
      <c r="KQM2" s="97"/>
      <c r="KQN2" s="97"/>
      <c r="KQO2" s="97"/>
      <c r="KQP2" s="97"/>
      <c r="KQQ2" s="97"/>
      <c r="KQR2" s="97"/>
      <c r="KQS2" s="97"/>
      <c r="KQT2" s="97"/>
      <c r="KQU2" s="97"/>
      <c r="KQV2" s="97"/>
      <c r="KQW2" s="97"/>
      <c r="KQX2" s="97"/>
      <c r="KQY2" s="97"/>
      <c r="KQZ2" s="97"/>
      <c r="KRA2" s="97"/>
      <c r="KRB2" s="97"/>
      <c r="KRC2" s="97"/>
      <c r="KRD2" s="97"/>
      <c r="KRE2" s="97"/>
      <c r="KRF2" s="97"/>
      <c r="KRG2" s="97"/>
      <c r="KRH2" s="97"/>
      <c r="KRI2" s="97"/>
      <c r="KRJ2" s="97"/>
      <c r="KRK2" s="97"/>
      <c r="KRL2" s="97"/>
      <c r="KRM2" s="97"/>
      <c r="KRN2" s="97"/>
      <c r="KRO2" s="97"/>
      <c r="KRP2" s="97"/>
      <c r="KRQ2" s="97"/>
      <c r="KRR2" s="97"/>
      <c r="KRS2" s="97"/>
      <c r="KRT2" s="97"/>
      <c r="KRU2" s="97"/>
      <c r="KRV2" s="97"/>
      <c r="KRW2" s="97"/>
      <c r="KRX2" s="97"/>
      <c r="KRY2" s="97"/>
      <c r="KRZ2" s="97"/>
      <c r="KSA2" s="97"/>
      <c r="KSB2" s="97"/>
      <c r="KSC2" s="97"/>
      <c r="KSD2" s="97"/>
      <c r="KSE2" s="97"/>
      <c r="KSF2" s="97"/>
      <c r="KSG2" s="97"/>
      <c r="KSH2" s="97"/>
      <c r="KSI2" s="97"/>
      <c r="KSJ2" s="97"/>
      <c r="KSK2" s="97"/>
      <c r="KSL2" s="97"/>
      <c r="KSM2" s="97"/>
      <c r="KSN2" s="97"/>
      <c r="KSO2" s="97"/>
      <c r="KSP2" s="97"/>
      <c r="KSQ2" s="97"/>
      <c r="KSR2" s="97"/>
      <c r="KSS2" s="97"/>
      <c r="KST2" s="97"/>
      <c r="KSU2" s="97"/>
      <c r="KSV2" s="97"/>
      <c r="KSW2" s="97"/>
      <c r="KSX2" s="97"/>
      <c r="KSY2" s="97"/>
      <c r="KSZ2" s="97"/>
      <c r="KTA2" s="97"/>
      <c r="KTB2" s="97"/>
      <c r="KTC2" s="97"/>
      <c r="KTD2" s="97"/>
      <c r="KTE2" s="97"/>
      <c r="KTF2" s="97"/>
      <c r="KTG2" s="97"/>
      <c r="KTH2" s="97"/>
      <c r="KTI2" s="97"/>
      <c r="KTJ2" s="97"/>
      <c r="KTK2" s="97"/>
      <c r="KTL2" s="97"/>
      <c r="KTM2" s="97"/>
      <c r="KTN2" s="97"/>
      <c r="KTO2" s="97"/>
      <c r="KTP2" s="97"/>
      <c r="KTQ2" s="97"/>
      <c r="KTR2" s="97"/>
      <c r="KTS2" s="97"/>
      <c r="KTT2" s="97"/>
      <c r="KTU2" s="97"/>
      <c r="KTV2" s="97"/>
      <c r="KTW2" s="97"/>
      <c r="KTX2" s="97"/>
      <c r="KTY2" s="97"/>
      <c r="KTZ2" s="97"/>
      <c r="KUA2" s="97"/>
      <c r="KUB2" s="97"/>
      <c r="KUC2" s="97"/>
      <c r="KUD2" s="97"/>
      <c r="KUE2" s="97"/>
      <c r="KUF2" s="97"/>
      <c r="KUG2" s="97"/>
      <c r="KUH2" s="97"/>
      <c r="KUI2" s="97"/>
      <c r="KUJ2" s="97"/>
      <c r="KUK2" s="97"/>
      <c r="KUL2" s="97"/>
      <c r="KUM2" s="97"/>
      <c r="KUN2" s="97"/>
      <c r="KUO2" s="97"/>
      <c r="KUP2" s="97"/>
      <c r="KUQ2" s="97"/>
      <c r="KUR2" s="97"/>
      <c r="KUS2" s="97"/>
      <c r="KUT2" s="97"/>
      <c r="KUU2" s="97"/>
      <c r="KUV2" s="97"/>
      <c r="KUW2" s="97"/>
      <c r="KUX2" s="97"/>
      <c r="KUY2" s="97"/>
      <c r="KUZ2" s="97"/>
      <c r="KVA2" s="97"/>
      <c r="KVB2" s="97"/>
      <c r="KVC2" s="97"/>
      <c r="KVD2" s="97"/>
      <c r="KVE2" s="97"/>
      <c r="KVF2" s="97"/>
      <c r="KVG2" s="97"/>
      <c r="KVH2" s="97"/>
      <c r="KVI2" s="97"/>
      <c r="KVJ2" s="97"/>
      <c r="KVK2" s="97"/>
      <c r="KVL2" s="97"/>
      <c r="KVM2" s="97"/>
      <c r="KVN2" s="97"/>
      <c r="KVO2" s="97"/>
      <c r="KVP2" s="97"/>
      <c r="KVQ2" s="97"/>
      <c r="KVR2" s="97"/>
      <c r="KVS2" s="97"/>
      <c r="KVT2" s="97"/>
      <c r="KVU2" s="97"/>
      <c r="KVV2" s="97"/>
      <c r="KVW2" s="97"/>
      <c r="KVX2" s="97"/>
      <c r="KVY2" s="97"/>
      <c r="KVZ2" s="97"/>
      <c r="KWA2" s="97"/>
      <c r="KWB2" s="97"/>
      <c r="KWC2" s="97"/>
      <c r="KWD2" s="97"/>
      <c r="KWE2" s="97"/>
      <c r="KWF2" s="97"/>
      <c r="KWG2" s="97"/>
      <c r="KWH2" s="97"/>
      <c r="KWI2" s="97"/>
      <c r="KWJ2" s="97"/>
      <c r="KWK2" s="97"/>
      <c r="KWL2" s="97"/>
      <c r="KWM2" s="97"/>
      <c r="KWN2" s="97"/>
      <c r="KWO2" s="97"/>
      <c r="KWP2" s="97"/>
      <c r="KWQ2" s="97"/>
      <c r="KWR2" s="97"/>
      <c r="KWS2" s="97"/>
      <c r="KWT2" s="97"/>
      <c r="KWU2" s="97"/>
      <c r="KWV2" s="97"/>
      <c r="KWW2" s="97"/>
      <c r="KWX2" s="97"/>
      <c r="KWY2" s="97"/>
      <c r="KWZ2" s="97"/>
      <c r="KXA2" s="97"/>
      <c r="KXB2" s="97"/>
      <c r="KXC2" s="97"/>
      <c r="KXD2" s="97"/>
      <c r="KXE2" s="97"/>
      <c r="KXF2" s="97"/>
      <c r="KXG2" s="97"/>
      <c r="KXH2" s="97"/>
      <c r="KXI2" s="97"/>
      <c r="KXJ2" s="97"/>
      <c r="KXK2" s="97"/>
      <c r="KXL2" s="97"/>
      <c r="KXM2" s="97"/>
      <c r="KXN2" s="97"/>
      <c r="KXO2" s="97"/>
      <c r="KXP2" s="97"/>
      <c r="KXQ2" s="97"/>
      <c r="KXR2" s="97"/>
      <c r="KXS2" s="97"/>
      <c r="KXT2" s="97"/>
      <c r="KXU2" s="97"/>
      <c r="KXV2" s="97"/>
      <c r="KXW2" s="97"/>
      <c r="KXX2" s="97"/>
      <c r="KXY2" s="97"/>
      <c r="KXZ2" s="97"/>
      <c r="KYA2" s="97"/>
      <c r="KYB2" s="97"/>
      <c r="KYC2" s="97"/>
      <c r="KYD2" s="97"/>
      <c r="KYE2" s="97"/>
      <c r="KYF2" s="97"/>
      <c r="KYG2" s="97"/>
      <c r="KYH2" s="97"/>
      <c r="KYI2" s="97"/>
      <c r="KYJ2" s="97"/>
      <c r="KYK2" s="97"/>
      <c r="KYL2" s="97"/>
      <c r="KYM2" s="97"/>
      <c r="KYN2" s="97"/>
      <c r="KYO2" s="97"/>
      <c r="KYP2" s="97"/>
      <c r="KYQ2" s="97"/>
      <c r="KYR2" s="97"/>
      <c r="KYS2" s="97"/>
      <c r="KYT2" s="97"/>
      <c r="KYU2" s="97"/>
      <c r="KYV2" s="97"/>
      <c r="KYW2" s="97"/>
      <c r="KYX2" s="97"/>
      <c r="KYY2" s="97"/>
      <c r="KYZ2" s="97"/>
      <c r="KZA2" s="97"/>
      <c r="KZB2" s="97"/>
      <c r="KZC2" s="97"/>
      <c r="KZD2" s="97"/>
      <c r="KZE2" s="97"/>
      <c r="KZF2" s="97"/>
      <c r="KZG2" s="97"/>
      <c r="KZH2" s="97"/>
      <c r="KZI2" s="97"/>
      <c r="KZJ2" s="97"/>
      <c r="KZK2" s="97"/>
      <c r="KZL2" s="97"/>
      <c r="KZM2" s="97"/>
      <c r="KZN2" s="97"/>
      <c r="KZO2" s="97"/>
      <c r="KZP2" s="97"/>
      <c r="KZQ2" s="97"/>
      <c r="KZR2" s="97"/>
      <c r="KZS2" s="97"/>
      <c r="KZT2" s="97"/>
      <c r="KZU2" s="97"/>
      <c r="KZV2" s="97"/>
      <c r="KZW2" s="97"/>
      <c r="KZX2" s="97"/>
      <c r="KZY2" s="97"/>
      <c r="KZZ2" s="97"/>
      <c r="LAA2" s="97"/>
      <c r="LAB2" s="97"/>
      <c r="LAC2" s="97"/>
      <c r="LAD2" s="97"/>
      <c r="LAE2" s="97"/>
      <c r="LAF2" s="97"/>
      <c r="LAG2" s="97"/>
      <c r="LAH2" s="97"/>
      <c r="LAI2" s="97"/>
      <c r="LAJ2" s="97"/>
      <c r="LAK2" s="97"/>
      <c r="LAL2" s="97"/>
      <c r="LAM2" s="97"/>
      <c r="LAN2" s="97"/>
      <c r="LAO2" s="97"/>
      <c r="LAP2" s="97"/>
      <c r="LAQ2" s="97"/>
      <c r="LAR2" s="97"/>
      <c r="LAS2" s="97"/>
      <c r="LAT2" s="97"/>
      <c r="LAU2" s="97"/>
      <c r="LAV2" s="97"/>
      <c r="LAW2" s="97"/>
      <c r="LAX2" s="97"/>
      <c r="LAY2" s="97"/>
      <c r="LAZ2" s="97"/>
      <c r="LBA2" s="97"/>
      <c r="LBB2" s="97"/>
      <c r="LBC2" s="97"/>
      <c r="LBD2" s="97"/>
      <c r="LBE2" s="97"/>
      <c r="LBF2" s="97"/>
      <c r="LBG2" s="97"/>
      <c r="LBH2" s="97"/>
      <c r="LBI2" s="97"/>
      <c r="LBJ2" s="97"/>
      <c r="LBK2" s="97"/>
      <c r="LBL2" s="97"/>
      <c r="LBM2" s="97"/>
      <c r="LBN2" s="97"/>
      <c r="LBO2" s="97"/>
      <c r="LBP2" s="97"/>
      <c r="LBQ2" s="97"/>
      <c r="LBR2" s="97"/>
      <c r="LBS2" s="97"/>
      <c r="LBT2" s="97"/>
      <c r="LBU2" s="97"/>
      <c r="LBV2" s="97"/>
      <c r="LBW2" s="97"/>
      <c r="LBX2" s="97"/>
      <c r="LBY2" s="97"/>
      <c r="LBZ2" s="97"/>
      <c r="LCA2" s="97"/>
      <c r="LCB2" s="97"/>
      <c r="LCC2" s="97"/>
      <c r="LCD2" s="97"/>
      <c r="LCE2" s="97"/>
      <c r="LCF2" s="97"/>
      <c r="LCG2" s="97"/>
      <c r="LCH2" s="97"/>
      <c r="LCI2" s="97"/>
      <c r="LCJ2" s="97"/>
      <c r="LCK2" s="97"/>
      <c r="LCL2" s="97"/>
      <c r="LCM2" s="97"/>
      <c r="LCN2" s="97"/>
      <c r="LCO2" s="97"/>
      <c r="LCP2" s="97"/>
      <c r="LCQ2" s="97"/>
      <c r="LCR2" s="97"/>
      <c r="LCS2" s="97"/>
      <c r="LCT2" s="97"/>
      <c r="LCU2" s="97"/>
      <c r="LCV2" s="97"/>
      <c r="LCW2" s="97"/>
      <c r="LCX2" s="97"/>
      <c r="LCY2" s="97"/>
      <c r="LCZ2" s="97"/>
      <c r="LDA2" s="97"/>
      <c r="LDB2" s="97"/>
      <c r="LDC2" s="97"/>
      <c r="LDD2" s="97"/>
      <c r="LDE2" s="97"/>
      <c r="LDF2" s="97"/>
      <c r="LDG2" s="97"/>
      <c r="LDH2" s="97"/>
      <c r="LDI2" s="97"/>
      <c r="LDJ2" s="97"/>
      <c r="LDK2" s="97"/>
      <c r="LDL2" s="97"/>
      <c r="LDM2" s="97"/>
      <c r="LDN2" s="97"/>
      <c r="LDO2" s="97"/>
      <c r="LDP2" s="97"/>
      <c r="LDQ2" s="97"/>
      <c r="LDR2" s="97"/>
      <c r="LDS2" s="97"/>
      <c r="LDT2" s="97"/>
      <c r="LDU2" s="97"/>
      <c r="LDV2" s="97"/>
      <c r="LDW2" s="97"/>
      <c r="LDX2" s="97"/>
      <c r="LDY2" s="97"/>
      <c r="LDZ2" s="97"/>
      <c r="LEA2" s="97"/>
      <c r="LEB2" s="97"/>
      <c r="LEC2" s="97"/>
      <c r="LED2" s="97"/>
      <c r="LEE2" s="97"/>
      <c r="LEF2" s="97"/>
      <c r="LEG2" s="97"/>
      <c r="LEH2" s="97"/>
      <c r="LEI2" s="97"/>
      <c r="LEJ2" s="97"/>
      <c r="LEK2" s="97"/>
      <c r="LEL2" s="97"/>
      <c r="LEM2" s="97"/>
      <c r="LEN2" s="97"/>
      <c r="LEO2" s="97"/>
      <c r="LEP2" s="97"/>
      <c r="LEQ2" s="97"/>
      <c r="LER2" s="97"/>
      <c r="LES2" s="97"/>
      <c r="LET2" s="97"/>
      <c r="LEU2" s="97"/>
      <c r="LEV2" s="97"/>
      <c r="LEW2" s="97"/>
      <c r="LEX2" s="97"/>
      <c r="LEY2" s="97"/>
      <c r="LEZ2" s="97"/>
      <c r="LFA2" s="97"/>
      <c r="LFB2" s="97"/>
      <c r="LFC2" s="97"/>
      <c r="LFD2" s="97"/>
      <c r="LFE2" s="97"/>
      <c r="LFF2" s="97"/>
      <c r="LFG2" s="97"/>
      <c r="LFH2" s="97"/>
      <c r="LFI2" s="97"/>
      <c r="LFJ2" s="97"/>
      <c r="LFK2" s="97"/>
      <c r="LFL2" s="97"/>
      <c r="LFM2" s="97"/>
      <c r="LFN2" s="97"/>
      <c r="LFO2" s="97"/>
      <c r="LFP2" s="97"/>
      <c r="LFQ2" s="97"/>
      <c r="LFR2" s="97"/>
      <c r="LFS2" s="97"/>
      <c r="LFT2" s="97"/>
      <c r="LFU2" s="97"/>
      <c r="LFV2" s="97"/>
      <c r="LFW2" s="97"/>
      <c r="LFX2" s="97"/>
      <c r="LFY2" s="97"/>
      <c r="LFZ2" s="97"/>
      <c r="LGA2" s="97"/>
      <c r="LGB2" s="97"/>
      <c r="LGC2" s="97"/>
      <c r="LGD2" s="97"/>
      <c r="LGE2" s="97"/>
      <c r="LGF2" s="97"/>
      <c r="LGG2" s="97"/>
      <c r="LGH2" s="97"/>
      <c r="LGI2" s="97"/>
      <c r="LGJ2" s="97"/>
      <c r="LGK2" s="97"/>
      <c r="LGL2" s="97"/>
      <c r="LGM2" s="97"/>
      <c r="LGN2" s="97"/>
      <c r="LGO2" s="97"/>
      <c r="LGP2" s="97"/>
      <c r="LGQ2" s="97"/>
      <c r="LGR2" s="97"/>
      <c r="LGS2" s="97"/>
      <c r="LGT2" s="97"/>
      <c r="LGU2" s="97"/>
      <c r="LGV2" s="97"/>
      <c r="LGW2" s="97"/>
      <c r="LGX2" s="97"/>
      <c r="LGY2" s="97"/>
      <c r="LGZ2" s="97"/>
      <c r="LHA2" s="97"/>
      <c r="LHB2" s="97"/>
      <c r="LHC2" s="97"/>
      <c r="LHD2" s="97"/>
      <c r="LHE2" s="97"/>
      <c r="LHF2" s="97"/>
      <c r="LHG2" s="97"/>
      <c r="LHH2" s="97"/>
      <c r="LHI2" s="97"/>
      <c r="LHJ2" s="97"/>
      <c r="LHK2" s="97"/>
      <c r="LHL2" s="97"/>
      <c r="LHM2" s="97"/>
      <c r="LHN2" s="97"/>
      <c r="LHO2" s="97"/>
      <c r="LHP2" s="97"/>
      <c r="LHQ2" s="97"/>
      <c r="LHR2" s="97"/>
      <c r="LHS2" s="97"/>
      <c r="LHT2" s="97"/>
      <c r="LHU2" s="97"/>
      <c r="LHV2" s="97"/>
      <c r="LHW2" s="97"/>
      <c r="LHX2" s="97"/>
      <c r="LHY2" s="97"/>
      <c r="LHZ2" s="97"/>
      <c r="LIA2" s="97"/>
      <c r="LIB2" s="97"/>
      <c r="LIC2" s="97"/>
      <c r="LID2" s="97"/>
      <c r="LIE2" s="97"/>
      <c r="LIF2" s="97"/>
      <c r="LIG2" s="97"/>
      <c r="LIH2" s="97"/>
      <c r="LII2" s="97"/>
      <c r="LIJ2" s="97"/>
      <c r="LIK2" s="97"/>
      <c r="LIL2" s="97"/>
      <c r="LIM2" s="97"/>
      <c r="LIN2" s="97"/>
      <c r="LIO2" s="97"/>
      <c r="LIP2" s="97"/>
      <c r="LIQ2" s="97"/>
      <c r="LIR2" s="97"/>
      <c r="LIS2" s="97"/>
      <c r="LIT2" s="97"/>
      <c r="LIU2" s="97"/>
      <c r="LIV2" s="97"/>
      <c r="LIW2" s="97"/>
      <c r="LIX2" s="97"/>
      <c r="LIY2" s="97"/>
      <c r="LIZ2" s="97"/>
      <c r="LJA2" s="97"/>
      <c r="LJB2" s="97"/>
      <c r="LJC2" s="97"/>
      <c r="LJD2" s="97"/>
      <c r="LJE2" s="97"/>
      <c r="LJF2" s="97"/>
      <c r="LJG2" s="97"/>
      <c r="LJH2" s="97"/>
      <c r="LJI2" s="97"/>
      <c r="LJJ2" s="97"/>
      <c r="LJK2" s="97"/>
      <c r="LJL2" s="97"/>
      <c r="LJM2" s="97"/>
      <c r="LJN2" s="97"/>
      <c r="LJO2" s="97"/>
      <c r="LJP2" s="97"/>
      <c r="LJQ2" s="97"/>
      <c r="LJR2" s="97"/>
      <c r="LJS2" s="97"/>
      <c r="LJT2" s="97"/>
      <c r="LJU2" s="97"/>
      <c r="LJV2" s="97"/>
      <c r="LJW2" s="97"/>
      <c r="LJX2" s="97"/>
      <c r="LJY2" s="97"/>
      <c r="LJZ2" s="97"/>
      <c r="LKA2" s="97"/>
      <c r="LKB2" s="97"/>
      <c r="LKC2" s="97"/>
      <c r="LKD2" s="97"/>
      <c r="LKE2" s="97"/>
      <c r="LKF2" s="97"/>
      <c r="LKG2" s="97"/>
      <c r="LKH2" s="97"/>
      <c r="LKI2" s="97"/>
      <c r="LKJ2" s="97"/>
      <c r="LKK2" s="97"/>
      <c r="LKL2" s="97"/>
      <c r="LKM2" s="97"/>
      <c r="LKN2" s="97"/>
      <c r="LKO2" s="97"/>
      <c r="LKP2" s="97"/>
      <c r="LKQ2" s="97"/>
      <c r="LKR2" s="97"/>
      <c r="LKS2" s="97"/>
      <c r="LKT2" s="97"/>
      <c r="LKU2" s="97"/>
      <c r="LKV2" s="97"/>
      <c r="LKW2" s="97"/>
      <c r="LKX2" s="97"/>
      <c r="LKY2" s="97"/>
      <c r="LKZ2" s="97"/>
      <c r="LLA2" s="97"/>
      <c r="LLB2" s="97"/>
      <c r="LLC2" s="97"/>
      <c r="LLD2" s="97"/>
      <c r="LLE2" s="97"/>
      <c r="LLF2" s="97"/>
      <c r="LLG2" s="97"/>
      <c r="LLH2" s="97"/>
      <c r="LLI2" s="97"/>
      <c r="LLJ2" s="97"/>
      <c r="LLK2" s="97"/>
      <c r="LLL2" s="97"/>
      <c r="LLM2" s="97"/>
      <c r="LLN2" s="97"/>
      <c r="LLO2" s="97"/>
      <c r="LLP2" s="97"/>
      <c r="LLQ2" s="97"/>
      <c r="LLR2" s="97"/>
      <c r="LLS2" s="97"/>
      <c r="LLT2" s="97"/>
      <c r="LLU2" s="97"/>
      <c r="LLV2" s="97"/>
      <c r="LLW2" s="97"/>
      <c r="LLX2" s="97"/>
      <c r="LLY2" s="97"/>
      <c r="LLZ2" s="97"/>
      <c r="LMA2" s="97"/>
      <c r="LMB2" s="97"/>
      <c r="LMC2" s="97"/>
      <c r="LMD2" s="97"/>
      <c r="LME2" s="97"/>
      <c r="LMF2" s="97"/>
      <c r="LMG2" s="97"/>
      <c r="LMH2" s="97"/>
      <c r="LMI2" s="97"/>
      <c r="LMJ2" s="97"/>
      <c r="LMK2" s="97"/>
      <c r="LML2" s="97"/>
      <c r="LMM2" s="97"/>
      <c r="LMN2" s="97"/>
      <c r="LMO2" s="97"/>
      <c r="LMP2" s="97"/>
      <c r="LMQ2" s="97"/>
      <c r="LMR2" s="97"/>
      <c r="LMS2" s="97"/>
      <c r="LMT2" s="97"/>
      <c r="LMU2" s="97"/>
      <c r="LMV2" s="97"/>
      <c r="LMW2" s="97"/>
      <c r="LMX2" s="97"/>
      <c r="LMY2" s="97"/>
      <c r="LMZ2" s="97"/>
      <c r="LNA2" s="97"/>
      <c r="LNB2" s="97"/>
      <c r="LNC2" s="97"/>
      <c r="LND2" s="97"/>
      <c r="LNE2" s="97"/>
      <c r="LNF2" s="97"/>
      <c r="LNG2" s="97"/>
      <c r="LNH2" s="97"/>
      <c r="LNI2" s="97"/>
      <c r="LNJ2" s="97"/>
      <c r="LNK2" s="97"/>
      <c r="LNL2" s="97"/>
      <c r="LNM2" s="97"/>
      <c r="LNN2" s="97"/>
      <c r="LNO2" s="97"/>
      <c r="LNP2" s="97"/>
      <c r="LNQ2" s="97"/>
      <c r="LNR2" s="97"/>
      <c r="LNS2" s="97"/>
      <c r="LNT2" s="97"/>
      <c r="LNU2" s="97"/>
      <c r="LNV2" s="97"/>
      <c r="LNW2" s="97"/>
      <c r="LNX2" s="97"/>
      <c r="LNY2" s="97"/>
      <c r="LNZ2" s="97"/>
      <c r="LOA2" s="97"/>
      <c r="LOB2" s="97"/>
      <c r="LOC2" s="97"/>
      <c r="LOD2" s="97"/>
      <c r="LOE2" s="97"/>
      <c r="LOF2" s="97"/>
      <c r="LOG2" s="97"/>
      <c r="LOH2" s="97"/>
      <c r="LOI2" s="97"/>
      <c r="LOJ2" s="97"/>
      <c r="LOK2" s="97"/>
      <c r="LOL2" s="97"/>
      <c r="LOM2" s="97"/>
      <c r="LON2" s="97"/>
      <c r="LOO2" s="97"/>
      <c r="LOP2" s="97"/>
      <c r="LOQ2" s="97"/>
      <c r="LOR2" s="97"/>
      <c r="LOS2" s="97"/>
      <c r="LOT2" s="97"/>
      <c r="LOU2" s="97"/>
      <c r="LOV2" s="97"/>
      <c r="LOW2" s="97"/>
      <c r="LOX2" s="97"/>
      <c r="LOY2" s="97"/>
      <c r="LOZ2" s="97"/>
      <c r="LPA2" s="97"/>
      <c r="LPB2" s="97"/>
      <c r="LPC2" s="97"/>
      <c r="LPD2" s="97"/>
      <c r="LPE2" s="97"/>
      <c r="LPF2" s="97"/>
      <c r="LPG2" s="97"/>
      <c r="LPH2" s="97"/>
      <c r="LPI2" s="97"/>
      <c r="LPJ2" s="97"/>
      <c r="LPK2" s="97"/>
      <c r="LPL2" s="97"/>
      <c r="LPM2" s="97"/>
      <c r="LPN2" s="97"/>
      <c r="LPO2" s="97"/>
      <c r="LPP2" s="97"/>
      <c r="LPQ2" s="97"/>
      <c r="LPR2" s="97"/>
      <c r="LPS2" s="97"/>
      <c r="LPT2" s="97"/>
      <c r="LPU2" s="97"/>
      <c r="LPV2" s="97"/>
      <c r="LPW2" s="97"/>
      <c r="LPX2" s="97"/>
      <c r="LPY2" s="97"/>
      <c r="LPZ2" s="97"/>
      <c r="LQA2" s="97"/>
      <c r="LQB2" s="97"/>
      <c r="LQC2" s="97"/>
      <c r="LQD2" s="97"/>
      <c r="LQE2" s="97"/>
      <c r="LQF2" s="97"/>
      <c r="LQG2" s="97"/>
      <c r="LQH2" s="97"/>
      <c r="LQI2" s="97"/>
      <c r="LQJ2" s="97"/>
      <c r="LQK2" s="97"/>
      <c r="LQL2" s="97"/>
      <c r="LQM2" s="97"/>
      <c r="LQN2" s="97"/>
      <c r="LQO2" s="97"/>
      <c r="LQP2" s="97"/>
      <c r="LQQ2" s="97"/>
      <c r="LQR2" s="97"/>
      <c r="LQS2" s="97"/>
      <c r="LQT2" s="97"/>
      <c r="LQU2" s="97"/>
      <c r="LQV2" s="97"/>
      <c r="LQW2" s="97"/>
      <c r="LQX2" s="97"/>
      <c r="LQY2" s="97"/>
      <c r="LQZ2" s="97"/>
      <c r="LRA2" s="97"/>
      <c r="LRB2" s="97"/>
      <c r="LRC2" s="97"/>
      <c r="LRD2" s="97"/>
      <c r="LRE2" s="97"/>
      <c r="LRF2" s="97"/>
      <c r="LRG2" s="97"/>
      <c r="LRH2" s="97"/>
      <c r="LRI2" s="97"/>
      <c r="LRJ2" s="97"/>
      <c r="LRK2" s="97"/>
      <c r="LRL2" s="97"/>
      <c r="LRM2" s="97"/>
      <c r="LRN2" s="97"/>
      <c r="LRO2" s="97"/>
      <c r="LRP2" s="97"/>
      <c r="LRQ2" s="97"/>
      <c r="LRR2" s="97"/>
      <c r="LRS2" s="97"/>
      <c r="LRT2" s="97"/>
      <c r="LRU2" s="97"/>
      <c r="LRV2" s="97"/>
      <c r="LRW2" s="97"/>
      <c r="LRX2" s="97"/>
      <c r="LRY2" s="97"/>
      <c r="LRZ2" s="97"/>
      <c r="LSA2" s="97"/>
      <c r="LSB2" s="97"/>
      <c r="LSC2" s="97"/>
      <c r="LSD2" s="97"/>
      <c r="LSE2" s="97"/>
      <c r="LSF2" s="97"/>
      <c r="LSG2" s="97"/>
      <c r="LSH2" s="97"/>
      <c r="LSI2" s="97"/>
      <c r="LSJ2" s="97"/>
      <c r="LSK2" s="97"/>
      <c r="LSL2" s="97"/>
      <c r="LSM2" s="97"/>
      <c r="LSN2" s="97"/>
      <c r="LSO2" s="97"/>
      <c r="LSP2" s="97"/>
      <c r="LSQ2" s="97"/>
      <c r="LSR2" s="97"/>
      <c r="LSS2" s="97"/>
      <c r="LST2" s="97"/>
      <c r="LSU2" s="97"/>
      <c r="LSV2" s="97"/>
      <c r="LSW2" s="97"/>
      <c r="LSX2" s="97"/>
      <c r="LSY2" s="97"/>
      <c r="LSZ2" s="97"/>
      <c r="LTA2" s="97"/>
      <c r="LTB2" s="97"/>
      <c r="LTC2" s="97"/>
      <c r="LTD2" s="97"/>
      <c r="LTE2" s="97"/>
      <c r="LTF2" s="97"/>
      <c r="LTG2" s="97"/>
      <c r="LTH2" s="97"/>
      <c r="LTI2" s="97"/>
      <c r="LTJ2" s="97"/>
      <c r="LTK2" s="97"/>
      <c r="LTL2" s="97"/>
      <c r="LTM2" s="97"/>
      <c r="LTN2" s="97"/>
      <c r="LTO2" s="97"/>
      <c r="LTP2" s="97"/>
      <c r="LTQ2" s="97"/>
      <c r="LTR2" s="97"/>
      <c r="LTS2" s="97"/>
      <c r="LTT2" s="97"/>
      <c r="LTU2" s="97"/>
      <c r="LTV2" s="97"/>
      <c r="LTW2" s="97"/>
      <c r="LTX2" s="97"/>
      <c r="LTY2" s="97"/>
      <c r="LTZ2" s="97"/>
      <c r="LUA2" s="97"/>
      <c r="LUB2" s="97"/>
      <c r="LUC2" s="97"/>
      <c r="LUD2" s="97"/>
      <c r="LUE2" s="97"/>
      <c r="LUF2" s="97"/>
      <c r="LUG2" s="97"/>
      <c r="LUH2" s="97"/>
      <c r="LUI2" s="97"/>
      <c r="LUJ2" s="97"/>
      <c r="LUK2" s="97"/>
      <c r="LUL2" s="97"/>
      <c r="LUM2" s="97"/>
      <c r="LUN2" s="97"/>
      <c r="LUO2" s="97"/>
      <c r="LUP2" s="97"/>
      <c r="LUQ2" s="97"/>
      <c r="LUR2" s="97"/>
      <c r="LUS2" s="97"/>
      <c r="LUT2" s="97"/>
      <c r="LUU2" s="97"/>
      <c r="LUV2" s="97"/>
      <c r="LUW2" s="97"/>
      <c r="LUX2" s="97"/>
      <c r="LUY2" s="97"/>
      <c r="LUZ2" s="97"/>
      <c r="LVA2" s="97"/>
      <c r="LVB2" s="97"/>
      <c r="LVC2" s="97"/>
      <c r="LVD2" s="97"/>
      <c r="LVE2" s="97"/>
      <c r="LVF2" s="97"/>
      <c r="LVG2" s="97"/>
      <c r="LVH2" s="97"/>
      <c r="LVI2" s="97"/>
      <c r="LVJ2" s="97"/>
      <c r="LVK2" s="97"/>
      <c r="LVL2" s="97"/>
      <c r="LVM2" s="97"/>
      <c r="LVN2" s="97"/>
      <c r="LVO2" s="97"/>
      <c r="LVP2" s="97"/>
      <c r="LVQ2" s="97"/>
      <c r="LVR2" s="97"/>
      <c r="LVS2" s="97"/>
      <c r="LVT2" s="97"/>
      <c r="LVU2" s="97"/>
      <c r="LVV2" s="97"/>
      <c r="LVW2" s="97"/>
      <c r="LVX2" s="97"/>
      <c r="LVY2" s="97"/>
      <c r="LVZ2" s="97"/>
      <c r="LWA2" s="97"/>
      <c r="LWB2" s="97"/>
      <c r="LWC2" s="97"/>
      <c r="LWD2" s="97"/>
      <c r="LWE2" s="97"/>
      <c r="LWF2" s="97"/>
      <c r="LWG2" s="97"/>
      <c r="LWH2" s="97"/>
      <c r="LWI2" s="97"/>
      <c r="LWJ2" s="97"/>
      <c r="LWK2" s="97"/>
      <c r="LWL2" s="97"/>
      <c r="LWM2" s="97"/>
      <c r="LWN2" s="97"/>
      <c r="LWO2" s="97"/>
      <c r="LWP2" s="97"/>
      <c r="LWQ2" s="97"/>
      <c r="LWR2" s="97"/>
      <c r="LWS2" s="97"/>
      <c r="LWT2" s="97"/>
      <c r="LWU2" s="97"/>
      <c r="LWV2" s="97"/>
      <c r="LWW2" s="97"/>
      <c r="LWX2" s="97"/>
      <c r="LWY2" s="97"/>
      <c r="LWZ2" s="97"/>
      <c r="LXA2" s="97"/>
      <c r="LXB2" s="97"/>
      <c r="LXC2" s="97"/>
      <c r="LXD2" s="97"/>
      <c r="LXE2" s="97"/>
      <c r="LXF2" s="97"/>
      <c r="LXG2" s="97"/>
      <c r="LXH2" s="97"/>
      <c r="LXI2" s="97"/>
      <c r="LXJ2" s="97"/>
      <c r="LXK2" s="97"/>
      <c r="LXL2" s="97"/>
      <c r="LXM2" s="97"/>
      <c r="LXN2" s="97"/>
      <c r="LXO2" s="97"/>
      <c r="LXP2" s="97"/>
      <c r="LXQ2" s="97"/>
      <c r="LXR2" s="97"/>
      <c r="LXS2" s="97"/>
      <c r="LXT2" s="97"/>
      <c r="LXU2" s="97"/>
      <c r="LXV2" s="97"/>
      <c r="LXW2" s="97"/>
      <c r="LXX2" s="97"/>
      <c r="LXY2" s="97"/>
      <c r="LXZ2" s="97"/>
      <c r="LYA2" s="97"/>
      <c r="LYB2" s="97"/>
      <c r="LYC2" s="97"/>
      <c r="LYD2" s="97"/>
      <c r="LYE2" s="97"/>
      <c r="LYF2" s="97"/>
      <c r="LYG2" s="97"/>
      <c r="LYH2" s="97"/>
      <c r="LYI2" s="97"/>
      <c r="LYJ2" s="97"/>
      <c r="LYK2" s="97"/>
      <c r="LYL2" s="97"/>
      <c r="LYM2" s="97"/>
      <c r="LYN2" s="97"/>
      <c r="LYO2" s="97"/>
      <c r="LYP2" s="97"/>
      <c r="LYQ2" s="97"/>
      <c r="LYR2" s="97"/>
      <c r="LYS2" s="97"/>
      <c r="LYT2" s="97"/>
      <c r="LYU2" s="97"/>
      <c r="LYV2" s="97"/>
      <c r="LYW2" s="97"/>
      <c r="LYX2" s="97"/>
      <c r="LYY2" s="97"/>
      <c r="LYZ2" s="97"/>
      <c r="LZA2" s="97"/>
      <c r="LZB2" s="97"/>
      <c r="LZC2" s="97"/>
      <c r="LZD2" s="97"/>
      <c r="LZE2" s="97"/>
      <c r="LZF2" s="97"/>
      <c r="LZG2" s="97"/>
      <c r="LZH2" s="97"/>
      <c r="LZI2" s="97"/>
      <c r="LZJ2" s="97"/>
      <c r="LZK2" s="97"/>
      <c r="LZL2" s="97"/>
      <c r="LZM2" s="97"/>
      <c r="LZN2" s="97"/>
      <c r="LZO2" s="97"/>
      <c r="LZP2" s="97"/>
      <c r="LZQ2" s="97"/>
      <c r="LZR2" s="97"/>
      <c r="LZS2" s="97"/>
      <c r="LZT2" s="97"/>
      <c r="LZU2" s="97"/>
      <c r="LZV2" s="97"/>
      <c r="LZW2" s="97"/>
      <c r="LZX2" s="97"/>
      <c r="LZY2" s="97"/>
      <c r="LZZ2" s="97"/>
      <c r="MAA2" s="97"/>
      <c r="MAB2" s="97"/>
      <c r="MAC2" s="97"/>
      <c r="MAD2" s="97"/>
      <c r="MAE2" s="97"/>
      <c r="MAF2" s="97"/>
      <c r="MAG2" s="97"/>
      <c r="MAH2" s="97"/>
      <c r="MAI2" s="97"/>
      <c r="MAJ2" s="97"/>
      <c r="MAK2" s="97"/>
      <c r="MAL2" s="97"/>
      <c r="MAM2" s="97"/>
      <c r="MAN2" s="97"/>
      <c r="MAO2" s="97"/>
      <c r="MAP2" s="97"/>
      <c r="MAQ2" s="97"/>
      <c r="MAR2" s="97"/>
      <c r="MAS2" s="97"/>
      <c r="MAT2" s="97"/>
      <c r="MAU2" s="97"/>
      <c r="MAV2" s="97"/>
      <c r="MAW2" s="97"/>
      <c r="MAX2" s="97"/>
      <c r="MAY2" s="97"/>
      <c r="MAZ2" s="97"/>
      <c r="MBA2" s="97"/>
      <c r="MBB2" s="97"/>
      <c r="MBC2" s="97"/>
      <c r="MBD2" s="97"/>
      <c r="MBE2" s="97"/>
      <c r="MBF2" s="97"/>
      <c r="MBG2" s="97"/>
      <c r="MBH2" s="97"/>
      <c r="MBI2" s="97"/>
      <c r="MBJ2" s="97"/>
      <c r="MBK2" s="97"/>
      <c r="MBL2" s="97"/>
      <c r="MBM2" s="97"/>
      <c r="MBN2" s="97"/>
      <c r="MBO2" s="97"/>
      <c r="MBP2" s="97"/>
      <c r="MBQ2" s="97"/>
      <c r="MBR2" s="97"/>
      <c r="MBS2" s="97"/>
      <c r="MBT2" s="97"/>
      <c r="MBU2" s="97"/>
      <c r="MBV2" s="97"/>
      <c r="MBW2" s="97"/>
      <c r="MBX2" s="97"/>
      <c r="MBY2" s="97"/>
      <c r="MBZ2" s="97"/>
      <c r="MCA2" s="97"/>
      <c r="MCB2" s="97"/>
      <c r="MCC2" s="97"/>
      <c r="MCD2" s="97"/>
      <c r="MCE2" s="97"/>
      <c r="MCF2" s="97"/>
      <c r="MCG2" s="97"/>
      <c r="MCH2" s="97"/>
      <c r="MCI2" s="97"/>
      <c r="MCJ2" s="97"/>
      <c r="MCK2" s="97"/>
      <c r="MCL2" s="97"/>
      <c r="MCM2" s="97"/>
      <c r="MCN2" s="97"/>
      <c r="MCO2" s="97"/>
      <c r="MCP2" s="97"/>
      <c r="MCQ2" s="97"/>
      <c r="MCR2" s="97"/>
      <c r="MCS2" s="97"/>
      <c r="MCT2" s="97"/>
      <c r="MCU2" s="97"/>
      <c r="MCV2" s="97"/>
      <c r="MCW2" s="97"/>
      <c r="MCX2" s="97"/>
      <c r="MCY2" s="97"/>
      <c r="MCZ2" s="97"/>
      <c r="MDA2" s="97"/>
      <c r="MDB2" s="97"/>
      <c r="MDC2" s="97"/>
      <c r="MDD2" s="97"/>
      <c r="MDE2" s="97"/>
      <c r="MDF2" s="97"/>
      <c r="MDG2" s="97"/>
      <c r="MDH2" s="97"/>
      <c r="MDI2" s="97"/>
      <c r="MDJ2" s="97"/>
      <c r="MDK2" s="97"/>
      <c r="MDL2" s="97"/>
      <c r="MDM2" s="97"/>
      <c r="MDN2" s="97"/>
      <c r="MDO2" s="97"/>
      <c r="MDP2" s="97"/>
      <c r="MDQ2" s="97"/>
      <c r="MDR2" s="97"/>
      <c r="MDS2" s="97"/>
      <c r="MDT2" s="97"/>
      <c r="MDU2" s="97"/>
      <c r="MDV2" s="97"/>
      <c r="MDW2" s="97"/>
      <c r="MDX2" s="97"/>
      <c r="MDY2" s="97"/>
      <c r="MDZ2" s="97"/>
      <c r="MEA2" s="97"/>
      <c r="MEB2" s="97"/>
      <c r="MEC2" s="97"/>
      <c r="MED2" s="97"/>
      <c r="MEE2" s="97"/>
      <c r="MEF2" s="97"/>
      <c r="MEG2" s="97"/>
      <c r="MEH2" s="97"/>
      <c r="MEI2" s="97"/>
      <c r="MEJ2" s="97"/>
      <c r="MEK2" s="97"/>
      <c r="MEL2" s="97"/>
      <c r="MEM2" s="97"/>
      <c r="MEN2" s="97"/>
      <c r="MEO2" s="97"/>
      <c r="MEP2" s="97"/>
      <c r="MEQ2" s="97"/>
      <c r="MER2" s="97"/>
      <c r="MES2" s="97"/>
      <c r="MET2" s="97"/>
      <c r="MEU2" s="97"/>
      <c r="MEV2" s="97"/>
      <c r="MEW2" s="97"/>
      <c r="MEX2" s="97"/>
      <c r="MEY2" s="97"/>
      <c r="MEZ2" s="97"/>
      <c r="MFA2" s="97"/>
      <c r="MFB2" s="97"/>
      <c r="MFC2" s="97"/>
      <c r="MFD2" s="97"/>
      <c r="MFE2" s="97"/>
      <c r="MFF2" s="97"/>
      <c r="MFG2" s="97"/>
      <c r="MFH2" s="97"/>
      <c r="MFI2" s="97"/>
      <c r="MFJ2" s="97"/>
      <c r="MFK2" s="97"/>
      <c r="MFL2" s="97"/>
      <c r="MFM2" s="97"/>
      <c r="MFN2" s="97"/>
      <c r="MFO2" s="97"/>
      <c r="MFP2" s="97"/>
      <c r="MFQ2" s="97"/>
      <c r="MFR2" s="97"/>
      <c r="MFS2" s="97"/>
      <c r="MFT2" s="97"/>
      <c r="MFU2" s="97"/>
      <c r="MFV2" s="97"/>
      <c r="MFW2" s="97"/>
      <c r="MFX2" s="97"/>
      <c r="MFY2" s="97"/>
      <c r="MFZ2" s="97"/>
      <c r="MGA2" s="97"/>
      <c r="MGB2" s="97"/>
      <c r="MGC2" s="97"/>
      <c r="MGD2" s="97"/>
      <c r="MGE2" s="97"/>
      <c r="MGF2" s="97"/>
      <c r="MGG2" s="97"/>
      <c r="MGH2" s="97"/>
      <c r="MGI2" s="97"/>
      <c r="MGJ2" s="97"/>
      <c r="MGK2" s="97"/>
      <c r="MGL2" s="97"/>
      <c r="MGM2" s="97"/>
      <c r="MGN2" s="97"/>
      <c r="MGO2" s="97"/>
      <c r="MGP2" s="97"/>
      <c r="MGQ2" s="97"/>
      <c r="MGR2" s="97"/>
      <c r="MGS2" s="97"/>
      <c r="MGT2" s="97"/>
      <c r="MGU2" s="97"/>
      <c r="MGV2" s="97"/>
      <c r="MGW2" s="97"/>
      <c r="MGX2" s="97"/>
      <c r="MGY2" s="97"/>
      <c r="MGZ2" s="97"/>
      <c r="MHA2" s="97"/>
      <c r="MHB2" s="97"/>
      <c r="MHC2" s="97"/>
      <c r="MHD2" s="97"/>
      <c r="MHE2" s="97"/>
      <c r="MHF2" s="97"/>
      <c r="MHG2" s="97"/>
      <c r="MHH2" s="97"/>
      <c r="MHI2" s="97"/>
      <c r="MHJ2" s="97"/>
      <c r="MHK2" s="97"/>
      <c r="MHL2" s="97"/>
      <c r="MHM2" s="97"/>
      <c r="MHN2" s="97"/>
      <c r="MHO2" s="97"/>
      <c r="MHP2" s="97"/>
      <c r="MHQ2" s="97"/>
      <c r="MHR2" s="97"/>
      <c r="MHS2" s="97"/>
      <c r="MHT2" s="97"/>
      <c r="MHU2" s="97"/>
      <c r="MHV2" s="97"/>
      <c r="MHW2" s="97"/>
      <c r="MHX2" s="97"/>
      <c r="MHY2" s="97"/>
      <c r="MHZ2" s="97"/>
      <c r="MIA2" s="97"/>
      <c r="MIB2" s="97"/>
      <c r="MIC2" s="97"/>
      <c r="MID2" s="97"/>
      <c r="MIE2" s="97"/>
      <c r="MIF2" s="97"/>
      <c r="MIG2" s="97"/>
      <c r="MIH2" s="97"/>
      <c r="MII2" s="97"/>
      <c r="MIJ2" s="97"/>
      <c r="MIK2" s="97"/>
      <c r="MIL2" s="97"/>
      <c r="MIM2" s="97"/>
      <c r="MIN2" s="97"/>
      <c r="MIO2" s="97"/>
      <c r="MIP2" s="97"/>
      <c r="MIQ2" s="97"/>
      <c r="MIR2" s="97"/>
      <c r="MIS2" s="97"/>
      <c r="MIT2" s="97"/>
      <c r="MIU2" s="97"/>
      <c r="MIV2" s="97"/>
      <c r="MIW2" s="97"/>
      <c r="MIX2" s="97"/>
      <c r="MIY2" s="97"/>
      <c r="MIZ2" s="97"/>
      <c r="MJA2" s="97"/>
      <c r="MJB2" s="97"/>
      <c r="MJC2" s="97"/>
      <c r="MJD2" s="97"/>
      <c r="MJE2" s="97"/>
      <c r="MJF2" s="97"/>
      <c r="MJG2" s="97"/>
      <c r="MJH2" s="97"/>
      <c r="MJI2" s="97"/>
      <c r="MJJ2" s="97"/>
      <c r="MJK2" s="97"/>
      <c r="MJL2" s="97"/>
      <c r="MJM2" s="97"/>
      <c r="MJN2" s="97"/>
      <c r="MJO2" s="97"/>
      <c r="MJP2" s="97"/>
      <c r="MJQ2" s="97"/>
      <c r="MJR2" s="97"/>
      <c r="MJS2" s="97"/>
      <c r="MJT2" s="97"/>
      <c r="MJU2" s="97"/>
      <c r="MJV2" s="97"/>
      <c r="MJW2" s="97"/>
      <c r="MJX2" s="97"/>
      <c r="MJY2" s="97"/>
      <c r="MJZ2" s="97"/>
      <c r="MKA2" s="97"/>
      <c r="MKB2" s="97"/>
      <c r="MKC2" s="97"/>
      <c r="MKD2" s="97"/>
      <c r="MKE2" s="97"/>
      <c r="MKF2" s="97"/>
      <c r="MKG2" s="97"/>
      <c r="MKH2" s="97"/>
      <c r="MKI2" s="97"/>
      <c r="MKJ2" s="97"/>
      <c r="MKK2" s="97"/>
      <c r="MKL2" s="97"/>
      <c r="MKM2" s="97"/>
      <c r="MKN2" s="97"/>
      <c r="MKO2" s="97"/>
      <c r="MKP2" s="97"/>
      <c r="MKQ2" s="97"/>
      <c r="MKR2" s="97"/>
      <c r="MKS2" s="97"/>
      <c r="MKT2" s="97"/>
      <c r="MKU2" s="97"/>
      <c r="MKV2" s="97"/>
      <c r="MKW2" s="97"/>
      <c r="MKX2" s="97"/>
      <c r="MKY2" s="97"/>
      <c r="MKZ2" s="97"/>
      <c r="MLA2" s="97"/>
      <c r="MLB2" s="97"/>
      <c r="MLC2" s="97"/>
      <c r="MLD2" s="97"/>
      <c r="MLE2" s="97"/>
      <c r="MLF2" s="97"/>
      <c r="MLG2" s="97"/>
      <c r="MLH2" s="97"/>
      <c r="MLI2" s="97"/>
      <c r="MLJ2" s="97"/>
      <c r="MLK2" s="97"/>
      <c r="MLL2" s="97"/>
      <c r="MLM2" s="97"/>
      <c r="MLN2" s="97"/>
      <c r="MLO2" s="97"/>
      <c r="MLP2" s="97"/>
      <c r="MLQ2" s="97"/>
      <c r="MLR2" s="97"/>
      <c r="MLS2" s="97"/>
      <c r="MLT2" s="97"/>
      <c r="MLU2" s="97"/>
      <c r="MLV2" s="97"/>
      <c r="MLW2" s="97"/>
      <c r="MLX2" s="97"/>
      <c r="MLY2" s="97"/>
      <c r="MLZ2" s="97"/>
      <c r="MMA2" s="97"/>
      <c r="MMB2" s="97"/>
      <c r="MMC2" s="97"/>
      <c r="MMD2" s="97"/>
      <c r="MME2" s="97"/>
      <c r="MMF2" s="97"/>
      <c r="MMG2" s="97"/>
      <c r="MMH2" s="97"/>
      <c r="MMI2" s="97"/>
      <c r="MMJ2" s="97"/>
      <c r="MMK2" s="97"/>
      <c r="MML2" s="97"/>
      <c r="MMM2" s="97"/>
      <c r="MMN2" s="97"/>
      <c r="MMO2" s="97"/>
      <c r="MMP2" s="97"/>
      <c r="MMQ2" s="97"/>
      <c r="MMR2" s="97"/>
      <c r="MMS2" s="97"/>
      <c r="MMT2" s="97"/>
      <c r="MMU2" s="97"/>
      <c r="MMV2" s="97"/>
      <c r="MMW2" s="97"/>
      <c r="MMX2" s="97"/>
      <c r="MMY2" s="97"/>
      <c r="MMZ2" s="97"/>
      <c r="MNA2" s="97"/>
      <c r="MNB2" s="97"/>
      <c r="MNC2" s="97"/>
      <c r="MND2" s="97"/>
      <c r="MNE2" s="97"/>
      <c r="MNF2" s="97"/>
      <c r="MNG2" s="97"/>
      <c r="MNH2" s="97"/>
      <c r="MNI2" s="97"/>
      <c r="MNJ2" s="97"/>
      <c r="MNK2" s="97"/>
      <c r="MNL2" s="97"/>
      <c r="MNM2" s="97"/>
      <c r="MNN2" s="97"/>
      <c r="MNO2" s="97"/>
      <c r="MNP2" s="97"/>
      <c r="MNQ2" s="97"/>
      <c r="MNR2" s="97"/>
      <c r="MNS2" s="97"/>
      <c r="MNT2" s="97"/>
      <c r="MNU2" s="97"/>
      <c r="MNV2" s="97"/>
      <c r="MNW2" s="97"/>
      <c r="MNX2" s="97"/>
      <c r="MNY2" s="97"/>
      <c r="MNZ2" s="97"/>
      <c r="MOA2" s="97"/>
      <c r="MOB2" s="97"/>
      <c r="MOC2" s="97"/>
      <c r="MOD2" s="97"/>
      <c r="MOE2" s="97"/>
      <c r="MOF2" s="97"/>
      <c r="MOG2" s="97"/>
      <c r="MOH2" s="97"/>
      <c r="MOI2" s="97"/>
      <c r="MOJ2" s="97"/>
      <c r="MOK2" s="97"/>
      <c r="MOL2" s="97"/>
      <c r="MOM2" s="97"/>
      <c r="MON2" s="97"/>
      <c r="MOO2" s="97"/>
      <c r="MOP2" s="97"/>
      <c r="MOQ2" s="97"/>
      <c r="MOR2" s="97"/>
      <c r="MOS2" s="97"/>
      <c r="MOT2" s="97"/>
      <c r="MOU2" s="97"/>
      <c r="MOV2" s="97"/>
      <c r="MOW2" s="97"/>
      <c r="MOX2" s="97"/>
      <c r="MOY2" s="97"/>
      <c r="MOZ2" s="97"/>
      <c r="MPA2" s="97"/>
      <c r="MPB2" s="97"/>
      <c r="MPC2" s="97"/>
      <c r="MPD2" s="97"/>
      <c r="MPE2" s="97"/>
      <c r="MPF2" s="97"/>
      <c r="MPG2" s="97"/>
      <c r="MPH2" s="97"/>
      <c r="MPI2" s="97"/>
      <c r="MPJ2" s="97"/>
      <c r="MPK2" s="97"/>
      <c r="MPL2" s="97"/>
      <c r="MPM2" s="97"/>
      <c r="MPN2" s="97"/>
      <c r="MPO2" s="97"/>
      <c r="MPP2" s="97"/>
      <c r="MPQ2" s="97"/>
      <c r="MPR2" s="97"/>
      <c r="MPS2" s="97"/>
      <c r="MPT2" s="97"/>
      <c r="MPU2" s="97"/>
      <c r="MPV2" s="97"/>
      <c r="MPW2" s="97"/>
      <c r="MPX2" s="97"/>
      <c r="MPY2" s="97"/>
      <c r="MPZ2" s="97"/>
      <c r="MQA2" s="97"/>
      <c r="MQB2" s="97"/>
      <c r="MQC2" s="97"/>
      <c r="MQD2" s="97"/>
      <c r="MQE2" s="97"/>
      <c r="MQF2" s="97"/>
      <c r="MQG2" s="97"/>
      <c r="MQH2" s="97"/>
      <c r="MQI2" s="97"/>
      <c r="MQJ2" s="97"/>
      <c r="MQK2" s="97"/>
      <c r="MQL2" s="97"/>
      <c r="MQM2" s="97"/>
      <c r="MQN2" s="97"/>
      <c r="MQO2" s="97"/>
      <c r="MQP2" s="97"/>
      <c r="MQQ2" s="97"/>
      <c r="MQR2" s="97"/>
      <c r="MQS2" s="97"/>
      <c r="MQT2" s="97"/>
      <c r="MQU2" s="97"/>
      <c r="MQV2" s="97"/>
      <c r="MQW2" s="97"/>
      <c r="MQX2" s="97"/>
      <c r="MQY2" s="97"/>
      <c r="MQZ2" s="97"/>
      <c r="MRA2" s="97"/>
      <c r="MRB2" s="97"/>
      <c r="MRC2" s="97"/>
      <c r="MRD2" s="97"/>
      <c r="MRE2" s="97"/>
      <c r="MRF2" s="97"/>
      <c r="MRG2" s="97"/>
      <c r="MRH2" s="97"/>
      <c r="MRI2" s="97"/>
      <c r="MRJ2" s="97"/>
      <c r="MRK2" s="97"/>
      <c r="MRL2" s="97"/>
      <c r="MRM2" s="97"/>
      <c r="MRN2" s="97"/>
      <c r="MRO2" s="97"/>
      <c r="MRP2" s="97"/>
      <c r="MRQ2" s="97"/>
      <c r="MRR2" s="97"/>
      <c r="MRS2" s="97"/>
      <c r="MRT2" s="97"/>
      <c r="MRU2" s="97"/>
      <c r="MRV2" s="97"/>
      <c r="MRW2" s="97"/>
      <c r="MRX2" s="97"/>
      <c r="MRY2" s="97"/>
      <c r="MRZ2" s="97"/>
      <c r="MSA2" s="97"/>
      <c r="MSB2" s="97"/>
      <c r="MSC2" s="97"/>
      <c r="MSD2" s="97"/>
      <c r="MSE2" s="97"/>
      <c r="MSF2" s="97"/>
      <c r="MSG2" s="97"/>
      <c r="MSH2" s="97"/>
      <c r="MSI2" s="97"/>
      <c r="MSJ2" s="97"/>
      <c r="MSK2" s="97"/>
      <c r="MSL2" s="97"/>
      <c r="MSM2" s="97"/>
      <c r="MSN2" s="97"/>
      <c r="MSO2" s="97"/>
      <c r="MSP2" s="97"/>
      <c r="MSQ2" s="97"/>
      <c r="MSR2" s="97"/>
      <c r="MSS2" s="97"/>
      <c r="MST2" s="97"/>
      <c r="MSU2" s="97"/>
      <c r="MSV2" s="97"/>
      <c r="MSW2" s="97"/>
      <c r="MSX2" s="97"/>
      <c r="MSY2" s="97"/>
      <c r="MSZ2" s="97"/>
      <c r="MTA2" s="97"/>
      <c r="MTB2" s="97"/>
      <c r="MTC2" s="97"/>
      <c r="MTD2" s="97"/>
      <c r="MTE2" s="97"/>
      <c r="MTF2" s="97"/>
      <c r="MTG2" s="97"/>
      <c r="MTH2" s="97"/>
      <c r="MTI2" s="97"/>
      <c r="MTJ2" s="97"/>
      <c r="MTK2" s="97"/>
      <c r="MTL2" s="97"/>
      <c r="MTM2" s="97"/>
      <c r="MTN2" s="97"/>
      <c r="MTO2" s="97"/>
      <c r="MTP2" s="97"/>
      <c r="MTQ2" s="97"/>
      <c r="MTR2" s="97"/>
      <c r="MTS2" s="97"/>
      <c r="MTT2" s="97"/>
      <c r="MTU2" s="97"/>
      <c r="MTV2" s="97"/>
      <c r="MTW2" s="97"/>
      <c r="MTX2" s="97"/>
      <c r="MTY2" s="97"/>
      <c r="MTZ2" s="97"/>
      <c r="MUA2" s="97"/>
      <c r="MUB2" s="97"/>
      <c r="MUC2" s="97"/>
      <c r="MUD2" s="97"/>
      <c r="MUE2" s="97"/>
      <c r="MUF2" s="97"/>
      <c r="MUG2" s="97"/>
      <c r="MUH2" s="97"/>
      <c r="MUI2" s="97"/>
      <c r="MUJ2" s="97"/>
      <c r="MUK2" s="97"/>
      <c r="MUL2" s="97"/>
      <c r="MUM2" s="97"/>
      <c r="MUN2" s="97"/>
      <c r="MUO2" s="97"/>
      <c r="MUP2" s="97"/>
      <c r="MUQ2" s="97"/>
      <c r="MUR2" s="97"/>
      <c r="MUS2" s="97"/>
      <c r="MUT2" s="97"/>
      <c r="MUU2" s="97"/>
      <c r="MUV2" s="97"/>
      <c r="MUW2" s="97"/>
      <c r="MUX2" s="97"/>
      <c r="MUY2" s="97"/>
      <c r="MUZ2" s="97"/>
      <c r="MVA2" s="97"/>
      <c r="MVB2" s="97"/>
      <c r="MVC2" s="97"/>
      <c r="MVD2" s="97"/>
      <c r="MVE2" s="97"/>
      <c r="MVF2" s="97"/>
      <c r="MVG2" s="97"/>
      <c r="MVH2" s="97"/>
      <c r="MVI2" s="97"/>
      <c r="MVJ2" s="97"/>
      <c r="MVK2" s="97"/>
      <c r="MVL2" s="97"/>
      <c r="MVM2" s="97"/>
      <c r="MVN2" s="97"/>
      <c r="MVO2" s="97"/>
      <c r="MVP2" s="97"/>
      <c r="MVQ2" s="97"/>
      <c r="MVR2" s="97"/>
      <c r="MVS2" s="97"/>
      <c r="MVT2" s="97"/>
      <c r="MVU2" s="97"/>
      <c r="MVV2" s="97"/>
      <c r="MVW2" s="97"/>
      <c r="MVX2" s="97"/>
      <c r="MVY2" s="97"/>
      <c r="MVZ2" s="97"/>
      <c r="MWA2" s="97"/>
      <c r="MWB2" s="97"/>
      <c r="MWC2" s="97"/>
      <c r="MWD2" s="97"/>
      <c r="MWE2" s="97"/>
      <c r="MWF2" s="97"/>
      <c r="MWG2" s="97"/>
      <c r="MWH2" s="97"/>
      <c r="MWI2" s="97"/>
      <c r="MWJ2" s="97"/>
      <c r="MWK2" s="97"/>
      <c r="MWL2" s="97"/>
      <c r="MWM2" s="97"/>
      <c r="MWN2" s="97"/>
      <c r="MWO2" s="97"/>
      <c r="MWP2" s="97"/>
      <c r="MWQ2" s="97"/>
      <c r="MWR2" s="97"/>
      <c r="MWS2" s="97"/>
      <c r="MWT2" s="97"/>
      <c r="MWU2" s="97"/>
      <c r="MWV2" s="97"/>
      <c r="MWW2" s="97"/>
      <c r="MWX2" s="97"/>
      <c r="MWY2" s="97"/>
      <c r="MWZ2" s="97"/>
      <c r="MXA2" s="97"/>
      <c r="MXB2" s="97"/>
      <c r="MXC2" s="97"/>
      <c r="MXD2" s="97"/>
      <c r="MXE2" s="97"/>
      <c r="MXF2" s="97"/>
      <c r="MXG2" s="97"/>
      <c r="MXH2" s="97"/>
      <c r="MXI2" s="97"/>
      <c r="MXJ2" s="97"/>
      <c r="MXK2" s="97"/>
      <c r="MXL2" s="97"/>
      <c r="MXM2" s="97"/>
      <c r="MXN2" s="97"/>
      <c r="MXO2" s="97"/>
      <c r="MXP2" s="97"/>
      <c r="MXQ2" s="97"/>
      <c r="MXR2" s="97"/>
      <c r="MXS2" s="97"/>
      <c r="MXT2" s="97"/>
      <c r="MXU2" s="97"/>
      <c r="MXV2" s="97"/>
      <c r="MXW2" s="97"/>
      <c r="MXX2" s="97"/>
      <c r="MXY2" s="97"/>
      <c r="MXZ2" s="97"/>
      <c r="MYA2" s="97"/>
      <c r="MYB2" s="97"/>
      <c r="MYC2" s="97"/>
      <c r="MYD2" s="97"/>
      <c r="MYE2" s="97"/>
      <c r="MYF2" s="97"/>
      <c r="MYG2" s="97"/>
      <c r="MYH2" s="97"/>
      <c r="MYI2" s="97"/>
      <c r="MYJ2" s="97"/>
      <c r="MYK2" s="97"/>
      <c r="MYL2" s="97"/>
      <c r="MYM2" s="97"/>
      <c r="MYN2" s="97"/>
      <c r="MYO2" s="97"/>
      <c r="MYP2" s="97"/>
      <c r="MYQ2" s="97"/>
      <c r="MYR2" s="97"/>
      <c r="MYS2" s="97"/>
      <c r="MYT2" s="97"/>
      <c r="MYU2" s="97"/>
      <c r="MYV2" s="97"/>
      <c r="MYW2" s="97"/>
      <c r="MYX2" s="97"/>
      <c r="MYY2" s="97"/>
      <c r="MYZ2" s="97"/>
      <c r="MZA2" s="97"/>
      <c r="MZB2" s="97"/>
      <c r="MZC2" s="97"/>
      <c r="MZD2" s="97"/>
      <c r="MZE2" s="97"/>
      <c r="MZF2" s="97"/>
      <c r="MZG2" s="97"/>
      <c r="MZH2" s="97"/>
      <c r="MZI2" s="97"/>
      <c r="MZJ2" s="97"/>
      <c r="MZK2" s="97"/>
      <c r="MZL2" s="97"/>
      <c r="MZM2" s="97"/>
      <c r="MZN2" s="97"/>
      <c r="MZO2" s="97"/>
      <c r="MZP2" s="97"/>
      <c r="MZQ2" s="97"/>
      <c r="MZR2" s="97"/>
      <c r="MZS2" s="97"/>
      <c r="MZT2" s="97"/>
      <c r="MZU2" s="97"/>
      <c r="MZV2" s="97"/>
      <c r="MZW2" s="97"/>
      <c r="MZX2" s="97"/>
      <c r="MZY2" s="97"/>
      <c r="MZZ2" s="97"/>
      <c r="NAA2" s="97"/>
      <c r="NAB2" s="97"/>
      <c r="NAC2" s="97"/>
      <c r="NAD2" s="97"/>
      <c r="NAE2" s="97"/>
      <c r="NAF2" s="97"/>
      <c r="NAG2" s="97"/>
      <c r="NAH2" s="97"/>
      <c r="NAI2" s="97"/>
      <c r="NAJ2" s="97"/>
      <c r="NAK2" s="97"/>
      <c r="NAL2" s="97"/>
      <c r="NAM2" s="97"/>
      <c r="NAN2" s="97"/>
      <c r="NAO2" s="97"/>
      <c r="NAP2" s="97"/>
      <c r="NAQ2" s="97"/>
      <c r="NAR2" s="97"/>
      <c r="NAS2" s="97"/>
      <c r="NAT2" s="97"/>
      <c r="NAU2" s="97"/>
      <c r="NAV2" s="97"/>
      <c r="NAW2" s="97"/>
      <c r="NAX2" s="97"/>
      <c r="NAY2" s="97"/>
      <c r="NAZ2" s="97"/>
      <c r="NBA2" s="97"/>
      <c r="NBB2" s="97"/>
      <c r="NBC2" s="97"/>
      <c r="NBD2" s="97"/>
      <c r="NBE2" s="97"/>
      <c r="NBF2" s="97"/>
      <c r="NBG2" s="97"/>
      <c r="NBH2" s="97"/>
      <c r="NBI2" s="97"/>
      <c r="NBJ2" s="97"/>
      <c r="NBK2" s="97"/>
      <c r="NBL2" s="97"/>
      <c r="NBM2" s="97"/>
      <c r="NBN2" s="97"/>
      <c r="NBO2" s="97"/>
      <c r="NBP2" s="97"/>
      <c r="NBQ2" s="97"/>
      <c r="NBR2" s="97"/>
      <c r="NBS2" s="97"/>
      <c r="NBT2" s="97"/>
      <c r="NBU2" s="97"/>
      <c r="NBV2" s="97"/>
      <c r="NBW2" s="97"/>
      <c r="NBX2" s="97"/>
      <c r="NBY2" s="97"/>
      <c r="NBZ2" s="97"/>
      <c r="NCA2" s="97"/>
      <c r="NCB2" s="97"/>
      <c r="NCC2" s="97"/>
      <c r="NCD2" s="97"/>
      <c r="NCE2" s="97"/>
      <c r="NCF2" s="97"/>
      <c r="NCG2" s="97"/>
      <c r="NCH2" s="97"/>
      <c r="NCI2" s="97"/>
      <c r="NCJ2" s="97"/>
      <c r="NCK2" s="97"/>
      <c r="NCL2" s="97"/>
      <c r="NCM2" s="97"/>
      <c r="NCN2" s="97"/>
      <c r="NCO2" s="97"/>
      <c r="NCP2" s="97"/>
      <c r="NCQ2" s="97"/>
      <c r="NCR2" s="97"/>
      <c r="NCS2" s="97"/>
      <c r="NCT2" s="97"/>
      <c r="NCU2" s="97"/>
      <c r="NCV2" s="97"/>
      <c r="NCW2" s="97"/>
      <c r="NCX2" s="97"/>
      <c r="NCY2" s="97"/>
      <c r="NCZ2" s="97"/>
      <c r="NDA2" s="97"/>
      <c r="NDB2" s="97"/>
      <c r="NDC2" s="97"/>
      <c r="NDD2" s="97"/>
      <c r="NDE2" s="97"/>
      <c r="NDF2" s="97"/>
      <c r="NDG2" s="97"/>
      <c r="NDH2" s="97"/>
      <c r="NDI2" s="97"/>
      <c r="NDJ2" s="97"/>
      <c r="NDK2" s="97"/>
      <c r="NDL2" s="97"/>
      <c r="NDM2" s="97"/>
      <c r="NDN2" s="97"/>
      <c r="NDO2" s="97"/>
      <c r="NDP2" s="97"/>
      <c r="NDQ2" s="97"/>
      <c r="NDR2" s="97"/>
      <c r="NDS2" s="97"/>
      <c r="NDT2" s="97"/>
      <c r="NDU2" s="97"/>
      <c r="NDV2" s="97"/>
      <c r="NDW2" s="97"/>
      <c r="NDX2" s="97"/>
      <c r="NDY2" s="97"/>
      <c r="NDZ2" s="97"/>
      <c r="NEA2" s="97"/>
      <c r="NEB2" s="97"/>
      <c r="NEC2" s="97"/>
      <c r="NED2" s="97"/>
      <c r="NEE2" s="97"/>
      <c r="NEF2" s="97"/>
      <c r="NEG2" s="97"/>
      <c r="NEH2" s="97"/>
      <c r="NEI2" s="97"/>
      <c r="NEJ2" s="97"/>
      <c r="NEK2" s="97"/>
      <c r="NEL2" s="97"/>
      <c r="NEM2" s="97"/>
      <c r="NEN2" s="97"/>
      <c r="NEO2" s="97"/>
      <c r="NEP2" s="97"/>
      <c r="NEQ2" s="97"/>
      <c r="NER2" s="97"/>
      <c r="NES2" s="97"/>
      <c r="NET2" s="97"/>
      <c r="NEU2" s="97"/>
      <c r="NEV2" s="97"/>
      <c r="NEW2" s="97"/>
      <c r="NEX2" s="97"/>
      <c r="NEY2" s="97"/>
      <c r="NEZ2" s="97"/>
      <c r="NFA2" s="97"/>
      <c r="NFB2" s="97"/>
      <c r="NFC2" s="97"/>
      <c r="NFD2" s="97"/>
      <c r="NFE2" s="97"/>
      <c r="NFF2" s="97"/>
      <c r="NFG2" s="97"/>
      <c r="NFH2" s="97"/>
      <c r="NFI2" s="97"/>
      <c r="NFJ2" s="97"/>
      <c r="NFK2" s="97"/>
      <c r="NFL2" s="97"/>
      <c r="NFM2" s="97"/>
      <c r="NFN2" s="97"/>
      <c r="NFO2" s="97"/>
      <c r="NFP2" s="97"/>
      <c r="NFQ2" s="97"/>
      <c r="NFR2" s="97"/>
      <c r="NFS2" s="97"/>
      <c r="NFT2" s="97"/>
      <c r="NFU2" s="97"/>
      <c r="NFV2" s="97"/>
      <c r="NFW2" s="97"/>
      <c r="NFX2" s="97"/>
      <c r="NFY2" s="97"/>
      <c r="NFZ2" s="97"/>
      <c r="NGA2" s="97"/>
      <c r="NGB2" s="97"/>
      <c r="NGC2" s="97"/>
      <c r="NGD2" s="97"/>
      <c r="NGE2" s="97"/>
      <c r="NGF2" s="97"/>
      <c r="NGG2" s="97"/>
      <c r="NGH2" s="97"/>
      <c r="NGI2" s="97"/>
      <c r="NGJ2" s="97"/>
      <c r="NGK2" s="97"/>
      <c r="NGL2" s="97"/>
      <c r="NGM2" s="97"/>
      <c r="NGN2" s="97"/>
      <c r="NGO2" s="97"/>
      <c r="NGP2" s="97"/>
      <c r="NGQ2" s="97"/>
      <c r="NGR2" s="97"/>
      <c r="NGS2" s="97"/>
      <c r="NGT2" s="97"/>
      <c r="NGU2" s="97"/>
      <c r="NGV2" s="97"/>
      <c r="NGW2" s="97"/>
      <c r="NGX2" s="97"/>
      <c r="NGY2" s="97"/>
      <c r="NGZ2" s="97"/>
      <c r="NHA2" s="97"/>
      <c r="NHB2" s="97"/>
      <c r="NHC2" s="97"/>
      <c r="NHD2" s="97"/>
      <c r="NHE2" s="97"/>
      <c r="NHF2" s="97"/>
      <c r="NHG2" s="97"/>
      <c r="NHH2" s="97"/>
      <c r="NHI2" s="97"/>
      <c r="NHJ2" s="97"/>
      <c r="NHK2" s="97"/>
      <c r="NHL2" s="97"/>
      <c r="NHM2" s="97"/>
      <c r="NHN2" s="97"/>
      <c r="NHO2" s="97"/>
      <c r="NHP2" s="97"/>
      <c r="NHQ2" s="97"/>
      <c r="NHR2" s="97"/>
      <c r="NHS2" s="97"/>
      <c r="NHT2" s="97"/>
      <c r="NHU2" s="97"/>
      <c r="NHV2" s="97"/>
      <c r="NHW2" s="97"/>
      <c r="NHX2" s="97"/>
      <c r="NHY2" s="97"/>
      <c r="NHZ2" s="97"/>
      <c r="NIA2" s="97"/>
      <c r="NIB2" s="97"/>
      <c r="NIC2" s="97"/>
      <c r="NID2" s="97"/>
      <c r="NIE2" s="97"/>
      <c r="NIF2" s="97"/>
      <c r="NIG2" s="97"/>
      <c r="NIH2" s="97"/>
      <c r="NII2" s="97"/>
      <c r="NIJ2" s="97"/>
      <c r="NIK2" s="97"/>
      <c r="NIL2" s="97"/>
      <c r="NIM2" s="97"/>
      <c r="NIN2" s="97"/>
      <c r="NIO2" s="97"/>
      <c r="NIP2" s="97"/>
      <c r="NIQ2" s="97"/>
      <c r="NIR2" s="97"/>
      <c r="NIS2" s="97"/>
      <c r="NIT2" s="97"/>
      <c r="NIU2" s="97"/>
      <c r="NIV2" s="97"/>
      <c r="NIW2" s="97"/>
      <c r="NIX2" s="97"/>
      <c r="NIY2" s="97"/>
      <c r="NIZ2" s="97"/>
      <c r="NJA2" s="97"/>
      <c r="NJB2" s="97"/>
      <c r="NJC2" s="97"/>
      <c r="NJD2" s="97"/>
      <c r="NJE2" s="97"/>
      <c r="NJF2" s="97"/>
      <c r="NJG2" s="97"/>
      <c r="NJH2" s="97"/>
      <c r="NJI2" s="97"/>
      <c r="NJJ2" s="97"/>
      <c r="NJK2" s="97"/>
      <c r="NJL2" s="97"/>
      <c r="NJM2" s="97"/>
      <c r="NJN2" s="97"/>
      <c r="NJO2" s="97"/>
      <c r="NJP2" s="97"/>
      <c r="NJQ2" s="97"/>
      <c r="NJR2" s="97"/>
      <c r="NJS2" s="97"/>
      <c r="NJT2" s="97"/>
      <c r="NJU2" s="97"/>
      <c r="NJV2" s="97"/>
      <c r="NJW2" s="97"/>
      <c r="NJX2" s="97"/>
      <c r="NJY2" s="97"/>
      <c r="NJZ2" s="97"/>
      <c r="NKA2" s="97"/>
      <c r="NKB2" s="97"/>
      <c r="NKC2" s="97"/>
      <c r="NKD2" s="97"/>
      <c r="NKE2" s="97"/>
      <c r="NKF2" s="97"/>
      <c r="NKG2" s="97"/>
      <c r="NKH2" s="97"/>
      <c r="NKI2" s="97"/>
      <c r="NKJ2" s="97"/>
      <c r="NKK2" s="97"/>
      <c r="NKL2" s="97"/>
      <c r="NKM2" s="97"/>
      <c r="NKN2" s="97"/>
      <c r="NKO2" s="97"/>
      <c r="NKP2" s="97"/>
      <c r="NKQ2" s="97"/>
      <c r="NKR2" s="97"/>
      <c r="NKS2" s="97"/>
      <c r="NKT2" s="97"/>
      <c r="NKU2" s="97"/>
      <c r="NKV2" s="97"/>
      <c r="NKW2" s="97"/>
      <c r="NKX2" s="97"/>
      <c r="NKY2" s="97"/>
      <c r="NKZ2" s="97"/>
      <c r="NLA2" s="97"/>
      <c r="NLB2" s="97"/>
      <c r="NLC2" s="97"/>
      <c r="NLD2" s="97"/>
      <c r="NLE2" s="97"/>
      <c r="NLF2" s="97"/>
      <c r="NLG2" s="97"/>
      <c r="NLH2" s="97"/>
      <c r="NLI2" s="97"/>
      <c r="NLJ2" s="97"/>
      <c r="NLK2" s="97"/>
      <c r="NLL2" s="97"/>
      <c r="NLM2" s="97"/>
      <c r="NLN2" s="97"/>
      <c r="NLO2" s="97"/>
      <c r="NLP2" s="97"/>
      <c r="NLQ2" s="97"/>
      <c r="NLR2" s="97"/>
      <c r="NLS2" s="97"/>
      <c r="NLT2" s="97"/>
      <c r="NLU2" s="97"/>
      <c r="NLV2" s="97"/>
      <c r="NLW2" s="97"/>
      <c r="NLX2" s="97"/>
      <c r="NLY2" s="97"/>
      <c r="NLZ2" s="97"/>
      <c r="NMA2" s="97"/>
      <c r="NMB2" s="97"/>
      <c r="NMC2" s="97"/>
      <c r="NMD2" s="97"/>
      <c r="NME2" s="97"/>
      <c r="NMF2" s="97"/>
      <c r="NMG2" s="97"/>
      <c r="NMH2" s="97"/>
      <c r="NMI2" s="97"/>
      <c r="NMJ2" s="97"/>
      <c r="NMK2" s="97"/>
      <c r="NML2" s="97"/>
      <c r="NMM2" s="97"/>
      <c r="NMN2" s="97"/>
      <c r="NMO2" s="97"/>
      <c r="NMP2" s="97"/>
      <c r="NMQ2" s="97"/>
      <c r="NMR2" s="97"/>
      <c r="NMS2" s="97"/>
      <c r="NMT2" s="97"/>
      <c r="NMU2" s="97"/>
      <c r="NMV2" s="97"/>
      <c r="NMW2" s="97"/>
      <c r="NMX2" s="97"/>
      <c r="NMY2" s="97"/>
      <c r="NMZ2" s="97"/>
      <c r="NNA2" s="97"/>
      <c r="NNB2" s="97"/>
      <c r="NNC2" s="97"/>
      <c r="NND2" s="97"/>
      <c r="NNE2" s="97"/>
      <c r="NNF2" s="97"/>
      <c r="NNG2" s="97"/>
      <c r="NNH2" s="97"/>
      <c r="NNI2" s="97"/>
      <c r="NNJ2" s="97"/>
      <c r="NNK2" s="97"/>
      <c r="NNL2" s="97"/>
      <c r="NNM2" s="97"/>
      <c r="NNN2" s="97"/>
      <c r="NNO2" s="97"/>
      <c r="NNP2" s="97"/>
      <c r="NNQ2" s="97"/>
      <c r="NNR2" s="97"/>
      <c r="NNS2" s="97"/>
      <c r="NNT2" s="97"/>
      <c r="NNU2" s="97"/>
      <c r="NNV2" s="97"/>
      <c r="NNW2" s="97"/>
      <c r="NNX2" s="97"/>
      <c r="NNY2" s="97"/>
      <c r="NNZ2" s="97"/>
      <c r="NOA2" s="97"/>
      <c r="NOB2" s="97"/>
      <c r="NOC2" s="97"/>
      <c r="NOD2" s="97"/>
      <c r="NOE2" s="97"/>
      <c r="NOF2" s="97"/>
      <c r="NOG2" s="97"/>
      <c r="NOH2" s="97"/>
      <c r="NOI2" s="97"/>
      <c r="NOJ2" s="97"/>
      <c r="NOK2" s="97"/>
      <c r="NOL2" s="97"/>
      <c r="NOM2" s="97"/>
      <c r="NON2" s="97"/>
      <c r="NOO2" s="97"/>
      <c r="NOP2" s="97"/>
      <c r="NOQ2" s="97"/>
      <c r="NOR2" s="97"/>
      <c r="NOS2" s="97"/>
      <c r="NOT2" s="97"/>
      <c r="NOU2" s="97"/>
      <c r="NOV2" s="97"/>
      <c r="NOW2" s="97"/>
      <c r="NOX2" s="97"/>
      <c r="NOY2" s="97"/>
      <c r="NOZ2" s="97"/>
      <c r="NPA2" s="97"/>
      <c r="NPB2" s="97"/>
      <c r="NPC2" s="97"/>
      <c r="NPD2" s="97"/>
      <c r="NPE2" s="97"/>
      <c r="NPF2" s="97"/>
      <c r="NPG2" s="97"/>
      <c r="NPH2" s="97"/>
      <c r="NPI2" s="97"/>
      <c r="NPJ2" s="97"/>
      <c r="NPK2" s="97"/>
      <c r="NPL2" s="97"/>
      <c r="NPM2" s="97"/>
      <c r="NPN2" s="97"/>
      <c r="NPO2" s="97"/>
      <c r="NPP2" s="97"/>
      <c r="NPQ2" s="97"/>
      <c r="NPR2" s="97"/>
      <c r="NPS2" s="97"/>
      <c r="NPT2" s="97"/>
      <c r="NPU2" s="97"/>
      <c r="NPV2" s="97"/>
      <c r="NPW2" s="97"/>
      <c r="NPX2" s="97"/>
      <c r="NPY2" s="97"/>
      <c r="NPZ2" s="97"/>
      <c r="NQA2" s="97"/>
      <c r="NQB2" s="97"/>
      <c r="NQC2" s="97"/>
      <c r="NQD2" s="97"/>
      <c r="NQE2" s="97"/>
      <c r="NQF2" s="97"/>
      <c r="NQG2" s="97"/>
      <c r="NQH2" s="97"/>
      <c r="NQI2" s="97"/>
      <c r="NQJ2" s="97"/>
      <c r="NQK2" s="97"/>
      <c r="NQL2" s="97"/>
      <c r="NQM2" s="97"/>
      <c r="NQN2" s="97"/>
      <c r="NQO2" s="97"/>
      <c r="NQP2" s="97"/>
      <c r="NQQ2" s="97"/>
      <c r="NQR2" s="97"/>
      <c r="NQS2" s="97"/>
      <c r="NQT2" s="97"/>
      <c r="NQU2" s="97"/>
      <c r="NQV2" s="97"/>
      <c r="NQW2" s="97"/>
      <c r="NQX2" s="97"/>
      <c r="NQY2" s="97"/>
      <c r="NQZ2" s="97"/>
      <c r="NRA2" s="97"/>
      <c r="NRB2" s="97"/>
      <c r="NRC2" s="97"/>
      <c r="NRD2" s="97"/>
      <c r="NRE2" s="97"/>
    </row>
    <row r="3" spans="1:9937" s="30" customFormat="1" ht="23.5" x14ac:dyDescent="0.55000000000000004">
      <c r="A3" s="179">
        <f>Estimates!B1</f>
        <v>0</v>
      </c>
      <c r="B3" s="52"/>
      <c r="C3" s="351"/>
      <c r="D3" s="387"/>
      <c r="E3" s="503"/>
      <c r="F3" s="503"/>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98"/>
      <c r="GP3" s="98"/>
      <c r="GQ3" s="98"/>
      <c r="GR3" s="98"/>
      <c r="GS3" s="98"/>
      <c r="GT3" s="98"/>
      <c r="GU3" s="98"/>
      <c r="GV3" s="98"/>
      <c r="GW3" s="98"/>
      <c r="GX3" s="98"/>
      <c r="GY3" s="98"/>
      <c r="GZ3" s="98"/>
      <c r="HA3" s="98"/>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c r="BDE3" s="97"/>
      <c r="BDF3" s="97"/>
      <c r="BDG3" s="97"/>
      <c r="BDH3" s="97"/>
      <c r="BDI3" s="97"/>
      <c r="BDJ3" s="97"/>
      <c r="BDK3" s="97"/>
      <c r="BDL3" s="97"/>
      <c r="BDM3" s="97"/>
      <c r="BDN3" s="97"/>
      <c r="BDO3" s="97"/>
      <c r="BDP3" s="97"/>
      <c r="BDQ3" s="97"/>
      <c r="BDR3" s="97"/>
      <c r="BDS3" s="97"/>
      <c r="BDT3" s="97"/>
      <c r="BDU3" s="97"/>
      <c r="BDV3" s="97"/>
      <c r="BDW3" s="97"/>
      <c r="BDX3" s="97"/>
      <c r="BDY3" s="97"/>
      <c r="BDZ3" s="97"/>
      <c r="BEA3" s="97"/>
      <c r="BEB3" s="97"/>
      <c r="BEC3" s="97"/>
      <c r="BED3" s="97"/>
      <c r="BEE3" s="97"/>
      <c r="BEF3" s="97"/>
      <c r="BEG3" s="97"/>
      <c r="BEH3" s="97"/>
      <c r="BEI3" s="97"/>
      <c r="BEJ3" s="97"/>
      <c r="BEK3" s="97"/>
      <c r="BEL3" s="97"/>
      <c r="BEM3" s="97"/>
      <c r="BEN3" s="97"/>
      <c r="BEO3" s="97"/>
      <c r="BEP3" s="97"/>
      <c r="BEQ3" s="97"/>
      <c r="BER3" s="97"/>
      <c r="BES3" s="97"/>
      <c r="BET3" s="97"/>
      <c r="BEU3" s="97"/>
      <c r="BEV3" s="97"/>
      <c r="BEW3" s="97"/>
      <c r="BEX3" s="97"/>
      <c r="BEY3" s="97"/>
      <c r="BEZ3" s="97"/>
      <c r="BFA3" s="97"/>
      <c r="BFB3" s="97"/>
      <c r="BFC3" s="97"/>
      <c r="BFD3" s="97"/>
      <c r="BFE3" s="97"/>
      <c r="BFF3" s="97"/>
      <c r="BFG3" s="97"/>
      <c r="BFH3" s="97"/>
      <c r="BFI3" s="97"/>
      <c r="BFJ3" s="97"/>
      <c r="BFK3" s="97"/>
      <c r="BFL3" s="97"/>
      <c r="BFM3" s="97"/>
      <c r="BFN3" s="97"/>
      <c r="BFO3" s="97"/>
      <c r="BFP3" s="97"/>
      <c r="BFQ3" s="97"/>
      <c r="BFR3" s="97"/>
      <c r="BFS3" s="97"/>
      <c r="BFT3" s="97"/>
      <c r="BFU3" s="97"/>
      <c r="BFV3" s="97"/>
      <c r="BFW3" s="97"/>
      <c r="BFX3" s="97"/>
      <c r="BFY3" s="97"/>
      <c r="BFZ3" s="97"/>
      <c r="BGA3" s="97"/>
      <c r="BGB3" s="97"/>
      <c r="BGC3" s="97"/>
      <c r="BGD3" s="97"/>
      <c r="BGE3" s="97"/>
      <c r="BGF3" s="97"/>
      <c r="BGG3" s="97"/>
      <c r="BGH3" s="97"/>
      <c r="BGI3" s="97"/>
      <c r="BGJ3" s="97"/>
      <c r="BGK3" s="97"/>
      <c r="BGL3" s="97"/>
      <c r="BGM3" s="97"/>
      <c r="BGN3" s="97"/>
      <c r="BGO3" s="97"/>
      <c r="BGP3" s="97"/>
      <c r="BGQ3" s="97"/>
      <c r="BGR3" s="97"/>
      <c r="BGS3" s="97"/>
      <c r="BGT3" s="97"/>
      <c r="BGU3" s="97"/>
      <c r="BGV3" s="97"/>
      <c r="BGW3" s="97"/>
      <c r="BGX3" s="97"/>
      <c r="BGY3" s="97"/>
      <c r="BGZ3" s="97"/>
      <c r="BHA3" s="97"/>
      <c r="BHB3" s="97"/>
      <c r="BHC3" s="97"/>
      <c r="BHD3" s="97"/>
      <c r="BHE3" s="97"/>
      <c r="BHF3" s="97"/>
      <c r="BHG3" s="97"/>
      <c r="BHH3" s="97"/>
      <c r="BHI3" s="97"/>
      <c r="BHJ3" s="97"/>
      <c r="BHK3" s="97"/>
      <c r="BHL3" s="97"/>
      <c r="BHM3" s="97"/>
      <c r="BHN3" s="97"/>
      <c r="BHO3" s="97"/>
      <c r="BHP3" s="97"/>
      <c r="BHQ3" s="97"/>
      <c r="BHR3" s="97"/>
      <c r="BHS3" s="97"/>
      <c r="BHT3" s="97"/>
      <c r="BHU3" s="97"/>
      <c r="BHV3" s="97"/>
      <c r="BHW3" s="97"/>
      <c r="BHX3" s="97"/>
      <c r="BHY3" s="97"/>
      <c r="BHZ3" s="97"/>
      <c r="BIA3" s="97"/>
      <c r="BIB3" s="97"/>
      <c r="BIC3" s="97"/>
      <c r="BID3" s="97"/>
      <c r="BIE3" s="97"/>
      <c r="BIF3" s="97"/>
      <c r="BIG3" s="97"/>
      <c r="BIH3" s="97"/>
      <c r="BII3" s="97"/>
      <c r="BIJ3" s="97"/>
      <c r="BIK3" s="97"/>
      <c r="BIL3" s="97"/>
      <c r="BIM3" s="97"/>
      <c r="BIN3" s="97"/>
      <c r="BIO3" s="97"/>
      <c r="BIP3" s="97"/>
      <c r="BIQ3" s="97"/>
      <c r="BIR3" s="97"/>
      <c r="BIS3" s="97"/>
      <c r="BIT3" s="97"/>
      <c r="BIU3" s="97"/>
      <c r="BIV3" s="97"/>
      <c r="BIW3" s="97"/>
      <c r="BIX3" s="97"/>
      <c r="BIY3" s="97"/>
      <c r="BIZ3" s="97"/>
      <c r="BJA3" s="97"/>
      <c r="BJB3" s="97"/>
      <c r="BJC3" s="97"/>
      <c r="BJD3" s="97"/>
      <c r="BJE3" s="97"/>
      <c r="BJF3" s="97"/>
      <c r="BJG3" s="97"/>
      <c r="BJH3" s="97"/>
      <c r="BJI3" s="97"/>
      <c r="BJJ3" s="97"/>
      <c r="BJK3" s="97"/>
      <c r="BJL3" s="97"/>
      <c r="BJM3" s="97"/>
      <c r="BJN3" s="97"/>
      <c r="BJO3" s="97"/>
      <c r="BJP3" s="97"/>
      <c r="BJQ3" s="97"/>
      <c r="BJR3" s="97"/>
      <c r="BJS3" s="97"/>
      <c r="BJT3" s="97"/>
      <c r="BJU3" s="97"/>
      <c r="BJV3" s="97"/>
      <c r="BJW3" s="97"/>
      <c r="BJX3" s="97"/>
      <c r="BJY3" s="97"/>
      <c r="BJZ3" s="97"/>
      <c r="BKA3" s="97"/>
      <c r="BKB3" s="97"/>
      <c r="BKC3" s="97"/>
      <c r="BKD3" s="97"/>
      <c r="BKE3" s="97"/>
      <c r="BKF3" s="97"/>
      <c r="BKG3" s="97"/>
      <c r="BKH3" s="97"/>
      <c r="BKI3" s="97"/>
      <c r="BKJ3" s="97"/>
      <c r="BKK3" s="97"/>
      <c r="BKL3" s="97"/>
      <c r="BKM3" s="97"/>
      <c r="BKN3" s="97"/>
      <c r="BKO3" s="97"/>
      <c r="BKP3" s="97"/>
      <c r="BKQ3" s="97"/>
      <c r="BKR3" s="97"/>
      <c r="BKS3" s="97"/>
      <c r="BKT3" s="97"/>
      <c r="BKU3" s="97"/>
      <c r="BKV3" s="97"/>
      <c r="BKW3" s="97"/>
      <c r="BKX3" s="97"/>
      <c r="BKY3" s="97"/>
      <c r="BKZ3" s="97"/>
      <c r="BLA3" s="97"/>
      <c r="BLB3" s="97"/>
      <c r="BLC3" s="97"/>
      <c r="BLD3" s="97"/>
      <c r="BLE3" s="97"/>
      <c r="BLF3" s="97"/>
      <c r="BLG3" s="97"/>
      <c r="BLH3" s="97"/>
      <c r="BLI3" s="97"/>
      <c r="BLJ3" s="97"/>
      <c r="BLK3" s="97"/>
      <c r="BLL3" s="97"/>
      <c r="BLM3" s="97"/>
      <c r="BLN3" s="97"/>
      <c r="BLO3" s="97"/>
      <c r="BLP3" s="97"/>
      <c r="BLQ3" s="97"/>
      <c r="BLR3" s="97"/>
      <c r="BLS3" s="97"/>
      <c r="BLT3" s="97"/>
      <c r="BLU3" s="97"/>
      <c r="BLV3" s="97"/>
      <c r="BLW3" s="97"/>
      <c r="BLX3" s="97"/>
      <c r="BLY3" s="97"/>
      <c r="BLZ3" s="97"/>
      <c r="BMA3" s="97"/>
      <c r="BMB3" s="97"/>
      <c r="BMC3" s="97"/>
      <c r="BMD3" s="97"/>
      <c r="BME3" s="97"/>
      <c r="BMF3" s="97"/>
      <c r="BMG3" s="97"/>
      <c r="BMH3" s="97"/>
      <c r="BMI3" s="97"/>
      <c r="BMJ3" s="97"/>
      <c r="BMK3" s="97"/>
      <c r="BML3" s="97"/>
      <c r="BMM3" s="97"/>
      <c r="BMN3" s="97"/>
      <c r="BMO3" s="97"/>
      <c r="BMP3" s="97"/>
      <c r="BMQ3" s="97"/>
      <c r="BMR3" s="97"/>
      <c r="BMS3" s="97"/>
      <c r="BMT3" s="97"/>
      <c r="BMU3" s="97"/>
      <c r="BMV3" s="97"/>
      <c r="BMW3" s="97"/>
      <c r="BMX3" s="97"/>
      <c r="BMY3" s="97"/>
      <c r="BMZ3" s="97"/>
      <c r="BNA3" s="97"/>
      <c r="BNB3" s="97"/>
      <c r="BNC3" s="97"/>
      <c r="BND3" s="97"/>
      <c r="BNE3" s="97"/>
      <c r="BNF3" s="97"/>
      <c r="BNG3" s="97"/>
      <c r="BNH3" s="97"/>
      <c r="BNI3" s="97"/>
      <c r="BNJ3" s="97"/>
      <c r="BNK3" s="97"/>
      <c r="BNL3" s="97"/>
      <c r="BNM3" s="97"/>
      <c r="BNN3" s="97"/>
      <c r="BNO3" s="97"/>
      <c r="BNP3" s="97"/>
      <c r="BNQ3" s="97"/>
      <c r="BNR3" s="97"/>
      <c r="BNS3" s="97"/>
      <c r="BNT3" s="97"/>
      <c r="BNU3" s="97"/>
      <c r="BNV3" s="97"/>
      <c r="BNW3" s="97"/>
      <c r="BNX3" s="97"/>
      <c r="BNY3" s="97"/>
      <c r="BNZ3" s="97"/>
      <c r="BOA3" s="97"/>
      <c r="BOB3" s="97"/>
      <c r="BOC3" s="97"/>
      <c r="BOD3" s="97"/>
      <c r="BOE3" s="97"/>
      <c r="BOF3" s="97"/>
      <c r="BOG3" s="97"/>
      <c r="BOH3" s="97"/>
      <c r="BOI3" s="97"/>
      <c r="BOJ3" s="97"/>
      <c r="BOK3" s="97"/>
      <c r="BOL3" s="97"/>
      <c r="BOM3" s="97"/>
      <c r="BON3" s="97"/>
      <c r="BOO3" s="97"/>
      <c r="BOP3" s="97"/>
      <c r="BOQ3" s="97"/>
      <c r="BOR3" s="97"/>
      <c r="BOS3" s="97"/>
      <c r="BOT3" s="97"/>
      <c r="BOU3" s="97"/>
      <c r="BOV3" s="97"/>
      <c r="BOW3" s="97"/>
      <c r="BOX3" s="97"/>
      <c r="BOY3" s="97"/>
      <c r="BOZ3" s="97"/>
      <c r="BPA3" s="97"/>
      <c r="BPB3" s="97"/>
      <c r="BPC3" s="97"/>
      <c r="BPD3" s="97"/>
      <c r="BPE3" s="97"/>
      <c r="BPF3" s="97"/>
      <c r="BPG3" s="97"/>
      <c r="BPH3" s="97"/>
      <c r="BPI3" s="97"/>
      <c r="BPJ3" s="97"/>
      <c r="BPK3" s="97"/>
      <c r="BPL3" s="97"/>
      <c r="BPM3" s="97"/>
      <c r="BPN3" s="97"/>
      <c r="BPO3" s="97"/>
      <c r="BPP3" s="97"/>
      <c r="BPQ3" s="97"/>
      <c r="BPR3" s="97"/>
      <c r="BPS3" s="97"/>
      <c r="BPT3" s="97"/>
      <c r="BPU3" s="97"/>
      <c r="BPV3" s="97"/>
      <c r="BPW3" s="97"/>
      <c r="BPX3" s="97"/>
      <c r="BPY3" s="97"/>
      <c r="BPZ3" s="97"/>
      <c r="BQA3" s="97"/>
      <c r="BQB3" s="97"/>
      <c r="BQC3" s="97"/>
      <c r="BQD3" s="97"/>
      <c r="BQE3" s="97"/>
      <c r="BQF3" s="97"/>
      <c r="BQG3" s="97"/>
      <c r="BQH3" s="97"/>
      <c r="BQI3" s="97"/>
      <c r="BQJ3" s="97"/>
      <c r="BQK3" s="97"/>
      <c r="BQL3" s="97"/>
      <c r="BQM3" s="97"/>
      <c r="BQN3" s="97"/>
      <c r="BQO3" s="97"/>
      <c r="BQP3" s="97"/>
      <c r="BQQ3" s="97"/>
      <c r="BQR3" s="97"/>
      <c r="BQS3" s="97"/>
      <c r="BQT3" s="97"/>
      <c r="BQU3" s="97"/>
      <c r="BQV3" s="97"/>
      <c r="BQW3" s="97"/>
      <c r="BQX3" s="97"/>
      <c r="BQY3" s="97"/>
      <c r="BQZ3" s="97"/>
      <c r="BRA3" s="97"/>
      <c r="BRB3" s="97"/>
      <c r="BRC3" s="97"/>
      <c r="BRD3" s="97"/>
      <c r="BRE3" s="97"/>
      <c r="BRF3" s="97"/>
      <c r="BRG3" s="97"/>
      <c r="BRH3" s="97"/>
      <c r="BRI3" s="97"/>
      <c r="BRJ3" s="97"/>
      <c r="BRK3" s="97"/>
      <c r="BRL3" s="97"/>
      <c r="BRM3" s="97"/>
      <c r="BRN3" s="97"/>
      <c r="BRO3" s="97"/>
      <c r="BRP3" s="97"/>
      <c r="BRQ3" s="97"/>
      <c r="BRR3" s="97"/>
      <c r="BRS3" s="97"/>
      <c r="BRT3" s="97"/>
      <c r="BRU3" s="97"/>
      <c r="BRV3" s="97"/>
      <c r="BRW3" s="97"/>
      <c r="BRX3" s="97"/>
      <c r="BRY3" s="97"/>
      <c r="BRZ3" s="97"/>
      <c r="BSA3" s="97"/>
      <c r="BSB3" s="97"/>
      <c r="BSC3" s="97"/>
      <c r="BSD3" s="97"/>
      <c r="BSE3" s="97"/>
      <c r="BSF3" s="97"/>
      <c r="BSG3" s="97"/>
      <c r="BSH3" s="97"/>
      <c r="BSI3" s="97"/>
      <c r="BSJ3" s="97"/>
      <c r="BSK3" s="97"/>
      <c r="BSL3" s="97"/>
      <c r="BSM3" s="97"/>
      <c r="BSN3" s="97"/>
      <c r="BSO3" s="97"/>
      <c r="BSP3" s="97"/>
      <c r="BSQ3" s="97"/>
      <c r="BSR3" s="97"/>
      <c r="BSS3" s="97"/>
      <c r="BST3" s="97"/>
      <c r="BSU3" s="97"/>
      <c r="BSV3" s="97"/>
      <c r="BSW3" s="97"/>
      <c r="BSX3" s="97"/>
      <c r="BSY3" s="97"/>
      <c r="BSZ3" s="97"/>
      <c r="BTA3" s="97"/>
      <c r="BTB3" s="97"/>
      <c r="BTC3" s="97"/>
      <c r="BTD3" s="97"/>
      <c r="BTE3" s="97"/>
      <c r="BTF3" s="97"/>
      <c r="BTG3" s="97"/>
      <c r="BTH3" s="97"/>
      <c r="BTI3" s="97"/>
      <c r="BTJ3" s="97"/>
      <c r="BTK3" s="97"/>
      <c r="BTL3" s="97"/>
      <c r="BTM3" s="97"/>
      <c r="BTN3" s="97"/>
      <c r="BTO3" s="97"/>
      <c r="BTP3" s="97"/>
      <c r="BTQ3" s="97"/>
      <c r="BTR3" s="97"/>
      <c r="BTS3" s="97"/>
      <c r="BTT3" s="97"/>
      <c r="BTU3" s="97"/>
      <c r="BTV3" s="97"/>
      <c r="BTW3" s="97"/>
      <c r="BTX3" s="97"/>
      <c r="BTY3" s="97"/>
      <c r="BTZ3" s="97"/>
      <c r="BUA3" s="97"/>
      <c r="BUB3" s="97"/>
      <c r="BUC3" s="97"/>
      <c r="BUD3" s="97"/>
      <c r="BUE3" s="97"/>
      <c r="BUF3" s="97"/>
      <c r="BUG3" s="97"/>
      <c r="BUH3" s="97"/>
      <c r="BUI3" s="97"/>
      <c r="BUJ3" s="97"/>
      <c r="BUK3" s="97"/>
      <c r="BUL3" s="97"/>
      <c r="BUM3" s="97"/>
      <c r="BUN3" s="97"/>
      <c r="BUO3" s="97"/>
      <c r="BUP3" s="97"/>
      <c r="BUQ3" s="97"/>
      <c r="BUR3" s="97"/>
      <c r="BUS3" s="97"/>
      <c r="BUT3" s="97"/>
      <c r="BUU3" s="97"/>
      <c r="BUV3" s="97"/>
      <c r="BUW3" s="97"/>
      <c r="BUX3" s="97"/>
      <c r="BUY3" s="97"/>
      <c r="BUZ3" s="97"/>
      <c r="BVA3" s="97"/>
      <c r="BVB3" s="97"/>
      <c r="BVC3" s="97"/>
      <c r="BVD3" s="97"/>
      <c r="BVE3" s="97"/>
      <c r="BVF3" s="97"/>
      <c r="BVG3" s="97"/>
      <c r="BVH3" s="97"/>
      <c r="BVI3" s="97"/>
      <c r="BVJ3" s="97"/>
      <c r="BVK3" s="97"/>
      <c r="BVL3" s="97"/>
      <c r="BVM3" s="97"/>
      <c r="BVN3" s="97"/>
      <c r="BVO3" s="97"/>
      <c r="BVP3" s="97"/>
      <c r="BVQ3" s="97"/>
      <c r="BVR3" s="97"/>
      <c r="BVS3" s="97"/>
      <c r="BVT3" s="97"/>
      <c r="BVU3" s="97"/>
      <c r="BVV3" s="97"/>
      <c r="BVW3" s="97"/>
      <c r="BVX3" s="97"/>
      <c r="BVY3" s="97"/>
      <c r="BVZ3" s="97"/>
      <c r="BWA3" s="97"/>
      <c r="BWB3" s="97"/>
      <c r="BWC3" s="97"/>
      <c r="BWD3" s="97"/>
      <c r="BWE3" s="97"/>
      <c r="BWF3" s="97"/>
      <c r="BWG3" s="97"/>
      <c r="BWH3" s="97"/>
      <c r="BWI3" s="97"/>
      <c r="BWJ3" s="97"/>
      <c r="BWK3" s="97"/>
      <c r="BWL3" s="97"/>
      <c r="BWM3" s="97"/>
      <c r="BWN3" s="97"/>
      <c r="BWO3" s="97"/>
      <c r="BWP3" s="97"/>
      <c r="BWQ3" s="97"/>
      <c r="BWR3" s="97"/>
      <c r="BWS3" s="97"/>
      <c r="BWT3" s="97"/>
      <c r="BWU3" s="97"/>
      <c r="BWV3" s="97"/>
      <c r="BWW3" s="97"/>
      <c r="BWX3" s="97"/>
      <c r="BWY3" s="97"/>
      <c r="BWZ3" s="97"/>
      <c r="BXA3" s="97"/>
      <c r="BXB3" s="97"/>
      <c r="BXC3" s="97"/>
      <c r="BXD3" s="97"/>
      <c r="BXE3" s="97"/>
      <c r="BXF3" s="97"/>
      <c r="BXG3" s="97"/>
      <c r="BXH3" s="97"/>
      <c r="BXI3" s="97"/>
      <c r="BXJ3" s="97"/>
      <c r="BXK3" s="97"/>
      <c r="BXL3" s="97"/>
      <c r="BXM3" s="97"/>
      <c r="BXN3" s="97"/>
      <c r="BXO3" s="97"/>
      <c r="BXP3" s="97"/>
      <c r="BXQ3" s="97"/>
      <c r="BXR3" s="97"/>
      <c r="BXS3" s="97"/>
      <c r="BXT3" s="97"/>
      <c r="BXU3" s="97"/>
      <c r="BXV3" s="97"/>
      <c r="BXW3" s="97"/>
      <c r="BXX3" s="97"/>
      <c r="BXY3" s="97"/>
      <c r="BXZ3" s="97"/>
      <c r="BYA3" s="97"/>
      <c r="BYB3" s="97"/>
      <c r="BYC3" s="97"/>
      <c r="BYD3" s="97"/>
      <c r="BYE3" s="97"/>
      <c r="BYF3" s="97"/>
      <c r="BYG3" s="97"/>
      <c r="BYH3" s="97"/>
      <c r="BYI3" s="97"/>
      <c r="BYJ3" s="97"/>
      <c r="BYK3" s="97"/>
      <c r="BYL3" s="97"/>
      <c r="BYM3" s="97"/>
      <c r="BYN3" s="97"/>
      <c r="BYO3" s="97"/>
      <c r="BYP3" s="97"/>
      <c r="BYQ3" s="97"/>
      <c r="BYR3" s="97"/>
      <c r="BYS3" s="97"/>
      <c r="BYT3" s="97"/>
      <c r="BYU3" s="97"/>
      <c r="BYV3" s="97"/>
      <c r="BYW3" s="97"/>
      <c r="BYX3" s="97"/>
      <c r="BYY3" s="97"/>
      <c r="BYZ3" s="97"/>
      <c r="BZA3" s="97"/>
      <c r="BZB3" s="97"/>
      <c r="BZC3" s="97"/>
      <c r="BZD3" s="97"/>
      <c r="BZE3" s="97"/>
      <c r="BZF3" s="97"/>
      <c r="BZG3" s="97"/>
      <c r="BZH3" s="97"/>
      <c r="BZI3" s="97"/>
      <c r="BZJ3" s="97"/>
      <c r="BZK3" s="97"/>
      <c r="BZL3" s="97"/>
      <c r="BZM3" s="97"/>
      <c r="BZN3" s="97"/>
      <c r="BZO3" s="97"/>
      <c r="BZP3" s="97"/>
      <c r="BZQ3" s="97"/>
      <c r="BZR3" s="97"/>
      <c r="BZS3" s="97"/>
      <c r="BZT3" s="97"/>
      <c r="BZU3" s="97"/>
      <c r="BZV3" s="97"/>
      <c r="BZW3" s="97"/>
      <c r="BZX3" s="97"/>
      <c r="BZY3" s="97"/>
      <c r="BZZ3" s="97"/>
      <c r="CAA3" s="97"/>
      <c r="CAB3" s="97"/>
      <c r="CAC3" s="97"/>
      <c r="CAD3" s="97"/>
      <c r="CAE3" s="97"/>
      <c r="CAF3" s="97"/>
      <c r="CAG3" s="97"/>
      <c r="CAH3" s="97"/>
      <c r="CAI3" s="97"/>
      <c r="CAJ3" s="97"/>
      <c r="CAK3" s="97"/>
      <c r="CAL3" s="97"/>
      <c r="CAM3" s="97"/>
      <c r="CAN3" s="97"/>
      <c r="CAO3" s="97"/>
      <c r="CAP3" s="97"/>
      <c r="CAQ3" s="97"/>
      <c r="CAR3" s="97"/>
      <c r="CAS3" s="97"/>
      <c r="CAT3" s="97"/>
      <c r="CAU3" s="97"/>
      <c r="CAV3" s="97"/>
      <c r="CAW3" s="97"/>
      <c r="CAX3" s="97"/>
      <c r="CAY3" s="97"/>
      <c r="CAZ3" s="97"/>
      <c r="CBA3" s="97"/>
      <c r="CBB3" s="97"/>
      <c r="CBC3" s="97"/>
      <c r="CBD3" s="97"/>
      <c r="CBE3" s="97"/>
      <c r="CBF3" s="97"/>
      <c r="CBG3" s="97"/>
      <c r="CBH3" s="97"/>
      <c r="CBI3" s="97"/>
      <c r="CBJ3" s="97"/>
      <c r="CBK3" s="97"/>
      <c r="CBL3" s="97"/>
      <c r="CBM3" s="97"/>
      <c r="CBN3" s="97"/>
      <c r="CBO3" s="97"/>
      <c r="CBP3" s="97"/>
      <c r="CBQ3" s="97"/>
      <c r="CBR3" s="97"/>
      <c r="CBS3" s="97"/>
      <c r="CBT3" s="97"/>
      <c r="CBU3" s="97"/>
      <c r="CBV3" s="97"/>
      <c r="CBW3" s="97"/>
      <c r="CBX3" s="97"/>
      <c r="CBY3" s="97"/>
      <c r="CBZ3" s="97"/>
      <c r="CCA3" s="97"/>
      <c r="CCB3" s="97"/>
      <c r="CCC3" s="97"/>
      <c r="CCD3" s="97"/>
      <c r="CCE3" s="97"/>
      <c r="CCF3" s="97"/>
      <c r="CCG3" s="97"/>
      <c r="CCH3" s="97"/>
      <c r="CCI3" s="97"/>
      <c r="CCJ3" s="97"/>
      <c r="CCK3" s="97"/>
      <c r="CCL3" s="97"/>
      <c r="CCM3" s="97"/>
      <c r="CCN3" s="97"/>
      <c r="CCO3" s="97"/>
      <c r="CCP3" s="97"/>
      <c r="CCQ3" s="97"/>
      <c r="CCR3" s="97"/>
      <c r="CCS3" s="97"/>
      <c r="CCT3" s="97"/>
      <c r="CCU3" s="97"/>
      <c r="CCV3" s="97"/>
      <c r="CCW3" s="97"/>
      <c r="CCX3" s="97"/>
      <c r="CCY3" s="97"/>
      <c r="CCZ3" s="97"/>
      <c r="CDA3" s="97"/>
      <c r="CDB3" s="97"/>
      <c r="CDC3" s="97"/>
      <c r="CDD3" s="97"/>
      <c r="CDE3" s="97"/>
      <c r="CDF3" s="97"/>
      <c r="CDG3" s="97"/>
      <c r="CDH3" s="97"/>
      <c r="CDI3" s="97"/>
      <c r="CDJ3" s="97"/>
      <c r="CDK3" s="97"/>
      <c r="CDL3" s="97"/>
      <c r="CDM3" s="97"/>
      <c r="CDN3" s="97"/>
      <c r="CDO3" s="97"/>
      <c r="CDP3" s="97"/>
      <c r="CDQ3" s="97"/>
      <c r="CDR3" s="97"/>
      <c r="CDS3" s="97"/>
      <c r="CDT3" s="97"/>
      <c r="CDU3" s="97"/>
      <c r="CDV3" s="97"/>
      <c r="CDW3" s="97"/>
      <c r="CDX3" s="97"/>
      <c r="CDY3" s="97"/>
      <c r="CDZ3" s="97"/>
      <c r="CEA3" s="97"/>
      <c r="CEB3" s="97"/>
      <c r="CEC3" s="97"/>
      <c r="CED3" s="97"/>
      <c r="CEE3" s="97"/>
      <c r="CEF3" s="97"/>
      <c r="CEG3" s="97"/>
      <c r="CEH3" s="97"/>
      <c r="CEI3" s="97"/>
      <c r="CEJ3" s="97"/>
      <c r="CEK3" s="97"/>
      <c r="CEL3" s="97"/>
      <c r="CEM3" s="97"/>
      <c r="CEN3" s="97"/>
      <c r="CEO3" s="97"/>
      <c r="CEP3" s="97"/>
      <c r="CEQ3" s="97"/>
      <c r="CER3" s="97"/>
      <c r="CES3" s="97"/>
      <c r="CET3" s="97"/>
      <c r="CEU3" s="97"/>
      <c r="CEV3" s="97"/>
      <c r="CEW3" s="97"/>
      <c r="CEX3" s="97"/>
      <c r="CEY3" s="97"/>
      <c r="CEZ3" s="97"/>
      <c r="CFA3" s="97"/>
      <c r="CFB3" s="97"/>
      <c r="CFC3" s="97"/>
      <c r="CFD3" s="97"/>
      <c r="CFE3" s="97"/>
      <c r="CFF3" s="97"/>
      <c r="CFG3" s="97"/>
      <c r="CFH3" s="97"/>
      <c r="CFI3" s="97"/>
      <c r="CFJ3" s="97"/>
      <c r="CFK3" s="97"/>
      <c r="CFL3" s="97"/>
      <c r="CFM3" s="97"/>
      <c r="CFN3" s="97"/>
      <c r="CFO3" s="97"/>
      <c r="CFP3" s="97"/>
      <c r="CFQ3" s="97"/>
      <c r="CFR3" s="97"/>
      <c r="CFS3" s="97"/>
      <c r="CFT3" s="97"/>
      <c r="CFU3" s="97"/>
      <c r="CFV3" s="97"/>
      <c r="CFW3" s="97"/>
      <c r="CFX3" s="97"/>
      <c r="CFY3" s="97"/>
      <c r="CFZ3" s="97"/>
      <c r="CGA3" s="97"/>
      <c r="CGB3" s="97"/>
      <c r="CGC3" s="97"/>
      <c r="CGD3" s="97"/>
      <c r="CGE3" s="97"/>
      <c r="CGF3" s="97"/>
      <c r="CGG3" s="97"/>
      <c r="CGH3" s="97"/>
      <c r="CGI3" s="97"/>
      <c r="CGJ3" s="97"/>
      <c r="CGK3" s="97"/>
      <c r="CGL3" s="97"/>
      <c r="CGM3" s="97"/>
      <c r="CGN3" s="97"/>
      <c r="CGO3" s="97"/>
      <c r="CGP3" s="97"/>
      <c r="CGQ3" s="97"/>
      <c r="CGR3" s="97"/>
      <c r="CGS3" s="97"/>
      <c r="CGT3" s="97"/>
      <c r="CGU3" s="97"/>
      <c r="CGV3" s="97"/>
      <c r="CGW3" s="97"/>
      <c r="CGX3" s="97"/>
      <c r="CGY3" s="97"/>
      <c r="CGZ3" s="97"/>
      <c r="CHA3" s="97"/>
      <c r="CHB3" s="97"/>
      <c r="CHC3" s="97"/>
      <c r="CHD3" s="97"/>
      <c r="CHE3" s="97"/>
      <c r="CHF3" s="97"/>
      <c r="CHG3" s="97"/>
      <c r="CHH3" s="97"/>
      <c r="CHI3" s="97"/>
      <c r="CHJ3" s="97"/>
      <c r="CHK3" s="97"/>
      <c r="CHL3" s="97"/>
      <c r="CHM3" s="97"/>
      <c r="CHN3" s="97"/>
      <c r="CHO3" s="97"/>
      <c r="CHP3" s="97"/>
      <c r="CHQ3" s="97"/>
      <c r="CHR3" s="97"/>
      <c r="CHS3" s="97"/>
      <c r="CHT3" s="97"/>
      <c r="CHU3" s="97"/>
      <c r="CHV3" s="97"/>
      <c r="CHW3" s="97"/>
      <c r="CHX3" s="97"/>
      <c r="CHY3" s="97"/>
      <c r="CHZ3" s="97"/>
      <c r="CIA3" s="97"/>
      <c r="CIB3" s="97"/>
      <c r="CIC3" s="97"/>
      <c r="CID3" s="97"/>
      <c r="CIE3" s="97"/>
      <c r="CIF3" s="97"/>
      <c r="CIG3" s="97"/>
      <c r="CIH3" s="97"/>
      <c r="CII3" s="97"/>
      <c r="CIJ3" s="97"/>
      <c r="CIK3" s="97"/>
      <c r="CIL3" s="97"/>
      <c r="CIM3" s="97"/>
      <c r="CIN3" s="97"/>
      <c r="CIO3" s="97"/>
      <c r="CIP3" s="97"/>
      <c r="CIQ3" s="97"/>
      <c r="CIR3" s="97"/>
      <c r="CIS3" s="97"/>
      <c r="CIT3" s="97"/>
      <c r="CIU3" s="97"/>
      <c r="CIV3" s="97"/>
      <c r="CIW3" s="97"/>
      <c r="CIX3" s="97"/>
      <c r="CIY3" s="97"/>
      <c r="CIZ3" s="97"/>
      <c r="CJA3" s="97"/>
      <c r="CJB3" s="97"/>
      <c r="CJC3" s="97"/>
      <c r="CJD3" s="97"/>
      <c r="CJE3" s="97"/>
      <c r="CJF3" s="97"/>
      <c r="CJG3" s="97"/>
      <c r="CJH3" s="97"/>
      <c r="CJI3" s="97"/>
      <c r="CJJ3" s="97"/>
      <c r="CJK3" s="97"/>
      <c r="CJL3" s="97"/>
      <c r="CJM3" s="97"/>
      <c r="CJN3" s="97"/>
      <c r="CJO3" s="97"/>
      <c r="CJP3" s="97"/>
      <c r="CJQ3" s="97"/>
      <c r="CJR3" s="97"/>
      <c r="CJS3" s="97"/>
      <c r="CJT3" s="97"/>
      <c r="CJU3" s="97"/>
      <c r="CJV3" s="97"/>
      <c r="CJW3" s="97"/>
      <c r="CJX3" s="97"/>
      <c r="CJY3" s="97"/>
      <c r="CJZ3" s="97"/>
      <c r="CKA3" s="97"/>
      <c r="CKB3" s="97"/>
      <c r="CKC3" s="97"/>
      <c r="CKD3" s="97"/>
      <c r="CKE3" s="97"/>
      <c r="CKF3" s="97"/>
      <c r="CKG3" s="97"/>
      <c r="CKH3" s="97"/>
      <c r="CKI3" s="97"/>
      <c r="CKJ3" s="97"/>
      <c r="CKK3" s="97"/>
      <c r="CKL3" s="97"/>
      <c r="CKM3" s="97"/>
      <c r="CKN3" s="97"/>
      <c r="CKO3" s="97"/>
      <c r="CKP3" s="97"/>
      <c r="CKQ3" s="97"/>
      <c r="CKR3" s="97"/>
      <c r="CKS3" s="97"/>
      <c r="CKT3" s="97"/>
      <c r="CKU3" s="97"/>
      <c r="CKV3" s="97"/>
      <c r="CKW3" s="97"/>
      <c r="CKX3" s="97"/>
      <c r="CKY3" s="97"/>
      <c r="CKZ3" s="97"/>
      <c r="CLA3" s="97"/>
      <c r="CLB3" s="97"/>
      <c r="CLC3" s="97"/>
      <c r="CLD3" s="97"/>
      <c r="CLE3" s="97"/>
      <c r="CLF3" s="97"/>
      <c r="CLG3" s="97"/>
      <c r="CLH3" s="97"/>
      <c r="CLI3" s="97"/>
      <c r="CLJ3" s="97"/>
      <c r="CLK3" s="97"/>
      <c r="CLL3" s="97"/>
      <c r="CLM3" s="97"/>
      <c r="CLN3" s="97"/>
      <c r="CLO3" s="97"/>
      <c r="CLP3" s="97"/>
      <c r="CLQ3" s="97"/>
      <c r="CLR3" s="97"/>
      <c r="CLS3" s="97"/>
      <c r="CLT3" s="97"/>
      <c r="CLU3" s="97"/>
      <c r="CLV3" s="97"/>
      <c r="CLW3" s="97"/>
      <c r="CLX3" s="97"/>
      <c r="CLY3" s="97"/>
      <c r="CLZ3" s="97"/>
      <c r="CMA3" s="97"/>
      <c r="CMB3" s="97"/>
      <c r="CMC3" s="97"/>
      <c r="CMD3" s="97"/>
      <c r="CME3" s="97"/>
      <c r="CMF3" s="97"/>
      <c r="CMG3" s="97"/>
      <c r="CMH3" s="97"/>
      <c r="CMI3" s="97"/>
      <c r="CMJ3" s="97"/>
      <c r="CMK3" s="97"/>
      <c r="CML3" s="97"/>
      <c r="CMM3" s="97"/>
      <c r="CMN3" s="97"/>
      <c r="CMO3" s="97"/>
      <c r="CMP3" s="97"/>
      <c r="CMQ3" s="97"/>
      <c r="CMR3" s="97"/>
      <c r="CMS3" s="97"/>
      <c r="CMT3" s="97"/>
      <c r="CMU3" s="97"/>
      <c r="CMV3" s="97"/>
      <c r="CMW3" s="97"/>
      <c r="CMX3" s="97"/>
      <c r="CMY3" s="97"/>
      <c r="CMZ3" s="97"/>
      <c r="CNA3" s="97"/>
      <c r="CNB3" s="97"/>
      <c r="CNC3" s="97"/>
      <c r="CND3" s="97"/>
      <c r="CNE3" s="97"/>
      <c r="CNF3" s="97"/>
      <c r="CNG3" s="97"/>
      <c r="CNH3" s="97"/>
      <c r="CNI3" s="97"/>
      <c r="CNJ3" s="97"/>
      <c r="CNK3" s="97"/>
      <c r="CNL3" s="97"/>
      <c r="CNM3" s="97"/>
      <c r="CNN3" s="97"/>
      <c r="CNO3" s="97"/>
      <c r="CNP3" s="97"/>
      <c r="CNQ3" s="97"/>
      <c r="CNR3" s="97"/>
      <c r="CNS3" s="97"/>
      <c r="CNT3" s="97"/>
      <c r="CNU3" s="97"/>
      <c r="CNV3" s="97"/>
      <c r="CNW3" s="97"/>
      <c r="CNX3" s="97"/>
      <c r="CNY3" s="97"/>
      <c r="CNZ3" s="97"/>
      <c r="COA3" s="97"/>
      <c r="COB3" s="97"/>
      <c r="COC3" s="97"/>
      <c r="COD3" s="97"/>
      <c r="COE3" s="97"/>
      <c r="COF3" s="97"/>
      <c r="COG3" s="97"/>
      <c r="COH3" s="97"/>
      <c r="COI3" s="97"/>
      <c r="COJ3" s="97"/>
      <c r="COK3" s="97"/>
      <c r="COL3" s="97"/>
      <c r="COM3" s="97"/>
      <c r="CON3" s="97"/>
      <c r="COO3" s="97"/>
      <c r="COP3" s="97"/>
      <c r="COQ3" s="97"/>
      <c r="COR3" s="97"/>
      <c r="COS3" s="97"/>
      <c r="COT3" s="97"/>
      <c r="COU3" s="97"/>
      <c r="COV3" s="97"/>
      <c r="COW3" s="97"/>
      <c r="COX3" s="97"/>
      <c r="COY3" s="97"/>
      <c r="COZ3" s="97"/>
      <c r="CPA3" s="97"/>
      <c r="CPB3" s="97"/>
      <c r="CPC3" s="97"/>
      <c r="CPD3" s="97"/>
      <c r="CPE3" s="97"/>
      <c r="CPF3" s="97"/>
      <c r="CPG3" s="97"/>
      <c r="CPH3" s="97"/>
      <c r="CPI3" s="97"/>
      <c r="CPJ3" s="97"/>
      <c r="CPK3" s="97"/>
      <c r="CPL3" s="97"/>
      <c r="CPM3" s="97"/>
      <c r="CPN3" s="97"/>
      <c r="CPO3" s="97"/>
      <c r="CPP3" s="97"/>
      <c r="CPQ3" s="97"/>
      <c r="CPR3" s="97"/>
      <c r="CPS3" s="97"/>
      <c r="CPT3" s="97"/>
      <c r="CPU3" s="97"/>
      <c r="CPV3" s="97"/>
      <c r="CPW3" s="97"/>
      <c r="CPX3" s="97"/>
      <c r="CPY3" s="97"/>
      <c r="CPZ3" s="97"/>
      <c r="CQA3" s="97"/>
      <c r="CQB3" s="97"/>
      <c r="CQC3" s="97"/>
      <c r="CQD3" s="97"/>
      <c r="CQE3" s="97"/>
      <c r="CQF3" s="97"/>
      <c r="CQG3" s="97"/>
      <c r="CQH3" s="97"/>
      <c r="CQI3" s="97"/>
      <c r="CQJ3" s="97"/>
      <c r="CQK3" s="97"/>
      <c r="CQL3" s="97"/>
      <c r="CQM3" s="97"/>
      <c r="CQN3" s="97"/>
      <c r="CQO3" s="97"/>
      <c r="CQP3" s="97"/>
      <c r="CQQ3" s="97"/>
      <c r="CQR3" s="97"/>
      <c r="CQS3" s="97"/>
      <c r="CQT3" s="97"/>
      <c r="CQU3" s="97"/>
      <c r="CQV3" s="97"/>
      <c r="CQW3" s="97"/>
      <c r="CQX3" s="97"/>
      <c r="CQY3" s="97"/>
      <c r="CQZ3" s="97"/>
      <c r="CRA3" s="97"/>
      <c r="CRB3" s="97"/>
      <c r="CRC3" s="97"/>
      <c r="CRD3" s="97"/>
      <c r="CRE3" s="97"/>
      <c r="CRF3" s="97"/>
      <c r="CRG3" s="97"/>
      <c r="CRH3" s="97"/>
      <c r="CRI3" s="97"/>
      <c r="CRJ3" s="97"/>
      <c r="CRK3" s="97"/>
      <c r="CRL3" s="97"/>
      <c r="CRM3" s="97"/>
      <c r="CRN3" s="97"/>
      <c r="CRO3" s="97"/>
      <c r="CRP3" s="97"/>
      <c r="CRQ3" s="97"/>
      <c r="CRR3" s="97"/>
      <c r="CRS3" s="97"/>
      <c r="CRT3" s="97"/>
      <c r="CRU3" s="97"/>
      <c r="CRV3" s="97"/>
      <c r="CRW3" s="97"/>
      <c r="CRX3" s="97"/>
      <c r="CRY3" s="97"/>
      <c r="CRZ3" s="97"/>
      <c r="CSA3" s="97"/>
      <c r="CSB3" s="97"/>
      <c r="CSC3" s="97"/>
      <c r="CSD3" s="97"/>
      <c r="CSE3" s="97"/>
      <c r="CSF3" s="97"/>
      <c r="CSG3" s="97"/>
      <c r="CSH3" s="97"/>
      <c r="CSI3" s="97"/>
      <c r="CSJ3" s="97"/>
      <c r="CSK3" s="97"/>
      <c r="CSL3" s="97"/>
      <c r="CSM3" s="97"/>
      <c r="CSN3" s="97"/>
      <c r="CSO3" s="97"/>
      <c r="CSP3" s="97"/>
      <c r="CSQ3" s="97"/>
      <c r="CSR3" s="97"/>
      <c r="CSS3" s="97"/>
      <c r="CST3" s="97"/>
      <c r="CSU3" s="97"/>
      <c r="CSV3" s="97"/>
      <c r="CSW3" s="97"/>
      <c r="CSX3" s="97"/>
      <c r="CSY3" s="97"/>
      <c r="CSZ3" s="97"/>
      <c r="CTA3" s="97"/>
      <c r="CTB3" s="97"/>
      <c r="CTC3" s="97"/>
      <c r="CTD3" s="97"/>
      <c r="CTE3" s="97"/>
      <c r="CTF3" s="97"/>
      <c r="CTG3" s="97"/>
      <c r="CTH3" s="97"/>
      <c r="CTI3" s="97"/>
      <c r="CTJ3" s="97"/>
      <c r="CTK3" s="97"/>
      <c r="CTL3" s="97"/>
      <c r="CTM3" s="97"/>
      <c r="CTN3" s="97"/>
      <c r="CTO3" s="97"/>
      <c r="CTP3" s="97"/>
      <c r="CTQ3" s="97"/>
      <c r="CTR3" s="97"/>
      <c r="CTS3" s="97"/>
      <c r="CTT3" s="97"/>
      <c r="CTU3" s="97"/>
      <c r="CTV3" s="97"/>
      <c r="CTW3" s="97"/>
      <c r="CTX3" s="97"/>
      <c r="CTY3" s="97"/>
      <c r="CTZ3" s="97"/>
      <c r="CUA3" s="97"/>
      <c r="CUB3" s="97"/>
      <c r="CUC3" s="97"/>
      <c r="CUD3" s="97"/>
      <c r="CUE3" s="97"/>
      <c r="CUF3" s="97"/>
      <c r="CUG3" s="97"/>
      <c r="CUH3" s="97"/>
      <c r="CUI3" s="97"/>
      <c r="CUJ3" s="97"/>
      <c r="CUK3" s="97"/>
      <c r="CUL3" s="97"/>
      <c r="CUM3" s="97"/>
      <c r="CUN3" s="97"/>
      <c r="CUO3" s="97"/>
      <c r="CUP3" s="97"/>
      <c r="CUQ3" s="97"/>
      <c r="CUR3" s="97"/>
      <c r="CUS3" s="97"/>
      <c r="CUT3" s="97"/>
      <c r="CUU3" s="97"/>
      <c r="CUV3" s="97"/>
      <c r="CUW3" s="97"/>
      <c r="CUX3" s="97"/>
      <c r="CUY3" s="97"/>
      <c r="CUZ3" s="97"/>
      <c r="CVA3" s="97"/>
      <c r="CVB3" s="97"/>
      <c r="CVC3" s="97"/>
      <c r="CVD3" s="97"/>
      <c r="CVE3" s="97"/>
      <c r="CVF3" s="97"/>
      <c r="CVG3" s="97"/>
      <c r="CVH3" s="97"/>
      <c r="CVI3" s="97"/>
      <c r="CVJ3" s="97"/>
      <c r="CVK3" s="97"/>
      <c r="CVL3" s="97"/>
      <c r="CVM3" s="97"/>
      <c r="CVN3" s="97"/>
      <c r="CVO3" s="97"/>
      <c r="CVP3" s="97"/>
      <c r="CVQ3" s="97"/>
      <c r="CVR3" s="97"/>
      <c r="CVS3" s="97"/>
      <c r="CVT3" s="97"/>
      <c r="CVU3" s="97"/>
      <c r="CVV3" s="97"/>
      <c r="CVW3" s="97"/>
      <c r="CVX3" s="97"/>
      <c r="CVY3" s="97"/>
      <c r="CVZ3" s="97"/>
      <c r="CWA3" s="97"/>
      <c r="CWB3" s="97"/>
      <c r="CWC3" s="97"/>
      <c r="CWD3" s="97"/>
      <c r="CWE3" s="97"/>
      <c r="CWF3" s="97"/>
      <c r="CWG3" s="97"/>
      <c r="CWH3" s="97"/>
      <c r="CWI3" s="97"/>
      <c r="CWJ3" s="97"/>
      <c r="CWK3" s="97"/>
      <c r="CWL3" s="97"/>
      <c r="CWM3" s="97"/>
      <c r="CWN3" s="97"/>
      <c r="CWO3" s="97"/>
      <c r="CWP3" s="97"/>
      <c r="CWQ3" s="97"/>
      <c r="CWR3" s="97"/>
      <c r="CWS3" s="97"/>
      <c r="CWT3" s="97"/>
      <c r="CWU3" s="97"/>
      <c r="CWV3" s="97"/>
      <c r="CWW3" s="97"/>
      <c r="CWX3" s="97"/>
      <c r="CWY3" s="97"/>
      <c r="CWZ3" s="97"/>
      <c r="CXA3" s="97"/>
      <c r="CXB3" s="97"/>
      <c r="CXC3" s="97"/>
      <c r="CXD3" s="97"/>
      <c r="CXE3" s="97"/>
      <c r="CXF3" s="97"/>
      <c r="CXG3" s="97"/>
      <c r="CXH3" s="97"/>
      <c r="CXI3" s="97"/>
      <c r="CXJ3" s="97"/>
      <c r="CXK3" s="97"/>
      <c r="CXL3" s="97"/>
      <c r="CXM3" s="97"/>
      <c r="CXN3" s="97"/>
      <c r="CXO3" s="97"/>
      <c r="CXP3" s="97"/>
      <c r="CXQ3" s="97"/>
      <c r="CXR3" s="97"/>
      <c r="CXS3" s="97"/>
      <c r="CXT3" s="97"/>
      <c r="CXU3" s="97"/>
      <c r="CXV3" s="97"/>
      <c r="CXW3" s="97"/>
      <c r="CXX3" s="97"/>
      <c r="CXY3" s="97"/>
      <c r="CXZ3" s="97"/>
      <c r="CYA3" s="97"/>
      <c r="CYB3" s="97"/>
      <c r="CYC3" s="97"/>
      <c r="CYD3" s="97"/>
      <c r="CYE3" s="97"/>
      <c r="CYF3" s="97"/>
      <c r="CYG3" s="97"/>
      <c r="CYH3" s="97"/>
      <c r="CYI3" s="97"/>
      <c r="CYJ3" s="97"/>
      <c r="CYK3" s="97"/>
      <c r="CYL3" s="97"/>
      <c r="CYM3" s="97"/>
      <c r="CYN3" s="97"/>
      <c r="CYO3" s="97"/>
      <c r="CYP3" s="97"/>
      <c r="CYQ3" s="97"/>
      <c r="CYR3" s="97"/>
      <c r="CYS3" s="97"/>
      <c r="CYT3" s="97"/>
      <c r="CYU3" s="97"/>
      <c r="CYV3" s="97"/>
      <c r="CYW3" s="97"/>
      <c r="CYX3" s="97"/>
      <c r="CYY3" s="97"/>
      <c r="CYZ3" s="97"/>
      <c r="CZA3" s="97"/>
      <c r="CZB3" s="97"/>
      <c r="CZC3" s="97"/>
      <c r="CZD3" s="97"/>
      <c r="CZE3" s="97"/>
      <c r="CZF3" s="97"/>
      <c r="CZG3" s="97"/>
      <c r="CZH3" s="97"/>
      <c r="CZI3" s="97"/>
      <c r="CZJ3" s="97"/>
      <c r="CZK3" s="97"/>
      <c r="CZL3" s="97"/>
      <c r="CZM3" s="97"/>
      <c r="CZN3" s="97"/>
      <c r="CZO3" s="97"/>
      <c r="CZP3" s="97"/>
      <c r="CZQ3" s="97"/>
      <c r="CZR3" s="97"/>
      <c r="CZS3" s="97"/>
      <c r="CZT3" s="97"/>
      <c r="CZU3" s="97"/>
      <c r="CZV3" s="97"/>
      <c r="CZW3" s="97"/>
      <c r="CZX3" s="97"/>
      <c r="CZY3" s="97"/>
      <c r="CZZ3" s="97"/>
      <c r="DAA3" s="97"/>
      <c r="DAB3" s="97"/>
      <c r="DAC3" s="97"/>
      <c r="DAD3" s="97"/>
      <c r="DAE3" s="97"/>
      <c r="DAF3" s="97"/>
      <c r="DAG3" s="97"/>
      <c r="DAH3" s="97"/>
      <c r="DAI3" s="97"/>
      <c r="DAJ3" s="97"/>
      <c r="DAK3" s="97"/>
      <c r="DAL3" s="97"/>
      <c r="DAM3" s="97"/>
      <c r="DAN3" s="97"/>
      <c r="DAO3" s="97"/>
      <c r="DAP3" s="97"/>
      <c r="DAQ3" s="97"/>
      <c r="DAR3" s="97"/>
      <c r="DAS3" s="97"/>
      <c r="DAT3" s="97"/>
      <c r="DAU3" s="97"/>
      <c r="DAV3" s="97"/>
      <c r="DAW3" s="97"/>
      <c r="DAX3" s="97"/>
      <c r="DAY3" s="97"/>
      <c r="DAZ3" s="97"/>
      <c r="DBA3" s="97"/>
      <c r="DBB3" s="97"/>
      <c r="DBC3" s="97"/>
      <c r="DBD3" s="97"/>
      <c r="DBE3" s="97"/>
      <c r="DBF3" s="97"/>
      <c r="DBG3" s="97"/>
      <c r="DBH3" s="97"/>
      <c r="DBI3" s="97"/>
      <c r="DBJ3" s="97"/>
      <c r="DBK3" s="97"/>
      <c r="DBL3" s="97"/>
      <c r="DBM3" s="97"/>
      <c r="DBN3" s="97"/>
      <c r="DBO3" s="97"/>
      <c r="DBP3" s="97"/>
      <c r="DBQ3" s="97"/>
      <c r="DBR3" s="97"/>
      <c r="DBS3" s="97"/>
      <c r="DBT3" s="97"/>
      <c r="DBU3" s="97"/>
      <c r="DBV3" s="97"/>
      <c r="DBW3" s="97"/>
      <c r="DBX3" s="97"/>
      <c r="DBY3" s="97"/>
      <c r="DBZ3" s="97"/>
      <c r="DCA3" s="97"/>
      <c r="DCB3" s="97"/>
      <c r="DCC3" s="97"/>
      <c r="DCD3" s="97"/>
      <c r="DCE3" s="97"/>
      <c r="DCF3" s="97"/>
      <c r="DCG3" s="97"/>
      <c r="DCH3" s="97"/>
      <c r="DCI3" s="97"/>
      <c r="DCJ3" s="97"/>
      <c r="DCK3" s="97"/>
      <c r="DCL3" s="97"/>
      <c r="DCM3" s="97"/>
      <c r="DCN3" s="97"/>
      <c r="DCO3" s="97"/>
      <c r="DCP3" s="97"/>
      <c r="DCQ3" s="97"/>
      <c r="DCR3" s="97"/>
      <c r="DCS3" s="97"/>
      <c r="DCT3" s="97"/>
      <c r="DCU3" s="97"/>
      <c r="DCV3" s="97"/>
      <c r="DCW3" s="97"/>
      <c r="DCX3" s="97"/>
      <c r="DCY3" s="97"/>
      <c r="DCZ3" s="97"/>
      <c r="DDA3" s="97"/>
      <c r="DDB3" s="97"/>
      <c r="DDC3" s="97"/>
      <c r="DDD3" s="97"/>
      <c r="DDE3" s="97"/>
      <c r="DDF3" s="97"/>
      <c r="DDG3" s="97"/>
      <c r="DDH3" s="97"/>
      <c r="DDI3" s="97"/>
      <c r="DDJ3" s="97"/>
      <c r="DDK3" s="97"/>
      <c r="DDL3" s="97"/>
      <c r="DDM3" s="97"/>
      <c r="DDN3" s="97"/>
      <c r="DDO3" s="97"/>
      <c r="DDP3" s="97"/>
      <c r="DDQ3" s="97"/>
      <c r="DDR3" s="97"/>
      <c r="DDS3" s="97"/>
      <c r="DDT3" s="97"/>
      <c r="DDU3" s="97"/>
      <c r="DDV3" s="97"/>
      <c r="DDW3" s="97"/>
      <c r="DDX3" s="97"/>
      <c r="DDY3" s="97"/>
      <c r="DDZ3" s="97"/>
      <c r="DEA3" s="97"/>
      <c r="DEB3" s="97"/>
      <c r="DEC3" s="97"/>
      <c r="DED3" s="97"/>
      <c r="DEE3" s="97"/>
      <c r="DEF3" s="97"/>
      <c r="DEG3" s="97"/>
      <c r="DEH3" s="97"/>
      <c r="DEI3" s="97"/>
      <c r="DEJ3" s="97"/>
      <c r="DEK3" s="97"/>
      <c r="DEL3" s="97"/>
      <c r="DEM3" s="97"/>
      <c r="DEN3" s="97"/>
      <c r="DEO3" s="97"/>
      <c r="DEP3" s="97"/>
      <c r="DEQ3" s="97"/>
      <c r="DER3" s="97"/>
      <c r="DES3" s="97"/>
      <c r="DET3" s="97"/>
      <c r="DEU3" s="97"/>
      <c r="DEV3" s="97"/>
      <c r="DEW3" s="97"/>
      <c r="DEX3" s="97"/>
      <c r="DEY3" s="97"/>
      <c r="DEZ3" s="97"/>
      <c r="DFA3" s="97"/>
      <c r="DFB3" s="97"/>
      <c r="DFC3" s="97"/>
      <c r="DFD3" s="97"/>
      <c r="DFE3" s="97"/>
      <c r="DFF3" s="97"/>
      <c r="DFG3" s="97"/>
      <c r="DFH3" s="97"/>
      <c r="DFI3" s="97"/>
      <c r="DFJ3" s="97"/>
      <c r="DFK3" s="97"/>
      <c r="DFL3" s="97"/>
      <c r="DFM3" s="97"/>
      <c r="DFN3" s="97"/>
      <c r="DFO3" s="97"/>
      <c r="DFP3" s="97"/>
      <c r="DFQ3" s="97"/>
      <c r="DFR3" s="97"/>
      <c r="DFS3" s="97"/>
      <c r="DFT3" s="97"/>
      <c r="DFU3" s="97"/>
      <c r="DFV3" s="97"/>
      <c r="DFW3" s="97"/>
      <c r="DFX3" s="97"/>
      <c r="DFY3" s="97"/>
      <c r="DFZ3" s="97"/>
      <c r="DGA3" s="97"/>
      <c r="DGB3" s="97"/>
      <c r="DGC3" s="97"/>
      <c r="DGD3" s="97"/>
      <c r="DGE3" s="97"/>
      <c r="DGF3" s="97"/>
      <c r="DGG3" s="97"/>
      <c r="DGH3" s="97"/>
      <c r="DGI3" s="97"/>
      <c r="DGJ3" s="97"/>
      <c r="DGK3" s="97"/>
      <c r="DGL3" s="97"/>
      <c r="DGM3" s="97"/>
      <c r="DGN3" s="97"/>
      <c r="DGO3" s="97"/>
      <c r="DGP3" s="97"/>
      <c r="DGQ3" s="97"/>
      <c r="DGR3" s="97"/>
      <c r="DGS3" s="97"/>
      <c r="DGT3" s="97"/>
      <c r="DGU3" s="97"/>
      <c r="DGV3" s="97"/>
      <c r="DGW3" s="97"/>
      <c r="DGX3" s="97"/>
      <c r="DGY3" s="97"/>
      <c r="DGZ3" s="97"/>
      <c r="DHA3" s="97"/>
      <c r="DHB3" s="97"/>
      <c r="DHC3" s="97"/>
      <c r="DHD3" s="97"/>
      <c r="DHE3" s="97"/>
      <c r="DHF3" s="97"/>
      <c r="DHG3" s="97"/>
      <c r="DHH3" s="97"/>
      <c r="DHI3" s="97"/>
      <c r="DHJ3" s="97"/>
      <c r="DHK3" s="97"/>
      <c r="DHL3" s="97"/>
      <c r="DHM3" s="97"/>
      <c r="DHN3" s="97"/>
      <c r="DHO3" s="97"/>
      <c r="DHP3" s="97"/>
      <c r="DHQ3" s="97"/>
      <c r="DHR3" s="97"/>
      <c r="DHS3" s="97"/>
      <c r="DHT3" s="97"/>
      <c r="DHU3" s="97"/>
      <c r="DHV3" s="97"/>
      <c r="DHW3" s="97"/>
      <c r="DHX3" s="97"/>
      <c r="DHY3" s="97"/>
      <c r="DHZ3" s="97"/>
      <c r="DIA3" s="97"/>
      <c r="DIB3" s="97"/>
      <c r="DIC3" s="97"/>
      <c r="DID3" s="97"/>
      <c r="DIE3" s="97"/>
      <c r="DIF3" s="97"/>
      <c r="DIG3" s="97"/>
      <c r="DIH3" s="97"/>
      <c r="DII3" s="97"/>
      <c r="DIJ3" s="97"/>
      <c r="DIK3" s="97"/>
      <c r="DIL3" s="97"/>
      <c r="DIM3" s="97"/>
      <c r="DIN3" s="97"/>
      <c r="DIO3" s="97"/>
      <c r="DIP3" s="97"/>
      <c r="DIQ3" s="97"/>
      <c r="DIR3" s="97"/>
      <c r="DIS3" s="97"/>
      <c r="DIT3" s="97"/>
      <c r="DIU3" s="97"/>
      <c r="DIV3" s="97"/>
      <c r="DIW3" s="97"/>
      <c r="DIX3" s="97"/>
      <c r="DIY3" s="97"/>
      <c r="DIZ3" s="97"/>
      <c r="DJA3" s="97"/>
      <c r="DJB3" s="97"/>
      <c r="DJC3" s="97"/>
      <c r="DJD3" s="97"/>
      <c r="DJE3" s="97"/>
      <c r="DJF3" s="97"/>
      <c r="DJG3" s="97"/>
      <c r="DJH3" s="97"/>
      <c r="DJI3" s="97"/>
      <c r="DJJ3" s="97"/>
      <c r="DJK3" s="97"/>
      <c r="DJL3" s="97"/>
      <c r="DJM3" s="97"/>
      <c r="DJN3" s="97"/>
      <c r="DJO3" s="97"/>
      <c r="DJP3" s="97"/>
      <c r="DJQ3" s="97"/>
      <c r="DJR3" s="97"/>
      <c r="DJS3" s="97"/>
      <c r="DJT3" s="97"/>
      <c r="DJU3" s="97"/>
      <c r="DJV3" s="97"/>
      <c r="DJW3" s="97"/>
      <c r="DJX3" s="97"/>
      <c r="DJY3" s="97"/>
      <c r="DJZ3" s="97"/>
      <c r="DKA3" s="97"/>
      <c r="DKB3" s="97"/>
      <c r="DKC3" s="97"/>
      <c r="DKD3" s="97"/>
      <c r="DKE3" s="97"/>
      <c r="DKF3" s="97"/>
      <c r="DKG3" s="97"/>
      <c r="DKH3" s="97"/>
      <c r="DKI3" s="97"/>
      <c r="DKJ3" s="97"/>
      <c r="DKK3" s="97"/>
      <c r="DKL3" s="97"/>
      <c r="DKM3" s="97"/>
      <c r="DKN3" s="97"/>
      <c r="DKO3" s="97"/>
      <c r="DKP3" s="97"/>
      <c r="DKQ3" s="97"/>
      <c r="DKR3" s="97"/>
      <c r="DKS3" s="97"/>
      <c r="DKT3" s="97"/>
      <c r="DKU3" s="97"/>
      <c r="DKV3" s="97"/>
      <c r="DKW3" s="97"/>
      <c r="DKX3" s="97"/>
      <c r="DKY3" s="97"/>
      <c r="DKZ3" s="97"/>
      <c r="DLA3" s="97"/>
      <c r="DLB3" s="97"/>
      <c r="DLC3" s="97"/>
      <c r="DLD3" s="97"/>
      <c r="DLE3" s="97"/>
      <c r="DLF3" s="97"/>
      <c r="DLG3" s="97"/>
      <c r="DLH3" s="97"/>
      <c r="DLI3" s="97"/>
      <c r="DLJ3" s="97"/>
      <c r="DLK3" s="97"/>
      <c r="DLL3" s="97"/>
      <c r="DLM3" s="97"/>
      <c r="DLN3" s="97"/>
      <c r="DLO3" s="97"/>
      <c r="DLP3" s="97"/>
      <c r="DLQ3" s="97"/>
      <c r="DLR3" s="97"/>
      <c r="DLS3" s="97"/>
      <c r="DLT3" s="97"/>
      <c r="DLU3" s="97"/>
      <c r="DLV3" s="97"/>
      <c r="DLW3" s="97"/>
      <c r="DLX3" s="97"/>
      <c r="DLY3" s="97"/>
      <c r="DLZ3" s="97"/>
      <c r="DMA3" s="97"/>
      <c r="DMB3" s="97"/>
      <c r="DMC3" s="97"/>
      <c r="DMD3" s="97"/>
      <c r="DME3" s="97"/>
      <c r="DMF3" s="97"/>
      <c r="DMG3" s="97"/>
      <c r="DMH3" s="97"/>
      <c r="DMI3" s="97"/>
      <c r="DMJ3" s="97"/>
      <c r="DMK3" s="97"/>
      <c r="DML3" s="97"/>
      <c r="DMM3" s="97"/>
      <c r="DMN3" s="97"/>
      <c r="DMO3" s="97"/>
      <c r="DMP3" s="97"/>
      <c r="DMQ3" s="97"/>
      <c r="DMR3" s="97"/>
      <c r="DMS3" s="97"/>
      <c r="DMT3" s="97"/>
      <c r="DMU3" s="97"/>
      <c r="DMV3" s="97"/>
      <c r="DMW3" s="97"/>
      <c r="DMX3" s="97"/>
      <c r="DMY3" s="97"/>
      <c r="DMZ3" s="97"/>
      <c r="DNA3" s="97"/>
      <c r="DNB3" s="97"/>
      <c r="DNC3" s="97"/>
      <c r="DND3" s="97"/>
      <c r="DNE3" s="97"/>
      <c r="DNF3" s="97"/>
      <c r="DNG3" s="97"/>
      <c r="DNH3" s="97"/>
      <c r="DNI3" s="97"/>
      <c r="DNJ3" s="97"/>
      <c r="DNK3" s="97"/>
      <c r="DNL3" s="97"/>
      <c r="DNM3" s="97"/>
      <c r="DNN3" s="97"/>
      <c r="DNO3" s="97"/>
      <c r="DNP3" s="97"/>
      <c r="DNQ3" s="97"/>
      <c r="DNR3" s="97"/>
      <c r="DNS3" s="97"/>
      <c r="DNT3" s="97"/>
      <c r="DNU3" s="97"/>
      <c r="DNV3" s="97"/>
      <c r="DNW3" s="97"/>
      <c r="DNX3" s="97"/>
      <c r="DNY3" s="97"/>
      <c r="DNZ3" s="97"/>
      <c r="DOA3" s="97"/>
      <c r="DOB3" s="97"/>
      <c r="DOC3" s="97"/>
      <c r="DOD3" s="97"/>
      <c r="DOE3" s="97"/>
      <c r="DOF3" s="97"/>
      <c r="DOG3" s="97"/>
      <c r="DOH3" s="97"/>
      <c r="DOI3" s="97"/>
      <c r="DOJ3" s="97"/>
      <c r="DOK3" s="97"/>
      <c r="DOL3" s="97"/>
      <c r="DOM3" s="97"/>
      <c r="DON3" s="97"/>
      <c r="DOO3" s="97"/>
      <c r="DOP3" s="97"/>
      <c r="DOQ3" s="97"/>
      <c r="DOR3" s="97"/>
      <c r="DOS3" s="97"/>
      <c r="DOT3" s="97"/>
      <c r="DOU3" s="97"/>
      <c r="DOV3" s="97"/>
      <c r="DOW3" s="97"/>
      <c r="DOX3" s="97"/>
      <c r="DOY3" s="97"/>
      <c r="DOZ3" s="97"/>
      <c r="DPA3" s="97"/>
      <c r="DPB3" s="97"/>
      <c r="DPC3" s="97"/>
      <c r="DPD3" s="97"/>
      <c r="DPE3" s="97"/>
      <c r="DPF3" s="97"/>
      <c r="DPG3" s="97"/>
      <c r="DPH3" s="97"/>
      <c r="DPI3" s="97"/>
      <c r="DPJ3" s="97"/>
      <c r="DPK3" s="97"/>
      <c r="DPL3" s="97"/>
      <c r="DPM3" s="97"/>
      <c r="DPN3" s="97"/>
      <c r="DPO3" s="97"/>
      <c r="DPP3" s="97"/>
      <c r="DPQ3" s="97"/>
      <c r="DPR3" s="97"/>
      <c r="DPS3" s="97"/>
      <c r="DPT3" s="97"/>
      <c r="DPU3" s="97"/>
      <c r="DPV3" s="97"/>
      <c r="DPW3" s="97"/>
      <c r="DPX3" s="97"/>
      <c r="DPY3" s="97"/>
      <c r="DPZ3" s="97"/>
      <c r="DQA3" s="97"/>
      <c r="DQB3" s="97"/>
      <c r="DQC3" s="97"/>
      <c r="DQD3" s="97"/>
      <c r="DQE3" s="97"/>
      <c r="DQF3" s="97"/>
      <c r="DQG3" s="97"/>
      <c r="DQH3" s="97"/>
      <c r="DQI3" s="97"/>
      <c r="DQJ3" s="97"/>
      <c r="DQK3" s="97"/>
      <c r="DQL3" s="97"/>
      <c r="DQM3" s="97"/>
      <c r="DQN3" s="97"/>
      <c r="DQO3" s="97"/>
      <c r="DQP3" s="97"/>
      <c r="DQQ3" s="97"/>
      <c r="DQR3" s="97"/>
      <c r="DQS3" s="97"/>
      <c r="DQT3" s="97"/>
      <c r="DQU3" s="97"/>
      <c r="DQV3" s="97"/>
      <c r="DQW3" s="97"/>
      <c r="DQX3" s="97"/>
      <c r="DQY3" s="97"/>
      <c r="DQZ3" s="97"/>
      <c r="DRA3" s="97"/>
      <c r="DRB3" s="97"/>
      <c r="DRC3" s="97"/>
      <c r="DRD3" s="97"/>
      <c r="DRE3" s="97"/>
      <c r="DRF3" s="97"/>
      <c r="DRG3" s="97"/>
      <c r="DRH3" s="97"/>
      <c r="DRI3" s="97"/>
      <c r="DRJ3" s="97"/>
      <c r="DRK3" s="97"/>
      <c r="DRL3" s="97"/>
      <c r="DRM3" s="97"/>
      <c r="DRN3" s="97"/>
      <c r="DRO3" s="97"/>
      <c r="DRP3" s="97"/>
      <c r="DRQ3" s="97"/>
      <c r="DRR3" s="97"/>
      <c r="DRS3" s="97"/>
      <c r="DRT3" s="97"/>
      <c r="DRU3" s="97"/>
      <c r="DRV3" s="97"/>
      <c r="DRW3" s="97"/>
      <c r="DRX3" s="97"/>
      <c r="DRY3" s="97"/>
      <c r="DRZ3" s="97"/>
      <c r="DSA3" s="97"/>
      <c r="DSB3" s="97"/>
      <c r="DSC3" s="97"/>
      <c r="DSD3" s="97"/>
      <c r="DSE3" s="97"/>
      <c r="DSF3" s="97"/>
      <c r="DSG3" s="97"/>
      <c r="DSH3" s="97"/>
      <c r="DSI3" s="97"/>
      <c r="DSJ3" s="97"/>
      <c r="DSK3" s="97"/>
      <c r="DSL3" s="97"/>
      <c r="DSM3" s="97"/>
      <c r="DSN3" s="97"/>
      <c r="DSO3" s="97"/>
      <c r="DSP3" s="97"/>
      <c r="DSQ3" s="97"/>
      <c r="DSR3" s="97"/>
      <c r="DSS3" s="97"/>
      <c r="DST3" s="97"/>
      <c r="DSU3" s="97"/>
      <c r="DSV3" s="97"/>
      <c r="DSW3" s="97"/>
      <c r="DSX3" s="97"/>
      <c r="DSY3" s="97"/>
      <c r="DSZ3" s="97"/>
      <c r="DTA3" s="97"/>
      <c r="DTB3" s="97"/>
      <c r="DTC3" s="97"/>
      <c r="DTD3" s="97"/>
      <c r="DTE3" s="97"/>
      <c r="DTF3" s="97"/>
      <c r="DTG3" s="97"/>
      <c r="DTH3" s="97"/>
      <c r="DTI3" s="97"/>
      <c r="DTJ3" s="97"/>
      <c r="DTK3" s="97"/>
      <c r="DTL3" s="97"/>
      <c r="DTM3" s="97"/>
      <c r="DTN3" s="97"/>
      <c r="DTO3" s="97"/>
      <c r="DTP3" s="97"/>
      <c r="DTQ3" s="97"/>
      <c r="DTR3" s="97"/>
      <c r="DTS3" s="97"/>
      <c r="DTT3" s="97"/>
      <c r="DTU3" s="97"/>
      <c r="DTV3" s="97"/>
      <c r="DTW3" s="97"/>
      <c r="DTX3" s="97"/>
      <c r="DTY3" s="97"/>
      <c r="DTZ3" s="97"/>
      <c r="DUA3" s="97"/>
      <c r="DUB3" s="97"/>
      <c r="DUC3" s="97"/>
      <c r="DUD3" s="97"/>
      <c r="DUE3" s="97"/>
      <c r="DUF3" s="97"/>
      <c r="DUG3" s="97"/>
      <c r="DUH3" s="97"/>
      <c r="DUI3" s="97"/>
      <c r="DUJ3" s="97"/>
      <c r="DUK3" s="97"/>
      <c r="DUL3" s="97"/>
      <c r="DUM3" s="97"/>
      <c r="DUN3" s="97"/>
      <c r="DUO3" s="97"/>
      <c r="DUP3" s="97"/>
      <c r="DUQ3" s="97"/>
      <c r="DUR3" s="97"/>
      <c r="DUS3" s="97"/>
      <c r="DUT3" s="97"/>
      <c r="DUU3" s="97"/>
      <c r="DUV3" s="97"/>
      <c r="DUW3" s="97"/>
      <c r="DUX3" s="97"/>
      <c r="DUY3" s="97"/>
      <c r="DUZ3" s="97"/>
      <c r="DVA3" s="97"/>
      <c r="DVB3" s="97"/>
      <c r="DVC3" s="97"/>
      <c r="DVD3" s="97"/>
      <c r="DVE3" s="97"/>
      <c r="DVF3" s="97"/>
      <c r="DVG3" s="97"/>
      <c r="DVH3" s="97"/>
      <c r="DVI3" s="97"/>
      <c r="DVJ3" s="97"/>
      <c r="DVK3" s="97"/>
      <c r="DVL3" s="97"/>
      <c r="DVM3" s="97"/>
      <c r="DVN3" s="97"/>
      <c r="DVO3" s="97"/>
      <c r="DVP3" s="97"/>
      <c r="DVQ3" s="97"/>
      <c r="DVR3" s="97"/>
      <c r="DVS3" s="97"/>
      <c r="DVT3" s="97"/>
      <c r="DVU3" s="97"/>
      <c r="DVV3" s="97"/>
      <c r="DVW3" s="97"/>
      <c r="DVX3" s="97"/>
      <c r="DVY3" s="97"/>
      <c r="DVZ3" s="97"/>
      <c r="DWA3" s="97"/>
      <c r="DWB3" s="97"/>
      <c r="DWC3" s="97"/>
      <c r="DWD3" s="97"/>
      <c r="DWE3" s="97"/>
      <c r="DWF3" s="97"/>
      <c r="DWG3" s="97"/>
      <c r="DWH3" s="97"/>
      <c r="DWI3" s="97"/>
      <c r="DWJ3" s="97"/>
      <c r="DWK3" s="97"/>
      <c r="DWL3" s="97"/>
      <c r="DWM3" s="97"/>
      <c r="DWN3" s="97"/>
      <c r="DWO3" s="97"/>
      <c r="DWP3" s="97"/>
      <c r="DWQ3" s="97"/>
      <c r="DWR3" s="97"/>
      <c r="DWS3" s="97"/>
      <c r="DWT3" s="97"/>
      <c r="DWU3" s="97"/>
      <c r="DWV3" s="97"/>
      <c r="DWW3" s="97"/>
      <c r="DWX3" s="97"/>
      <c r="DWY3" s="97"/>
      <c r="DWZ3" s="97"/>
      <c r="DXA3" s="97"/>
      <c r="DXB3" s="97"/>
      <c r="DXC3" s="97"/>
      <c r="DXD3" s="97"/>
      <c r="DXE3" s="97"/>
      <c r="DXF3" s="97"/>
      <c r="DXG3" s="97"/>
      <c r="DXH3" s="97"/>
      <c r="DXI3" s="97"/>
      <c r="DXJ3" s="97"/>
      <c r="DXK3" s="97"/>
      <c r="DXL3" s="97"/>
      <c r="DXM3" s="97"/>
      <c r="DXN3" s="97"/>
      <c r="DXO3" s="97"/>
      <c r="DXP3" s="97"/>
      <c r="DXQ3" s="97"/>
      <c r="DXR3" s="97"/>
      <c r="DXS3" s="97"/>
      <c r="DXT3" s="97"/>
      <c r="DXU3" s="97"/>
      <c r="DXV3" s="97"/>
      <c r="DXW3" s="97"/>
      <c r="DXX3" s="97"/>
      <c r="DXY3" s="97"/>
      <c r="DXZ3" s="97"/>
      <c r="DYA3" s="97"/>
      <c r="DYB3" s="97"/>
      <c r="DYC3" s="97"/>
      <c r="DYD3" s="97"/>
      <c r="DYE3" s="97"/>
      <c r="DYF3" s="97"/>
      <c r="DYG3" s="97"/>
      <c r="DYH3" s="97"/>
      <c r="DYI3" s="97"/>
      <c r="DYJ3" s="97"/>
      <c r="DYK3" s="97"/>
      <c r="DYL3" s="97"/>
      <c r="DYM3" s="97"/>
      <c r="DYN3" s="97"/>
      <c r="DYO3" s="97"/>
      <c r="DYP3" s="97"/>
      <c r="DYQ3" s="97"/>
      <c r="DYR3" s="97"/>
      <c r="DYS3" s="97"/>
      <c r="DYT3" s="97"/>
      <c r="DYU3" s="97"/>
      <c r="DYV3" s="97"/>
      <c r="DYW3" s="97"/>
      <c r="DYX3" s="97"/>
      <c r="DYY3" s="97"/>
      <c r="DYZ3" s="97"/>
      <c r="DZA3" s="97"/>
      <c r="DZB3" s="97"/>
      <c r="DZC3" s="97"/>
      <c r="DZD3" s="97"/>
      <c r="DZE3" s="97"/>
      <c r="DZF3" s="97"/>
      <c r="DZG3" s="97"/>
      <c r="DZH3" s="97"/>
      <c r="DZI3" s="97"/>
      <c r="DZJ3" s="97"/>
      <c r="DZK3" s="97"/>
      <c r="DZL3" s="97"/>
      <c r="DZM3" s="97"/>
      <c r="DZN3" s="97"/>
      <c r="DZO3" s="97"/>
      <c r="DZP3" s="97"/>
      <c r="DZQ3" s="97"/>
      <c r="DZR3" s="97"/>
      <c r="DZS3" s="97"/>
      <c r="DZT3" s="97"/>
      <c r="DZU3" s="97"/>
      <c r="DZV3" s="97"/>
      <c r="DZW3" s="97"/>
      <c r="DZX3" s="97"/>
      <c r="DZY3" s="97"/>
      <c r="DZZ3" s="97"/>
      <c r="EAA3" s="97"/>
      <c r="EAB3" s="97"/>
      <c r="EAC3" s="97"/>
      <c r="EAD3" s="97"/>
      <c r="EAE3" s="97"/>
      <c r="EAF3" s="97"/>
      <c r="EAG3" s="97"/>
      <c r="EAH3" s="97"/>
      <c r="EAI3" s="97"/>
      <c r="EAJ3" s="97"/>
      <c r="EAK3" s="97"/>
      <c r="EAL3" s="97"/>
      <c r="EAM3" s="97"/>
      <c r="EAN3" s="97"/>
      <c r="EAO3" s="97"/>
      <c r="EAP3" s="97"/>
      <c r="EAQ3" s="97"/>
      <c r="EAR3" s="97"/>
      <c r="EAS3" s="97"/>
      <c r="EAT3" s="97"/>
      <c r="EAU3" s="97"/>
      <c r="EAV3" s="97"/>
      <c r="EAW3" s="97"/>
      <c r="EAX3" s="97"/>
      <c r="EAY3" s="97"/>
      <c r="EAZ3" s="97"/>
      <c r="EBA3" s="97"/>
      <c r="EBB3" s="97"/>
      <c r="EBC3" s="97"/>
      <c r="EBD3" s="97"/>
      <c r="EBE3" s="97"/>
      <c r="EBF3" s="97"/>
      <c r="EBG3" s="97"/>
      <c r="EBH3" s="97"/>
      <c r="EBI3" s="97"/>
      <c r="EBJ3" s="97"/>
      <c r="EBK3" s="97"/>
      <c r="EBL3" s="97"/>
      <c r="EBM3" s="97"/>
      <c r="EBN3" s="97"/>
      <c r="EBO3" s="97"/>
      <c r="EBP3" s="97"/>
      <c r="EBQ3" s="97"/>
      <c r="EBR3" s="97"/>
      <c r="EBS3" s="97"/>
      <c r="EBT3" s="97"/>
      <c r="EBU3" s="97"/>
      <c r="EBV3" s="97"/>
      <c r="EBW3" s="97"/>
      <c r="EBX3" s="97"/>
      <c r="EBY3" s="97"/>
      <c r="EBZ3" s="97"/>
      <c r="ECA3" s="97"/>
      <c r="ECB3" s="97"/>
      <c r="ECC3" s="97"/>
      <c r="ECD3" s="97"/>
      <c r="ECE3" s="97"/>
      <c r="ECF3" s="97"/>
      <c r="ECG3" s="97"/>
      <c r="ECH3" s="97"/>
      <c r="ECI3" s="97"/>
      <c r="ECJ3" s="97"/>
      <c r="ECK3" s="97"/>
      <c r="ECL3" s="97"/>
      <c r="ECM3" s="97"/>
      <c r="ECN3" s="97"/>
      <c r="ECO3" s="97"/>
      <c r="ECP3" s="97"/>
      <c r="ECQ3" s="97"/>
      <c r="ECR3" s="97"/>
      <c r="ECS3" s="97"/>
      <c r="ECT3" s="97"/>
      <c r="ECU3" s="97"/>
      <c r="ECV3" s="97"/>
      <c r="ECW3" s="97"/>
      <c r="ECX3" s="97"/>
      <c r="ECY3" s="97"/>
      <c r="ECZ3" s="97"/>
      <c r="EDA3" s="97"/>
      <c r="EDB3" s="97"/>
      <c r="EDC3" s="97"/>
      <c r="EDD3" s="97"/>
      <c r="EDE3" s="97"/>
      <c r="EDF3" s="97"/>
      <c r="EDG3" s="97"/>
      <c r="EDH3" s="97"/>
      <c r="EDI3" s="97"/>
      <c r="EDJ3" s="97"/>
      <c r="EDK3" s="97"/>
      <c r="EDL3" s="97"/>
      <c r="EDM3" s="97"/>
      <c r="EDN3" s="97"/>
      <c r="EDO3" s="97"/>
      <c r="EDP3" s="97"/>
      <c r="EDQ3" s="97"/>
      <c r="EDR3" s="97"/>
      <c r="EDS3" s="97"/>
      <c r="EDT3" s="97"/>
      <c r="EDU3" s="97"/>
      <c r="EDV3" s="97"/>
      <c r="EDW3" s="97"/>
      <c r="EDX3" s="97"/>
      <c r="EDY3" s="97"/>
      <c r="EDZ3" s="97"/>
      <c r="EEA3" s="97"/>
      <c r="EEB3" s="97"/>
      <c r="EEC3" s="97"/>
      <c r="EED3" s="97"/>
      <c r="EEE3" s="97"/>
      <c r="EEF3" s="97"/>
      <c r="EEG3" s="97"/>
      <c r="EEH3" s="97"/>
      <c r="EEI3" s="97"/>
      <c r="EEJ3" s="97"/>
      <c r="EEK3" s="97"/>
      <c r="EEL3" s="97"/>
      <c r="EEM3" s="97"/>
      <c r="EEN3" s="97"/>
      <c r="EEO3" s="97"/>
      <c r="EEP3" s="97"/>
      <c r="EEQ3" s="97"/>
      <c r="EER3" s="97"/>
      <c r="EES3" s="97"/>
      <c r="EET3" s="97"/>
      <c r="EEU3" s="97"/>
      <c r="EEV3" s="97"/>
      <c r="EEW3" s="97"/>
      <c r="EEX3" s="97"/>
      <c r="EEY3" s="97"/>
      <c r="EEZ3" s="97"/>
      <c r="EFA3" s="97"/>
      <c r="EFB3" s="97"/>
      <c r="EFC3" s="97"/>
      <c r="EFD3" s="97"/>
      <c r="EFE3" s="97"/>
      <c r="EFF3" s="97"/>
      <c r="EFG3" s="97"/>
      <c r="EFH3" s="97"/>
      <c r="EFI3" s="97"/>
      <c r="EFJ3" s="97"/>
      <c r="EFK3" s="97"/>
      <c r="EFL3" s="97"/>
      <c r="EFM3" s="97"/>
      <c r="EFN3" s="97"/>
      <c r="EFO3" s="97"/>
      <c r="EFP3" s="97"/>
      <c r="EFQ3" s="97"/>
      <c r="EFR3" s="97"/>
      <c r="EFS3" s="97"/>
      <c r="EFT3" s="97"/>
      <c r="EFU3" s="97"/>
      <c r="EFV3" s="97"/>
      <c r="EFW3" s="97"/>
      <c r="EFX3" s="97"/>
      <c r="EFY3" s="97"/>
      <c r="EFZ3" s="97"/>
      <c r="EGA3" s="97"/>
      <c r="EGB3" s="97"/>
      <c r="EGC3" s="97"/>
      <c r="EGD3" s="97"/>
      <c r="EGE3" s="97"/>
      <c r="EGF3" s="97"/>
      <c r="EGG3" s="97"/>
      <c r="EGH3" s="97"/>
      <c r="EGI3" s="97"/>
      <c r="EGJ3" s="97"/>
      <c r="EGK3" s="97"/>
      <c r="EGL3" s="97"/>
      <c r="EGM3" s="97"/>
      <c r="EGN3" s="97"/>
      <c r="EGO3" s="97"/>
      <c r="EGP3" s="97"/>
      <c r="EGQ3" s="97"/>
      <c r="EGR3" s="97"/>
      <c r="EGS3" s="97"/>
      <c r="EGT3" s="97"/>
      <c r="EGU3" s="97"/>
      <c r="EGV3" s="97"/>
      <c r="EGW3" s="97"/>
      <c r="EGX3" s="97"/>
      <c r="EGY3" s="97"/>
      <c r="EGZ3" s="97"/>
      <c r="EHA3" s="97"/>
      <c r="EHB3" s="97"/>
      <c r="EHC3" s="97"/>
      <c r="EHD3" s="97"/>
      <c r="EHE3" s="97"/>
      <c r="EHF3" s="97"/>
      <c r="EHG3" s="97"/>
      <c r="EHH3" s="97"/>
      <c r="EHI3" s="97"/>
      <c r="EHJ3" s="97"/>
      <c r="EHK3" s="97"/>
      <c r="EHL3" s="97"/>
      <c r="EHM3" s="97"/>
      <c r="EHN3" s="97"/>
      <c r="EHO3" s="97"/>
      <c r="EHP3" s="97"/>
      <c r="EHQ3" s="97"/>
      <c r="EHR3" s="97"/>
      <c r="EHS3" s="97"/>
      <c r="EHT3" s="97"/>
      <c r="EHU3" s="97"/>
      <c r="EHV3" s="97"/>
      <c r="EHW3" s="97"/>
      <c r="EHX3" s="97"/>
      <c r="EHY3" s="97"/>
      <c r="EHZ3" s="97"/>
      <c r="EIA3" s="97"/>
      <c r="EIB3" s="97"/>
      <c r="EIC3" s="97"/>
      <c r="EID3" s="97"/>
      <c r="EIE3" s="97"/>
      <c r="EIF3" s="97"/>
      <c r="EIG3" s="97"/>
      <c r="EIH3" s="97"/>
      <c r="EII3" s="97"/>
      <c r="EIJ3" s="97"/>
      <c r="EIK3" s="97"/>
      <c r="EIL3" s="97"/>
      <c r="EIM3" s="97"/>
      <c r="EIN3" s="97"/>
      <c r="EIO3" s="97"/>
      <c r="EIP3" s="97"/>
      <c r="EIQ3" s="97"/>
      <c r="EIR3" s="97"/>
      <c r="EIS3" s="97"/>
      <c r="EIT3" s="97"/>
      <c r="EIU3" s="97"/>
      <c r="EIV3" s="97"/>
      <c r="EIW3" s="97"/>
      <c r="EIX3" s="97"/>
      <c r="EIY3" s="97"/>
      <c r="EIZ3" s="97"/>
      <c r="EJA3" s="97"/>
      <c r="EJB3" s="97"/>
      <c r="EJC3" s="97"/>
      <c r="EJD3" s="97"/>
      <c r="EJE3" s="97"/>
      <c r="EJF3" s="97"/>
      <c r="EJG3" s="97"/>
      <c r="EJH3" s="97"/>
      <c r="EJI3" s="97"/>
      <c r="EJJ3" s="97"/>
      <c r="EJK3" s="97"/>
      <c r="EJL3" s="97"/>
      <c r="EJM3" s="97"/>
      <c r="EJN3" s="97"/>
      <c r="EJO3" s="97"/>
      <c r="EJP3" s="97"/>
      <c r="EJQ3" s="97"/>
      <c r="EJR3" s="97"/>
      <c r="EJS3" s="97"/>
      <c r="EJT3" s="97"/>
      <c r="EJU3" s="97"/>
      <c r="EJV3" s="97"/>
      <c r="EJW3" s="97"/>
      <c r="EJX3" s="97"/>
      <c r="EJY3" s="97"/>
      <c r="EJZ3" s="97"/>
      <c r="EKA3" s="97"/>
      <c r="EKB3" s="97"/>
      <c r="EKC3" s="97"/>
      <c r="EKD3" s="97"/>
      <c r="EKE3" s="97"/>
      <c r="EKF3" s="97"/>
      <c r="EKG3" s="97"/>
      <c r="EKH3" s="97"/>
      <c r="EKI3" s="97"/>
      <c r="EKJ3" s="97"/>
      <c r="EKK3" s="97"/>
      <c r="EKL3" s="97"/>
      <c r="EKM3" s="97"/>
      <c r="EKN3" s="97"/>
      <c r="EKO3" s="97"/>
      <c r="EKP3" s="97"/>
      <c r="EKQ3" s="97"/>
      <c r="EKR3" s="97"/>
      <c r="EKS3" s="97"/>
      <c r="EKT3" s="97"/>
      <c r="EKU3" s="97"/>
      <c r="EKV3" s="97"/>
      <c r="EKW3" s="97"/>
      <c r="EKX3" s="97"/>
      <c r="EKY3" s="97"/>
      <c r="EKZ3" s="97"/>
      <c r="ELA3" s="97"/>
      <c r="ELB3" s="97"/>
      <c r="ELC3" s="97"/>
      <c r="ELD3" s="97"/>
      <c r="ELE3" s="97"/>
      <c r="ELF3" s="97"/>
      <c r="ELG3" s="97"/>
      <c r="ELH3" s="97"/>
      <c r="ELI3" s="97"/>
      <c r="ELJ3" s="97"/>
      <c r="ELK3" s="97"/>
      <c r="ELL3" s="97"/>
      <c r="ELM3" s="97"/>
      <c r="ELN3" s="97"/>
      <c r="ELO3" s="97"/>
      <c r="ELP3" s="97"/>
      <c r="ELQ3" s="97"/>
      <c r="ELR3" s="97"/>
      <c r="ELS3" s="97"/>
      <c r="ELT3" s="97"/>
      <c r="ELU3" s="97"/>
      <c r="ELV3" s="97"/>
      <c r="ELW3" s="97"/>
      <c r="ELX3" s="97"/>
      <c r="ELY3" s="97"/>
      <c r="ELZ3" s="97"/>
      <c r="EMA3" s="97"/>
      <c r="EMB3" s="97"/>
      <c r="EMC3" s="97"/>
      <c r="EMD3" s="97"/>
      <c r="EME3" s="97"/>
      <c r="EMF3" s="97"/>
      <c r="EMG3" s="97"/>
      <c r="EMH3" s="97"/>
      <c r="EMI3" s="97"/>
      <c r="EMJ3" s="97"/>
      <c r="EMK3" s="97"/>
      <c r="EML3" s="97"/>
      <c r="EMM3" s="97"/>
      <c r="EMN3" s="97"/>
      <c r="EMO3" s="97"/>
      <c r="EMP3" s="97"/>
      <c r="EMQ3" s="97"/>
      <c r="EMR3" s="97"/>
      <c r="EMS3" s="97"/>
      <c r="EMT3" s="97"/>
      <c r="EMU3" s="97"/>
      <c r="EMV3" s="97"/>
      <c r="EMW3" s="97"/>
      <c r="EMX3" s="97"/>
      <c r="EMY3" s="97"/>
      <c r="EMZ3" s="97"/>
      <c r="ENA3" s="97"/>
      <c r="ENB3" s="97"/>
      <c r="ENC3" s="97"/>
      <c r="END3" s="97"/>
      <c r="ENE3" s="97"/>
      <c r="ENF3" s="97"/>
      <c r="ENG3" s="97"/>
      <c r="ENH3" s="97"/>
      <c r="ENI3" s="97"/>
      <c r="ENJ3" s="97"/>
      <c r="ENK3" s="97"/>
      <c r="ENL3" s="97"/>
      <c r="ENM3" s="97"/>
      <c r="ENN3" s="97"/>
      <c r="ENO3" s="97"/>
      <c r="ENP3" s="97"/>
      <c r="ENQ3" s="97"/>
      <c r="ENR3" s="97"/>
      <c r="ENS3" s="97"/>
      <c r="ENT3" s="97"/>
      <c r="ENU3" s="97"/>
      <c r="ENV3" s="97"/>
      <c r="ENW3" s="97"/>
      <c r="ENX3" s="97"/>
      <c r="ENY3" s="97"/>
      <c r="ENZ3" s="97"/>
      <c r="EOA3" s="97"/>
      <c r="EOB3" s="97"/>
      <c r="EOC3" s="97"/>
      <c r="EOD3" s="97"/>
      <c r="EOE3" s="97"/>
      <c r="EOF3" s="97"/>
      <c r="EOG3" s="97"/>
      <c r="EOH3" s="97"/>
      <c r="EOI3" s="97"/>
      <c r="EOJ3" s="97"/>
      <c r="EOK3" s="97"/>
      <c r="EOL3" s="97"/>
      <c r="EOM3" s="97"/>
      <c r="EON3" s="97"/>
      <c r="EOO3" s="97"/>
      <c r="EOP3" s="97"/>
      <c r="EOQ3" s="97"/>
      <c r="EOR3" s="97"/>
      <c r="EOS3" s="97"/>
      <c r="EOT3" s="97"/>
      <c r="EOU3" s="97"/>
      <c r="EOV3" s="97"/>
      <c r="EOW3" s="97"/>
      <c r="EOX3" s="97"/>
      <c r="EOY3" s="97"/>
      <c r="EOZ3" s="97"/>
      <c r="EPA3" s="97"/>
      <c r="EPB3" s="97"/>
      <c r="EPC3" s="97"/>
      <c r="EPD3" s="97"/>
      <c r="EPE3" s="97"/>
      <c r="EPF3" s="97"/>
      <c r="EPG3" s="97"/>
      <c r="EPH3" s="97"/>
      <c r="EPI3" s="97"/>
      <c r="EPJ3" s="97"/>
      <c r="EPK3" s="97"/>
      <c r="EPL3" s="97"/>
      <c r="EPM3" s="97"/>
      <c r="EPN3" s="97"/>
      <c r="EPO3" s="97"/>
      <c r="EPP3" s="97"/>
      <c r="EPQ3" s="97"/>
      <c r="EPR3" s="97"/>
      <c r="EPS3" s="97"/>
      <c r="EPT3" s="97"/>
      <c r="EPU3" s="97"/>
      <c r="EPV3" s="97"/>
      <c r="EPW3" s="97"/>
      <c r="EPX3" s="97"/>
      <c r="EPY3" s="97"/>
      <c r="EPZ3" s="97"/>
      <c r="EQA3" s="97"/>
      <c r="EQB3" s="97"/>
      <c r="EQC3" s="97"/>
      <c r="EQD3" s="97"/>
      <c r="EQE3" s="97"/>
      <c r="EQF3" s="97"/>
      <c r="EQG3" s="97"/>
      <c r="EQH3" s="97"/>
      <c r="EQI3" s="97"/>
      <c r="EQJ3" s="97"/>
      <c r="EQK3" s="97"/>
      <c r="EQL3" s="97"/>
      <c r="EQM3" s="97"/>
      <c r="EQN3" s="97"/>
      <c r="EQO3" s="97"/>
      <c r="EQP3" s="97"/>
      <c r="EQQ3" s="97"/>
      <c r="EQR3" s="97"/>
      <c r="EQS3" s="97"/>
      <c r="EQT3" s="97"/>
      <c r="EQU3" s="97"/>
      <c r="EQV3" s="97"/>
      <c r="EQW3" s="97"/>
      <c r="EQX3" s="97"/>
      <c r="EQY3" s="97"/>
      <c r="EQZ3" s="97"/>
      <c r="ERA3" s="97"/>
      <c r="ERB3" s="97"/>
      <c r="ERC3" s="97"/>
      <c r="ERD3" s="97"/>
      <c r="ERE3" s="97"/>
      <c r="ERF3" s="97"/>
      <c r="ERG3" s="97"/>
      <c r="ERH3" s="97"/>
      <c r="ERI3" s="97"/>
      <c r="ERJ3" s="97"/>
      <c r="ERK3" s="97"/>
      <c r="ERL3" s="97"/>
      <c r="ERM3" s="97"/>
      <c r="ERN3" s="97"/>
      <c r="ERO3" s="97"/>
      <c r="ERP3" s="97"/>
      <c r="ERQ3" s="97"/>
      <c r="ERR3" s="97"/>
      <c r="ERS3" s="97"/>
      <c r="ERT3" s="97"/>
      <c r="ERU3" s="97"/>
      <c r="ERV3" s="97"/>
      <c r="ERW3" s="97"/>
      <c r="ERX3" s="97"/>
      <c r="ERY3" s="97"/>
      <c r="ERZ3" s="97"/>
      <c r="ESA3" s="97"/>
      <c r="ESB3" s="97"/>
      <c r="ESC3" s="97"/>
      <c r="ESD3" s="97"/>
      <c r="ESE3" s="97"/>
      <c r="ESF3" s="97"/>
      <c r="ESG3" s="97"/>
      <c r="ESH3" s="97"/>
      <c r="ESI3" s="97"/>
      <c r="ESJ3" s="97"/>
      <c r="ESK3" s="97"/>
      <c r="ESL3" s="97"/>
      <c r="ESM3" s="97"/>
      <c r="ESN3" s="97"/>
      <c r="ESO3" s="97"/>
      <c r="ESP3" s="97"/>
      <c r="ESQ3" s="97"/>
      <c r="ESR3" s="97"/>
      <c r="ESS3" s="97"/>
      <c r="EST3" s="97"/>
      <c r="ESU3" s="97"/>
      <c r="ESV3" s="97"/>
      <c r="ESW3" s="97"/>
      <c r="ESX3" s="97"/>
      <c r="ESY3" s="97"/>
      <c r="ESZ3" s="97"/>
      <c r="ETA3" s="97"/>
      <c r="ETB3" s="97"/>
      <c r="ETC3" s="97"/>
      <c r="ETD3" s="97"/>
      <c r="ETE3" s="97"/>
      <c r="ETF3" s="97"/>
      <c r="ETG3" s="97"/>
      <c r="ETH3" s="97"/>
      <c r="ETI3" s="97"/>
      <c r="ETJ3" s="97"/>
      <c r="ETK3" s="97"/>
      <c r="ETL3" s="97"/>
      <c r="ETM3" s="97"/>
      <c r="ETN3" s="97"/>
      <c r="ETO3" s="97"/>
      <c r="ETP3" s="97"/>
      <c r="ETQ3" s="97"/>
      <c r="ETR3" s="97"/>
      <c r="ETS3" s="97"/>
      <c r="ETT3" s="97"/>
      <c r="ETU3" s="97"/>
      <c r="ETV3" s="97"/>
      <c r="ETW3" s="97"/>
      <c r="ETX3" s="97"/>
      <c r="ETY3" s="97"/>
      <c r="ETZ3" s="97"/>
      <c r="EUA3" s="97"/>
      <c r="EUB3" s="97"/>
      <c r="EUC3" s="97"/>
      <c r="EUD3" s="97"/>
      <c r="EUE3" s="97"/>
      <c r="EUF3" s="97"/>
      <c r="EUG3" s="97"/>
      <c r="EUH3" s="97"/>
      <c r="EUI3" s="97"/>
      <c r="EUJ3" s="97"/>
      <c r="EUK3" s="97"/>
      <c r="EUL3" s="97"/>
      <c r="EUM3" s="97"/>
      <c r="EUN3" s="97"/>
      <c r="EUO3" s="97"/>
      <c r="EUP3" s="97"/>
      <c r="EUQ3" s="97"/>
      <c r="EUR3" s="97"/>
      <c r="EUS3" s="97"/>
      <c r="EUT3" s="97"/>
      <c r="EUU3" s="97"/>
      <c r="EUV3" s="97"/>
      <c r="EUW3" s="97"/>
      <c r="EUX3" s="97"/>
      <c r="EUY3" s="97"/>
      <c r="EUZ3" s="97"/>
      <c r="EVA3" s="97"/>
      <c r="EVB3" s="97"/>
      <c r="EVC3" s="97"/>
      <c r="EVD3" s="97"/>
      <c r="EVE3" s="97"/>
      <c r="EVF3" s="97"/>
      <c r="EVG3" s="97"/>
      <c r="EVH3" s="97"/>
      <c r="EVI3" s="97"/>
      <c r="EVJ3" s="97"/>
      <c r="EVK3" s="97"/>
      <c r="EVL3" s="97"/>
      <c r="EVM3" s="97"/>
      <c r="EVN3" s="97"/>
      <c r="EVO3" s="97"/>
      <c r="EVP3" s="97"/>
      <c r="EVQ3" s="97"/>
      <c r="EVR3" s="97"/>
      <c r="EVS3" s="97"/>
      <c r="EVT3" s="97"/>
      <c r="EVU3" s="97"/>
      <c r="EVV3" s="97"/>
      <c r="EVW3" s="97"/>
      <c r="EVX3" s="97"/>
      <c r="EVY3" s="97"/>
      <c r="EVZ3" s="97"/>
      <c r="EWA3" s="97"/>
      <c r="EWB3" s="97"/>
      <c r="EWC3" s="97"/>
      <c r="EWD3" s="97"/>
      <c r="EWE3" s="97"/>
      <c r="EWF3" s="97"/>
      <c r="EWG3" s="97"/>
      <c r="EWH3" s="97"/>
      <c r="EWI3" s="97"/>
      <c r="EWJ3" s="97"/>
      <c r="EWK3" s="97"/>
      <c r="EWL3" s="97"/>
      <c r="EWM3" s="97"/>
      <c r="EWN3" s="97"/>
      <c r="EWO3" s="97"/>
      <c r="EWP3" s="97"/>
      <c r="EWQ3" s="97"/>
      <c r="EWR3" s="97"/>
      <c r="EWS3" s="97"/>
      <c r="EWT3" s="97"/>
      <c r="EWU3" s="97"/>
      <c r="EWV3" s="97"/>
      <c r="EWW3" s="97"/>
      <c r="EWX3" s="97"/>
      <c r="EWY3" s="97"/>
      <c r="EWZ3" s="97"/>
      <c r="EXA3" s="97"/>
      <c r="EXB3" s="97"/>
      <c r="EXC3" s="97"/>
      <c r="EXD3" s="97"/>
      <c r="EXE3" s="97"/>
      <c r="EXF3" s="97"/>
      <c r="EXG3" s="97"/>
      <c r="EXH3" s="97"/>
      <c r="EXI3" s="97"/>
      <c r="EXJ3" s="97"/>
      <c r="EXK3" s="97"/>
      <c r="EXL3" s="97"/>
      <c r="EXM3" s="97"/>
      <c r="EXN3" s="97"/>
      <c r="EXO3" s="97"/>
      <c r="EXP3" s="97"/>
      <c r="EXQ3" s="97"/>
      <c r="EXR3" s="97"/>
      <c r="EXS3" s="97"/>
      <c r="EXT3" s="97"/>
      <c r="EXU3" s="97"/>
      <c r="EXV3" s="97"/>
      <c r="EXW3" s="97"/>
      <c r="EXX3" s="97"/>
      <c r="EXY3" s="97"/>
      <c r="EXZ3" s="97"/>
      <c r="EYA3" s="97"/>
      <c r="EYB3" s="97"/>
      <c r="EYC3" s="97"/>
      <c r="EYD3" s="97"/>
      <c r="EYE3" s="97"/>
      <c r="EYF3" s="97"/>
      <c r="EYG3" s="97"/>
      <c r="EYH3" s="97"/>
      <c r="EYI3" s="97"/>
      <c r="EYJ3" s="97"/>
      <c r="EYK3" s="97"/>
      <c r="EYL3" s="97"/>
      <c r="EYM3" s="97"/>
      <c r="EYN3" s="97"/>
      <c r="EYO3" s="97"/>
      <c r="EYP3" s="97"/>
      <c r="EYQ3" s="97"/>
      <c r="EYR3" s="97"/>
      <c r="EYS3" s="97"/>
      <c r="EYT3" s="97"/>
      <c r="EYU3" s="97"/>
      <c r="EYV3" s="97"/>
      <c r="EYW3" s="97"/>
      <c r="EYX3" s="97"/>
      <c r="EYY3" s="97"/>
      <c r="EYZ3" s="97"/>
      <c r="EZA3" s="97"/>
      <c r="EZB3" s="97"/>
      <c r="EZC3" s="97"/>
      <c r="EZD3" s="97"/>
      <c r="EZE3" s="97"/>
      <c r="EZF3" s="97"/>
      <c r="EZG3" s="97"/>
      <c r="EZH3" s="97"/>
      <c r="EZI3" s="97"/>
      <c r="EZJ3" s="97"/>
      <c r="EZK3" s="97"/>
      <c r="EZL3" s="97"/>
      <c r="EZM3" s="97"/>
      <c r="EZN3" s="97"/>
      <c r="EZO3" s="97"/>
      <c r="EZP3" s="97"/>
      <c r="EZQ3" s="97"/>
      <c r="EZR3" s="97"/>
      <c r="EZS3" s="97"/>
      <c r="EZT3" s="97"/>
      <c r="EZU3" s="97"/>
      <c r="EZV3" s="97"/>
      <c r="EZW3" s="97"/>
      <c r="EZX3" s="97"/>
      <c r="EZY3" s="97"/>
      <c r="EZZ3" s="97"/>
      <c r="FAA3" s="97"/>
      <c r="FAB3" s="97"/>
      <c r="FAC3" s="97"/>
      <c r="FAD3" s="97"/>
      <c r="FAE3" s="97"/>
      <c r="FAF3" s="97"/>
      <c r="FAG3" s="97"/>
      <c r="FAH3" s="97"/>
      <c r="FAI3" s="97"/>
      <c r="FAJ3" s="97"/>
      <c r="FAK3" s="97"/>
      <c r="FAL3" s="97"/>
      <c r="FAM3" s="97"/>
      <c r="FAN3" s="97"/>
      <c r="FAO3" s="97"/>
      <c r="FAP3" s="97"/>
      <c r="FAQ3" s="97"/>
      <c r="FAR3" s="97"/>
      <c r="FAS3" s="97"/>
      <c r="FAT3" s="97"/>
      <c r="FAU3" s="97"/>
      <c r="FAV3" s="97"/>
      <c r="FAW3" s="97"/>
      <c r="FAX3" s="97"/>
      <c r="FAY3" s="97"/>
      <c r="FAZ3" s="97"/>
      <c r="FBA3" s="97"/>
      <c r="FBB3" s="97"/>
      <c r="FBC3" s="97"/>
      <c r="FBD3" s="97"/>
      <c r="FBE3" s="97"/>
      <c r="FBF3" s="97"/>
      <c r="FBG3" s="97"/>
      <c r="FBH3" s="97"/>
      <c r="FBI3" s="97"/>
      <c r="FBJ3" s="97"/>
      <c r="FBK3" s="97"/>
      <c r="FBL3" s="97"/>
      <c r="FBM3" s="97"/>
      <c r="FBN3" s="97"/>
      <c r="FBO3" s="97"/>
      <c r="FBP3" s="97"/>
      <c r="FBQ3" s="97"/>
      <c r="FBR3" s="97"/>
      <c r="FBS3" s="97"/>
      <c r="FBT3" s="97"/>
      <c r="FBU3" s="97"/>
      <c r="FBV3" s="97"/>
      <c r="FBW3" s="97"/>
      <c r="FBX3" s="97"/>
      <c r="FBY3" s="97"/>
      <c r="FBZ3" s="97"/>
      <c r="FCA3" s="97"/>
      <c r="FCB3" s="97"/>
      <c r="FCC3" s="97"/>
      <c r="FCD3" s="97"/>
      <c r="FCE3" s="97"/>
      <c r="FCF3" s="97"/>
      <c r="FCG3" s="97"/>
      <c r="FCH3" s="97"/>
      <c r="FCI3" s="97"/>
      <c r="FCJ3" s="97"/>
      <c r="FCK3" s="97"/>
      <c r="FCL3" s="97"/>
      <c r="FCM3" s="97"/>
      <c r="FCN3" s="97"/>
      <c r="FCO3" s="97"/>
      <c r="FCP3" s="97"/>
      <c r="FCQ3" s="97"/>
      <c r="FCR3" s="97"/>
      <c r="FCS3" s="97"/>
      <c r="FCT3" s="97"/>
      <c r="FCU3" s="97"/>
      <c r="FCV3" s="97"/>
      <c r="FCW3" s="97"/>
      <c r="FCX3" s="97"/>
      <c r="FCY3" s="97"/>
      <c r="FCZ3" s="97"/>
      <c r="FDA3" s="97"/>
      <c r="FDB3" s="97"/>
      <c r="FDC3" s="97"/>
      <c r="FDD3" s="97"/>
      <c r="FDE3" s="97"/>
      <c r="FDF3" s="97"/>
      <c r="FDG3" s="97"/>
      <c r="FDH3" s="97"/>
      <c r="FDI3" s="97"/>
      <c r="FDJ3" s="97"/>
      <c r="FDK3" s="97"/>
      <c r="FDL3" s="97"/>
      <c r="FDM3" s="97"/>
      <c r="FDN3" s="97"/>
      <c r="FDO3" s="97"/>
      <c r="FDP3" s="97"/>
      <c r="FDQ3" s="97"/>
      <c r="FDR3" s="97"/>
      <c r="FDS3" s="97"/>
      <c r="FDT3" s="97"/>
      <c r="FDU3" s="97"/>
      <c r="FDV3" s="97"/>
      <c r="FDW3" s="97"/>
      <c r="FDX3" s="97"/>
      <c r="FDY3" s="97"/>
      <c r="FDZ3" s="97"/>
      <c r="FEA3" s="97"/>
      <c r="FEB3" s="97"/>
      <c r="FEC3" s="97"/>
      <c r="FED3" s="97"/>
      <c r="FEE3" s="97"/>
      <c r="FEF3" s="97"/>
      <c r="FEG3" s="97"/>
      <c r="FEH3" s="97"/>
      <c r="FEI3" s="97"/>
      <c r="FEJ3" s="97"/>
      <c r="FEK3" s="97"/>
      <c r="FEL3" s="97"/>
      <c r="FEM3" s="97"/>
      <c r="FEN3" s="97"/>
      <c r="FEO3" s="97"/>
      <c r="FEP3" s="97"/>
      <c r="FEQ3" s="97"/>
      <c r="FER3" s="97"/>
      <c r="FES3" s="97"/>
      <c r="FET3" s="97"/>
      <c r="FEU3" s="97"/>
      <c r="FEV3" s="97"/>
      <c r="FEW3" s="97"/>
      <c r="FEX3" s="97"/>
      <c r="FEY3" s="97"/>
      <c r="FEZ3" s="97"/>
      <c r="FFA3" s="97"/>
      <c r="FFB3" s="97"/>
      <c r="FFC3" s="97"/>
      <c r="FFD3" s="97"/>
      <c r="FFE3" s="97"/>
      <c r="FFF3" s="97"/>
      <c r="FFG3" s="97"/>
      <c r="FFH3" s="97"/>
      <c r="FFI3" s="97"/>
      <c r="FFJ3" s="97"/>
      <c r="FFK3" s="97"/>
      <c r="FFL3" s="97"/>
      <c r="FFM3" s="97"/>
      <c r="FFN3" s="97"/>
      <c r="FFO3" s="97"/>
      <c r="FFP3" s="97"/>
      <c r="FFQ3" s="97"/>
      <c r="FFR3" s="97"/>
      <c r="FFS3" s="97"/>
      <c r="FFT3" s="97"/>
      <c r="FFU3" s="97"/>
      <c r="FFV3" s="97"/>
      <c r="FFW3" s="97"/>
      <c r="FFX3" s="97"/>
      <c r="FFY3" s="97"/>
      <c r="FFZ3" s="97"/>
      <c r="FGA3" s="97"/>
      <c r="FGB3" s="97"/>
      <c r="FGC3" s="97"/>
      <c r="FGD3" s="97"/>
      <c r="FGE3" s="97"/>
      <c r="FGF3" s="97"/>
      <c r="FGG3" s="97"/>
      <c r="FGH3" s="97"/>
      <c r="FGI3" s="97"/>
      <c r="FGJ3" s="97"/>
      <c r="FGK3" s="97"/>
      <c r="FGL3" s="97"/>
      <c r="FGM3" s="97"/>
      <c r="FGN3" s="97"/>
      <c r="FGO3" s="97"/>
      <c r="FGP3" s="97"/>
      <c r="FGQ3" s="97"/>
      <c r="FGR3" s="97"/>
      <c r="FGS3" s="97"/>
      <c r="FGT3" s="97"/>
      <c r="FGU3" s="97"/>
      <c r="FGV3" s="97"/>
      <c r="FGW3" s="97"/>
      <c r="FGX3" s="97"/>
      <c r="FGY3" s="97"/>
      <c r="FGZ3" s="97"/>
      <c r="FHA3" s="97"/>
      <c r="FHB3" s="97"/>
      <c r="FHC3" s="97"/>
      <c r="FHD3" s="97"/>
      <c r="FHE3" s="97"/>
      <c r="FHF3" s="97"/>
      <c r="FHG3" s="97"/>
      <c r="FHH3" s="97"/>
      <c r="FHI3" s="97"/>
      <c r="FHJ3" s="97"/>
      <c r="FHK3" s="97"/>
      <c r="FHL3" s="97"/>
      <c r="FHM3" s="97"/>
      <c r="FHN3" s="97"/>
      <c r="FHO3" s="97"/>
      <c r="FHP3" s="97"/>
      <c r="FHQ3" s="97"/>
      <c r="FHR3" s="97"/>
      <c r="FHS3" s="97"/>
      <c r="FHT3" s="97"/>
      <c r="FHU3" s="97"/>
      <c r="FHV3" s="97"/>
      <c r="FHW3" s="97"/>
      <c r="FHX3" s="97"/>
      <c r="FHY3" s="97"/>
      <c r="FHZ3" s="97"/>
      <c r="FIA3" s="97"/>
      <c r="FIB3" s="97"/>
      <c r="FIC3" s="97"/>
      <c r="FID3" s="97"/>
      <c r="FIE3" s="97"/>
      <c r="FIF3" s="97"/>
      <c r="FIG3" s="97"/>
      <c r="FIH3" s="97"/>
      <c r="FII3" s="97"/>
      <c r="FIJ3" s="97"/>
      <c r="FIK3" s="97"/>
      <c r="FIL3" s="97"/>
      <c r="FIM3" s="97"/>
      <c r="FIN3" s="97"/>
      <c r="FIO3" s="97"/>
      <c r="FIP3" s="97"/>
      <c r="FIQ3" s="97"/>
      <c r="FIR3" s="97"/>
      <c r="FIS3" s="97"/>
      <c r="FIT3" s="97"/>
      <c r="FIU3" s="97"/>
      <c r="FIV3" s="97"/>
      <c r="FIW3" s="97"/>
      <c r="FIX3" s="97"/>
      <c r="FIY3" s="97"/>
      <c r="FIZ3" s="97"/>
      <c r="FJA3" s="97"/>
      <c r="FJB3" s="97"/>
      <c r="FJC3" s="97"/>
      <c r="FJD3" s="97"/>
      <c r="FJE3" s="97"/>
      <c r="FJF3" s="97"/>
      <c r="FJG3" s="97"/>
      <c r="FJH3" s="97"/>
      <c r="FJI3" s="97"/>
      <c r="FJJ3" s="97"/>
      <c r="FJK3" s="97"/>
      <c r="FJL3" s="97"/>
      <c r="FJM3" s="97"/>
      <c r="FJN3" s="97"/>
      <c r="FJO3" s="97"/>
      <c r="FJP3" s="97"/>
      <c r="FJQ3" s="97"/>
      <c r="FJR3" s="97"/>
      <c r="FJS3" s="97"/>
      <c r="FJT3" s="97"/>
      <c r="FJU3" s="97"/>
      <c r="FJV3" s="97"/>
      <c r="FJW3" s="97"/>
      <c r="FJX3" s="97"/>
      <c r="FJY3" s="97"/>
      <c r="FJZ3" s="97"/>
      <c r="FKA3" s="97"/>
      <c r="FKB3" s="97"/>
      <c r="FKC3" s="97"/>
      <c r="FKD3" s="97"/>
      <c r="FKE3" s="97"/>
      <c r="FKF3" s="97"/>
      <c r="FKG3" s="97"/>
      <c r="FKH3" s="97"/>
      <c r="FKI3" s="97"/>
      <c r="FKJ3" s="97"/>
      <c r="FKK3" s="97"/>
      <c r="FKL3" s="97"/>
      <c r="FKM3" s="97"/>
      <c r="FKN3" s="97"/>
      <c r="FKO3" s="97"/>
      <c r="FKP3" s="97"/>
      <c r="FKQ3" s="97"/>
      <c r="FKR3" s="97"/>
      <c r="FKS3" s="97"/>
      <c r="FKT3" s="97"/>
      <c r="FKU3" s="97"/>
      <c r="FKV3" s="97"/>
      <c r="FKW3" s="97"/>
      <c r="FKX3" s="97"/>
      <c r="FKY3" s="97"/>
      <c r="FKZ3" s="97"/>
      <c r="FLA3" s="97"/>
      <c r="FLB3" s="97"/>
      <c r="FLC3" s="97"/>
      <c r="FLD3" s="97"/>
      <c r="FLE3" s="97"/>
      <c r="FLF3" s="97"/>
      <c r="FLG3" s="97"/>
      <c r="FLH3" s="97"/>
      <c r="FLI3" s="97"/>
      <c r="FLJ3" s="97"/>
      <c r="FLK3" s="97"/>
      <c r="FLL3" s="97"/>
      <c r="FLM3" s="97"/>
      <c r="FLN3" s="97"/>
      <c r="FLO3" s="97"/>
      <c r="FLP3" s="97"/>
      <c r="FLQ3" s="97"/>
      <c r="FLR3" s="97"/>
      <c r="FLS3" s="97"/>
      <c r="FLT3" s="97"/>
      <c r="FLU3" s="97"/>
      <c r="FLV3" s="97"/>
      <c r="FLW3" s="97"/>
      <c r="FLX3" s="97"/>
      <c r="FLY3" s="97"/>
      <c r="FLZ3" s="97"/>
      <c r="FMA3" s="97"/>
      <c r="FMB3" s="97"/>
      <c r="FMC3" s="97"/>
      <c r="FMD3" s="97"/>
      <c r="FME3" s="97"/>
      <c r="FMF3" s="97"/>
      <c r="FMG3" s="97"/>
      <c r="FMH3" s="97"/>
      <c r="FMI3" s="97"/>
      <c r="FMJ3" s="97"/>
      <c r="FMK3" s="97"/>
      <c r="FML3" s="97"/>
      <c r="FMM3" s="97"/>
      <c r="FMN3" s="97"/>
      <c r="FMO3" s="97"/>
      <c r="FMP3" s="97"/>
      <c r="FMQ3" s="97"/>
      <c r="FMR3" s="97"/>
      <c r="FMS3" s="97"/>
      <c r="FMT3" s="97"/>
      <c r="FMU3" s="97"/>
      <c r="FMV3" s="97"/>
      <c r="FMW3" s="97"/>
      <c r="FMX3" s="97"/>
      <c r="FMY3" s="97"/>
      <c r="FMZ3" s="97"/>
      <c r="FNA3" s="97"/>
      <c r="FNB3" s="97"/>
      <c r="FNC3" s="97"/>
      <c r="FND3" s="97"/>
      <c r="FNE3" s="97"/>
      <c r="FNF3" s="97"/>
      <c r="FNG3" s="97"/>
      <c r="FNH3" s="97"/>
      <c r="FNI3" s="97"/>
      <c r="FNJ3" s="97"/>
      <c r="FNK3" s="97"/>
      <c r="FNL3" s="97"/>
      <c r="FNM3" s="97"/>
      <c r="FNN3" s="97"/>
      <c r="FNO3" s="97"/>
      <c r="FNP3" s="97"/>
      <c r="FNQ3" s="97"/>
      <c r="FNR3" s="97"/>
      <c r="FNS3" s="97"/>
      <c r="FNT3" s="97"/>
      <c r="FNU3" s="97"/>
      <c r="FNV3" s="97"/>
      <c r="FNW3" s="97"/>
      <c r="FNX3" s="97"/>
      <c r="FNY3" s="97"/>
      <c r="FNZ3" s="97"/>
      <c r="FOA3" s="97"/>
      <c r="FOB3" s="97"/>
      <c r="FOC3" s="97"/>
      <c r="FOD3" s="97"/>
      <c r="FOE3" s="97"/>
      <c r="FOF3" s="97"/>
      <c r="FOG3" s="97"/>
      <c r="FOH3" s="97"/>
      <c r="FOI3" s="97"/>
      <c r="FOJ3" s="97"/>
      <c r="FOK3" s="97"/>
      <c r="FOL3" s="97"/>
      <c r="FOM3" s="97"/>
      <c r="FON3" s="97"/>
      <c r="FOO3" s="97"/>
      <c r="FOP3" s="97"/>
      <c r="FOQ3" s="97"/>
      <c r="FOR3" s="97"/>
      <c r="FOS3" s="97"/>
      <c r="FOT3" s="97"/>
      <c r="FOU3" s="97"/>
      <c r="FOV3" s="97"/>
      <c r="FOW3" s="97"/>
      <c r="FOX3" s="97"/>
      <c r="FOY3" s="97"/>
      <c r="FOZ3" s="97"/>
      <c r="FPA3" s="97"/>
      <c r="FPB3" s="97"/>
      <c r="FPC3" s="97"/>
      <c r="FPD3" s="97"/>
      <c r="FPE3" s="97"/>
      <c r="FPF3" s="97"/>
      <c r="FPG3" s="97"/>
      <c r="FPH3" s="97"/>
      <c r="FPI3" s="97"/>
      <c r="FPJ3" s="97"/>
      <c r="FPK3" s="97"/>
      <c r="FPL3" s="97"/>
      <c r="FPM3" s="97"/>
      <c r="FPN3" s="97"/>
      <c r="FPO3" s="97"/>
      <c r="FPP3" s="97"/>
      <c r="FPQ3" s="97"/>
      <c r="FPR3" s="97"/>
      <c r="FPS3" s="97"/>
      <c r="FPT3" s="97"/>
      <c r="FPU3" s="97"/>
      <c r="FPV3" s="97"/>
      <c r="FPW3" s="97"/>
      <c r="FPX3" s="97"/>
      <c r="FPY3" s="97"/>
      <c r="FPZ3" s="97"/>
      <c r="FQA3" s="97"/>
      <c r="FQB3" s="97"/>
      <c r="FQC3" s="97"/>
      <c r="FQD3" s="97"/>
      <c r="FQE3" s="97"/>
      <c r="FQF3" s="97"/>
      <c r="FQG3" s="97"/>
      <c r="FQH3" s="97"/>
      <c r="FQI3" s="97"/>
      <c r="FQJ3" s="97"/>
      <c r="FQK3" s="97"/>
      <c r="FQL3" s="97"/>
      <c r="FQM3" s="97"/>
      <c r="FQN3" s="97"/>
      <c r="FQO3" s="97"/>
      <c r="FQP3" s="97"/>
      <c r="FQQ3" s="97"/>
      <c r="FQR3" s="97"/>
      <c r="FQS3" s="97"/>
      <c r="FQT3" s="97"/>
      <c r="FQU3" s="97"/>
      <c r="FQV3" s="97"/>
      <c r="FQW3" s="97"/>
      <c r="FQX3" s="97"/>
      <c r="FQY3" s="97"/>
      <c r="FQZ3" s="97"/>
      <c r="FRA3" s="97"/>
      <c r="FRB3" s="97"/>
      <c r="FRC3" s="97"/>
      <c r="FRD3" s="97"/>
      <c r="FRE3" s="97"/>
      <c r="FRF3" s="97"/>
      <c r="FRG3" s="97"/>
      <c r="FRH3" s="97"/>
      <c r="FRI3" s="97"/>
      <c r="FRJ3" s="97"/>
      <c r="FRK3" s="97"/>
      <c r="FRL3" s="97"/>
      <c r="FRM3" s="97"/>
      <c r="FRN3" s="97"/>
      <c r="FRO3" s="97"/>
      <c r="FRP3" s="97"/>
      <c r="FRQ3" s="97"/>
      <c r="FRR3" s="97"/>
      <c r="FRS3" s="97"/>
      <c r="FRT3" s="97"/>
      <c r="FRU3" s="97"/>
      <c r="FRV3" s="97"/>
      <c r="FRW3" s="97"/>
      <c r="FRX3" s="97"/>
      <c r="FRY3" s="97"/>
      <c r="FRZ3" s="97"/>
      <c r="FSA3" s="97"/>
      <c r="FSB3" s="97"/>
      <c r="FSC3" s="97"/>
      <c r="FSD3" s="97"/>
      <c r="FSE3" s="97"/>
      <c r="FSF3" s="97"/>
      <c r="FSG3" s="97"/>
      <c r="FSH3" s="97"/>
      <c r="FSI3" s="97"/>
      <c r="FSJ3" s="97"/>
      <c r="FSK3" s="97"/>
      <c r="FSL3" s="97"/>
      <c r="FSM3" s="97"/>
      <c r="FSN3" s="97"/>
      <c r="FSO3" s="97"/>
      <c r="FSP3" s="97"/>
      <c r="FSQ3" s="97"/>
      <c r="FSR3" s="97"/>
      <c r="FSS3" s="97"/>
      <c r="FST3" s="97"/>
      <c r="FSU3" s="97"/>
      <c r="FSV3" s="97"/>
      <c r="FSW3" s="97"/>
      <c r="FSX3" s="97"/>
      <c r="FSY3" s="97"/>
      <c r="FSZ3" s="97"/>
      <c r="FTA3" s="97"/>
      <c r="FTB3" s="97"/>
      <c r="FTC3" s="97"/>
      <c r="FTD3" s="97"/>
      <c r="FTE3" s="97"/>
      <c r="FTF3" s="97"/>
      <c r="FTG3" s="97"/>
      <c r="FTH3" s="97"/>
      <c r="FTI3" s="97"/>
      <c r="FTJ3" s="97"/>
      <c r="FTK3" s="97"/>
      <c r="FTL3" s="97"/>
      <c r="FTM3" s="97"/>
      <c r="FTN3" s="97"/>
      <c r="FTO3" s="97"/>
      <c r="FTP3" s="97"/>
      <c r="FTQ3" s="97"/>
      <c r="FTR3" s="97"/>
      <c r="FTS3" s="97"/>
      <c r="FTT3" s="97"/>
      <c r="FTU3" s="97"/>
      <c r="FTV3" s="97"/>
      <c r="FTW3" s="97"/>
      <c r="FTX3" s="97"/>
      <c r="FTY3" s="97"/>
      <c r="FTZ3" s="97"/>
      <c r="FUA3" s="97"/>
      <c r="FUB3" s="97"/>
      <c r="FUC3" s="97"/>
      <c r="FUD3" s="97"/>
      <c r="FUE3" s="97"/>
      <c r="FUF3" s="97"/>
      <c r="FUG3" s="97"/>
      <c r="FUH3" s="97"/>
      <c r="FUI3" s="97"/>
      <c r="FUJ3" s="97"/>
      <c r="FUK3" s="97"/>
      <c r="FUL3" s="97"/>
      <c r="FUM3" s="97"/>
      <c r="FUN3" s="97"/>
      <c r="FUO3" s="97"/>
      <c r="FUP3" s="97"/>
      <c r="FUQ3" s="97"/>
      <c r="FUR3" s="97"/>
      <c r="FUS3" s="97"/>
      <c r="FUT3" s="97"/>
      <c r="FUU3" s="97"/>
      <c r="FUV3" s="97"/>
      <c r="FUW3" s="97"/>
      <c r="FUX3" s="97"/>
      <c r="FUY3" s="97"/>
      <c r="FUZ3" s="97"/>
      <c r="FVA3" s="97"/>
      <c r="FVB3" s="97"/>
      <c r="FVC3" s="97"/>
      <c r="FVD3" s="97"/>
      <c r="FVE3" s="97"/>
      <c r="FVF3" s="97"/>
      <c r="FVG3" s="97"/>
      <c r="FVH3" s="97"/>
      <c r="FVI3" s="97"/>
      <c r="FVJ3" s="97"/>
      <c r="FVK3" s="97"/>
      <c r="FVL3" s="97"/>
      <c r="FVM3" s="97"/>
      <c r="FVN3" s="97"/>
      <c r="FVO3" s="97"/>
      <c r="FVP3" s="97"/>
      <c r="FVQ3" s="97"/>
      <c r="FVR3" s="97"/>
      <c r="FVS3" s="97"/>
      <c r="FVT3" s="97"/>
      <c r="FVU3" s="97"/>
      <c r="FVV3" s="97"/>
      <c r="FVW3" s="97"/>
      <c r="FVX3" s="97"/>
      <c r="FVY3" s="97"/>
      <c r="FVZ3" s="97"/>
      <c r="FWA3" s="97"/>
      <c r="FWB3" s="97"/>
      <c r="FWC3" s="97"/>
      <c r="FWD3" s="97"/>
      <c r="FWE3" s="97"/>
      <c r="FWF3" s="97"/>
      <c r="FWG3" s="97"/>
      <c r="FWH3" s="97"/>
      <c r="FWI3" s="97"/>
      <c r="FWJ3" s="97"/>
      <c r="FWK3" s="97"/>
      <c r="FWL3" s="97"/>
      <c r="FWM3" s="97"/>
      <c r="FWN3" s="97"/>
      <c r="FWO3" s="97"/>
      <c r="FWP3" s="97"/>
      <c r="FWQ3" s="97"/>
      <c r="FWR3" s="97"/>
      <c r="FWS3" s="97"/>
      <c r="FWT3" s="97"/>
      <c r="FWU3" s="97"/>
      <c r="FWV3" s="97"/>
      <c r="FWW3" s="97"/>
      <c r="FWX3" s="97"/>
      <c r="FWY3" s="97"/>
      <c r="FWZ3" s="97"/>
      <c r="FXA3" s="97"/>
      <c r="FXB3" s="97"/>
      <c r="FXC3" s="97"/>
      <c r="FXD3" s="97"/>
      <c r="FXE3" s="97"/>
      <c r="FXF3" s="97"/>
      <c r="FXG3" s="97"/>
      <c r="FXH3" s="97"/>
      <c r="FXI3" s="97"/>
      <c r="FXJ3" s="97"/>
      <c r="FXK3" s="97"/>
      <c r="FXL3" s="97"/>
      <c r="FXM3" s="97"/>
      <c r="FXN3" s="97"/>
      <c r="FXO3" s="97"/>
      <c r="FXP3" s="97"/>
      <c r="FXQ3" s="97"/>
      <c r="FXR3" s="97"/>
      <c r="FXS3" s="97"/>
      <c r="FXT3" s="97"/>
      <c r="FXU3" s="97"/>
      <c r="FXV3" s="97"/>
      <c r="FXW3" s="97"/>
      <c r="FXX3" s="97"/>
      <c r="FXY3" s="97"/>
      <c r="FXZ3" s="97"/>
      <c r="FYA3" s="97"/>
      <c r="FYB3" s="97"/>
      <c r="FYC3" s="97"/>
      <c r="FYD3" s="97"/>
      <c r="FYE3" s="97"/>
      <c r="FYF3" s="97"/>
      <c r="FYG3" s="97"/>
      <c r="FYH3" s="97"/>
      <c r="FYI3" s="97"/>
      <c r="FYJ3" s="97"/>
      <c r="FYK3" s="97"/>
      <c r="FYL3" s="97"/>
      <c r="FYM3" s="97"/>
      <c r="FYN3" s="97"/>
      <c r="FYO3" s="97"/>
      <c r="FYP3" s="97"/>
      <c r="FYQ3" s="97"/>
      <c r="FYR3" s="97"/>
      <c r="FYS3" s="97"/>
      <c r="FYT3" s="97"/>
      <c r="FYU3" s="97"/>
      <c r="FYV3" s="97"/>
      <c r="FYW3" s="97"/>
      <c r="FYX3" s="97"/>
      <c r="FYY3" s="97"/>
      <c r="FYZ3" s="97"/>
      <c r="FZA3" s="97"/>
      <c r="FZB3" s="97"/>
      <c r="FZC3" s="97"/>
      <c r="FZD3" s="97"/>
      <c r="FZE3" s="97"/>
      <c r="FZF3" s="97"/>
      <c r="FZG3" s="97"/>
      <c r="FZH3" s="97"/>
      <c r="FZI3" s="97"/>
      <c r="FZJ3" s="97"/>
      <c r="FZK3" s="97"/>
      <c r="FZL3" s="97"/>
      <c r="FZM3" s="97"/>
      <c r="FZN3" s="97"/>
      <c r="FZO3" s="97"/>
      <c r="FZP3" s="97"/>
      <c r="FZQ3" s="97"/>
      <c r="FZR3" s="97"/>
      <c r="FZS3" s="97"/>
      <c r="FZT3" s="97"/>
      <c r="FZU3" s="97"/>
      <c r="FZV3" s="97"/>
      <c r="FZW3" s="97"/>
      <c r="FZX3" s="97"/>
      <c r="FZY3" s="97"/>
      <c r="FZZ3" s="97"/>
      <c r="GAA3" s="97"/>
      <c r="GAB3" s="97"/>
      <c r="GAC3" s="97"/>
      <c r="GAD3" s="97"/>
      <c r="GAE3" s="97"/>
      <c r="GAF3" s="97"/>
      <c r="GAG3" s="97"/>
      <c r="GAH3" s="97"/>
      <c r="GAI3" s="97"/>
      <c r="GAJ3" s="97"/>
      <c r="GAK3" s="97"/>
      <c r="GAL3" s="97"/>
      <c r="GAM3" s="97"/>
      <c r="GAN3" s="97"/>
      <c r="GAO3" s="97"/>
      <c r="GAP3" s="97"/>
      <c r="GAQ3" s="97"/>
      <c r="GAR3" s="97"/>
      <c r="GAS3" s="97"/>
      <c r="GAT3" s="97"/>
      <c r="GAU3" s="97"/>
      <c r="GAV3" s="97"/>
      <c r="GAW3" s="97"/>
      <c r="GAX3" s="97"/>
      <c r="GAY3" s="97"/>
      <c r="GAZ3" s="97"/>
      <c r="GBA3" s="97"/>
      <c r="GBB3" s="97"/>
      <c r="GBC3" s="97"/>
      <c r="GBD3" s="97"/>
      <c r="GBE3" s="97"/>
      <c r="GBF3" s="97"/>
      <c r="GBG3" s="97"/>
      <c r="GBH3" s="97"/>
      <c r="GBI3" s="97"/>
      <c r="GBJ3" s="97"/>
      <c r="GBK3" s="97"/>
      <c r="GBL3" s="97"/>
      <c r="GBM3" s="97"/>
      <c r="GBN3" s="97"/>
      <c r="GBO3" s="97"/>
      <c r="GBP3" s="97"/>
      <c r="GBQ3" s="97"/>
      <c r="GBR3" s="97"/>
      <c r="GBS3" s="97"/>
      <c r="GBT3" s="97"/>
      <c r="GBU3" s="97"/>
      <c r="GBV3" s="97"/>
      <c r="GBW3" s="97"/>
      <c r="GBX3" s="97"/>
      <c r="GBY3" s="97"/>
      <c r="GBZ3" s="97"/>
      <c r="GCA3" s="97"/>
      <c r="GCB3" s="97"/>
      <c r="GCC3" s="97"/>
      <c r="GCD3" s="97"/>
      <c r="GCE3" s="97"/>
      <c r="GCF3" s="97"/>
      <c r="GCG3" s="97"/>
      <c r="GCH3" s="97"/>
      <c r="GCI3" s="97"/>
      <c r="GCJ3" s="97"/>
      <c r="GCK3" s="97"/>
      <c r="GCL3" s="97"/>
      <c r="GCM3" s="97"/>
      <c r="GCN3" s="97"/>
      <c r="GCO3" s="97"/>
      <c r="GCP3" s="97"/>
      <c r="GCQ3" s="97"/>
      <c r="GCR3" s="97"/>
      <c r="GCS3" s="97"/>
      <c r="GCT3" s="97"/>
      <c r="GCU3" s="97"/>
      <c r="GCV3" s="97"/>
      <c r="GCW3" s="97"/>
      <c r="GCX3" s="97"/>
      <c r="GCY3" s="97"/>
      <c r="GCZ3" s="97"/>
      <c r="GDA3" s="97"/>
      <c r="GDB3" s="97"/>
      <c r="GDC3" s="97"/>
      <c r="GDD3" s="97"/>
      <c r="GDE3" s="97"/>
      <c r="GDF3" s="97"/>
      <c r="GDG3" s="97"/>
      <c r="GDH3" s="97"/>
      <c r="GDI3" s="97"/>
      <c r="GDJ3" s="97"/>
      <c r="GDK3" s="97"/>
      <c r="GDL3" s="97"/>
      <c r="GDM3" s="97"/>
      <c r="GDN3" s="97"/>
      <c r="GDO3" s="97"/>
      <c r="GDP3" s="97"/>
      <c r="GDQ3" s="97"/>
      <c r="GDR3" s="97"/>
      <c r="GDS3" s="97"/>
      <c r="GDT3" s="97"/>
      <c r="GDU3" s="97"/>
      <c r="GDV3" s="97"/>
      <c r="GDW3" s="97"/>
      <c r="GDX3" s="97"/>
      <c r="GDY3" s="97"/>
      <c r="GDZ3" s="97"/>
      <c r="GEA3" s="97"/>
      <c r="GEB3" s="97"/>
      <c r="GEC3" s="97"/>
      <c r="GED3" s="97"/>
      <c r="GEE3" s="97"/>
      <c r="GEF3" s="97"/>
      <c r="GEG3" s="97"/>
      <c r="GEH3" s="97"/>
      <c r="GEI3" s="97"/>
      <c r="GEJ3" s="97"/>
      <c r="GEK3" s="97"/>
      <c r="GEL3" s="97"/>
      <c r="GEM3" s="97"/>
      <c r="GEN3" s="97"/>
      <c r="GEO3" s="97"/>
      <c r="GEP3" s="97"/>
      <c r="GEQ3" s="97"/>
      <c r="GER3" s="97"/>
      <c r="GES3" s="97"/>
      <c r="GET3" s="97"/>
      <c r="GEU3" s="97"/>
      <c r="GEV3" s="97"/>
      <c r="GEW3" s="97"/>
      <c r="GEX3" s="97"/>
      <c r="GEY3" s="97"/>
      <c r="GEZ3" s="97"/>
      <c r="GFA3" s="97"/>
      <c r="GFB3" s="97"/>
      <c r="GFC3" s="97"/>
      <c r="GFD3" s="97"/>
      <c r="GFE3" s="97"/>
      <c r="GFF3" s="97"/>
      <c r="GFG3" s="97"/>
      <c r="GFH3" s="97"/>
      <c r="GFI3" s="97"/>
      <c r="GFJ3" s="97"/>
      <c r="GFK3" s="97"/>
      <c r="GFL3" s="97"/>
      <c r="GFM3" s="97"/>
      <c r="GFN3" s="97"/>
      <c r="GFO3" s="97"/>
      <c r="GFP3" s="97"/>
      <c r="GFQ3" s="97"/>
      <c r="GFR3" s="97"/>
      <c r="GFS3" s="97"/>
      <c r="GFT3" s="97"/>
      <c r="GFU3" s="97"/>
      <c r="GFV3" s="97"/>
      <c r="GFW3" s="97"/>
      <c r="GFX3" s="97"/>
      <c r="GFY3" s="97"/>
      <c r="GFZ3" s="97"/>
      <c r="GGA3" s="97"/>
      <c r="GGB3" s="97"/>
      <c r="GGC3" s="97"/>
      <c r="GGD3" s="97"/>
      <c r="GGE3" s="97"/>
      <c r="GGF3" s="97"/>
      <c r="GGG3" s="97"/>
      <c r="GGH3" s="97"/>
      <c r="GGI3" s="97"/>
      <c r="GGJ3" s="97"/>
      <c r="GGK3" s="97"/>
      <c r="GGL3" s="97"/>
      <c r="GGM3" s="97"/>
      <c r="GGN3" s="97"/>
      <c r="GGO3" s="97"/>
      <c r="GGP3" s="97"/>
      <c r="GGQ3" s="97"/>
      <c r="GGR3" s="97"/>
      <c r="GGS3" s="97"/>
      <c r="GGT3" s="97"/>
      <c r="GGU3" s="97"/>
      <c r="GGV3" s="97"/>
      <c r="GGW3" s="97"/>
      <c r="GGX3" s="97"/>
      <c r="GGY3" s="97"/>
      <c r="GGZ3" s="97"/>
      <c r="GHA3" s="97"/>
      <c r="GHB3" s="97"/>
      <c r="GHC3" s="97"/>
      <c r="GHD3" s="97"/>
      <c r="GHE3" s="97"/>
      <c r="GHF3" s="97"/>
      <c r="GHG3" s="97"/>
      <c r="GHH3" s="97"/>
      <c r="GHI3" s="97"/>
      <c r="GHJ3" s="97"/>
      <c r="GHK3" s="97"/>
      <c r="GHL3" s="97"/>
      <c r="GHM3" s="97"/>
      <c r="GHN3" s="97"/>
      <c r="GHO3" s="97"/>
      <c r="GHP3" s="97"/>
      <c r="GHQ3" s="97"/>
      <c r="GHR3" s="97"/>
      <c r="GHS3" s="97"/>
      <c r="GHT3" s="97"/>
      <c r="GHU3" s="97"/>
      <c r="GHV3" s="97"/>
      <c r="GHW3" s="97"/>
      <c r="GHX3" s="97"/>
      <c r="GHY3" s="97"/>
      <c r="GHZ3" s="97"/>
      <c r="GIA3" s="97"/>
      <c r="GIB3" s="97"/>
      <c r="GIC3" s="97"/>
      <c r="GID3" s="97"/>
      <c r="GIE3" s="97"/>
      <c r="GIF3" s="97"/>
      <c r="GIG3" s="97"/>
      <c r="GIH3" s="97"/>
      <c r="GII3" s="97"/>
      <c r="GIJ3" s="97"/>
      <c r="GIK3" s="97"/>
      <c r="GIL3" s="97"/>
      <c r="GIM3" s="97"/>
      <c r="GIN3" s="97"/>
      <c r="GIO3" s="97"/>
      <c r="GIP3" s="97"/>
      <c r="GIQ3" s="97"/>
      <c r="GIR3" s="97"/>
      <c r="GIS3" s="97"/>
      <c r="GIT3" s="97"/>
      <c r="GIU3" s="97"/>
      <c r="GIV3" s="97"/>
      <c r="GIW3" s="97"/>
      <c r="GIX3" s="97"/>
      <c r="GIY3" s="97"/>
      <c r="GIZ3" s="97"/>
      <c r="GJA3" s="97"/>
      <c r="GJB3" s="97"/>
      <c r="GJC3" s="97"/>
      <c r="GJD3" s="97"/>
      <c r="GJE3" s="97"/>
      <c r="GJF3" s="97"/>
      <c r="GJG3" s="97"/>
      <c r="GJH3" s="97"/>
      <c r="GJI3" s="97"/>
      <c r="GJJ3" s="97"/>
      <c r="GJK3" s="97"/>
      <c r="GJL3" s="97"/>
      <c r="GJM3" s="97"/>
      <c r="GJN3" s="97"/>
      <c r="GJO3" s="97"/>
      <c r="GJP3" s="97"/>
      <c r="GJQ3" s="97"/>
      <c r="GJR3" s="97"/>
      <c r="GJS3" s="97"/>
      <c r="GJT3" s="97"/>
      <c r="GJU3" s="97"/>
      <c r="GJV3" s="97"/>
      <c r="GJW3" s="97"/>
      <c r="GJX3" s="97"/>
      <c r="GJY3" s="97"/>
      <c r="GJZ3" s="97"/>
      <c r="GKA3" s="97"/>
      <c r="GKB3" s="97"/>
      <c r="GKC3" s="97"/>
      <c r="GKD3" s="97"/>
      <c r="GKE3" s="97"/>
      <c r="GKF3" s="97"/>
      <c r="GKG3" s="97"/>
      <c r="GKH3" s="97"/>
      <c r="GKI3" s="97"/>
      <c r="GKJ3" s="97"/>
      <c r="GKK3" s="97"/>
      <c r="GKL3" s="97"/>
      <c r="GKM3" s="97"/>
      <c r="GKN3" s="97"/>
      <c r="GKO3" s="97"/>
      <c r="GKP3" s="97"/>
      <c r="GKQ3" s="97"/>
      <c r="GKR3" s="97"/>
      <c r="GKS3" s="97"/>
      <c r="GKT3" s="97"/>
      <c r="GKU3" s="97"/>
      <c r="GKV3" s="97"/>
      <c r="GKW3" s="97"/>
      <c r="GKX3" s="97"/>
      <c r="GKY3" s="97"/>
      <c r="GKZ3" s="97"/>
      <c r="GLA3" s="97"/>
      <c r="GLB3" s="97"/>
      <c r="GLC3" s="97"/>
      <c r="GLD3" s="97"/>
      <c r="GLE3" s="97"/>
      <c r="GLF3" s="97"/>
      <c r="GLG3" s="97"/>
      <c r="GLH3" s="97"/>
      <c r="GLI3" s="97"/>
      <c r="GLJ3" s="97"/>
      <c r="GLK3" s="97"/>
      <c r="GLL3" s="97"/>
      <c r="GLM3" s="97"/>
      <c r="GLN3" s="97"/>
      <c r="GLO3" s="97"/>
      <c r="GLP3" s="97"/>
      <c r="GLQ3" s="97"/>
      <c r="GLR3" s="97"/>
      <c r="GLS3" s="97"/>
      <c r="GLT3" s="97"/>
      <c r="GLU3" s="97"/>
      <c r="GLV3" s="97"/>
      <c r="GLW3" s="97"/>
      <c r="GLX3" s="97"/>
      <c r="GLY3" s="97"/>
      <c r="GLZ3" s="97"/>
      <c r="GMA3" s="97"/>
      <c r="GMB3" s="97"/>
      <c r="GMC3" s="97"/>
      <c r="GMD3" s="97"/>
      <c r="GME3" s="97"/>
      <c r="GMF3" s="97"/>
      <c r="GMG3" s="97"/>
      <c r="GMH3" s="97"/>
      <c r="GMI3" s="97"/>
      <c r="GMJ3" s="97"/>
      <c r="GMK3" s="97"/>
      <c r="GML3" s="97"/>
      <c r="GMM3" s="97"/>
      <c r="GMN3" s="97"/>
      <c r="GMO3" s="97"/>
      <c r="GMP3" s="97"/>
      <c r="GMQ3" s="97"/>
      <c r="GMR3" s="97"/>
      <c r="GMS3" s="97"/>
      <c r="GMT3" s="97"/>
      <c r="GMU3" s="97"/>
      <c r="GMV3" s="97"/>
      <c r="GMW3" s="97"/>
      <c r="GMX3" s="97"/>
      <c r="GMY3" s="97"/>
      <c r="GMZ3" s="97"/>
      <c r="GNA3" s="97"/>
      <c r="GNB3" s="97"/>
      <c r="GNC3" s="97"/>
      <c r="GND3" s="97"/>
      <c r="GNE3" s="97"/>
      <c r="GNF3" s="97"/>
      <c r="GNG3" s="97"/>
      <c r="GNH3" s="97"/>
      <c r="GNI3" s="97"/>
      <c r="GNJ3" s="97"/>
      <c r="GNK3" s="97"/>
      <c r="GNL3" s="97"/>
      <c r="GNM3" s="97"/>
      <c r="GNN3" s="97"/>
      <c r="GNO3" s="97"/>
      <c r="GNP3" s="97"/>
      <c r="GNQ3" s="97"/>
      <c r="GNR3" s="97"/>
      <c r="GNS3" s="97"/>
      <c r="GNT3" s="97"/>
      <c r="GNU3" s="97"/>
      <c r="GNV3" s="97"/>
      <c r="GNW3" s="97"/>
      <c r="GNX3" s="97"/>
      <c r="GNY3" s="97"/>
      <c r="GNZ3" s="97"/>
      <c r="GOA3" s="97"/>
      <c r="GOB3" s="97"/>
      <c r="GOC3" s="97"/>
      <c r="GOD3" s="97"/>
      <c r="GOE3" s="97"/>
      <c r="GOF3" s="97"/>
      <c r="GOG3" s="97"/>
      <c r="GOH3" s="97"/>
      <c r="GOI3" s="97"/>
      <c r="GOJ3" s="97"/>
      <c r="GOK3" s="97"/>
      <c r="GOL3" s="97"/>
      <c r="GOM3" s="97"/>
      <c r="GON3" s="97"/>
      <c r="GOO3" s="97"/>
      <c r="GOP3" s="97"/>
      <c r="GOQ3" s="97"/>
      <c r="GOR3" s="97"/>
      <c r="GOS3" s="97"/>
      <c r="GOT3" s="97"/>
      <c r="GOU3" s="97"/>
      <c r="GOV3" s="97"/>
      <c r="GOW3" s="97"/>
      <c r="GOX3" s="97"/>
      <c r="GOY3" s="97"/>
      <c r="GOZ3" s="97"/>
      <c r="GPA3" s="97"/>
      <c r="GPB3" s="97"/>
      <c r="GPC3" s="97"/>
      <c r="GPD3" s="97"/>
      <c r="GPE3" s="97"/>
      <c r="GPF3" s="97"/>
      <c r="GPG3" s="97"/>
      <c r="GPH3" s="97"/>
      <c r="GPI3" s="97"/>
      <c r="GPJ3" s="97"/>
      <c r="GPK3" s="97"/>
      <c r="GPL3" s="97"/>
      <c r="GPM3" s="97"/>
      <c r="GPN3" s="97"/>
      <c r="GPO3" s="97"/>
      <c r="GPP3" s="97"/>
      <c r="GPQ3" s="97"/>
      <c r="GPR3" s="97"/>
      <c r="GPS3" s="97"/>
      <c r="GPT3" s="97"/>
      <c r="GPU3" s="97"/>
      <c r="GPV3" s="97"/>
      <c r="GPW3" s="97"/>
      <c r="GPX3" s="97"/>
      <c r="GPY3" s="97"/>
      <c r="GPZ3" s="97"/>
      <c r="GQA3" s="97"/>
      <c r="GQB3" s="97"/>
      <c r="GQC3" s="97"/>
      <c r="GQD3" s="97"/>
      <c r="GQE3" s="97"/>
      <c r="GQF3" s="97"/>
      <c r="GQG3" s="97"/>
      <c r="GQH3" s="97"/>
      <c r="GQI3" s="97"/>
      <c r="GQJ3" s="97"/>
      <c r="GQK3" s="97"/>
      <c r="GQL3" s="97"/>
      <c r="GQM3" s="97"/>
      <c r="GQN3" s="97"/>
      <c r="GQO3" s="97"/>
      <c r="GQP3" s="97"/>
      <c r="GQQ3" s="97"/>
      <c r="GQR3" s="97"/>
      <c r="GQS3" s="97"/>
      <c r="GQT3" s="97"/>
      <c r="GQU3" s="97"/>
      <c r="GQV3" s="97"/>
      <c r="GQW3" s="97"/>
      <c r="GQX3" s="97"/>
      <c r="GQY3" s="97"/>
      <c r="GQZ3" s="97"/>
      <c r="GRA3" s="97"/>
      <c r="GRB3" s="97"/>
      <c r="GRC3" s="97"/>
      <c r="GRD3" s="97"/>
      <c r="GRE3" s="97"/>
      <c r="GRF3" s="97"/>
      <c r="GRG3" s="97"/>
      <c r="GRH3" s="97"/>
      <c r="GRI3" s="97"/>
      <c r="GRJ3" s="97"/>
      <c r="GRK3" s="97"/>
      <c r="GRL3" s="97"/>
      <c r="GRM3" s="97"/>
      <c r="GRN3" s="97"/>
      <c r="GRO3" s="97"/>
      <c r="GRP3" s="97"/>
      <c r="GRQ3" s="97"/>
      <c r="GRR3" s="97"/>
      <c r="GRS3" s="97"/>
      <c r="GRT3" s="97"/>
      <c r="GRU3" s="97"/>
      <c r="GRV3" s="97"/>
      <c r="GRW3" s="97"/>
      <c r="GRX3" s="97"/>
      <c r="GRY3" s="97"/>
      <c r="GRZ3" s="97"/>
      <c r="GSA3" s="97"/>
      <c r="GSB3" s="97"/>
      <c r="GSC3" s="97"/>
      <c r="GSD3" s="97"/>
      <c r="GSE3" s="97"/>
      <c r="GSF3" s="97"/>
      <c r="GSG3" s="97"/>
      <c r="GSH3" s="97"/>
      <c r="GSI3" s="97"/>
      <c r="GSJ3" s="97"/>
      <c r="GSK3" s="97"/>
      <c r="GSL3" s="97"/>
      <c r="GSM3" s="97"/>
      <c r="GSN3" s="97"/>
      <c r="GSO3" s="97"/>
      <c r="GSP3" s="97"/>
      <c r="GSQ3" s="97"/>
      <c r="GSR3" s="97"/>
      <c r="GSS3" s="97"/>
      <c r="GST3" s="97"/>
      <c r="GSU3" s="97"/>
      <c r="GSV3" s="97"/>
      <c r="GSW3" s="97"/>
      <c r="GSX3" s="97"/>
      <c r="GSY3" s="97"/>
      <c r="GSZ3" s="97"/>
      <c r="GTA3" s="97"/>
      <c r="GTB3" s="97"/>
      <c r="GTC3" s="97"/>
      <c r="GTD3" s="97"/>
      <c r="GTE3" s="97"/>
      <c r="GTF3" s="97"/>
      <c r="GTG3" s="97"/>
      <c r="GTH3" s="97"/>
      <c r="GTI3" s="97"/>
      <c r="GTJ3" s="97"/>
      <c r="GTK3" s="97"/>
      <c r="GTL3" s="97"/>
      <c r="GTM3" s="97"/>
      <c r="GTN3" s="97"/>
      <c r="GTO3" s="97"/>
      <c r="GTP3" s="97"/>
      <c r="GTQ3" s="97"/>
      <c r="GTR3" s="97"/>
      <c r="GTS3" s="97"/>
      <c r="GTT3" s="97"/>
      <c r="GTU3" s="97"/>
      <c r="GTV3" s="97"/>
      <c r="GTW3" s="97"/>
      <c r="GTX3" s="97"/>
      <c r="GTY3" s="97"/>
      <c r="GTZ3" s="97"/>
      <c r="GUA3" s="97"/>
      <c r="GUB3" s="97"/>
      <c r="GUC3" s="97"/>
      <c r="GUD3" s="97"/>
      <c r="GUE3" s="97"/>
      <c r="GUF3" s="97"/>
      <c r="GUG3" s="97"/>
      <c r="GUH3" s="97"/>
      <c r="GUI3" s="97"/>
      <c r="GUJ3" s="97"/>
      <c r="GUK3" s="97"/>
      <c r="GUL3" s="97"/>
      <c r="GUM3" s="97"/>
      <c r="GUN3" s="97"/>
      <c r="GUO3" s="97"/>
      <c r="GUP3" s="97"/>
      <c r="GUQ3" s="97"/>
      <c r="GUR3" s="97"/>
      <c r="GUS3" s="97"/>
      <c r="GUT3" s="97"/>
      <c r="GUU3" s="97"/>
      <c r="GUV3" s="97"/>
      <c r="GUW3" s="97"/>
      <c r="GUX3" s="97"/>
      <c r="GUY3" s="97"/>
      <c r="GUZ3" s="97"/>
      <c r="GVA3" s="97"/>
      <c r="GVB3" s="97"/>
      <c r="GVC3" s="97"/>
      <c r="GVD3" s="97"/>
      <c r="GVE3" s="97"/>
      <c r="GVF3" s="97"/>
      <c r="GVG3" s="97"/>
      <c r="GVH3" s="97"/>
      <c r="GVI3" s="97"/>
      <c r="GVJ3" s="97"/>
      <c r="GVK3" s="97"/>
      <c r="GVL3" s="97"/>
      <c r="GVM3" s="97"/>
      <c r="GVN3" s="97"/>
      <c r="GVO3" s="97"/>
      <c r="GVP3" s="97"/>
      <c r="GVQ3" s="97"/>
      <c r="GVR3" s="97"/>
      <c r="GVS3" s="97"/>
      <c r="GVT3" s="97"/>
      <c r="GVU3" s="97"/>
      <c r="GVV3" s="97"/>
      <c r="GVW3" s="97"/>
      <c r="GVX3" s="97"/>
      <c r="GVY3" s="97"/>
      <c r="GVZ3" s="97"/>
      <c r="GWA3" s="97"/>
      <c r="GWB3" s="97"/>
      <c r="GWC3" s="97"/>
      <c r="GWD3" s="97"/>
      <c r="GWE3" s="97"/>
      <c r="GWF3" s="97"/>
      <c r="GWG3" s="97"/>
      <c r="GWH3" s="97"/>
      <c r="GWI3" s="97"/>
      <c r="GWJ3" s="97"/>
      <c r="GWK3" s="97"/>
      <c r="GWL3" s="97"/>
      <c r="GWM3" s="97"/>
      <c r="GWN3" s="97"/>
      <c r="GWO3" s="97"/>
      <c r="GWP3" s="97"/>
      <c r="GWQ3" s="97"/>
      <c r="GWR3" s="97"/>
      <c r="GWS3" s="97"/>
      <c r="GWT3" s="97"/>
      <c r="GWU3" s="97"/>
      <c r="GWV3" s="97"/>
      <c r="GWW3" s="97"/>
      <c r="GWX3" s="97"/>
      <c r="GWY3" s="97"/>
      <c r="GWZ3" s="97"/>
      <c r="GXA3" s="97"/>
      <c r="GXB3" s="97"/>
      <c r="GXC3" s="97"/>
      <c r="GXD3" s="97"/>
      <c r="GXE3" s="97"/>
      <c r="GXF3" s="97"/>
      <c r="GXG3" s="97"/>
      <c r="GXH3" s="97"/>
      <c r="GXI3" s="97"/>
      <c r="GXJ3" s="97"/>
      <c r="GXK3" s="97"/>
      <c r="GXL3" s="97"/>
      <c r="GXM3" s="97"/>
      <c r="GXN3" s="97"/>
      <c r="GXO3" s="97"/>
      <c r="GXP3" s="97"/>
      <c r="GXQ3" s="97"/>
      <c r="GXR3" s="97"/>
      <c r="GXS3" s="97"/>
      <c r="GXT3" s="97"/>
      <c r="GXU3" s="97"/>
      <c r="GXV3" s="97"/>
      <c r="GXW3" s="97"/>
      <c r="GXX3" s="97"/>
      <c r="GXY3" s="97"/>
      <c r="GXZ3" s="97"/>
      <c r="GYA3" s="97"/>
      <c r="GYB3" s="97"/>
      <c r="GYC3" s="97"/>
      <c r="GYD3" s="97"/>
      <c r="GYE3" s="97"/>
      <c r="GYF3" s="97"/>
      <c r="GYG3" s="97"/>
      <c r="GYH3" s="97"/>
      <c r="GYI3" s="97"/>
      <c r="GYJ3" s="97"/>
      <c r="GYK3" s="97"/>
      <c r="GYL3" s="97"/>
      <c r="GYM3" s="97"/>
      <c r="GYN3" s="97"/>
      <c r="GYO3" s="97"/>
      <c r="GYP3" s="97"/>
      <c r="GYQ3" s="97"/>
      <c r="GYR3" s="97"/>
      <c r="GYS3" s="97"/>
      <c r="GYT3" s="97"/>
      <c r="GYU3" s="97"/>
      <c r="GYV3" s="97"/>
      <c r="GYW3" s="97"/>
      <c r="GYX3" s="97"/>
      <c r="GYY3" s="97"/>
      <c r="GYZ3" s="97"/>
      <c r="GZA3" s="97"/>
      <c r="GZB3" s="97"/>
      <c r="GZC3" s="97"/>
      <c r="GZD3" s="97"/>
      <c r="GZE3" s="97"/>
      <c r="GZF3" s="97"/>
      <c r="GZG3" s="97"/>
      <c r="GZH3" s="97"/>
      <c r="GZI3" s="97"/>
      <c r="GZJ3" s="97"/>
      <c r="GZK3" s="97"/>
      <c r="GZL3" s="97"/>
      <c r="GZM3" s="97"/>
      <c r="GZN3" s="97"/>
      <c r="GZO3" s="97"/>
      <c r="GZP3" s="97"/>
      <c r="GZQ3" s="97"/>
      <c r="GZR3" s="97"/>
      <c r="GZS3" s="97"/>
      <c r="GZT3" s="97"/>
      <c r="GZU3" s="97"/>
      <c r="GZV3" s="97"/>
      <c r="GZW3" s="97"/>
      <c r="GZX3" s="97"/>
      <c r="GZY3" s="97"/>
      <c r="GZZ3" s="97"/>
      <c r="HAA3" s="97"/>
      <c r="HAB3" s="97"/>
      <c r="HAC3" s="97"/>
      <c r="HAD3" s="97"/>
      <c r="HAE3" s="97"/>
      <c r="HAF3" s="97"/>
      <c r="HAG3" s="97"/>
      <c r="HAH3" s="97"/>
      <c r="HAI3" s="97"/>
      <c r="HAJ3" s="97"/>
      <c r="HAK3" s="97"/>
      <c r="HAL3" s="97"/>
      <c r="HAM3" s="97"/>
      <c r="HAN3" s="97"/>
      <c r="HAO3" s="97"/>
      <c r="HAP3" s="97"/>
      <c r="HAQ3" s="97"/>
      <c r="HAR3" s="97"/>
      <c r="HAS3" s="97"/>
      <c r="HAT3" s="97"/>
      <c r="HAU3" s="97"/>
      <c r="HAV3" s="97"/>
      <c r="HAW3" s="97"/>
      <c r="HAX3" s="97"/>
      <c r="HAY3" s="97"/>
      <c r="HAZ3" s="97"/>
      <c r="HBA3" s="97"/>
      <c r="HBB3" s="97"/>
      <c r="HBC3" s="97"/>
      <c r="HBD3" s="97"/>
      <c r="HBE3" s="97"/>
      <c r="HBF3" s="97"/>
      <c r="HBG3" s="97"/>
      <c r="HBH3" s="97"/>
      <c r="HBI3" s="97"/>
      <c r="HBJ3" s="97"/>
      <c r="HBK3" s="97"/>
      <c r="HBL3" s="97"/>
      <c r="HBM3" s="97"/>
      <c r="HBN3" s="97"/>
      <c r="HBO3" s="97"/>
      <c r="HBP3" s="97"/>
      <c r="HBQ3" s="97"/>
      <c r="HBR3" s="97"/>
      <c r="HBS3" s="97"/>
      <c r="HBT3" s="97"/>
      <c r="HBU3" s="97"/>
      <c r="HBV3" s="97"/>
      <c r="HBW3" s="97"/>
      <c r="HBX3" s="97"/>
      <c r="HBY3" s="97"/>
      <c r="HBZ3" s="97"/>
      <c r="HCA3" s="97"/>
      <c r="HCB3" s="97"/>
      <c r="HCC3" s="97"/>
      <c r="HCD3" s="97"/>
      <c r="HCE3" s="97"/>
      <c r="HCF3" s="97"/>
      <c r="HCG3" s="97"/>
      <c r="HCH3" s="97"/>
      <c r="HCI3" s="97"/>
      <c r="HCJ3" s="97"/>
      <c r="HCK3" s="97"/>
      <c r="HCL3" s="97"/>
      <c r="HCM3" s="97"/>
      <c r="HCN3" s="97"/>
      <c r="HCO3" s="97"/>
      <c r="HCP3" s="97"/>
      <c r="HCQ3" s="97"/>
      <c r="HCR3" s="97"/>
      <c r="HCS3" s="97"/>
      <c r="HCT3" s="97"/>
      <c r="HCU3" s="97"/>
      <c r="HCV3" s="97"/>
      <c r="HCW3" s="97"/>
      <c r="HCX3" s="97"/>
      <c r="HCY3" s="97"/>
      <c r="HCZ3" s="97"/>
      <c r="HDA3" s="97"/>
      <c r="HDB3" s="97"/>
      <c r="HDC3" s="97"/>
      <c r="HDD3" s="97"/>
      <c r="HDE3" s="97"/>
      <c r="HDF3" s="97"/>
      <c r="HDG3" s="97"/>
      <c r="HDH3" s="97"/>
      <c r="HDI3" s="97"/>
      <c r="HDJ3" s="97"/>
      <c r="HDK3" s="97"/>
      <c r="HDL3" s="97"/>
      <c r="HDM3" s="97"/>
      <c r="HDN3" s="97"/>
      <c r="HDO3" s="97"/>
      <c r="HDP3" s="97"/>
      <c r="HDQ3" s="97"/>
      <c r="HDR3" s="97"/>
      <c r="HDS3" s="97"/>
      <c r="HDT3" s="97"/>
      <c r="HDU3" s="97"/>
      <c r="HDV3" s="97"/>
      <c r="HDW3" s="97"/>
      <c r="HDX3" s="97"/>
      <c r="HDY3" s="97"/>
      <c r="HDZ3" s="97"/>
      <c r="HEA3" s="97"/>
      <c r="HEB3" s="97"/>
      <c r="HEC3" s="97"/>
      <c r="HED3" s="97"/>
      <c r="HEE3" s="97"/>
      <c r="HEF3" s="97"/>
      <c r="HEG3" s="97"/>
      <c r="HEH3" s="97"/>
      <c r="HEI3" s="97"/>
      <c r="HEJ3" s="97"/>
      <c r="HEK3" s="97"/>
      <c r="HEL3" s="97"/>
      <c r="HEM3" s="97"/>
      <c r="HEN3" s="97"/>
      <c r="HEO3" s="97"/>
      <c r="HEP3" s="97"/>
      <c r="HEQ3" s="97"/>
      <c r="HER3" s="97"/>
      <c r="HES3" s="97"/>
      <c r="HET3" s="97"/>
      <c r="HEU3" s="97"/>
      <c r="HEV3" s="97"/>
      <c r="HEW3" s="97"/>
      <c r="HEX3" s="97"/>
      <c r="HEY3" s="97"/>
      <c r="HEZ3" s="97"/>
      <c r="HFA3" s="97"/>
      <c r="HFB3" s="97"/>
      <c r="HFC3" s="97"/>
      <c r="HFD3" s="97"/>
      <c r="HFE3" s="97"/>
      <c r="HFF3" s="97"/>
      <c r="HFG3" s="97"/>
      <c r="HFH3" s="97"/>
      <c r="HFI3" s="97"/>
      <c r="HFJ3" s="97"/>
      <c r="HFK3" s="97"/>
      <c r="HFL3" s="97"/>
      <c r="HFM3" s="97"/>
      <c r="HFN3" s="97"/>
      <c r="HFO3" s="97"/>
      <c r="HFP3" s="97"/>
      <c r="HFQ3" s="97"/>
      <c r="HFR3" s="97"/>
      <c r="HFS3" s="97"/>
      <c r="HFT3" s="97"/>
      <c r="HFU3" s="97"/>
      <c r="HFV3" s="97"/>
      <c r="HFW3" s="97"/>
      <c r="HFX3" s="97"/>
      <c r="HFY3" s="97"/>
      <c r="HFZ3" s="97"/>
      <c r="HGA3" s="97"/>
      <c r="HGB3" s="97"/>
      <c r="HGC3" s="97"/>
      <c r="HGD3" s="97"/>
      <c r="HGE3" s="97"/>
      <c r="HGF3" s="97"/>
      <c r="HGG3" s="97"/>
      <c r="HGH3" s="97"/>
      <c r="HGI3" s="97"/>
      <c r="HGJ3" s="97"/>
      <c r="HGK3" s="97"/>
      <c r="HGL3" s="97"/>
      <c r="HGM3" s="97"/>
      <c r="HGN3" s="97"/>
      <c r="HGO3" s="97"/>
      <c r="HGP3" s="97"/>
      <c r="HGQ3" s="97"/>
      <c r="HGR3" s="97"/>
      <c r="HGS3" s="97"/>
      <c r="HGT3" s="97"/>
      <c r="HGU3" s="97"/>
      <c r="HGV3" s="97"/>
      <c r="HGW3" s="97"/>
      <c r="HGX3" s="97"/>
      <c r="HGY3" s="97"/>
      <c r="HGZ3" s="97"/>
      <c r="HHA3" s="97"/>
      <c r="HHB3" s="97"/>
      <c r="HHC3" s="97"/>
      <c r="HHD3" s="97"/>
      <c r="HHE3" s="97"/>
      <c r="HHF3" s="97"/>
      <c r="HHG3" s="97"/>
      <c r="HHH3" s="97"/>
      <c r="HHI3" s="97"/>
      <c r="HHJ3" s="97"/>
      <c r="HHK3" s="97"/>
      <c r="HHL3" s="97"/>
      <c r="HHM3" s="97"/>
      <c r="HHN3" s="97"/>
      <c r="HHO3" s="97"/>
      <c r="HHP3" s="97"/>
      <c r="HHQ3" s="97"/>
      <c r="HHR3" s="97"/>
      <c r="HHS3" s="97"/>
      <c r="HHT3" s="97"/>
      <c r="HHU3" s="97"/>
      <c r="HHV3" s="97"/>
      <c r="HHW3" s="97"/>
      <c r="HHX3" s="97"/>
      <c r="HHY3" s="97"/>
      <c r="HHZ3" s="97"/>
      <c r="HIA3" s="97"/>
      <c r="HIB3" s="97"/>
      <c r="HIC3" s="97"/>
      <c r="HID3" s="97"/>
      <c r="HIE3" s="97"/>
      <c r="HIF3" s="97"/>
      <c r="HIG3" s="97"/>
      <c r="HIH3" s="97"/>
      <c r="HII3" s="97"/>
      <c r="HIJ3" s="97"/>
      <c r="HIK3" s="97"/>
      <c r="HIL3" s="97"/>
      <c r="HIM3" s="97"/>
      <c r="HIN3" s="97"/>
      <c r="HIO3" s="97"/>
      <c r="HIP3" s="97"/>
      <c r="HIQ3" s="97"/>
      <c r="HIR3" s="97"/>
      <c r="HIS3" s="97"/>
      <c r="HIT3" s="97"/>
      <c r="HIU3" s="97"/>
      <c r="HIV3" s="97"/>
      <c r="HIW3" s="97"/>
      <c r="HIX3" s="97"/>
      <c r="HIY3" s="97"/>
      <c r="HIZ3" s="97"/>
      <c r="HJA3" s="97"/>
      <c r="HJB3" s="97"/>
      <c r="HJC3" s="97"/>
      <c r="HJD3" s="97"/>
      <c r="HJE3" s="97"/>
      <c r="HJF3" s="97"/>
      <c r="HJG3" s="97"/>
      <c r="HJH3" s="97"/>
      <c r="HJI3" s="97"/>
      <c r="HJJ3" s="97"/>
      <c r="HJK3" s="97"/>
      <c r="HJL3" s="97"/>
      <c r="HJM3" s="97"/>
      <c r="HJN3" s="97"/>
      <c r="HJO3" s="97"/>
      <c r="HJP3" s="97"/>
      <c r="HJQ3" s="97"/>
      <c r="HJR3" s="97"/>
      <c r="HJS3" s="97"/>
      <c r="HJT3" s="97"/>
      <c r="HJU3" s="97"/>
      <c r="HJV3" s="97"/>
      <c r="HJW3" s="97"/>
      <c r="HJX3" s="97"/>
      <c r="HJY3" s="97"/>
      <c r="HJZ3" s="97"/>
      <c r="HKA3" s="97"/>
      <c r="HKB3" s="97"/>
      <c r="HKC3" s="97"/>
      <c r="HKD3" s="97"/>
      <c r="HKE3" s="97"/>
      <c r="HKF3" s="97"/>
      <c r="HKG3" s="97"/>
      <c r="HKH3" s="97"/>
      <c r="HKI3" s="97"/>
      <c r="HKJ3" s="97"/>
      <c r="HKK3" s="97"/>
      <c r="HKL3" s="97"/>
      <c r="HKM3" s="97"/>
      <c r="HKN3" s="97"/>
      <c r="HKO3" s="97"/>
      <c r="HKP3" s="97"/>
      <c r="HKQ3" s="97"/>
      <c r="HKR3" s="97"/>
      <c r="HKS3" s="97"/>
      <c r="HKT3" s="97"/>
      <c r="HKU3" s="97"/>
      <c r="HKV3" s="97"/>
      <c r="HKW3" s="97"/>
      <c r="HKX3" s="97"/>
      <c r="HKY3" s="97"/>
      <c r="HKZ3" s="97"/>
      <c r="HLA3" s="97"/>
      <c r="HLB3" s="97"/>
      <c r="HLC3" s="97"/>
      <c r="HLD3" s="97"/>
      <c r="HLE3" s="97"/>
      <c r="HLF3" s="97"/>
      <c r="HLG3" s="97"/>
      <c r="HLH3" s="97"/>
      <c r="HLI3" s="97"/>
      <c r="HLJ3" s="97"/>
      <c r="HLK3" s="97"/>
      <c r="HLL3" s="97"/>
      <c r="HLM3" s="97"/>
      <c r="HLN3" s="97"/>
      <c r="HLO3" s="97"/>
      <c r="HLP3" s="97"/>
      <c r="HLQ3" s="97"/>
      <c r="HLR3" s="97"/>
      <c r="HLS3" s="97"/>
      <c r="HLT3" s="97"/>
      <c r="HLU3" s="97"/>
      <c r="HLV3" s="97"/>
      <c r="HLW3" s="97"/>
      <c r="HLX3" s="97"/>
      <c r="HLY3" s="97"/>
      <c r="HLZ3" s="97"/>
      <c r="HMA3" s="97"/>
      <c r="HMB3" s="97"/>
      <c r="HMC3" s="97"/>
      <c r="HMD3" s="97"/>
      <c r="HME3" s="97"/>
      <c r="HMF3" s="97"/>
      <c r="HMG3" s="97"/>
      <c r="HMH3" s="97"/>
      <c r="HMI3" s="97"/>
      <c r="HMJ3" s="97"/>
      <c r="HMK3" s="97"/>
      <c r="HML3" s="97"/>
      <c r="HMM3" s="97"/>
      <c r="HMN3" s="97"/>
      <c r="HMO3" s="97"/>
      <c r="HMP3" s="97"/>
      <c r="HMQ3" s="97"/>
      <c r="HMR3" s="97"/>
      <c r="HMS3" s="97"/>
      <c r="HMT3" s="97"/>
      <c r="HMU3" s="97"/>
      <c r="HMV3" s="97"/>
      <c r="HMW3" s="97"/>
      <c r="HMX3" s="97"/>
      <c r="HMY3" s="97"/>
      <c r="HMZ3" s="97"/>
      <c r="HNA3" s="97"/>
      <c r="HNB3" s="97"/>
      <c r="HNC3" s="97"/>
      <c r="HND3" s="97"/>
      <c r="HNE3" s="97"/>
      <c r="HNF3" s="97"/>
      <c r="HNG3" s="97"/>
      <c r="HNH3" s="97"/>
      <c r="HNI3" s="97"/>
      <c r="HNJ3" s="97"/>
      <c r="HNK3" s="97"/>
      <c r="HNL3" s="97"/>
      <c r="HNM3" s="97"/>
      <c r="HNN3" s="97"/>
      <c r="HNO3" s="97"/>
      <c r="HNP3" s="97"/>
      <c r="HNQ3" s="97"/>
      <c r="HNR3" s="97"/>
      <c r="HNS3" s="97"/>
      <c r="HNT3" s="97"/>
      <c r="HNU3" s="97"/>
      <c r="HNV3" s="97"/>
      <c r="HNW3" s="97"/>
      <c r="HNX3" s="97"/>
      <c r="HNY3" s="97"/>
      <c r="HNZ3" s="97"/>
      <c r="HOA3" s="97"/>
      <c r="HOB3" s="97"/>
      <c r="HOC3" s="97"/>
      <c r="HOD3" s="97"/>
      <c r="HOE3" s="97"/>
      <c r="HOF3" s="97"/>
      <c r="HOG3" s="97"/>
      <c r="HOH3" s="97"/>
      <c r="HOI3" s="97"/>
      <c r="HOJ3" s="97"/>
      <c r="HOK3" s="97"/>
      <c r="HOL3" s="97"/>
      <c r="HOM3" s="97"/>
      <c r="HON3" s="97"/>
      <c r="HOO3" s="97"/>
      <c r="HOP3" s="97"/>
      <c r="HOQ3" s="97"/>
      <c r="HOR3" s="97"/>
      <c r="HOS3" s="97"/>
      <c r="HOT3" s="97"/>
      <c r="HOU3" s="97"/>
      <c r="HOV3" s="97"/>
      <c r="HOW3" s="97"/>
      <c r="HOX3" s="97"/>
      <c r="HOY3" s="97"/>
      <c r="HOZ3" s="97"/>
      <c r="HPA3" s="97"/>
      <c r="HPB3" s="97"/>
      <c r="HPC3" s="97"/>
      <c r="HPD3" s="97"/>
      <c r="HPE3" s="97"/>
      <c r="HPF3" s="97"/>
      <c r="HPG3" s="97"/>
      <c r="HPH3" s="97"/>
      <c r="HPI3" s="97"/>
      <c r="HPJ3" s="97"/>
      <c r="HPK3" s="97"/>
      <c r="HPL3" s="97"/>
      <c r="HPM3" s="97"/>
      <c r="HPN3" s="97"/>
      <c r="HPO3" s="97"/>
      <c r="HPP3" s="97"/>
      <c r="HPQ3" s="97"/>
      <c r="HPR3" s="97"/>
      <c r="HPS3" s="97"/>
      <c r="HPT3" s="97"/>
      <c r="HPU3" s="97"/>
      <c r="HPV3" s="97"/>
      <c r="HPW3" s="97"/>
      <c r="HPX3" s="97"/>
      <c r="HPY3" s="97"/>
      <c r="HPZ3" s="97"/>
      <c r="HQA3" s="97"/>
      <c r="HQB3" s="97"/>
      <c r="HQC3" s="97"/>
      <c r="HQD3" s="97"/>
      <c r="HQE3" s="97"/>
      <c r="HQF3" s="97"/>
      <c r="HQG3" s="97"/>
      <c r="HQH3" s="97"/>
      <c r="HQI3" s="97"/>
      <c r="HQJ3" s="97"/>
      <c r="HQK3" s="97"/>
      <c r="HQL3" s="97"/>
      <c r="HQM3" s="97"/>
      <c r="HQN3" s="97"/>
      <c r="HQO3" s="97"/>
      <c r="HQP3" s="97"/>
      <c r="HQQ3" s="97"/>
      <c r="HQR3" s="97"/>
      <c r="HQS3" s="97"/>
      <c r="HQT3" s="97"/>
      <c r="HQU3" s="97"/>
      <c r="HQV3" s="97"/>
      <c r="HQW3" s="97"/>
      <c r="HQX3" s="97"/>
      <c r="HQY3" s="97"/>
      <c r="HQZ3" s="97"/>
      <c r="HRA3" s="97"/>
      <c r="HRB3" s="97"/>
      <c r="HRC3" s="97"/>
      <c r="HRD3" s="97"/>
      <c r="HRE3" s="97"/>
      <c r="HRF3" s="97"/>
      <c r="HRG3" s="97"/>
      <c r="HRH3" s="97"/>
      <c r="HRI3" s="97"/>
      <c r="HRJ3" s="97"/>
      <c r="HRK3" s="97"/>
      <c r="HRL3" s="97"/>
      <c r="HRM3" s="97"/>
      <c r="HRN3" s="97"/>
      <c r="HRO3" s="97"/>
      <c r="HRP3" s="97"/>
      <c r="HRQ3" s="97"/>
      <c r="HRR3" s="97"/>
      <c r="HRS3" s="97"/>
      <c r="HRT3" s="97"/>
      <c r="HRU3" s="97"/>
      <c r="HRV3" s="97"/>
      <c r="HRW3" s="97"/>
      <c r="HRX3" s="97"/>
      <c r="HRY3" s="97"/>
      <c r="HRZ3" s="97"/>
      <c r="HSA3" s="97"/>
      <c r="HSB3" s="97"/>
      <c r="HSC3" s="97"/>
      <c r="HSD3" s="97"/>
      <c r="HSE3" s="97"/>
      <c r="HSF3" s="97"/>
      <c r="HSG3" s="97"/>
      <c r="HSH3" s="97"/>
      <c r="HSI3" s="97"/>
      <c r="HSJ3" s="97"/>
      <c r="HSK3" s="97"/>
      <c r="HSL3" s="97"/>
      <c r="HSM3" s="97"/>
      <c r="HSN3" s="97"/>
      <c r="HSO3" s="97"/>
      <c r="HSP3" s="97"/>
      <c r="HSQ3" s="97"/>
      <c r="HSR3" s="97"/>
      <c r="HSS3" s="97"/>
      <c r="HST3" s="97"/>
      <c r="HSU3" s="97"/>
      <c r="HSV3" s="97"/>
      <c r="HSW3" s="97"/>
      <c r="HSX3" s="97"/>
      <c r="HSY3" s="97"/>
      <c r="HSZ3" s="97"/>
      <c r="HTA3" s="97"/>
      <c r="HTB3" s="97"/>
      <c r="HTC3" s="97"/>
      <c r="HTD3" s="97"/>
      <c r="HTE3" s="97"/>
      <c r="HTF3" s="97"/>
      <c r="HTG3" s="97"/>
      <c r="HTH3" s="97"/>
      <c r="HTI3" s="97"/>
      <c r="HTJ3" s="97"/>
      <c r="HTK3" s="97"/>
      <c r="HTL3" s="97"/>
      <c r="HTM3" s="97"/>
      <c r="HTN3" s="97"/>
      <c r="HTO3" s="97"/>
      <c r="HTP3" s="97"/>
      <c r="HTQ3" s="97"/>
      <c r="HTR3" s="97"/>
      <c r="HTS3" s="97"/>
      <c r="HTT3" s="97"/>
      <c r="HTU3" s="97"/>
      <c r="HTV3" s="97"/>
      <c r="HTW3" s="97"/>
      <c r="HTX3" s="97"/>
      <c r="HTY3" s="97"/>
      <c r="HTZ3" s="97"/>
      <c r="HUA3" s="97"/>
      <c r="HUB3" s="97"/>
      <c r="HUC3" s="97"/>
      <c r="HUD3" s="97"/>
      <c r="HUE3" s="97"/>
      <c r="HUF3" s="97"/>
      <c r="HUG3" s="97"/>
      <c r="HUH3" s="97"/>
      <c r="HUI3" s="97"/>
      <c r="HUJ3" s="97"/>
      <c r="HUK3" s="97"/>
      <c r="HUL3" s="97"/>
      <c r="HUM3" s="97"/>
      <c r="HUN3" s="97"/>
      <c r="HUO3" s="97"/>
      <c r="HUP3" s="97"/>
      <c r="HUQ3" s="97"/>
      <c r="HUR3" s="97"/>
      <c r="HUS3" s="97"/>
      <c r="HUT3" s="97"/>
      <c r="HUU3" s="97"/>
      <c r="HUV3" s="97"/>
      <c r="HUW3" s="97"/>
      <c r="HUX3" s="97"/>
      <c r="HUY3" s="97"/>
      <c r="HUZ3" s="97"/>
      <c r="HVA3" s="97"/>
      <c r="HVB3" s="97"/>
      <c r="HVC3" s="97"/>
      <c r="HVD3" s="97"/>
      <c r="HVE3" s="97"/>
      <c r="HVF3" s="97"/>
      <c r="HVG3" s="97"/>
      <c r="HVH3" s="97"/>
      <c r="HVI3" s="97"/>
      <c r="HVJ3" s="97"/>
      <c r="HVK3" s="97"/>
      <c r="HVL3" s="97"/>
      <c r="HVM3" s="97"/>
      <c r="HVN3" s="97"/>
      <c r="HVO3" s="97"/>
      <c r="HVP3" s="97"/>
      <c r="HVQ3" s="97"/>
      <c r="HVR3" s="97"/>
      <c r="HVS3" s="97"/>
      <c r="HVT3" s="97"/>
      <c r="HVU3" s="97"/>
      <c r="HVV3" s="97"/>
      <c r="HVW3" s="97"/>
      <c r="HVX3" s="97"/>
      <c r="HVY3" s="97"/>
      <c r="HVZ3" s="97"/>
      <c r="HWA3" s="97"/>
      <c r="HWB3" s="97"/>
      <c r="HWC3" s="97"/>
      <c r="HWD3" s="97"/>
      <c r="HWE3" s="97"/>
      <c r="HWF3" s="97"/>
      <c r="HWG3" s="97"/>
      <c r="HWH3" s="97"/>
      <c r="HWI3" s="97"/>
      <c r="HWJ3" s="97"/>
      <c r="HWK3" s="97"/>
      <c r="HWL3" s="97"/>
      <c r="HWM3" s="97"/>
      <c r="HWN3" s="97"/>
      <c r="HWO3" s="97"/>
      <c r="HWP3" s="97"/>
      <c r="HWQ3" s="97"/>
      <c r="HWR3" s="97"/>
      <c r="HWS3" s="97"/>
      <c r="HWT3" s="97"/>
      <c r="HWU3" s="97"/>
      <c r="HWV3" s="97"/>
      <c r="HWW3" s="97"/>
      <c r="HWX3" s="97"/>
      <c r="HWY3" s="97"/>
      <c r="HWZ3" s="97"/>
      <c r="HXA3" s="97"/>
      <c r="HXB3" s="97"/>
      <c r="HXC3" s="97"/>
      <c r="HXD3" s="97"/>
      <c r="HXE3" s="97"/>
      <c r="HXF3" s="97"/>
      <c r="HXG3" s="97"/>
      <c r="HXH3" s="97"/>
      <c r="HXI3" s="97"/>
      <c r="HXJ3" s="97"/>
      <c r="HXK3" s="97"/>
      <c r="HXL3" s="97"/>
      <c r="HXM3" s="97"/>
      <c r="HXN3" s="97"/>
      <c r="HXO3" s="97"/>
      <c r="HXP3" s="97"/>
      <c r="HXQ3" s="97"/>
      <c r="HXR3" s="97"/>
      <c r="HXS3" s="97"/>
      <c r="HXT3" s="97"/>
      <c r="HXU3" s="97"/>
      <c r="HXV3" s="97"/>
      <c r="HXW3" s="97"/>
      <c r="HXX3" s="97"/>
      <c r="HXY3" s="97"/>
      <c r="HXZ3" s="97"/>
      <c r="HYA3" s="97"/>
      <c r="HYB3" s="97"/>
      <c r="HYC3" s="97"/>
      <c r="HYD3" s="97"/>
      <c r="HYE3" s="97"/>
      <c r="HYF3" s="97"/>
      <c r="HYG3" s="97"/>
      <c r="HYH3" s="97"/>
      <c r="HYI3" s="97"/>
      <c r="HYJ3" s="97"/>
      <c r="HYK3" s="97"/>
      <c r="HYL3" s="97"/>
      <c r="HYM3" s="97"/>
      <c r="HYN3" s="97"/>
      <c r="HYO3" s="97"/>
      <c r="HYP3" s="97"/>
      <c r="HYQ3" s="97"/>
      <c r="HYR3" s="97"/>
      <c r="HYS3" s="97"/>
      <c r="HYT3" s="97"/>
      <c r="HYU3" s="97"/>
      <c r="HYV3" s="97"/>
      <c r="HYW3" s="97"/>
      <c r="HYX3" s="97"/>
      <c r="HYY3" s="97"/>
      <c r="HYZ3" s="97"/>
      <c r="HZA3" s="97"/>
      <c r="HZB3" s="97"/>
      <c r="HZC3" s="97"/>
      <c r="HZD3" s="97"/>
      <c r="HZE3" s="97"/>
      <c r="HZF3" s="97"/>
      <c r="HZG3" s="97"/>
      <c r="HZH3" s="97"/>
      <c r="HZI3" s="97"/>
      <c r="HZJ3" s="97"/>
      <c r="HZK3" s="97"/>
      <c r="HZL3" s="97"/>
      <c r="HZM3" s="97"/>
      <c r="HZN3" s="97"/>
      <c r="HZO3" s="97"/>
      <c r="HZP3" s="97"/>
      <c r="HZQ3" s="97"/>
      <c r="HZR3" s="97"/>
      <c r="HZS3" s="97"/>
      <c r="HZT3" s="97"/>
      <c r="HZU3" s="97"/>
      <c r="HZV3" s="97"/>
      <c r="HZW3" s="97"/>
      <c r="HZX3" s="97"/>
      <c r="HZY3" s="97"/>
      <c r="HZZ3" s="97"/>
      <c r="IAA3" s="97"/>
      <c r="IAB3" s="97"/>
      <c r="IAC3" s="97"/>
      <c r="IAD3" s="97"/>
      <c r="IAE3" s="97"/>
      <c r="IAF3" s="97"/>
      <c r="IAG3" s="97"/>
      <c r="IAH3" s="97"/>
      <c r="IAI3" s="97"/>
      <c r="IAJ3" s="97"/>
      <c r="IAK3" s="97"/>
      <c r="IAL3" s="97"/>
      <c r="IAM3" s="97"/>
      <c r="IAN3" s="97"/>
      <c r="IAO3" s="97"/>
      <c r="IAP3" s="97"/>
      <c r="IAQ3" s="97"/>
      <c r="IAR3" s="97"/>
      <c r="IAS3" s="97"/>
      <c r="IAT3" s="97"/>
      <c r="IAU3" s="97"/>
      <c r="IAV3" s="97"/>
      <c r="IAW3" s="97"/>
      <c r="IAX3" s="97"/>
      <c r="IAY3" s="97"/>
      <c r="IAZ3" s="97"/>
      <c r="IBA3" s="97"/>
      <c r="IBB3" s="97"/>
      <c r="IBC3" s="97"/>
      <c r="IBD3" s="97"/>
      <c r="IBE3" s="97"/>
      <c r="IBF3" s="97"/>
      <c r="IBG3" s="97"/>
      <c r="IBH3" s="97"/>
      <c r="IBI3" s="97"/>
      <c r="IBJ3" s="97"/>
      <c r="IBK3" s="97"/>
      <c r="IBL3" s="97"/>
      <c r="IBM3" s="97"/>
      <c r="IBN3" s="97"/>
      <c r="IBO3" s="97"/>
      <c r="IBP3" s="97"/>
      <c r="IBQ3" s="97"/>
      <c r="IBR3" s="97"/>
      <c r="IBS3" s="97"/>
      <c r="IBT3" s="97"/>
      <c r="IBU3" s="97"/>
      <c r="IBV3" s="97"/>
      <c r="IBW3" s="97"/>
      <c r="IBX3" s="97"/>
      <c r="IBY3" s="97"/>
      <c r="IBZ3" s="97"/>
      <c r="ICA3" s="97"/>
      <c r="ICB3" s="97"/>
      <c r="ICC3" s="97"/>
      <c r="ICD3" s="97"/>
      <c r="ICE3" s="97"/>
      <c r="ICF3" s="97"/>
      <c r="ICG3" s="97"/>
      <c r="ICH3" s="97"/>
      <c r="ICI3" s="97"/>
      <c r="ICJ3" s="97"/>
      <c r="ICK3" s="97"/>
      <c r="ICL3" s="97"/>
      <c r="ICM3" s="97"/>
      <c r="ICN3" s="97"/>
      <c r="ICO3" s="97"/>
      <c r="ICP3" s="97"/>
      <c r="ICQ3" s="97"/>
      <c r="ICR3" s="97"/>
      <c r="ICS3" s="97"/>
      <c r="ICT3" s="97"/>
      <c r="ICU3" s="97"/>
      <c r="ICV3" s="97"/>
      <c r="ICW3" s="97"/>
      <c r="ICX3" s="97"/>
      <c r="ICY3" s="97"/>
      <c r="ICZ3" s="97"/>
      <c r="IDA3" s="97"/>
      <c r="IDB3" s="97"/>
      <c r="IDC3" s="97"/>
      <c r="IDD3" s="97"/>
      <c r="IDE3" s="97"/>
      <c r="IDF3" s="97"/>
      <c r="IDG3" s="97"/>
      <c r="IDH3" s="97"/>
      <c r="IDI3" s="97"/>
      <c r="IDJ3" s="97"/>
      <c r="IDK3" s="97"/>
      <c r="IDL3" s="97"/>
      <c r="IDM3" s="97"/>
      <c r="IDN3" s="97"/>
      <c r="IDO3" s="97"/>
      <c r="IDP3" s="97"/>
      <c r="IDQ3" s="97"/>
      <c r="IDR3" s="97"/>
      <c r="IDS3" s="97"/>
      <c r="IDT3" s="97"/>
      <c r="IDU3" s="97"/>
      <c r="IDV3" s="97"/>
      <c r="IDW3" s="97"/>
      <c r="IDX3" s="97"/>
      <c r="IDY3" s="97"/>
      <c r="IDZ3" s="97"/>
      <c r="IEA3" s="97"/>
      <c r="IEB3" s="97"/>
      <c r="IEC3" s="97"/>
      <c r="IED3" s="97"/>
      <c r="IEE3" s="97"/>
      <c r="IEF3" s="97"/>
      <c r="IEG3" s="97"/>
      <c r="IEH3" s="97"/>
      <c r="IEI3" s="97"/>
      <c r="IEJ3" s="97"/>
      <c r="IEK3" s="97"/>
      <c r="IEL3" s="97"/>
      <c r="IEM3" s="97"/>
      <c r="IEN3" s="97"/>
      <c r="IEO3" s="97"/>
      <c r="IEP3" s="97"/>
      <c r="IEQ3" s="97"/>
      <c r="IER3" s="97"/>
      <c r="IES3" s="97"/>
      <c r="IET3" s="97"/>
      <c r="IEU3" s="97"/>
      <c r="IEV3" s="97"/>
      <c r="IEW3" s="97"/>
      <c r="IEX3" s="97"/>
      <c r="IEY3" s="97"/>
      <c r="IEZ3" s="97"/>
      <c r="IFA3" s="97"/>
      <c r="IFB3" s="97"/>
      <c r="IFC3" s="97"/>
      <c r="IFD3" s="97"/>
      <c r="IFE3" s="97"/>
      <c r="IFF3" s="97"/>
      <c r="IFG3" s="97"/>
      <c r="IFH3" s="97"/>
      <c r="IFI3" s="97"/>
      <c r="IFJ3" s="97"/>
      <c r="IFK3" s="97"/>
      <c r="IFL3" s="97"/>
      <c r="IFM3" s="97"/>
      <c r="IFN3" s="97"/>
      <c r="IFO3" s="97"/>
      <c r="IFP3" s="97"/>
      <c r="IFQ3" s="97"/>
      <c r="IFR3" s="97"/>
      <c r="IFS3" s="97"/>
      <c r="IFT3" s="97"/>
      <c r="IFU3" s="97"/>
      <c r="IFV3" s="97"/>
      <c r="IFW3" s="97"/>
      <c r="IFX3" s="97"/>
      <c r="IFY3" s="97"/>
      <c r="IFZ3" s="97"/>
      <c r="IGA3" s="97"/>
      <c r="IGB3" s="97"/>
      <c r="IGC3" s="97"/>
      <c r="IGD3" s="97"/>
      <c r="IGE3" s="97"/>
      <c r="IGF3" s="97"/>
      <c r="IGG3" s="97"/>
      <c r="IGH3" s="97"/>
      <c r="IGI3" s="97"/>
      <c r="IGJ3" s="97"/>
      <c r="IGK3" s="97"/>
      <c r="IGL3" s="97"/>
      <c r="IGM3" s="97"/>
      <c r="IGN3" s="97"/>
      <c r="IGO3" s="97"/>
      <c r="IGP3" s="97"/>
      <c r="IGQ3" s="97"/>
      <c r="IGR3" s="97"/>
      <c r="IGS3" s="97"/>
      <c r="IGT3" s="97"/>
      <c r="IGU3" s="97"/>
      <c r="IGV3" s="97"/>
      <c r="IGW3" s="97"/>
      <c r="IGX3" s="97"/>
      <c r="IGY3" s="97"/>
      <c r="IGZ3" s="97"/>
      <c r="IHA3" s="97"/>
      <c r="IHB3" s="97"/>
      <c r="IHC3" s="97"/>
      <c r="IHD3" s="97"/>
      <c r="IHE3" s="97"/>
      <c r="IHF3" s="97"/>
      <c r="IHG3" s="97"/>
      <c r="IHH3" s="97"/>
      <c r="IHI3" s="97"/>
      <c r="IHJ3" s="97"/>
      <c r="IHK3" s="97"/>
      <c r="IHL3" s="97"/>
      <c r="IHM3" s="97"/>
      <c r="IHN3" s="97"/>
      <c r="IHO3" s="97"/>
      <c r="IHP3" s="97"/>
      <c r="IHQ3" s="97"/>
      <c r="IHR3" s="97"/>
      <c r="IHS3" s="97"/>
      <c r="IHT3" s="97"/>
      <c r="IHU3" s="97"/>
      <c r="IHV3" s="97"/>
      <c r="IHW3" s="97"/>
      <c r="IHX3" s="97"/>
      <c r="IHY3" s="97"/>
      <c r="IHZ3" s="97"/>
      <c r="IIA3" s="97"/>
      <c r="IIB3" s="97"/>
      <c r="IIC3" s="97"/>
      <c r="IID3" s="97"/>
      <c r="IIE3" s="97"/>
      <c r="IIF3" s="97"/>
      <c r="IIG3" s="97"/>
      <c r="IIH3" s="97"/>
      <c r="III3" s="97"/>
      <c r="IIJ3" s="97"/>
      <c r="IIK3" s="97"/>
      <c r="IIL3" s="97"/>
      <c r="IIM3" s="97"/>
      <c r="IIN3" s="97"/>
      <c r="IIO3" s="97"/>
      <c r="IIP3" s="97"/>
      <c r="IIQ3" s="97"/>
      <c r="IIR3" s="97"/>
      <c r="IIS3" s="97"/>
      <c r="IIT3" s="97"/>
      <c r="IIU3" s="97"/>
      <c r="IIV3" s="97"/>
      <c r="IIW3" s="97"/>
      <c r="IIX3" s="97"/>
      <c r="IIY3" s="97"/>
      <c r="IIZ3" s="97"/>
      <c r="IJA3" s="97"/>
      <c r="IJB3" s="97"/>
      <c r="IJC3" s="97"/>
      <c r="IJD3" s="97"/>
      <c r="IJE3" s="97"/>
      <c r="IJF3" s="97"/>
      <c r="IJG3" s="97"/>
      <c r="IJH3" s="97"/>
      <c r="IJI3" s="97"/>
      <c r="IJJ3" s="97"/>
      <c r="IJK3" s="97"/>
      <c r="IJL3" s="97"/>
      <c r="IJM3" s="97"/>
      <c r="IJN3" s="97"/>
      <c r="IJO3" s="97"/>
      <c r="IJP3" s="97"/>
      <c r="IJQ3" s="97"/>
      <c r="IJR3" s="97"/>
      <c r="IJS3" s="97"/>
      <c r="IJT3" s="97"/>
      <c r="IJU3" s="97"/>
      <c r="IJV3" s="97"/>
      <c r="IJW3" s="97"/>
      <c r="IJX3" s="97"/>
      <c r="IJY3" s="97"/>
      <c r="IJZ3" s="97"/>
      <c r="IKA3" s="97"/>
      <c r="IKB3" s="97"/>
      <c r="IKC3" s="97"/>
      <c r="IKD3" s="97"/>
      <c r="IKE3" s="97"/>
      <c r="IKF3" s="97"/>
      <c r="IKG3" s="97"/>
      <c r="IKH3" s="97"/>
      <c r="IKI3" s="97"/>
      <c r="IKJ3" s="97"/>
      <c r="IKK3" s="97"/>
      <c r="IKL3" s="97"/>
      <c r="IKM3" s="97"/>
      <c r="IKN3" s="97"/>
      <c r="IKO3" s="97"/>
      <c r="IKP3" s="97"/>
      <c r="IKQ3" s="97"/>
      <c r="IKR3" s="97"/>
      <c r="IKS3" s="97"/>
      <c r="IKT3" s="97"/>
      <c r="IKU3" s="97"/>
      <c r="IKV3" s="97"/>
      <c r="IKW3" s="97"/>
      <c r="IKX3" s="97"/>
      <c r="IKY3" s="97"/>
      <c r="IKZ3" s="97"/>
      <c r="ILA3" s="97"/>
      <c r="ILB3" s="97"/>
      <c r="ILC3" s="97"/>
      <c r="ILD3" s="97"/>
      <c r="ILE3" s="97"/>
      <c r="ILF3" s="97"/>
      <c r="ILG3" s="97"/>
      <c r="ILH3" s="97"/>
      <c r="ILI3" s="97"/>
      <c r="ILJ3" s="97"/>
      <c r="ILK3" s="97"/>
      <c r="ILL3" s="97"/>
      <c r="ILM3" s="97"/>
      <c r="ILN3" s="97"/>
      <c r="ILO3" s="97"/>
      <c r="ILP3" s="97"/>
      <c r="ILQ3" s="97"/>
      <c r="ILR3" s="97"/>
      <c r="ILS3" s="97"/>
      <c r="ILT3" s="97"/>
      <c r="ILU3" s="97"/>
      <c r="ILV3" s="97"/>
      <c r="ILW3" s="97"/>
      <c r="ILX3" s="97"/>
      <c r="ILY3" s="97"/>
      <c r="ILZ3" s="97"/>
      <c r="IMA3" s="97"/>
      <c r="IMB3" s="97"/>
      <c r="IMC3" s="97"/>
      <c r="IMD3" s="97"/>
      <c r="IME3" s="97"/>
      <c r="IMF3" s="97"/>
      <c r="IMG3" s="97"/>
      <c r="IMH3" s="97"/>
      <c r="IMI3" s="97"/>
      <c r="IMJ3" s="97"/>
      <c r="IMK3" s="97"/>
      <c r="IML3" s="97"/>
      <c r="IMM3" s="97"/>
      <c r="IMN3" s="97"/>
      <c r="IMO3" s="97"/>
      <c r="IMP3" s="97"/>
      <c r="IMQ3" s="97"/>
      <c r="IMR3" s="97"/>
      <c r="IMS3" s="97"/>
      <c r="IMT3" s="97"/>
      <c r="IMU3" s="97"/>
      <c r="IMV3" s="97"/>
      <c r="IMW3" s="97"/>
      <c r="IMX3" s="97"/>
      <c r="IMY3" s="97"/>
      <c r="IMZ3" s="97"/>
      <c r="INA3" s="97"/>
      <c r="INB3" s="97"/>
      <c r="INC3" s="97"/>
      <c r="IND3" s="97"/>
      <c r="INE3" s="97"/>
      <c r="INF3" s="97"/>
      <c r="ING3" s="97"/>
      <c r="INH3" s="97"/>
      <c r="INI3" s="97"/>
      <c r="INJ3" s="97"/>
      <c r="INK3" s="97"/>
      <c r="INL3" s="97"/>
      <c r="INM3" s="97"/>
      <c r="INN3" s="97"/>
      <c r="INO3" s="97"/>
      <c r="INP3" s="97"/>
      <c r="INQ3" s="97"/>
      <c r="INR3" s="97"/>
      <c r="INS3" s="97"/>
      <c r="INT3" s="97"/>
      <c r="INU3" s="97"/>
      <c r="INV3" s="97"/>
      <c r="INW3" s="97"/>
      <c r="INX3" s="97"/>
      <c r="INY3" s="97"/>
      <c r="INZ3" s="97"/>
      <c r="IOA3" s="97"/>
      <c r="IOB3" s="97"/>
      <c r="IOC3" s="97"/>
      <c r="IOD3" s="97"/>
      <c r="IOE3" s="97"/>
      <c r="IOF3" s="97"/>
      <c r="IOG3" s="97"/>
      <c r="IOH3" s="97"/>
      <c r="IOI3" s="97"/>
      <c r="IOJ3" s="97"/>
      <c r="IOK3" s="97"/>
      <c r="IOL3" s="97"/>
      <c r="IOM3" s="97"/>
      <c r="ION3" s="97"/>
      <c r="IOO3" s="97"/>
      <c r="IOP3" s="97"/>
      <c r="IOQ3" s="97"/>
      <c r="IOR3" s="97"/>
      <c r="IOS3" s="97"/>
      <c r="IOT3" s="97"/>
      <c r="IOU3" s="97"/>
      <c r="IOV3" s="97"/>
      <c r="IOW3" s="97"/>
      <c r="IOX3" s="97"/>
      <c r="IOY3" s="97"/>
      <c r="IOZ3" s="97"/>
      <c r="IPA3" s="97"/>
      <c r="IPB3" s="97"/>
      <c r="IPC3" s="97"/>
      <c r="IPD3" s="97"/>
      <c r="IPE3" s="97"/>
      <c r="IPF3" s="97"/>
      <c r="IPG3" s="97"/>
      <c r="IPH3" s="97"/>
      <c r="IPI3" s="97"/>
      <c r="IPJ3" s="97"/>
      <c r="IPK3" s="97"/>
      <c r="IPL3" s="97"/>
      <c r="IPM3" s="97"/>
      <c r="IPN3" s="97"/>
      <c r="IPO3" s="97"/>
      <c r="IPP3" s="97"/>
      <c r="IPQ3" s="97"/>
      <c r="IPR3" s="97"/>
      <c r="IPS3" s="97"/>
      <c r="IPT3" s="97"/>
      <c r="IPU3" s="97"/>
      <c r="IPV3" s="97"/>
      <c r="IPW3" s="97"/>
      <c r="IPX3" s="97"/>
      <c r="IPY3" s="97"/>
      <c r="IPZ3" s="97"/>
      <c r="IQA3" s="97"/>
      <c r="IQB3" s="97"/>
      <c r="IQC3" s="97"/>
      <c r="IQD3" s="97"/>
      <c r="IQE3" s="97"/>
      <c r="IQF3" s="97"/>
      <c r="IQG3" s="97"/>
      <c r="IQH3" s="97"/>
      <c r="IQI3" s="97"/>
      <c r="IQJ3" s="97"/>
      <c r="IQK3" s="97"/>
      <c r="IQL3" s="97"/>
      <c r="IQM3" s="97"/>
      <c r="IQN3" s="97"/>
      <c r="IQO3" s="97"/>
      <c r="IQP3" s="97"/>
      <c r="IQQ3" s="97"/>
      <c r="IQR3" s="97"/>
      <c r="IQS3" s="97"/>
      <c r="IQT3" s="97"/>
      <c r="IQU3" s="97"/>
      <c r="IQV3" s="97"/>
      <c r="IQW3" s="97"/>
      <c r="IQX3" s="97"/>
      <c r="IQY3" s="97"/>
      <c r="IQZ3" s="97"/>
      <c r="IRA3" s="97"/>
      <c r="IRB3" s="97"/>
      <c r="IRC3" s="97"/>
      <c r="IRD3" s="97"/>
      <c r="IRE3" s="97"/>
      <c r="IRF3" s="97"/>
      <c r="IRG3" s="97"/>
      <c r="IRH3" s="97"/>
      <c r="IRI3" s="97"/>
      <c r="IRJ3" s="97"/>
      <c r="IRK3" s="97"/>
      <c r="IRL3" s="97"/>
      <c r="IRM3" s="97"/>
      <c r="IRN3" s="97"/>
      <c r="IRO3" s="97"/>
      <c r="IRP3" s="97"/>
      <c r="IRQ3" s="97"/>
      <c r="IRR3" s="97"/>
      <c r="IRS3" s="97"/>
      <c r="IRT3" s="97"/>
      <c r="IRU3" s="97"/>
      <c r="IRV3" s="97"/>
      <c r="IRW3" s="97"/>
      <c r="IRX3" s="97"/>
      <c r="IRY3" s="97"/>
      <c r="IRZ3" s="97"/>
      <c r="ISA3" s="97"/>
      <c r="ISB3" s="97"/>
      <c r="ISC3" s="97"/>
      <c r="ISD3" s="97"/>
      <c r="ISE3" s="97"/>
      <c r="ISF3" s="97"/>
      <c r="ISG3" s="97"/>
      <c r="ISH3" s="97"/>
      <c r="ISI3" s="97"/>
      <c r="ISJ3" s="97"/>
      <c r="ISK3" s="97"/>
      <c r="ISL3" s="97"/>
      <c r="ISM3" s="97"/>
      <c r="ISN3" s="97"/>
      <c r="ISO3" s="97"/>
      <c r="ISP3" s="97"/>
      <c r="ISQ3" s="97"/>
      <c r="ISR3" s="97"/>
      <c r="ISS3" s="97"/>
      <c r="IST3" s="97"/>
      <c r="ISU3" s="97"/>
      <c r="ISV3" s="97"/>
      <c r="ISW3" s="97"/>
      <c r="ISX3" s="97"/>
      <c r="ISY3" s="97"/>
      <c r="ISZ3" s="97"/>
      <c r="ITA3" s="97"/>
      <c r="ITB3" s="97"/>
      <c r="ITC3" s="97"/>
      <c r="ITD3" s="97"/>
      <c r="ITE3" s="97"/>
      <c r="ITF3" s="97"/>
      <c r="ITG3" s="97"/>
      <c r="ITH3" s="97"/>
      <c r="ITI3" s="97"/>
      <c r="ITJ3" s="97"/>
      <c r="ITK3" s="97"/>
      <c r="ITL3" s="97"/>
      <c r="ITM3" s="97"/>
      <c r="ITN3" s="97"/>
      <c r="ITO3" s="97"/>
      <c r="ITP3" s="97"/>
      <c r="ITQ3" s="97"/>
      <c r="ITR3" s="97"/>
      <c r="ITS3" s="97"/>
      <c r="ITT3" s="97"/>
      <c r="ITU3" s="97"/>
      <c r="ITV3" s="97"/>
      <c r="ITW3" s="97"/>
      <c r="ITX3" s="97"/>
      <c r="ITY3" s="97"/>
      <c r="ITZ3" s="97"/>
      <c r="IUA3" s="97"/>
      <c r="IUB3" s="97"/>
      <c r="IUC3" s="97"/>
      <c r="IUD3" s="97"/>
      <c r="IUE3" s="97"/>
      <c r="IUF3" s="97"/>
      <c r="IUG3" s="97"/>
      <c r="IUH3" s="97"/>
      <c r="IUI3" s="97"/>
      <c r="IUJ3" s="97"/>
      <c r="IUK3" s="97"/>
      <c r="IUL3" s="97"/>
      <c r="IUM3" s="97"/>
      <c r="IUN3" s="97"/>
      <c r="IUO3" s="97"/>
      <c r="IUP3" s="97"/>
      <c r="IUQ3" s="97"/>
      <c r="IUR3" s="97"/>
      <c r="IUS3" s="97"/>
      <c r="IUT3" s="97"/>
      <c r="IUU3" s="97"/>
      <c r="IUV3" s="97"/>
      <c r="IUW3" s="97"/>
      <c r="IUX3" s="97"/>
      <c r="IUY3" s="97"/>
      <c r="IUZ3" s="97"/>
      <c r="IVA3" s="97"/>
      <c r="IVB3" s="97"/>
      <c r="IVC3" s="97"/>
      <c r="IVD3" s="97"/>
      <c r="IVE3" s="97"/>
      <c r="IVF3" s="97"/>
      <c r="IVG3" s="97"/>
      <c r="IVH3" s="97"/>
      <c r="IVI3" s="97"/>
      <c r="IVJ3" s="97"/>
      <c r="IVK3" s="97"/>
      <c r="IVL3" s="97"/>
      <c r="IVM3" s="97"/>
      <c r="IVN3" s="97"/>
      <c r="IVO3" s="97"/>
      <c r="IVP3" s="97"/>
      <c r="IVQ3" s="97"/>
      <c r="IVR3" s="97"/>
      <c r="IVS3" s="97"/>
      <c r="IVT3" s="97"/>
      <c r="IVU3" s="97"/>
      <c r="IVV3" s="97"/>
      <c r="IVW3" s="97"/>
      <c r="IVX3" s="97"/>
      <c r="IVY3" s="97"/>
      <c r="IVZ3" s="97"/>
      <c r="IWA3" s="97"/>
      <c r="IWB3" s="97"/>
      <c r="IWC3" s="97"/>
      <c r="IWD3" s="97"/>
      <c r="IWE3" s="97"/>
      <c r="IWF3" s="97"/>
      <c r="IWG3" s="97"/>
      <c r="IWH3" s="97"/>
      <c r="IWI3" s="97"/>
      <c r="IWJ3" s="97"/>
      <c r="IWK3" s="97"/>
      <c r="IWL3" s="97"/>
      <c r="IWM3" s="97"/>
      <c r="IWN3" s="97"/>
      <c r="IWO3" s="97"/>
      <c r="IWP3" s="97"/>
      <c r="IWQ3" s="97"/>
      <c r="IWR3" s="97"/>
      <c r="IWS3" s="97"/>
      <c r="IWT3" s="97"/>
      <c r="IWU3" s="97"/>
      <c r="IWV3" s="97"/>
      <c r="IWW3" s="97"/>
      <c r="IWX3" s="97"/>
      <c r="IWY3" s="97"/>
      <c r="IWZ3" s="97"/>
      <c r="IXA3" s="97"/>
      <c r="IXB3" s="97"/>
      <c r="IXC3" s="97"/>
      <c r="IXD3" s="97"/>
      <c r="IXE3" s="97"/>
      <c r="IXF3" s="97"/>
      <c r="IXG3" s="97"/>
      <c r="IXH3" s="97"/>
      <c r="IXI3" s="97"/>
      <c r="IXJ3" s="97"/>
      <c r="IXK3" s="97"/>
      <c r="IXL3" s="97"/>
      <c r="IXM3" s="97"/>
      <c r="IXN3" s="97"/>
      <c r="IXO3" s="97"/>
      <c r="IXP3" s="97"/>
      <c r="IXQ3" s="97"/>
      <c r="IXR3" s="97"/>
      <c r="IXS3" s="97"/>
      <c r="IXT3" s="97"/>
      <c r="IXU3" s="97"/>
      <c r="IXV3" s="97"/>
      <c r="IXW3" s="97"/>
      <c r="IXX3" s="97"/>
      <c r="IXY3" s="97"/>
      <c r="IXZ3" s="97"/>
      <c r="IYA3" s="97"/>
      <c r="IYB3" s="97"/>
      <c r="IYC3" s="97"/>
      <c r="IYD3" s="97"/>
      <c r="IYE3" s="97"/>
      <c r="IYF3" s="97"/>
      <c r="IYG3" s="97"/>
      <c r="IYH3" s="97"/>
      <c r="IYI3" s="97"/>
      <c r="IYJ3" s="97"/>
      <c r="IYK3" s="97"/>
      <c r="IYL3" s="97"/>
      <c r="IYM3" s="97"/>
      <c r="IYN3" s="97"/>
      <c r="IYO3" s="97"/>
      <c r="IYP3" s="97"/>
      <c r="IYQ3" s="97"/>
      <c r="IYR3" s="97"/>
      <c r="IYS3" s="97"/>
      <c r="IYT3" s="97"/>
      <c r="IYU3" s="97"/>
      <c r="IYV3" s="97"/>
      <c r="IYW3" s="97"/>
      <c r="IYX3" s="97"/>
      <c r="IYY3" s="97"/>
      <c r="IYZ3" s="97"/>
      <c r="IZA3" s="97"/>
      <c r="IZB3" s="97"/>
      <c r="IZC3" s="97"/>
      <c r="IZD3" s="97"/>
      <c r="IZE3" s="97"/>
      <c r="IZF3" s="97"/>
      <c r="IZG3" s="97"/>
      <c r="IZH3" s="97"/>
      <c r="IZI3" s="97"/>
      <c r="IZJ3" s="97"/>
      <c r="IZK3" s="97"/>
      <c r="IZL3" s="97"/>
      <c r="IZM3" s="97"/>
      <c r="IZN3" s="97"/>
      <c r="IZO3" s="97"/>
      <c r="IZP3" s="97"/>
      <c r="IZQ3" s="97"/>
      <c r="IZR3" s="97"/>
      <c r="IZS3" s="97"/>
      <c r="IZT3" s="97"/>
      <c r="IZU3" s="97"/>
      <c r="IZV3" s="97"/>
      <c r="IZW3" s="97"/>
      <c r="IZX3" s="97"/>
      <c r="IZY3" s="97"/>
      <c r="IZZ3" s="97"/>
      <c r="JAA3" s="97"/>
      <c r="JAB3" s="97"/>
      <c r="JAC3" s="97"/>
      <c r="JAD3" s="97"/>
      <c r="JAE3" s="97"/>
      <c r="JAF3" s="97"/>
      <c r="JAG3" s="97"/>
      <c r="JAH3" s="97"/>
      <c r="JAI3" s="97"/>
      <c r="JAJ3" s="97"/>
      <c r="JAK3" s="97"/>
      <c r="JAL3" s="97"/>
      <c r="JAM3" s="97"/>
      <c r="JAN3" s="97"/>
      <c r="JAO3" s="97"/>
      <c r="JAP3" s="97"/>
      <c r="JAQ3" s="97"/>
      <c r="JAR3" s="97"/>
      <c r="JAS3" s="97"/>
      <c r="JAT3" s="97"/>
      <c r="JAU3" s="97"/>
      <c r="JAV3" s="97"/>
      <c r="JAW3" s="97"/>
      <c r="JAX3" s="97"/>
      <c r="JAY3" s="97"/>
      <c r="JAZ3" s="97"/>
      <c r="JBA3" s="97"/>
      <c r="JBB3" s="97"/>
      <c r="JBC3" s="97"/>
      <c r="JBD3" s="97"/>
      <c r="JBE3" s="97"/>
      <c r="JBF3" s="97"/>
      <c r="JBG3" s="97"/>
      <c r="JBH3" s="97"/>
      <c r="JBI3" s="97"/>
      <c r="JBJ3" s="97"/>
      <c r="JBK3" s="97"/>
      <c r="JBL3" s="97"/>
      <c r="JBM3" s="97"/>
      <c r="JBN3" s="97"/>
      <c r="JBO3" s="97"/>
      <c r="JBP3" s="97"/>
      <c r="JBQ3" s="97"/>
      <c r="JBR3" s="97"/>
      <c r="JBS3" s="97"/>
      <c r="JBT3" s="97"/>
      <c r="JBU3" s="97"/>
      <c r="JBV3" s="97"/>
      <c r="JBW3" s="97"/>
      <c r="JBX3" s="97"/>
      <c r="JBY3" s="97"/>
      <c r="JBZ3" s="97"/>
      <c r="JCA3" s="97"/>
      <c r="JCB3" s="97"/>
      <c r="JCC3" s="97"/>
      <c r="JCD3" s="97"/>
      <c r="JCE3" s="97"/>
      <c r="JCF3" s="97"/>
      <c r="JCG3" s="97"/>
      <c r="JCH3" s="97"/>
      <c r="JCI3" s="97"/>
      <c r="JCJ3" s="97"/>
      <c r="JCK3" s="97"/>
      <c r="JCL3" s="97"/>
      <c r="JCM3" s="97"/>
      <c r="JCN3" s="97"/>
      <c r="JCO3" s="97"/>
      <c r="JCP3" s="97"/>
      <c r="JCQ3" s="97"/>
      <c r="JCR3" s="97"/>
      <c r="JCS3" s="97"/>
      <c r="JCT3" s="97"/>
      <c r="JCU3" s="97"/>
      <c r="JCV3" s="97"/>
      <c r="JCW3" s="97"/>
      <c r="JCX3" s="97"/>
      <c r="JCY3" s="97"/>
      <c r="JCZ3" s="97"/>
      <c r="JDA3" s="97"/>
      <c r="JDB3" s="97"/>
      <c r="JDC3" s="97"/>
      <c r="JDD3" s="97"/>
      <c r="JDE3" s="97"/>
      <c r="JDF3" s="97"/>
      <c r="JDG3" s="97"/>
      <c r="JDH3" s="97"/>
      <c r="JDI3" s="97"/>
      <c r="JDJ3" s="97"/>
      <c r="JDK3" s="97"/>
      <c r="JDL3" s="97"/>
      <c r="JDM3" s="97"/>
      <c r="JDN3" s="97"/>
      <c r="JDO3" s="97"/>
      <c r="JDP3" s="97"/>
      <c r="JDQ3" s="97"/>
      <c r="JDR3" s="97"/>
      <c r="JDS3" s="97"/>
      <c r="JDT3" s="97"/>
      <c r="JDU3" s="97"/>
      <c r="JDV3" s="97"/>
      <c r="JDW3" s="97"/>
      <c r="JDX3" s="97"/>
      <c r="JDY3" s="97"/>
      <c r="JDZ3" s="97"/>
      <c r="JEA3" s="97"/>
      <c r="JEB3" s="97"/>
      <c r="JEC3" s="97"/>
      <c r="JED3" s="97"/>
      <c r="JEE3" s="97"/>
      <c r="JEF3" s="97"/>
      <c r="JEG3" s="97"/>
      <c r="JEH3" s="97"/>
      <c r="JEI3" s="97"/>
      <c r="JEJ3" s="97"/>
      <c r="JEK3" s="97"/>
      <c r="JEL3" s="97"/>
      <c r="JEM3" s="97"/>
      <c r="JEN3" s="97"/>
      <c r="JEO3" s="97"/>
      <c r="JEP3" s="97"/>
      <c r="JEQ3" s="97"/>
      <c r="JER3" s="97"/>
      <c r="JES3" s="97"/>
      <c r="JET3" s="97"/>
      <c r="JEU3" s="97"/>
      <c r="JEV3" s="97"/>
      <c r="JEW3" s="97"/>
      <c r="JEX3" s="97"/>
      <c r="JEY3" s="97"/>
      <c r="JEZ3" s="97"/>
      <c r="JFA3" s="97"/>
      <c r="JFB3" s="97"/>
      <c r="JFC3" s="97"/>
      <c r="JFD3" s="97"/>
      <c r="JFE3" s="97"/>
      <c r="JFF3" s="97"/>
      <c r="JFG3" s="97"/>
      <c r="JFH3" s="97"/>
      <c r="JFI3" s="97"/>
      <c r="JFJ3" s="97"/>
      <c r="JFK3" s="97"/>
      <c r="JFL3" s="97"/>
      <c r="JFM3" s="97"/>
      <c r="JFN3" s="97"/>
      <c r="JFO3" s="97"/>
      <c r="JFP3" s="97"/>
      <c r="JFQ3" s="97"/>
      <c r="JFR3" s="97"/>
      <c r="JFS3" s="97"/>
      <c r="JFT3" s="97"/>
      <c r="JFU3" s="97"/>
      <c r="JFV3" s="97"/>
      <c r="JFW3" s="97"/>
      <c r="JFX3" s="97"/>
      <c r="JFY3" s="97"/>
      <c r="JFZ3" s="97"/>
      <c r="JGA3" s="97"/>
      <c r="JGB3" s="97"/>
      <c r="JGC3" s="97"/>
      <c r="JGD3" s="97"/>
      <c r="JGE3" s="97"/>
      <c r="JGF3" s="97"/>
      <c r="JGG3" s="97"/>
      <c r="JGH3" s="97"/>
      <c r="JGI3" s="97"/>
      <c r="JGJ3" s="97"/>
      <c r="JGK3" s="97"/>
      <c r="JGL3" s="97"/>
      <c r="JGM3" s="97"/>
      <c r="JGN3" s="97"/>
      <c r="JGO3" s="97"/>
      <c r="JGP3" s="97"/>
      <c r="JGQ3" s="97"/>
      <c r="JGR3" s="97"/>
      <c r="JGS3" s="97"/>
      <c r="JGT3" s="97"/>
      <c r="JGU3" s="97"/>
      <c r="JGV3" s="97"/>
      <c r="JGW3" s="97"/>
      <c r="JGX3" s="97"/>
      <c r="JGY3" s="97"/>
      <c r="JGZ3" s="97"/>
      <c r="JHA3" s="97"/>
      <c r="JHB3" s="97"/>
      <c r="JHC3" s="97"/>
      <c r="JHD3" s="97"/>
      <c r="JHE3" s="97"/>
      <c r="JHF3" s="97"/>
      <c r="JHG3" s="97"/>
      <c r="JHH3" s="97"/>
      <c r="JHI3" s="97"/>
      <c r="JHJ3" s="97"/>
      <c r="JHK3" s="97"/>
      <c r="JHL3" s="97"/>
      <c r="JHM3" s="97"/>
      <c r="JHN3" s="97"/>
      <c r="JHO3" s="97"/>
      <c r="JHP3" s="97"/>
      <c r="JHQ3" s="97"/>
      <c r="JHR3" s="97"/>
      <c r="JHS3" s="97"/>
      <c r="JHT3" s="97"/>
      <c r="JHU3" s="97"/>
      <c r="JHV3" s="97"/>
      <c r="JHW3" s="97"/>
      <c r="JHX3" s="97"/>
      <c r="JHY3" s="97"/>
      <c r="JHZ3" s="97"/>
      <c r="JIA3" s="97"/>
      <c r="JIB3" s="97"/>
      <c r="JIC3" s="97"/>
      <c r="JID3" s="97"/>
      <c r="JIE3" s="97"/>
      <c r="JIF3" s="97"/>
      <c r="JIG3" s="97"/>
      <c r="JIH3" s="97"/>
      <c r="JII3" s="97"/>
      <c r="JIJ3" s="97"/>
      <c r="JIK3" s="97"/>
      <c r="JIL3" s="97"/>
      <c r="JIM3" s="97"/>
      <c r="JIN3" s="97"/>
      <c r="JIO3" s="97"/>
      <c r="JIP3" s="97"/>
      <c r="JIQ3" s="97"/>
      <c r="JIR3" s="97"/>
      <c r="JIS3" s="97"/>
      <c r="JIT3" s="97"/>
      <c r="JIU3" s="97"/>
      <c r="JIV3" s="97"/>
      <c r="JIW3" s="97"/>
      <c r="JIX3" s="97"/>
      <c r="JIY3" s="97"/>
      <c r="JIZ3" s="97"/>
      <c r="JJA3" s="97"/>
      <c r="JJB3" s="97"/>
      <c r="JJC3" s="97"/>
      <c r="JJD3" s="97"/>
      <c r="JJE3" s="97"/>
      <c r="JJF3" s="97"/>
      <c r="JJG3" s="97"/>
      <c r="JJH3" s="97"/>
      <c r="JJI3" s="97"/>
      <c r="JJJ3" s="97"/>
      <c r="JJK3" s="97"/>
      <c r="JJL3" s="97"/>
      <c r="JJM3" s="97"/>
      <c r="JJN3" s="97"/>
      <c r="JJO3" s="97"/>
      <c r="JJP3" s="97"/>
      <c r="JJQ3" s="97"/>
      <c r="JJR3" s="97"/>
      <c r="JJS3" s="97"/>
      <c r="JJT3" s="97"/>
      <c r="JJU3" s="97"/>
      <c r="JJV3" s="97"/>
      <c r="JJW3" s="97"/>
      <c r="JJX3" s="97"/>
      <c r="JJY3" s="97"/>
      <c r="JJZ3" s="97"/>
      <c r="JKA3" s="97"/>
      <c r="JKB3" s="97"/>
      <c r="JKC3" s="97"/>
      <c r="JKD3" s="97"/>
      <c r="JKE3" s="97"/>
      <c r="JKF3" s="97"/>
      <c r="JKG3" s="97"/>
      <c r="JKH3" s="97"/>
      <c r="JKI3" s="97"/>
      <c r="JKJ3" s="97"/>
      <c r="JKK3" s="97"/>
      <c r="JKL3" s="97"/>
      <c r="JKM3" s="97"/>
      <c r="JKN3" s="97"/>
      <c r="JKO3" s="97"/>
      <c r="JKP3" s="97"/>
      <c r="JKQ3" s="97"/>
      <c r="JKR3" s="97"/>
      <c r="JKS3" s="97"/>
      <c r="JKT3" s="97"/>
      <c r="JKU3" s="97"/>
      <c r="JKV3" s="97"/>
      <c r="JKW3" s="97"/>
      <c r="JKX3" s="97"/>
      <c r="JKY3" s="97"/>
      <c r="JKZ3" s="97"/>
      <c r="JLA3" s="97"/>
      <c r="JLB3" s="97"/>
      <c r="JLC3" s="97"/>
      <c r="JLD3" s="97"/>
      <c r="JLE3" s="97"/>
      <c r="JLF3" s="97"/>
      <c r="JLG3" s="97"/>
      <c r="JLH3" s="97"/>
      <c r="JLI3" s="97"/>
      <c r="JLJ3" s="97"/>
      <c r="JLK3" s="97"/>
      <c r="JLL3" s="97"/>
      <c r="JLM3" s="97"/>
      <c r="JLN3" s="97"/>
      <c r="JLO3" s="97"/>
      <c r="JLP3" s="97"/>
      <c r="JLQ3" s="97"/>
      <c r="JLR3" s="97"/>
      <c r="JLS3" s="97"/>
      <c r="JLT3" s="97"/>
      <c r="JLU3" s="97"/>
      <c r="JLV3" s="97"/>
      <c r="JLW3" s="97"/>
      <c r="JLX3" s="97"/>
      <c r="JLY3" s="97"/>
      <c r="JLZ3" s="97"/>
      <c r="JMA3" s="97"/>
      <c r="JMB3" s="97"/>
      <c r="JMC3" s="97"/>
      <c r="JMD3" s="97"/>
      <c r="JME3" s="97"/>
      <c r="JMF3" s="97"/>
      <c r="JMG3" s="97"/>
      <c r="JMH3" s="97"/>
      <c r="JMI3" s="97"/>
      <c r="JMJ3" s="97"/>
      <c r="JMK3" s="97"/>
      <c r="JML3" s="97"/>
      <c r="JMM3" s="97"/>
      <c r="JMN3" s="97"/>
      <c r="JMO3" s="97"/>
      <c r="JMP3" s="97"/>
      <c r="JMQ3" s="97"/>
      <c r="JMR3" s="97"/>
      <c r="JMS3" s="97"/>
      <c r="JMT3" s="97"/>
      <c r="JMU3" s="97"/>
      <c r="JMV3" s="97"/>
      <c r="JMW3" s="97"/>
      <c r="JMX3" s="97"/>
      <c r="JMY3" s="97"/>
      <c r="JMZ3" s="97"/>
      <c r="JNA3" s="97"/>
      <c r="JNB3" s="97"/>
      <c r="JNC3" s="97"/>
      <c r="JND3" s="97"/>
      <c r="JNE3" s="97"/>
      <c r="JNF3" s="97"/>
      <c r="JNG3" s="97"/>
      <c r="JNH3" s="97"/>
      <c r="JNI3" s="97"/>
      <c r="JNJ3" s="97"/>
      <c r="JNK3" s="97"/>
      <c r="JNL3" s="97"/>
      <c r="JNM3" s="97"/>
      <c r="JNN3" s="97"/>
      <c r="JNO3" s="97"/>
      <c r="JNP3" s="97"/>
      <c r="JNQ3" s="97"/>
      <c r="JNR3" s="97"/>
      <c r="JNS3" s="97"/>
      <c r="JNT3" s="97"/>
      <c r="JNU3" s="97"/>
      <c r="JNV3" s="97"/>
      <c r="JNW3" s="97"/>
      <c r="JNX3" s="97"/>
      <c r="JNY3" s="97"/>
      <c r="JNZ3" s="97"/>
      <c r="JOA3" s="97"/>
      <c r="JOB3" s="97"/>
      <c r="JOC3" s="97"/>
      <c r="JOD3" s="97"/>
      <c r="JOE3" s="97"/>
      <c r="JOF3" s="97"/>
      <c r="JOG3" s="97"/>
      <c r="JOH3" s="97"/>
      <c r="JOI3" s="97"/>
      <c r="JOJ3" s="97"/>
      <c r="JOK3" s="97"/>
      <c r="JOL3" s="97"/>
      <c r="JOM3" s="97"/>
      <c r="JON3" s="97"/>
      <c r="JOO3" s="97"/>
      <c r="JOP3" s="97"/>
      <c r="JOQ3" s="97"/>
      <c r="JOR3" s="97"/>
      <c r="JOS3" s="97"/>
      <c r="JOT3" s="97"/>
      <c r="JOU3" s="97"/>
      <c r="JOV3" s="97"/>
      <c r="JOW3" s="97"/>
      <c r="JOX3" s="97"/>
      <c r="JOY3" s="97"/>
      <c r="JOZ3" s="97"/>
      <c r="JPA3" s="97"/>
      <c r="JPB3" s="97"/>
      <c r="JPC3" s="97"/>
      <c r="JPD3" s="97"/>
      <c r="JPE3" s="97"/>
      <c r="JPF3" s="97"/>
      <c r="JPG3" s="97"/>
      <c r="JPH3" s="97"/>
      <c r="JPI3" s="97"/>
      <c r="JPJ3" s="97"/>
      <c r="JPK3" s="97"/>
      <c r="JPL3" s="97"/>
      <c r="JPM3" s="97"/>
      <c r="JPN3" s="97"/>
      <c r="JPO3" s="97"/>
      <c r="JPP3" s="97"/>
      <c r="JPQ3" s="97"/>
      <c r="JPR3" s="97"/>
      <c r="JPS3" s="97"/>
      <c r="JPT3" s="97"/>
      <c r="JPU3" s="97"/>
      <c r="JPV3" s="97"/>
      <c r="JPW3" s="97"/>
      <c r="JPX3" s="97"/>
      <c r="JPY3" s="97"/>
      <c r="JPZ3" s="97"/>
      <c r="JQA3" s="97"/>
      <c r="JQB3" s="97"/>
      <c r="JQC3" s="97"/>
      <c r="JQD3" s="97"/>
      <c r="JQE3" s="97"/>
      <c r="JQF3" s="97"/>
      <c r="JQG3" s="97"/>
      <c r="JQH3" s="97"/>
      <c r="JQI3" s="97"/>
      <c r="JQJ3" s="97"/>
      <c r="JQK3" s="97"/>
      <c r="JQL3" s="97"/>
      <c r="JQM3" s="97"/>
      <c r="JQN3" s="97"/>
      <c r="JQO3" s="97"/>
      <c r="JQP3" s="97"/>
      <c r="JQQ3" s="97"/>
      <c r="JQR3" s="97"/>
      <c r="JQS3" s="97"/>
      <c r="JQT3" s="97"/>
      <c r="JQU3" s="97"/>
      <c r="JQV3" s="97"/>
      <c r="JQW3" s="97"/>
      <c r="JQX3" s="97"/>
      <c r="JQY3" s="97"/>
      <c r="JQZ3" s="97"/>
      <c r="JRA3" s="97"/>
      <c r="JRB3" s="97"/>
      <c r="JRC3" s="97"/>
      <c r="JRD3" s="97"/>
      <c r="JRE3" s="97"/>
      <c r="JRF3" s="97"/>
      <c r="JRG3" s="97"/>
      <c r="JRH3" s="97"/>
      <c r="JRI3" s="97"/>
      <c r="JRJ3" s="97"/>
      <c r="JRK3" s="97"/>
      <c r="JRL3" s="97"/>
      <c r="JRM3" s="97"/>
      <c r="JRN3" s="97"/>
      <c r="JRO3" s="97"/>
      <c r="JRP3" s="97"/>
      <c r="JRQ3" s="97"/>
      <c r="JRR3" s="97"/>
      <c r="JRS3" s="97"/>
      <c r="JRT3" s="97"/>
      <c r="JRU3" s="97"/>
      <c r="JRV3" s="97"/>
      <c r="JRW3" s="97"/>
      <c r="JRX3" s="97"/>
      <c r="JRY3" s="97"/>
      <c r="JRZ3" s="97"/>
      <c r="JSA3" s="97"/>
      <c r="JSB3" s="97"/>
      <c r="JSC3" s="97"/>
      <c r="JSD3" s="97"/>
      <c r="JSE3" s="97"/>
      <c r="JSF3" s="97"/>
      <c r="JSG3" s="97"/>
      <c r="JSH3" s="97"/>
      <c r="JSI3" s="97"/>
      <c r="JSJ3" s="97"/>
      <c r="JSK3" s="97"/>
      <c r="JSL3" s="97"/>
      <c r="JSM3" s="97"/>
      <c r="JSN3" s="97"/>
      <c r="JSO3" s="97"/>
      <c r="JSP3" s="97"/>
      <c r="JSQ3" s="97"/>
      <c r="JSR3" s="97"/>
      <c r="JSS3" s="97"/>
      <c r="JST3" s="97"/>
      <c r="JSU3" s="97"/>
      <c r="JSV3" s="97"/>
      <c r="JSW3" s="97"/>
      <c r="JSX3" s="97"/>
      <c r="JSY3" s="97"/>
      <c r="JSZ3" s="97"/>
      <c r="JTA3" s="97"/>
      <c r="JTB3" s="97"/>
      <c r="JTC3" s="97"/>
      <c r="JTD3" s="97"/>
      <c r="JTE3" s="97"/>
      <c r="JTF3" s="97"/>
      <c r="JTG3" s="97"/>
      <c r="JTH3" s="97"/>
      <c r="JTI3" s="97"/>
      <c r="JTJ3" s="97"/>
      <c r="JTK3" s="97"/>
      <c r="JTL3" s="97"/>
      <c r="JTM3" s="97"/>
      <c r="JTN3" s="97"/>
      <c r="JTO3" s="97"/>
      <c r="JTP3" s="97"/>
      <c r="JTQ3" s="97"/>
      <c r="JTR3" s="97"/>
      <c r="JTS3" s="97"/>
      <c r="JTT3" s="97"/>
      <c r="JTU3" s="97"/>
      <c r="JTV3" s="97"/>
      <c r="JTW3" s="97"/>
      <c r="JTX3" s="97"/>
      <c r="JTY3" s="97"/>
      <c r="JTZ3" s="97"/>
      <c r="JUA3" s="97"/>
      <c r="JUB3" s="97"/>
      <c r="JUC3" s="97"/>
      <c r="JUD3" s="97"/>
      <c r="JUE3" s="97"/>
      <c r="JUF3" s="97"/>
      <c r="JUG3" s="97"/>
      <c r="JUH3" s="97"/>
      <c r="JUI3" s="97"/>
      <c r="JUJ3" s="97"/>
      <c r="JUK3" s="97"/>
      <c r="JUL3" s="97"/>
      <c r="JUM3" s="97"/>
      <c r="JUN3" s="97"/>
      <c r="JUO3" s="97"/>
      <c r="JUP3" s="97"/>
      <c r="JUQ3" s="97"/>
      <c r="JUR3" s="97"/>
      <c r="JUS3" s="97"/>
      <c r="JUT3" s="97"/>
      <c r="JUU3" s="97"/>
      <c r="JUV3" s="97"/>
      <c r="JUW3" s="97"/>
      <c r="JUX3" s="97"/>
      <c r="JUY3" s="97"/>
      <c r="JUZ3" s="97"/>
      <c r="JVA3" s="97"/>
      <c r="JVB3" s="97"/>
      <c r="JVC3" s="97"/>
      <c r="JVD3" s="97"/>
      <c r="JVE3" s="97"/>
      <c r="JVF3" s="97"/>
      <c r="JVG3" s="97"/>
      <c r="JVH3" s="97"/>
      <c r="JVI3" s="97"/>
      <c r="JVJ3" s="97"/>
      <c r="JVK3" s="97"/>
      <c r="JVL3" s="97"/>
      <c r="JVM3" s="97"/>
      <c r="JVN3" s="97"/>
      <c r="JVO3" s="97"/>
      <c r="JVP3" s="97"/>
      <c r="JVQ3" s="97"/>
      <c r="JVR3" s="97"/>
      <c r="JVS3" s="97"/>
      <c r="JVT3" s="97"/>
      <c r="JVU3" s="97"/>
      <c r="JVV3" s="97"/>
      <c r="JVW3" s="97"/>
      <c r="JVX3" s="97"/>
      <c r="JVY3" s="97"/>
      <c r="JVZ3" s="97"/>
      <c r="JWA3" s="97"/>
      <c r="JWB3" s="97"/>
      <c r="JWC3" s="97"/>
      <c r="JWD3" s="97"/>
      <c r="JWE3" s="97"/>
      <c r="JWF3" s="97"/>
      <c r="JWG3" s="97"/>
      <c r="JWH3" s="97"/>
      <c r="JWI3" s="97"/>
      <c r="JWJ3" s="97"/>
      <c r="JWK3" s="97"/>
      <c r="JWL3" s="97"/>
      <c r="JWM3" s="97"/>
      <c r="JWN3" s="97"/>
      <c r="JWO3" s="97"/>
      <c r="JWP3" s="97"/>
      <c r="JWQ3" s="97"/>
      <c r="JWR3" s="97"/>
      <c r="JWS3" s="97"/>
      <c r="JWT3" s="97"/>
      <c r="JWU3" s="97"/>
      <c r="JWV3" s="97"/>
      <c r="JWW3" s="97"/>
      <c r="JWX3" s="97"/>
      <c r="JWY3" s="97"/>
      <c r="JWZ3" s="97"/>
      <c r="JXA3" s="97"/>
      <c r="JXB3" s="97"/>
      <c r="JXC3" s="97"/>
      <c r="JXD3" s="97"/>
      <c r="JXE3" s="97"/>
      <c r="JXF3" s="97"/>
      <c r="JXG3" s="97"/>
      <c r="JXH3" s="97"/>
      <c r="JXI3" s="97"/>
      <c r="JXJ3" s="97"/>
      <c r="JXK3" s="97"/>
      <c r="JXL3" s="97"/>
      <c r="JXM3" s="97"/>
      <c r="JXN3" s="97"/>
      <c r="JXO3" s="97"/>
      <c r="JXP3" s="97"/>
      <c r="JXQ3" s="97"/>
      <c r="JXR3" s="97"/>
      <c r="JXS3" s="97"/>
      <c r="JXT3" s="97"/>
      <c r="JXU3" s="97"/>
      <c r="JXV3" s="97"/>
      <c r="JXW3" s="97"/>
      <c r="JXX3" s="97"/>
      <c r="JXY3" s="97"/>
      <c r="JXZ3" s="97"/>
      <c r="JYA3" s="97"/>
      <c r="JYB3" s="97"/>
      <c r="JYC3" s="97"/>
      <c r="JYD3" s="97"/>
      <c r="JYE3" s="97"/>
      <c r="JYF3" s="97"/>
      <c r="JYG3" s="97"/>
      <c r="JYH3" s="97"/>
      <c r="JYI3" s="97"/>
      <c r="JYJ3" s="97"/>
      <c r="JYK3" s="97"/>
      <c r="JYL3" s="97"/>
      <c r="JYM3" s="97"/>
      <c r="JYN3" s="97"/>
      <c r="JYO3" s="97"/>
      <c r="JYP3" s="97"/>
      <c r="JYQ3" s="97"/>
      <c r="JYR3" s="97"/>
      <c r="JYS3" s="97"/>
      <c r="JYT3" s="97"/>
      <c r="JYU3" s="97"/>
      <c r="JYV3" s="97"/>
      <c r="JYW3" s="97"/>
      <c r="JYX3" s="97"/>
      <c r="JYY3" s="97"/>
      <c r="JYZ3" s="97"/>
      <c r="JZA3" s="97"/>
      <c r="JZB3" s="97"/>
      <c r="JZC3" s="97"/>
      <c r="JZD3" s="97"/>
      <c r="JZE3" s="97"/>
      <c r="JZF3" s="97"/>
      <c r="JZG3" s="97"/>
      <c r="JZH3" s="97"/>
      <c r="JZI3" s="97"/>
      <c r="JZJ3" s="97"/>
      <c r="JZK3" s="97"/>
      <c r="JZL3" s="97"/>
      <c r="JZM3" s="97"/>
      <c r="JZN3" s="97"/>
      <c r="JZO3" s="97"/>
      <c r="JZP3" s="97"/>
      <c r="JZQ3" s="97"/>
      <c r="JZR3" s="97"/>
      <c r="JZS3" s="97"/>
      <c r="JZT3" s="97"/>
      <c r="JZU3" s="97"/>
      <c r="JZV3" s="97"/>
      <c r="JZW3" s="97"/>
      <c r="JZX3" s="97"/>
      <c r="JZY3" s="97"/>
      <c r="JZZ3" s="97"/>
      <c r="KAA3" s="97"/>
      <c r="KAB3" s="97"/>
      <c r="KAC3" s="97"/>
      <c r="KAD3" s="97"/>
      <c r="KAE3" s="97"/>
      <c r="KAF3" s="97"/>
      <c r="KAG3" s="97"/>
      <c r="KAH3" s="97"/>
      <c r="KAI3" s="97"/>
      <c r="KAJ3" s="97"/>
      <c r="KAK3" s="97"/>
      <c r="KAL3" s="97"/>
      <c r="KAM3" s="97"/>
      <c r="KAN3" s="97"/>
      <c r="KAO3" s="97"/>
      <c r="KAP3" s="97"/>
      <c r="KAQ3" s="97"/>
      <c r="KAR3" s="97"/>
      <c r="KAS3" s="97"/>
      <c r="KAT3" s="97"/>
      <c r="KAU3" s="97"/>
      <c r="KAV3" s="97"/>
      <c r="KAW3" s="97"/>
      <c r="KAX3" s="97"/>
      <c r="KAY3" s="97"/>
      <c r="KAZ3" s="97"/>
      <c r="KBA3" s="97"/>
      <c r="KBB3" s="97"/>
      <c r="KBC3" s="97"/>
      <c r="KBD3" s="97"/>
      <c r="KBE3" s="97"/>
      <c r="KBF3" s="97"/>
      <c r="KBG3" s="97"/>
      <c r="KBH3" s="97"/>
      <c r="KBI3" s="97"/>
      <c r="KBJ3" s="97"/>
      <c r="KBK3" s="97"/>
      <c r="KBL3" s="97"/>
      <c r="KBM3" s="97"/>
      <c r="KBN3" s="97"/>
      <c r="KBO3" s="97"/>
      <c r="KBP3" s="97"/>
      <c r="KBQ3" s="97"/>
      <c r="KBR3" s="97"/>
      <c r="KBS3" s="97"/>
      <c r="KBT3" s="97"/>
      <c r="KBU3" s="97"/>
      <c r="KBV3" s="97"/>
      <c r="KBW3" s="97"/>
      <c r="KBX3" s="97"/>
      <c r="KBY3" s="97"/>
      <c r="KBZ3" s="97"/>
      <c r="KCA3" s="97"/>
      <c r="KCB3" s="97"/>
      <c r="KCC3" s="97"/>
      <c r="KCD3" s="97"/>
      <c r="KCE3" s="97"/>
      <c r="KCF3" s="97"/>
      <c r="KCG3" s="97"/>
      <c r="KCH3" s="97"/>
      <c r="KCI3" s="97"/>
      <c r="KCJ3" s="97"/>
      <c r="KCK3" s="97"/>
      <c r="KCL3" s="97"/>
      <c r="KCM3" s="97"/>
      <c r="KCN3" s="97"/>
      <c r="KCO3" s="97"/>
      <c r="KCP3" s="97"/>
      <c r="KCQ3" s="97"/>
      <c r="KCR3" s="97"/>
      <c r="KCS3" s="97"/>
      <c r="KCT3" s="97"/>
      <c r="KCU3" s="97"/>
      <c r="KCV3" s="97"/>
      <c r="KCW3" s="97"/>
      <c r="KCX3" s="97"/>
      <c r="KCY3" s="97"/>
      <c r="KCZ3" s="97"/>
      <c r="KDA3" s="97"/>
      <c r="KDB3" s="97"/>
      <c r="KDC3" s="97"/>
      <c r="KDD3" s="97"/>
      <c r="KDE3" s="97"/>
      <c r="KDF3" s="97"/>
      <c r="KDG3" s="97"/>
      <c r="KDH3" s="97"/>
      <c r="KDI3" s="97"/>
      <c r="KDJ3" s="97"/>
      <c r="KDK3" s="97"/>
      <c r="KDL3" s="97"/>
      <c r="KDM3" s="97"/>
      <c r="KDN3" s="97"/>
      <c r="KDO3" s="97"/>
      <c r="KDP3" s="97"/>
      <c r="KDQ3" s="97"/>
      <c r="KDR3" s="97"/>
      <c r="KDS3" s="97"/>
      <c r="KDT3" s="97"/>
      <c r="KDU3" s="97"/>
      <c r="KDV3" s="97"/>
      <c r="KDW3" s="97"/>
      <c r="KDX3" s="97"/>
      <c r="KDY3" s="97"/>
      <c r="KDZ3" s="97"/>
      <c r="KEA3" s="97"/>
      <c r="KEB3" s="97"/>
      <c r="KEC3" s="97"/>
      <c r="KED3" s="97"/>
      <c r="KEE3" s="97"/>
      <c r="KEF3" s="97"/>
      <c r="KEG3" s="97"/>
      <c r="KEH3" s="97"/>
      <c r="KEI3" s="97"/>
      <c r="KEJ3" s="97"/>
      <c r="KEK3" s="97"/>
      <c r="KEL3" s="97"/>
      <c r="KEM3" s="97"/>
      <c r="KEN3" s="97"/>
      <c r="KEO3" s="97"/>
      <c r="KEP3" s="97"/>
      <c r="KEQ3" s="97"/>
      <c r="KER3" s="97"/>
      <c r="KES3" s="97"/>
      <c r="KET3" s="97"/>
      <c r="KEU3" s="97"/>
      <c r="KEV3" s="97"/>
      <c r="KEW3" s="97"/>
      <c r="KEX3" s="97"/>
      <c r="KEY3" s="97"/>
      <c r="KEZ3" s="97"/>
      <c r="KFA3" s="97"/>
      <c r="KFB3" s="97"/>
      <c r="KFC3" s="97"/>
      <c r="KFD3" s="97"/>
      <c r="KFE3" s="97"/>
      <c r="KFF3" s="97"/>
      <c r="KFG3" s="97"/>
      <c r="KFH3" s="97"/>
      <c r="KFI3" s="97"/>
      <c r="KFJ3" s="97"/>
      <c r="KFK3" s="97"/>
      <c r="KFL3" s="97"/>
      <c r="KFM3" s="97"/>
      <c r="KFN3" s="97"/>
      <c r="KFO3" s="97"/>
      <c r="KFP3" s="97"/>
      <c r="KFQ3" s="97"/>
      <c r="KFR3" s="97"/>
      <c r="KFS3" s="97"/>
      <c r="KFT3" s="97"/>
      <c r="KFU3" s="97"/>
      <c r="KFV3" s="97"/>
      <c r="KFW3" s="97"/>
      <c r="KFX3" s="97"/>
      <c r="KFY3" s="97"/>
      <c r="KFZ3" s="97"/>
      <c r="KGA3" s="97"/>
      <c r="KGB3" s="97"/>
      <c r="KGC3" s="97"/>
      <c r="KGD3" s="97"/>
      <c r="KGE3" s="97"/>
      <c r="KGF3" s="97"/>
      <c r="KGG3" s="97"/>
      <c r="KGH3" s="97"/>
      <c r="KGI3" s="97"/>
      <c r="KGJ3" s="97"/>
      <c r="KGK3" s="97"/>
      <c r="KGL3" s="97"/>
      <c r="KGM3" s="97"/>
      <c r="KGN3" s="97"/>
      <c r="KGO3" s="97"/>
      <c r="KGP3" s="97"/>
      <c r="KGQ3" s="97"/>
      <c r="KGR3" s="97"/>
      <c r="KGS3" s="97"/>
      <c r="KGT3" s="97"/>
      <c r="KGU3" s="97"/>
      <c r="KGV3" s="97"/>
      <c r="KGW3" s="97"/>
      <c r="KGX3" s="97"/>
      <c r="KGY3" s="97"/>
      <c r="KGZ3" s="97"/>
      <c r="KHA3" s="97"/>
      <c r="KHB3" s="97"/>
      <c r="KHC3" s="97"/>
      <c r="KHD3" s="97"/>
      <c r="KHE3" s="97"/>
      <c r="KHF3" s="97"/>
      <c r="KHG3" s="97"/>
      <c r="KHH3" s="97"/>
      <c r="KHI3" s="97"/>
      <c r="KHJ3" s="97"/>
      <c r="KHK3" s="97"/>
      <c r="KHL3" s="97"/>
      <c r="KHM3" s="97"/>
      <c r="KHN3" s="97"/>
      <c r="KHO3" s="97"/>
      <c r="KHP3" s="97"/>
      <c r="KHQ3" s="97"/>
      <c r="KHR3" s="97"/>
      <c r="KHS3" s="97"/>
      <c r="KHT3" s="97"/>
      <c r="KHU3" s="97"/>
      <c r="KHV3" s="97"/>
      <c r="KHW3" s="97"/>
      <c r="KHX3" s="97"/>
      <c r="KHY3" s="97"/>
      <c r="KHZ3" s="97"/>
      <c r="KIA3" s="97"/>
      <c r="KIB3" s="97"/>
      <c r="KIC3" s="97"/>
      <c r="KID3" s="97"/>
      <c r="KIE3" s="97"/>
      <c r="KIF3" s="97"/>
      <c r="KIG3" s="97"/>
      <c r="KIH3" s="97"/>
      <c r="KII3" s="97"/>
      <c r="KIJ3" s="97"/>
      <c r="KIK3" s="97"/>
      <c r="KIL3" s="97"/>
      <c r="KIM3" s="97"/>
      <c r="KIN3" s="97"/>
      <c r="KIO3" s="97"/>
      <c r="KIP3" s="97"/>
      <c r="KIQ3" s="97"/>
      <c r="KIR3" s="97"/>
      <c r="KIS3" s="97"/>
      <c r="KIT3" s="97"/>
      <c r="KIU3" s="97"/>
      <c r="KIV3" s="97"/>
      <c r="KIW3" s="97"/>
      <c r="KIX3" s="97"/>
      <c r="KIY3" s="97"/>
      <c r="KIZ3" s="97"/>
      <c r="KJA3" s="97"/>
      <c r="KJB3" s="97"/>
      <c r="KJC3" s="97"/>
      <c r="KJD3" s="97"/>
      <c r="KJE3" s="97"/>
      <c r="KJF3" s="97"/>
      <c r="KJG3" s="97"/>
      <c r="KJH3" s="97"/>
      <c r="KJI3" s="97"/>
      <c r="KJJ3" s="97"/>
      <c r="KJK3" s="97"/>
      <c r="KJL3" s="97"/>
      <c r="KJM3" s="97"/>
      <c r="KJN3" s="97"/>
      <c r="KJO3" s="97"/>
      <c r="KJP3" s="97"/>
      <c r="KJQ3" s="97"/>
      <c r="KJR3" s="97"/>
      <c r="KJS3" s="97"/>
      <c r="KJT3" s="97"/>
      <c r="KJU3" s="97"/>
      <c r="KJV3" s="97"/>
      <c r="KJW3" s="97"/>
      <c r="KJX3" s="97"/>
      <c r="KJY3" s="97"/>
      <c r="KJZ3" s="97"/>
      <c r="KKA3" s="97"/>
      <c r="KKB3" s="97"/>
      <c r="KKC3" s="97"/>
      <c r="KKD3" s="97"/>
      <c r="KKE3" s="97"/>
      <c r="KKF3" s="97"/>
      <c r="KKG3" s="97"/>
      <c r="KKH3" s="97"/>
      <c r="KKI3" s="97"/>
      <c r="KKJ3" s="97"/>
      <c r="KKK3" s="97"/>
      <c r="KKL3" s="97"/>
      <c r="KKM3" s="97"/>
      <c r="KKN3" s="97"/>
      <c r="KKO3" s="97"/>
      <c r="KKP3" s="97"/>
      <c r="KKQ3" s="97"/>
      <c r="KKR3" s="97"/>
      <c r="KKS3" s="97"/>
      <c r="KKT3" s="97"/>
      <c r="KKU3" s="97"/>
      <c r="KKV3" s="97"/>
      <c r="KKW3" s="97"/>
      <c r="KKX3" s="97"/>
      <c r="KKY3" s="97"/>
      <c r="KKZ3" s="97"/>
      <c r="KLA3" s="97"/>
      <c r="KLB3" s="97"/>
      <c r="KLC3" s="97"/>
      <c r="KLD3" s="97"/>
      <c r="KLE3" s="97"/>
      <c r="KLF3" s="97"/>
      <c r="KLG3" s="97"/>
      <c r="KLH3" s="97"/>
      <c r="KLI3" s="97"/>
      <c r="KLJ3" s="97"/>
      <c r="KLK3" s="97"/>
      <c r="KLL3" s="97"/>
      <c r="KLM3" s="97"/>
      <c r="KLN3" s="97"/>
      <c r="KLO3" s="97"/>
      <c r="KLP3" s="97"/>
      <c r="KLQ3" s="97"/>
      <c r="KLR3" s="97"/>
      <c r="KLS3" s="97"/>
      <c r="KLT3" s="97"/>
      <c r="KLU3" s="97"/>
      <c r="KLV3" s="97"/>
      <c r="KLW3" s="97"/>
      <c r="KLX3" s="97"/>
      <c r="KLY3" s="97"/>
      <c r="KLZ3" s="97"/>
      <c r="KMA3" s="97"/>
      <c r="KMB3" s="97"/>
      <c r="KMC3" s="97"/>
      <c r="KMD3" s="97"/>
      <c r="KME3" s="97"/>
      <c r="KMF3" s="97"/>
      <c r="KMG3" s="97"/>
      <c r="KMH3" s="97"/>
      <c r="KMI3" s="97"/>
      <c r="KMJ3" s="97"/>
      <c r="KMK3" s="97"/>
      <c r="KML3" s="97"/>
      <c r="KMM3" s="97"/>
      <c r="KMN3" s="97"/>
      <c r="KMO3" s="97"/>
      <c r="KMP3" s="97"/>
      <c r="KMQ3" s="97"/>
      <c r="KMR3" s="97"/>
      <c r="KMS3" s="97"/>
      <c r="KMT3" s="97"/>
      <c r="KMU3" s="97"/>
      <c r="KMV3" s="97"/>
      <c r="KMW3" s="97"/>
      <c r="KMX3" s="97"/>
      <c r="KMY3" s="97"/>
      <c r="KMZ3" s="97"/>
      <c r="KNA3" s="97"/>
      <c r="KNB3" s="97"/>
      <c r="KNC3" s="97"/>
      <c r="KND3" s="97"/>
      <c r="KNE3" s="97"/>
      <c r="KNF3" s="97"/>
      <c r="KNG3" s="97"/>
      <c r="KNH3" s="97"/>
      <c r="KNI3" s="97"/>
      <c r="KNJ3" s="97"/>
      <c r="KNK3" s="97"/>
      <c r="KNL3" s="97"/>
      <c r="KNM3" s="97"/>
      <c r="KNN3" s="97"/>
      <c r="KNO3" s="97"/>
      <c r="KNP3" s="97"/>
      <c r="KNQ3" s="97"/>
      <c r="KNR3" s="97"/>
      <c r="KNS3" s="97"/>
      <c r="KNT3" s="97"/>
      <c r="KNU3" s="97"/>
      <c r="KNV3" s="97"/>
      <c r="KNW3" s="97"/>
      <c r="KNX3" s="97"/>
      <c r="KNY3" s="97"/>
      <c r="KNZ3" s="97"/>
      <c r="KOA3" s="97"/>
      <c r="KOB3" s="97"/>
      <c r="KOC3" s="97"/>
      <c r="KOD3" s="97"/>
      <c r="KOE3" s="97"/>
      <c r="KOF3" s="97"/>
      <c r="KOG3" s="97"/>
      <c r="KOH3" s="97"/>
      <c r="KOI3" s="97"/>
      <c r="KOJ3" s="97"/>
      <c r="KOK3" s="97"/>
      <c r="KOL3" s="97"/>
      <c r="KOM3" s="97"/>
      <c r="KON3" s="97"/>
      <c r="KOO3" s="97"/>
      <c r="KOP3" s="97"/>
      <c r="KOQ3" s="97"/>
      <c r="KOR3" s="97"/>
      <c r="KOS3" s="97"/>
      <c r="KOT3" s="97"/>
      <c r="KOU3" s="97"/>
      <c r="KOV3" s="97"/>
      <c r="KOW3" s="97"/>
      <c r="KOX3" s="97"/>
      <c r="KOY3" s="97"/>
      <c r="KOZ3" s="97"/>
      <c r="KPA3" s="97"/>
      <c r="KPB3" s="97"/>
      <c r="KPC3" s="97"/>
      <c r="KPD3" s="97"/>
      <c r="KPE3" s="97"/>
      <c r="KPF3" s="97"/>
      <c r="KPG3" s="97"/>
      <c r="KPH3" s="97"/>
      <c r="KPI3" s="97"/>
      <c r="KPJ3" s="97"/>
      <c r="KPK3" s="97"/>
      <c r="KPL3" s="97"/>
      <c r="KPM3" s="97"/>
      <c r="KPN3" s="97"/>
      <c r="KPO3" s="97"/>
      <c r="KPP3" s="97"/>
      <c r="KPQ3" s="97"/>
      <c r="KPR3" s="97"/>
      <c r="KPS3" s="97"/>
      <c r="KPT3" s="97"/>
      <c r="KPU3" s="97"/>
      <c r="KPV3" s="97"/>
      <c r="KPW3" s="97"/>
      <c r="KPX3" s="97"/>
      <c r="KPY3" s="97"/>
      <c r="KPZ3" s="97"/>
      <c r="KQA3" s="97"/>
      <c r="KQB3" s="97"/>
      <c r="KQC3" s="97"/>
      <c r="KQD3" s="97"/>
      <c r="KQE3" s="97"/>
      <c r="KQF3" s="97"/>
      <c r="KQG3" s="97"/>
      <c r="KQH3" s="97"/>
      <c r="KQI3" s="97"/>
      <c r="KQJ3" s="97"/>
      <c r="KQK3" s="97"/>
      <c r="KQL3" s="97"/>
      <c r="KQM3" s="97"/>
      <c r="KQN3" s="97"/>
      <c r="KQO3" s="97"/>
      <c r="KQP3" s="97"/>
      <c r="KQQ3" s="97"/>
      <c r="KQR3" s="97"/>
      <c r="KQS3" s="97"/>
      <c r="KQT3" s="97"/>
      <c r="KQU3" s="97"/>
      <c r="KQV3" s="97"/>
      <c r="KQW3" s="97"/>
      <c r="KQX3" s="97"/>
      <c r="KQY3" s="97"/>
      <c r="KQZ3" s="97"/>
      <c r="KRA3" s="97"/>
      <c r="KRB3" s="97"/>
      <c r="KRC3" s="97"/>
      <c r="KRD3" s="97"/>
      <c r="KRE3" s="97"/>
      <c r="KRF3" s="97"/>
      <c r="KRG3" s="97"/>
      <c r="KRH3" s="97"/>
      <c r="KRI3" s="97"/>
      <c r="KRJ3" s="97"/>
      <c r="KRK3" s="97"/>
      <c r="KRL3" s="97"/>
      <c r="KRM3" s="97"/>
      <c r="KRN3" s="97"/>
      <c r="KRO3" s="97"/>
      <c r="KRP3" s="97"/>
      <c r="KRQ3" s="97"/>
      <c r="KRR3" s="97"/>
      <c r="KRS3" s="97"/>
      <c r="KRT3" s="97"/>
      <c r="KRU3" s="97"/>
      <c r="KRV3" s="97"/>
      <c r="KRW3" s="97"/>
      <c r="KRX3" s="97"/>
      <c r="KRY3" s="97"/>
      <c r="KRZ3" s="97"/>
      <c r="KSA3" s="97"/>
      <c r="KSB3" s="97"/>
      <c r="KSC3" s="97"/>
      <c r="KSD3" s="97"/>
      <c r="KSE3" s="97"/>
      <c r="KSF3" s="97"/>
      <c r="KSG3" s="97"/>
      <c r="KSH3" s="97"/>
      <c r="KSI3" s="97"/>
      <c r="KSJ3" s="97"/>
      <c r="KSK3" s="97"/>
      <c r="KSL3" s="97"/>
      <c r="KSM3" s="97"/>
      <c r="KSN3" s="97"/>
      <c r="KSO3" s="97"/>
      <c r="KSP3" s="97"/>
      <c r="KSQ3" s="97"/>
      <c r="KSR3" s="97"/>
      <c r="KSS3" s="97"/>
      <c r="KST3" s="97"/>
      <c r="KSU3" s="97"/>
      <c r="KSV3" s="97"/>
      <c r="KSW3" s="97"/>
      <c r="KSX3" s="97"/>
      <c r="KSY3" s="97"/>
      <c r="KSZ3" s="97"/>
      <c r="KTA3" s="97"/>
      <c r="KTB3" s="97"/>
      <c r="KTC3" s="97"/>
      <c r="KTD3" s="97"/>
      <c r="KTE3" s="97"/>
      <c r="KTF3" s="97"/>
      <c r="KTG3" s="97"/>
      <c r="KTH3" s="97"/>
      <c r="KTI3" s="97"/>
      <c r="KTJ3" s="97"/>
      <c r="KTK3" s="97"/>
      <c r="KTL3" s="97"/>
      <c r="KTM3" s="97"/>
      <c r="KTN3" s="97"/>
      <c r="KTO3" s="97"/>
      <c r="KTP3" s="97"/>
      <c r="KTQ3" s="97"/>
      <c r="KTR3" s="97"/>
      <c r="KTS3" s="97"/>
      <c r="KTT3" s="97"/>
      <c r="KTU3" s="97"/>
      <c r="KTV3" s="97"/>
      <c r="KTW3" s="97"/>
      <c r="KTX3" s="97"/>
      <c r="KTY3" s="97"/>
      <c r="KTZ3" s="97"/>
      <c r="KUA3" s="97"/>
      <c r="KUB3" s="97"/>
      <c r="KUC3" s="97"/>
      <c r="KUD3" s="97"/>
      <c r="KUE3" s="97"/>
      <c r="KUF3" s="97"/>
      <c r="KUG3" s="97"/>
      <c r="KUH3" s="97"/>
      <c r="KUI3" s="97"/>
      <c r="KUJ3" s="97"/>
      <c r="KUK3" s="97"/>
      <c r="KUL3" s="97"/>
      <c r="KUM3" s="97"/>
      <c r="KUN3" s="97"/>
      <c r="KUO3" s="97"/>
      <c r="KUP3" s="97"/>
      <c r="KUQ3" s="97"/>
      <c r="KUR3" s="97"/>
      <c r="KUS3" s="97"/>
      <c r="KUT3" s="97"/>
      <c r="KUU3" s="97"/>
      <c r="KUV3" s="97"/>
      <c r="KUW3" s="97"/>
      <c r="KUX3" s="97"/>
      <c r="KUY3" s="97"/>
      <c r="KUZ3" s="97"/>
      <c r="KVA3" s="97"/>
      <c r="KVB3" s="97"/>
      <c r="KVC3" s="97"/>
      <c r="KVD3" s="97"/>
      <c r="KVE3" s="97"/>
      <c r="KVF3" s="97"/>
      <c r="KVG3" s="97"/>
      <c r="KVH3" s="97"/>
      <c r="KVI3" s="97"/>
      <c r="KVJ3" s="97"/>
      <c r="KVK3" s="97"/>
      <c r="KVL3" s="97"/>
      <c r="KVM3" s="97"/>
      <c r="KVN3" s="97"/>
      <c r="KVO3" s="97"/>
      <c r="KVP3" s="97"/>
      <c r="KVQ3" s="97"/>
      <c r="KVR3" s="97"/>
      <c r="KVS3" s="97"/>
      <c r="KVT3" s="97"/>
      <c r="KVU3" s="97"/>
      <c r="KVV3" s="97"/>
      <c r="KVW3" s="97"/>
      <c r="KVX3" s="97"/>
      <c r="KVY3" s="97"/>
      <c r="KVZ3" s="97"/>
      <c r="KWA3" s="97"/>
      <c r="KWB3" s="97"/>
      <c r="KWC3" s="97"/>
      <c r="KWD3" s="97"/>
      <c r="KWE3" s="97"/>
      <c r="KWF3" s="97"/>
      <c r="KWG3" s="97"/>
      <c r="KWH3" s="97"/>
      <c r="KWI3" s="97"/>
      <c r="KWJ3" s="97"/>
      <c r="KWK3" s="97"/>
      <c r="KWL3" s="97"/>
      <c r="KWM3" s="97"/>
      <c r="KWN3" s="97"/>
      <c r="KWO3" s="97"/>
      <c r="KWP3" s="97"/>
      <c r="KWQ3" s="97"/>
      <c r="KWR3" s="97"/>
      <c r="KWS3" s="97"/>
      <c r="KWT3" s="97"/>
      <c r="KWU3" s="97"/>
      <c r="KWV3" s="97"/>
      <c r="KWW3" s="97"/>
      <c r="KWX3" s="97"/>
      <c r="KWY3" s="97"/>
      <c r="KWZ3" s="97"/>
      <c r="KXA3" s="97"/>
      <c r="KXB3" s="97"/>
      <c r="KXC3" s="97"/>
      <c r="KXD3" s="97"/>
      <c r="KXE3" s="97"/>
      <c r="KXF3" s="97"/>
      <c r="KXG3" s="97"/>
      <c r="KXH3" s="97"/>
      <c r="KXI3" s="97"/>
      <c r="KXJ3" s="97"/>
      <c r="KXK3" s="97"/>
      <c r="KXL3" s="97"/>
      <c r="KXM3" s="97"/>
      <c r="KXN3" s="97"/>
      <c r="KXO3" s="97"/>
      <c r="KXP3" s="97"/>
      <c r="KXQ3" s="97"/>
      <c r="KXR3" s="97"/>
      <c r="KXS3" s="97"/>
      <c r="KXT3" s="97"/>
      <c r="KXU3" s="97"/>
      <c r="KXV3" s="97"/>
      <c r="KXW3" s="97"/>
      <c r="KXX3" s="97"/>
      <c r="KXY3" s="97"/>
      <c r="KXZ3" s="97"/>
      <c r="KYA3" s="97"/>
      <c r="KYB3" s="97"/>
      <c r="KYC3" s="97"/>
      <c r="KYD3" s="97"/>
      <c r="KYE3" s="97"/>
      <c r="KYF3" s="97"/>
      <c r="KYG3" s="97"/>
      <c r="KYH3" s="97"/>
      <c r="KYI3" s="97"/>
      <c r="KYJ3" s="97"/>
      <c r="KYK3" s="97"/>
      <c r="KYL3" s="97"/>
      <c r="KYM3" s="97"/>
      <c r="KYN3" s="97"/>
      <c r="KYO3" s="97"/>
      <c r="KYP3" s="97"/>
      <c r="KYQ3" s="97"/>
      <c r="KYR3" s="97"/>
      <c r="KYS3" s="97"/>
      <c r="KYT3" s="97"/>
      <c r="KYU3" s="97"/>
      <c r="KYV3" s="97"/>
      <c r="KYW3" s="97"/>
      <c r="KYX3" s="97"/>
      <c r="KYY3" s="97"/>
      <c r="KYZ3" s="97"/>
      <c r="KZA3" s="97"/>
      <c r="KZB3" s="97"/>
      <c r="KZC3" s="97"/>
      <c r="KZD3" s="97"/>
      <c r="KZE3" s="97"/>
      <c r="KZF3" s="97"/>
      <c r="KZG3" s="97"/>
      <c r="KZH3" s="97"/>
      <c r="KZI3" s="97"/>
      <c r="KZJ3" s="97"/>
      <c r="KZK3" s="97"/>
      <c r="KZL3" s="97"/>
      <c r="KZM3" s="97"/>
      <c r="KZN3" s="97"/>
      <c r="KZO3" s="97"/>
      <c r="KZP3" s="97"/>
      <c r="KZQ3" s="97"/>
      <c r="KZR3" s="97"/>
      <c r="KZS3" s="97"/>
      <c r="KZT3" s="97"/>
      <c r="KZU3" s="97"/>
      <c r="KZV3" s="97"/>
      <c r="KZW3" s="97"/>
      <c r="KZX3" s="97"/>
      <c r="KZY3" s="97"/>
      <c r="KZZ3" s="97"/>
      <c r="LAA3" s="97"/>
      <c r="LAB3" s="97"/>
      <c r="LAC3" s="97"/>
      <c r="LAD3" s="97"/>
      <c r="LAE3" s="97"/>
      <c r="LAF3" s="97"/>
      <c r="LAG3" s="97"/>
      <c r="LAH3" s="97"/>
      <c r="LAI3" s="97"/>
      <c r="LAJ3" s="97"/>
      <c r="LAK3" s="97"/>
      <c r="LAL3" s="97"/>
      <c r="LAM3" s="97"/>
      <c r="LAN3" s="97"/>
      <c r="LAO3" s="97"/>
      <c r="LAP3" s="97"/>
      <c r="LAQ3" s="97"/>
      <c r="LAR3" s="97"/>
      <c r="LAS3" s="97"/>
      <c r="LAT3" s="97"/>
      <c r="LAU3" s="97"/>
      <c r="LAV3" s="97"/>
      <c r="LAW3" s="97"/>
      <c r="LAX3" s="97"/>
      <c r="LAY3" s="97"/>
      <c r="LAZ3" s="97"/>
      <c r="LBA3" s="97"/>
      <c r="LBB3" s="97"/>
      <c r="LBC3" s="97"/>
      <c r="LBD3" s="97"/>
      <c r="LBE3" s="97"/>
      <c r="LBF3" s="97"/>
      <c r="LBG3" s="97"/>
      <c r="LBH3" s="97"/>
      <c r="LBI3" s="97"/>
      <c r="LBJ3" s="97"/>
      <c r="LBK3" s="97"/>
      <c r="LBL3" s="97"/>
      <c r="LBM3" s="97"/>
      <c r="LBN3" s="97"/>
      <c r="LBO3" s="97"/>
      <c r="LBP3" s="97"/>
      <c r="LBQ3" s="97"/>
      <c r="LBR3" s="97"/>
      <c r="LBS3" s="97"/>
      <c r="LBT3" s="97"/>
      <c r="LBU3" s="97"/>
      <c r="LBV3" s="97"/>
      <c r="LBW3" s="97"/>
      <c r="LBX3" s="97"/>
      <c r="LBY3" s="97"/>
      <c r="LBZ3" s="97"/>
      <c r="LCA3" s="97"/>
      <c r="LCB3" s="97"/>
      <c r="LCC3" s="97"/>
      <c r="LCD3" s="97"/>
      <c r="LCE3" s="97"/>
      <c r="LCF3" s="97"/>
      <c r="LCG3" s="97"/>
      <c r="LCH3" s="97"/>
      <c r="LCI3" s="97"/>
      <c r="LCJ3" s="97"/>
      <c r="LCK3" s="97"/>
      <c r="LCL3" s="97"/>
      <c r="LCM3" s="97"/>
      <c r="LCN3" s="97"/>
      <c r="LCO3" s="97"/>
      <c r="LCP3" s="97"/>
      <c r="LCQ3" s="97"/>
      <c r="LCR3" s="97"/>
      <c r="LCS3" s="97"/>
      <c r="LCT3" s="97"/>
      <c r="LCU3" s="97"/>
      <c r="LCV3" s="97"/>
      <c r="LCW3" s="97"/>
      <c r="LCX3" s="97"/>
      <c r="LCY3" s="97"/>
      <c r="LCZ3" s="97"/>
      <c r="LDA3" s="97"/>
      <c r="LDB3" s="97"/>
      <c r="LDC3" s="97"/>
      <c r="LDD3" s="97"/>
      <c r="LDE3" s="97"/>
      <c r="LDF3" s="97"/>
      <c r="LDG3" s="97"/>
      <c r="LDH3" s="97"/>
      <c r="LDI3" s="97"/>
      <c r="LDJ3" s="97"/>
      <c r="LDK3" s="97"/>
      <c r="LDL3" s="97"/>
      <c r="LDM3" s="97"/>
      <c r="LDN3" s="97"/>
      <c r="LDO3" s="97"/>
      <c r="LDP3" s="97"/>
      <c r="LDQ3" s="97"/>
      <c r="LDR3" s="97"/>
      <c r="LDS3" s="97"/>
      <c r="LDT3" s="97"/>
      <c r="LDU3" s="97"/>
      <c r="LDV3" s="97"/>
      <c r="LDW3" s="97"/>
      <c r="LDX3" s="97"/>
      <c r="LDY3" s="97"/>
      <c r="LDZ3" s="97"/>
      <c r="LEA3" s="97"/>
      <c r="LEB3" s="97"/>
      <c r="LEC3" s="97"/>
      <c r="LED3" s="97"/>
      <c r="LEE3" s="97"/>
      <c r="LEF3" s="97"/>
      <c r="LEG3" s="97"/>
      <c r="LEH3" s="97"/>
      <c r="LEI3" s="97"/>
      <c r="LEJ3" s="97"/>
      <c r="LEK3" s="97"/>
      <c r="LEL3" s="97"/>
      <c r="LEM3" s="97"/>
      <c r="LEN3" s="97"/>
      <c r="LEO3" s="97"/>
      <c r="LEP3" s="97"/>
      <c r="LEQ3" s="97"/>
      <c r="LER3" s="97"/>
      <c r="LES3" s="97"/>
      <c r="LET3" s="97"/>
      <c r="LEU3" s="97"/>
      <c r="LEV3" s="97"/>
      <c r="LEW3" s="97"/>
      <c r="LEX3" s="97"/>
      <c r="LEY3" s="97"/>
      <c r="LEZ3" s="97"/>
      <c r="LFA3" s="97"/>
      <c r="LFB3" s="97"/>
      <c r="LFC3" s="97"/>
      <c r="LFD3" s="97"/>
      <c r="LFE3" s="97"/>
      <c r="LFF3" s="97"/>
      <c r="LFG3" s="97"/>
      <c r="LFH3" s="97"/>
      <c r="LFI3" s="97"/>
      <c r="LFJ3" s="97"/>
      <c r="LFK3" s="97"/>
      <c r="LFL3" s="97"/>
      <c r="LFM3" s="97"/>
      <c r="LFN3" s="97"/>
      <c r="LFO3" s="97"/>
      <c r="LFP3" s="97"/>
      <c r="LFQ3" s="97"/>
      <c r="LFR3" s="97"/>
      <c r="LFS3" s="97"/>
      <c r="LFT3" s="97"/>
      <c r="LFU3" s="97"/>
      <c r="LFV3" s="97"/>
      <c r="LFW3" s="97"/>
      <c r="LFX3" s="97"/>
      <c r="LFY3" s="97"/>
      <c r="LFZ3" s="97"/>
      <c r="LGA3" s="97"/>
      <c r="LGB3" s="97"/>
      <c r="LGC3" s="97"/>
      <c r="LGD3" s="97"/>
      <c r="LGE3" s="97"/>
      <c r="LGF3" s="97"/>
      <c r="LGG3" s="97"/>
      <c r="LGH3" s="97"/>
      <c r="LGI3" s="97"/>
      <c r="LGJ3" s="97"/>
      <c r="LGK3" s="97"/>
      <c r="LGL3" s="97"/>
      <c r="LGM3" s="97"/>
      <c r="LGN3" s="97"/>
      <c r="LGO3" s="97"/>
      <c r="LGP3" s="97"/>
      <c r="LGQ3" s="97"/>
      <c r="LGR3" s="97"/>
      <c r="LGS3" s="97"/>
      <c r="LGT3" s="97"/>
      <c r="LGU3" s="97"/>
      <c r="LGV3" s="97"/>
      <c r="LGW3" s="97"/>
      <c r="LGX3" s="97"/>
      <c r="LGY3" s="97"/>
      <c r="LGZ3" s="97"/>
      <c r="LHA3" s="97"/>
      <c r="LHB3" s="97"/>
      <c r="LHC3" s="97"/>
      <c r="LHD3" s="97"/>
      <c r="LHE3" s="97"/>
      <c r="LHF3" s="97"/>
      <c r="LHG3" s="97"/>
      <c r="LHH3" s="97"/>
      <c r="LHI3" s="97"/>
      <c r="LHJ3" s="97"/>
      <c r="LHK3" s="97"/>
      <c r="LHL3" s="97"/>
      <c r="LHM3" s="97"/>
      <c r="LHN3" s="97"/>
      <c r="LHO3" s="97"/>
      <c r="LHP3" s="97"/>
      <c r="LHQ3" s="97"/>
      <c r="LHR3" s="97"/>
      <c r="LHS3" s="97"/>
      <c r="LHT3" s="97"/>
      <c r="LHU3" s="97"/>
      <c r="LHV3" s="97"/>
      <c r="LHW3" s="97"/>
      <c r="LHX3" s="97"/>
      <c r="LHY3" s="97"/>
      <c r="LHZ3" s="97"/>
      <c r="LIA3" s="97"/>
      <c r="LIB3" s="97"/>
      <c r="LIC3" s="97"/>
      <c r="LID3" s="97"/>
      <c r="LIE3" s="97"/>
      <c r="LIF3" s="97"/>
      <c r="LIG3" s="97"/>
      <c r="LIH3" s="97"/>
      <c r="LII3" s="97"/>
      <c r="LIJ3" s="97"/>
      <c r="LIK3" s="97"/>
      <c r="LIL3" s="97"/>
      <c r="LIM3" s="97"/>
      <c r="LIN3" s="97"/>
      <c r="LIO3" s="97"/>
      <c r="LIP3" s="97"/>
      <c r="LIQ3" s="97"/>
      <c r="LIR3" s="97"/>
      <c r="LIS3" s="97"/>
      <c r="LIT3" s="97"/>
      <c r="LIU3" s="97"/>
      <c r="LIV3" s="97"/>
      <c r="LIW3" s="97"/>
      <c r="LIX3" s="97"/>
      <c r="LIY3" s="97"/>
      <c r="LIZ3" s="97"/>
      <c r="LJA3" s="97"/>
      <c r="LJB3" s="97"/>
      <c r="LJC3" s="97"/>
      <c r="LJD3" s="97"/>
      <c r="LJE3" s="97"/>
      <c r="LJF3" s="97"/>
      <c r="LJG3" s="97"/>
      <c r="LJH3" s="97"/>
      <c r="LJI3" s="97"/>
      <c r="LJJ3" s="97"/>
      <c r="LJK3" s="97"/>
      <c r="LJL3" s="97"/>
      <c r="LJM3" s="97"/>
      <c r="LJN3" s="97"/>
      <c r="LJO3" s="97"/>
      <c r="LJP3" s="97"/>
      <c r="LJQ3" s="97"/>
      <c r="LJR3" s="97"/>
      <c r="LJS3" s="97"/>
      <c r="LJT3" s="97"/>
      <c r="LJU3" s="97"/>
      <c r="LJV3" s="97"/>
      <c r="LJW3" s="97"/>
      <c r="LJX3" s="97"/>
      <c r="LJY3" s="97"/>
      <c r="LJZ3" s="97"/>
      <c r="LKA3" s="97"/>
      <c r="LKB3" s="97"/>
      <c r="LKC3" s="97"/>
      <c r="LKD3" s="97"/>
      <c r="LKE3" s="97"/>
      <c r="LKF3" s="97"/>
      <c r="LKG3" s="97"/>
      <c r="LKH3" s="97"/>
      <c r="LKI3" s="97"/>
      <c r="LKJ3" s="97"/>
      <c r="LKK3" s="97"/>
      <c r="LKL3" s="97"/>
      <c r="LKM3" s="97"/>
      <c r="LKN3" s="97"/>
      <c r="LKO3" s="97"/>
      <c r="LKP3" s="97"/>
      <c r="LKQ3" s="97"/>
      <c r="LKR3" s="97"/>
      <c r="LKS3" s="97"/>
      <c r="LKT3" s="97"/>
      <c r="LKU3" s="97"/>
      <c r="LKV3" s="97"/>
      <c r="LKW3" s="97"/>
      <c r="LKX3" s="97"/>
      <c r="LKY3" s="97"/>
      <c r="LKZ3" s="97"/>
      <c r="LLA3" s="97"/>
      <c r="LLB3" s="97"/>
      <c r="LLC3" s="97"/>
      <c r="LLD3" s="97"/>
      <c r="LLE3" s="97"/>
      <c r="LLF3" s="97"/>
      <c r="LLG3" s="97"/>
      <c r="LLH3" s="97"/>
      <c r="LLI3" s="97"/>
      <c r="LLJ3" s="97"/>
      <c r="LLK3" s="97"/>
      <c r="LLL3" s="97"/>
      <c r="LLM3" s="97"/>
      <c r="LLN3" s="97"/>
      <c r="LLO3" s="97"/>
      <c r="LLP3" s="97"/>
      <c r="LLQ3" s="97"/>
      <c r="LLR3" s="97"/>
      <c r="LLS3" s="97"/>
      <c r="LLT3" s="97"/>
      <c r="LLU3" s="97"/>
      <c r="LLV3" s="97"/>
      <c r="LLW3" s="97"/>
      <c r="LLX3" s="97"/>
      <c r="LLY3" s="97"/>
      <c r="LLZ3" s="97"/>
      <c r="LMA3" s="97"/>
      <c r="LMB3" s="97"/>
      <c r="LMC3" s="97"/>
      <c r="LMD3" s="97"/>
      <c r="LME3" s="97"/>
      <c r="LMF3" s="97"/>
      <c r="LMG3" s="97"/>
      <c r="LMH3" s="97"/>
      <c r="LMI3" s="97"/>
      <c r="LMJ3" s="97"/>
      <c r="LMK3" s="97"/>
      <c r="LML3" s="97"/>
      <c r="LMM3" s="97"/>
      <c r="LMN3" s="97"/>
      <c r="LMO3" s="97"/>
      <c r="LMP3" s="97"/>
      <c r="LMQ3" s="97"/>
      <c r="LMR3" s="97"/>
      <c r="LMS3" s="97"/>
      <c r="LMT3" s="97"/>
      <c r="LMU3" s="97"/>
      <c r="LMV3" s="97"/>
      <c r="LMW3" s="97"/>
      <c r="LMX3" s="97"/>
      <c r="LMY3" s="97"/>
      <c r="LMZ3" s="97"/>
      <c r="LNA3" s="97"/>
      <c r="LNB3" s="97"/>
      <c r="LNC3" s="97"/>
      <c r="LND3" s="97"/>
      <c r="LNE3" s="97"/>
      <c r="LNF3" s="97"/>
      <c r="LNG3" s="97"/>
      <c r="LNH3" s="97"/>
      <c r="LNI3" s="97"/>
      <c r="LNJ3" s="97"/>
      <c r="LNK3" s="97"/>
      <c r="LNL3" s="97"/>
      <c r="LNM3" s="97"/>
      <c r="LNN3" s="97"/>
      <c r="LNO3" s="97"/>
      <c r="LNP3" s="97"/>
      <c r="LNQ3" s="97"/>
      <c r="LNR3" s="97"/>
      <c r="LNS3" s="97"/>
      <c r="LNT3" s="97"/>
      <c r="LNU3" s="97"/>
      <c r="LNV3" s="97"/>
      <c r="LNW3" s="97"/>
      <c r="LNX3" s="97"/>
      <c r="LNY3" s="97"/>
      <c r="LNZ3" s="97"/>
      <c r="LOA3" s="97"/>
      <c r="LOB3" s="97"/>
      <c r="LOC3" s="97"/>
      <c r="LOD3" s="97"/>
      <c r="LOE3" s="97"/>
      <c r="LOF3" s="97"/>
      <c r="LOG3" s="97"/>
      <c r="LOH3" s="97"/>
      <c r="LOI3" s="97"/>
      <c r="LOJ3" s="97"/>
      <c r="LOK3" s="97"/>
      <c r="LOL3" s="97"/>
      <c r="LOM3" s="97"/>
      <c r="LON3" s="97"/>
      <c r="LOO3" s="97"/>
      <c r="LOP3" s="97"/>
      <c r="LOQ3" s="97"/>
      <c r="LOR3" s="97"/>
      <c r="LOS3" s="97"/>
      <c r="LOT3" s="97"/>
      <c r="LOU3" s="97"/>
      <c r="LOV3" s="97"/>
      <c r="LOW3" s="97"/>
      <c r="LOX3" s="97"/>
      <c r="LOY3" s="97"/>
      <c r="LOZ3" s="97"/>
      <c r="LPA3" s="97"/>
      <c r="LPB3" s="97"/>
      <c r="LPC3" s="97"/>
      <c r="LPD3" s="97"/>
      <c r="LPE3" s="97"/>
      <c r="LPF3" s="97"/>
      <c r="LPG3" s="97"/>
      <c r="LPH3" s="97"/>
      <c r="LPI3" s="97"/>
      <c r="LPJ3" s="97"/>
      <c r="LPK3" s="97"/>
      <c r="LPL3" s="97"/>
      <c r="LPM3" s="97"/>
      <c r="LPN3" s="97"/>
      <c r="LPO3" s="97"/>
      <c r="LPP3" s="97"/>
      <c r="LPQ3" s="97"/>
      <c r="LPR3" s="97"/>
      <c r="LPS3" s="97"/>
      <c r="LPT3" s="97"/>
      <c r="LPU3" s="97"/>
      <c r="LPV3" s="97"/>
      <c r="LPW3" s="97"/>
      <c r="LPX3" s="97"/>
      <c r="LPY3" s="97"/>
      <c r="LPZ3" s="97"/>
      <c r="LQA3" s="97"/>
      <c r="LQB3" s="97"/>
      <c r="LQC3" s="97"/>
      <c r="LQD3" s="97"/>
      <c r="LQE3" s="97"/>
      <c r="LQF3" s="97"/>
      <c r="LQG3" s="97"/>
      <c r="LQH3" s="97"/>
      <c r="LQI3" s="97"/>
      <c r="LQJ3" s="97"/>
      <c r="LQK3" s="97"/>
      <c r="LQL3" s="97"/>
      <c r="LQM3" s="97"/>
      <c r="LQN3" s="97"/>
      <c r="LQO3" s="97"/>
      <c r="LQP3" s="97"/>
      <c r="LQQ3" s="97"/>
      <c r="LQR3" s="97"/>
      <c r="LQS3" s="97"/>
      <c r="LQT3" s="97"/>
      <c r="LQU3" s="97"/>
      <c r="LQV3" s="97"/>
      <c r="LQW3" s="97"/>
      <c r="LQX3" s="97"/>
      <c r="LQY3" s="97"/>
      <c r="LQZ3" s="97"/>
      <c r="LRA3" s="97"/>
      <c r="LRB3" s="97"/>
      <c r="LRC3" s="97"/>
      <c r="LRD3" s="97"/>
      <c r="LRE3" s="97"/>
      <c r="LRF3" s="97"/>
      <c r="LRG3" s="97"/>
      <c r="LRH3" s="97"/>
      <c r="LRI3" s="97"/>
      <c r="LRJ3" s="97"/>
      <c r="LRK3" s="97"/>
      <c r="LRL3" s="97"/>
      <c r="LRM3" s="97"/>
      <c r="LRN3" s="97"/>
      <c r="LRO3" s="97"/>
      <c r="LRP3" s="97"/>
      <c r="LRQ3" s="97"/>
      <c r="LRR3" s="97"/>
      <c r="LRS3" s="97"/>
      <c r="LRT3" s="97"/>
      <c r="LRU3" s="97"/>
      <c r="LRV3" s="97"/>
      <c r="LRW3" s="97"/>
      <c r="LRX3" s="97"/>
      <c r="LRY3" s="97"/>
      <c r="LRZ3" s="97"/>
      <c r="LSA3" s="97"/>
      <c r="LSB3" s="97"/>
      <c r="LSC3" s="97"/>
      <c r="LSD3" s="97"/>
      <c r="LSE3" s="97"/>
      <c r="LSF3" s="97"/>
      <c r="LSG3" s="97"/>
      <c r="LSH3" s="97"/>
      <c r="LSI3" s="97"/>
      <c r="LSJ3" s="97"/>
      <c r="LSK3" s="97"/>
      <c r="LSL3" s="97"/>
      <c r="LSM3" s="97"/>
      <c r="LSN3" s="97"/>
      <c r="LSO3" s="97"/>
      <c r="LSP3" s="97"/>
      <c r="LSQ3" s="97"/>
      <c r="LSR3" s="97"/>
      <c r="LSS3" s="97"/>
      <c r="LST3" s="97"/>
      <c r="LSU3" s="97"/>
      <c r="LSV3" s="97"/>
      <c r="LSW3" s="97"/>
      <c r="LSX3" s="97"/>
      <c r="LSY3" s="97"/>
      <c r="LSZ3" s="97"/>
      <c r="LTA3" s="97"/>
      <c r="LTB3" s="97"/>
      <c r="LTC3" s="97"/>
      <c r="LTD3" s="97"/>
      <c r="LTE3" s="97"/>
      <c r="LTF3" s="97"/>
      <c r="LTG3" s="97"/>
      <c r="LTH3" s="97"/>
      <c r="LTI3" s="97"/>
      <c r="LTJ3" s="97"/>
      <c r="LTK3" s="97"/>
      <c r="LTL3" s="97"/>
      <c r="LTM3" s="97"/>
      <c r="LTN3" s="97"/>
      <c r="LTO3" s="97"/>
      <c r="LTP3" s="97"/>
      <c r="LTQ3" s="97"/>
      <c r="LTR3" s="97"/>
      <c r="LTS3" s="97"/>
      <c r="LTT3" s="97"/>
      <c r="LTU3" s="97"/>
      <c r="LTV3" s="97"/>
      <c r="LTW3" s="97"/>
      <c r="LTX3" s="97"/>
      <c r="LTY3" s="97"/>
      <c r="LTZ3" s="97"/>
      <c r="LUA3" s="97"/>
      <c r="LUB3" s="97"/>
      <c r="LUC3" s="97"/>
      <c r="LUD3" s="97"/>
      <c r="LUE3" s="97"/>
      <c r="LUF3" s="97"/>
      <c r="LUG3" s="97"/>
      <c r="LUH3" s="97"/>
      <c r="LUI3" s="97"/>
      <c r="LUJ3" s="97"/>
      <c r="LUK3" s="97"/>
      <c r="LUL3" s="97"/>
      <c r="LUM3" s="97"/>
      <c r="LUN3" s="97"/>
      <c r="LUO3" s="97"/>
      <c r="LUP3" s="97"/>
      <c r="LUQ3" s="97"/>
      <c r="LUR3" s="97"/>
      <c r="LUS3" s="97"/>
      <c r="LUT3" s="97"/>
      <c r="LUU3" s="97"/>
      <c r="LUV3" s="97"/>
      <c r="LUW3" s="97"/>
      <c r="LUX3" s="97"/>
      <c r="LUY3" s="97"/>
      <c r="LUZ3" s="97"/>
      <c r="LVA3" s="97"/>
      <c r="LVB3" s="97"/>
      <c r="LVC3" s="97"/>
      <c r="LVD3" s="97"/>
      <c r="LVE3" s="97"/>
      <c r="LVF3" s="97"/>
      <c r="LVG3" s="97"/>
      <c r="LVH3" s="97"/>
      <c r="LVI3" s="97"/>
      <c r="LVJ3" s="97"/>
      <c r="LVK3" s="97"/>
      <c r="LVL3" s="97"/>
      <c r="LVM3" s="97"/>
      <c r="LVN3" s="97"/>
      <c r="LVO3" s="97"/>
      <c r="LVP3" s="97"/>
      <c r="LVQ3" s="97"/>
      <c r="LVR3" s="97"/>
      <c r="LVS3" s="97"/>
      <c r="LVT3" s="97"/>
      <c r="LVU3" s="97"/>
      <c r="LVV3" s="97"/>
      <c r="LVW3" s="97"/>
      <c r="LVX3" s="97"/>
      <c r="LVY3" s="97"/>
      <c r="LVZ3" s="97"/>
      <c r="LWA3" s="97"/>
      <c r="LWB3" s="97"/>
      <c r="LWC3" s="97"/>
      <c r="LWD3" s="97"/>
      <c r="LWE3" s="97"/>
      <c r="LWF3" s="97"/>
      <c r="LWG3" s="97"/>
      <c r="LWH3" s="97"/>
      <c r="LWI3" s="97"/>
      <c r="LWJ3" s="97"/>
      <c r="LWK3" s="97"/>
      <c r="LWL3" s="97"/>
      <c r="LWM3" s="97"/>
      <c r="LWN3" s="97"/>
      <c r="LWO3" s="97"/>
      <c r="LWP3" s="97"/>
      <c r="LWQ3" s="97"/>
      <c r="LWR3" s="97"/>
      <c r="LWS3" s="97"/>
      <c r="LWT3" s="97"/>
      <c r="LWU3" s="97"/>
      <c r="LWV3" s="97"/>
      <c r="LWW3" s="97"/>
      <c r="LWX3" s="97"/>
      <c r="LWY3" s="97"/>
      <c r="LWZ3" s="97"/>
      <c r="LXA3" s="97"/>
      <c r="LXB3" s="97"/>
      <c r="LXC3" s="97"/>
      <c r="LXD3" s="97"/>
      <c r="LXE3" s="97"/>
      <c r="LXF3" s="97"/>
      <c r="LXG3" s="97"/>
      <c r="LXH3" s="97"/>
      <c r="LXI3" s="97"/>
      <c r="LXJ3" s="97"/>
      <c r="LXK3" s="97"/>
      <c r="LXL3" s="97"/>
      <c r="LXM3" s="97"/>
      <c r="LXN3" s="97"/>
      <c r="LXO3" s="97"/>
      <c r="LXP3" s="97"/>
      <c r="LXQ3" s="97"/>
      <c r="LXR3" s="97"/>
      <c r="LXS3" s="97"/>
      <c r="LXT3" s="97"/>
      <c r="LXU3" s="97"/>
      <c r="LXV3" s="97"/>
      <c r="LXW3" s="97"/>
      <c r="LXX3" s="97"/>
      <c r="LXY3" s="97"/>
      <c r="LXZ3" s="97"/>
      <c r="LYA3" s="97"/>
      <c r="LYB3" s="97"/>
      <c r="LYC3" s="97"/>
      <c r="LYD3" s="97"/>
      <c r="LYE3" s="97"/>
      <c r="LYF3" s="97"/>
      <c r="LYG3" s="97"/>
      <c r="LYH3" s="97"/>
      <c r="LYI3" s="97"/>
      <c r="LYJ3" s="97"/>
      <c r="LYK3" s="97"/>
      <c r="LYL3" s="97"/>
      <c r="LYM3" s="97"/>
      <c r="LYN3" s="97"/>
      <c r="LYO3" s="97"/>
      <c r="LYP3" s="97"/>
      <c r="LYQ3" s="97"/>
      <c r="LYR3" s="97"/>
      <c r="LYS3" s="97"/>
      <c r="LYT3" s="97"/>
      <c r="LYU3" s="97"/>
      <c r="LYV3" s="97"/>
      <c r="LYW3" s="97"/>
      <c r="LYX3" s="97"/>
      <c r="LYY3" s="97"/>
      <c r="LYZ3" s="97"/>
      <c r="LZA3" s="97"/>
      <c r="LZB3" s="97"/>
      <c r="LZC3" s="97"/>
      <c r="LZD3" s="97"/>
      <c r="LZE3" s="97"/>
      <c r="LZF3" s="97"/>
      <c r="LZG3" s="97"/>
      <c r="LZH3" s="97"/>
      <c r="LZI3" s="97"/>
      <c r="LZJ3" s="97"/>
      <c r="LZK3" s="97"/>
      <c r="LZL3" s="97"/>
      <c r="LZM3" s="97"/>
      <c r="LZN3" s="97"/>
      <c r="LZO3" s="97"/>
      <c r="LZP3" s="97"/>
      <c r="LZQ3" s="97"/>
      <c r="LZR3" s="97"/>
      <c r="LZS3" s="97"/>
      <c r="LZT3" s="97"/>
      <c r="LZU3" s="97"/>
      <c r="LZV3" s="97"/>
      <c r="LZW3" s="97"/>
      <c r="LZX3" s="97"/>
      <c r="LZY3" s="97"/>
      <c r="LZZ3" s="97"/>
      <c r="MAA3" s="97"/>
      <c r="MAB3" s="97"/>
      <c r="MAC3" s="97"/>
      <c r="MAD3" s="97"/>
      <c r="MAE3" s="97"/>
      <c r="MAF3" s="97"/>
      <c r="MAG3" s="97"/>
      <c r="MAH3" s="97"/>
      <c r="MAI3" s="97"/>
      <c r="MAJ3" s="97"/>
      <c r="MAK3" s="97"/>
      <c r="MAL3" s="97"/>
      <c r="MAM3" s="97"/>
      <c r="MAN3" s="97"/>
      <c r="MAO3" s="97"/>
      <c r="MAP3" s="97"/>
      <c r="MAQ3" s="97"/>
      <c r="MAR3" s="97"/>
      <c r="MAS3" s="97"/>
      <c r="MAT3" s="97"/>
      <c r="MAU3" s="97"/>
      <c r="MAV3" s="97"/>
      <c r="MAW3" s="97"/>
      <c r="MAX3" s="97"/>
      <c r="MAY3" s="97"/>
      <c r="MAZ3" s="97"/>
      <c r="MBA3" s="97"/>
      <c r="MBB3" s="97"/>
      <c r="MBC3" s="97"/>
      <c r="MBD3" s="97"/>
      <c r="MBE3" s="97"/>
      <c r="MBF3" s="97"/>
      <c r="MBG3" s="97"/>
      <c r="MBH3" s="97"/>
      <c r="MBI3" s="97"/>
      <c r="MBJ3" s="97"/>
      <c r="MBK3" s="97"/>
      <c r="MBL3" s="97"/>
      <c r="MBM3" s="97"/>
      <c r="MBN3" s="97"/>
      <c r="MBO3" s="97"/>
      <c r="MBP3" s="97"/>
      <c r="MBQ3" s="97"/>
      <c r="MBR3" s="97"/>
      <c r="MBS3" s="97"/>
      <c r="MBT3" s="97"/>
      <c r="MBU3" s="97"/>
      <c r="MBV3" s="97"/>
      <c r="MBW3" s="97"/>
      <c r="MBX3" s="97"/>
      <c r="MBY3" s="97"/>
      <c r="MBZ3" s="97"/>
      <c r="MCA3" s="97"/>
      <c r="MCB3" s="97"/>
      <c r="MCC3" s="97"/>
      <c r="MCD3" s="97"/>
      <c r="MCE3" s="97"/>
      <c r="MCF3" s="97"/>
      <c r="MCG3" s="97"/>
      <c r="MCH3" s="97"/>
      <c r="MCI3" s="97"/>
      <c r="MCJ3" s="97"/>
      <c r="MCK3" s="97"/>
      <c r="MCL3" s="97"/>
      <c r="MCM3" s="97"/>
      <c r="MCN3" s="97"/>
      <c r="MCO3" s="97"/>
      <c r="MCP3" s="97"/>
      <c r="MCQ3" s="97"/>
      <c r="MCR3" s="97"/>
      <c r="MCS3" s="97"/>
      <c r="MCT3" s="97"/>
      <c r="MCU3" s="97"/>
      <c r="MCV3" s="97"/>
      <c r="MCW3" s="97"/>
      <c r="MCX3" s="97"/>
      <c r="MCY3" s="97"/>
      <c r="MCZ3" s="97"/>
      <c r="MDA3" s="97"/>
      <c r="MDB3" s="97"/>
      <c r="MDC3" s="97"/>
      <c r="MDD3" s="97"/>
      <c r="MDE3" s="97"/>
      <c r="MDF3" s="97"/>
      <c r="MDG3" s="97"/>
      <c r="MDH3" s="97"/>
      <c r="MDI3" s="97"/>
      <c r="MDJ3" s="97"/>
      <c r="MDK3" s="97"/>
      <c r="MDL3" s="97"/>
      <c r="MDM3" s="97"/>
      <c r="MDN3" s="97"/>
      <c r="MDO3" s="97"/>
      <c r="MDP3" s="97"/>
      <c r="MDQ3" s="97"/>
      <c r="MDR3" s="97"/>
      <c r="MDS3" s="97"/>
      <c r="MDT3" s="97"/>
      <c r="MDU3" s="97"/>
      <c r="MDV3" s="97"/>
      <c r="MDW3" s="97"/>
      <c r="MDX3" s="97"/>
      <c r="MDY3" s="97"/>
      <c r="MDZ3" s="97"/>
      <c r="MEA3" s="97"/>
      <c r="MEB3" s="97"/>
      <c r="MEC3" s="97"/>
      <c r="MED3" s="97"/>
      <c r="MEE3" s="97"/>
      <c r="MEF3" s="97"/>
      <c r="MEG3" s="97"/>
      <c r="MEH3" s="97"/>
      <c r="MEI3" s="97"/>
      <c r="MEJ3" s="97"/>
      <c r="MEK3" s="97"/>
      <c r="MEL3" s="97"/>
      <c r="MEM3" s="97"/>
      <c r="MEN3" s="97"/>
      <c r="MEO3" s="97"/>
      <c r="MEP3" s="97"/>
      <c r="MEQ3" s="97"/>
      <c r="MER3" s="97"/>
      <c r="MES3" s="97"/>
      <c r="MET3" s="97"/>
      <c r="MEU3" s="97"/>
      <c r="MEV3" s="97"/>
      <c r="MEW3" s="97"/>
      <c r="MEX3" s="97"/>
      <c r="MEY3" s="97"/>
      <c r="MEZ3" s="97"/>
      <c r="MFA3" s="97"/>
      <c r="MFB3" s="97"/>
      <c r="MFC3" s="97"/>
      <c r="MFD3" s="97"/>
      <c r="MFE3" s="97"/>
      <c r="MFF3" s="97"/>
      <c r="MFG3" s="97"/>
      <c r="MFH3" s="97"/>
      <c r="MFI3" s="97"/>
      <c r="MFJ3" s="97"/>
      <c r="MFK3" s="97"/>
      <c r="MFL3" s="97"/>
      <c r="MFM3" s="97"/>
      <c r="MFN3" s="97"/>
      <c r="MFO3" s="97"/>
      <c r="MFP3" s="97"/>
      <c r="MFQ3" s="97"/>
      <c r="MFR3" s="97"/>
      <c r="MFS3" s="97"/>
      <c r="MFT3" s="97"/>
      <c r="MFU3" s="97"/>
      <c r="MFV3" s="97"/>
      <c r="MFW3" s="97"/>
      <c r="MFX3" s="97"/>
      <c r="MFY3" s="97"/>
      <c r="MFZ3" s="97"/>
      <c r="MGA3" s="97"/>
      <c r="MGB3" s="97"/>
      <c r="MGC3" s="97"/>
      <c r="MGD3" s="97"/>
      <c r="MGE3" s="97"/>
      <c r="MGF3" s="97"/>
      <c r="MGG3" s="97"/>
      <c r="MGH3" s="97"/>
      <c r="MGI3" s="97"/>
      <c r="MGJ3" s="97"/>
      <c r="MGK3" s="97"/>
      <c r="MGL3" s="97"/>
      <c r="MGM3" s="97"/>
      <c r="MGN3" s="97"/>
      <c r="MGO3" s="97"/>
      <c r="MGP3" s="97"/>
      <c r="MGQ3" s="97"/>
      <c r="MGR3" s="97"/>
      <c r="MGS3" s="97"/>
      <c r="MGT3" s="97"/>
      <c r="MGU3" s="97"/>
      <c r="MGV3" s="97"/>
      <c r="MGW3" s="97"/>
      <c r="MGX3" s="97"/>
      <c r="MGY3" s="97"/>
      <c r="MGZ3" s="97"/>
      <c r="MHA3" s="97"/>
      <c r="MHB3" s="97"/>
      <c r="MHC3" s="97"/>
      <c r="MHD3" s="97"/>
      <c r="MHE3" s="97"/>
      <c r="MHF3" s="97"/>
      <c r="MHG3" s="97"/>
      <c r="MHH3" s="97"/>
      <c r="MHI3" s="97"/>
      <c r="MHJ3" s="97"/>
      <c r="MHK3" s="97"/>
      <c r="MHL3" s="97"/>
      <c r="MHM3" s="97"/>
      <c r="MHN3" s="97"/>
      <c r="MHO3" s="97"/>
      <c r="MHP3" s="97"/>
      <c r="MHQ3" s="97"/>
      <c r="MHR3" s="97"/>
      <c r="MHS3" s="97"/>
      <c r="MHT3" s="97"/>
      <c r="MHU3" s="97"/>
      <c r="MHV3" s="97"/>
      <c r="MHW3" s="97"/>
      <c r="MHX3" s="97"/>
      <c r="MHY3" s="97"/>
      <c r="MHZ3" s="97"/>
      <c r="MIA3" s="97"/>
      <c r="MIB3" s="97"/>
      <c r="MIC3" s="97"/>
      <c r="MID3" s="97"/>
      <c r="MIE3" s="97"/>
      <c r="MIF3" s="97"/>
      <c r="MIG3" s="97"/>
      <c r="MIH3" s="97"/>
      <c r="MII3" s="97"/>
      <c r="MIJ3" s="97"/>
      <c r="MIK3" s="97"/>
      <c r="MIL3" s="97"/>
      <c r="MIM3" s="97"/>
      <c r="MIN3" s="97"/>
      <c r="MIO3" s="97"/>
      <c r="MIP3" s="97"/>
      <c r="MIQ3" s="97"/>
      <c r="MIR3" s="97"/>
      <c r="MIS3" s="97"/>
      <c r="MIT3" s="97"/>
      <c r="MIU3" s="97"/>
      <c r="MIV3" s="97"/>
      <c r="MIW3" s="97"/>
      <c r="MIX3" s="97"/>
      <c r="MIY3" s="97"/>
      <c r="MIZ3" s="97"/>
      <c r="MJA3" s="97"/>
      <c r="MJB3" s="97"/>
      <c r="MJC3" s="97"/>
      <c r="MJD3" s="97"/>
      <c r="MJE3" s="97"/>
      <c r="MJF3" s="97"/>
      <c r="MJG3" s="97"/>
      <c r="MJH3" s="97"/>
      <c r="MJI3" s="97"/>
      <c r="MJJ3" s="97"/>
      <c r="MJK3" s="97"/>
      <c r="MJL3" s="97"/>
      <c r="MJM3" s="97"/>
      <c r="MJN3" s="97"/>
      <c r="MJO3" s="97"/>
      <c r="MJP3" s="97"/>
      <c r="MJQ3" s="97"/>
      <c r="MJR3" s="97"/>
      <c r="MJS3" s="97"/>
      <c r="MJT3" s="97"/>
      <c r="MJU3" s="97"/>
      <c r="MJV3" s="97"/>
      <c r="MJW3" s="97"/>
      <c r="MJX3" s="97"/>
      <c r="MJY3" s="97"/>
      <c r="MJZ3" s="97"/>
      <c r="MKA3" s="97"/>
      <c r="MKB3" s="97"/>
      <c r="MKC3" s="97"/>
      <c r="MKD3" s="97"/>
      <c r="MKE3" s="97"/>
      <c r="MKF3" s="97"/>
      <c r="MKG3" s="97"/>
      <c r="MKH3" s="97"/>
      <c r="MKI3" s="97"/>
      <c r="MKJ3" s="97"/>
      <c r="MKK3" s="97"/>
      <c r="MKL3" s="97"/>
      <c r="MKM3" s="97"/>
      <c r="MKN3" s="97"/>
      <c r="MKO3" s="97"/>
      <c r="MKP3" s="97"/>
      <c r="MKQ3" s="97"/>
      <c r="MKR3" s="97"/>
      <c r="MKS3" s="97"/>
      <c r="MKT3" s="97"/>
      <c r="MKU3" s="97"/>
      <c r="MKV3" s="97"/>
      <c r="MKW3" s="97"/>
      <c r="MKX3" s="97"/>
      <c r="MKY3" s="97"/>
      <c r="MKZ3" s="97"/>
      <c r="MLA3" s="97"/>
      <c r="MLB3" s="97"/>
      <c r="MLC3" s="97"/>
      <c r="MLD3" s="97"/>
      <c r="MLE3" s="97"/>
      <c r="MLF3" s="97"/>
      <c r="MLG3" s="97"/>
      <c r="MLH3" s="97"/>
      <c r="MLI3" s="97"/>
      <c r="MLJ3" s="97"/>
      <c r="MLK3" s="97"/>
      <c r="MLL3" s="97"/>
      <c r="MLM3" s="97"/>
      <c r="MLN3" s="97"/>
      <c r="MLO3" s="97"/>
      <c r="MLP3" s="97"/>
      <c r="MLQ3" s="97"/>
      <c r="MLR3" s="97"/>
      <c r="MLS3" s="97"/>
      <c r="MLT3" s="97"/>
      <c r="MLU3" s="97"/>
      <c r="MLV3" s="97"/>
      <c r="MLW3" s="97"/>
      <c r="MLX3" s="97"/>
      <c r="MLY3" s="97"/>
      <c r="MLZ3" s="97"/>
      <c r="MMA3" s="97"/>
      <c r="MMB3" s="97"/>
      <c r="MMC3" s="97"/>
      <c r="MMD3" s="97"/>
      <c r="MME3" s="97"/>
      <c r="MMF3" s="97"/>
      <c r="MMG3" s="97"/>
      <c r="MMH3" s="97"/>
      <c r="MMI3" s="97"/>
      <c r="MMJ3" s="97"/>
      <c r="MMK3" s="97"/>
      <c r="MML3" s="97"/>
      <c r="MMM3" s="97"/>
      <c r="MMN3" s="97"/>
      <c r="MMO3" s="97"/>
      <c r="MMP3" s="97"/>
      <c r="MMQ3" s="97"/>
      <c r="MMR3" s="97"/>
      <c r="MMS3" s="97"/>
      <c r="MMT3" s="97"/>
      <c r="MMU3" s="97"/>
      <c r="MMV3" s="97"/>
      <c r="MMW3" s="97"/>
      <c r="MMX3" s="97"/>
      <c r="MMY3" s="97"/>
      <c r="MMZ3" s="97"/>
      <c r="MNA3" s="97"/>
      <c r="MNB3" s="97"/>
      <c r="MNC3" s="97"/>
      <c r="MND3" s="97"/>
      <c r="MNE3" s="97"/>
      <c r="MNF3" s="97"/>
      <c r="MNG3" s="97"/>
      <c r="MNH3" s="97"/>
      <c r="MNI3" s="97"/>
      <c r="MNJ3" s="97"/>
      <c r="MNK3" s="97"/>
      <c r="MNL3" s="97"/>
      <c r="MNM3" s="97"/>
      <c r="MNN3" s="97"/>
      <c r="MNO3" s="97"/>
      <c r="MNP3" s="97"/>
      <c r="MNQ3" s="97"/>
      <c r="MNR3" s="97"/>
      <c r="MNS3" s="97"/>
      <c r="MNT3" s="97"/>
      <c r="MNU3" s="97"/>
      <c r="MNV3" s="97"/>
      <c r="MNW3" s="97"/>
      <c r="MNX3" s="97"/>
      <c r="MNY3" s="97"/>
      <c r="MNZ3" s="97"/>
      <c r="MOA3" s="97"/>
      <c r="MOB3" s="97"/>
      <c r="MOC3" s="97"/>
      <c r="MOD3" s="97"/>
      <c r="MOE3" s="97"/>
      <c r="MOF3" s="97"/>
      <c r="MOG3" s="97"/>
      <c r="MOH3" s="97"/>
      <c r="MOI3" s="97"/>
      <c r="MOJ3" s="97"/>
      <c r="MOK3" s="97"/>
      <c r="MOL3" s="97"/>
      <c r="MOM3" s="97"/>
      <c r="MON3" s="97"/>
      <c r="MOO3" s="97"/>
      <c r="MOP3" s="97"/>
      <c r="MOQ3" s="97"/>
      <c r="MOR3" s="97"/>
      <c r="MOS3" s="97"/>
      <c r="MOT3" s="97"/>
      <c r="MOU3" s="97"/>
      <c r="MOV3" s="97"/>
      <c r="MOW3" s="97"/>
      <c r="MOX3" s="97"/>
      <c r="MOY3" s="97"/>
      <c r="MOZ3" s="97"/>
      <c r="MPA3" s="97"/>
      <c r="MPB3" s="97"/>
      <c r="MPC3" s="97"/>
      <c r="MPD3" s="97"/>
      <c r="MPE3" s="97"/>
      <c r="MPF3" s="97"/>
      <c r="MPG3" s="97"/>
      <c r="MPH3" s="97"/>
      <c r="MPI3" s="97"/>
      <c r="MPJ3" s="97"/>
      <c r="MPK3" s="97"/>
      <c r="MPL3" s="97"/>
      <c r="MPM3" s="97"/>
      <c r="MPN3" s="97"/>
      <c r="MPO3" s="97"/>
      <c r="MPP3" s="97"/>
      <c r="MPQ3" s="97"/>
      <c r="MPR3" s="97"/>
      <c r="MPS3" s="97"/>
      <c r="MPT3" s="97"/>
      <c r="MPU3" s="97"/>
      <c r="MPV3" s="97"/>
      <c r="MPW3" s="97"/>
      <c r="MPX3" s="97"/>
      <c r="MPY3" s="97"/>
      <c r="MPZ3" s="97"/>
      <c r="MQA3" s="97"/>
      <c r="MQB3" s="97"/>
      <c r="MQC3" s="97"/>
      <c r="MQD3" s="97"/>
      <c r="MQE3" s="97"/>
      <c r="MQF3" s="97"/>
      <c r="MQG3" s="97"/>
      <c r="MQH3" s="97"/>
      <c r="MQI3" s="97"/>
      <c r="MQJ3" s="97"/>
      <c r="MQK3" s="97"/>
      <c r="MQL3" s="97"/>
      <c r="MQM3" s="97"/>
      <c r="MQN3" s="97"/>
      <c r="MQO3" s="97"/>
      <c r="MQP3" s="97"/>
      <c r="MQQ3" s="97"/>
      <c r="MQR3" s="97"/>
      <c r="MQS3" s="97"/>
      <c r="MQT3" s="97"/>
      <c r="MQU3" s="97"/>
      <c r="MQV3" s="97"/>
      <c r="MQW3" s="97"/>
      <c r="MQX3" s="97"/>
      <c r="MQY3" s="97"/>
      <c r="MQZ3" s="97"/>
      <c r="MRA3" s="97"/>
      <c r="MRB3" s="97"/>
      <c r="MRC3" s="97"/>
      <c r="MRD3" s="97"/>
      <c r="MRE3" s="97"/>
      <c r="MRF3" s="97"/>
      <c r="MRG3" s="97"/>
      <c r="MRH3" s="97"/>
      <c r="MRI3" s="97"/>
      <c r="MRJ3" s="97"/>
      <c r="MRK3" s="97"/>
      <c r="MRL3" s="97"/>
      <c r="MRM3" s="97"/>
      <c r="MRN3" s="97"/>
      <c r="MRO3" s="97"/>
      <c r="MRP3" s="97"/>
      <c r="MRQ3" s="97"/>
      <c r="MRR3" s="97"/>
      <c r="MRS3" s="97"/>
      <c r="MRT3" s="97"/>
      <c r="MRU3" s="97"/>
      <c r="MRV3" s="97"/>
      <c r="MRW3" s="97"/>
      <c r="MRX3" s="97"/>
      <c r="MRY3" s="97"/>
      <c r="MRZ3" s="97"/>
      <c r="MSA3" s="97"/>
      <c r="MSB3" s="97"/>
      <c r="MSC3" s="97"/>
      <c r="MSD3" s="97"/>
      <c r="MSE3" s="97"/>
      <c r="MSF3" s="97"/>
      <c r="MSG3" s="97"/>
      <c r="MSH3" s="97"/>
      <c r="MSI3" s="97"/>
      <c r="MSJ3" s="97"/>
      <c r="MSK3" s="97"/>
      <c r="MSL3" s="97"/>
      <c r="MSM3" s="97"/>
      <c r="MSN3" s="97"/>
      <c r="MSO3" s="97"/>
      <c r="MSP3" s="97"/>
      <c r="MSQ3" s="97"/>
      <c r="MSR3" s="97"/>
      <c r="MSS3" s="97"/>
      <c r="MST3" s="97"/>
      <c r="MSU3" s="97"/>
      <c r="MSV3" s="97"/>
      <c r="MSW3" s="97"/>
      <c r="MSX3" s="97"/>
      <c r="MSY3" s="97"/>
      <c r="MSZ3" s="97"/>
      <c r="MTA3" s="97"/>
      <c r="MTB3" s="97"/>
      <c r="MTC3" s="97"/>
      <c r="MTD3" s="97"/>
      <c r="MTE3" s="97"/>
      <c r="MTF3" s="97"/>
      <c r="MTG3" s="97"/>
      <c r="MTH3" s="97"/>
      <c r="MTI3" s="97"/>
      <c r="MTJ3" s="97"/>
      <c r="MTK3" s="97"/>
      <c r="MTL3" s="97"/>
      <c r="MTM3" s="97"/>
      <c r="MTN3" s="97"/>
      <c r="MTO3" s="97"/>
      <c r="MTP3" s="97"/>
      <c r="MTQ3" s="97"/>
      <c r="MTR3" s="97"/>
      <c r="MTS3" s="97"/>
      <c r="MTT3" s="97"/>
      <c r="MTU3" s="97"/>
      <c r="MTV3" s="97"/>
      <c r="MTW3" s="97"/>
      <c r="MTX3" s="97"/>
      <c r="MTY3" s="97"/>
      <c r="MTZ3" s="97"/>
      <c r="MUA3" s="97"/>
      <c r="MUB3" s="97"/>
      <c r="MUC3" s="97"/>
      <c r="MUD3" s="97"/>
      <c r="MUE3" s="97"/>
      <c r="MUF3" s="97"/>
      <c r="MUG3" s="97"/>
      <c r="MUH3" s="97"/>
      <c r="MUI3" s="97"/>
      <c r="MUJ3" s="97"/>
      <c r="MUK3" s="97"/>
      <c r="MUL3" s="97"/>
      <c r="MUM3" s="97"/>
      <c r="MUN3" s="97"/>
      <c r="MUO3" s="97"/>
      <c r="MUP3" s="97"/>
      <c r="MUQ3" s="97"/>
      <c r="MUR3" s="97"/>
      <c r="MUS3" s="97"/>
      <c r="MUT3" s="97"/>
      <c r="MUU3" s="97"/>
      <c r="MUV3" s="97"/>
      <c r="MUW3" s="97"/>
      <c r="MUX3" s="97"/>
      <c r="MUY3" s="97"/>
      <c r="MUZ3" s="97"/>
      <c r="MVA3" s="97"/>
      <c r="MVB3" s="97"/>
      <c r="MVC3" s="97"/>
      <c r="MVD3" s="97"/>
      <c r="MVE3" s="97"/>
      <c r="MVF3" s="97"/>
      <c r="MVG3" s="97"/>
      <c r="MVH3" s="97"/>
      <c r="MVI3" s="97"/>
      <c r="MVJ3" s="97"/>
      <c r="MVK3" s="97"/>
      <c r="MVL3" s="97"/>
      <c r="MVM3" s="97"/>
      <c r="MVN3" s="97"/>
      <c r="MVO3" s="97"/>
      <c r="MVP3" s="97"/>
      <c r="MVQ3" s="97"/>
      <c r="MVR3" s="97"/>
      <c r="MVS3" s="97"/>
      <c r="MVT3" s="97"/>
      <c r="MVU3" s="97"/>
      <c r="MVV3" s="97"/>
      <c r="MVW3" s="97"/>
      <c r="MVX3" s="97"/>
      <c r="MVY3" s="97"/>
      <c r="MVZ3" s="97"/>
      <c r="MWA3" s="97"/>
      <c r="MWB3" s="97"/>
      <c r="MWC3" s="97"/>
      <c r="MWD3" s="97"/>
      <c r="MWE3" s="97"/>
      <c r="MWF3" s="97"/>
      <c r="MWG3" s="97"/>
      <c r="MWH3" s="97"/>
      <c r="MWI3" s="97"/>
      <c r="MWJ3" s="97"/>
      <c r="MWK3" s="97"/>
      <c r="MWL3" s="97"/>
      <c r="MWM3" s="97"/>
      <c r="MWN3" s="97"/>
      <c r="MWO3" s="97"/>
      <c r="MWP3" s="97"/>
      <c r="MWQ3" s="97"/>
      <c r="MWR3" s="97"/>
      <c r="MWS3" s="97"/>
      <c r="MWT3" s="97"/>
      <c r="MWU3" s="97"/>
      <c r="MWV3" s="97"/>
      <c r="MWW3" s="97"/>
      <c r="MWX3" s="97"/>
      <c r="MWY3" s="97"/>
      <c r="MWZ3" s="97"/>
      <c r="MXA3" s="97"/>
      <c r="MXB3" s="97"/>
      <c r="MXC3" s="97"/>
      <c r="MXD3" s="97"/>
      <c r="MXE3" s="97"/>
      <c r="MXF3" s="97"/>
      <c r="MXG3" s="97"/>
      <c r="MXH3" s="97"/>
      <c r="MXI3" s="97"/>
      <c r="MXJ3" s="97"/>
      <c r="MXK3" s="97"/>
      <c r="MXL3" s="97"/>
      <c r="MXM3" s="97"/>
      <c r="MXN3" s="97"/>
      <c r="MXO3" s="97"/>
      <c r="MXP3" s="97"/>
      <c r="MXQ3" s="97"/>
      <c r="MXR3" s="97"/>
      <c r="MXS3" s="97"/>
      <c r="MXT3" s="97"/>
      <c r="MXU3" s="97"/>
      <c r="MXV3" s="97"/>
      <c r="MXW3" s="97"/>
      <c r="MXX3" s="97"/>
      <c r="MXY3" s="97"/>
      <c r="MXZ3" s="97"/>
      <c r="MYA3" s="97"/>
      <c r="MYB3" s="97"/>
      <c r="MYC3" s="97"/>
      <c r="MYD3" s="97"/>
      <c r="MYE3" s="97"/>
      <c r="MYF3" s="97"/>
      <c r="MYG3" s="97"/>
      <c r="MYH3" s="97"/>
      <c r="MYI3" s="97"/>
      <c r="MYJ3" s="97"/>
      <c r="MYK3" s="97"/>
      <c r="MYL3" s="97"/>
      <c r="MYM3" s="97"/>
      <c r="MYN3" s="97"/>
      <c r="MYO3" s="97"/>
      <c r="MYP3" s="97"/>
      <c r="MYQ3" s="97"/>
      <c r="MYR3" s="97"/>
      <c r="MYS3" s="97"/>
      <c r="MYT3" s="97"/>
      <c r="MYU3" s="97"/>
      <c r="MYV3" s="97"/>
      <c r="MYW3" s="97"/>
      <c r="MYX3" s="97"/>
      <c r="MYY3" s="97"/>
      <c r="MYZ3" s="97"/>
      <c r="MZA3" s="97"/>
      <c r="MZB3" s="97"/>
      <c r="MZC3" s="97"/>
      <c r="MZD3" s="97"/>
      <c r="MZE3" s="97"/>
      <c r="MZF3" s="97"/>
      <c r="MZG3" s="97"/>
      <c r="MZH3" s="97"/>
      <c r="MZI3" s="97"/>
      <c r="MZJ3" s="97"/>
      <c r="MZK3" s="97"/>
      <c r="MZL3" s="97"/>
      <c r="MZM3" s="97"/>
      <c r="MZN3" s="97"/>
      <c r="MZO3" s="97"/>
      <c r="MZP3" s="97"/>
      <c r="MZQ3" s="97"/>
      <c r="MZR3" s="97"/>
      <c r="MZS3" s="97"/>
      <c r="MZT3" s="97"/>
      <c r="MZU3" s="97"/>
      <c r="MZV3" s="97"/>
      <c r="MZW3" s="97"/>
      <c r="MZX3" s="97"/>
      <c r="MZY3" s="97"/>
      <c r="MZZ3" s="97"/>
      <c r="NAA3" s="97"/>
      <c r="NAB3" s="97"/>
      <c r="NAC3" s="97"/>
      <c r="NAD3" s="97"/>
      <c r="NAE3" s="97"/>
      <c r="NAF3" s="97"/>
      <c r="NAG3" s="97"/>
      <c r="NAH3" s="97"/>
      <c r="NAI3" s="97"/>
      <c r="NAJ3" s="97"/>
      <c r="NAK3" s="97"/>
      <c r="NAL3" s="97"/>
      <c r="NAM3" s="97"/>
      <c r="NAN3" s="97"/>
      <c r="NAO3" s="97"/>
      <c r="NAP3" s="97"/>
      <c r="NAQ3" s="97"/>
      <c r="NAR3" s="97"/>
      <c r="NAS3" s="97"/>
      <c r="NAT3" s="97"/>
      <c r="NAU3" s="97"/>
      <c r="NAV3" s="97"/>
      <c r="NAW3" s="97"/>
      <c r="NAX3" s="97"/>
      <c r="NAY3" s="97"/>
      <c r="NAZ3" s="97"/>
      <c r="NBA3" s="97"/>
      <c r="NBB3" s="97"/>
      <c r="NBC3" s="97"/>
      <c r="NBD3" s="97"/>
      <c r="NBE3" s="97"/>
      <c r="NBF3" s="97"/>
      <c r="NBG3" s="97"/>
      <c r="NBH3" s="97"/>
      <c r="NBI3" s="97"/>
      <c r="NBJ3" s="97"/>
      <c r="NBK3" s="97"/>
      <c r="NBL3" s="97"/>
      <c r="NBM3" s="97"/>
      <c r="NBN3" s="97"/>
      <c r="NBO3" s="97"/>
      <c r="NBP3" s="97"/>
      <c r="NBQ3" s="97"/>
      <c r="NBR3" s="97"/>
      <c r="NBS3" s="97"/>
      <c r="NBT3" s="97"/>
      <c r="NBU3" s="97"/>
      <c r="NBV3" s="97"/>
      <c r="NBW3" s="97"/>
      <c r="NBX3" s="97"/>
      <c r="NBY3" s="97"/>
      <c r="NBZ3" s="97"/>
      <c r="NCA3" s="97"/>
      <c r="NCB3" s="97"/>
      <c r="NCC3" s="97"/>
      <c r="NCD3" s="97"/>
      <c r="NCE3" s="97"/>
      <c r="NCF3" s="97"/>
      <c r="NCG3" s="97"/>
      <c r="NCH3" s="97"/>
      <c r="NCI3" s="97"/>
      <c r="NCJ3" s="97"/>
      <c r="NCK3" s="97"/>
      <c r="NCL3" s="97"/>
      <c r="NCM3" s="97"/>
      <c r="NCN3" s="97"/>
      <c r="NCO3" s="97"/>
      <c r="NCP3" s="97"/>
      <c r="NCQ3" s="97"/>
      <c r="NCR3" s="97"/>
      <c r="NCS3" s="97"/>
      <c r="NCT3" s="97"/>
      <c r="NCU3" s="97"/>
      <c r="NCV3" s="97"/>
      <c r="NCW3" s="97"/>
      <c r="NCX3" s="97"/>
      <c r="NCY3" s="97"/>
      <c r="NCZ3" s="97"/>
      <c r="NDA3" s="97"/>
      <c r="NDB3" s="97"/>
      <c r="NDC3" s="97"/>
      <c r="NDD3" s="97"/>
      <c r="NDE3" s="97"/>
      <c r="NDF3" s="97"/>
      <c r="NDG3" s="97"/>
      <c r="NDH3" s="97"/>
      <c r="NDI3" s="97"/>
      <c r="NDJ3" s="97"/>
      <c r="NDK3" s="97"/>
      <c r="NDL3" s="97"/>
      <c r="NDM3" s="97"/>
      <c r="NDN3" s="97"/>
      <c r="NDO3" s="97"/>
      <c r="NDP3" s="97"/>
      <c r="NDQ3" s="97"/>
      <c r="NDR3" s="97"/>
      <c r="NDS3" s="97"/>
      <c r="NDT3" s="97"/>
      <c r="NDU3" s="97"/>
      <c r="NDV3" s="97"/>
      <c r="NDW3" s="97"/>
      <c r="NDX3" s="97"/>
      <c r="NDY3" s="97"/>
      <c r="NDZ3" s="97"/>
      <c r="NEA3" s="97"/>
      <c r="NEB3" s="97"/>
      <c r="NEC3" s="97"/>
      <c r="NED3" s="97"/>
      <c r="NEE3" s="97"/>
      <c r="NEF3" s="97"/>
      <c r="NEG3" s="97"/>
      <c r="NEH3" s="97"/>
      <c r="NEI3" s="97"/>
      <c r="NEJ3" s="97"/>
      <c r="NEK3" s="97"/>
      <c r="NEL3" s="97"/>
      <c r="NEM3" s="97"/>
      <c r="NEN3" s="97"/>
      <c r="NEO3" s="97"/>
      <c r="NEP3" s="97"/>
      <c r="NEQ3" s="97"/>
      <c r="NER3" s="97"/>
      <c r="NES3" s="97"/>
      <c r="NET3" s="97"/>
      <c r="NEU3" s="97"/>
      <c r="NEV3" s="97"/>
      <c r="NEW3" s="97"/>
      <c r="NEX3" s="97"/>
      <c r="NEY3" s="97"/>
      <c r="NEZ3" s="97"/>
      <c r="NFA3" s="97"/>
      <c r="NFB3" s="97"/>
      <c r="NFC3" s="97"/>
      <c r="NFD3" s="97"/>
      <c r="NFE3" s="97"/>
      <c r="NFF3" s="97"/>
      <c r="NFG3" s="97"/>
      <c r="NFH3" s="97"/>
      <c r="NFI3" s="97"/>
      <c r="NFJ3" s="97"/>
      <c r="NFK3" s="97"/>
      <c r="NFL3" s="97"/>
      <c r="NFM3" s="97"/>
      <c r="NFN3" s="97"/>
      <c r="NFO3" s="97"/>
      <c r="NFP3" s="97"/>
      <c r="NFQ3" s="97"/>
      <c r="NFR3" s="97"/>
      <c r="NFS3" s="97"/>
      <c r="NFT3" s="97"/>
      <c r="NFU3" s="97"/>
      <c r="NFV3" s="97"/>
      <c r="NFW3" s="97"/>
      <c r="NFX3" s="97"/>
      <c r="NFY3" s="97"/>
      <c r="NFZ3" s="97"/>
      <c r="NGA3" s="97"/>
      <c r="NGB3" s="97"/>
      <c r="NGC3" s="97"/>
      <c r="NGD3" s="97"/>
      <c r="NGE3" s="97"/>
      <c r="NGF3" s="97"/>
      <c r="NGG3" s="97"/>
      <c r="NGH3" s="97"/>
      <c r="NGI3" s="97"/>
      <c r="NGJ3" s="97"/>
      <c r="NGK3" s="97"/>
      <c r="NGL3" s="97"/>
      <c r="NGM3" s="97"/>
      <c r="NGN3" s="97"/>
      <c r="NGO3" s="97"/>
      <c r="NGP3" s="97"/>
      <c r="NGQ3" s="97"/>
      <c r="NGR3" s="97"/>
      <c r="NGS3" s="97"/>
      <c r="NGT3" s="97"/>
      <c r="NGU3" s="97"/>
      <c r="NGV3" s="97"/>
      <c r="NGW3" s="97"/>
      <c r="NGX3" s="97"/>
      <c r="NGY3" s="97"/>
      <c r="NGZ3" s="97"/>
      <c r="NHA3" s="97"/>
      <c r="NHB3" s="97"/>
      <c r="NHC3" s="97"/>
      <c r="NHD3" s="97"/>
      <c r="NHE3" s="97"/>
      <c r="NHF3" s="97"/>
      <c r="NHG3" s="97"/>
      <c r="NHH3" s="97"/>
      <c r="NHI3" s="97"/>
      <c r="NHJ3" s="97"/>
      <c r="NHK3" s="97"/>
      <c r="NHL3" s="97"/>
      <c r="NHM3" s="97"/>
      <c r="NHN3" s="97"/>
      <c r="NHO3" s="97"/>
      <c r="NHP3" s="97"/>
      <c r="NHQ3" s="97"/>
      <c r="NHR3" s="97"/>
      <c r="NHS3" s="97"/>
      <c r="NHT3" s="97"/>
      <c r="NHU3" s="97"/>
      <c r="NHV3" s="97"/>
      <c r="NHW3" s="97"/>
      <c r="NHX3" s="97"/>
      <c r="NHY3" s="97"/>
      <c r="NHZ3" s="97"/>
      <c r="NIA3" s="97"/>
      <c r="NIB3" s="97"/>
      <c r="NIC3" s="97"/>
      <c r="NID3" s="97"/>
      <c r="NIE3" s="97"/>
      <c r="NIF3" s="97"/>
      <c r="NIG3" s="97"/>
      <c r="NIH3" s="97"/>
      <c r="NII3" s="97"/>
      <c r="NIJ3" s="97"/>
      <c r="NIK3" s="97"/>
      <c r="NIL3" s="97"/>
      <c r="NIM3" s="97"/>
      <c r="NIN3" s="97"/>
      <c r="NIO3" s="97"/>
      <c r="NIP3" s="97"/>
      <c r="NIQ3" s="97"/>
      <c r="NIR3" s="97"/>
      <c r="NIS3" s="97"/>
      <c r="NIT3" s="97"/>
      <c r="NIU3" s="97"/>
      <c r="NIV3" s="97"/>
      <c r="NIW3" s="97"/>
      <c r="NIX3" s="97"/>
      <c r="NIY3" s="97"/>
      <c r="NIZ3" s="97"/>
      <c r="NJA3" s="97"/>
      <c r="NJB3" s="97"/>
      <c r="NJC3" s="97"/>
      <c r="NJD3" s="97"/>
      <c r="NJE3" s="97"/>
      <c r="NJF3" s="97"/>
      <c r="NJG3" s="97"/>
      <c r="NJH3" s="97"/>
      <c r="NJI3" s="97"/>
      <c r="NJJ3" s="97"/>
      <c r="NJK3" s="97"/>
      <c r="NJL3" s="97"/>
      <c r="NJM3" s="97"/>
      <c r="NJN3" s="97"/>
      <c r="NJO3" s="97"/>
      <c r="NJP3" s="97"/>
      <c r="NJQ3" s="97"/>
      <c r="NJR3" s="97"/>
      <c r="NJS3" s="97"/>
      <c r="NJT3" s="97"/>
      <c r="NJU3" s="97"/>
      <c r="NJV3" s="97"/>
      <c r="NJW3" s="97"/>
      <c r="NJX3" s="97"/>
      <c r="NJY3" s="97"/>
      <c r="NJZ3" s="97"/>
      <c r="NKA3" s="97"/>
      <c r="NKB3" s="97"/>
      <c r="NKC3" s="97"/>
      <c r="NKD3" s="97"/>
      <c r="NKE3" s="97"/>
      <c r="NKF3" s="97"/>
      <c r="NKG3" s="97"/>
      <c r="NKH3" s="97"/>
      <c r="NKI3" s="97"/>
      <c r="NKJ3" s="97"/>
      <c r="NKK3" s="97"/>
      <c r="NKL3" s="97"/>
      <c r="NKM3" s="97"/>
      <c r="NKN3" s="97"/>
      <c r="NKO3" s="97"/>
      <c r="NKP3" s="97"/>
      <c r="NKQ3" s="97"/>
      <c r="NKR3" s="97"/>
      <c r="NKS3" s="97"/>
      <c r="NKT3" s="97"/>
      <c r="NKU3" s="97"/>
      <c r="NKV3" s="97"/>
      <c r="NKW3" s="97"/>
      <c r="NKX3" s="97"/>
      <c r="NKY3" s="97"/>
      <c r="NKZ3" s="97"/>
      <c r="NLA3" s="97"/>
      <c r="NLB3" s="97"/>
      <c r="NLC3" s="97"/>
      <c r="NLD3" s="97"/>
      <c r="NLE3" s="97"/>
      <c r="NLF3" s="97"/>
      <c r="NLG3" s="97"/>
      <c r="NLH3" s="97"/>
      <c r="NLI3" s="97"/>
      <c r="NLJ3" s="97"/>
      <c r="NLK3" s="97"/>
      <c r="NLL3" s="97"/>
      <c r="NLM3" s="97"/>
      <c r="NLN3" s="97"/>
      <c r="NLO3" s="97"/>
      <c r="NLP3" s="97"/>
      <c r="NLQ3" s="97"/>
      <c r="NLR3" s="97"/>
      <c r="NLS3" s="97"/>
      <c r="NLT3" s="97"/>
      <c r="NLU3" s="97"/>
      <c r="NLV3" s="97"/>
      <c r="NLW3" s="97"/>
      <c r="NLX3" s="97"/>
      <c r="NLY3" s="97"/>
      <c r="NLZ3" s="97"/>
      <c r="NMA3" s="97"/>
      <c r="NMB3" s="97"/>
      <c r="NMC3" s="97"/>
      <c r="NMD3" s="97"/>
      <c r="NME3" s="97"/>
      <c r="NMF3" s="97"/>
      <c r="NMG3" s="97"/>
      <c r="NMH3" s="97"/>
      <c r="NMI3" s="97"/>
      <c r="NMJ3" s="97"/>
      <c r="NMK3" s="97"/>
      <c r="NML3" s="97"/>
      <c r="NMM3" s="97"/>
      <c r="NMN3" s="97"/>
      <c r="NMO3" s="97"/>
      <c r="NMP3" s="97"/>
      <c r="NMQ3" s="97"/>
      <c r="NMR3" s="97"/>
      <c r="NMS3" s="97"/>
      <c r="NMT3" s="97"/>
      <c r="NMU3" s="97"/>
      <c r="NMV3" s="97"/>
      <c r="NMW3" s="97"/>
      <c r="NMX3" s="97"/>
      <c r="NMY3" s="97"/>
      <c r="NMZ3" s="97"/>
      <c r="NNA3" s="97"/>
      <c r="NNB3" s="97"/>
      <c r="NNC3" s="97"/>
      <c r="NND3" s="97"/>
      <c r="NNE3" s="97"/>
      <c r="NNF3" s="97"/>
      <c r="NNG3" s="97"/>
      <c r="NNH3" s="97"/>
      <c r="NNI3" s="97"/>
      <c r="NNJ3" s="97"/>
      <c r="NNK3" s="97"/>
      <c r="NNL3" s="97"/>
      <c r="NNM3" s="97"/>
      <c r="NNN3" s="97"/>
      <c r="NNO3" s="97"/>
      <c r="NNP3" s="97"/>
      <c r="NNQ3" s="97"/>
      <c r="NNR3" s="97"/>
      <c r="NNS3" s="97"/>
      <c r="NNT3" s="97"/>
      <c r="NNU3" s="97"/>
      <c r="NNV3" s="97"/>
      <c r="NNW3" s="97"/>
      <c r="NNX3" s="97"/>
      <c r="NNY3" s="97"/>
      <c r="NNZ3" s="97"/>
      <c r="NOA3" s="97"/>
      <c r="NOB3" s="97"/>
      <c r="NOC3" s="97"/>
      <c r="NOD3" s="97"/>
      <c r="NOE3" s="97"/>
      <c r="NOF3" s="97"/>
      <c r="NOG3" s="97"/>
      <c r="NOH3" s="97"/>
      <c r="NOI3" s="97"/>
      <c r="NOJ3" s="97"/>
      <c r="NOK3" s="97"/>
      <c r="NOL3" s="97"/>
      <c r="NOM3" s="97"/>
      <c r="NON3" s="97"/>
      <c r="NOO3" s="97"/>
      <c r="NOP3" s="97"/>
      <c r="NOQ3" s="97"/>
      <c r="NOR3" s="97"/>
      <c r="NOS3" s="97"/>
      <c r="NOT3" s="97"/>
      <c r="NOU3" s="97"/>
      <c r="NOV3" s="97"/>
      <c r="NOW3" s="97"/>
      <c r="NOX3" s="97"/>
      <c r="NOY3" s="97"/>
      <c r="NOZ3" s="97"/>
      <c r="NPA3" s="97"/>
      <c r="NPB3" s="97"/>
      <c r="NPC3" s="97"/>
      <c r="NPD3" s="97"/>
      <c r="NPE3" s="97"/>
      <c r="NPF3" s="97"/>
      <c r="NPG3" s="97"/>
      <c r="NPH3" s="97"/>
      <c r="NPI3" s="97"/>
      <c r="NPJ3" s="97"/>
      <c r="NPK3" s="97"/>
      <c r="NPL3" s="97"/>
      <c r="NPM3" s="97"/>
      <c r="NPN3" s="97"/>
      <c r="NPO3" s="97"/>
      <c r="NPP3" s="97"/>
      <c r="NPQ3" s="97"/>
      <c r="NPR3" s="97"/>
      <c r="NPS3" s="97"/>
      <c r="NPT3" s="97"/>
      <c r="NPU3" s="97"/>
      <c r="NPV3" s="97"/>
      <c r="NPW3" s="97"/>
      <c r="NPX3" s="97"/>
      <c r="NPY3" s="97"/>
      <c r="NPZ3" s="97"/>
      <c r="NQA3" s="97"/>
      <c r="NQB3" s="97"/>
      <c r="NQC3" s="97"/>
      <c r="NQD3" s="97"/>
      <c r="NQE3" s="97"/>
      <c r="NQF3" s="97"/>
      <c r="NQG3" s="97"/>
      <c r="NQH3" s="97"/>
      <c r="NQI3" s="97"/>
      <c r="NQJ3" s="97"/>
      <c r="NQK3" s="97"/>
      <c r="NQL3" s="97"/>
      <c r="NQM3" s="97"/>
      <c r="NQN3" s="97"/>
      <c r="NQO3" s="97"/>
      <c r="NQP3" s="97"/>
      <c r="NQQ3" s="97"/>
      <c r="NQR3" s="97"/>
      <c r="NQS3" s="97"/>
      <c r="NQT3" s="97"/>
      <c r="NQU3" s="97"/>
      <c r="NQV3" s="97"/>
      <c r="NQW3" s="97"/>
      <c r="NQX3" s="97"/>
      <c r="NQY3" s="97"/>
      <c r="NQZ3" s="97"/>
      <c r="NRA3" s="97"/>
      <c r="NRB3" s="97"/>
      <c r="NRC3" s="97"/>
      <c r="NRD3" s="97"/>
      <c r="NRE3" s="97"/>
    </row>
    <row r="4" spans="1:9937" ht="25" customHeight="1" x14ac:dyDescent="0.45">
      <c r="A4" s="103" t="s">
        <v>589</v>
      </c>
      <c r="B4" s="53" t="s">
        <v>613</v>
      </c>
      <c r="C4" s="388">
        <f>VLOOKUP($A$3,INITIAL_EST_PY,7,FALSE)</f>
        <v>0</v>
      </c>
      <c r="D4" s="388">
        <f t="shared" ref="D4:F6" si="0">C4</f>
        <v>0</v>
      </c>
      <c r="E4" s="352">
        <f>VLOOKUP($A$3,INITIAL_EST_PY,7,FALSE)</f>
        <v>0</v>
      </c>
      <c r="F4" s="371">
        <f t="shared" si="0"/>
        <v>0</v>
      </c>
    </row>
    <row r="5" spans="1:9937" ht="25" customHeight="1" x14ac:dyDescent="0.45">
      <c r="A5" s="103" t="s">
        <v>787</v>
      </c>
      <c r="B5" s="44">
        <v>275</v>
      </c>
      <c r="C5" s="388">
        <f>VLOOKUP(A3,INITIAL_EST_PY,60,FALSE)</f>
        <v>0</v>
      </c>
      <c r="D5" s="388">
        <f t="shared" si="0"/>
        <v>0</v>
      </c>
      <c r="E5" s="352">
        <f t="shared" si="0"/>
        <v>0</v>
      </c>
      <c r="F5" s="371">
        <f t="shared" si="0"/>
        <v>0</v>
      </c>
    </row>
    <row r="6" spans="1:9937" ht="25" customHeight="1" x14ac:dyDescent="0.45">
      <c r="A6" s="63" t="s">
        <v>612</v>
      </c>
      <c r="B6" s="54"/>
      <c r="C6" s="361">
        <f>VLOOKUP(A3,INITIAL_EST_PY,16,FALSE)</f>
        <v>0</v>
      </c>
      <c r="D6" s="361">
        <f t="shared" si="0"/>
        <v>0</v>
      </c>
      <c r="E6" s="361">
        <f t="shared" si="0"/>
        <v>0</v>
      </c>
      <c r="F6" s="372">
        <f t="shared" si="0"/>
        <v>0</v>
      </c>
    </row>
    <row r="7" spans="1:9937" s="49" customFormat="1" ht="25" customHeight="1" x14ac:dyDescent="0.45">
      <c r="A7" s="370" t="s">
        <v>458</v>
      </c>
      <c r="B7" s="55" t="s">
        <v>611</v>
      </c>
      <c r="C7" s="390"/>
      <c r="D7" s="390"/>
      <c r="E7" s="390"/>
      <c r="F7" s="373"/>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c r="NM7" s="99"/>
      <c r="NN7" s="99"/>
      <c r="NO7" s="99"/>
      <c r="NP7" s="99"/>
      <c r="NQ7" s="99"/>
      <c r="NR7" s="99"/>
      <c r="NS7" s="99"/>
      <c r="NT7" s="99"/>
      <c r="NU7" s="99"/>
      <c r="NV7" s="99"/>
      <c r="NW7" s="99"/>
      <c r="NX7" s="99"/>
      <c r="NY7" s="99"/>
      <c r="NZ7" s="99"/>
      <c r="OA7" s="99"/>
      <c r="OB7" s="99"/>
      <c r="OC7" s="99"/>
      <c r="OD7" s="99"/>
      <c r="OE7" s="99"/>
      <c r="OF7" s="99"/>
      <c r="OG7" s="99"/>
      <c r="OH7" s="99"/>
      <c r="OI7" s="99"/>
      <c r="OJ7" s="99"/>
      <c r="OK7" s="99"/>
      <c r="OL7" s="99"/>
      <c r="OM7" s="99"/>
      <c r="ON7" s="99"/>
      <c r="OO7" s="99"/>
      <c r="OP7" s="99"/>
      <c r="OQ7" s="99"/>
      <c r="OR7" s="99"/>
      <c r="OS7" s="99"/>
      <c r="OT7" s="99"/>
      <c r="OU7" s="99"/>
      <c r="OV7" s="99"/>
      <c r="OW7" s="99"/>
      <c r="OX7" s="99"/>
      <c r="OY7" s="99"/>
      <c r="OZ7" s="99"/>
      <c r="PA7" s="99"/>
      <c r="PB7" s="99"/>
      <c r="PC7" s="99"/>
      <c r="PD7" s="99"/>
      <c r="PE7" s="99"/>
      <c r="PF7" s="99"/>
      <c r="PG7" s="99"/>
      <c r="PH7" s="99"/>
      <c r="PI7" s="99"/>
      <c r="PJ7" s="99"/>
      <c r="PK7" s="99"/>
      <c r="PL7" s="99"/>
      <c r="PM7" s="99"/>
      <c r="PN7" s="99"/>
      <c r="PO7" s="99"/>
      <c r="PP7" s="99"/>
      <c r="PQ7" s="99"/>
      <c r="PR7" s="99"/>
      <c r="PS7" s="99"/>
      <c r="PT7" s="99"/>
      <c r="PU7" s="99"/>
      <c r="PV7" s="99"/>
      <c r="PW7" s="99"/>
      <c r="PX7" s="99"/>
      <c r="PY7" s="99"/>
      <c r="PZ7" s="99"/>
      <c r="QA7" s="99"/>
      <c r="QB7" s="99"/>
      <c r="QC7" s="99"/>
      <c r="QD7" s="99"/>
      <c r="QE7" s="99"/>
      <c r="QF7" s="99"/>
      <c r="QG7" s="99"/>
      <c r="QH7" s="99"/>
      <c r="QI7" s="99"/>
      <c r="QJ7" s="99"/>
      <c r="QK7" s="99"/>
      <c r="QL7" s="99"/>
      <c r="QM7" s="99"/>
      <c r="QN7" s="99"/>
      <c r="QO7" s="99"/>
      <c r="QP7" s="99"/>
      <c r="QQ7" s="99"/>
      <c r="QR7" s="99"/>
      <c r="QS7" s="99"/>
      <c r="QT7" s="99"/>
      <c r="QU7" s="99"/>
      <c r="QV7" s="99"/>
      <c r="QW7" s="99"/>
      <c r="QX7" s="99"/>
      <c r="QY7" s="99"/>
      <c r="QZ7" s="99"/>
      <c r="RA7" s="99"/>
      <c r="RB7" s="99"/>
      <c r="RC7" s="99"/>
      <c r="RD7" s="99"/>
      <c r="RE7" s="99"/>
      <c r="RF7" s="99"/>
      <c r="RG7" s="99"/>
      <c r="RH7" s="99"/>
      <c r="RI7" s="99"/>
      <c r="RJ7" s="99"/>
      <c r="RK7" s="99"/>
      <c r="RL7" s="99"/>
      <c r="RM7" s="99"/>
      <c r="RN7" s="99"/>
      <c r="RO7" s="99"/>
      <c r="RP7" s="99"/>
      <c r="RQ7" s="99"/>
      <c r="RR7" s="99"/>
      <c r="RS7" s="99"/>
      <c r="RT7" s="99"/>
      <c r="RU7" s="99"/>
      <c r="RV7" s="99"/>
      <c r="RW7" s="99"/>
      <c r="RX7" s="99"/>
      <c r="RY7" s="99"/>
      <c r="RZ7" s="99"/>
      <c r="SA7" s="99"/>
      <c r="SB7" s="99"/>
      <c r="SC7" s="99"/>
      <c r="SD7" s="99"/>
      <c r="SE7" s="99"/>
      <c r="SF7" s="99"/>
      <c r="SG7" s="99"/>
      <c r="SH7" s="99"/>
      <c r="SI7" s="99"/>
      <c r="SJ7" s="99"/>
      <c r="SK7" s="99"/>
      <c r="SL7" s="99"/>
      <c r="SM7" s="99"/>
      <c r="SN7" s="99"/>
      <c r="SO7" s="99"/>
      <c r="SP7" s="99"/>
      <c r="SQ7" s="99"/>
      <c r="SR7" s="99"/>
      <c r="SS7" s="99"/>
      <c r="ST7" s="99"/>
      <c r="SU7" s="99"/>
      <c r="SV7" s="99"/>
      <c r="SW7" s="99"/>
      <c r="SX7" s="99"/>
      <c r="SY7" s="99"/>
      <c r="SZ7" s="99"/>
      <c r="TA7" s="99"/>
      <c r="TB7" s="99"/>
      <c r="TC7" s="99"/>
      <c r="TD7" s="99"/>
      <c r="TE7" s="99"/>
      <c r="TF7" s="99"/>
      <c r="TG7" s="99"/>
      <c r="TH7" s="99"/>
      <c r="TI7" s="99"/>
      <c r="TJ7" s="99"/>
      <c r="TK7" s="99"/>
      <c r="TL7" s="99"/>
      <c r="TM7" s="99"/>
      <c r="TN7" s="99"/>
      <c r="TO7" s="99"/>
      <c r="TP7" s="99"/>
      <c r="TQ7" s="99"/>
      <c r="TR7" s="99"/>
      <c r="TS7" s="99"/>
      <c r="TT7" s="99"/>
      <c r="TU7" s="99"/>
      <c r="TV7" s="99"/>
      <c r="TW7" s="99"/>
      <c r="TX7" s="99"/>
      <c r="TY7" s="99"/>
      <c r="TZ7" s="99"/>
      <c r="UA7" s="99"/>
      <c r="UB7" s="99"/>
      <c r="UC7" s="99"/>
      <c r="UD7" s="99"/>
      <c r="UE7" s="99"/>
      <c r="UF7" s="99"/>
      <c r="UG7" s="99"/>
      <c r="UH7" s="99"/>
      <c r="UI7" s="99"/>
      <c r="UJ7" s="99"/>
      <c r="UK7" s="99"/>
      <c r="UL7" s="99"/>
      <c r="UM7" s="99"/>
      <c r="UN7" s="99"/>
      <c r="UO7" s="99"/>
      <c r="UP7" s="99"/>
      <c r="UQ7" s="99"/>
      <c r="UR7" s="99"/>
      <c r="US7" s="99"/>
      <c r="UT7" s="99"/>
      <c r="UU7" s="99"/>
      <c r="UV7" s="99"/>
      <c r="UW7" s="99"/>
      <c r="UX7" s="99"/>
      <c r="UY7" s="99"/>
      <c r="UZ7" s="99"/>
      <c r="VA7" s="99"/>
      <c r="VB7" s="99"/>
      <c r="VC7" s="99"/>
      <c r="VD7" s="99"/>
      <c r="VE7" s="99"/>
      <c r="VF7" s="99"/>
      <c r="VG7" s="99"/>
      <c r="VH7" s="99"/>
      <c r="VI7" s="99"/>
      <c r="VJ7" s="99"/>
      <c r="VK7" s="99"/>
      <c r="VL7" s="99"/>
      <c r="VM7" s="99"/>
      <c r="VN7" s="99"/>
      <c r="VO7" s="99"/>
      <c r="VP7" s="99"/>
      <c r="VQ7" s="99"/>
      <c r="VR7" s="99"/>
      <c r="VS7" s="99"/>
      <c r="VT7" s="99"/>
      <c r="VU7" s="99"/>
      <c r="VV7" s="99"/>
      <c r="VW7" s="99"/>
      <c r="VX7" s="99"/>
      <c r="VY7" s="99"/>
      <c r="VZ7" s="99"/>
      <c r="WA7" s="99"/>
      <c r="WB7" s="99"/>
      <c r="WC7" s="99"/>
      <c r="WD7" s="99"/>
      <c r="WE7" s="99"/>
      <c r="WF7" s="99"/>
      <c r="WG7" s="99"/>
      <c r="WH7" s="99"/>
      <c r="WI7" s="99"/>
      <c r="WJ7" s="99"/>
      <c r="WK7" s="99"/>
      <c r="WL7" s="99"/>
      <c r="WM7" s="99"/>
      <c r="WN7" s="99"/>
      <c r="WO7" s="99"/>
      <c r="WP7" s="99"/>
      <c r="WQ7" s="99"/>
      <c r="WR7" s="99"/>
      <c r="WS7" s="99"/>
      <c r="WT7" s="99"/>
      <c r="WU7" s="99"/>
      <c r="WV7" s="99"/>
      <c r="WW7" s="99"/>
      <c r="WX7" s="99"/>
      <c r="WY7" s="99"/>
      <c r="WZ7" s="99"/>
      <c r="XA7" s="99"/>
      <c r="XB7" s="99"/>
      <c r="XC7" s="99"/>
      <c r="XD7" s="99"/>
      <c r="XE7" s="99"/>
      <c r="XF7" s="99"/>
      <c r="XG7" s="99"/>
      <c r="XH7" s="99"/>
      <c r="XI7" s="99"/>
      <c r="XJ7" s="99"/>
      <c r="XK7" s="99"/>
      <c r="XL7" s="99"/>
      <c r="XM7" s="99"/>
      <c r="XN7" s="99"/>
      <c r="XO7" s="99"/>
      <c r="XP7" s="99"/>
      <c r="XQ7" s="99"/>
      <c r="XR7" s="99"/>
      <c r="XS7" s="99"/>
      <c r="XT7" s="99"/>
      <c r="XU7" s="99"/>
      <c r="XV7" s="99"/>
      <c r="XW7" s="99"/>
      <c r="XX7" s="99"/>
      <c r="XY7" s="99"/>
      <c r="XZ7" s="99"/>
      <c r="YA7" s="99"/>
      <c r="YB7" s="99"/>
      <c r="YC7" s="99"/>
      <c r="YD7" s="99"/>
      <c r="YE7" s="99"/>
      <c r="YF7" s="99"/>
      <c r="YG7" s="99"/>
      <c r="YH7" s="99"/>
      <c r="YI7" s="99"/>
      <c r="YJ7" s="99"/>
      <c r="YK7" s="99"/>
      <c r="YL7" s="99"/>
      <c r="YM7" s="99"/>
      <c r="YN7" s="99"/>
      <c r="YO7" s="99"/>
      <c r="YP7" s="99"/>
      <c r="YQ7" s="99"/>
      <c r="YR7" s="99"/>
      <c r="YS7" s="99"/>
      <c r="YT7" s="99"/>
      <c r="YU7" s="99"/>
      <c r="YV7" s="99"/>
      <c r="YW7" s="99"/>
      <c r="YX7" s="99"/>
      <c r="YY7" s="99"/>
      <c r="YZ7" s="99"/>
      <c r="ZA7" s="99"/>
      <c r="ZB7" s="99"/>
      <c r="ZC7" s="99"/>
      <c r="ZD7" s="99"/>
      <c r="ZE7" s="99"/>
      <c r="ZF7" s="99"/>
      <c r="ZG7" s="99"/>
      <c r="ZH7" s="99"/>
      <c r="ZI7" s="99"/>
      <c r="ZJ7" s="99"/>
      <c r="ZK7" s="99"/>
      <c r="ZL7" s="99"/>
      <c r="ZM7" s="99"/>
      <c r="ZN7" s="99"/>
      <c r="ZO7" s="99"/>
      <c r="ZP7" s="99"/>
      <c r="ZQ7" s="99"/>
      <c r="ZR7" s="99"/>
      <c r="ZS7" s="99"/>
      <c r="ZT7" s="99"/>
      <c r="ZU7" s="99"/>
      <c r="ZV7" s="99"/>
      <c r="ZW7" s="99"/>
      <c r="ZX7" s="99"/>
      <c r="ZY7" s="99"/>
      <c r="ZZ7" s="99"/>
      <c r="AAA7" s="99"/>
      <c r="AAB7" s="99"/>
      <c r="AAC7" s="99"/>
      <c r="AAD7" s="99"/>
      <c r="AAE7" s="99"/>
      <c r="AAF7" s="99"/>
      <c r="AAG7" s="99"/>
      <c r="AAH7" s="99"/>
      <c r="AAI7" s="99"/>
      <c r="AAJ7" s="99"/>
      <c r="AAK7" s="99"/>
      <c r="AAL7" s="99"/>
      <c r="AAM7" s="99"/>
      <c r="AAN7" s="99"/>
      <c r="AAO7" s="99"/>
      <c r="AAP7" s="99"/>
      <c r="AAQ7" s="99"/>
      <c r="AAR7" s="99"/>
      <c r="AAS7" s="99"/>
      <c r="AAT7" s="99"/>
      <c r="AAU7" s="99"/>
      <c r="AAV7" s="99"/>
      <c r="AAW7" s="99"/>
      <c r="AAX7" s="99"/>
      <c r="AAY7" s="99"/>
      <c r="AAZ7" s="99"/>
      <c r="ABA7" s="99"/>
      <c r="ABB7" s="99"/>
      <c r="ABC7" s="99"/>
      <c r="ABD7" s="99"/>
      <c r="ABE7" s="99"/>
      <c r="ABF7" s="99"/>
      <c r="ABG7" s="99"/>
      <c r="ABH7" s="99"/>
      <c r="ABI7" s="99"/>
      <c r="ABJ7" s="99"/>
      <c r="ABK7" s="99"/>
      <c r="ABL7" s="99"/>
      <c r="ABM7" s="99"/>
      <c r="ABN7" s="99"/>
      <c r="ABO7" s="99"/>
      <c r="ABP7" s="99"/>
      <c r="ABQ7" s="99"/>
      <c r="ABR7" s="99"/>
      <c r="ABS7" s="99"/>
      <c r="ABT7" s="99"/>
      <c r="ABU7" s="99"/>
      <c r="ABV7" s="99"/>
      <c r="ABW7" s="99"/>
      <c r="ABX7" s="99"/>
      <c r="ABY7" s="99"/>
      <c r="ABZ7" s="99"/>
      <c r="ACA7" s="99"/>
      <c r="ACB7" s="99"/>
      <c r="ACC7" s="99"/>
      <c r="ACD7" s="99"/>
      <c r="ACE7" s="99"/>
      <c r="ACF7" s="99"/>
      <c r="ACG7" s="99"/>
      <c r="ACH7" s="99"/>
      <c r="ACI7" s="99"/>
      <c r="ACJ7" s="99"/>
      <c r="ACK7" s="99"/>
      <c r="ACL7" s="99"/>
      <c r="ACM7" s="99"/>
      <c r="ACN7" s="99"/>
      <c r="ACO7" s="99"/>
      <c r="ACP7" s="99"/>
      <c r="ACQ7" s="99"/>
      <c r="ACR7" s="99"/>
      <c r="ACS7" s="99"/>
      <c r="ACT7" s="99"/>
      <c r="ACU7" s="99"/>
      <c r="ACV7" s="99"/>
      <c r="ACW7" s="99"/>
      <c r="ACX7" s="99"/>
      <c r="ACY7" s="99"/>
      <c r="ACZ7" s="99"/>
      <c r="ADA7" s="99"/>
      <c r="ADB7" s="99"/>
      <c r="ADC7" s="99"/>
      <c r="ADD7" s="99"/>
      <c r="ADE7" s="99"/>
      <c r="ADF7" s="99"/>
      <c r="ADG7" s="99"/>
      <c r="ADH7" s="99"/>
      <c r="ADI7" s="99"/>
      <c r="ADJ7" s="99"/>
      <c r="ADK7" s="99"/>
      <c r="ADL7" s="99"/>
      <c r="ADM7" s="99"/>
      <c r="ADN7" s="99"/>
      <c r="ADO7" s="99"/>
      <c r="ADP7" s="99"/>
      <c r="ADQ7" s="99"/>
      <c r="ADR7" s="99"/>
      <c r="ADS7" s="99"/>
      <c r="ADT7" s="99"/>
      <c r="ADU7" s="99"/>
      <c r="ADV7" s="99"/>
      <c r="ADW7" s="99"/>
      <c r="ADX7" s="99"/>
      <c r="ADY7" s="99"/>
      <c r="ADZ7" s="99"/>
      <c r="AEA7" s="99"/>
      <c r="AEB7" s="99"/>
      <c r="AEC7" s="99"/>
      <c r="AED7" s="99"/>
      <c r="AEE7" s="99"/>
      <c r="AEF7" s="99"/>
      <c r="AEG7" s="99"/>
      <c r="AEH7" s="99"/>
      <c r="AEI7" s="99"/>
      <c r="AEJ7" s="99"/>
      <c r="AEK7" s="99"/>
      <c r="AEL7" s="99"/>
      <c r="AEM7" s="99"/>
      <c r="AEN7" s="99"/>
      <c r="AEO7" s="99"/>
      <c r="AEP7" s="99"/>
      <c r="AEQ7" s="99"/>
      <c r="AER7" s="99"/>
      <c r="AES7" s="99"/>
      <c r="AET7" s="99"/>
      <c r="AEU7" s="99"/>
      <c r="AEV7" s="99"/>
      <c r="AEW7" s="99"/>
      <c r="AEX7" s="99"/>
      <c r="AEY7" s="99"/>
      <c r="AEZ7" s="99"/>
      <c r="AFA7" s="99"/>
      <c r="AFB7" s="99"/>
      <c r="AFC7" s="99"/>
      <c r="AFD7" s="99"/>
      <c r="AFE7" s="99"/>
      <c r="AFF7" s="99"/>
      <c r="AFG7" s="99"/>
      <c r="AFH7" s="99"/>
      <c r="AFI7" s="99"/>
      <c r="AFJ7" s="99"/>
      <c r="AFK7" s="99"/>
      <c r="AFL7" s="99"/>
      <c r="AFM7" s="99"/>
      <c r="AFN7" s="99"/>
      <c r="AFO7" s="99"/>
      <c r="AFP7" s="99"/>
      <c r="AFQ7" s="99"/>
      <c r="AFR7" s="99"/>
      <c r="AFS7" s="99"/>
      <c r="AFT7" s="99"/>
      <c r="AFU7" s="99"/>
      <c r="AFV7" s="99"/>
      <c r="AFW7" s="99"/>
      <c r="AFX7" s="99"/>
      <c r="AFY7" s="99"/>
      <c r="AFZ7" s="99"/>
      <c r="AGA7" s="99"/>
      <c r="AGB7" s="99"/>
      <c r="AGC7" s="99"/>
      <c r="AGD7" s="99"/>
      <c r="AGE7" s="99"/>
      <c r="AGF7" s="99"/>
      <c r="AGG7" s="99"/>
      <c r="AGH7" s="99"/>
      <c r="AGI7" s="99"/>
      <c r="AGJ7" s="99"/>
      <c r="AGK7" s="99"/>
      <c r="AGL7" s="99"/>
      <c r="AGM7" s="99"/>
      <c r="AGN7" s="99"/>
      <c r="AGO7" s="99"/>
      <c r="AGP7" s="99"/>
      <c r="AGQ7" s="99"/>
      <c r="AGR7" s="99"/>
      <c r="AGS7" s="99"/>
      <c r="AGT7" s="99"/>
      <c r="AGU7" s="99"/>
      <c r="AGV7" s="99"/>
      <c r="AGW7" s="99"/>
      <c r="AGX7" s="99"/>
      <c r="AGY7" s="99"/>
      <c r="AGZ7" s="99"/>
      <c r="AHA7" s="99"/>
      <c r="AHB7" s="99"/>
      <c r="AHC7" s="99"/>
      <c r="AHD7" s="99"/>
      <c r="AHE7" s="99"/>
      <c r="AHF7" s="99"/>
      <c r="AHG7" s="99"/>
      <c r="AHH7" s="99"/>
      <c r="AHI7" s="99"/>
      <c r="AHJ7" s="99"/>
      <c r="AHK7" s="99"/>
      <c r="AHL7" s="99"/>
      <c r="AHM7" s="99"/>
      <c r="AHN7" s="99"/>
      <c r="AHO7" s="99"/>
      <c r="AHP7" s="99"/>
      <c r="AHQ7" s="99"/>
      <c r="AHR7" s="99"/>
      <c r="AHS7" s="99"/>
      <c r="AHT7" s="99"/>
      <c r="AHU7" s="99"/>
      <c r="AHV7" s="99"/>
      <c r="AHW7" s="99"/>
      <c r="AHX7" s="99"/>
      <c r="AHY7" s="99"/>
      <c r="AHZ7" s="99"/>
      <c r="AIA7" s="99"/>
      <c r="AIB7" s="99"/>
      <c r="AIC7" s="99"/>
      <c r="AID7" s="99"/>
      <c r="AIE7" s="99"/>
      <c r="AIF7" s="99"/>
      <c r="AIG7" s="99"/>
      <c r="AIH7" s="99"/>
      <c r="AII7" s="99"/>
      <c r="AIJ7" s="99"/>
      <c r="AIK7" s="99"/>
      <c r="AIL7" s="99"/>
      <c r="AIM7" s="99"/>
      <c r="AIN7" s="99"/>
      <c r="AIO7" s="99"/>
      <c r="AIP7" s="99"/>
      <c r="AIQ7" s="99"/>
      <c r="AIR7" s="99"/>
      <c r="AIS7" s="99"/>
      <c r="AIT7" s="99"/>
      <c r="AIU7" s="99"/>
      <c r="AIV7" s="99"/>
      <c r="AIW7" s="99"/>
      <c r="AIX7" s="99"/>
      <c r="AIY7" s="99"/>
      <c r="AIZ7" s="99"/>
      <c r="AJA7" s="99"/>
      <c r="AJB7" s="99"/>
      <c r="AJC7" s="99"/>
      <c r="AJD7" s="99"/>
      <c r="AJE7" s="99"/>
      <c r="AJF7" s="99"/>
      <c r="AJG7" s="99"/>
      <c r="AJH7" s="99"/>
      <c r="AJI7" s="99"/>
      <c r="AJJ7" s="99"/>
      <c r="AJK7" s="99"/>
      <c r="AJL7" s="99"/>
      <c r="AJM7" s="99"/>
      <c r="AJN7" s="99"/>
      <c r="AJO7" s="99"/>
      <c r="AJP7" s="99"/>
      <c r="AJQ7" s="99"/>
      <c r="AJR7" s="99"/>
      <c r="AJS7" s="99"/>
      <c r="AJT7" s="99"/>
      <c r="AJU7" s="99"/>
      <c r="AJV7" s="99"/>
      <c r="AJW7" s="99"/>
      <c r="AJX7" s="99"/>
      <c r="AJY7" s="99"/>
      <c r="AJZ7" s="99"/>
      <c r="AKA7" s="99"/>
      <c r="AKB7" s="99"/>
      <c r="AKC7" s="99"/>
      <c r="AKD7" s="99"/>
      <c r="AKE7" s="99"/>
      <c r="AKF7" s="99"/>
      <c r="AKG7" s="99"/>
      <c r="AKH7" s="99"/>
      <c r="AKI7" s="99"/>
      <c r="AKJ7" s="99"/>
      <c r="AKK7" s="99"/>
      <c r="AKL7" s="99"/>
      <c r="AKM7" s="99"/>
      <c r="AKN7" s="99"/>
      <c r="AKO7" s="99"/>
      <c r="AKP7" s="99"/>
      <c r="AKQ7" s="99"/>
      <c r="AKR7" s="99"/>
      <c r="AKS7" s="99"/>
      <c r="AKT7" s="99"/>
      <c r="AKU7" s="99"/>
      <c r="AKV7" s="99"/>
      <c r="AKW7" s="99"/>
      <c r="AKX7" s="99"/>
      <c r="AKY7" s="99"/>
      <c r="AKZ7" s="99"/>
      <c r="ALA7" s="99"/>
      <c r="ALB7" s="99"/>
      <c r="ALC7" s="99"/>
      <c r="ALD7" s="99"/>
      <c r="ALE7" s="99"/>
      <c r="ALF7" s="99"/>
      <c r="ALG7" s="99"/>
      <c r="ALH7" s="99"/>
      <c r="ALI7" s="99"/>
      <c r="ALJ7" s="99"/>
      <c r="ALK7" s="99"/>
      <c r="ALL7" s="99"/>
      <c r="ALM7" s="99"/>
      <c r="ALN7" s="99"/>
      <c r="ALO7" s="99"/>
      <c r="ALP7" s="99"/>
      <c r="ALQ7" s="99"/>
      <c r="ALR7" s="99"/>
      <c r="ALS7" s="99"/>
      <c r="ALT7" s="99"/>
      <c r="ALU7" s="99"/>
      <c r="ALV7" s="99"/>
      <c r="ALW7" s="99"/>
      <c r="ALX7" s="99"/>
      <c r="ALY7" s="99"/>
      <c r="ALZ7" s="99"/>
      <c r="AMA7" s="99"/>
      <c r="AMB7" s="99"/>
      <c r="AMC7" s="99"/>
      <c r="AMD7" s="99"/>
      <c r="AME7" s="99"/>
      <c r="AMF7" s="99"/>
      <c r="AMG7" s="99"/>
      <c r="AMH7" s="99"/>
      <c r="AMI7" s="99"/>
      <c r="AMJ7" s="99"/>
      <c r="AMK7" s="99"/>
      <c r="AML7" s="99"/>
      <c r="AMM7" s="99"/>
      <c r="AMN7" s="99"/>
      <c r="AMO7" s="99"/>
      <c r="AMP7" s="99"/>
      <c r="AMQ7" s="99"/>
      <c r="AMR7" s="99"/>
      <c r="AMS7" s="99"/>
      <c r="AMT7" s="99"/>
      <c r="AMU7" s="99"/>
      <c r="AMV7" s="99"/>
      <c r="AMW7" s="99"/>
      <c r="AMX7" s="99"/>
      <c r="AMY7" s="99"/>
      <c r="AMZ7" s="99"/>
      <c r="ANA7" s="99"/>
      <c r="ANB7" s="99"/>
      <c r="ANC7" s="99"/>
      <c r="AND7" s="99"/>
      <c r="ANE7" s="99"/>
      <c r="ANF7" s="99"/>
      <c r="ANG7" s="99"/>
      <c r="ANH7" s="99"/>
      <c r="ANI7" s="99"/>
      <c r="ANJ7" s="99"/>
      <c r="ANK7" s="99"/>
      <c r="ANL7" s="99"/>
      <c r="ANM7" s="99"/>
      <c r="ANN7" s="99"/>
      <c r="ANO7" s="99"/>
      <c r="ANP7" s="99"/>
      <c r="ANQ7" s="99"/>
      <c r="ANR7" s="99"/>
      <c r="ANS7" s="99"/>
      <c r="ANT7" s="99"/>
      <c r="ANU7" s="99"/>
      <c r="ANV7" s="99"/>
      <c r="ANW7" s="99"/>
      <c r="ANX7" s="99"/>
      <c r="ANY7" s="99"/>
      <c r="ANZ7" s="99"/>
      <c r="AOA7" s="99"/>
      <c r="AOB7" s="99"/>
      <c r="AOC7" s="99"/>
      <c r="AOD7" s="99"/>
      <c r="AOE7" s="99"/>
      <c r="AOF7" s="99"/>
      <c r="AOG7" s="99"/>
      <c r="AOH7" s="99"/>
      <c r="AOI7" s="99"/>
      <c r="AOJ7" s="99"/>
      <c r="AOK7" s="99"/>
      <c r="AOL7" s="99"/>
      <c r="AOM7" s="99"/>
      <c r="AON7" s="99"/>
      <c r="AOO7" s="99"/>
      <c r="AOP7" s="99"/>
      <c r="AOQ7" s="99"/>
      <c r="AOR7" s="99"/>
      <c r="AOS7" s="99"/>
      <c r="AOT7" s="99"/>
      <c r="AOU7" s="99"/>
      <c r="AOV7" s="99"/>
      <c r="AOW7" s="99"/>
      <c r="AOX7" s="99"/>
      <c r="AOY7" s="99"/>
      <c r="AOZ7" s="99"/>
      <c r="APA7" s="99"/>
      <c r="APB7" s="99"/>
      <c r="APC7" s="99"/>
      <c r="APD7" s="99"/>
      <c r="APE7" s="99"/>
      <c r="APF7" s="99"/>
      <c r="APG7" s="99"/>
      <c r="APH7" s="99"/>
      <c r="API7" s="99"/>
      <c r="APJ7" s="99"/>
      <c r="APK7" s="99"/>
      <c r="APL7" s="99"/>
      <c r="APM7" s="99"/>
      <c r="APN7" s="99"/>
      <c r="APO7" s="99"/>
      <c r="APP7" s="99"/>
      <c r="APQ7" s="99"/>
      <c r="APR7" s="99"/>
      <c r="APS7" s="99"/>
      <c r="APT7" s="99"/>
      <c r="APU7" s="99"/>
      <c r="APV7" s="99"/>
      <c r="APW7" s="99"/>
      <c r="APX7" s="99"/>
      <c r="APY7" s="99"/>
      <c r="APZ7" s="99"/>
      <c r="AQA7" s="99"/>
      <c r="AQB7" s="99"/>
      <c r="AQC7" s="99"/>
      <c r="AQD7" s="99"/>
      <c r="AQE7" s="99"/>
      <c r="AQF7" s="99"/>
      <c r="AQG7" s="99"/>
      <c r="AQH7" s="99"/>
      <c r="AQI7" s="99"/>
      <c r="AQJ7" s="99"/>
      <c r="AQK7" s="99"/>
      <c r="AQL7" s="99"/>
      <c r="AQM7" s="99"/>
      <c r="AQN7" s="99"/>
      <c r="AQO7" s="99"/>
      <c r="AQP7" s="99"/>
      <c r="AQQ7" s="99"/>
      <c r="AQR7" s="99"/>
      <c r="AQS7" s="99"/>
      <c r="AQT7" s="99"/>
      <c r="AQU7" s="99"/>
      <c r="AQV7" s="99"/>
      <c r="AQW7" s="99"/>
      <c r="AQX7" s="99"/>
      <c r="AQY7" s="99"/>
      <c r="AQZ7" s="99"/>
      <c r="ARA7" s="99"/>
      <c r="ARB7" s="99"/>
      <c r="ARC7" s="99"/>
      <c r="ARD7" s="99"/>
      <c r="ARE7" s="99"/>
      <c r="ARF7" s="99"/>
      <c r="ARG7" s="99"/>
      <c r="ARH7" s="99"/>
      <c r="ARI7" s="99"/>
      <c r="ARJ7" s="99"/>
      <c r="ARK7" s="99"/>
      <c r="ARL7" s="99"/>
      <c r="ARM7" s="99"/>
      <c r="ARN7" s="99"/>
      <c r="ARO7" s="99"/>
      <c r="ARP7" s="99"/>
      <c r="ARQ7" s="99"/>
      <c r="ARR7" s="99"/>
      <c r="ARS7" s="99"/>
      <c r="ART7" s="99"/>
      <c r="ARU7" s="99"/>
      <c r="ARV7" s="99"/>
      <c r="ARW7" s="99"/>
      <c r="ARX7" s="99"/>
      <c r="ARY7" s="99"/>
      <c r="ARZ7" s="99"/>
      <c r="ASA7" s="99"/>
      <c r="ASB7" s="99"/>
      <c r="ASC7" s="99"/>
      <c r="ASD7" s="99"/>
      <c r="ASE7" s="99"/>
      <c r="ASF7" s="99"/>
      <c r="ASG7" s="99"/>
      <c r="ASH7" s="99"/>
      <c r="ASI7" s="99"/>
      <c r="ASJ7" s="99"/>
      <c r="ASK7" s="99"/>
      <c r="ASL7" s="99"/>
      <c r="ASM7" s="99"/>
      <c r="ASN7" s="99"/>
      <c r="ASO7" s="99"/>
      <c r="ASP7" s="99"/>
      <c r="ASQ7" s="99"/>
      <c r="ASR7" s="99"/>
      <c r="ASS7" s="99"/>
      <c r="AST7" s="99"/>
      <c r="ASU7" s="99"/>
      <c r="ASV7" s="99"/>
      <c r="ASW7" s="99"/>
      <c r="ASX7" s="99"/>
      <c r="ASY7" s="99"/>
      <c r="ASZ7" s="99"/>
      <c r="ATA7" s="99"/>
      <c r="ATB7" s="99"/>
      <c r="ATC7" s="99"/>
      <c r="ATD7" s="99"/>
      <c r="ATE7" s="99"/>
      <c r="ATF7" s="99"/>
      <c r="ATG7" s="99"/>
      <c r="ATH7" s="99"/>
      <c r="ATI7" s="99"/>
      <c r="ATJ7" s="99"/>
      <c r="ATK7" s="99"/>
      <c r="ATL7" s="99"/>
      <c r="ATM7" s="99"/>
      <c r="ATN7" s="99"/>
      <c r="ATO7" s="99"/>
      <c r="ATP7" s="99"/>
      <c r="ATQ7" s="99"/>
      <c r="ATR7" s="99"/>
      <c r="ATS7" s="99"/>
      <c r="ATT7" s="99"/>
      <c r="ATU7" s="99"/>
      <c r="ATV7" s="99"/>
      <c r="ATW7" s="99"/>
      <c r="ATX7" s="99"/>
      <c r="ATY7" s="99"/>
      <c r="ATZ7" s="99"/>
      <c r="AUA7" s="99"/>
      <c r="AUB7" s="99"/>
      <c r="AUC7" s="99"/>
      <c r="AUD7" s="99"/>
      <c r="AUE7" s="99"/>
      <c r="AUF7" s="99"/>
      <c r="AUG7" s="99"/>
      <c r="AUH7" s="99"/>
      <c r="AUI7" s="99"/>
      <c r="AUJ7" s="99"/>
      <c r="AUK7" s="99"/>
      <c r="AUL7" s="99"/>
      <c r="AUM7" s="99"/>
      <c r="AUN7" s="99"/>
      <c r="AUO7" s="99"/>
      <c r="AUP7" s="99"/>
      <c r="AUQ7" s="99"/>
      <c r="AUR7" s="99"/>
      <c r="AUS7" s="99"/>
      <c r="AUT7" s="99"/>
      <c r="AUU7" s="99"/>
      <c r="AUV7" s="99"/>
      <c r="AUW7" s="99"/>
      <c r="AUX7" s="99"/>
      <c r="AUY7" s="99"/>
      <c r="AUZ7" s="99"/>
      <c r="AVA7" s="99"/>
      <c r="AVB7" s="99"/>
      <c r="AVC7" s="99"/>
      <c r="AVD7" s="99"/>
      <c r="AVE7" s="99"/>
      <c r="AVF7" s="99"/>
      <c r="AVG7" s="99"/>
      <c r="AVH7" s="99"/>
      <c r="AVI7" s="99"/>
      <c r="AVJ7" s="99"/>
      <c r="AVK7" s="99"/>
      <c r="AVL7" s="99"/>
      <c r="AVM7" s="99"/>
      <c r="AVN7" s="99"/>
      <c r="AVO7" s="99"/>
      <c r="AVP7" s="99"/>
      <c r="AVQ7" s="99"/>
      <c r="AVR7" s="99"/>
      <c r="AVS7" s="99"/>
      <c r="AVT7" s="99"/>
      <c r="AVU7" s="99"/>
      <c r="AVV7" s="99"/>
      <c r="AVW7" s="99"/>
      <c r="AVX7" s="99"/>
      <c r="AVY7" s="99"/>
      <c r="AVZ7" s="99"/>
      <c r="AWA7" s="99"/>
      <c r="AWB7" s="99"/>
      <c r="AWC7" s="99"/>
      <c r="AWD7" s="99"/>
      <c r="AWE7" s="99"/>
      <c r="AWF7" s="99"/>
      <c r="AWG7" s="99"/>
      <c r="AWH7" s="99"/>
      <c r="AWI7" s="99"/>
      <c r="AWJ7" s="99"/>
      <c r="AWK7" s="99"/>
      <c r="AWL7" s="99"/>
      <c r="AWM7" s="99"/>
      <c r="AWN7" s="99"/>
      <c r="AWO7" s="99"/>
      <c r="AWP7" s="99"/>
      <c r="AWQ7" s="99"/>
      <c r="AWR7" s="99"/>
      <c r="AWS7" s="99"/>
      <c r="AWT7" s="99"/>
      <c r="AWU7" s="99"/>
      <c r="AWV7" s="99"/>
      <c r="AWW7" s="99"/>
      <c r="AWX7" s="99"/>
      <c r="AWY7" s="99"/>
      <c r="AWZ7" s="99"/>
      <c r="AXA7" s="99"/>
      <c r="AXB7" s="99"/>
      <c r="AXC7" s="99"/>
      <c r="AXD7" s="99"/>
      <c r="AXE7" s="99"/>
      <c r="AXF7" s="99"/>
      <c r="AXG7" s="99"/>
      <c r="AXH7" s="99"/>
      <c r="AXI7" s="99"/>
      <c r="AXJ7" s="99"/>
      <c r="AXK7" s="99"/>
      <c r="AXL7" s="99"/>
      <c r="AXM7" s="99"/>
      <c r="AXN7" s="99"/>
      <c r="AXO7" s="99"/>
      <c r="AXP7" s="99"/>
      <c r="AXQ7" s="99"/>
      <c r="AXR7" s="99"/>
      <c r="AXS7" s="99"/>
      <c r="AXT7" s="99"/>
      <c r="AXU7" s="99"/>
      <c r="AXV7" s="99"/>
      <c r="AXW7" s="99"/>
      <c r="AXX7" s="99"/>
      <c r="AXY7" s="99"/>
      <c r="AXZ7" s="99"/>
      <c r="AYA7" s="99"/>
      <c r="AYB7" s="99"/>
      <c r="AYC7" s="99"/>
      <c r="AYD7" s="99"/>
      <c r="AYE7" s="99"/>
      <c r="AYF7" s="99"/>
      <c r="AYG7" s="99"/>
      <c r="AYH7" s="99"/>
      <c r="AYI7" s="99"/>
      <c r="AYJ7" s="99"/>
      <c r="AYK7" s="99"/>
      <c r="AYL7" s="99"/>
      <c r="AYM7" s="99"/>
      <c r="AYN7" s="99"/>
      <c r="AYO7" s="99"/>
      <c r="AYP7" s="99"/>
      <c r="AYQ7" s="99"/>
      <c r="AYR7" s="99"/>
      <c r="AYS7" s="99"/>
      <c r="AYT7" s="99"/>
      <c r="AYU7" s="99"/>
      <c r="AYV7" s="99"/>
      <c r="AYW7" s="99"/>
      <c r="AYX7" s="99"/>
      <c r="AYY7" s="99"/>
      <c r="AYZ7" s="99"/>
      <c r="AZA7" s="99"/>
      <c r="AZB7" s="99"/>
      <c r="AZC7" s="99"/>
      <c r="AZD7" s="99"/>
      <c r="AZE7" s="99"/>
      <c r="AZF7" s="99"/>
      <c r="AZG7" s="99"/>
      <c r="AZH7" s="99"/>
      <c r="AZI7" s="99"/>
      <c r="AZJ7" s="99"/>
      <c r="AZK7" s="99"/>
      <c r="AZL7" s="99"/>
      <c r="AZM7" s="99"/>
      <c r="AZN7" s="99"/>
      <c r="AZO7" s="99"/>
      <c r="AZP7" s="99"/>
      <c r="AZQ7" s="99"/>
      <c r="AZR7" s="99"/>
      <c r="AZS7" s="99"/>
      <c r="AZT7" s="99"/>
      <c r="AZU7" s="99"/>
      <c r="AZV7" s="99"/>
      <c r="AZW7" s="99"/>
      <c r="AZX7" s="99"/>
      <c r="AZY7" s="99"/>
      <c r="AZZ7" s="99"/>
      <c r="BAA7" s="99"/>
      <c r="BAB7" s="99"/>
      <c r="BAC7" s="99"/>
      <c r="BAD7" s="99"/>
      <c r="BAE7" s="99"/>
      <c r="BAF7" s="99"/>
      <c r="BAG7" s="99"/>
      <c r="BAH7" s="99"/>
      <c r="BAI7" s="99"/>
      <c r="BAJ7" s="99"/>
      <c r="BAK7" s="99"/>
      <c r="BAL7" s="99"/>
      <c r="BAM7" s="99"/>
      <c r="BAN7" s="99"/>
      <c r="BAO7" s="99"/>
      <c r="BAP7" s="99"/>
      <c r="BAQ7" s="99"/>
      <c r="BAR7" s="99"/>
      <c r="BAS7" s="99"/>
      <c r="BAT7" s="99"/>
      <c r="BAU7" s="99"/>
      <c r="BAV7" s="99"/>
      <c r="BAW7" s="99"/>
      <c r="BAX7" s="99"/>
      <c r="BAY7" s="99"/>
      <c r="BAZ7" s="99"/>
      <c r="BBA7" s="99"/>
      <c r="BBB7" s="99"/>
      <c r="BBC7" s="99"/>
      <c r="BBD7" s="99"/>
      <c r="BBE7" s="99"/>
      <c r="BBF7" s="99"/>
      <c r="BBG7" s="99"/>
      <c r="BBH7" s="99"/>
      <c r="BBI7" s="99"/>
      <c r="BBJ7" s="99"/>
      <c r="BBK7" s="99"/>
      <c r="BBL7" s="99"/>
      <c r="BBM7" s="99"/>
      <c r="BBN7" s="99"/>
      <c r="BBO7" s="99"/>
      <c r="BBP7" s="99"/>
      <c r="BBQ7" s="99"/>
      <c r="BBR7" s="99"/>
      <c r="BBS7" s="99"/>
      <c r="BBT7" s="99"/>
      <c r="BBU7" s="99"/>
      <c r="BBV7" s="99"/>
      <c r="BBW7" s="99"/>
      <c r="BBX7" s="99"/>
      <c r="BBY7" s="99"/>
      <c r="BBZ7" s="99"/>
      <c r="BCA7" s="99"/>
      <c r="BCB7" s="99"/>
      <c r="BCC7" s="99"/>
      <c r="BCD7" s="99"/>
      <c r="BCE7" s="99"/>
      <c r="BCF7" s="99"/>
      <c r="BCG7" s="99"/>
      <c r="BCH7" s="99"/>
      <c r="BCI7" s="99"/>
      <c r="BCJ7" s="99"/>
      <c r="BCK7" s="99"/>
      <c r="BCL7" s="99"/>
      <c r="BCM7" s="99"/>
      <c r="BCN7" s="99"/>
      <c r="BCO7" s="99"/>
      <c r="BCP7" s="99"/>
      <c r="BCQ7" s="99"/>
      <c r="BCR7" s="99"/>
      <c r="BCS7" s="99"/>
      <c r="BCT7" s="99"/>
      <c r="BCU7" s="99"/>
      <c r="BCV7" s="99"/>
      <c r="BCW7" s="99"/>
      <c r="BCX7" s="99"/>
      <c r="BCY7" s="99"/>
      <c r="BCZ7" s="99"/>
      <c r="BDA7" s="99"/>
      <c r="BDB7" s="99"/>
      <c r="BDC7" s="99"/>
      <c r="BDD7" s="99"/>
      <c r="BDE7" s="99"/>
      <c r="BDF7" s="99"/>
      <c r="BDG7" s="99"/>
      <c r="BDH7" s="99"/>
      <c r="BDI7" s="99"/>
      <c r="BDJ7" s="99"/>
      <c r="BDK7" s="99"/>
      <c r="BDL7" s="99"/>
      <c r="BDM7" s="99"/>
      <c r="BDN7" s="99"/>
      <c r="BDO7" s="99"/>
      <c r="BDP7" s="99"/>
      <c r="BDQ7" s="99"/>
      <c r="BDR7" s="99"/>
      <c r="BDS7" s="99"/>
      <c r="BDT7" s="99"/>
      <c r="BDU7" s="99"/>
      <c r="BDV7" s="99"/>
      <c r="BDW7" s="99"/>
      <c r="BDX7" s="99"/>
      <c r="BDY7" s="99"/>
      <c r="BDZ7" s="99"/>
      <c r="BEA7" s="99"/>
      <c r="BEB7" s="99"/>
      <c r="BEC7" s="99"/>
      <c r="BED7" s="99"/>
      <c r="BEE7" s="99"/>
      <c r="BEF7" s="99"/>
      <c r="BEG7" s="99"/>
      <c r="BEH7" s="99"/>
      <c r="BEI7" s="99"/>
      <c r="BEJ7" s="99"/>
      <c r="BEK7" s="99"/>
      <c r="BEL7" s="99"/>
      <c r="BEM7" s="99"/>
      <c r="BEN7" s="99"/>
      <c r="BEO7" s="99"/>
      <c r="BEP7" s="99"/>
      <c r="BEQ7" s="99"/>
      <c r="BER7" s="99"/>
      <c r="BES7" s="99"/>
      <c r="BET7" s="99"/>
      <c r="BEU7" s="99"/>
      <c r="BEV7" s="99"/>
      <c r="BEW7" s="99"/>
      <c r="BEX7" s="99"/>
      <c r="BEY7" s="99"/>
      <c r="BEZ7" s="99"/>
      <c r="BFA7" s="99"/>
      <c r="BFB7" s="99"/>
      <c r="BFC7" s="99"/>
      <c r="BFD7" s="99"/>
      <c r="BFE7" s="99"/>
      <c r="BFF7" s="99"/>
      <c r="BFG7" s="99"/>
      <c r="BFH7" s="99"/>
      <c r="BFI7" s="99"/>
      <c r="BFJ7" s="99"/>
      <c r="BFK7" s="99"/>
      <c r="BFL7" s="99"/>
      <c r="BFM7" s="99"/>
      <c r="BFN7" s="99"/>
      <c r="BFO7" s="99"/>
      <c r="BFP7" s="99"/>
      <c r="BFQ7" s="99"/>
      <c r="BFR7" s="99"/>
      <c r="BFS7" s="99"/>
      <c r="BFT7" s="99"/>
      <c r="BFU7" s="99"/>
      <c r="BFV7" s="99"/>
      <c r="BFW7" s="99"/>
      <c r="BFX7" s="99"/>
      <c r="BFY7" s="99"/>
      <c r="BFZ7" s="99"/>
      <c r="BGA7" s="99"/>
      <c r="BGB7" s="99"/>
      <c r="BGC7" s="99"/>
      <c r="BGD7" s="99"/>
      <c r="BGE7" s="99"/>
      <c r="BGF7" s="99"/>
      <c r="BGG7" s="99"/>
      <c r="BGH7" s="99"/>
      <c r="BGI7" s="99"/>
      <c r="BGJ7" s="99"/>
      <c r="BGK7" s="99"/>
      <c r="BGL7" s="99"/>
      <c r="BGM7" s="99"/>
      <c r="BGN7" s="99"/>
      <c r="BGO7" s="99"/>
      <c r="BGP7" s="99"/>
      <c r="BGQ7" s="99"/>
      <c r="BGR7" s="99"/>
      <c r="BGS7" s="99"/>
      <c r="BGT7" s="99"/>
      <c r="BGU7" s="99"/>
      <c r="BGV7" s="99"/>
      <c r="BGW7" s="99"/>
      <c r="BGX7" s="99"/>
      <c r="BGY7" s="99"/>
      <c r="BGZ7" s="99"/>
      <c r="BHA7" s="99"/>
      <c r="BHB7" s="99"/>
      <c r="BHC7" s="99"/>
      <c r="BHD7" s="99"/>
      <c r="BHE7" s="99"/>
      <c r="BHF7" s="99"/>
      <c r="BHG7" s="99"/>
      <c r="BHH7" s="99"/>
      <c r="BHI7" s="99"/>
      <c r="BHJ7" s="99"/>
      <c r="BHK7" s="99"/>
      <c r="BHL7" s="99"/>
      <c r="BHM7" s="99"/>
      <c r="BHN7" s="99"/>
      <c r="BHO7" s="99"/>
      <c r="BHP7" s="99"/>
      <c r="BHQ7" s="99"/>
      <c r="BHR7" s="99"/>
      <c r="BHS7" s="99"/>
      <c r="BHT7" s="99"/>
      <c r="BHU7" s="99"/>
      <c r="BHV7" s="99"/>
      <c r="BHW7" s="99"/>
      <c r="BHX7" s="99"/>
      <c r="BHY7" s="99"/>
      <c r="BHZ7" s="99"/>
      <c r="BIA7" s="99"/>
      <c r="BIB7" s="99"/>
      <c r="BIC7" s="99"/>
      <c r="BID7" s="99"/>
      <c r="BIE7" s="99"/>
      <c r="BIF7" s="99"/>
      <c r="BIG7" s="99"/>
      <c r="BIH7" s="99"/>
      <c r="BII7" s="99"/>
      <c r="BIJ7" s="99"/>
      <c r="BIK7" s="99"/>
      <c r="BIL7" s="99"/>
      <c r="BIM7" s="99"/>
      <c r="BIN7" s="99"/>
      <c r="BIO7" s="99"/>
      <c r="BIP7" s="99"/>
      <c r="BIQ7" s="99"/>
      <c r="BIR7" s="99"/>
      <c r="BIS7" s="99"/>
      <c r="BIT7" s="99"/>
      <c r="BIU7" s="99"/>
      <c r="BIV7" s="99"/>
      <c r="BIW7" s="99"/>
      <c r="BIX7" s="99"/>
      <c r="BIY7" s="99"/>
      <c r="BIZ7" s="99"/>
      <c r="BJA7" s="99"/>
      <c r="BJB7" s="99"/>
      <c r="BJC7" s="99"/>
      <c r="BJD7" s="99"/>
      <c r="BJE7" s="99"/>
      <c r="BJF7" s="99"/>
      <c r="BJG7" s="99"/>
      <c r="BJH7" s="99"/>
      <c r="BJI7" s="99"/>
      <c r="BJJ7" s="99"/>
      <c r="BJK7" s="99"/>
      <c r="BJL7" s="99"/>
      <c r="BJM7" s="99"/>
      <c r="BJN7" s="99"/>
      <c r="BJO7" s="99"/>
      <c r="BJP7" s="99"/>
      <c r="BJQ7" s="99"/>
      <c r="BJR7" s="99"/>
      <c r="BJS7" s="99"/>
      <c r="BJT7" s="99"/>
      <c r="BJU7" s="99"/>
      <c r="BJV7" s="99"/>
      <c r="BJW7" s="99"/>
      <c r="BJX7" s="99"/>
      <c r="BJY7" s="99"/>
      <c r="BJZ7" s="99"/>
      <c r="BKA7" s="99"/>
      <c r="BKB7" s="99"/>
      <c r="BKC7" s="99"/>
      <c r="BKD7" s="99"/>
      <c r="BKE7" s="99"/>
      <c r="BKF7" s="99"/>
      <c r="BKG7" s="99"/>
      <c r="BKH7" s="99"/>
      <c r="BKI7" s="99"/>
      <c r="BKJ7" s="99"/>
      <c r="BKK7" s="99"/>
      <c r="BKL7" s="99"/>
      <c r="BKM7" s="99"/>
      <c r="BKN7" s="99"/>
      <c r="BKO7" s="99"/>
      <c r="BKP7" s="99"/>
      <c r="BKQ7" s="99"/>
      <c r="BKR7" s="99"/>
      <c r="BKS7" s="99"/>
      <c r="BKT7" s="99"/>
      <c r="BKU7" s="99"/>
      <c r="BKV7" s="99"/>
      <c r="BKW7" s="99"/>
      <c r="BKX7" s="99"/>
      <c r="BKY7" s="99"/>
      <c r="BKZ7" s="99"/>
      <c r="BLA7" s="99"/>
      <c r="BLB7" s="99"/>
      <c r="BLC7" s="99"/>
      <c r="BLD7" s="99"/>
      <c r="BLE7" s="99"/>
      <c r="BLF7" s="99"/>
      <c r="BLG7" s="99"/>
      <c r="BLH7" s="99"/>
      <c r="BLI7" s="99"/>
      <c r="BLJ7" s="99"/>
      <c r="BLK7" s="99"/>
      <c r="BLL7" s="99"/>
      <c r="BLM7" s="99"/>
      <c r="BLN7" s="99"/>
      <c r="BLO7" s="99"/>
      <c r="BLP7" s="99"/>
      <c r="BLQ7" s="99"/>
      <c r="BLR7" s="99"/>
      <c r="BLS7" s="99"/>
      <c r="BLT7" s="99"/>
      <c r="BLU7" s="99"/>
      <c r="BLV7" s="99"/>
      <c r="BLW7" s="99"/>
      <c r="BLX7" s="99"/>
      <c r="BLY7" s="99"/>
      <c r="BLZ7" s="99"/>
      <c r="BMA7" s="99"/>
      <c r="BMB7" s="99"/>
      <c r="BMC7" s="99"/>
      <c r="BMD7" s="99"/>
      <c r="BME7" s="99"/>
      <c r="BMF7" s="99"/>
      <c r="BMG7" s="99"/>
      <c r="BMH7" s="99"/>
      <c r="BMI7" s="99"/>
      <c r="BMJ7" s="99"/>
      <c r="BMK7" s="99"/>
      <c r="BML7" s="99"/>
      <c r="BMM7" s="99"/>
      <c r="BMN7" s="99"/>
      <c r="BMO7" s="99"/>
      <c r="BMP7" s="99"/>
      <c r="BMQ7" s="99"/>
      <c r="BMR7" s="99"/>
      <c r="BMS7" s="99"/>
      <c r="BMT7" s="99"/>
      <c r="BMU7" s="99"/>
      <c r="BMV7" s="99"/>
      <c r="BMW7" s="99"/>
      <c r="BMX7" s="99"/>
      <c r="BMY7" s="99"/>
      <c r="BMZ7" s="99"/>
      <c r="BNA7" s="99"/>
      <c r="BNB7" s="99"/>
      <c r="BNC7" s="99"/>
      <c r="BND7" s="99"/>
      <c r="BNE7" s="99"/>
      <c r="BNF7" s="99"/>
      <c r="BNG7" s="99"/>
      <c r="BNH7" s="99"/>
      <c r="BNI7" s="99"/>
      <c r="BNJ7" s="99"/>
      <c r="BNK7" s="99"/>
      <c r="BNL7" s="99"/>
      <c r="BNM7" s="99"/>
      <c r="BNN7" s="99"/>
      <c r="BNO7" s="99"/>
      <c r="BNP7" s="99"/>
      <c r="BNQ7" s="99"/>
      <c r="BNR7" s="99"/>
      <c r="BNS7" s="99"/>
      <c r="BNT7" s="99"/>
      <c r="BNU7" s="99"/>
      <c r="BNV7" s="99"/>
      <c r="BNW7" s="99"/>
      <c r="BNX7" s="99"/>
      <c r="BNY7" s="99"/>
      <c r="BNZ7" s="99"/>
      <c r="BOA7" s="99"/>
      <c r="BOB7" s="99"/>
      <c r="BOC7" s="99"/>
      <c r="BOD7" s="99"/>
      <c r="BOE7" s="99"/>
      <c r="BOF7" s="99"/>
      <c r="BOG7" s="99"/>
      <c r="BOH7" s="99"/>
      <c r="BOI7" s="99"/>
      <c r="BOJ7" s="99"/>
      <c r="BOK7" s="99"/>
      <c r="BOL7" s="99"/>
      <c r="BOM7" s="99"/>
      <c r="BON7" s="99"/>
      <c r="BOO7" s="99"/>
      <c r="BOP7" s="99"/>
      <c r="BOQ7" s="99"/>
      <c r="BOR7" s="99"/>
      <c r="BOS7" s="99"/>
      <c r="BOT7" s="99"/>
      <c r="BOU7" s="99"/>
      <c r="BOV7" s="99"/>
      <c r="BOW7" s="99"/>
      <c r="BOX7" s="99"/>
      <c r="BOY7" s="99"/>
      <c r="BOZ7" s="99"/>
      <c r="BPA7" s="99"/>
      <c r="BPB7" s="99"/>
      <c r="BPC7" s="99"/>
      <c r="BPD7" s="99"/>
      <c r="BPE7" s="99"/>
      <c r="BPF7" s="99"/>
      <c r="BPG7" s="99"/>
      <c r="BPH7" s="99"/>
      <c r="BPI7" s="99"/>
      <c r="BPJ7" s="99"/>
      <c r="BPK7" s="99"/>
      <c r="BPL7" s="99"/>
      <c r="BPM7" s="99"/>
      <c r="BPN7" s="99"/>
      <c r="BPO7" s="99"/>
      <c r="BPP7" s="99"/>
      <c r="BPQ7" s="99"/>
      <c r="BPR7" s="99"/>
      <c r="BPS7" s="99"/>
      <c r="BPT7" s="99"/>
      <c r="BPU7" s="99"/>
      <c r="BPV7" s="99"/>
      <c r="BPW7" s="99"/>
      <c r="BPX7" s="99"/>
      <c r="BPY7" s="99"/>
      <c r="BPZ7" s="99"/>
      <c r="BQA7" s="99"/>
      <c r="BQB7" s="99"/>
      <c r="BQC7" s="99"/>
      <c r="BQD7" s="99"/>
      <c r="BQE7" s="99"/>
      <c r="BQF7" s="99"/>
      <c r="BQG7" s="99"/>
      <c r="BQH7" s="99"/>
      <c r="BQI7" s="99"/>
      <c r="BQJ7" s="99"/>
      <c r="BQK7" s="99"/>
      <c r="BQL7" s="99"/>
      <c r="BQM7" s="99"/>
      <c r="BQN7" s="99"/>
      <c r="BQO7" s="99"/>
      <c r="BQP7" s="99"/>
      <c r="BQQ7" s="99"/>
      <c r="BQR7" s="99"/>
      <c r="BQS7" s="99"/>
      <c r="BQT7" s="99"/>
      <c r="BQU7" s="99"/>
      <c r="BQV7" s="99"/>
      <c r="BQW7" s="99"/>
      <c r="BQX7" s="99"/>
      <c r="BQY7" s="99"/>
      <c r="BQZ7" s="99"/>
      <c r="BRA7" s="99"/>
      <c r="BRB7" s="99"/>
      <c r="BRC7" s="99"/>
      <c r="BRD7" s="99"/>
      <c r="BRE7" s="99"/>
      <c r="BRF7" s="99"/>
      <c r="BRG7" s="99"/>
      <c r="BRH7" s="99"/>
      <c r="BRI7" s="99"/>
      <c r="BRJ7" s="99"/>
      <c r="BRK7" s="99"/>
      <c r="BRL7" s="99"/>
      <c r="BRM7" s="99"/>
      <c r="BRN7" s="99"/>
      <c r="BRO7" s="99"/>
      <c r="BRP7" s="99"/>
      <c r="BRQ7" s="99"/>
      <c r="BRR7" s="99"/>
      <c r="BRS7" s="99"/>
      <c r="BRT7" s="99"/>
      <c r="BRU7" s="99"/>
      <c r="BRV7" s="99"/>
      <c r="BRW7" s="99"/>
      <c r="BRX7" s="99"/>
      <c r="BRY7" s="99"/>
      <c r="BRZ7" s="99"/>
      <c r="BSA7" s="99"/>
      <c r="BSB7" s="99"/>
      <c r="BSC7" s="99"/>
      <c r="BSD7" s="99"/>
      <c r="BSE7" s="99"/>
      <c r="BSF7" s="99"/>
      <c r="BSG7" s="99"/>
      <c r="BSH7" s="99"/>
      <c r="BSI7" s="99"/>
      <c r="BSJ7" s="99"/>
      <c r="BSK7" s="99"/>
      <c r="BSL7" s="99"/>
      <c r="BSM7" s="99"/>
      <c r="BSN7" s="99"/>
      <c r="BSO7" s="99"/>
      <c r="BSP7" s="99"/>
      <c r="BSQ7" s="99"/>
      <c r="BSR7" s="99"/>
      <c r="BSS7" s="99"/>
      <c r="BST7" s="99"/>
      <c r="BSU7" s="99"/>
      <c r="BSV7" s="99"/>
      <c r="BSW7" s="99"/>
      <c r="BSX7" s="99"/>
      <c r="BSY7" s="99"/>
      <c r="BSZ7" s="99"/>
      <c r="BTA7" s="99"/>
      <c r="BTB7" s="99"/>
      <c r="BTC7" s="99"/>
      <c r="BTD7" s="99"/>
      <c r="BTE7" s="99"/>
      <c r="BTF7" s="99"/>
      <c r="BTG7" s="99"/>
      <c r="BTH7" s="99"/>
      <c r="BTI7" s="99"/>
      <c r="BTJ7" s="99"/>
      <c r="BTK7" s="99"/>
      <c r="BTL7" s="99"/>
      <c r="BTM7" s="99"/>
      <c r="BTN7" s="99"/>
      <c r="BTO7" s="99"/>
      <c r="BTP7" s="99"/>
      <c r="BTQ7" s="99"/>
      <c r="BTR7" s="99"/>
      <c r="BTS7" s="99"/>
      <c r="BTT7" s="99"/>
      <c r="BTU7" s="99"/>
      <c r="BTV7" s="99"/>
      <c r="BTW7" s="99"/>
      <c r="BTX7" s="99"/>
      <c r="BTY7" s="99"/>
      <c r="BTZ7" s="99"/>
      <c r="BUA7" s="99"/>
      <c r="BUB7" s="99"/>
      <c r="BUC7" s="99"/>
      <c r="BUD7" s="99"/>
      <c r="BUE7" s="99"/>
      <c r="BUF7" s="99"/>
      <c r="BUG7" s="99"/>
      <c r="BUH7" s="99"/>
      <c r="BUI7" s="99"/>
      <c r="BUJ7" s="99"/>
      <c r="BUK7" s="99"/>
      <c r="BUL7" s="99"/>
      <c r="BUM7" s="99"/>
      <c r="BUN7" s="99"/>
      <c r="BUO7" s="99"/>
      <c r="BUP7" s="99"/>
      <c r="BUQ7" s="99"/>
      <c r="BUR7" s="99"/>
      <c r="BUS7" s="99"/>
      <c r="BUT7" s="99"/>
      <c r="BUU7" s="99"/>
      <c r="BUV7" s="99"/>
      <c r="BUW7" s="99"/>
      <c r="BUX7" s="99"/>
      <c r="BUY7" s="99"/>
      <c r="BUZ7" s="99"/>
      <c r="BVA7" s="99"/>
      <c r="BVB7" s="99"/>
      <c r="BVC7" s="99"/>
      <c r="BVD7" s="99"/>
      <c r="BVE7" s="99"/>
      <c r="BVF7" s="99"/>
      <c r="BVG7" s="99"/>
      <c r="BVH7" s="99"/>
      <c r="BVI7" s="99"/>
      <c r="BVJ7" s="99"/>
      <c r="BVK7" s="99"/>
      <c r="BVL7" s="99"/>
      <c r="BVM7" s="99"/>
      <c r="BVN7" s="99"/>
      <c r="BVO7" s="99"/>
      <c r="BVP7" s="99"/>
      <c r="BVQ7" s="99"/>
      <c r="BVR7" s="99"/>
      <c r="BVS7" s="99"/>
      <c r="BVT7" s="99"/>
      <c r="BVU7" s="99"/>
      <c r="BVV7" s="99"/>
      <c r="BVW7" s="99"/>
      <c r="BVX7" s="99"/>
      <c r="BVY7" s="99"/>
      <c r="BVZ7" s="99"/>
      <c r="BWA7" s="99"/>
      <c r="BWB7" s="99"/>
      <c r="BWC7" s="99"/>
      <c r="BWD7" s="99"/>
      <c r="BWE7" s="99"/>
      <c r="BWF7" s="99"/>
      <c r="BWG7" s="99"/>
      <c r="BWH7" s="99"/>
      <c r="BWI7" s="99"/>
      <c r="BWJ7" s="99"/>
      <c r="BWK7" s="99"/>
      <c r="BWL7" s="99"/>
      <c r="BWM7" s="99"/>
      <c r="BWN7" s="99"/>
      <c r="BWO7" s="99"/>
      <c r="BWP7" s="99"/>
      <c r="BWQ7" s="99"/>
      <c r="BWR7" s="99"/>
      <c r="BWS7" s="99"/>
      <c r="BWT7" s="99"/>
      <c r="BWU7" s="99"/>
      <c r="BWV7" s="99"/>
      <c r="BWW7" s="99"/>
      <c r="BWX7" s="99"/>
      <c r="BWY7" s="99"/>
      <c r="BWZ7" s="99"/>
      <c r="BXA7" s="99"/>
      <c r="BXB7" s="99"/>
      <c r="BXC7" s="99"/>
      <c r="BXD7" s="99"/>
      <c r="BXE7" s="99"/>
      <c r="BXF7" s="99"/>
      <c r="BXG7" s="99"/>
      <c r="BXH7" s="99"/>
      <c r="BXI7" s="99"/>
      <c r="BXJ7" s="99"/>
      <c r="BXK7" s="99"/>
      <c r="BXL7" s="99"/>
      <c r="BXM7" s="99"/>
      <c r="BXN7" s="99"/>
      <c r="BXO7" s="99"/>
      <c r="BXP7" s="99"/>
      <c r="BXQ7" s="99"/>
      <c r="BXR7" s="99"/>
      <c r="BXS7" s="99"/>
      <c r="BXT7" s="99"/>
      <c r="BXU7" s="99"/>
      <c r="BXV7" s="99"/>
      <c r="BXW7" s="99"/>
      <c r="BXX7" s="99"/>
      <c r="BXY7" s="99"/>
      <c r="BXZ7" s="99"/>
      <c r="BYA7" s="99"/>
      <c r="BYB7" s="99"/>
      <c r="BYC7" s="99"/>
      <c r="BYD7" s="99"/>
      <c r="BYE7" s="99"/>
      <c r="BYF7" s="99"/>
      <c r="BYG7" s="99"/>
      <c r="BYH7" s="99"/>
      <c r="BYI7" s="99"/>
      <c r="BYJ7" s="99"/>
      <c r="BYK7" s="99"/>
      <c r="BYL7" s="99"/>
      <c r="BYM7" s="99"/>
      <c r="BYN7" s="99"/>
      <c r="BYO7" s="99"/>
      <c r="BYP7" s="99"/>
      <c r="BYQ7" s="99"/>
      <c r="BYR7" s="99"/>
      <c r="BYS7" s="99"/>
      <c r="BYT7" s="99"/>
      <c r="BYU7" s="99"/>
      <c r="BYV7" s="99"/>
      <c r="BYW7" s="99"/>
      <c r="BYX7" s="99"/>
      <c r="BYY7" s="99"/>
      <c r="BYZ7" s="99"/>
      <c r="BZA7" s="99"/>
      <c r="BZB7" s="99"/>
      <c r="BZC7" s="99"/>
      <c r="BZD7" s="99"/>
      <c r="BZE7" s="99"/>
      <c r="BZF7" s="99"/>
      <c r="BZG7" s="99"/>
      <c r="BZH7" s="99"/>
      <c r="BZI7" s="99"/>
      <c r="BZJ7" s="99"/>
      <c r="BZK7" s="99"/>
      <c r="BZL7" s="99"/>
      <c r="BZM7" s="99"/>
      <c r="BZN7" s="99"/>
      <c r="BZO7" s="99"/>
      <c r="BZP7" s="99"/>
      <c r="BZQ7" s="99"/>
      <c r="BZR7" s="99"/>
      <c r="BZS7" s="99"/>
      <c r="BZT7" s="99"/>
      <c r="BZU7" s="99"/>
      <c r="BZV7" s="99"/>
      <c r="BZW7" s="99"/>
      <c r="BZX7" s="99"/>
      <c r="BZY7" s="99"/>
      <c r="BZZ7" s="99"/>
      <c r="CAA7" s="99"/>
      <c r="CAB7" s="99"/>
      <c r="CAC7" s="99"/>
      <c r="CAD7" s="99"/>
      <c r="CAE7" s="99"/>
      <c r="CAF7" s="99"/>
      <c r="CAG7" s="99"/>
      <c r="CAH7" s="99"/>
      <c r="CAI7" s="99"/>
      <c r="CAJ7" s="99"/>
      <c r="CAK7" s="99"/>
      <c r="CAL7" s="99"/>
      <c r="CAM7" s="99"/>
      <c r="CAN7" s="99"/>
      <c r="CAO7" s="99"/>
      <c r="CAP7" s="99"/>
      <c r="CAQ7" s="99"/>
      <c r="CAR7" s="99"/>
      <c r="CAS7" s="99"/>
      <c r="CAT7" s="99"/>
      <c r="CAU7" s="99"/>
      <c r="CAV7" s="99"/>
      <c r="CAW7" s="99"/>
      <c r="CAX7" s="99"/>
      <c r="CAY7" s="99"/>
      <c r="CAZ7" s="99"/>
      <c r="CBA7" s="99"/>
      <c r="CBB7" s="99"/>
      <c r="CBC7" s="99"/>
      <c r="CBD7" s="99"/>
      <c r="CBE7" s="99"/>
      <c r="CBF7" s="99"/>
      <c r="CBG7" s="99"/>
      <c r="CBH7" s="99"/>
      <c r="CBI7" s="99"/>
      <c r="CBJ7" s="99"/>
      <c r="CBK7" s="99"/>
      <c r="CBL7" s="99"/>
      <c r="CBM7" s="99"/>
      <c r="CBN7" s="99"/>
      <c r="CBO7" s="99"/>
      <c r="CBP7" s="99"/>
      <c r="CBQ7" s="99"/>
      <c r="CBR7" s="99"/>
      <c r="CBS7" s="99"/>
      <c r="CBT7" s="99"/>
      <c r="CBU7" s="99"/>
      <c r="CBV7" s="99"/>
      <c r="CBW7" s="99"/>
      <c r="CBX7" s="99"/>
      <c r="CBY7" s="99"/>
      <c r="CBZ7" s="99"/>
      <c r="CCA7" s="99"/>
      <c r="CCB7" s="99"/>
      <c r="CCC7" s="99"/>
      <c r="CCD7" s="99"/>
      <c r="CCE7" s="99"/>
      <c r="CCF7" s="99"/>
      <c r="CCG7" s="99"/>
      <c r="CCH7" s="99"/>
      <c r="CCI7" s="99"/>
      <c r="CCJ7" s="99"/>
      <c r="CCK7" s="99"/>
      <c r="CCL7" s="99"/>
      <c r="CCM7" s="99"/>
      <c r="CCN7" s="99"/>
      <c r="CCO7" s="99"/>
      <c r="CCP7" s="99"/>
      <c r="CCQ7" s="99"/>
      <c r="CCR7" s="99"/>
      <c r="CCS7" s="99"/>
      <c r="CCT7" s="99"/>
      <c r="CCU7" s="99"/>
      <c r="CCV7" s="99"/>
      <c r="CCW7" s="99"/>
      <c r="CCX7" s="99"/>
      <c r="CCY7" s="99"/>
      <c r="CCZ7" s="99"/>
      <c r="CDA7" s="99"/>
      <c r="CDB7" s="99"/>
      <c r="CDC7" s="99"/>
      <c r="CDD7" s="99"/>
      <c r="CDE7" s="99"/>
      <c r="CDF7" s="99"/>
      <c r="CDG7" s="99"/>
      <c r="CDH7" s="99"/>
      <c r="CDI7" s="99"/>
      <c r="CDJ7" s="99"/>
      <c r="CDK7" s="99"/>
      <c r="CDL7" s="99"/>
      <c r="CDM7" s="99"/>
      <c r="CDN7" s="99"/>
      <c r="CDO7" s="99"/>
      <c r="CDP7" s="99"/>
      <c r="CDQ7" s="99"/>
      <c r="CDR7" s="99"/>
      <c r="CDS7" s="99"/>
      <c r="CDT7" s="99"/>
      <c r="CDU7" s="99"/>
      <c r="CDV7" s="99"/>
      <c r="CDW7" s="99"/>
      <c r="CDX7" s="99"/>
      <c r="CDY7" s="99"/>
      <c r="CDZ7" s="99"/>
      <c r="CEA7" s="99"/>
      <c r="CEB7" s="99"/>
      <c r="CEC7" s="99"/>
      <c r="CED7" s="99"/>
      <c r="CEE7" s="99"/>
      <c r="CEF7" s="99"/>
      <c r="CEG7" s="99"/>
      <c r="CEH7" s="99"/>
      <c r="CEI7" s="99"/>
      <c r="CEJ7" s="99"/>
      <c r="CEK7" s="99"/>
      <c r="CEL7" s="99"/>
      <c r="CEM7" s="99"/>
      <c r="CEN7" s="99"/>
      <c r="CEO7" s="99"/>
      <c r="CEP7" s="99"/>
      <c r="CEQ7" s="99"/>
      <c r="CER7" s="99"/>
      <c r="CES7" s="99"/>
      <c r="CET7" s="99"/>
      <c r="CEU7" s="99"/>
      <c r="CEV7" s="99"/>
      <c r="CEW7" s="99"/>
      <c r="CEX7" s="99"/>
      <c r="CEY7" s="99"/>
      <c r="CEZ7" s="99"/>
      <c r="CFA7" s="99"/>
      <c r="CFB7" s="99"/>
      <c r="CFC7" s="99"/>
      <c r="CFD7" s="99"/>
      <c r="CFE7" s="99"/>
      <c r="CFF7" s="99"/>
      <c r="CFG7" s="99"/>
      <c r="CFH7" s="99"/>
      <c r="CFI7" s="99"/>
      <c r="CFJ7" s="99"/>
      <c r="CFK7" s="99"/>
      <c r="CFL7" s="99"/>
      <c r="CFM7" s="99"/>
      <c r="CFN7" s="99"/>
      <c r="CFO7" s="99"/>
      <c r="CFP7" s="99"/>
      <c r="CFQ7" s="99"/>
      <c r="CFR7" s="99"/>
      <c r="CFS7" s="99"/>
      <c r="CFT7" s="99"/>
      <c r="CFU7" s="99"/>
      <c r="CFV7" s="99"/>
      <c r="CFW7" s="99"/>
      <c r="CFX7" s="99"/>
      <c r="CFY7" s="99"/>
      <c r="CFZ7" s="99"/>
      <c r="CGA7" s="99"/>
      <c r="CGB7" s="99"/>
      <c r="CGC7" s="99"/>
      <c r="CGD7" s="99"/>
      <c r="CGE7" s="99"/>
      <c r="CGF7" s="99"/>
      <c r="CGG7" s="99"/>
      <c r="CGH7" s="99"/>
      <c r="CGI7" s="99"/>
      <c r="CGJ7" s="99"/>
      <c r="CGK7" s="99"/>
      <c r="CGL7" s="99"/>
      <c r="CGM7" s="99"/>
      <c r="CGN7" s="99"/>
      <c r="CGO7" s="99"/>
      <c r="CGP7" s="99"/>
      <c r="CGQ7" s="99"/>
      <c r="CGR7" s="99"/>
      <c r="CGS7" s="99"/>
      <c r="CGT7" s="99"/>
      <c r="CGU7" s="99"/>
      <c r="CGV7" s="99"/>
      <c r="CGW7" s="99"/>
      <c r="CGX7" s="99"/>
      <c r="CGY7" s="99"/>
      <c r="CGZ7" s="99"/>
      <c r="CHA7" s="99"/>
      <c r="CHB7" s="99"/>
      <c r="CHC7" s="99"/>
      <c r="CHD7" s="99"/>
      <c r="CHE7" s="99"/>
      <c r="CHF7" s="99"/>
      <c r="CHG7" s="99"/>
      <c r="CHH7" s="99"/>
      <c r="CHI7" s="99"/>
      <c r="CHJ7" s="99"/>
      <c r="CHK7" s="99"/>
      <c r="CHL7" s="99"/>
      <c r="CHM7" s="99"/>
      <c r="CHN7" s="99"/>
      <c r="CHO7" s="99"/>
      <c r="CHP7" s="99"/>
      <c r="CHQ7" s="99"/>
      <c r="CHR7" s="99"/>
      <c r="CHS7" s="99"/>
      <c r="CHT7" s="99"/>
      <c r="CHU7" s="99"/>
      <c r="CHV7" s="99"/>
      <c r="CHW7" s="99"/>
      <c r="CHX7" s="99"/>
      <c r="CHY7" s="99"/>
      <c r="CHZ7" s="99"/>
      <c r="CIA7" s="99"/>
      <c r="CIB7" s="99"/>
      <c r="CIC7" s="99"/>
      <c r="CID7" s="99"/>
      <c r="CIE7" s="99"/>
      <c r="CIF7" s="99"/>
      <c r="CIG7" s="99"/>
      <c r="CIH7" s="99"/>
      <c r="CII7" s="99"/>
      <c r="CIJ7" s="99"/>
      <c r="CIK7" s="99"/>
      <c r="CIL7" s="99"/>
      <c r="CIM7" s="99"/>
      <c r="CIN7" s="99"/>
      <c r="CIO7" s="99"/>
      <c r="CIP7" s="99"/>
      <c r="CIQ7" s="99"/>
      <c r="CIR7" s="99"/>
      <c r="CIS7" s="99"/>
      <c r="CIT7" s="99"/>
      <c r="CIU7" s="99"/>
      <c r="CIV7" s="99"/>
      <c r="CIW7" s="99"/>
      <c r="CIX7" s="99"/>
      <c r="CIY7" s="99"/>
      <c r="CIZ7" s="99"/>
      <c r="CJA7" s="99"/>
      <c r="CJB7" s="99"/>
      <c r="CJC7" s="99"/>
      <c r="CJD7" s="99"/>
      <c r="CJE7" s="99"/>
      <c r="CJF7" s="99"/>
      <c r="CJG7" s="99"/>
      <c r="CJH7" s="99"/>
      <c r="CJI7" s="99"/>
      <c r="CJJ7" s="99"/>
      <c r="CJK7" s="99"/>
      <c r="CJL7" s="99"/>
      <c r="CJM7" s="99"/>
      <c r="CJN7" s="99"/>
      <c r="CJO7" s="99"/>
      <c r="CJP7" s="99"/>
      <c r="CJQ7" s="99"/>
      <c r="CJR7" s="99"/>
      <c r="CJS7" s="99"/>
      <c r="CJT7" s="99"/>
      <c r="CJU7" s="99"/>
      <c r="CJV7" s="99"/>
      <c r="CJW7" s="99"/>
      <c r="CJX7" s="99"/>
      <c r="CJY7" s="99"/>
      <c r="CJZ7" s="99"/>
      <c r="CKA7" s="99"/>
      <c r="CKB7" s="99"/>
      <c r="CKC7" s="99"/>
      <c r="CKD7" s="99"/>
      <c r="CKE7" s="99"/>
      <c r="CKF7" s="99"/>
      <c r="CKG7" s="99"/>
      <c r="CKH7" s="99"/>
      <c r="CKI7" s="99"/>
      <c r="CKJ7" s="99"/>
      <c r="CKK7" s="99"/>
      <c r="CKL7" s="99"/>
      <c r="CKM7" s="99"/>
      <c r="CKN7" s="99"/>
      <c r="CKO7" s="99"/>
      <c r="CKP7" s="99"/>
      <c r="CKQ7" s="99"/>
      <c r="CKR7" s="99"/>
      <c r="CKS7" s="99"/>
      <c r="CKT7" s="99"/>
      <c r="CKU7" s="99"/>
      <c r="CKV7" s="99"/>
      <c r="CKW7" s="99"/>
      <c r="CKX7" s="99"/>
      <c r="CKY7" s="99"/>
      <c r="CKZ7" s="99"/>
      <c r="CLA7" s="99"/>
      <c r="CLB7" s="99"/>
      <c r="CLC7" s="99"/>
      <c r="CLD7" s="99"/>
      <c r="CLE7" s="99"/>
      <c r="CLF7" s="99"/>
      <c r="CLG7" s="99"/>
      <c r="CLH7" s="99"/>
      <c r="CLI7" s="99"/>
      <c r="CLJ7" s="99"/>
      <c r="CLK7" s="99"/>
      <c r="CLL7" s="99"/>
      <c r="CLM7" s="99"/>
      <c r="CLN7" s="99"/>
      <c r="CLO7" s="99"/>
      <c r="CLP7" s="99"/>
      <c r="CLQ7" s="99"/>
      <c r="CLR7" s="99"/>
      <c r="CLS7" s="99"/>
      <c r="CLT7" s="99"/>
      <c r="CLU7" s="99"/>
      <c r="CLV7" s="99"/>
      <c r="CLW7" s="99"/>
      <c r="CLX7" s="99"/>
      <c r="CLY7" s="99"/>
      <c r="CLZ7" s="99"/>
      <c r="CMA7" s="99"/>
      <c r="CMB7" s="99"/>
      <c r="CMC7" s="99"/>
      <c r="CMD7" s="99"/>
      <c r="CME7" s="99"/>
      <c r="CMF7" s="99"/>
      <c r="CMG7" s="99"/>
      <c r="CMH7" s="99"/>
      <c r="CMI7" s="99"/>
      <c r="CMJ7" s="99"/>
      <c r="CMK7" s="99"/>
      <c r="CML7" s="99"/>
      <c r="CMM7" s="99"/>
      <c r="CMN7" s="99"/>
      <c r="CMO7" s="99"/>
      <c r="CMP7" s="99"/>
      <c r="CMQ7" s="99"/>
      <c r="CMR7" s="99"/>
      <c r="CMS7" s="99"/>
      <c r="CMT7" s="99"/>
      <c r="CMU7" s="99"/>
      <c r="CMV7" s="99"/>
      <c r="CMW7" s="99"/>
      <c r="CMX7" s="99"/>
      <c r="CMY7" s="99"/>
      <c r="CMZ7" s="99"/>
      <c r="CNA7" s="99"/>
      <c r="CNB7" s="99"/>
      <c r="CNC7" s="99"/>
      <c r="CND7" s="99"/>
      <c r="CNE7" s="99"/>
      <c r="CNF7" s="99"/>
      <c r="CNG7" s="99"/>
      <c r="CNH7" s="99"/>
      <c r="CNI7" s="99"/>
      <c r="CNJ7" s="99"/>
      <c r="CNK7" s="99"/>
      <c r="CNL7" s="99"/>
      <c r="CNM7" s="99"/>
      <c r="CNN7" s="99"/>
      <c r="CNO7" s="99"/>
      <c r="CNP7" s="99"/>
      <c r="CNQ7" s="99"/>
      <c r="CNR7" s="99"/>
      <c r="CNS7" s="99"/>
      <c r="CNT7" s="99"/>
      <c r="CNU7" s="99"/>
      <c r="CNV7" s="99"/>
      <c r="CNW7" s="99"/>
      <c r="CNX7" s="99"/>
      <c r="CNY7" s="99"/>
      <c r="CNZ7" s="99"/>
      <c r="COA7" s="99"/>
      <c r="COB7" s="99"/>
      <c r="COC7" s="99"/>
      <c r="COD7" s="99"/>
      <c r="COE7" s="99"/>
      <c r="COF7" s="99"/>
      <c r="COG7" s="99"/>
      <c r="COH7" s="99"/>
      <c r="COI7" s="99"/>
      <c r="COJ7" s="99"/>
      <c r="COK7" s="99"/>
      <c r="COL7" s="99"/>
      <c r="COM7" s="99"/>
      <c r="CON7" s="99"/>
      <c r="COO7" s="99"/>
      <c r="COP7" s="99"/>
      <c r="COQ7" s="99"/>
      <c r="COR7" s="99"/>
      <c r="COS7" s="99"/>
      <c r="COT7" s="99"/>
      <c r="COU7" s="99"/>
      <c r="COV7" s="99"/>
      <c r="COW7" s="99"/>
      <c r="COX7" s="99"/>
      <c r="COY7" s="99"/>
      <c r="COZ7" s="99"/>
      <c r="CPA7" s="99"/>
      <c r="CPB7" s="99"/>
      <c r="CPC7" s="99"/>
      <c r="CPD7" s="99"/>
      <c r="CPE7" s="99"/>
      <c r="CPF7" s="99"/>
      <c r="CPG7" s="99"/>
      <c r="CPH7" s="99"/>
      <c r="CPI7" s="99"/>
      <c r="CPJ7" s="99"/>
      <c r="CPK7" s="99"/>
      <c r="CPL7" s="99"/>
      <c r="CPM7" s="99"/>
      <c r="CPN7" s="99"/>
      <c r="CPO7" s="99"/>
      <c r="CPP7" s="99"/>
      <c r="CPQ7" s="99"/>
      <c r="CPR7" s="99"/>
      <c r="CPS7" s="99"/>
      <c r="CPT7" s="99"/>
      <c r="CPU7" s="99"/>
      <c r="CPV7" s="99"/>
      <c r="CPW7" s="99"/>
      <c r="CPX7" s="99"/>
      <c r="CPY7" s="99"/>
      <c r="CPZ7" s="99"/>
      <c r="CQA7" s="99"/>
      <c r="CQB7" s="99"/>
      <c r="CQC7" s="99"/>
      <c r="CQD7" s="99"/>
      <c r="CQE7" s="99"/>
      <c r="CQF7" s="99"/>
      <c r="CQG7" s="99"/>
      <c r="CQH7" s="99"/>
      <c r="CQI7" s="99"/>
      <c r="CQJ7" s="99"/>
      <c r="CQK7" s="99"/>
      <c r="CQL7" s="99"/>
      <c r="CQM7" s="99"/>
      <c r="CQN7" s="99"/>
      <c r="CQO7" s="99"/>
      <c r="CQP7" s="99"/>
      <c r="CQQ7" s="99"/>
      <c r="CQR7" s="99"/>
      <c r="CQS7" s="99"/>
      <c r="CQT7" s="99"/>
      <c r="CQU7" s="99"/>
      <c r="CQV7" s="99"/>
      <c r="CQW7" s="99"/>
      <c r="CQX7" s="99"/>
      <c r="CQY7" s="99"/>
      <c r="CQZ7" s="99"/>
      <c r="CRA7" s="99"/>
      <c r="CRB7" s="99"/>
      <c r="CRC7" s="99"/>
      <c r="CRD7" s="99"/>
      <c r="CRE7" s="99"/>
      <c r="CRF7" s="99"/>
      <c r="CRG7" s="99"/>
      <c r="CRH7" s="99"/>
      <c r="CRI7" s="99"/>
      <c r="CRJ7" s="99"/>
      <c r="CRK7" s="99"/>
      <c r="CRL7" s="99"/>
      <c r="CRM7" s="99"/>
      <c r="CRN7" s="99"/>
      <c r="CRO7" s="99"/>
      <c r="CRP7" s="99"/>
      <c r="CRQ7" s="99"/>
      <c r="CRR7" s="99"/>
      <c r="CRS7" s="99"/>
      <c r="CRT7" s="99"/>
      <c r="CRU7" s="99"/>
      <c r="CRV7" s="99"/>
      <c r="CRW7" s="99"/>
      <c r="CRX7" s="99"/>
      <c r="CRY7" s="99"/>
      <c r="CRZ7" s="99"/>
      <c r="CSA7" s="99"/>
      <c r="CSB7" s="99"/>
      <c r="CSC7" s="99"/>
      <c r="CSD7" s="99"/>
      <c r="CSE7" s="99"/>
      <c r="CSF7" s="99"/>
      <c r="CSG7" s="99"/>
      <c r="CSH7" s="99"/>
      <c r="CSI7" s="99"/>
      <c r="CSJ7" s="99"/>
      <c r="CSK7" s="99"/>
      <c r="CSL7" s="99"/>
      <c r="CSM7" s="99"/>
      <c r="CSN7" s="99"/>
      <c r="CSO7" s="99"/>
      <c r="CSP7" s="99"/>
      <c r="CSQ7" s="99"/>
      <c r="CSR7" s="99"/>
      <c r="CSS7" s="99"/>
      <c r="CST7" s="99"/>
      <c r="CSU7" s="99"/>
      <c r="CSV7" s="99"/>
      <c r="CSW7" s="99"/>
      <c r="CSX7" s="99"/>
      <c r="CSY7" s="99"/>
      <c r="CSZ7" s="99"/>
      <c r="CTA7" s="99"/>
      <c r="CTB7" s="99"/>
      <c r="CTC7" s="99"/>
      <c r="CTD7" s="99"/>
      <c r="CTE7" s="99"/>
      <c r="CTF7" s="99"/>
      <c r="CTG7" s="99"/>
      <c r="CTH7" s="99"/>
      <c r="CTI7" s="99"/>
      <c r="CTJ7" s="99"/>
      <c r="CTK7" s="99"/>
      <c r="CTL7" s="99"/>
      <c r="CTM7" s="99"/>
      <c r="CTN7" s="99"/>
      <c r="CTO7" s="99"/>
      <c r="CTP7" s="99"/>
      <c r="CTQ7" s="99"/>
      <c r="CTR7" s="99"/>
      <c r="CTS7" s="99"/>
      <c r="CTT7" s="99"/>
      <c r="CTU7" s="99"/>
      <c r="CTV7" s="99"/>
      <c r="CTW7" s="99"/>
      <c r="CTX7" s="99"/>
      <c r="CTY7" s="99"/>
      <c r="CTZ7" s="99"/>
      <c r="CUA7" s="99"/>
      <c r="CUB7" s="99"/>
      <c r="CUC7" s="99"/>
      <c r="CUD7" s="99"/>
      <c r="CUE7" s="99"/>
      <c r="CUF7" s="99"/>
      <c r="CUG7" s="99"/>
      <c r="CUH7" s="99"/>
      <c r="CUI7" s="99"/>
      <c r="CUJ7" s="99"/>
      <c r="CUK7" s="99"/>
      <c r="CUL7" s="99"/>
      <c r="CUM7" s="99"/>
      <c r="CUN7" s="99"/>
      <c r="CUO7" s="99"/>
      <c r="CUP7" s="99"/>
      <c r="CUQ7" s="99"/>
      <c r="CUR7" s="99"/>
      <c r="CUS7" s="99"/>
      <c r="CUT7" s="99"/>
      <c r="CUU7" s="99"/>
      <c r="CUV7" s="99"/>
      <c r="CUW7" s="99"/>
      <c r="CUX7" s="99"/>
      <c r="CUY7" s="99"/>
      <c r="CUZ7" s="99"/>
      <c r="CVA7" s="99"/>
      <c r="CVB7" s="99"/>
      <c r="CVC7" s="99"/>
      <c r="CVD7" s="99"/>
      <c r="CVE7" s="99"/>
      <c r="CVF7" s="99"/>
      <c r="CVG7" s="99"/>
      <c r="CVH7" s="99"/>
      <c r="CVI7" s="99"/>
      <c r="CVJ7" s="99"/>
      <c r="CVK7" s="99"/>
      <c r="CVL7" s="99"/>
      <c r="CVM7" s="99"/>
      <c r="CVN7" s="99"/>
      <c r="CVO7" s="99"/>
      <c r="CVP7" s="99"/>
      <c r="CVQ7" s="99"/>
      <c r="CVR7" s="99"/>
      <c r="CVS7" s="99"/>
      <c r="CVT7" s="99"/>
      <c r="CVU7" s="99"/>
      <c r="CVV7" s="99"/>
      <c r="CVW7" s="99"/>
      <c r="CVX7" s="99"/>
      <c r="CVY7" s="99"/>
      <c r="CVZ7" s="99"/>
      <c r="CWA7" s="99"/>
      <c r="CWB7" s="99"/>
      <c r="CWC7" s="99"/>
      <c r="CWD7" s="99"/>
      <c r="CWE7" s="99"/>
      <c r="CWF7" s="99"/>
      <c r="CWG7" s="99"/>
      <c r="CWH7" s="99"/>
      <c r="CWI7" s="99"/>
      <c r="CWJ7" s="99"/>
      <c r="CWK7" s="99"/>
      <c r="CWL7" s="99"/>
      <c r="CWM7" s="99"/>
      <c r="CWN7" s="99"/>
      <c r="CWO7" s="99"/>
      <c r="CWP7" s="99"/>
      <c r="CWQ7" s="99"/>
      <c r="CWR7" s="99"/>
      <c r="CWS7" s="99"/>
      <c r="CWT7" s="99"/>
      <c r="CWU7" s="99"/>
      <c r="CWV7" s="99"/>
      <c r="CWW7" s="99"/>
      <c r="CWX7" s="99"/>
      <c r="CWY7" s="99"/>
      <c r="CWZ7" s="99"/>
      <c r="CXA7" s="99"/>
      <c r="CXB7" s="99"/>
      <c r="CXC7" s="99"/>
      <c r="CXD7" s="99"/>
      <c r="CXE7" s="99"/>
      <c r="CXF7" s="99"/>
      <c r="CXG7" s="99"/>
      <c r="CXH7" s="99"/>
      <c r="CXI7" s="99"/>
      <c r="CXJ7" s="99"/>
      <c r="CXK7" s="99"/>
      <c r="CXL7" s="99"/>
      <c r="CXM7" s="99"/>
      <c r="CXN7" s="99"/>
      <c r="CXO7" s="99"/>
      <c r="CXP7" s="99"/>
      <c r="CXQ7" s="99"/>
      <c r="CXR7" s="99"/>
      <c r="CXS7" s="99"/>
      <c r="CXT7" s="99"/>
      <c r="CXU7" s="99"/>
      <c r="CXV7" s="99"/>
      <c r="CXW7" s="99"/>
      <c r="CXX7" s="99"/>
      <c r="CXY7" s="99"/>
      <c r="CXZ7" s="99"/>
      <c r="CYA7" s="99"/>
      <c r="CYB7" s="99"/>
      <c r="CYC7" s="99"/>
      <c r="CYD7" s="99"/>
      <c r="CYE7" s="99"/>
      <c r="CYF7" s="99"/>
      <c r="CYG7" s="99"/>
      <c r="CYH7" s="99"/>
      <c r="CYI7" s="99"/>
      <c r="CYJ7" s="99"/>
      <c r="CYK7" s="99"/>
      <c r="CYL7" s="99"/>
      <c r="CYM7" s="99"/>
      <c r="CYN7" s="99"/>
      <c r="CYO7" s="99"/>
      <c r="CYP7" s="99"/>
      <c r="CYQ7" s="99"/>
      <c r="CYR7" s="99"/>
      <c r="CYS7" s="99"/>
      <c r="CYT7" s="99"/>
      <c r="CYU7" s="99"/>
      <c r="CYV7" s="99"/>
      <c r="CYW7" s="99"/>
      <c r="CYX7" s="99"/>
      <c r="CYY7" s="99"/>
      <c r="CYZ7" s="99"/>
      <c r="CZA7" s="99"/>
      <c r="CZB7" s="99"/>
      <c r="CZC7" s="99"/>
      <c r="CZD7" s="99"/>
      <c r="CZE7" s="99"/>
      <c r="CZF7" s="99"/>
      <c r="CZG7" s="99"/>
      <c r="CZH7" s="99"/>
      <c r="CZI7" s="99"/>
      <c r="CZJ7" s="99"/>
      <c r="CZK7" s="99"/>
      <c r="CZL7" s="99"/>
      <c r="CZM7" s="99"/>
      <c r="CZN7" s="99"/>
      <c r="CZO7" s="99"/>
      <c r="CZP7" s="99"/>
      <c r="CZQ7" s="99"/>
      <c r="CZR7" s="99"/>
      <c r="CZS7" s="99"/>
      <c r="CZT7" s="99"/>
      <c r="CZU7" s="99"/>
      <c r="CZV7" s="99"/>
      <c r="CZW7" s="99"/>
      <c r="CZX7" s="99"/>
      <c r="CZY7" s="99"/>
      <c r="CZZ7" s="99"/>
      <c r="DAA7" s="99"/>
      <c r="DAB7" s="99"/>
      <c r="DAC7" s="99"/>
      <c r="DAD7" s="99"/>
      <c r="DAE7" s="99"/>
      <c r="DAF7" s="99"/>
      <c r="DAG7" s="99"/>
      <c r="DAH7" s="99"/>
      <c r="DAI7" s="99"/>
      <c r="DAJ7" s="99"/>
      <c r="DAK7" s="99"/>
      <c r="DAL7" s="99"/>
      <c r="DAM7" s="99"/>
      <c r="DAN7" s="99"/>
      <c r="DAO7" s="99"/>
      <c r="DAP7" s="99"/>
      <c r="DAQ7" s="99"/>
      <c r="DAR7" s="99"/>
      <c r="DAS7" s="99"/>
      <c r="DAT7" s="99"/>
      <c r="DAU7" s="99"/>
      <c r="DAV7" s="99"/>
      <c r="DAW7" s="99"/>
      <c r="DAX7" s="99"/>
      <c r="DAY7" s="99"/>
      <c r="DAZ7" s="99"/>
      <c r="DBA7" s="99"/>
      <c r="DBB7" s="99"/>
      <c r="DBC7" s="99"/>
      <c r="DBD7" s="99"/>
      <c r="DBE7" s="99"/>
      <c r="DBF7" s="99"/>
      <c r="DBG7" s="99"/>
      <c r="DBH7" s="99"/>
      <c r="DBI7" s="99"/>
      <c r="DBJ7" s="99"/>
      <c r="DBK7" s="99"/>
      <c r="DBL7" s="99"/>
      <c r="DBM7" s="99"/>
      <c r="DBN7" s="99"/>
      <c r="DBO7" s="99"/>
      <c r="DBP7" s="99"/>
      <c r="DBQ7" s="99"/>
      <c r="DBR7" s="99"/>
      <c r="DBS7" s="99"/>
      <c r="DBT7" s="99"/>
      <c r="DBU7" s="99"/>
      <c r="DBV7" s="99"/>
      <c r="DBW7" s="99"/>
      <c r="DBX7" s="99"/>
      <c r="DBY7" s="99"/>
      <c r="DBZ7" s="99"/>
      <c r="DCA7" s="99"/>
      <c r="DCB7" s="99"/>
      <c r="DCC7" s="99"/>
      <c r="DCD7" s="99"/>
      <c r="DCE7" s="99"/>
      <c r="DCF7" s="99"/>
      <c r="DCG7" s="99"/>
      <c r="DCH7" s="99"/>
      <c r="DCI7" s="99"/>
      <c r="DCJ7" s="99"/>
      <c r="DCK7" s="99"/>
      <c r="DCL7" s="99"/>
      <c r="DCM7" s="99"/>
      <c r="DCN7" s="99"/>
      <c r="DCO7" s="99"/>
      <c r="DCP7" s="99"/>
      <c r="DCQ7" s="99"/>
      <c r="DCR7" s="99"/>
      <c r="DCS7" s="99"/>
      <c r="DCT7" s="99"/>
      <c r="DCU7" s="99"/>
      <c r="DCV7" s="99"/>
      <c r="DCW7" s="99"/>
      <c r="DCX7" s="99"/>
      <c r="DCY7" s="99"/>
      <c r="DCZ7" s="99"/>
      <c r="DDA7" s="99"/>
      <c r="DDB7" s="99"/>
      <c r="DDC7" s="99"/>
      <c r="DDD7" s="99"/>
      <c r="DDE7" s="99"/>
      <c r="DDF7" s="99"/>
      <c r="DDG7" s="99"/>
      <c r="DDH7" s="99"/>
      <c r="DDI7" s="99"/>
      <c r="DDJ7" s="99"/>
      <c r="DDK7" s="99"/>
      <c r="DDL7" s="99"/>
      <c r="DDM7" s="99"/>
      <c r="DDN7" s="99"/>
      <c r="DDO7" s="99"/>
      <c r="DDP7" s="99"/>
      <c r="DDQ7" s="99"/>
      <c r="DDR7" s="99"/>
      <c r="DDS7" s="99"/>
      <c r="DDT7" s="99"/>
      <c r="DDU7" s="99"/>
      <c r="DDV7" s="99"/>
      <c r="DDW7" s="99"/>
      <c r="DDX7" s="99"/>
      <c r="DDY7" s="99"/>
      <c r="DDZ7" s="99"/>
      <c r="DEA7" s="99"/>
      <c r="DEB7" s="99"/>
      <c r="DEC7" s="99"/>
      <c r="DED7" s="99"/>
      <c r="DEE7" s="99"/>
      <c r="DEF7" s="99"/>
      <c r="DEG7" s="99"/>
      <c r="DEH7" s="99"/>
      <c r="DEI7" s="99"/>
      <c r="DEJ7" s="99"/>
      <c r="DEK7" s="99"/>
      <c r="DEL7" s="99"/>
      <c r="DEM7" s="99"/>
      <c r="DEN7" s="99"/>
      <c r="DEO7" s="99"/>
      <c r="DEP7" s="99"/>
      <c r="DEQ7" s="99"/>
      <c r="DER7" s="99"/>
      <c r="DES7" s="99"/>
      <c r="DET7" s="99"/>
      <c r="DEU7" s="99"/>
      <c r="DEV7" s="99"/>
      <c r="DEW7" s="99"/>
      <c r="DEX7" s="99"/>
      <c r="DEY7" s="99"/>
      <c r="DEZ7" s="99"/>
      <c r="DFA7" s="99"/>
      <c r="DFB7" s="99"/>
      <c r="DFC7" s="99"/>
      <c r="DFD7" s="99"/>
      <c r="DFE7" s="99"/>
      <c r="DFF7" s="99"/>
      <c r="DFG7" s="99"/>
      <c r="DFH7" s="99"/>
      <c r="DFI7" s="99"/>
      <c r="DFJ7" s="99"/>
      <c r="DFK7" s="99"/>
      <c r="DFL7" s="99"/>
      <c r="DFM7" s="99"/>
      <c r="DFN7" s="99"/>
      <c r="DFO7" s="99"/>
      <c r="DFP7" s="99"/>
      <c r="DFQ7" s="99"/>
      <c r="DFR7" s="99"/>
      <c r="DFS7" s="99"/>
      <c r="DFT7" s="99"/>
      <c r="DFU7" s="99"/>
      <c r="DFV7" s="99"/>
      <c r="DFW7" s="99"/>
      <c r="DFX7" s="99"/>
      <c r="DFY7" s="99"/>
      <c r="DFZ7" s="99"/>
      <c r="DGA7" s="99"/>
      <c r="DGB7" s="99"/>
      <c r="DGC7" s="99"/>
      <c r="DGD7" s="99"/>
      <c r="DGE7" s="99"/>
      <c r="DGF7" s="99"/>
      <c r="DGG7" s="99"/>
      <c r="DGH7" s="99"/>
      <c r="DGI7" s="99"/>
      <c r="DGJ7" s="99"/>
      <c r="DGK7" s="99"/>
      <c r="DGL7" s="99"/>
      <c r="DGM7" s="99"/>
      <c r="DGN7" s="99"/>
      <c r="DGO7" s="99"/>
      <c r="DGP7" s="99"/>
      <c r="DGQ7" s="99"/>
      <c r="DGR7" s="99"/>
      <c r="DGS7" s="99"/>
      <c r="DGT7" s="99"/>
      <c r="DGU7" s="99"/>
      <c r="DGV7" s="99"/>
      <c r="DGW7" s="99"/>
      <c r="DGX7" s="99"/>
      <c r="DGY7" s="99"/>
      <c r="DGZ7" s="99"/>
      <c r="DHA7" s="99"/>
      <c r="DHB7" s="99"/>
      <c r="DHC7" s="99"/>
      <c r="DHD7" s="99"/>
      <c r="DHE7" s="99"/>
      <c r="DHF7" s="99"/>
      <c r="DHG7" s="99"/>
      <c r="DHH7" s="99"/>
      <c r="DHI7" s="99"/>
      <c r="DHJ7" s="99"/>
      <c r="DHK7" s="99"/>
      <c r="DHL7" s="99"/>
      <c r="DHM7" s="99"/>
      <c r="DHN7" s="99"/>
      <c r="DHO7" s="99"/>
      <c r="DHP7" s="99"/>
      <c r="DHQ7" s="99"/>
      <c r="DHR7" s="99"/>
      <c r="DHS7" s="99"/>
      <c r="DHT7" s="99"/>
      <c r="DHU7" s="99"/>
      <c r="DHV7" s="99"/>
      <c r="DHW7" s="99"/>
      <c r="DHX7" s="99"/>
      <c r="DHY7" s="99"/>
      <c r="DHZ7" s="99"/>
      <c r="DIA7" s="99"/>
      <c r="DIB7" s="99"/>
      <c r="DIC7" s="99"/>
      <c r="DID7" s="99"/>
      <c r="DIE7" s="99"/>
      <c r="DIF7" s="99"/>
      <c r="DIG7" s="99"/>
      <c r="DIH7" s="99"/>
      <c r="DII7" s="99"/>
      <c r="DIJ7" s="99"/>
      <c r="DIK7" s="99"/>
      <c r="DIL7" s="99"/>
      <c r="DIM7" s="99"/>
      <c r="DIN7" s="99"/>
      <c r="DIO7" s="99"/>
      <c r="DIP7" s="99"/>
      <c r="DIQ7" s="99"/>
      <c r="DIR7" s="99"/>
      <c r="DIS7" s="99"/>
      <c r="DIT7" s="99"/>
      <c r="DIU7" s="99"/>
      <c r="DIV7" s="99"/>
      <c r="DIW7" s="99"/>
      <c r="DIX7" s="99"/>
      <c r="DIY7" s="99"/>
      <c r="DIZ7" s="99"/>
      <c r="DJA7" s="99"/>
      <c r="DJB7" s="99"/>
      <c r="DJC7" s="99"/>
      <c r="DJD7" s="99"/>
      <c r="DJE7" s="99"/>
      <c r="DJF7" s="99"/>
      <c r="DJG7" s="99"/>
      <c r="DJH7" s="99"/>
      <c r="DJI7" s="99"/>
      <c r="DJJ7" s="99"/>
      <c r="DJK7" s="99"/>
      <c r="DJL7" s="99"/>
      <c r="DJM7" s="99"/>
      <c r="DJN7" s="99"/>
      <c r="DJO7" s="99"/>
      <c r="DJP7" s="99"/>
      <c r="DJQ7" s="99"/>
      <c r="DJR7" s="99"/>
      <c r="DJS7" s="99"/>
      <c r="DJT7" s="99"/>
      <c r="DJU7" s="99"/>
      <c r="DJV7" s="99"/>
      <c r="DJW7" s="99"/>
      <c r="DJX7" s="99"/>
      <c r="DJY7" s="99"/>
      <c r="DJZ7" s="99"/>
      <c r="DKA7" s="99"/>
      <c r="DKB7" s="99"/>
      <c r="DKC7" s="99"/>
      <c r="DKD7" s="99"/>
      <c r="DKE7" s="99"/>
      <c r="DKF7" s="99"/>
      <c r="DKG7" s="99"/>
      <c r="DKH7" s="99"/>
      <c r="DKI7" s="99"/>
      <c r="DKJ7" s="99"/>
      <c r="DKK7" s="99"/>
      <c r="DKL7" s="99"/>
      <c r="DKM7" s="99"/>
      <c r="DKN7" s="99"/>
      <c r="DKO7" s="99"/>
      <c r="DKP7" s="99"/>
      <c r="DKQ7" s="99"/>
      <c r="DKR7" s="99"/>
      <c r="DKS7" s="99"/>
      <c r="DKT7" s="99"/>
      <c r="DKU7" s="99"/>
      <c r="DKV7" s="99"/>
      <c r="DKW7" s="99"/>
      <c r="DKX7" s="99"/>
      <c r="DKY7" s="99"/>
      <c r="DKZ7" s="99"/>
      <c r="DLA7" s="99"/>
      <c r="DLB7" s="99"/>
      <c r="DLC7" s="99"/>
      <c r="DLD7" s="99"/>
      <c r="DLE7" s="99"/>
      <c r="DLF7" s="99"/>
      <c r="DLG7" s="99"/>
      <c r="DLH7" s="99"/>
      <c r="DLI7" s="99"/>
      <c r="DLJ7" s="99"/>
      <c r="DLK7" s="99"/>
      <c r="DLL7" s="99"/>
      <c r="DLM7" s="99"/>
      <c r="DLN7" s="99"/>
      <c r="DLO7" s="99"/>
      <c r="DLP7" s="99"/>
      <c r="DLQ7" s="99"/>
      <c r="DLR7" s="99"/>
      <c r="DLS7" s="99"/>
      <c r="DLT7" s="99"/>
      <c r="DLU7" s="99"/>
      <c r="DLV7" s="99"/>
      <c r="DLW7" s="99"/>
      <c r="DLX7" s="99"/>
      <c r="DLY7" s="99"/>
      <c r="DLZ7" s="99"/>
      <c r="DMA7" s="99"/>
      <c r="DMB7" s="99"/>
      <c r="DMC7" s="99"/>
      <c r="DMD7" s="99"/>
      <c r="DME7" s="99"/>
      <c r="DMF7" s="99"/>
      <c r="DMG7" s="99"/>
      <c r="DMH7" s="99"/>
      <c r="DMI7" s="99"/>
      <c r="DMJ7" s="99"/>
      <c r="DMK7" s="99"/>
      <c r="DML7" s="99"/>
      <c r="DMM7" s="99"/>
      <c r="DMN7" s="99"/>
      <c r="DMO7" s="99"/>
      <c r="DMP7" s="99"/>
      <c r="DMQ7" s="99"/>
      <c r="DMR7" s="99"/>
      <c r="DMS7" s="99"/>
      <c r="DMT7" s="99"/>
      <c r="DMU7" s="99"/>
      <c r="DMV7" s="99"/>
      <c r="DMW7" s="99"/>
      <c r="DMX7" s="99"/>
      <c r="DMY7" s="99"/>
      <c r="DMZ7" s="99"/>
      <c r="DNA7" s="99"/>
      <c r="DNB7" s="99"/>
      <c r="DNC7" s="99"/>
      <c r="DND7" s="99"/>
      <c r="DNE7" s="99"/>
      <c r="DNF7" s="99"/>
      <c r="DNG7" s="99"/>
      <c r="DNH7" s="99"/>
      <c r="DNI7" s="99"/>
      <c r="DNJ7" s="99"/>
      <c r="DNK7" s="99"/>
      <c r="DNL7" s="99"/>
      <c r="DNM7" s="99"/>
      <c r="DNN7" s="99"/>
      <c r="DNO7" s="99"/>
      <c r="DNP7" s="99"/>
      <c r="DNQ7" s="99"/>
      <c r="DNR7" s="99"/>
      <c r="DNS7" s="99"/>
      <c r="DNT7" s="99"/>
      <c r="DNU7" s="99"/>
      <c r="DNV7" s="99"/>
      <c r="DNW7" s="99"/>
      <c r="DNX7" s="99"/>
      <c r="DNY7" s="99"/>
      <c r="DNZ7" s="99"/>
      <c r="DOA7" s="99"/>
      <c r="DOB7" s="99"/>
      <c r="DOC7" s="99"/>
      <c r="DOD7" s="99"/>
      <c r="DOE7" s="99"/>
      <c r="DOF7" s="99"/>
      <c r="DOG7" s="99"/>
      <c r="DOH7" s="99"/>
      <c r="DOI7" s="99"/>
      <c r="DOJ7" s="99"/>
      <c r="DOK7" s="99"/>
      <c r="DOL7" s="99"/>
      <c r="DOM7" s="99"/>
      <c r="DON7" s="99"/>
      <c r="DOO7" s="99"/>
      <c r="DOP7" s="99"/>
      <c r="DOQ7" s="99"/>
      <c r="DOR7" s="99"/>
      <c r="DOS7" s="99"/>
      <c r="DOT7" s="99"/>
      <c r="DOU7" s="99"/>
      <c r="DOV7" s="99"/>
      <c r="DOW7" s="99"/>
      <c r="DOX7" s="99"/>
      <c r="DOY7" s="99"/>
      <c r="DOZ7" s="99"/>
      <c r="DPA7" s="99"/>
      <c r="DPB7" s="99"/>
      <c r="DPC7" s="99"/>
      <c r="DPD7" s="99"/>
      <c r="DPE7" s="99"/>
      <c r="DPF7" s="99"/>
      <c r="DPG7" s="99"/>
      <c r="DPH7" s="99"/>
      <c r="DPI7" s="99"/>
      <c r="DPJ7" s="99"/>
      <c r="DPK7" s="99"/>
      <c r="DPL7" s="99"/>
      <c r="DPM7" s="99"/>
      <c r="DPN7" s="99"/>
      <c r="DPO7" s="99"/>
      <c r="DPP7" s="99"/>
      <c r="DPQ7" s="99"/>
      <c r="DPR7" s="99"/>
      <c r="DPS7" s="99"/>
      <c r="DPT7" s="99"/>
      <c r="DPU7" s="99"/>
      <c r="DPV7" s="99"/>
      <c r="DPW7" s="99"/>
      <c r="DPX7" s="99"/>
      <c r="DPY7" s="99"/>
      <c r="DPZ7" s="99"/>
      <c r="DQA7" s="99"/>
      <c r="DQB7" s="99"/>
      <c r="DQC7" s="99"/>
      <c r="DQD7" s="99"/>
      <c r="DQE7" s="99"/>
      <c r="DQF7" s="99"/>
      <c r="DQG7" s="99"/>
      <c r="DQH7" s="99"/>
      <c r="DQI7" s="99"/>
      <c r="DQJ7" s="99"/>
      <c r="DQK7" s="99"/>
      <c r="DQL7" s="99"/>
      <c r="DQM7" s="99"/>
      <c r="DQN7" s="99"/>
      <c r="DQO7" s="99"/>
      <c r="DQP7" s="99"/>
      <c r="DQQ7" s="99"/>
      <c r="DQR7" s="99"/>
      <c r="DQS7" s="99"/>
      <c r="DQT7" s="99"/>
      <c r="DQU7" s="99"/>
      <c r="DQV7" s="99"/>
      <c r="DQW7" s="99"/>
      <c r="DQX7" s="99"/>
      <c r="DQY7" s="99"/>
      <c r="DQZ7" s="99"/>
      <c r="DRA7" s="99"/>
      <c r="DRB7" s="99"/>
      <c r="DRC7" s="99"/>
      <c r="DRD7" s="99"/>
      <c r="DRE7" s="99"/>
      <c r="DRF7" s="99"/>
      <c r="DRG7" s="99"/>
      <c r="DRH7" s="99"/>
      <c r="DRI7" s="99"/>
      <c r="DRJ7" s="99"/>
      <c r="DRK7" s="99"/>
      <c r="DRL7" s="99"/>
      <c r="DRM7" s="99"/>
      <c r="DRN7" s="99"/>
      <c r="DRO7" s="99"/>
      <c r="DRP7" s="99"/>
      <c r="DRQ7" s="99"/>
      <c r="DRR7" s="99"/>
      <c r="DRS7" s="99"/>
      <c r="DRT7" s="99"/>
      <c r="DRU7" s="99"/>
      <c r="DRV7" s="99"/>
      <c r="DRW7" s="99"/>
      <c r="DRX7" s="99"/>
      <c r="DRY7" s="99"/>
      <c r="DRZ7" s="99"/>
      <c r="DSA7" s="99"/>
      <c r="DSB7" s="99"/>
      <c r="DSC7" s="99"/>
      <c r="DSD7" s="99"/>
      <c r="DSE7" s="99"/>
      <c r="DSF7" s="99"/>
      <c r="DSG7" s="99"/>
      <c r="DSH7" s="99"/>
      <c r="DSI7" s="99"/>
      <c r="DSJ7" s="99"/>
      <c r="DSK7" s="99"/>
      <c r="DSL7" s="99"/>
      <c r="DSM7" s="99"/>
      <c r="DSN7" s="99"/>
      <c r="DSO7" s="99"/>
      <c r="DSP7" s="99"/>
      <c r="DSQ7" s="99"/>
      <c r="DSR7" s="99"/>
      <c r="DSS7" s="99"/>
      <c r="DST7" s="99"/>
      <c r="DSU7" s="99"/>
      <c r="DSV7" s="99"/>
      <c r="DSW7" s="99"/>
      <c r="DSX7" s="99"/>
      <c r="DSY7" s="99"/>
      <c r="DSZ7" s="99"/>
      <c r="DTA7" s="99"/>
      <c r="DTB7" s="99"/>
      <c r="DTC7" s="99"/>
      <c r="DTD7" s="99"/>
      <c r="DTE7" s="99"/>
      <c r="DTF7" s="99"/>
      <c r="DTG7" s="99"/>
      <c r="DTH7" s="99"/>
      <c r="DTI7" s="99"/>
      <c r="DTJ7" s="99"/>
      <c r="DTK7" s="99"/>
      <c r="DTL7" s="99"/>
      <c r="DTM7" s="99"/>
      <c r="DTN7" s="99"/>
      <c r="DTO7" s="99"/>
      <c r="DTP7" s="99"/>
      <c r="DTQ7" s="99"/>
      <c r="DTR7" s="99"/>
      <c r="DTS7" s="99"/>
      <c r="DTT7" s="99"/>
      <c r="DTU7" s="99"/>
      <c r="DTV7" s="99"/>
      <c r="DTW7" s="99"/>
      <c r="DTX7" s="99"/>
      <c r="DTY7" s="99"/>
      <c r="DTZ7" s="99"/>
      <c r="DUA7" s="99"/>
      <c r="DUB7" s="99"/>
      <c r="DUC7" s="99"/>
      <c r="DUD7" s="99"/>
      <c r="DUE7" s="99"/>
      <c r="DUF7" s="99"/>
      <c r="DUG7" s="99"/>
      <c r="DUH7" s="99"/>
      <c r="DUI7" s="99"/>
      <c r="DUJ7" s="99"/>
      <c r="DUK7" s="99"/>
      <c r="DUL7" s="99"/>
      <c r="DUM7" s="99"/>
      <c r="DUN7" s="99"/>
      <c r="DUO7" s="99"/>
      <c r="DUP7" s="99"/>
      <c r="DUQ7" s="99"/>
      <c r="DUR7" s="99"/>
      <c r="DUS7" s="99"/>
      <c r="DUT7" s="99"/>
      <c r="DUU7" s="99"/>
      <c r="DUV7" s="99"/>
      <c r="DUW7" s="99"/>
      <c r="DUX7" s="99"/>
      <c r="DUY7" s="99"/>
      <c r="DUZ7" s="99"/>
      <c r="DVA7" s="99"/>
      <c r="DVB7" s="99"/>
      <c r="DVC7" s="99"/>
      <c r="DVD7" s="99"/>
      <c r="DVE7" s="99"/>
      <c r="DVF7" s="99"/>
      <c r="DVG7" s="99"/>
      <c r="DVH7" s="99"/>
      <c r="DVI7" s="99"/>
      <c r="DVJ7" s="99"/>
      <c r="DVK7" s="99"/>
      <c r="DVL7" s="99"/>
      <c r="DVM7" s="99"/>
      <c r="DVN7" s="99"/>
      <c r="DVO7" s="99"/>
      <c r="DVP7" s="99"/>
      <c r="DVQ7" s="99"/>
      <c r="DVR7" s="99"/>
      <c r="DVS7" s="99"/>
      <c r="DVT7" s="99"/>
      <c r="DVU7" s="99"/>
      <c r="DVV7" s="99"/>
      <c r="DVW7" s="99"/>
      <c r="DVX7" s="99"/>
      <c r="DVY7" s="99"/>
      <c r="DVZ7" s="99"/>
      <c r="DWA7" s="99"/>
      <c r="DWB7" s="99"/>
      <c r="DWC7" s="99"/>
      <c r="DWD7" s="99"/>
      <c r="DWE7" s="99"/>
      <c r="DWF7" s="99"/>
      <c r="DWG7" s="99"/>
      <c r="DWH7" s="99"/>
      <c r="DWI7" s="99"/>
      <c r="DWJ7" s="99"/>
      <c r="DWK7" s="99"/>
      <c r="DWL7" s="99"/>
      <c r="DWM7" s="99"/>
      <c r="DWN7" s="99"/>
      <c r="DWO7" s="99"/>
      <c r="DWP7" s="99"/>
      <c r="DWQ7" s="99"/>
      <c r="DWR7" s="99"/>
      <c r="DWS7" s="99"/>
      <c r="DWT7" s="99"/>
      <c r="DWU7" s="99"/>
      <c r="DWV7" s="99"/>
      <c r="DWW7" s="99"/>
      <c r="DWX7" s="99"/>
      <c r="DWY7" s="99"/>
      <c r="DWZ7" s="99"/>
      <c r="DXA7" s="99"/>
      <c r="DXB7" s="99"/>
      <c r="DXC7" s="99"/>
      <c r="DXD7" s="99"/>
      <c r="DXE7" s="99"/>
      <c r="DXF7" s="99"/>
      <c r="DXG7" s="99"/>
      <c r="DXH7" s="99"/>
      <c r="DXI7" s="99"/>
      <c r="DXJ7" s="99"/>
      <c r="DXK7" s="99"/>
      <c r="DXL7" s="99"/>
      <c r="DXM7" s="99"/>
      <c r="DXN7" s="99"/>
      <c r="DXO7" s="99"/>
      <c r="DXP7" s="99"/>
      <c r="DXQ7" s="99"/>
      <c r="DXR7" s="99"/>
      <c r="DXS7" s="99"/>
      <c r="DXT7" s="99"/>
      <c r="DXU7" s="99"/>
      <c r="DXV7" s="99"/>
      <c r="DXW7" s="99"/>
      <c r="DXX7" s="99"/>
      <c r="DXY7" s="99"/>
      <c r="DXZ7" s="99"/>
      <c r="DYA7" s="99"/>
      <c r="DYB7" s="99"/>
      <c r="DYC7" s="99"/>
      <c r="DYD7" s="99"/>
      <c r="DYE7" s="99"/>
      <c r="DYF7" s="99"/>
      <c r="DYG7" s="99"/>
      <c r="DYH7" s="99"/>
      <c r="DYI7" s="99"/>
      <c r="DYJ7" s="99"/>
      <c r="DYK7" s="99"/>
      <c r="DYL7" s="99"/>
      <c r="DYM7" s="99"/>
      <c r="DYN7" s="99"/>
      <c r="DYO7" s="99"/>
      <c r="DYP7" s="99"/>
      <c r="DYQ7" s="99"/>
      <c r="DYR7" s="99"/>
      <c r="DYS7" s="99"/>
      <c r="DYT7" s="99"/>
      <c r="DYU7" s="99"/>
      <c r="DYV7" s="99"/>
      <c r="DYW7" s="99"/>
      <c r="DYX7" s="99"/>
      <c r="DYY7" s="99"/>
      <c r="DYZ7" s="99"/>
      <c r="DZA7" s="99"/>
      <c r="DZB7" s="99"/>
      <c r="DZC7" s="99"/>
      <c r="DZD7" s="99"/>
      <c r="DZE7" s="99"/>
      <c r="DZF7" s="99"/>
      <c r="DZG7" s="99"/>
      <c r="DZH7" s="99"/>
      <c r="DZI7" s="99"/>
      <c r="DZJ7" s="99"/>
      <c r="DZK7" s="99"/>
      <c r="DZL7" s="99"/>
      <c r="DZM7" s="99"/>
      <c r="DZN7" s="99"/>
      <c r="DZO7" s="99"/>
      <c r="DZP7" s="99"/>
      <c r="DZQ7" s="99"/>
      <c r="DZR7" s="99"/>
      <c r="DZS7" s="99"/>
      <c r="DZT7" s="99"/>
      <c r="DZU7" s="99"/>
      <c r="DZV7" s="99"/>
      <c r="DZW7" s="99"/>
      <c r="DZX7" s="99"/>
      <c r="DZY7" s="99"/>
      <c r="DZZ7" s="99"/>
      <c r="EAA7" s="99"/>
      <c r="EAB7" s="99"/>
      <c r="EAC7" s="99"/>
      <c r="EAD7" s="99"/>
      <c r="EAE7" s="99"/>
      <c r="EAF7" s="99"/>
      <c r="EAG7" s="99"/>
      <c r="EAH7" s="99"/>
      <c r="EAI7" s="99"/>
      <c r="EAJ7" s="99"/>
      <c r="EAK7" s="99"/>
      <c r="EAL7" s="99"/>
      <c r="EAM7" s="99"/>
      <c r="EAN7" s="99"/>
      <c r="EAO7" s="99"/>
      <c r="EAP7" s="99"/>
      <c r="EAQ7" s="99"/>
      <c r="EAR7" s="99"/>
      <c r="EAS7" s="99"/>
      <c r="EAT7" s="99"/>
      <c r="EAU7" s="99"/>
      <c r="EAV7" s="99"/>
      <c r="EAW7" s="99"/>
      <c r="EAX7" s="99"/>
      <c r="EAY7" s="99"/>
      <c r="EAZ7" s="99"/>
      <c r="EBA7" s="99"/>
      <c r="EBB7" s="99"/>
      <c r="EBC7" s="99"/>
      <c r="EBD7" s="99"/>
      <c r="EBE7" s="99"/>
      <c r="EBF7" s="99"/>
      <c r="EBG7" s="99"/>
      <c r="EBH7" s="99"/>
      <c r="EBI7" s="99"/>
      <c r="EBJ7" s="99"/>
      <c r="EBK7" s="99"/>
      <c r="EBL7" s="99"/>
      <c r="EBM7" s="99"/>
      <c r="EBN7" s="99"/>
      <c r="EBO7" s="99"/>
      <c r="EBP7" s="99"/>
      <c r="EBQ7" s="99"/>
      <c r="EBR7" s="99"/>
      <c r="EBS7" s="99"/>
      <c r="EBT7" s="99"/>
      <c r="EBU7" s="99"/>
      <c r="EBV7" s="99"/>
      <c r="EBW7" s="99"/>
      <c r="EBX7" s="99"/>
      <c r="EBY7" s="99"/>
      <c r="EBZ7" s="99"/>
      <c r="ECA7" s="99"/>
      <c r="ECB7" s="99"/>
      <c r="ECC7" s="99"/>
      <c r="ECD7" s="99"/>
      <c r="ECE7" s="99"/>
      <c r="ECF7" s="99"/>
      <c r="ECG7" s="99"/>
      <c r="ECH7" s="99"/>
      <c r="ECI7" s="99"/>
      <c r="ECJ7" s="99"/>
      <c r="ECK7" s="99"/>
      <c r="ECL7" s="99"/>
      <c r="ECM7" s="99"/>
      <c r="ECN7" s="99"/>
      <c r="ECO7" s="99"/>
      <c r="ECP7" s="99"/>
      <c r="ECQ7" s="99"/>
      <c r="ECR7" s="99"/>
      <c r="ECS7" s="99"/>
      <c r="ECT7" s="99"/>
      <c r="ECU7" s="99"/>
      <c r="ECV7" s="99"/>
      <c r="ECW7" s="99"/>
      <c r="ECX7" s="99"/>
      <c r="ECY7" s="99"/>
      <c r="ECZ7" s="99"/>
      <c r="EDA7" s="99"/>
      <c r="EDB7" s="99"/>
      <c r="EDC7" s="99"/>
      <c r="EDD7" s="99"/>
      <c r="EDE7" s="99"/>
      <c r="EDF7" s="99"/>
      <c r="EDG7" s="99"/>
      <c r="EDH7" s="99"/>
      <c r="EDI7" s="99"/>
      <c r="EDJ7" s="99"/>
      <c r="EDK7" s="99"/>
      <c r="EDL7" s="99"/>
      <c r="EDM7" s="99"/>
      <c r="EDN7" s="99"/>
      <c r="EDO7" s="99"/>
      <c r="EDP7" s="99"/>
      <c r="EDQ7" s="99"/>
      <c r="EDR7" s="99"/>
      <c r="EDS7" s="99"/>
      <c r="EDT7" s="99"/>
      <c r="EDU7" s="99"/>
      <c r="EDV7" s="99"/>
      <c r="EDW7" s="99"/>
      <c r="EDX7" s="99"/>
      <c r="EDY7" s="99"/>
      <c r="EDZ7" s="99"/>
      <c r="EEA7" s="99"/>
      <c r="EEB7" s="99"/>
      <c r="EEC7" s="99"/>
      <c r="EED7" s="99"/>
      <c r="EEE7" s="99"/>
      <c r="EEF7" s="99"/>
      <c r="EEG7" s="99"/>
      <c r="EEH7" s="99"/>
      <c r="EEI7" s="99"/>
      <c r="EEJ7" s="99"/>
      <c r="EEK7" s="99"/>
      <c r="EEL7" s="99"/>
      <c r="EEM7" s="99"/>
      <c r="EEN7" s="99"/>
      <c r="EEO7" s="99"/>
      <c r="EEP7" s="99"/>
      <c r="EEQ7" s="99"/>
      <c r="EER7" s="99"/>
      <c r="EES7" s="99"/>
      <c r="EET7" s="99"/>
      <c r="EEU7" s="99"/>
      <c r="EEV7" s="99"/>
      <c r="EEW7" s="99"/>
      <c r="EEX7" s="99"/>
      <c r="EEY7" s="99"/>
      <c r="EEZ7" s="99"/>
      <c r="EFA7" s="99"/>
      <c r="EFB7" s="99"/>
      <c r="EFC7" s="99"/>
      <c r="EFD7" s="99"/>
      <c r="EFE7" s="99"/>
      <c r="EFF7" s="99"/>
      <c r="EFG7" s="99"/>
      <c r="EFH7" s="99"/>
      <c r="EFI7" s="99"/>
      <c r="EFJ7" s="99"/>
      <c r="EFK7" s="99"/>
      <c r="EFL7" s="99"/>
      <c r="EFM7" s="99"/>
      <c r="EFN7" s="99"/>
      <c r="EFO7" s="99"/>
      <c r="EFP7" s="99"/>
      <c r="EFQ7" s="99"/>
      <c r="EFR7" s="99"/>
      <c r="EFS7" s="99"/>
      <c r="EFT7" s="99"/>
      <c r="EFU7" s="99"/>
      <c r="EFV7" s="99"/>
      <c r="EFW7" s="99"/>
      <c r="EFX7" s="99"/>
      <c r="EFY7" s="99"/>
      <c r="EFZ7" s="99"/>
      <c r="EGA7" s="99"/>
      <c r="EGB7" s="99"/>
      <c r="EGC7" s="99"/>
      <c r="EGD7" s="99"/>
      <c r="EGE7" s="99"/>
      <c r="EGF7" s="99"/>
      <c r="EGG7" s="99"/>
      <c r="EGH7" s="99"/>
      <c r="EGI7" s="99"/>
      <c r="EGJ7" s="99"/>
      <c r="EGK7" s="99"/>
      <c r="EGL7" s="99"/>
      <c r="EGM7" s="99"/>
      <c r="EGN7" s="99"/>
      <c r="EGO7" s="99"/>
      <c r="EGP7" s="99"/>
      <c r="EGQ7" s="99"/>
      <c r="EGR7" s="99"/>
      <c r="EGS7" s="99"/>
      <c r="EGT7" s="99"/>
      <c r="EGU7" s="99"/>
      <c r="EGV7" s="99"/>
      <c r="EGW7" s="99"/>
      <c r="EGX7" s="99"/>
      <c r="EGY7" s="99"/>
      <c r="EGZ7" s="99"/>
      <c r="EHA7" s="99"/>
      <c r="EHB7" s="99"/>
      <c r="EHC7" s="99"/>
      <c r="EHD7" s="99"/>
      <c r="EHE7" s="99"/>
      <c r="EHF7" s="99"/>
      <c r="EHG7" s="99"/>
      <c r="EHH7" s="99"/>
      <c r="EHI7" s="99"/>
      <c r="EHJ7" s="99"/>
      <c r="EHK7" s="99"/>
      <c r="EHL7" s="99"/>
      <c r="EHM7" s="99"/>
      <c r="EHN7" s="99"/>
      <c r="EHO7" s="99"/>
      <c r="EHP7" s="99"/>
      <c r="EHQ7" s="99"/>
      <c r="EHR7" s="99"/>
      <c r="EHS7" s="99"/>
      <c r="EHT7" s="99"/>
      <c r="EHU7" s="99"/>
      <c r="EHV7" s="99"/>
      <c r="EHW7" s="99"/>
      <c r="EHX7" s="99"/>
      <c r="EHY7" s="99"/>
      <c r="EHZ7" s="99"/>
      <c r="EIA7" s="99"/>
      <c r="EIB7" s="99"/>
      <c r="EIC7" s="99"/>
      <c r="EID7" s="99"/>
      <c r="EIE7" s="99"/>
      <c r="EIF7" s="99"/>
      <c r="EIG7" s="99"/>
      <c r="EIH7" s="99"/>
      <c r="EII7" s="99"/>
      <c r="EIJ7" s="99"/>
      <c r="EIK7" s="99"/>
      <c r="EIL7" s="99"/>
      <c r="EIM7" s="99"/>
      <c r="EIN7" s="99"/>
      <c r="EIO7" s="99"/>
      <c r="EIP7" s="99"/>
      <c r="EIQ7" s="99"/>
      <c r="EIR7" s="99"/>
      <c r="EIS7" s="99"/>
      <c r="EIT7" s="99"/>
      <c r="EIU7" s="99"/>
      <c r="EIV7" s="99"/>
      <c r="EIW7" s="99"/>
      <c r="EIX7" s="99"/>
      <c r="EIY7" s="99"/>
      <c r="EIZ7" s="99"/>
      <c r="EJA7" s="99"/>
      <c r="EJB7" s="99"/>
      <c r="EJC7" s="99"/>
      <c r="EJD7" s="99"/>
      <c r="EJE7" s="99"/>
      <c r="EJF7" s="99"/>
      <c r="EJG7" s="99"/>
      <c r="EJH7" s="99"/>
      <c r="EJI7" s="99"/>
      <c r="EJJ7" s="99"/>
      <c r="EJK7" s="99"/>
      <c r="EJL7" s="99"/>
      <c r="EJM7" s="99"/>
      <c r="EJN7" s="99"/>
      <c r="EJO7" s="99"/>
      <c r="EJP7" s="99"/>
      <c r="EJQ7" s="99"/>
      <c r="EJR7" s="99"/>
      <c r="EJS7" s="99"/>
      <c r="EJT7" s="99"/>
      <c r="EJU7" s="99"/>
      <c r="EJV7" s="99"/>
      <c r="EJW7" s="99"/>
      <c r="EJX7" s="99"/>
      <c r="EJY7" s="99"/>
      <c r="EJZ7" s="99"/>
      <c r="EKA7" s="99"/>
      <c r="EKB7" s="99"/>
      <c r="EKC7" s="99"/>
      <c r="EKD7" s="99"/>
      <c r="EKE7" s="99"/>
      <c r="EKF7" s="99"/>
      <c r="EKG7" s="99"/>
      <c r="EKH7" s="99"/>
      <c r="EKI7" s="99"/>
      <c r="EKJ7" s="99"/>
      <c r="EKK7" s="99"/>
      <c r="EKL7" s="99"/>
      <c r="EKM7" s="99"/>
      <c r="EKN7" s="99"/>
      <c r="EKO7" s="99"/>
      <c r="EKP7" s="99"/>
      <c r="EKQ7" s="99"/>
      <c r="EKR7" s="99"/>
      <c r="EKS7" s="99"/>
      <c r="EKT7" s="99"/>
      <c r="EKU7" s="99"/>
      <c r="EKV7" s="99"/>
      <c r="EKW7" s="99"/>
      <c r="EKX7" s="99"/>
      <c r="EKY7" s="99"/>
      <c r="EKZ7" s="99"/>
      <c r="ELA7" s="99"/>
      <c r="ELB7" s="99"/>
      <c r="ELC7" s="99"/>
      <c r="ELD7" s="99"/>
      <c r="ELE7" s="99"/>
      <c r="ELF7" s="99"/>
      <c r="ELG7" s="99"/>
      <c r="ELH7" s="99"/>
      <c r="ELI7" s="99"/>
      <c r="ELJ7" s="99"/>
      <c r="ELK7" s="99"/>
      <c r="ELL7" s="99"/>
      <c r="ELM7" s="99"/>
      <c r="ELN7" s="99"/>
      <c r="ELO7" s="99"/>
      <c r="ELP7" s="99"/>
      <c r="ELQ7" s="99"/>
      <c r="ELR7" s="99"/>
      <c r="ELS7" s="99"/>
      <c r="ELT7" s="99"/>
      <c r="ELU7" s="99"/>
      <c r="ELV7" s="99"/>
      <c r="ELW7" s="99"/>
      <c r="ELX7" s="99"/>
      <c r="ELY7" s="99"/>
      <c r="ELZ7" s="99"/>
      <c r="EMA7" s="99"/>
      <c r="EMB7" s="99"/>
      <c r="EMC7" s="99"/>
      <c r="EMD7" s="99"/>
      <c r="EME7" s="99"/>
      <c r="EMF7" s="99"/>
      <c r="EMG7" s="99"/>
      <c r="EMH7" s="99"/>
      <c r="EMI7" s="99"/>
      <c r="EMJ7" s="99"/>
      <c r="EMK7" s="99"/>
      <c r="EML7" s="99"/>
      <c r="EMM7" s="99"/>
      <c r="EMN7" s="99"/>
      <c r="EMO7" s="99"/>
      <c r="EMP7" s="99"/>
      <c r="EMQ7" s="99"/>
      <c r="EMR7" s="99"/>
      <c r="EMS7" s="99"/>
      <c r="EMT7" s="99"/>
      <c r="EMU7" s="99"/>
      <c r="EMV7" s="99"/>
      <c r="EMW7" s="99"/>
      <c r="EMX7" s="99"/>
      <c r="EMY7" s="99"/>
      <c r="EMZ7" s="99"/>
      <c r="ENA7" s="99"/>
      <c r="ENB7" s="99"/>
      <c r="ENC7" s="99"/>
      <c r="END7" s="99"/>
      <c r="ENE7" s="99"/>
      <c r="ENF7" s="99"/>
      <c r="ENG7" s="99"/>
      <c r="ENH7" s="99"/>
      <c r="ENI7" s="99"/>
      <c r="ENJ7" s="99"/>
      <c r="ENK7" s="99"/>
      <c r="ENL7" s="99"/>
      <c r="ENM7" s="99"/>
      <c r="ENN7" s="99"/>
      <c r="ENO7" s="99"/>
      <c r="ENP7" s="99"/>
      <c r="ENQ7" s="99"/>
      <c r="ENR7" s="99"/>
      <c r="ENS7" s="99"/>
      <c r="ENT7" s="99"/>
      <c r="ENU7" s="99"/>
      <c r="ENV7" s="99"/>
      <c r="ENW7" s="99"/>
      <c r="ENX7" s="99"/>
      <c r="ENY7" s="99"/>
      <c r="ENZ7" s="99"/>
      <c r="EOA7" s="99"/>
      <c r="EOB7" s="99"/>
      <c r="EOC7" s="99"/>
      <c r="EOD7" s="99"/>
      <c r="EOE7" s="99"/>
      <c r="EOF7" s="99"/>
      <c r="EOG7" s="99"/>
      <c r="EOH7" s="99"/>
      <c r="EOI7" s="99"/>
      <c r="EOJ7" s="99"/>
      <c r="EOK7" s="99"/>
      <c r="EOL7" s="99"/>
      <c r="EOM7" s="99"/>
      <c r="EON7" s="99"/>
      <c r="EOO7" s="99"/>
      <c r="EOP7" s="99"/>
      <c r="EOQ7" s="99"/>
      <c r="EOR7" s="99"/>
      <c r="EOS7" s="99"/>
      <c r="EOT7" s="99"/>
      <c r="EOU7" s="99"/>
      <c r="EOV7" s="99"/>
      <c r="EOW7" s="99"/>
      <c r="EOX7" s="99"/>
      <c r="EOY7" s="99"/>
      <c r="EOZ7" s="99"/>
      <c r="EPA7" s="99"/>
      <c r="EPB7" s="99"/>
      <c r="EPC7" s="99"/>
      <c r="EPD7" s="99"/>
      <c r="EPE7" s="99"/>
      <c r="EPF7" s="99"/>
      <c r="EPG7" s="99"/>
      <c r="EPH7" s="99"/>
      <c r="EPI7" s="99"/>
      <c r="EPJ7" s="99"/>
      <c r="EPK7" s="99"/>
      <c r="EPL7" s="99"/>
      <c r="EPM7" s="99"/>
      <c r="EPN7" s="99"/>
      <c r="EPO7" s="99"/>
      <c r="EPP7" s="99"/>
      <c r="EPQ7" s="99"/>
      <c r="EPR7" s="99"/>
      <c r="EPS7" s="99"/>
      <c r="EPT7" s="99"/>
      <c r="EPU7" s="99"/>
      <c r="EPV7" s="99"/>
      <c r="EPW7" s="99"/>
      <c r="EPX7" s="99"/>
      <c r="EPY7" s="99"/>
      <c r="EPZ7" s="99"/>
      <c r="EQA7" s="99"/>
      <c r="EQB7" s="99"/>
      <c r="EQC7" s="99"/>
      <c r="EQD7" s="99"/>
      <c r="EQE7" s="99"/>
      <c r="EQF7" s="99"/>
      <c r="EQG7" s="99"/>
      <c r="EQH7" s="99"/>
      <c r="EQI7" s="99"/>
      <c r="EQJ7" s="99"/>
      <c r="EQK7" s="99"/>
      <c r="EQL7" s="99"/>
      <c r="EQM7" s="99"/>
      <c r="EQN7" s="99"/>
      <c r="EQO7" s="99"/>
      <c r="EQP7" s="99"/>
      <c r="EQQ7" s="99"/>
      <c r="EQR7" s="99"/>
      <c r="EQS7" s="99"/>
      <c r="EQT7" s="99"/>
      <c r="EQU7" s="99"/>
      <c r="EQV7" s="99"/>
      <c r="EQW7" s="99"/>
      <c r="EQX7" s="99"/>
      <c r="EQY7" s="99"/>
      <c r="EQZ7" s="99"/>
      <c r="ERA7" s="99"/>
      <c r="ERB7" s="99"/>
      <c r="ERC7" s="99"/>
      <c r="ERD7" s="99"/>
      <c r="ERE7" s="99"/>
      <c r="ERF7" s="99"/>
      <c r="ERG7" s="99"/>
      <c r="ERH7" s="99"/>
      <c r="ERI7" s="99"/>
      <c r="ERJ7" s="99"/>
      <c r="ERK7" s="99"/>
      <c r="ERL7" s="99"/>
      <c r="ERM7" s="99"/>
      <c r="ERN7" s="99"/>
      <c r="ERO7" s="99"/>
      <c r="ERP7" s="99"/>
      <c r="ERQ7" s="99"/>
      <c r="ERR7" s="99"/>
      <c r="ERS7" s="99"/>
      <c r="ERT7" s="99"/>
      <c r="ERU7" s="99"/>
      <c r="ERV7" s="99"/>
      <c r="ERW7" s="99"/>
      <c r="ERX7" s="99"/>
      <c r="ERY7" s="99"/>
      <c r="ERZ7" s="99"/>
      <c r="ESA7" s="99"/>
      <c r="ESB7" s="99"/>
      <c r="ESC7" s="99"/>
      <c r="ESD7" s="99"/>
      <c r="ESE7" s="99"/>
      <c r="ESF7" s="99"/>
      <c r="ESG7" s="99"/>
      <c r="ESH7" s="99"/>
      <c r="ESI7" s="99"/>
      <c r="ESJ7" s="99"/>
      <c r="ESK7" s="99"/>
      <c r="ESL7" s="99"/>
      <c r="ESM7" s="99"/>
      <c r="ESN7" s="99"/>
      <c r="ESO7" s="99"/>
      <c r="ESP7" s="99"/>
      <c r="ESQ7" s="99"/>
      <c r="ESR7" s="99"/>
      <c r="ESS7" s="99"/>
      <c r="EST7" s="99"/>
      <c r="ESU7" s="99"/>
      <c r="ESV7" s="99"/>
      <c r="ESW7" s="99"/>
      <c r="ESX7" s="99"/>
      <c r="ESY7" s="99"/>
      <c r="ESZ7" s="99"/>
      <c r="ETA7" s="99"/>
      <c r="ETB7" s="99"/>
      <c r="ETC7" s="99"/>
      <c r="ETD7" s="99"/>
      <c r="ETE7" s="99"/>
      <c r="ETF7" s="99"/>
      <c r="ETG7" s="99"/>
      <c r="ETH7" s="99"/>
      <c r="ETI7" s="99"/>
      <c r="ETJ7" s="99"/>
      <c r="ETK7" s="99"/>
      <c r="ETL7" s="99"/>
      <c r="ETM7" s="99"/>
      <c r="ETN7" s="99"/>
      <c r="ETO7" s="99"/>
      <c r="ETP7" s="99"/>
      <c r="ETQ7" s="99"/>
      <c r="ETR7" s="99"/>
      <c r="ETS7" s="99"/>
      <c r="ETT7" s="99"/>
      <c r="ETU7" s="99"/>
      <c r="ETV7" s="99"/>
      <c r="ETW7" s="99"/>
      <c r="ETX7" s="99"/>
      <c r="ETY7" s="99"/>
      <c r="ETZ7" s="99"/>
      <c r="EUA7" s="99"/>
      <c r="EUB7" s="99"/>
      <c r="EUC7" s="99"/>
      <c r="EUD7" s="99"/>
      <c r="EUE7" s="99"/>
      <c r="EUF7" s="99"/>
      <c r="EUG7" s="99"/>
      <c r="EUH7" s="99"/>
      <c r="EUI7" s="99"/>
      <c r="EUJ7" s="99"/>
      <c r="EUK7" s="99"/>
      <c r="EUL7" s="99"/>
      <c r="EUM7" s="99"/>
      <c r="EUN7" s="99"/>
      <c r="EUO7" s="99"/>
      <c r="EUP7" s="99"/>
      <c r="EUQ7" s="99"/>
      <c r="EUR7" s="99"/>
      <c r="EUS7" s="99"/>
      <c r="EUT7" s="99"/>
      <c r="EUU7" s="99"/>
      <c r="EUV7" s="99"/>
      <c r="EUW7" s="99"/>
      <c r="EUX7" s="99"/>
      <c r="EUY7" s="99"/>
      <c r="EUZ7" s="99"/>
      <c r="EVA7" s="99"/>
      <c r="EVB7" s="99"/>
      <c r="EVC7" s="99"/>
      <c r="EVD7" s="99"/>
      <c r="EVE7" s="99"/>
      <c r="EVF7" s="99"/>
      <c r="EVG7" s="99"/>
      <c r="EVH7" s="99"/>
      <c r="EVI7" s="99"/>
      <c r="EVJ7" s="99"/>
      <c r="EVK7" s="99"/>
      <c r="EVL7" s="99"/>
      <c r="EVM7" s="99"/>
      <c r="EVN7" s="99"/>
      <c r="EVO7" s="99"/>
      <c r="EVP7" s="99"/>
      <c r="EVQ7" s="99"/>
      <c r="EVR7" s="99"/>
      <c r="EVS7" s="99"/>
      <c r="EVT7" s="99"/>
      <c r="EVU7" s="99"/>
      <c r="EVV7" s="99"/>
      <c r="EVW7" s="99"/>
      <c r="EVX7" s="99"/>
      <c r="EVY7" s="99"/>
      <c r="EVZ7" s="99"/>
      <c r="EWA7" s="99"/>
      <c r="EWB7" s="99"/>
      <c r="EWC7" s="99"/>
      <c r="EWD7" s="99"/>
      <c r="EWE7" s="99"/>
      <c r="EWF7" s="99"/>
      <c r="EWG7" s="99"/>
      <c r="EWH7" s="99"/>
      <c r="EWI7" s="99"/>
      <c r="EWJ7" s="99"/>
      <c r="EWK7" s="99"/>
      <c r="EWL7" s="99"/>
      <c r="EWM7" s="99"/>
      <c r="EWN7" s="99"/>
      <c r="EWO7" s="99"/>
      <c r="EWP7" s="99"/>
      <c r="EWQ7" s="99"/>
      <c r="EWR7" s="99"/>
      <c r="EWS7" s="99"/>
      <c r="EWT7" s="99"/>
      <c r="EWU7" s="99"/>
      <c r="EWV7" s="99"/>
      <c r="EWW7" s="99"/>
      <c r="EWX7" s="99"/>
      <c r="EWY7" s="99"/>
      <c r="EWZ7" s="99"/>
      <c r="EXA7" s="99"/>
      <c r="EXB7" s="99"/>
      <c r="EXC7" s="99"/>
      <c r="EXD7" s="99"/>
      <c r="EXE7" s="99"/>
      <c r="EXF7" s="99"/>
      <c r="EXG7" s="99"/>
      <c r="EXH7" s="99"/>
      <c r="EXI7" s="99"/>
      <c r="EXJ7" s="99"/>
      <c r="EXK7" s="99"/>
      <c r="EXL7" s="99"/>
      <c r="EXM7" s="99"/>
      <c r="EXN7" s="99"/>
      <c r="EXO7" s="99"/>
      <c r="EXP7" s="99"/>
      <c r="EXQ7" s="99"/>
      <c r="EXR7" s="99"/>
      <c r="EXS7" s="99"/>
      <c r="EXT7" s="99"/>
      <c r="EXU7" s="99"/>
      <c r="EXV7" s="99"/>
      <c r="EXW7" s="99"/>
      <c r="EXX7" s="99"/>
      <c r="EXY7" s="99"/>
      <c r="EXZ7" s="99"/>
      <c r="EYA7" s="99"/>
      <c r="EYB7" s="99"/>
      <c r="EYC7" s="99"/>
      <c r="EYD7" s="99"/>
      <c r="EYE7" s="99"/>
      <c r="EYF7" s="99"/>
      <c r="EYG7" s="99"/>
      <c r="EYH7" s="99"/>
      <c r="EYI7" s="99"/>
      <c r="EYJ7" s="99"/>
      <c r="EYK7" s="99"/>
      <c r="EYL7" s="99"/>
      <c r="EYM7" s="99"/>
      <c r="EYN7" s="99"/>
      <c r="EYO7" s="99"/>
      <c r="EYP7" s="99"/>
      <c r="EYQ7" s="99"/>
      <c r="EYR7" s="99"/>
      <c r="EYS7" s="99"/>
      <c r="EYT7" s="99"/>
      <c r="EYU7" s="99"/>
      <c r="EYV7" s="99"/>
      <c r="EYW7" s="99"/>
      <c r="EYX7" s="99"/>
      <c r="EYY7" s="99"/>
      <c r="EYZ7" s="99"/>
      <c r="EZA7" s="99"/>
      <c r="EZB7" s="99"/>
      <c r="EZC7" s="99"/>
      <c r="EZD7" s="99"/>
      <c r="EZE7" s="99"/>
      <c r="EZF7" s="99"/>
      <c r="EZG7" s="99"/>
      <c r="EZH7" s="99"/>
      <c r="EZI7" s="99"/>
      <c r="EZJ7" s="99"/>
      <c r="EZK7" s="99"/>
      <c r="EZL7" s="99"/>
      <c r="EZM7" s="99"/>
      <c r="EZN7" s="99"/>
      <c r="EZO7" s="99"/>
      <c r="EZP7" s="99"/>
      <c r="EZQ7" s="99"/>
      <c r="EZR7" s="99"/>
      <c r="EZS7" s="99"/>
      <c r="EZT7" s="99"/>
      <c r="EZU7" s="99"/>
      <c r="EZV7" s="99"/>
      <c r="EZW7" s="99"/>
      <c r="EZX7" s="99"/>
      <c r="EZY7" s="99"/>
      <c r="EZZ7" s="99"/>
      <c r="FAA7" s="99"/>
      <c r="FAB7" s="99"/>
      <c r="FAC7" s="99"/>
      <c r="FAD7" s="99"/>
      <c r="FAE7" s="99"/>
      <c r="FAF7" s="99"/>
      <c r="FAG7" s="99"/>
      <c r="FAH7" s="99"/>
      <c r="FAI7" s="99"/>
      <c r="FAJ7" s="99"/>
      <c r="FAK7" s="99"/>
      <c r="FAL7" s="99"/>
      <c r="FAM7" s="99"/>
      <c r="FAN7" s="99"/>
      <c r="FAO7" s="99"/>
      <c r="FAP7" s="99"/>
      <c r="FAQ7" s="99"/>
      <c r="FAR7" s="99"/>
      <c r="FAS7" s="99"/>
      <c r="FAT7" s="99"/>
      <c r="FAU7" s="99"/>
      <c r="FAV7" s="99"/>
      <c r="FAW7" s="99"/>
      <c r="FAX7" s="99"/>
      <c r="FAY7" s="99"/>
      <c r="FAZ7" s="99"/>
      <c r="FBA7" s="99"/>
      <c r="FBB7" s="99"/>
      <c r="FBC7" s="99"/>
      <c r="FBD7" s="99"/>
      <c r="FBE7" s="99"/>
      <c r="FBF7" s="99"/>
      <c r="FBG7" s="99"/>
      <c r="FBH7" s="99"/>
      <c r="FBI7" s="99"/>
      <c r="FBJ7" s="99"/>
      <c r="FBK7" s="99"/>
      <c r="FBL7" s="99"/>
      <c r="FBM7" s="99"/>
      <c r="FBN7" s="99"/>
      <c r="FBO7" s="99"/>
      <c r="FBP7" s="99"/>
      <c r="FBQ7" s="99"/>
      <c r="FBR7" s="99"/>
      <c r="FBS7" s="99"/>
      <c r="FBT7" s="99"/>
      <c r="FBU7" s="99"/>
      <c r="FBV7" s="99"/>
      <c r="FBW7" s="99"/>
      <c r="FBX7" s="99"/>
      <c r="FBY7" s="99"/>
      <c r="FBZ7" s="99"/>
      <c r="FCA7" s="99"/>
      <c r="FCB7" s="99"/>
      <c r="FCC7" s="99"/>
      <c r="FCD7" s="99"/>
      <c r="FCE7" s="99"/>
      <c r="FCF7" s="99"/>
      <c r="FCG7" s="99"/>
      <c r="FCH7" s="99"/>
      <c r="FCI7" s="99"/>
      <c r="FCJ7" s="99"/>
      <c r="FCK7" s="99"/>
      <c r="FCL7" s="99"/>
      <c r="FCM7" s="99"/>
      <c r="FCN7" s="99"/>
      <c r="FCO7" s="99"/>
      <c r="FCP7" s="99"/>
      <c r="FCQ7" s="99"/>
      <c r="FCR7" s="99"/>
      <c r="FCS7" s="99"/>
      <c r="FCT7" s="99"/>
      <c r="FCU7" s="99"/>
      <c r="FCV7" s="99"/>
      <c r="FCW7" s="99"/>
      <c r="FCX7" s="99"/>
      <c r="FCY7" s="99"/>
      <c r="FCZ7" s="99"/>
      <c r="FDA7" s="99"/>
      <c r="FDB7" s="99"/>
      <c r="FDC7" s="99"/>
      <c r="FDD7" s="99"/>
      <c r="FDE7" s="99"/>
      <c r="FDF7" s="99"/>
      <c r="FDG7" s="99"/>
      <c r="FDH7" s="99"/>
      <c r="FDI7" s="99"/>
      <c r="FDJ7" s="99"/>
      <c r="FDK7" s="99"/>
      <c r="FDL7" s="99"/>
      <c r="FDM7" s="99"/>
      <c r="FDN7" s="99"/>
      <c r="FDO7" s="99"/>
      <c r="FDP7" s="99"/>
      <c r="FDQ7" s="99"/>
      <c r="FDR7" s="99"/>
      <c r="FDS7" s="99"/>
      <c r="FDT7" s="99"/>
      <c r="FDU7" s="99"/>
      <c r="FDV7" s="99"/>
      <c r="FDW7" s="99"/>
      <c r="FDX7" s="99"/>
      <c r="FDY7" s="99"/>
      <c r="FDZ7" s="99"/>
      <c r="FEA7" s="99"/>
      <c r="FEB7" s="99"/>
      <c r="FEC7" s="99"/>
      <c r="FED7" s="99"/>
      <c r="FEE7" s="99"/>
      <c r="FEF7" s="99"/>
      <c r="FEG7" s="99"/>
      <c r="FEH7" s="99"/>
      <c r="FEI7" s="99"/>
      <c r="FEJ7" s="99"/>
      <c r="FEK7" s="99"/>
      <c r="FEL7" s="99"/>
      <c r="FEM7" s="99"/>
      <c r="FEN7" s="99"/>
      <c r="FEO7" s="99"/>
      <c r="FEP7" s="99"/>
      <c r="FEQ7" s="99"/>
      <c r="FER7" s="99"/>
      <c r="FES7" s="99"/>
      <c r="FET7" s="99"/>
      <c r="FEU7" s="99"/>
      <c r="FEV7" s="99"/>
      <c r="FEW7" s="99"/>
      <c r="FEX7" s="99"/>
      <c r="FEY7" s="99"/>
      <c r="FEZ7" s="99"/>
      <c r="FFA7" s="99"/>
      <c r="FFB7" s="99"/>
      <c r="FFC7" s="99"/>
      <c r="FFD7" s="99"/>
      <c r="FFE7" s="99"/>
      <c r="FFF7" s="99"/>
      <c r="FFG7" s="99"/>
      <c r="FFH7" s="99"/>
      <c r="FFI7" s="99"/>
      <c r="FFJ7" s="99"/>
      <c r="FFK7" s="99"/>
      <c r="FFL7" s="99"/>
      <c r="FFM7" s="99"/>
      <c r="FFN7" s="99"/>
      <c r="FFO7" s="99"/>
      <c r="FFP7" s="99"/>
      <c r="FFQ7" s="99"/>
      <c r="FFR7" s="99"/>
      <c r="FFS7" s="99"/>
      <c r="FFT7" s="99"/>
      <c r="FFU7" s="99"/>
      <c r="FFV7" s="99"/>
      <c r="FFW7" s="99"/>
      <c r="FFX7" s="99"/>
      <c r="FFY7" s="99"/>
      <c r="FFZ7" s="99"/>
      <c r="FGA7" s="99"/>
      <c r="FGB7" s="99"/>
      <c r="FGC7" s="99"/>
      <c r="FGD7" s="99"/>
      <c r="FGE7" s="99"/>
      <c r="FGF7" s="99"/>
      <c r="FGG7" s="99"/>
      <c r="FGH7" s="99"/>
      <c r="FGI7" s="99"/>
      <c r="FGJ7" s="99"/>
      <c r="FGK7" s="99"/>
      <c r="FGL7" s="99"/>
      <c r="FGM7" s="99"/>
      <c r="FGN7" s="99"/>
      <c r="FGO7" s="99"/>
      <c r="FGP7" s="99"/>
      <c r="FGQ7" s="99"/>
      <c r="FGR7" s="99"/>
      <c r="FGS7" s="99"/>
      <c r="FGT7" s="99"/>
      <c r="FGU7" s="99"/>
      <c r="FGV7" s="99"/>
      <c r="FGW7" s="99"/>
      <c r="FGX7" s="99"/>
      <c r="FGY7" s="99"/>
      <c r="FGZ7" s="99"/>
      <c r="FHA7" s="99"/>
      <c r="FHB7" s="99"/>
      <c r="FHC7" s="99"/>
      <c r="FHD7" s="99"/>
      <c r="FHE7" s="99"/>
      <c r="FHF7" s="99"/>
      <c r="FHG7" s="99"/>
      <c r="FHH7" s="99"/>
      <c r="FHI7" s="99"/>
      <c r="FHJ7" s="99"/>
      <c r="FHK7" s="99"/>
      <c r="FHL7" s="99"/>
      <c r="FHM7" s="99"/>
      <c r="FHN7" s="99"/>
      <c r="FHO7" s="99"/>
      <c r="FHP7" s="99"/>
      <c r="FHQ7" s="99"/>
      <c r="FHR7" s="99"/>
      <c r="FHS7" s="99"/>
      <c r="FHT7" s="99"/>
      <c r="FHU7" s="99"/>
      <c r="FHV7" s="99"/>
      <c r="FHW7" s="99"/>
      <c r="FHX7" s="99"/>
      <c r="FHY7" s="99"/>
      <c r="FHZ7" s="99"/>
      <c r="FIA7" s="99"/>
      <c r="FIB7" s="99"/>
      <c r="FIC7" s="99"/>
      <c r="FID7" s="99"/>
      <c r="FIE7" s="99"/>
      <c r="FIF7" s="99"/>
      <c r="FIG7" s="99"/>
      <c r="FIH7" s="99"/>
      <c r="FII7" s="99"/>
      <c r="FIJ7" s="99"/>
      <c r="FIK7" s="99"/>
      <c r="FIL7" s="99"/>
      <c r="FIM7" s="99"/>
      <c r="FIN7" s="99"/>
      <c r="FIO7" s="99"/>
      <c r="FIP7" s="99"/>
      <c r="FIQ7" s="99"/>
      <c r="FIR7" s="99"/>
      <c r="FIS7" s="99"/>
      <c r="FIT7" s="99"/>
      <c r="FIU7" s="99"/>
      <c r="FIV7" s="99"/>
      <c r="FIW7" s="99"/>
      <c r="FIX7" s="99"/>
      <c r="FIY7" s="99"/>
      <c r="FIZ7" s="99"/>
      <c r="FJA7" s="99"/>
      <c r="FJB7" s="99"/>
      <c r="FJC7" s="99"/>
      <c r="FJD7" s="99"/>
      <c r="FJE7" s="99"/>
      <c r="FJF7" s="99"/>
      <c r="FJG7" s="99"/>
      <c r="FJH7" s="99"/>
      <c r="FJI7" s="99"/>
      <c r="FJJ7" s="99"/>
      <c r="FJK7" s="99"/>
      <c r="FJL7" s="99"/>
      <c r="FJM7" s="99"/>
      <c r="FJN7" s="99"/>
      <c r="FJO7" s="99"/>
      <c r="FJP7" s="99"/>
      <c r="FJQ7" s="99"/>
      <c r="FJR7" s="99"/>
      <c r="FJS7" s="99"/>
      <c r="FJT7" s="99"/>
      <c r="FJU7" s="99"/>
      <c r="FJV7" s="99"/>
      <c r="FJW7" s="99"/>
      <c r="FJX7" s="99"/>
      <c r="FJY7" s="99"/>
      <c r="FJZ7" s="99"/>
      <c r="FKA7" s="99"/>
      <c r="FKB7" s="99"/>
      <c r="FKC7" s="99"/>
      <c r="FKD7" s="99"/>
      <c r="FKE7" s="99"/>
      <c r="FKF7" s="99"/>
      <c r="FKG7" s="99"/>
      <c r="FKH7" s="99"/>
      <c r="FKI7" s="99"/>
      <c r="FKJ7" s="99"/>
      <c r="FKK7" s="99"/>
      <c r="FKL7" s="99"/>
      <c r="FKM7" s="99"/>
      <c r="FKN7" s="99"/>
      <c r="FKO7" s="99"/>
      <c r="FKP7" s="99"/>
      <c r="FKQ7" s="99"/>
      <c r="FKR7" s="99"/>
      <c r="FKS7" s="99"/>
      <c r="FKT7" s="99"/>
      <c r="FKU7" s="99"/>
      <c r="FKV7" s="99"/>
      <c r="FKW7" s="99"/>
      <c r="FKX7" s="99"/>
      <c r="FKY7" s="99"/>
      <c r="FKZ7" s="99"/>
      <c r="FLA7" s="99"/>
      <c r="FLB7" s="99"/>
      <c r="FLC7" s="99"/>
      <c r="FLD7" s="99"/>
      <c r="FLE7" s="99"/>
      <c r="FLF7" s="99"/>
      <c r="FLG7" s="99"/>
      <c r="FLH7" s="99"/>
      <c r="FLI7" s="99"/>
      <c r="FLJ7" s="99"/>
      <c r="FLK7" s="99"/>
      <c r="FLL7" s="99"/>
      <c r="FLM7" s="99"/>
      <c r="FLN7" s="99"/>
      <c r="FLO7" s="99"/>
      <c r="FLP7" s="99"/>
      <c r="FLQ7" s="99"/>
      <c r="FLR7" s="99"/>
      <c r="FLS7" s="99"/>
      <c r="FLT7" s="99"/>
      <c r="FLU7" s="99"/>
      <c r="FLV7" s="99"/>
      <c r="FLW7" s="99"/>
      <c r="FLX7" s="99"/>
      <c r="FLY7" s="99"/>
      <c r="FLZ7" s="99"/>
      <c r="FMA7" s="99"/>
      <c r="FMB7" s="99"/>
      <c r="FMC7" s="99"/>
      <c r="FMD7" s="99"/>
      <c r="FME7" s="99"/>
      <c r="FMF7" s="99"/>
      <c r="FMG7" s="99"/>
      <c r="FMH7" s="99"/>
      <c r="FMI7" s="99"/>
      <c r="FMJ7" s="99"/>
      <c r="FMK7" s="99"/>
      <c r="FML7" s="99"/>
      <c r="FMM7" s="99"/>
      <c r="FMN7" s="99"/>
      <c r="FMO7" s="99"/>
      <c r="FMP7" s="99"/>
      <c r="FMQ7" s="99"/>
      <c r="FMR7" s="99"/>
      <c r="FMS7" s="99"/>
      <c r="FMT7" s="99"/>
      <c r="FMU7" s="99"/>
      <c r="FMV7" s="99"/>
      <c r="FMW7" s="99"/>
      <c r="FMX7" s="99"/>
      <c r="FMY7" s="99"/>
      <c r="FMZ7" s="99"/>
      <c r="FNA7" s="99"/>
      <c r="FNB7" s="99"/>
      <c r="FNC7" s="99"/>
      <c r="FND7" s="99"/>
      <c r="FNE7" s="99"/>
      <c r="FNF7" s="99"/>
      <c r="FNG7" s="99"/>
      <c r="FNH7" s="99"/>
      <c r="FNI7" s="99"/>
      <c r="FNJ7" s="99"/>
      <c r="FNK7" s="99"/>
      <c r="FNL7" s="99"/>
      <c r="FNM7" s="99"/>
      <c r="FNN7" s="99"/>
      <c r="FNO7" s="99"/>
      <c r="FNP7" s="99"/>
      <c r="FNQ7" s="99"/>
      <c r="FNR7" s="99"/>
      <c r="FNS7" s="99"/>
      <c r="FNT7" s="99"/>
      <c r="FNU7" s="99"/>
      <c r="FNV7" s="99"/>
      <c r="FNW7" s="99"/>
      <c r="FNX7" s="99"/>
      <c r="FNY7" s="99"/>
      <c r="FNZ7" s="99"/>
      <c r="FOA7" s="99"/>
      <c r="FOB7" s="99"/>
      <c r="FOC7" s="99"/>
      <c r="FOD7" s="99"/>
      <c r="FOE7" s="99"/>
      <c r="FOF7" s="99"/>
      <c r="FOG7" s="99"/>
      <c r="FOH7" s="99"/>
      <c r="FOI7" s="99"/>
      <c r="FOJ7" s="99"/>
      <c r="FOK7" s="99"/>
      <c r="FOL7" s="99"/>
      <c r="FOM7" s="99"/>
      <c r="FON7" s="99"/>
      <c r="FOO7" s="99"/>
      <c r="FOP7" s="99"/>
      <c r="FOQ7" s="99"/>
      <c r="FOR7" s="99"/>
      <c r="FOS7" s="99"/>
      <c r="FOT7" s="99"/>
      <c r="FOU7" s="99"/>
      <c r="FOV7" s="99"/>
      <c r="FOW7" s="99"/>
      <c r="FOX7" s="99"/>
      <c r="FOY7" s="99"/>
      <c r="FOZ7" s="99"/>
      <c r="FPA7" s="99"/>
      <c r="FPB7" s="99"/>
      <c r="FPC7" s="99"/>
      <c r="FPD7" s="99"/>
      <c r="FPE7" s="99"/>
      <c r="FPF7" s="99"/>
      <c r="FPG7" s="99"/>
      <c r="FPH7" s="99"/>
      <c r="FPI7" s="99"/>
      <c r="FPJ7" s="99"/>
      <c r="FPK7" s="99"/>
      <c r="FPL7" s="99"/>
      <c r="FPM7" s="99"/>
      <c r="FPN7" s="99"/>
      <c r="FPO7" s="99"/>
      <c r="FPP7" s="99"/>
      <c r="FPQ7" s="99"/>
      <c r="FPR7" s="99"/>
      <c r="FPS7" s="99"/>
      <c r="FPT7" s="99"/>
      <c r="FPU7" s="99"/>
      <c r="FPV7" s="99"/>
      <c r="FPW7" s="99"/>
      <c r="FPX7" s="99"/>
      <c r="FPY7" s="99"/>
      <c r="FPZ7" s="99"/>
      <c r="FQA7" s="99"/>
      <c r="FQB7" s="99"/>
      <c r="FQC7" s="99"/>
      <c r="FQD7" s="99"/>
      <c r="FQE7" s="99"/>
      <c r="FQF7" s="99"/>
      <c r="FQG7" s="99"/>
      <c r="FQH7" s="99"/>
      <c r="FQI7" s="99"/>
      <c r="FQJ7" s="99"/>
      <c r="FQK7" s="99"/>
      <c r="FQL7" s="99"/>
      <c r="FQM7" s="99"/>
      <c r="FQN7" s="99"/>
      <c r="FQO7" s="99"/>
      <c r="FQP7" s="99"/>
      <c r="FQQ7" s="99"/>
      <c r="FQR7" s="99"/>
      <c r="FQS7" s="99"/>
      <c r="FQT7" s="99"/>
      <c r="FQU7" s="99"/>
      <c r="FQV7" s="99"/>
      <c r="FQW7" s="99"/>
      <c r="FQX7" s="99"/>
      <c r="FQY7" s="99"/>
      <c r="FQZ7" s="99"/>
      <c r="FRA7" s="99"/>
      <c r="FRB7" s="99"/>
      <c r="FRC7" s="99"/>
      <c r="FRD7" s="99"/>
      <c r="FRE7" s="99"/>
      <c r="FRF7" s="99"/>
      <c r="FRG7" s="99"/>
      <c r="FRH7" s="99"/>
      <c r="FRI7" s="99"/>
      <c r="FRJ7" s="99"/>
      <c r="FRK7" s="99"/>
      <c r="FRL7" s="99"/>
      <c r="FRM7" s="99"/>
      <c r="FRN7" s="99"/>
      <c r="FRO7" s="99"/>
      <c r="FRP7" s="99"/>
      <c r="FRQ7" s="99"/>
      <c r="FRR7" s="99"/>
      <c r="FRS7" s="99"/>
      <c r="FRT7" s="99"/>
      <c r="FRU7" s="99"/>
      <c r="FRV7" s="99"/>
      <c r="FRW7" s="99"/>
      <c r="FRX7" s="99"/>
      <c r="FRY7" s="99"/>
      <c r="FRZ7" s="99"/>
      <c r="FSA7" s="99"/>
      <c r="FSB7" s="99"/>
      <c r="FSC7" s="99"/>
      <c r="FSD7" s="99"/>
      <c r="FSE7" s="99"/>
      <c r="FSF7" s="99"/>
      <c r="FSG7" s="99"/>
      <c r="FSH7" s="99"/>
      <c r="FSI7" s="99"/>
      <c r="FSJ7" s="99"/>
      <c r="FSK7" s="99"/>
      <c r="FSL7" s="99"/>
      <c r="FSM7" s="99"/>
      <c r="FSN7" s="99"/>
      <c r="FSO7" s="99"/>
      <c r="FSP7" s="99"/>
      <c r="FSQ7" s="99"/>
      <c r="FSR7" s="99"/>
      <c r="FSS7" s="99"/>
      <c r="FST7" s="99"/>
      <c r="FSU7" s="99"/>
      <c r="FSV7" s="99"/>
      <c r="FSW7" s="99"/>
      <c r="FSX7" s="99"/>
      <c r="FSY7" s="99"/>
      <c r="FSZ7" s="99"/>
      <c r="FTA7" s="99"/>
      <c r="FTB7" s="99"/>
      <c r="FTC7" s="99"/>
      <c r="FTD7" s="99"/>
      <c r="FTE7" s="99"/>
      <c r="FTF7" s="99"/>
      <c r="FTG7" s="99"/>
      <c r="FTH7" s="99"/>
      <c r="FTI7" s="99"/>
      <c r="FTJ7" s="99"/>
      <c r="FTK7" s="99"/>
      <c r="FTL7" s="99"/>
      <c r="FTM7" s="99"/>
      <c r="FTN7" s="99"/>
      <c r="FTO7" s="99"/>
      <c r="FTP7" s="99"/>
      <c r="FTQ7" s="99"/>
      <c r="FTR7" s="99"/>
      <c r="FTS7" s="99"/>
      <c r="FTT7" s="99"/>
      <c r="FTU7" s="99"/>
      <c r="FTV7" s="99"/>
      <c r="FTW7" s="99"/>
      <c r="FTX7" s="99"/>
      <c r="FTY7" s="99"/>
      <c r="FTZ7" s="99"/>
      <c r="FUA7" s="99"/>
      <c r="FUB7" s="99"/>
      <c r="FUC7" s="99"/>
      <c r="FUD7" s="99"/>
      <c r="FUE7" s="99"/>
      <c r="FUF7" s="99"/>
      <c r="FUG7" s="99"/>
      <c r="FUH7" s="99"/>
      <c r="FUI7" s="99"/>
      <c r="FUJ7" s="99"/>
      <c r="FUK7" s="99"/>
      <c r="FUL7" s="99"/>
      <c r="FUM7" s="99"/>
      <c r="FUN7" s="99"/>
      <c r="FUO7" s="99"/>
      <c r="FUP7" s="99"/>
      <c r="FUQ7" s="99"/>
      <c r="FUR7" s="99"/>
      <c r="FUS7" s="99"/>
      <c r="FUT7" s="99"/>
      <c r="FUU7" s="99"/>
      <c r="FUV7" s="99"/>
      <c r="FUW7" s="99"/>
      <c r="FUX7" s="99"/>
      <c r="FUY7" s="99"/>
      <c r="FUZ7" s="99"/>
      <c r="FVA7" s="99"/>
      <c r="FVB7" s="99"/>
      <c r="FVC7" s="99"/>
      <c r="FVD7" s="99"/>
      <c r="FVE7" s="99"/>
      <c r="FVF7" s="99"/>
      <c r="FVG7" s="99"/>
      <c r="FVH7" s="99"/>
      <c r="FVI7" s="99"/>
      <c r="FVJ7" s="99"/>
      <c r="FVK7" s="99"/>
      <c r="FVL7" s="99"/>
      <c r="FVM7" s="99"/>
      <c r="FVN7" s="99"/>
      <c r="FVO7" s="99"/>
      <c r="FVP7" s="99"/>
      <c r="FVQ7" s="99"/>
      <c r="FVR7" s="99"/>
      <c r="FVS7" s="99"/>
      <c r="FVT7" s="99"/>
      <c r="FVU7" s="99"/>
      <c r="FVV7" s="99"/>
      <c r="FVW7" s="99"/>
      <c r="FVX7" s="99"/>
      <c r="FVY7" s="99"/>
      <c r="FVZ7" s="99"/>
      <c r="FWA7" s="99"/>
      <c r="FWB7" s="99"/>
      <c r="FWC7" s="99"/>
      <c r="FWD7" s="99"/>
      <c r="FWE7" s="99"/>
      <c r="FWF7" s="99"/>
      <c r="FWG7" s="99"/>
      <c r="FWH7" s="99"/>
      <c r="FWI7" s="99"/>
      <c r="FWJ7" s="99"/>
      <c r="FWK7" s="99"/>
      <c r="FWL7" s="99"/>
      <c r="FWM7" s="99"/>
      <c r="FWN7" s="99"/>
      <c r="FWO7" s="99"/>
      <c r="FWP7" s="99"/>
      <c r="FWQ7" s="99"/>
      <c r="FWR7" s="99"/>
      <c r="FWS7" s="99"/>
      <c r="FWT7" s="99"/>
      <c r="FWU7" s="99"/>
      <c r="FWV7" s="99"/>
      <c r="FWW7" s="99"/>
      <c r="FWX7" s="99"/>
      <c r="FWY7" s="99"/>
      <c r="FWZ7" s="99"/>
      <c r="FXA7" s="99"/>
      <c r="FXB7" s="99"/>
      <c r="FXC7" s="99"/>
      <c r="FXD7" s="99"/>
      <c r="FXE7" s="99"/>
      <c r="FXF7" s="99"/>
      <c r="FXG7" s="99"/>
      <c r="FXH7" s="99"/>
      <c r="FXI7" s="99"/>
      <c r="FXJ7" s="99"/>
      <c r="FXK7" s="99"/>
      <c r="FXL7" s="99"/>
      <c r="FXM7" s="99"/>
      <c r="FXN7" s="99"/>
      <c r="FXO7" s="99"/>
      <c r="FXP7" s="99"/>
      <c r="FXQ7" s="99"/>
      <c r="FXR7" s="99"/>
      <c r="FXS7" s="99"/>
      <c r="FXT7" s="99"/>
      <c r="FXU7" s="99"/>
      <c r="FXV7" s="99"/>
      <c r="FXW7" s="99"/>
      <c r="FXX7" s="99"/>
      <c r="FXY7" s="99"/>
      <c r="FXZ7" s="99"/>
      <c r="FYA7" s="99"/>
      <c r="FYB7" s="99"/>
      <c r="FYC7" s="99"/>
      <c r="FYD7" s="99"/>
      <c r="FYE7" s="99"/>
      <c r="FYF7" s="99"/>
      <c r="FYG7" s="99"/>
      <c r="FYH7" s="99"/>
      <c r="FYI7" s="99"/>
      <c r="FYJ7" s="99"/>
      <c r="FYK7" s="99"/>
      <c r="FYL7" s="99"/>
      <c r="FYM7" s="99"/>
      <c r="FYN7" s="99"/>
      <c r="FYO7" s="99"/>
      <c r="FYP7" s="99"/>
      <c r="FYQ7" s="99"/>
      <c r="FYR7" s="99"/>
      <c r="FYS7" s="99"/>
      <c r="FYT7" s="99"/>
      <c r="FYU7" s="99"/>
      <c r="FYV7" s="99"/>
      <c r="FYW7" s="99"/>
      <c r="FYX7" s="99"/>
      <c r="FYY7" s="99"/>
      <c r="FYZ7" s="99"/>
      <c r="FZA7" s="99"/>
      <c r="FZB7" s="99"/>
      <c r="FZC7" s="99"/>
      <c r="FZD7" s="99"/>
      <c r="FZE7" s="99"/>
      <c r="FZF7" s="99"/>
      <c r="FZG7" s="99"/>
      <c r="FZH7" s="99"/>
      <c r="FZI7" s="99"/>
      <c r="FZJ7" s="99"/>
      <c r="FZK7" s="99"/>
      <c r="FZL7" s="99"/>
      <c r="FZM7" s="99"/>
      <c r="FZN7" s="99"/>
      <c r="FZO7" s="99"/>
      <c r="FZP7" s="99"/>
      <c r="FZQ7" s="99"/>
      <c r="FZR7" s="99"/>
      <c r="FZS7" s="99"/>
      <c r="FZT7" s="99"/>
      <c r="FZU7" s="99"/>
      <c r="FZV7" s="99"/>
      <c r="FZW7" s="99"/>
      <c r="FZX7" s="99"/>
      <c r="FZY7" s="99"/>
      <c r="FZZ7" s="99"/>
      <c r="GAA7" s="99"/>
      <c r="GAB7" s="99"/>
      <c r="GAC7" s="99"/>
      <c r="GAD7" s="99"/>
      <c r="GAE7" s="99"/>
      <c r="GAF7" s="99"/>
      <c r="GAG7" s="99"/>
      <c r="GAH7" s="99"/>
      <c r="GAI7" s="99"/>
      <c r="GAJ7" s="99"/>
      <c r="GAK7" s="99"/>
      <c r="GAL7" s="99"/>
      <c r="GAM7" s="99"/>
      <c r="GAN7" s="99"/>
      <c r="GAO7" s="99"/>
      <c r="GAP7" s="99"/>
      <c r="GAQ7" s="99"/>
      <c r="GAR7" s="99"/>
      <c r="GAS7" s="99"/>
      <c r="GAT7" s="99"/>
      <c r="GAU7" s="99"/>
      <c r="GAV7" s="99"/>
      <c r="GAW7" s="99"/>
      <c r="GAX7" s="99"/>
      <c r="GAY7" s="99"/>
      <c r="GAZ7" s="99"/>
      <c r="GBA7" s="99"/>
      <c r="GBB7" s="99"/>
      <c r="GBC7" s="99"/>
      <c r="GBD7" s="99"/>
      <c r="GBE7" s="99"/>
      <c r="GBF7" s="99"/>
      <c r="GBG7" s="99"/>
      <c r="GBH7" s="99"/>
      <c r="GBI7" s="99"/>
      <c r="GBJ7" s="99"/>
      <c r="GBK7" s="99"/>
      <c r="GBL7" s="99"/>
      <c r="GBM7" s="99"/>
      <c r="GBN7" s="99"/>
      <c r="GBO7" s="99"/>
      <c r="GBP7" s="99"/>
      <c r="GBQ7" s="99"/>
      <c r="GBR7" s="99"/>
      <c r="GBS7" s="99"/>
      <c r="GBT7" s="99"/>
      <c r="GBU7" s="99"/>
      <c r="GBV7" s="99"/>
      <c r="GBW7" s="99"/>
      <c r="GBX7" s="99"/>
      <c r="GBY7" s="99"/>
      <c r="GBZ7" s="99"/>
      <c r="GCA7" s="99"/>
      <c r="GCB7" s="99"/>
      <c r="GCC7" s="99"/>
      <c r="GCD7" s="99"/>
      <c r="GCE7" s="99"/>
      <c r="GCF7" s="99"/>
      <c r="GCG7" s="99"/>
      <c r="GCH7" s="99"/>
      <c r="GCI7" s="99"/>
      <c r="GCJ7" s="99"/>
      <c r="GCK7" s="99"/>
      <c r="GCL7" s="99"/>
      <c r="GCM7" s="99"/>
      <c r="GCN7" s="99"/>
      <c r="GCO7" s="99"/>
      <c r="GCP7" s="99"/>
      <c r="GCQ7" s="99"/>
      <c r="GCR7" s="99"/>
      <c r="GCS7" s="99"/>
      <c r="GCT7" s="99"/>
      <c r="GCU7" s="99"/>
      <c r="GCV7" s="99"/>
      <c r="GCW7" s="99"/>
      <c r="GCX7" s="99"/>
      <c r="GCY7" s="99"/>
      <c r="GCZ7" s="99"/>
      <c r="GDA7" s="99"/>
      <c r="GDB7" s="99"/>
      <c r="GDC7" s="99"/>
      <c r="GDD7" s="99"/>
      <c r="GDE7" s="99"/>
      <c r="GDF7" s="99"/>
      <c r="GDG7" s="99"/>
      <c r="GDH7" s="99"/>
      <c r="GDI7" s="99"/>
      <c r="GDJ7" s="99"/>
      <c r="GDK7" s="99"/>
      <c r="GDL7" s="99"/>
      <c r="GDM7" s="99"/>
      <c r="GDN7" s="99"/>
      <c r="GDO7" s="99"/>
      <c r="GDP7" s="99"/>
      <c r="GDQ7" s="99"/>
      <c r="GDR7" s="99"/>
      <c r="GDS7" s="99"/>
      <c r="GDT7" s="99"/>
      <c r="GDU7" s="99"/>
      <c r="GDV7" s="99"/>
      <c r="GDW7" s="99"/>
      <c r="GDX7" s="99"/>
      <c r="GDY7" s="99"/>
      <c r="GDZ7" s="99"/>
      <c r="GEA7" s="99"/>
      <c r="GEB7" s="99"/>
      <c r="GEC7" s="99"/>
      <c r="GED7" s="99"/>
      <c r="GEE7" s="99"/>
      <c r="GEF7" s="99"/>
      <c r="GEG7" s="99"/>
      <c r="GEH7" s="99"/>
      <c r="GEI7" s="99"/>
      <c r="GEJ7" s="99"/>
      <c r="GEK7" s="99"/>
      <c r="GEL7" s="99"/>
      <c r="GEM7" s="99"/>
      <c r="GEN7" s="99"/>
      <c r="GEO7" s="99"/>
      <c r="GEP7" s="99"/>
      <c r="GEQ7" s="99"/>
      <c r="GER7" s="99"/>
      <c r="GES7" s="99"/>
      <c r="GET7" s="99"/>
      <c r="GEU7" s="99"/>
      <c r="GEV7" s="99"/>
      <c r="GEW7" s="99"/>
      <c r="GEX7" s="99"/>
      <c r="GEY7" s="99"/>
      <c r="GEZ7" s="99"/>
      <c r="GFA7" s="99"/>
      <c r="GFB7" s="99"/>
      <c r="GFC7" s="99"/>
      <c r="GFD7" s="99"/>
      <c r="GFE7" s="99"/>
      <c r="GFF7" s="99"/>
      <c r="GFG7" s="99"/>
      <c r="GFH7" s="99"/>
      <c r="GFI7" s="99"/>
      <c r="GFJ7" s="99"/>
      <c r="GFK7" s="99"/>
      <c r="GFL7" s="99"/>
      <c r="GFM7" s="99"/>
      <c r="GFN7" s="99"/>
      <c r="GFO7" s="99"/>
      <c r="GFP7" s="99"/>
      <c r="GFQ7" s="99"/>
      <c r="GFR7" s="99"/>
      <c r="GFS7" s="99"/>
      <c r="GFT7" s="99"/>
      <c r="GFU7" s="99"/>
      <c r="GFV7" s="99"/>
      <c r="GFW7" s="99"/>
      <c r="GFX7" s="99"/>
      <c r="GFY7" s="99"/>
      <c r="GFZ7" s="99"/>
      <c r="GGA7" s="99"/>
      <c r="GGB7" s="99"/>
      <c r="GGC7" s="99"/>
      <c r="GGD7" s="99"/>
      <c r="GGE7" s="99"/>
      <c r="GGF7" s="99"/>
      <c r="GGG7" s="99"/>
      <c r="GGH7" s="99"/>
      <c r="GGI7" s="99"/>
      <c r="GGJ7" s="99"/>
      <c r="GGK7" s="99"/>
      <c r="GGL7" s="99"/>
      <c r="GGM7" s="99"/>
      <c r="GGN7" s="99"/>
      <c r="GGO7" s="99"/>
      <c r="GGP7" s="99"/>
      <c r="GGQ7" s="99"/>
      <c r="GGR7" s="99"/>
      <c r="GGS7" s="99"/>
      <c r="GGT7" s="99"/>
      <c r="GGU7" s="99"/>
      <c r="GGV7" s="99"/>
      <c r="GGW7" s="99"/>
      <c r="GGX7" s="99"/>
      <c r="GGY7" s="99"/>
      <c r="GGZ7" s="99"/>
      <c r="GHA7" s="99"/>
      <c r="GHB7" s="99"/>
      <c r="GHC7" s="99"/>
      <c r="GHD7" s="99"/>
      <c r="GHE7" s="99"/>
      <c r="GHF7" s="99"/>
      <c r="GHG7" s="99"/>
      <c r="GHH7" s="99"/>
      <c r="GHI7" s="99"/>
      <c r="GHJ7" s="99"/>
      <c r="GHK7" s="99"/>
      <c r="GHL7" s="99"/>
      <c r="GHM7" s="99"/>
      <c r="GHN7" s="99"/>
      <c r="GHO7" s="99"/>
      <c r="GHP7" s="99"/>
      <c r="GHQ7" s="99"/>
      <c r="GHR7" s="99"/>
      <c r="GHS7" s="99"/>
      <c r="GHT7" s="99"/>
      <c r="GHU7" s="99"/>
      <c r="GHV7" s="99"/>
      <c r="GHW7" s="99"/>
      <c r="GHX7" s="99"/>
      <c r="GHY7" s="99"/>
      <c r="GHZ7" s="99"/>
      <c r="GIA7" s="99"/>
      <c r="GIB7" s="99"/>
      <c r="GIC7" s="99"/>
      <c r="GID7" s="99"/>
      <c r="GIE7" s="99"/>
      <c r="GIF7" s="99"/>
      <c r="GIG7" s="99"/>
      <c r="GIH7" s="99"/>
      <c r="GII7" s="99"/>
      <c r="GIJ7" s="99"/>
      <c r="GIK7" s="99"/>
      <c r="GIL7" s="99"/>
      <c r="GIM7" s="99"/>
      <c r="GIN7" s="99"/>
      <c r="GIO7" s="99"/>
      <c r="GIP7" s="99"/>
      <c r="GIQ7" s="99"/>
      <c r="GIR7" s="99"/>
      <c r="GIS7" s="99"/>
      <c r="GIT7" s="99"/>
      <c r="GIU7" s="99"/>
      <c r="GIV7" s="99"/>
      <c r="GIW7" s="99"/>
      <c r="GIX7" s="99"/>
      <c r="GIY7" s="99"/>
      <c r="GIZ7" s="99"/>
      <c r="GJA7" s="99"/>
      <c r="GJB7" s="99"/>
      <c r="GJC7" s="99"/>
      <c r="GJD7" s="99"/>
      <c r="GJE7" s="99"/>
      <c r="GJF7" s="99"/>
      <c r="GJG7" s="99"/>
      <c r="GJH7" s="99"/>
      <c r="GJI7" s="99"/>
      <c r="GJJ7" s="99"/>
      <c r="GJK7" s="99"/>
      <c r="GJL7" s="99"/>
      <c r="GJM7" s="99"/>
      <c r="GJN7" s="99"/>
      <c r="GJO7" s="99"/>
      <c r="GJP7" s="99"/>
      <c r="GJQ7" s="99"/>
      <c r="GJR7" s="99"/>
      <c r="GJS7" s="99"/>
      <c r="GJT7" s="99"/>
      <c r="GJU7" s="99"/>
      <c r="GJV7" s="99"/>
      <c r="GJW7" s="99"/>
      <c r="GJX7" s="99"/>
      <c r="GJY7" s="99"/>
      <c r="GJZ7" s="99"/>
      <c r="GKA7" s="99"/>
      <c r="GKB7" s="99"/>
      <c r="GKC7" s="99"/>
      <c r="GKD7" s="99"/>
      <c r="GKE7" s="99"/>
      <c r="GKF7" s="99"/>
      <c r="GKG7" s="99"/>
      <c r="GKH7" s="99"/>
      <c r="GKI7" s="99"/>
      <c r="GKJ7" s="99"/>
      <c r="GKK7" s="99"/>
      <c r="GKL7" s="99"/>
      <c r="GKM7" s="99"/>
      <c r="GKN7" s="99"/>
      <c r="GKO7" s="99"/>
      <c r="GKP7" s="99"/>
      <c r="GKQ7" s="99"/>
      <c r="GKR7" s="99"/>
      <c r="GKS7" s="99"/>
      <c r="GKT7" s="99"/>
      <c r="GKU7" s="99"/>
      <c r="GKV7" s="99"/>
      <c r="GKW7" s="99"/>
      <c r="GKX7" s="99"/>
      <c r="GKY7" s="99"/>
      <c r="GKZ7" s="99"/>
      <c r="GLA7" s="99"/>
      <c r="GLB7" s="99"/>
      <c r="GLC7" s="99"/>
      <c r="GLD7" s="99"/>
      <c r="GLE7" s="99"/>
      <c r="GLF7" s="99"/>
      <c r="GLG7" s="99"/>
      <c r="GLH7" s="99"/>
      <c r="GLI7" s="99"/>
      <c r="GLJ7" s="99"/>
      <c r="GLK7" s="99"/>
      <c r="GLL7" s="99"/>
      <c r="GLM7" s="99"/>
      <c r="GLN7" s="99"/>
      <c r="GLO7" s="99"/>
      <c r="GLP7" s="99"/>
      <c r="GLQ7" s="99"/>
      <c r="GLR7" s="99"/>
      <c r="GLS7" s="99"/>
      <c r="GLT7" s="99"/>
      <c r="GLU7" s="99"/>
      <c r="GLV7" s="99"/>
      <c r="GLW7" s="99"/>
      <c r="GLX7" s="99"/>
      <c r="GLY7" s="99"/>
      <c r="GLZ7" s="99"/>
      <c r="GMA7" s="99"/>
      <c r="GMB7" s="99"/>
      <c r="GMC7" s="99"/>
      <c r="GMD7" s="99"/>
      <c r="GME7" s="99"/>
      <c r="GMF7" s="99"/>
      <c r="GMG7" s="99"/>
      <c r="GMH7" s="99"/>
      <c r="GMI7" s="99"/>
      <c r="GMJ7" s="99"/>
      <c r="GMK7" s="99"/>
      <c r="GML7" s="99"/>
      <c r="GMM7" s="99"/>
      <c r="GMN7" s="99"/>
      <c r="GMO7" s="99"/>
      <c r="GMP7" s="99"/>
      <c r="GMQ7" s="99"/>
      <c r="GMR7" s="99"/>
      <c r="GMS7" s="99"/>
      <c r="GMT7" s="99"/>
      <c r="GMU7" s="99"/>
      <c r="GMV7" s="99"/>
      <c r="GMW7" s="99"/>
      <c r="GMX7" s="99"/>
      <c r="GMY7" s="99"/>
      <c r="GMZ7" s="99"/>
      <c r="GNA7" s="99"/>
      <c r="GNB7" s="99"/>
      <c r="GNC7" s="99"/>
      <c r="GND7" s="99"/>
      <c r="GNE7" s="99"/>
      <c r="GNF7" s="99"/>
      <c r="GNG7" s="99"/>
      <c r="GNH7" s="99"/>
      <c r="GNI7" s="99"/>
      <c r="GNJ7" s="99"/>
      <c r="GNK7" s="99"/>
      <c r="GNL7" s="99"/>
      <c r="GNM7" s="99"/>
      <c r="GNN7" s="99"/>
      <c r="GNO7" s="99"/>
      <c r="GNP7" s="99"/>
      <c r="GNQ7" s="99"/>
      <c r="GNR7" s="99"/>
      <c r="GNS7" s="99"/>
      <c r="GNT7" s="99"/>
      <c r="GNU7" s="99"/>
      <c r="GNV7" s="99"/>
      <c r="GNW7" s="99"/>
      <c r="GNX7" s="99"/>
      <c r="GNY7" s="99"/>
      <c r="GNZ7" s="99"/>
      <c r="GOA7" s="99"/>
      <c r="GOB7" s="99"/>
      <c r="GOC7" s="99"/>
      <c r="GOD7" s="99"/>
      <c r="GOE7" s="99"/>
      <c r="GOF7" s="99"/>
      <c r="GOG7" s="99"/>
      <c r="GOH7" s="99"/>
      <c r="GOI7" s="99"/>
      <c r="GOJ7" s="99"/>
      <c r="GOK7" s="99"/>
      <c r="GOL7" s="99"/>
      <c r="GOM7" s="99"/>
      <c r="GON7" s="99"/>
      <c r="GOO7" s="99"/>
      <c r="GOP7" s="99"/>
      <c r="GOQ7" s="99"/>
      <c r="GOR7" s="99"/>
      <c r="GOS7" s="99"/>
      <c r="GOT7" s="99"/>
      <c r="GOU7" s="99"/>
      <c r="GOV7" s="99"/>
      <c r="GOW7" s="99"/>
      <c r="GOX7" s="99"/>
      <c r="GOY7" s="99"/>
      <c r="GOZ7" s="99"/>
      <c r="GPA7" s="99"/>
      <c r="GPB7" s="99"/>
      <c r="GPC7" s="99"/>
      <c r="GPD7" s="99"/>
      <c r="GPE7" s="99"/>
      <c r="GPF7" s="99"/>
      <c r="GPG7" s="99"/>
      <c r="GPH7" s="99"/>
      <c r="GPI7" s="99"/>
      <c r="GPJ7" s="99"/>
      <c r="GPK7" s="99"/>
      <c r="GPL7" s="99"/>
      <c r="GPM7" s="99"/>
      <c r="GPN7" s="99"/>
      <c r="GPO7" s="99"/>
      <c r="GPP7" s="99"/>
      <c r="GPQ7" s="99"/>
      <c r="GPR7" s="99"/>
      <c r="GPS7" s="99"/>
      <c r="GPT7" s="99"/>
      <c r="GPU7" s="99"/>
      <c r="GPV7" s="99"/>
      <c r="GPW7" s="99"/>
      <c r="GPX7" s="99"/>
      <c r="GPY7" s="99"/>
      <c r="GPZ7" s="99"/>
      <c r="GQA7" s="99"/>
      <c r="GQB7" s="99"/>
      <c r="GQC7" s="99"/>
      <c r="GQD7" s="99"/>
      <c r="GQE7" s="99"/>
      <c r="GQF7" s="99"/>
      <c r="GQG7" s="99"/>
      <c r="GQH7" s="99"/>
      <c r="GQI7" s="99"/>
      <c r="GQJ7" s="99"/>
      <c r="GQK7" s="99"/>
      <c r="GQL7" s="99"/>
      <c r="GQM7" s="99"/>
      <c r="GQN7" s="99"/>
      <c r="GQO7" s="99"/>
      <c r="GQP7" s="99"/>
      <c r="GQQ7" s="99"/>
      <c r="GQR7" s="99"/>
      <c r="GQS7" s="99"/>
      <c r="GQT7" s="99"/>
      <c r="GQU7" s="99"/>
      <c r="GQV7" s="99"/>
      <c r="GQW7" s="99"/>
      <c r="GQX7" s="99"/>
      <c r="GQY7" s="99"/>
      <c r="GQZ7" s="99"/>
      <c r="GRA7" s="99"/>
      <c r="GRB7" s="99"/>
      <c r="GRC7" s="99"/>
      <c r="GRD7" s="99"/>
      <c r="GRE7" s="99"/>
      <c r="GRF7" s="99"/>
      <c r="GRG7" s="99"/>
      <c r="GRH7" s="99"/>
      <c r="GRI7" s="99"/>
      <c r="GRJ7" s="99"/>
      <c r="GRK7" s="99"/>
      <c r="GRL7" s="99"/>
      <c r="GRM7" s="99"/>
      <c r="GRN7" s="99"/>
      <c r="GRO7" s="99"/>
      <c r="GRP7" s="99"/>
      <c r="GRQ7" s="99"/>
      <c r="GRR7" s="99"/>
      <c r="GRS7" s="99"/>
      <c r="GRT7" s="99"/>
      <c r="GRU7" s="99"/>
      <c r="GRV7" s="99"/>
      <c r="GRW7" s="99"/>
      <c r="GRX7" s="99"/>
      <c r="GRY7" s="99"/>
      <c r="GRZ7" s="99"/>
      <c r="GSA7" s="99"/>
      <c r="GSB7" s="99"/>
      <c r="GSC7" s="99"/>
      <c r="GSD7" s="99"/>
      <c r="GSE7" s="99"/>
      <c r="GSF7" s="99"/>
      <c r="GSG7" s="99"/>
      <c r="GSH7" s="99"/>
      <c r="GSI7" s="99"/>
      <c r="GSJ7" s="99"/>
      <c r="GSK7" s="99"/>
      <c r="GSL7" s="99"/>
      <c r="GSM7" s="99"/>
      <c r="GSN7" s="99"/>
      <c r="GSO7" s="99"/>
      <c r="GSP7" s="99"/>
      <c r="GSQ7" s="99"/>
      <c r="GSR7" s="99"/>
      <c r="GSS7" s="99"/>
      <c r="GST7" s="99"/>
      <c r="GSU7" s="99"/>
      <c r="GSV7" s="99"/>
      <c r="GSW7" s="99"/>
      <c r="GSX7" s="99"/>
      <c r="GSY7" s="99"/>
      <c r="GSZ7" s="99"/>
      <c r="GTA7" s="99"/>
      <c r="GTB7" s="99"/>
      <c r="GTC7" s="99"/>
      <c r="GTD7" s="99"/>
      <c r="GTE7" s="99"/>
      <c r="GTF7" s="99"/>
      <c r="GTG7" s="99"/>
      <c r="GTH7" s="99"/>
      <c r="GTI7" s="99"/>
      <c r="GTJ7" s="99"/>
      <c r="GTK7" s="99"/>
      <c r="GTL7" s="99"/>
      <c r="GTM7" s="99"/>
      <c r="GTN7" s="99"/>
      <c r="GTO7" s="99"/>
      <c r="GTP7" s="99"/>
      <c r="GTQ7" s="99"/>
      <c r="GTR7" s="99"/>
      <c r="GTS7" s="99"/>
      <c r="GTT7" s="99"/>
      <c r="GTU7" s="99"/>
      <c r="GTV7" s="99"/>
      <c r="GTW7" s="99"/>
      <c r="GTX7" s="99"/>
      <c r="GTY7" s="99"/>
      <c r="GTZ7" s="99"/>
      <c r="GUA7" s="99"/>
      <c r="GUB7" s="99"/>
      <c r="GUC7" s="99"/>
      <c r="GUD7" s="99"/>
      <c r="GUE7" s="99"/>
      <c r="GUF7" s="99"/>
      <c r="GUG7" s="99"/>
      <c r="GUH7" s="99"/>
      <c r="GUI7" s="99"/>
      <c r="GUJ7" s="99"/>
      <c r="GUK7" s="99"/>
      <c r="GUL7" s="99"/>
      <c r="GUM7" s="99"/>
      <c r="GUN7" s="99"/>
      <c r="GUO7" s="99"/>
      <c r="GUP7" s="99"/>
      <c r="GUQ7" s="99"/>
      <c r="GUR7" s="99"/>
      <c r="GUS7" s="99"/>
      <c r="GUT7" s="99"/>
      <c r="GUU7" s="99"/>
      <c r="GUV7" s="99"/>
      <c r="GUW7" s="99"/>
      <c r="GUX7" s="99"/>
      <c r="GUY7" s="99"/>
      <c r="GUZ7" s="99"/>
      <c r="GVA7" s="99"/>
      <c r="GVB7" s="99"/>
      <c r="GVC7" s="99"/>
      <c r="GVD7" s="99"/>
      <c r="GVE7" s="99"/>
      <c r="GVF7" s="99"/>
      <c r="GVG7" s="99"/>
      <c r="GVH7" s="99"/>
      <c r="GVI7" s="99"/>
      <c r="GVJ7" s="99"/>
      <c r="GVK7" s="99"/>
      <c r="GVL7" s="99"/>
      <c r="GVM7" s="99"/>
      <c r="GVN7" s="99"/>
      <c r="GVO7" s="99"/>
      <c r="GVP7" s="99"/>
      <c r="GVQ7" s="99"/>
      <c r="GVR7" s="99"/>
      <c r="GVS7" s="99"/>
      <c r="GVT7" s="99"/>
      <c r="GVU7" s="99"/>
      <c r="GVV7" s="99"/>
      <c r="GVW7" s="99"/>
      <c r="GVX7" s="99"/>
      <c r="GVY7" s="99"/>
      <c r="GVZ7" s="99"/>
      <c r="GWA7" s="99"/>
      <c r="GWB7" s="99"/>
      <c r="GWC7" s="99"/>
      <c r="GWD7" s="99"/>
      <c r="GWE7" s="99"/>
      <c r="GWF7" s="99"/>
      <c r="GWG7" s="99"/>
      <c r="GWH7" s="99"/>
      <c r="GWI7" s="99"/>
      <c r="GWJ7" s="99"/>
      <c r="GWK7" s="99"/>
      <c r="GWL7" s="99"/>
      <c r="GWM7" s="99"/>
      <c r="GWN7" s="99"/>
      <c r="GWO7" s="99"/>
      <c r="GWP7" s="99"/>
      <c r="GWQ7" s="99"/>
      <c r="GWR7" s="99"/>
      <c r="GWS7" s="99"/>
      <c r="GWT7" s="99"/>
      <c r="GWU7" s="99"/>
      <c r="GWV7" s="99"/>
      <c r="GWW7" s="99"/>
      <c r="GWX7" s="99"/>
      <c r="GWY7" s="99"/>
      <c r="GWZ7" s="99"/>
      <c r="GXA7" s="99"/>
      <c r="GXB7" s="99"/>
      <c r="GXC7" s="99"/>
      <c r="GXD7" s="99"/>
      <c r="GXE7" s="99"/>
      <c r="GXF7" s="99"/>
      <c r="GXG7" s="99"/>
      <c r="GXH7" s="99"/>
      <c r="GXI7" s="99"/>
      <c r="GXJ7" s="99"/>
      <c r="GXK7" s="99"/>
      <c r="GXL7" s="99"/>
      <c r="GXM7" s="99"/>
      <c r="GXN7" s="99"/>
      <c r="GXO7" s="99"/>
      <c r="GXP7" s="99"/>
      <c r="GXQ7" s="99"/>
      <c r="GXR7" s="99"/>
      <c r="GXS7" s="99"/>
      <c r="GXT7" s="99"/>
      <c r="GXU7" s="99"/>
      <c r="GXV7" s="99"/>
      <c r="GXW7" s="99"/>
      <c r="GXX7" s="99"/>
      <c r="GXY7" s="99"/>
      <c r="GXZ7" s="99"/>
      <c r="GYA7" s="99"/>
      <c r="GYB7" s="99"/>
      <c r="GYC7" s="99"/>
      <c r="GYD7" s="99"/>
      <c r="GYE7" s="99"/>
      <c r="GYF7" s="99"/>
      <c r="GYG7" s="99"/>
      <c r="GYH7" s="99"/>
      <c r="GYI7" s="99"/>
      <c r="GYJ7" s="99"/>
      <c r="GYK7" s="99"/>
      <c r="GYL7" s="99"/>
      <c r="GYM7" s="99"/>
      <c r="GYN7" s="99"/>
      <c r="GYO7" s="99"/>
      <c r="GYP7" s="99"/>
      <c r="GYQ7" s="99"/>
      <c r="GYR7" s="99"/>
      <c r="GYS7" s="99"/>
      <c r="GYT7" s="99"/>
      <c r="GYU7" s="99"/>
      <c r="GYV7" s="99"/>
      <c r="GYW7" s="99"/>
      <c r="GYX7" s="99"/>
      <c r="GYY7" s="99"/>
      <c r="GYZ7" s="99"/>
      <c r="GZA7" s="99"/>
      <c r="GZB7" s="99"/>
      <c r="GZC7" s="99"/>
      <c r="GZD7" s="99"/>
      <c r="GZE7" s="99"/>
      <c r="GZF7" s="99"/>
      <c r="GZG7" s="99"/>
      <c r="GZH7" s="99"/>
      <c r="GZI7" s="99"/>
      <c r="GZJ7" s="99"/>
      <c r="GZK7" s="99"/>
      <c r="GZL7" s="99"/>
      <c r="GZM7" s="99"/>
      <c r="GZN7" s="99"/>
      <c r="GZO7" s="99"/>
      <c r="GZP7" s="99"/>
      <c r="GZQ7" s="99"/>
      <c r="GZR7" s="99"/>
      <c r="GZS7" s="99"/>
      <c r="GZT7" s="99"/>
      <c r="GZU7" s="99"/>
      <c r="GZV7" s="99"/>
      <c r="GZW7" s="99"/>
      <c r="GZX7" s="99"/>
      <c r="GZY7" s="99"/>
      <c r="GZZ7" s="99"/>
      <c r="HAA7" s="99"/>
      <c r="HAB7" s="99"/>
      <c r="HAC7" s="99"/>
      <c r="HAD7" s="99"/>
      <c r="HAE7" s="99"/>
      <c r="HAF7" s="99"/>
      <c r="HAG7" s="99"/>
      <c r="HAH7" s="99"/>
      <c r="HAI7" s="99"/>
      <c r="HAJ7" s="99"/>
      <c r="HAK7" s="99"/>
      <c r="HAL7" s="99"/>
      <c r="HAM7" s="99"/>
      <c r="HAN7" s="99"/>
      <c r="HAO7" s="99"/>
      <c r="HAP7" s="99"/>
      <c r="HAQ7" s="99"/>
      <c r="HAR7" s="99"/>
      <c r="HAS7" s="99"/>
      <c r="HAT7" s="99"/>
      <c r="HAU7" s="99"/>
      <c r="HAV7" s="99"/>
      <c r="HAW7" s="99"/>
      <c r="HAX7" s="99"/>
      <c r="HAY7" s="99"/>
      <c r="HAZ7" s="99"/>
      <c r="HBA7" s="99"/>
      <c r="HBB7" s="99"/>
      <c r="HBC7" s="99"/>
      <c r="HBD7" s="99"/>
      <c r="HBE7" s="99"/>
      <c r="HBF7" s="99"/>
      <c r="HBG7" s="99"/>
      <c r="HBH7" s="99"/>
      <c r="HBI7" s="99"/>
      <c r="HBJ7" s="99"/>
      <c r="HBK7" s="99"/>
      <c r="HBL7" s="99"/>
      <c r="HBM7" s="99"/>
      <c r="HBN7" s="99"/>
      <c r="HBO7" s="99"/>
      <c r="HBP7" s="99"/>
      <c r="HBQ7" s="99"/>
      <c r="HBR7" s="99"/>
      <c r="HBS7" s="99"/>
      <c r="HBT7" s="99"/>
      <c r="HBU7" s="99"/>
      <c r="HBV7" s="99"/>
      <c r="HBW7" s="99"/>
      <c r="HBX7" s="99"/>
      <c r="HBY7" s="99"/>
      <c r="HBZ7" s="99"/>
      <c r="HCA7" s="99"/>
      <c r="HCB7" s="99"/>
      <c r="HCC7" s="99"/>
      <c r="HCD7" s="99"/>
      <c r="HCE7" s="99"/>
      <c r="HCF7" s="99"/>
      <c r="HCG7" s="99"/>
      <c r="HCH7" s="99"/>
      <c r="HCI7" s="99"/>
      <c r="HCJ7" s="99"/>
      <c r="HCK7" s="99"/>
      <c r="HCL7" s="99"/>
      <c r="HCM7" s="99"/>
      <c r="HCN7" s="99"/>
      <c r="HCO7" s="99"/>
      <c r="HCP7" s="99"/>
      <c r="HCQ7" s="99"/>
      <c r="HCR7" s="99"/>
      <c r="HCS7" s="99"/>
      <c r="HCT7" s="99"/>
      <c r="HCU7" s="99"/>
      <c r="HCV7" s="99"/>
      <c r="HCW7" s="99"/>
      <c r="HCX7" s="99"/>
      <c r="HCY7" s="99"/>
      <c r="HCZ7" s="99"/>
      <c r="HDA7" s="99"/>
      <c r="HDB7" s="99"/>
      <c r="HDC7" s="99"/>
      <c r="HDD7" s="99"/>
      <c r="HDE7" s="99"/>
      <c r="HDF7" s="99"/>
      <c r="HDG7" s="99"/>
      <c r="HDH7" s="99"/>
      <c r="HDI7" s="99"/>
      <c r="HDJ7" s="99"/>
      <c r="HDK7" s="99"/>
      <c r="HDL7" s="99"/>
      <c r="HDM7" s="99"/>
      <c r="HDN7" s="99"/>
      <c r="HDO7" s="99"/>
      <c r="HDP7" s="99"/>
      <c r="HDQ7" s="99"/>
      <c r="HDR7" s="99"/>
      <c r="HDS7" s="99"/>
      <c r="HDT7" s="99"/>
      <c r="HDU7" s="99"/>
      <c r="HDV7" s="99"/>
      <c r="HDW7" s="99"/>
      <c r="HDX7" s="99"/>
      <c r="HDY7" s="99"/>
      <c r="HDZ7" s="99"/>
      <c r="HEA7" s="99"/>
      <c r="HEB7" s="99"/>
      <c r="HEC7" s="99"/>
      <c r="HED7" s="99"/>
      <c r="HEE7" s="99"/>
      <c r="HEF7" s="99"/>
      <c r="HEG7" s="99"/>
      <c r="HEH7" s="99"/>
      <c r="HEI7" s="99"/>
      <c r="HEJ7" s="99"/>
      <c r="HEK7" s="99"/>
      <c r="HEL7" s="99"/>
      <c r="HEM7" s="99"/>
      <c r="HEN7" s="99"/>
      <c r="HEO7" s="99"/>
      <c r="HEP7" s="99"/>
      <c r="HEQ7" s="99"/>
      <c r="HER7" s="99"/>
      <c r="HES7" s="99"/>
      <c r="HET7" s="99"/>
      <c r="HEU7" s="99"/>
      <c r="HEV7" s="99"/>
      <c r="HEW7" s="99"/>
      <c r="HEX7" s="99"/>
      <c r="HEY7" s="99"/>
      <c r="HEZ7" s="99"/>
      <c r="HFA7" s="99"/>
      <c r="HFB7" s="99"/>
      <c r="HFC7" s="99"/>
      <c r="HFD7" s="99"/>
      <c r="HFE7" s="99"/>
      <c r="HFF7" s="99"/>
      <c r="HFG7" s="99"/>
      <c r="HFH7" s="99"/>
      <c r="HFI7" s="99"/>
      <c r="HFJ7" s="99"/>
      <c r="HFK7" s="99"/>
      <c r="HFL7" s="99"/>
      <c r="HFM7" s="99"/>
      <c r="HFN7" s="99"/>
      <c r="HFO7" s="99"/>
      <c r="HFP7" s="99"/>
      <c r="HFQ7" s="99"/>
      <c r="HFR7" s="99"/>
      <c r="HFS7" s="99"/>
      <c r="HFT7" s="99"/>
      <c r="HFU7" s="99"/>
      <c r="HFV7" s="99"/>
      <c r="HFW7" s="99"/>
      <c r="HFX7" s="99"/>
      <c r="HFY7" s="99"/>
      <c r="HFZ7" s="99"/>
      <c r="HGA7" s="99"/>
      <c r="HGB7" s="99"/>
      <c r="HGC7" s="99"/>
      <c r="HGD7" s="99"/>
      <c r="HGE7" s="99"/>
      <c r="HGF7" s="99"/>
      <c r="HGG7" s="99"/>
      <c r="HGH7" s="99"/>
      <c r="HGI7" s="99"/>
      <c r="HGJ7" s="99"/>
      <c r="HGK7" s="99"/>
      <c r="HGL7" s="99"/>
      <c r="HGM7" s="99"/>
      <c r="HGN7" s="99"/>
      <c r="HGO7" s="99"/>
      <c r="HGP7" s="99"/>
      <c r="HGQ7" s="99"/>
      <c r="HGR7" s="99"/>
      <c r="HGS7" s="99"/>
      <c r="HGT7" s="99"/>
      <c r="HGU7" s="99"/>
      <c r="HGV7" s="99"/>
      <c r="HGW7" s="99"/>
      <c r="HGX7" s="99"/>
      <c r="HGY7" s="99"/>
      <c r="HGZ7" s="99"/>
      <c r="HHA7" s="99"/>
      <c r="HHB7" s="99"/>
      <c r="HHC7" s="99"/>
      <c r="HHD7" s="99"/>
      <c r="HHE7" s="99"/>
      <c r="HHF7" s="99"/>
      <c r="HHG7" s="99"/>
      <c r="HHH7" s="99"/>
      <c r="HHI7" s="99"/>
      <c r="HHJ7" s="99"/>
      <c r="HHK7" s="99"/>
      <c r="HHL7" s="99"/>
      <c r="HHM7" s="99"/>
      <c r="HHN7" s="99"/>
      <c r="HHO7" s="99"/>
      <c r="HHP7" s="99"/>
      <c r="HHQ7" s="99"/>
      <c r="HHR7" s="99"/>
      <c r="HHS7" s="99"/>
      <c r="HHT7" s="99"/>
      <c r="HHU7" s="99"/>
      <c r="HHV7" s="99"/>
      <c r="HHW7" s="99"/>
      <c r="HHX7" s="99"/>
      <c r="HHY7" s="99"/>
      <c r="HHZ7" s="99"/>
      <c r="HIA7" s="99"/>
      <c r="HIB7" s="99"/>
      <c r="HIC7" s="99"/>
      <c r="HID7" s="99"/>
      <c r="HIE7" s="99"/>
      <c r="HIF7" s="99"/>
      <c r="HIG7" s="99"/>
      <c r="HIH7" s="99"/>
      <c r="HII7" s="99"/>
      <c r="HIJ7" s="99"/>
      <c r="HIK7" s="99"/>
      <c r="HIL7" s="99"/>
      <c r="HIM7" s="99"/>
      <c r="HIN7" s="99"/>
      <c r="HIO7" s="99"/>
      <c r="HIP7" s="99"/>
      <c r="HIQ7" s="99"/>
      <c r="HIR7" s="99"/>
      <c r="HIS7" s="99"/>
      <c r="HIT7" s="99"/>
      <c r="HIU7" s="99"/>
      <c r="HIV7" s="99"/>
      <c r="HIW7" s="99"/>
      <c r="HIX7" s="99"/>
      <c r="HIY7" s="99"/>
      <c r="HIZ7" s="99"/>
      <c r="HJA7" s="99"/>
      <c r="HJB7" s="99"/>
      <c r="HJC7" s="99"/>
      <c r="HJD7" s="99"/>
      <c r="HJE7" s="99"/>
      <c r="HJF7" s="99"/>
      <c r="HJG7" s="99"/>
      <c r="HJH7" s="99"/>
      <c r="HJI7" s="99"/>
      <c r="HJJ7" s="99"/>
      <c r="HJK7" s="99"/>
      <c r="HJL7" s="99"/>
      <c r="HJM7" s="99"/>
      <c r="HJN7" s="99"/>
      <c r="HJO7" s="99"/>
      <c r="HJP7" s="99"/>
      <c r="HJQ7" s="99"/>
      <c r="HJR7" s="99"/>
      <c r="HJS7" s="99"/>
      <c r="HJT7" s="99"/>
      <c r="HJU7" s="99"/>
      <c r="HJV7" s="99"/>
      <c r="HJW7" s="99"/>
      <c r="HJX7" s="99"/>
      <c r="HJY7" s="99"/>
      <c r="HJZ7" s="99"/>
      <c r="HKA7" s="99"/>
      <c r="HKB7" s="99"/>
      <c r="HKC7" s="99"/>
      <c r="HKD7" s="99"/>
      <c r="HKE7" s="99"/>
      <c r="HKF7" s="99"/>
      <c r="HKG7" s="99"/>
      <c r="HKH7" s="99"/>
      <c r="HKI7" s="99"/>
      <c r="HKJ7" s="99"/>
      <c r="HKK7" s="99"/>
      <c r="HKL7" s="99"/>
      <c r="HKM7" s="99"/>
      <c r="HKN7" s="99"/>
      <c r="HKO7" s="99"/>
      <c r="HKP7" s="99"/>
      <c r="HKQ7" s="99"/>
      <c r="HKR7" s="99"/>
      <c r="HKS7" s="99"/>
      <c r="HKT7" s="99"/>
      <c r="HKU7" s="99"/>
      <c r="HKV7" s="99"/>
      <c r="HKW7" s="99"/>
      <c r="HKX7" s="99"/>
      <c r="HKY7" s="99"/>
      <c r="HKZ7" s="99"/>
      <c r="HLA7" s="99"/>
      <c r="HLB7" s="99"/>
      <c r="HLC7" s="99"/>
      <c r="HLD7" s="99"/>
      <c r="HLE7" s="99"/>
      <c r="HLF7" s="99"/>
      <c r="HLG7" s="99"/>
      <c r="HLH7" s="99"/>
      <c r="HLI7" s="99"/>
      <c r="HLJ7" s="99"/>
      <c r="HLK7" s="99"/>
      <c r="HLL7" s="99"/>
      <c r="HLM7" s="99"/>
      <c r="HLN7" s="99"/>
      <c r="HLO7" s="99"/>
      <c r="HLP7" s="99"/>
      <c r="HLQ7" s="99"/>
      <c r="HLR7" s="99"/>
      <c r="HLS7" s="99"/>
      <c r="HLT7" s="99"/>
      <c r="HLU7" s="99"/>
      <c r="HLV7" s="99"/>
      <c r="HLW7" s="99"/>
      <c r="HLX7" s="99"/>
      <c r="HLY7" s="99"/>
      <c r="HLZ7" s="99"/>
      <c r="HMA7" s="99"/>
      <c r="HMB7" s="99"/>
      <c r="HMC7" s="99"/>
      <c r="HMD7" s="99"/>
      <c r="HME7" s="99"/>
      <c r="HMF7" s="99"/>
      <c r="HMG7" s="99"/>
      <c r="HMH7" s="99"/>
      <c r="HMI7" s="99"/>
      <c r="HMJ7" s="99"/>
      <c r="HMK7" s="99"/>
      <c r="HML7" s="99"/>
      <c r="HMM7" s="99"/>
      <c r="HMN7" s="99"/>
      <c r="HMO7" s="99"/>
      <c r="HMP7" s="99"/>
      <c r="HMQ7" s="99"/>
      <c r="HMR7" s="99"/>
      <c r="HMS7" s="99"/>
      <c r="HMT7" s="99"/>
      <c r="HMU7" s="99"/>
      <c r="HMV7" s="99"/>
      <c r="HMW7" s="99"/>
      <c r="HMX7" s="99"/>
      <c r="HMY7" s="99"/>
      <c r="HMZ7" s="99"/>
      <c r="HNA7" s="99"/>
      <c r="HNB7" s="99"/>
      <c r="HNC7" s="99"/>
      <c r="HND7" s="99"/>
      <c r="HNE7" s="99"/>
      <c r="HNF7" s="99"/>
      <c r="HNG7" s="99"/>
      <c r="HNH7" s="99"/>
      <c r="HNI7" s="99"/>
      <c r="HNJ7" s="99"/>
      <c r="HNK7" s="99"/>
      <c r="HNL7" s="99"/>
      <c r="HNM7" s="99"/>
      <c r="HNN7" s="99"/>
      <c r="HNO7" s="99"/>
      <c r="HNP7" s="99"/>
      <c r="HNQ7" s="99"/>
      <c r="HNR7" s="99"/>
      <c r="HNS7" s="99"/>
      <c r="HNT7" s="99"/>
      <c r="HNU7" s="99"/>
      <c r="HNV7" s="99"/>
      <c r="HNW7" s="99"/>
      <c r="HNX7" s="99"/>
      <c r="HNY7" s="99"/>
      <c r="HNZ7" s="99"/>
      <c r="HOA7" s="99"/>
      <c r="HOB7" s="99"/>
      <c r="HOC7" s="99"/>
      <c r="HOD7" s="99"/>
      <c r="HOE7" s="99"/>
      <c r="HOF7" s="99"/>
      <c r="HOG7" s="99"/>
      <c r="HOH7" s="99"/>
      <c r="HOI7" s="99"/>
      <c r="HOJ7" s="99"/>
      <c r="HOK7" s="99"/>
      <c r="HOL7" s="99"/>
      <c r="HOM7" s="99"/>
      <c r="HON7" s="99"/>
      <c r="HOO7" s="99"/>
      <c r="HOP7" s="99"/>
      <c r="HOQ7" s="99"/>
      <c r="HOR7" s="99"/>
      <c r="HOS7" s="99"/>
      <c r="HOT7" s="99"/>
      <c r="HOU7" s="99"/>
      <c r="HOV7" s="99"/>
      <c r="HOW7" s="99"/>
      <c r="HOX7" s="99"/>
      <c r="HOY7" s="99"/>
      <c r="HOZ7" s="99"/>
      <c r="HPA7" s="99"/>
      <c r="HPB7" s="99"/>
      <c r="HPC7" s="99"/>
      <c r="HPD7" s="99"/>
      <c r="HPE7" s="99"/>
      <c r="HPF7" s="99"/>
      <c r="HPG7" s="99"/>
      <c r="HPH7" s="99"/>
      <c r="HPI7" s="99"/>
      <c r="HPJ7" s="99"/>
      <c r="HPK7" s="99"/>
      <c r="HPL7" s="99"/>
      <c r="HPM7" s="99"/>
      <c r="HPN7" s="99"/>
      <c r="HPO7" s="99"/>
      <c r="HPP7" s="99"/>
      <c r="HPQ7" s="99"/>
      <c r="HPR7" s="99"/>
      <c r="HPS7" s="99"/>
      <c r="HPT7" s="99"/>
      <c r="HPU7" s="99"/>
      <c r="HPV7" s="99"/>
      <c r="HPW7" s="99"/>
      <c r="HPX7" s="99"/>
      <c r="HPY7" s="99"/>
      <c r="HPZ7" s="99"/>
      <c r="HQA7" s="99"/>
      <c r="HQB7" s="99"/>
      <c r="HQC7" s="99"/>
      <c r="HQD7" s="99"/>
      <c r="HQE7" s="99"/>
      <c r="HQF7" s="99"/>
      <c r="HQG7" s="99"/>
      <c r="HQH7" s="99"/>
      <c r="HQI7" s="99"/>
      <c r="HQJ7" s="99"/>
      <c r="HQK7" s="99"/>
      <c r="HQL7" s="99"/>
      <c r="HQM7" s="99"/>
      <c r="HQN7" s="99"/>
      <c r="HQO7" s="99"/>
      <c r="HQP7" s="99"/>
      <c r="HQQ7" s="99"/>
      <c r="HQR7" s="99"/>
      <c r="HQS7" s="99"/>
      <c r="HQT7" s="99"/>
      <c r="HQU7" s="99"/>
      <c r="HQV7" s="99"/>
      <c r="HQW7" s="99"/>
      <c r="HQX7" s="99"/>
      <c r="HQY7" s="99"/>
      <c r="HQZ7" s="99"/>
      <c r="HRA7" s="99"/>
      <c r="HRB7" s="99"/>
      <c r="HRC7" s="99"/>
      <c r="HRD7" s="99"/>
      <c r="HRE7" s="99"/>
      <c r="HRF7" s="99"/>
      <c r="HRG7" s="99"/>
      <c r="HRH7" s="99"/>
      <c r="HRI7" s="99"/>
      <c r="HRJ7" s="99"/>
      <c r="HRK7" s="99"/>
      <c r="HRL7" s="99"/>
      <c r="HRM7" s="99"/>
      <c r="HRN7" s="99"/>
      <c r="HRO7" s="99"/>
      <c r="HRP7" s="99"/>
      <c r="HRQ7" s="99"/>
      <c r="HRR7" s="99"/>
      <c r="HRS7" s="99"/>
      <c r="HRT7" s="99"/>
      <c r="HRU7" s="99"/>
      <c r="HRV7" s="99"/>
      <c r="HRW7" s="99"/>
      <c r="HRX7" s="99"/>
      <c r="HRY7" s="99"/>
      <c r="HRZ7" s="99"/>
      <c r="HSA7" s="99"/>
      <c r="HSB7" s="99"/>
      <c r="HSC7" s="99"/>
      <c r="HSD7" s="99"/>
      <c r="HSE7" s="99"/>
      <c r="HSF7" s="99"/>
      <c r="HSG7" s="99"/>
      <c r="HSH7" s="99"/>
      <c r="HSI7" s="99"/>
      <c r="HSJ7" s="99"/>
      <c r="HSK7" s="99"/>
      <c r="HSL7" s="99"/>
      <c r="HSM7" s="99"/>
      <c r="HSN7" s="99"/>
      <c r="HSO7" s="99"/>
      <c r="HSP7" s="99"/>
      <c r="HSQ7" s="99"/>
      <c r="HSR7" s="99"/>
      <c r="HSS7" s="99"/>
      <c r="HST7" s="99"/>
      <c r="HSU7" s="99"/>
      <c r="HSV7" s="99"/>
      <c r="HSW7" s="99"/>
      <c r="HSX7" s="99"/>
      <c r="HSY7" s="99"/>
      <c r="HSZ7" s="99"/>
      <c r="HTA7" s="99"/>
      <c r="HTB7" s="99"/>
      <c r="HTC7" s="99"/>
      <c r="HTD7" s="99"/>
      <c r="HTE7" s="99"/>
      <c r="HTF7" s="99"/>
      <c r="HTG7" s="99"/>
      <c r="HTH7" s="99"/>
      <c r="HTI7" s="99"/>
      <c r="HTJ7" s="99"/>
      <c r="HTK7" s="99"/>
      <c r="HTL7" s="99"/>
      <c r="HTM7" s="99"/>
      <c r="HTN7" s="99"/>
      <c r="HTO7" s="99"/>
      <c r="HTP7" s="99"/>
      <c r="HTQ7" s="99"/>
      <c r="HTR7" s="99"/>
      <c r="HTS7" s="99"/>
      <c r="HTT7" s="99"/>
      <c r="HTU7" s="99"/>
      <c r="HTV7" s="99"/>
      <c r="HTW7" s="99"/>
      <c r="HTX7" s="99"/>
      <c r="HTY7" s="99"/>
      <c r="HTZ7" s="99"/>
      <c r="HUA7" s="99"/>
      <c r="HUB7" s="99"/>
      <c r="HUC7" s="99"/>
      <c r="HUD7" s="99"/>
      <c r="HUE7" s="99"/>
      <c r="HUF7" s="99"/>
      <c r="HUG7" s="99"/>
      <c r="HUH7" s="99"/>
      <c r="HUI7" s="99"/>
      <c r="HUJ7" s="99"/>
      <c r="HUK7" s="99"/>
      <c r="HUL7" s="99"/>
      <c r="HUM7" s="99"/>
      <c r="HUN7" s="99"/>
      <c r="HUO7" s="99"/>
      <c r="HUP7" s="99"/>
      <c r="HUQ7" s="99"/>
      <c r="HUR7" s="99"/>
      <c r="HUS7" s="99"/>
      <c r="HUT7" s="99"/>
      <c r="HUU7" s="99"/>
      <c r="HUV7" s="99"/>
      <c r="HUW7" s="99"/>
      <c r="HUX7" s="99"/>
      <c r="HUY7" s="99"/>
      <c r="HUZ7" s="99"/>
      <c r="HVA7" s="99"/>
      <c r="HVB7" s="99"/>
      <c r="HVC7" s="99"/>
      <c r="HVD7" s="99"/>
      <c r="HVE7" s="99"/>
      <c r="HVF7" s="99"/>
      <c r="HVG7" s="99"/>
      <c r="HVH7" s="99"/>
      <c r="HVI7" s="99"/>
      <c r="HVJ7" s="99"/>
      <c r="HVK7" s="99"/>
      <c r="HVL7" s="99"/>
      <c r="HVM7" s="99"/>
      <c r="HVN7" s="99"/>
      <c r="HVO7" s="99"/>
      <c r="HVP7" s="99"/>
      <c r="HVQ7" s="99"/>
      <c r="HVR7" s="99"/>
      <c r="HVS7" s="99"/>
      <c r="HVT7" s="99"/>
      <c r="HVU7" s="99"/>
      <c r="HVV7" s="99"/>
      <c r="HVW7" s="99"/>
      <c r="HVX7" s="99"/>
      <c r="HVY7" s="99"/>
      <c r="HVZ7" s="99"/>
      <c r="HWA7" s="99"/>
      <c r="HWB7" s="99"/>
      <c r="HWC7" s="99"/>
      <c r="HWD7" s="99"/>
      <c r="HWE7" s="99"/>
      <c r="HWF7" s="99"/>
      <c r="HWG7" s="99"/>
      <c r="HWH7" s="99"/>
      <c r="HWI7" s="99"/>
      <c r="HWJ7" s="99"/>
      <c r="HWK7" s="99"/>
      <c r="HWL7" s="99"/>
      <c r="HWM7" s="99"/>
      <c r="HWN7" s="99"/>
      <c r="HWO7" s="99"/>
      <c r="HWP7" s="99"/>
      <c r="HWQ7" s="99"/>
      <c r="HWR7" s="99"/>
      <c r="HWS7" s="99"/>
      <c r="HWT7" s="99"/>
      <c r="HWU7" s="99"/>
      <c r="HWV7" s="99"/>
      <c r="HWW7" s="99"/>
      <c r="HWX7" s="99"/>
      <c r="HWY7" s="99"/>
      <c r="HWZ7" s="99"/>
      <c r="HXA7" s="99"/>
      <c r="HXB7" s="99"/>
      <c r="HXC7" s="99"/>
      <c r="HXD7" s="99"/>
      <c r="HXE7" s="99"/>
      <c r="HXF7" s="99"/>
      <c r="HXG7" s="99"/>
      <c r="HXH7" s="99"/>
      <c r="HXI7" s="99"/>
      <c r="HXJ7" s="99"/>
      <c r="HXK7" s="99"/>
      <c r="HXL7" s="99"/>
      <c r="HXM7" s="99"/>
      <c r="HXN7" s="99"/>
      <c r="HXO7" s="99"/>
      <c r="HXP7" s="99"/>
      <c r="HXQ7" s="99"/>
      <c r="HXR7" s="99"/>
      <c r="HXS7" s="99"/>
      <c r="HXT7" s="99"/>
      <c r="HXU7" s="99"/>
      <c r="HXV7" s="99"/>
      <c r="HXW7" s="99"/>
      <c r="HXX7" s="99"/>
      <c r="HXY7" s="99"/>
      <c r="HXZ7" s="99"/>
      <c r="HYA7" s="99"/>
      <c r="HYB7" s="99"/>
      <c r="HYC7" s="99"/>
      <c r="HYD7" s="99"/>
      <c r="HYE7" s="99"/>
      <c r="HYF7" s="99"/>
      <c r="HYG7" s="99"/>
      <c r="HYH7" s="99"/>
      <c r="HYI7" s="99"/>
      <c r="HYJ7" s="99"/>
      <c r="HYK7" s="99"/>
      <c r="HYL7" s="99"/>
      <c r="HYM7" s="99"/>
      <c r="HYN7" s="99"/>
      <c r="HYO7" s="99"/>
      <c r="HYP7" s="99"/>
      <c r="HYQ7" s="99"/>
      <c r="HYR7" s="99"/>
      <c r="HYS7" s="99"/>
      <c r="HYT7" s="99"/>
      <c r="HYU7" s="99"/>
      <c r="HYV7" s="99"/>
      <c r="HYW7" s="99"/>
      <c r="HYX7" s="99"/>
      <c r="HYY7" s="99"/>
      <c r="HYZ7" s="99"/>
      <c r="HZA7" s="99"/>
      <c r="HZB7" s="99"/>
      <c r="HZC7" s="99"/>
      <c r="HZD7" s="99"/>
      <c r="HZE7" s="99"/>
      <c r="HZF7" s="99"/>
      <c r="HZG7" s="99"/>
      <c r="HZH7" s="99"/>
      <c r="HZI7" s="99"/>
      <c r="HZJ7" s="99"/>
      <c r="HZK7" s="99"/>
      <c r="HZL7" s="99"/>
      <c r="HZM7" s="99"/>
      <c r="HZN7" s="99"/>
      <c r="HZO7" s="99"/>
      <c r="HZP7" s="99"/>
      <c r="HZQ7" s="99"/>
      <c r="HZR7" s="99"/>
      <c r="HZS7" s="99"/>
      <c r="HZT7" s="99"/>
      <c r="HZU7" s="99"/>
      <c r="HZV7" s="99"/>
      <c r="HZW7" s="99"/>
      <c r="HZX7" s="99"/>
      <c r="HZY7" s="99"/>
      <c r="HZZ7" s="99"/>
      <c r="IAA7" s="99"/>
      <c r="IAB7" s="99"/>
      <c r="IAC7" s="99"/>
      <c r="IAD7" s="99"/>
      <c r="IAE7" s="99"/>
      <c r="IAF7" s="99"/>
      <c r="IAG7" s="99"/>
      <c r="IAH7" s="99"/>
      <c r="IAI7" s="99"/>
      <c r="IAJ7" s="99"/>
      <c r="IAK7" s="99"/>
      <c r="IAL7" s="99"/>
      <c r="IAM7" s="99"/>
      <c r="IAN7" s="99"/>
      <c r="IAO7" s="99"/>
      <c r="IAP7" s="99"/>
      <c r="IAQ7" s="99"/>
      <c r="IAR7" s="99"/>
      <c r="IAS7" s="99"/>
      <c r="IAT7" s="99"/>
      <c r="IAU7" s="99"/>
      <c r="IAV7" s="99"/>
      <c r="IAW7" s="99"/>
      <c r="IAX7" s="99"/>
      <c r="IAY7" s="99"/>
      <c r="IAZ7" s="99"/>
      <c r="IBA7" s="99"/>
      <c r="IBB7" s="99"/>
      <c r="IBC7" s="99"/>
      <c r="IBD7" s="99"/>
      <c r="IBE7" s="99"/>
      <c r="IBF7" s="99"/>
      <c r="IBG7" s="99"/>
      <c r="IBH7" s="99"/>
      <c r="IBI7" s="99"/>
      <c r="IBJ7" s="99"/>
      <c r="IBK7" s="99"/>
      <c r="IBL7" s="99"/>
      <c r="IBM7" s="99"/>
      <c r="IBN7" s="99"/>
      <c r="IBO7" s="99"/>
      <c r="IBP7" s="99"/>
      <c r="IBQ7" s="99"/>
      <c r="IBR7" s="99"/>
      <c r="IBS7" s="99"/>
      <c r="IBT7" s="99"/>
      <c r="IBU7" s="99"/>
      <c r="IBV7" s="99"/>
      <c r="IBW7" s="99"/>
      <c r="IBX7" s="99"/>
      <c r="IBY7" s="99"/>
      <c r="IBZ7" s="99"/>
      <c r="ICA7" s="99"/>
      <c r="ICB7" s="99"/>
      <c r="ICC7" s="99"/>
      <c r="ICD7" s="99"/>
      <c r="ICE7" s="99"/>
      <c r="ICF7" s="99"/>
      <c r="ICG7" s="99"/>
      <c r="ICH7" s="99"/>
      <c r="ICI7" s="99"/>
      <c r="ICJ7" s="99"/>
      <c r="ICK7" s="99"/>
      <c r="ICL7" s="99"/>
      <c r="ICM7" s="99"/>
      <c r="ICN7" s="99"/>
      <c r="ICO7" s="99"/>
      <c r="ICP7" s="99"/>
      <c r="ICQ7" s="99"/>
      <c r="ICR7" s="99"/>
      <c r="ICS7" s="99"/>
      <c r="ICT7" s="99"/>
      <c r="ICU7" s="99"/>
      <c r="ICV7" s="99"/>
      <c r="ICW7" s="99"/>
      <c r="ICX7" s="99"/>
      <c r="ICY7" s="99"/>
      <c r="ICZ7" s="99"/>
      <c r="IDA7" s="99"/>
      <c r="IDB7" s="99"/>
      <c r="IDC7" s="99"/>
      <c r="IDD7" s="99"/>
      <c r="IDE7" s="99"/>
      <c r="IDF7" s="99"/>
      <c r="IDG7" s="99"/>
      <c r="IDH7" s="99"/>
      <c r="IDI7" s="99"/>
      <c r="IDJ7" s="99"/>
      <c r="IDK7" s="99"/>
      <c r="IDL7" s="99"/>
      <c r="IDM7" s="99"/>
      <c r="IDN7" s="99"/>
      <c r="IDO7" s="99"/>
      <c r="IDP7" s="99"/>
      <c r="IDQ7" s="99"/>
      <c r="IDR7" s="99"/>
      <c r="IDS7" s="99"/>
      <c r="IDT7" s="99"/>
      <c r="IDU7" s="99"/>
      <c r="IDV7" s="99"/>
      <c r="IDW7" s="99"/>
      <c r="IDX7" s="99"/>
      <c r="IDY7" s="99"/>
      <c r="IDZ7" s="99"/>
      <c r="IEA7" s="99"/>
      <c r="IEB7" s="99"/>
      <c r="IEC7" s="99"/>
      <c r="IED7" s="99"/>
      <c r="IEE7" s="99"/>
      <c r="IEF7" s="99"/>
      <c r="IEG7" s="99"/>
      <c r="IEH7" s="99"/>
      <c r="IEI7" s="99"/>
      <c r="IEJ7" s="99"/>
      <c r="IEK7" s="99"/>
      <c r="IEL7" s="99"/>
      <c r="IEM7" s="99"/>
      <c r="IEN7" s="99"/>
      <c r="IEO7" s="99"/>
      <c r="IEP7" s="99"/>
      <c r="IEQ7" s="99"/>
      <c r="IER7" s="99"/>
      <c r="IES7" s="99"/>
      <c r="IET7" s="99"/>
      <c r="IEU7" s="99"/>
      <c r="IEV7" s="99"/>
      <c r="IEW7" s="99"/>
      <c r="IEX7" s="99"/>
      <c r="IEY7" s="99"/>
      <c r="IEZ7" s="99"/>
      <c r="IFA7" s="99"/>
      <c r="IFB7" s="99"/>
      <c r="IFC7" s="99"/>
      <c r="IFD7" s="99"/>
      <c r="IFE7" s="99"/>
      <c r="IFF7" s="99"/>
      <c r="IFG7" s="99"/>
      <c r="IFH7" s="99"/>
      <c r="IFI7" s="99"/>
      <c r="IFJ7" s="99"/>
      <c r="IFK7" s="99"/>
      <c r="IFL7" s="99"/>
      <c r="IFM7" s="99"/>
      <c r="IFN7" s="99"/>
      <c r="IFO7" s="99"/>
      <c r="IFP7" s="99"/>
      <c r="IFQ7" s="99"/>
      <c r="IFR7" s="99"/>
      <c r="IFS7" s="99"/>
      <c r="IFT7" s="99"/>
      <c r="IFU7" s="99"/>
      <c r="IFV7" s="99"/>
      <c r="IFW7" s="99"/>
      <c r="IFX7" s="99"/>
      <c r="IFY7" s="99"/>
      <c r="IFZ7" s="99"/>
      <c r="IGA7" s="99"/>
      <c r="IGB7" s="99"/>
      <c r="IGC7" s="99"/>
      <c r="IGD7" s="99"/>
      <c r="IGE7" s="99"/>
      <c r="IGF7" s="99"/>
      <c r="IGG7" s="99"/>
      <c r="IGH7" s="99"/>
      <c r="IGI7" s="99"/>
      <c r="IGJ7" s="99"/>
      <c r="IGK7" s="99"/>
      <c r="IGL7" s="99"/>
      <c r="IGM7" s="99"/>
      <c r="IGN7" s="99"/>
      <c r="IGO7" s="99"/>
      <c r="IGP7" s="99"/>
      <c r="IGQ7" s="99"/>
      <c r="IGR7" s="99"/>
      <c r="IGS7" s="99"/>
      <c r="IGT7" s="99"/>
      <c r="IGU7" s="99"/>
      <c r="IGV7" s="99"/>
      <c r="IGW7" s="99"/>
      <c r="IGX7" s="99"/>
      <c r="IGY7" s="99"/>
      <c r="IGZ7" s="99"/>
      <c r="IHA7" s="99"/>
      <c r="IHB7" s="99"/>
      <c r="IHC7" s="99"/>
      <c r="IHD7" s="99"/>
      <c r="IHE7" s="99"/>
      <c r="IHF7" s="99"/>
      <c r="IHG7" s="99"/>
      <c r="IHH7" s="99"/>
      <c r="IHI7" s="99"/>
      <c r="IHJ7" s="99"/>
      <c r="IHK7" s="99"/>
      <c r="IHL7" s="99"/>
      <c r="IHM7" s="99"/>
      <c r="IHN7" s="99"/>
      <c r="IHO7" s="99"/>
      <c r="IHP7" s="99"/>
      <c r="IHQ7" s="99"/>
      <c r="IHR7" s="99"/>
      <c r="IHS7" s="99"/>
      <c r="IHT7" s="99"/>
      <c r="IHU7" s="99"/>
      <c r="IHV7" s="99"/>
      <c r="IHW7" s="99"/>
      <c r="IHX7" s="99"/>
      <c r="IHY7" s="99"/>
      <c r="IHZ7" s="99"/>
      <c r="IIA7" s="99"/>
      <c r="IIB7" s="99"/>
      <c r="IIC7" s="99"/>
      <c r="IID7" s="99"/>
      <c r="IIE7" s="99"/>
      <c r="IIF7" s="99"/>
      <c r="IIG7" s="99"/>
      <c r="IIH7" s="99"/>
      <c r="III7" s="99"/>
      <c r="IIJ7" s="99"/>
      <c r="IIK7" s="99"/>
      <c r="IIL7" s="99"/>
      <c r="IIM7" s="99"/>
      <c r="IIN7" s="99"/>
      <c r="IIO7" s="99"/>
      <c r="IIP7" s="99"/>
      <c r="IIQ7" s="99"/>
      <c r="IIR7" s="99"/>
      <c r="IIS7" s="99"/>
      <c r="IIT7" s="99"/>
      <c r="IIU7" s="99"/>
      <c r="IIV7" s="99"/>
      <c r="IIW7" s="99"/>
      <c r="IIX7" s="99"/>
      <c r="IIY7" s="99"/>
      <c r="IIZ7" s="99"/>
      <c r="IJA7" s="99"/>
      <c r="IJB7" s="99"/>
      <c r="IJC7" s="99"/>
      <c r="IJD7" s="99"/>
      <c r="IJE7" s="99"/>
      <c r="IJF7" s="99"/>
      <c r="IJG7" s="99"/>
      <c r="IJH7" s="99"/>
      <c r="IJI7" s="99"/>
      <c r="IJJ7" s="99"/>
      <c r="IJK7" s="99"/>
      <c r="IJL7" s="99"/>
      <c r="IJM7" s="99"/>
      <c r="IJN7" s="99"/>
      <c r="IJO7" s="99"/>
      <c r="IJP7" s="99"/>
      <c r="IJQ7" s="99"/>
      <c r="IJR7" s="99"/>
      <c r="IJS7" s="99"/>
      <c r="IJT7" s="99"/>
      <c r="IJU7" s="99"/>
      <c r="IJV7" s="99"/>
      <c r="IJW7" s="99"/>
      <c r="IJX7" s="99"/>
      <c r="IJY7" s="99"/>
      <c r="IJZ7" s="99"/>
      <c r="IKA7" s="99"/>
      <c r="IKB7" s="99"/>
      <c r="IKC7" s="99"/>
      <c r="IKD7" s="99"/>
      <c r="IKE7" s="99"/>
      <c r="IKF7" s="99"/>
      <c r="IKG7" s="99"/>
      <c r="IKH7" s="99"/>
      <c r="IKI7" s="99"/>
      <c r="IKJ7" s="99"/>
      <c r="IKK7" s="99"/>
      <c r="IKL7" s="99"/>
      <c r="IKM7" s="99"/>
      <c r="IKN7" s="99"/>
      <c r="IKO7" s="99"/>
      <c r="IKP7" s="99"/>
      <c r="IKQ7" s="99"/>
      <c r="IKR7" s="99"/>
      <c r="IKS7" s="99"/>
      <c r="IKT7" s="99"/>
      <c r="IKU7" s="99"/>
      <c r="IKV7" s="99"/>
      <c r="IKW7" s="99"/>
      <c r="IKX7" s="99"/>
      <c r="IKY7" s="99"/>
      <c r="IKZ7" s="99"/>
      <c r="ILA7" s="99"/>
      <c r="ILB7" s="99"/>
      <c r="ILC7" s="99"/>
      <c r="ILD7" s="99"/>
      <c r="ILE7" s="99"/>
      <c r="ILF7" s="99"/>
      <c r="ILG7" s="99"/>
      <c r="ILH7" s="99"/>
      <c r="ILI7" s="99"/>
      <c r="ILJ7" s="99"/>
      <c r="ILK7" s="99"/>
      <c r="ILL7" s="99"/>
      <c r="ILM7" s="99"/>
      <c r="ILN7" s="99"/>
      <c r="ILO7" s="99"/>
      <c r="ILP7" s="99"/>
      <c r="ILQ7" s="99"/>
      <c r="ILR7" s="99"/>
      <c r="ILS7" s="99"/>
      <c r="ILT7" s="99"/>
      <c r="ILU7" s="99"/>
      <c r="ILV7" s="99"/>
      <c r="ILW7" s="99"/>
      <c r="ILX7" s="99"/>
      <c r="ILY7" s="99"/>
      <c r="ILZ7" s="99"/>
      <c r="IMA7" s="99"/>
      <c r="IMB7" s="99"/>
      <c r="IMC7" s="99"/>
      <c r="IMD7" s="99"/>
      <c r="IME7" s="99"/>
      <c r="IMF7" s="99"/>
      <c r="IMG7" s="99"/>
      <c r="IMH7" s="99"/>
      <c r="IMI7" s="99"/>
      <c r="IMJ7" s="99"/>
      <c r="IMK7" s="99"/>
      <c r="IML7" s="99"/>
      <c r="IMM7" s="99"/>
      <c r="IMN7" s="99"/>
      <c r="IMO7" s="99"/>
      <c r="IMP7" s="99"/>
      <c r="IMQ7" s="99"/>
      <c r="IMR7" s="99"/>
      <c r="IMS7" s="99"/>
      <c r="IMT7" s="99"/>
      <c r="IMU7" s="99"/>
      <c r="IMV7" s="99"/>
      <c r="IMW7" s="99"/>
      <c r="IMX7" s="99"/>
      <c r="IMY7" s="99"/>
      <c r="IMZ7" s="99"/>
      <c r="INA7" s="99"/>
      <c r="INB7" s="99"/>
      <c r="INC7" s="99"/>
      <c r="IND7" s="99"/>
      <c r="INE7" s="99"/>
      <c r="INF7" s="99"/>
      <c r="ING7" s="99"/>
      <c r="INH7" s="99"/>
      <c r="INI7" s="99"/>
      <c r="INJ7" s="99"/>
      <c r="INK7" s="99"/>
      <c r="INL7" s="99"/>
      <c r="INM7" s="99"/>
      <c r="INN7" s="99"/>
      <c r="INO7" s="99"/>
      <c r="INP7" s="99"/>
      <c r="INQ7" s="99"/>
      <c r="INR7" s="99"/>
      <c r="INS7" s="99"/>
      <c r="INT7" s="99"/>
      <c r="INU7" s="99"/>
      <c r="INV7" s="99"/>
      <c r="INW7" s="99"/>
      <c r="INX7" s="99"/>
      <c r="INY7" s="99"/>
      <c r="INZ7" s="99"/>
      <c r="IOA7" s="99"/>
      <c r="IOB7" s="99"/>
      <c r="IOC7" s="99"/>
      <c r="IOD7" s="99"/>
      <c r="IOE7" s="99"/>
      <c r="IOF7" s="99"/>
      <c r="IOG7" s="99"/>
      <c r="IOH7" s="99"/>
      <c r="IOI7" s="99"/>
      <c r="IOJ7" s="99"/>
      <c r="IOK7" s="99"/>
      <c r="IOL7" s="99"/>
      <c r="IOM7" s="99"/>
      <c r="ION7" s="99"/>
      <c r="IOO7" s="99"/>
      <c r="IOP7" s="99"/>
      <c r="IOQ7" s="99"/>
      <c r="IOR7" s="99"/>
      <c r="IOS7" s="99"/>
      <c r="IOT7" s="99"/>
      <c r="IOU7" s="99"/>
      <c r="IOV7" s="99"/>
      <c r="IOW7" s="99"/>
      <c r="IOX7" s="99"/>
      <c r="IOY7" s="99"/>
      <c r="IOZ7" s="99"/>
      <c r="IPA7" s="99"/>
      <c r="IPB7" s="99"/>
      <c r="IPC7" s="99"/>
      <c r="IPD7" s="99"/>
      <c r="IPE7" s="99"/>
      <c r="IPF7" s="99"/>
      <c r="IPG7" s="99"/>
      <c r="IPH7" s="99"/>
      <c r="IPI7" s="99"/>
      <c r="IPJ7" s="99"/>
      <c r="IPK7" s="99"/>
      <c r="IPL7" s="99"/>
      <c r="IPM7" s="99"/>
      <c r="IPN7" s="99"/>
      <c r="IPO7" s="99"/>
      <c r="IPP7" s="99"/>
      <c r="IPQ7" s="99"/>
      <c r="IPR7" s="99"/>
      <c r="IPS7" s="99"/>
      <c r="IPT7" s="99"/>
      <c r="IPU7" s="99"/>
      <c r="IPV7" s="99"/>
      <c r="IPW7" s="99"/>
      <c r="IPX7" s="99"/>
      <c r="IPY7" s="99"/>
      <c r="IPZ7" s="99"/>
      <c r="IQA7" s="99"/>
      <c r="IQB7" s="99"/>
      <c r="IQC7" s="99"/>
      <c r="IQD7" s="99"/>
      <c r="IQE7" s="99"/>
      <c r="IQF7" s="99"/>
      <c r="IQG7" s="99"/>
      <c r="IQH7" s="99"/>
      <c r="IQI7" s="99"/>
      <c r="IQJ7" s="99"/>
      <c r="IQK7" s="99"/>
      <c r="IQL7" s="99"/>
      <c r="IQM7" s="99"/>
      <c r="IQN7" s="99"/>
      <c r="IQO7" s="99"/>
      <c r="IQP7" s="99"/>
      <c r="IQQ7" s="99"/>
      <c r="IQR7" s="99"/>
      <c r="IQS7" s="99"/>
      <c r="IQT7" s="99"/>
      <c r="IQU7" s="99"/>
      <c r="IQV7" s="99"/>
      <c r="IQW7" s="99"/>
      <c r="IQX7" s="99"/>
      <c r="IQY7" s="99"/>
      <c r="IQZ7" s="99"/>
      <c r="IRA7" s="99"/>
      <c r="IRB7" s="99"/>
      <c r="IRC7" s="99"/>
      <c r="IRD7" s="99"/>
      <c r="IRE7" s="99"/>
      <c r="IRF7" s="99"/>
      <c r="IRG7" s="99"/>
      <c r="IRH7" s="99"/>
      <c r="IRI7" s="99"/>
      <c r="IRJ7" s="99"/>
      <c r="IRK7" s="99"/>
      <c r="IRL7" s="99"/>
      <c r="IRM7" s="99"/>
      <c r="IRN7" s="99"/>
      <c r="IRO7" s="99"/>
      <c r="IRP7" s="99"/>
      <c r="IRQ7" s="99"/>
      <c r="IRR7" s="99"/>
      <c r="IRS7" s="99"/>
      <c r="IRT7" s="99"/>
      <c r="IRU7" s="99"/>
      <c r="IRV7" s="99"/>
      <c r="IRW7" s="99"/>
      <c r="IRX7" s="99"/>
      <c r="IRY7" s="99"/>
      <c r="IRZ7" s="99"/>
      <c r="ISA7" s="99"/>
      <c r="ISB7" s="99"/>
      <c r="ISC7" s="99"/>
      <c r="ISD7" s="99"/>
      <c r="ISE7" s="99"/>
      <c r="ISF7" s="99"/>
      <c r="ISG7" s="99"/>
      <c r="ISH7" s="99"/>
      <c r="ISI7" s="99"/>
      <c r="ISJ7" s="99"/>
      <c r="ISK7" s="99"/>
      <c r="ISL7" s="99"/>
      <c r="ISM7" s="99"/>
      <c r="ISN7" s="99"/>
      <c r="ISO7" s="99"/>
      <c r="ISP7" s="99"/>
      <c r="ISQ7" s="99"/>
      <c r="ISR7" s="99"/>
      <c r="ISS7" s="99"/>
      <c r="IST7" s="99"/>
      <c r="ISU7" s="99"/>
      <c r="ISV7" s="99"/>
      <c r="ISW7" s="99"/>
      <c r="ISX7" s="99"/>
      <c r="ISY7" s="99"/>
      <c r="ISZ7" s="99"/>
      <c r="ITA7" s="99"/>
      <c r="ITB7" s="99"/>
      <c r="ITC7" s="99"/>
      <c r="ITD7" s="99"/>
      <c r="ITE7" s="99"/>
      <c r="ITF7" s="99"/>
      <c r="ITG7" s="99"/>
      <c r="ITH7" s="99"/>
      <c r="ITI7" s="99"/>
      <c r="ITJ7" s="99"/>
      <c r="ITK7" s="99"/>
      <c r="ITL7" s="99"/>
      <c r="ITM7" s="99"/>
      <c r="ITN7" s="99"/>
      <c r="ITO7" s="99"/>
      <c r="ITP7" s="99"/>
      <c r="ITQ7" s="99"/>
      <c r="ITR7" s="99"/>
      <c r="ITS7" s="99"/>
      <c r="ITT7" s="99"/>
      <c r="ITU7" s="99"/>
      <c r="ITV7" s="99"/>
      <c r="ITW7" s="99"/>
      <c r="ITX7" s="99"/>
      <c r="ITY7" s="99"/>
      <c r="ITZ7" s="99"/>
      <c r="IUA7" s="99"/>
      <c r="IUB7" s="99"/>
      <c r="IUC7" s="99"/>
      <c r="IUD7" s="99"/>
      <c r="IUE7" s="99"/>
      <c r="IUF7" s="99"/>
      <c r="IUG7" s="99"/>
      <c r="IUH7" s="99"/>
      <c r="IUI7" s="99"/>
      <c r="IUJ7" s="99"/>
      <c r="IUK7" s="99"/>
      <c r="IUL7" s="99"/>
      <c r="IUM7" s="99"/>
      <c r="IUN7" s="99"/>
      <c r="IUO7" s="99"/>
      <c r="IUP7" s="99"/>
      <c r="IUQ7" s="99"/>
      <c r="IUR7" s="99"/>
      <c r="IUS7" s="99"/>
      <c r="IUT7" s="99"/>
      <c r="IUU7" s="99"/>
      <c r="IUV7" s="99"/>
      <c r="IUW7" s="99"/>
      <c r="IUX7" s="99"/>
      <c r="IUY7" s="99"/>
      <c r="IUZ7" s="99"/>
      <c r="IVA7" s="99"/>
      <c r="IVB7" s="99"/>
      <c r="IVC7" s="99"/>
      <c r="IVD7" s="99"/>
      <c r="IVE7" s="99"/>
      <c r="IVF7" s="99"/>
      <c r="IVG7" s="99"/>
      <c r="IVH7" s="99"/>
      <c r="IVI7" s="99"/>
      <c r="IVJ7" s="99"/>
      <c r="IVK7" s="99"/>
      <c r="IVL7" s="99"/>
      <c r="IVM7" s="99"/>
      <c r="IVN7" s="99"/>
      <c r="IVO7" s="99"/>
      <c r="IVP7" s="99"/>
      <c r="IVQ7" s="99"/>
      <c r="IVR7" s="99"/>
      <c r="IVS7" s="99"/>
      <c r="IVT7" s="99"/>
      <c r="IVU7" s="99"/>
      <c r="IVV7" s="99"/>
      <c r="IVW7" s="99"/>
      <c r="IVX7" s="99"/>
      <c r="IVY7" s="99"/>
      <c r="IVZ7" s="99"/>
      <c r="IWA7" s="99"/>
      <c r="IWB7" s="99"/>
      <c r="IWC7" s="99"/>
      <c r="IWD7" s="99"/>
      <c r="IWE7" s="99"/>
      <c r="IWF7" s="99"/>
      <c r="IWG7" s="99"/>
      <c r="IWH7" s="99"/>
      <c r="IWI7" s="99"/>
      <c r="IWJ7" s="99"/>
      <c r="IWK7" s="99"/>
      <c r="IWL7" s="99"/>
      <c r="IWM7" s="99"/>
      <c r="IWN7" s="99"/>
      <c r="IWO7" s="99"/>
      <c r="IWP7" s="99"/>
      <c r="IWQ7" s="99"/>
      <c r="IWR7" s="99"/>
      <c r="IWS7" s="99"/>
      <c r="IWT7" s="99"/>
      <c r="IWU7" s="99"/>
      <c r="IWV7" s="99"/>
      <c r="IWW7" s="99"/>
      <c r="IWX7" s="99"/>
      <c r="IWY7" s="99"/>
      <c r="IWZ7" s="99"/>
      <c r="IXA7" s="99"/>
      <c r="IXB7" s="99"/>
      <c r="IXC7" s="99"/>
      <c r="IXD7" s="99"/>
      <c r="IXE7" s="99"/>
      <c r="IXF7" s="99"/>
      <c r="IXG7" s="99"/>
      <c r="IXH7" s="99"/>
      <c r="IXI7" s="99"/>
      <c r="IXJ7" s="99"/>
      <c r="IXK7" s="99"/>
      <c r="IXL7" s="99"/>
      <c r="IXM7" s="99"/>
      <c r="IXN7" s="99"/>
      <c r="IXO7" s="99"/>
      <c r="IXP7" s="99"/>
      <c r="IXQ7" s="99"/>
      <c r="IXR7" s="99"/>
      <c r="IXS7" s="99"/>
      <c r="IXT7" s="99"/>
      <c r="IXU7" s="99"/>
      <c r="IXV7" s="99"/>
      <c r="IXW7" s="99"/>
      <c r="IXX7" s="99"/>
      <c r="IXY7" s="99"/>
      <c r="IXZ7" s="99"/>
      <c r="IYA7" s="99"/>
      <c r="IYB7" s="99"/>
      <c r="IYC7" s="99"/>
      <c r="IYD7" s="99"/>
      <c r="IYE7" s="99"/>
      <c r="IYF7" s="99"/>
      <c r="IYG7" s="99"/>
      <c r="IYH7" s="99"/>
      <c r="IYI7" s="99"/>
      <c r="IYJ7" s="99"/>
      <c r="IYK7" s="99"/>
      <c r="IYL7" s="99"/>
      <c r="IYM7" s="99"/>
      <c r="IYN7" s="99"/>
      <c r="IYO7" s="99"/>
      <c r="IYP7" s="99"/>
      <c r="IYQ7" s="99"/>
      <c r="IYR7" s="99"/>
      <c r="IYS7" s="99"/>
      <c r="IYT7" s="99"/>
      <c r="IYU7" s="99"/>
      <c r="IYV7" s="99"/>
      <c r="IYW7" s="99"/>
      <c r="IYX7" s="99"/>
      <c r="IYY7" s="99"/>
      <c r="IYZ7" s="99"/>
      <c r="IZA7" s="99"/>
      <c r="IZB7" s="99"/>
      <c r="IZC7" s="99"/>
      <c r="IZD7" s="99"/>
      <c r="IZE7" s="99"/>
      <c r="IZF7" s="99"/>
      <c r="IZG7" s="99"/>
      <c r="IZH7" s="99"/>
      <c r="IZI7" s="99"/>
      <c r="IZJ7" s="99"/>
      <c r="IZK7" s="99"/>
      <c r="IZL7" s="99"/>
      <c r="IZM7" s="99"/>
      <c r="IZN7" s="99"/>
      <c r="IZO7" s="99"/>
      <c r="IZP7" s="99"/>
      <c r="IZQ7" s="99"/>
      <c r="IZR7" s="99"/>
      <c r="IZS7" s="99"/>
      <c r="IZT7" s="99"/>
      <c r="IZU7" s="99"/>
      <c r="IZV7" s="99"/>
      <c r="IZW7" s="99"/>
      <c r="IZX7" s="99"/>
      <c r="IZY7" s="99"/>
      <c r="IZZ7" s="99"/>
      <c r="JAA7" s="99"/>
      <c r="JAB7" s="99"/>
      <c r="JAC7" s="99"/>
      <c r="JAD7" s="99"/>
      <c r="JAE7" s="99"/>
      <c r="JAF7" s="99"/>
      <c r="JAG7" s="99"/>
      <c r="JAH7" s="99"/>
      <c r="JAI7" s="99"/>
      <c r="JAJ7" s="99"/>
      <c r="JAK7" s="99"/>
      <c r="JAL7" s="99"/>
      <c r="JAM7" s="99"/>
      <c r="JAN7" s="99"/>
      <c r="JAO7" s="99"/>
      <c r="JAP7" s="99"/>
      <c r="JAQ7" s="99"/>
      <c r="JAR7" s="99"/>
      <c r="JAS7" s="99"/>
      <c r="JAT7" s="99"/>
      <c r="JAU7" s="99"/>
      <c r="JAV7" s="99"/>
      <c r="JAW7" s="99"/>
      <c r="JAX7" s="99"/>
      <c r="JAY7" s="99"/>
      <c r="JAZ7" s="99"/>
      <c r="JBA7" s="99"/>
      <c r="JBB7" s="99"/>
      <c r="JBC7" s="99"/>
      <c r="JBD7" s="99"/>
      <c r="JBE7" s="99"/>
      <c r="JBF7" s="99"/>
      <c r="JBG7" s="99"/>
      <c r="JBH7" s="99"/>
      <c r="JBI7" s="99"/>
      <c r="JBJ7" s="99"/>
      <c r="JBK7" s="99"/>
      <c r="JBL7" s="99"/>
      <c r="JBM7" s="99"/>
      <c r="JBN7" s="99"/>
      <c r="JBO7" s="99"/>
      <c r="JBP7" s="99"/>
      <c r="JBQ7" s="99"/>
      <c r="JBR7" s="99"/>
      <c r="JBS7" s="99"/>
      <c r="JBT7" s="99"/>
      <c r="JBU7" s="99"/>
      <c r="JBV7" s="99"/>
      <c r="JBW7" s="99"/>
      <c r="JBX7" s="99"/>
      <c r="JBY7" s="99"/>
      <c r="JBZ7" s="99"/>
      <c r="JCA7" s="99"/>
      <c r="JCB7" s="99"/>
      <c r="JCC7" s="99"/>
      <c r="JCD7" s="99"/>
      <c r="JCE7" s="99"/>
      <c r="JCF7" s="99"/>
      <c r="JCG7" s="99"/>
      <c r="JCH7" s="99"/>
      <c r="JCI7" s="99"/>
      <c r="JCJ7" s="99"/>
      <c r="JCK7" s="99"/>
      <c r="JCL7" s="99"/>
      <c r="JCM7" s="99"/>
      <c r="JCN7" s="99"/>
      <c r="JCO7" s="99"/>
      <c r="JCP7" s="99"/>
      <c r="JCQ7" s="99"/>
      <c r="JCR7" s="99"/>
      <c r="JCS7" s="99"/>
      <c r="JCT7" s="99"/>
      <c r="JCU7" s="99"/>
      <c r="JCV7" s="99"/>
      <c r="JCW7" s="99"/>
      <c r="JCX7" s="99"/>
      <c r="JCY7" s="99"/>
      <c r="JCZ7" s="99"/>
      <c r="JDA7" s="99"/>
      <c r="JDB7" s="99"/>
      <c r="JDC7" s="99"/>
      <c r="JDD7" s="99"/>
      <c r="JDE7" s="99"/>
      <c r="JDF7" s="99"/>
      <c r="JDG7" s="99"/>
      <c r="JDH7" s="99"/>
      <c r="JDI7" s="99"/>
      <c r="JDJ7" s="99"/>
      <c r="JDK7" s="99"/>
      <c r="JDL7" s="99"/>
      <c r="JDM7" s="99"/>
      <c r="JDN7" s="99"/>
      <c r="JDO7" s="99"/>
      <c r="JDP7" s="99"/>
      <c r="JDQ7" s="99"/>
      <c r="JDR7" s="99"/>
      <c r="JDS7" s="99"/>
      <c r="JDT7" s="99"/>
      <c r="JDU7" s="99"/>
      <c r="JDV7" s="99"/>
      <c r="JDW7" s="99"/>
      <c r="JDX7" s="99"/>
      <c r="JDY7" s="99"/>
      <c r="JDZ7" s="99"/>
      <c r="JEA7" s="99"/>
      <c r="JEB7" s="99"/>
      <c r="JEC7" s="99"/>
      <c r="JED7" s="99"/>
      <c r="JEE7" s="99"/>
      <c r="JEF7" s="99"/>
      <c r="JEG7" s="99"/>
      <c r="JEH7" s="99"/>
      <c r="JEI7" s="99"/>
      <c r="JEJ7" s="99"/>
      <c r="JEK7" s="99"/>
      <c r="JEL7" s="99"/>
      <c r="JEM7" s="99"/>
      <c r="JEN7" s="99"/>
      <c r="JEO7" s="99"/>
      <c r="JEP7" s="99"/>
      <c r="JEQ7" s="99"/>
      <c r="JER7" s="99"/>
      <c r="JES7" s="99"/>
      <c r="JET7" s="99"/>
      <c r="JEU7" s="99"/>
      <c r="JEV7" s="99"/>
      <c r="JEW7" s="99"/>
      <c r="JEX7" s="99"/>
      <c r="JEY7" s="99"/>
      <c r="JEZ7" s="99"/>
      <c r="JFA7" s="99"/>
      <c r="JFB7" s="99"/>
      <c r="JFC7" s="99"/>
      <c r="JFD7" s="99"/>
      <c r="JFE7" s="99"/>
      <c r="JFF7" s="99"/>
      <c r="JFG7" s="99"/>
      <c r="JFH7" s="99"/>
      <c r="JFI7" s="99"/>
      <c r="JFJ7" s="99"/>
      <c r="JFK7" s="99"/>
      <c r="JFL7" s="99"/>
      <c r="JFM7" s="99"/>
      <c r="JFN7" s="99"/>
      <c r="JFO7" s="99"/>
      <c r="JFP7" s="99"/>
      <c r="JFQ7" s="99"/>
      <c r="JFR7" s="99"/>
      <c r="JFS7" s="99"/>
      <c r="JFT7" s="99"/>
      <c r="JFU7" s="99"/>
      <c r="JFV7" s="99"/>
      <c r="JFW7" s="99"/>
      <c r="JFX7" s="99"/>
      <c r="JFY7" s="99"/>
      <c r="JFZ7" s="99"/>
      <c r="JGA7" s="99"/>
      <c r="JGB7" s="99"/>
      <c r="JGC7" s="99"/>
      <c r="JGD7" s="99"/>
      <c r="JGE7" s="99"/>
      <c r="JGF7" s="99"/>
      <c r="JGG7" s="99"/>
      <c r="JGH7" s="99"/>
      <c r="JGI7" s="99"/>
      <c r="JGJ7" s="99"/>
      <c r="JGK7" s="99"/>
      <c r="JGL7" s="99"/>
      <c r="JGM7" s="99"/>
      <c r="JGN7" s="99"/>
      <c r="JGO7" s="99"/>
      <c r="JGP7" s="99"/>
      <c r="JGQ7" s="99"/>
      <c r="JGR7" s="99"/>
      <c r="JGS7" s="99"/>
      <c r="JGT7" s="99"/>
      <c r="JGU7" s="99"/>
      <c r="JGV7" s="99"/>
      <c r="JGW7" s="99"/>
      <c r="JGX7" s="99"/>
      <c r="JGY7" s="99"/>
      <c r="JGZ7" s="99"/>
      <c r="JHA7" s="99"/>
      <c r="JHB7" s="99"/>
      <c r="JHC7" s="99"/>
      <c r="JHD7" s="99"/>
      <c r="JHE7" s="99"/>
      <c r="JHF7" s="99"/>
      <c r="JHG7" s="99"/>
      <c r="JHH7" s="99"/>
      <c r="JHI7" s="99"/>
      <c r="JHJ7" s="99"/>
      <c r="JHK7" s="99"/>
      <c r="JHL7" s="99"/>
      <c r="JHM7" s="99"/>
      <c r="JHN7" s="99"/>
      <c r="JHO7" s="99"/>
      <c r="JHP7" s="99"/>
      <c r="JHQ7" s="99"/>
      <c r="JHR7" s="99"/>
      <c r="JHS7" s="99"/>
      <c r="JHT7" s="99"/>
      <c r="JHU7" s="99"/>
      <c r="JHV7" s="99"/>
      <c r="JHW7" s="99"/>
      <c r="JHX7" s="99"/>
      <c r="JHY7" s="99"/>
      <c r="JHZ7" s="99"/>
      <c r="JIA7" s="99"/>
      <c r="JIB7" s="99"/>
      <c r="JIC7" s="99"/>
      <c r="JID7" s="99"/>
      <c r="JIE7" s="99"/>
      <c r="JIF7" s="99"/>
      <c r="JIG7" s="99"/>
      <c r="JIH7" s="99"/>
      <c r="JII7" s="99"/>
      <c r="JIJ7" s="99"/>
      <c r="JIK7" s="99"/>
      <c r="JIL7" s="99"/>
      <c r="JIM7" s="99"/>
      <c r="JIN7" s="99"/>
      <c r="JIO7" s="99"/>
      <c r="JIP7" s="99"/>
      <c r="JIQ7" s="99"/>
      <c r="JIR7" s="99"/>
      <c r="JIS7" s="99"/>
      <c r="JIT7" s="99"/>
      <c r="JIU7" s="99"/>
      <c r="JIV7" s="99"/>
      <c r="JIW7" s="99"/>
      <c r="JIX7" s="99"/>
      <c r="JIY7" s="99"/>
      <c r="JIZ7" s="99"/>
      <c r="JJA7" s="99"/>
      <c r="JJB7" s="99"/>
      <c r="JJC7" s="99"/>
      <c r="JJD7" s="99"/>
      <c r="JJE7" s="99"/>
      <c r="JJF7" s="99"/>
      <c r="JJG7" s="99"/>
      <c r="JJH7" s="99"/>
      <c r="JJI7" s="99"/>
      <c r="JJJ7" s="99"/>
      <c r="JJK7" s="99"/>
      <c r="JJL7" s="99"/>
      <c r="JJM7" s="99"/>
      <c r="JJN7" s="99"/>
      <c r="JJO7" s="99"/>
      <c r="JJP7" s="99"/>
      <c r="JJQ7" s="99"/>
      <c r="JJR7" s="99"/>
      <c r="JJS7" s="99"/>
      <c r="JJT7" s="99"/>
      <c r="JJU7" s="99"/>
      <c r="JJV7" s="99"/>
      <c r="JJW7" s="99"/>
      <c r="JJX7" s="99"/>
      <c r="JJY7" s="99"/>
      <c r="JJZ7" s="99"/>
      <c r="JKA7" s="99"/>
      <c r="JKB7" s="99"/>
      <c r="JKC7" s="99"/>
      <c r="JKD7" s="99"/>
      <c r="JKE7" s="99"/>
      <c r="JKF7" s="99"/>
      <c r="JKG7" s="99"/>
      <c r="JKH7" s="99"/>
      <c r="JKI7" s="99"/>
      <c r="JKJ7" s="99"/>
      <c r="JKK7" s="99"/>
      <c r="JKL7" s="99"/>
      <c r="JKM7" s="99"/>
      <c r="JKN7" s="99"/>
      <c r="JKO7" s="99"/>
      <c r="JKP7" s="99"/>
      <c r="JKQ7" s="99"/>
      <c r="JKR7" s="99"/>
      <c r="JKS7" s="99"/>
      <c r="JKT7" s="99"/>
      <c r="JKU7" s="99"/>
      <c r="JKV7" s="99"/>
      <c r="JKW7" s="99"/>
      <c r="JKX7" s="99"/>
      <c r="JKY7" s="99"/>
      <c r="JKZ7" s="99"/>
      <c r="JLA7" s="99"/>
      <c r="JLB7" s="99"/>
      <c r="JLC7" s="99"/>
      <c r="JLD7" s="99"/>
      <c r="JLE7" s="99"/>
      <c r="JLF7" s="99"/>
      <c r="JLG7" s="99"/>
      <c r="JLH7" s="99"/>
      <c r="JLI7" s="99"/>
      <c r="JLJ7" s="99"/>
      <c r="JLK7" s="99"/>
      <c r="JLL7" s="99"/>
      <c r="JLM7" s="99"/>
      <c r="JLN7" s="99"/>
      <c r="JLO7" s="99"/>
      <c r="JLP7" s="99"/>
      <c r="JLQ7" s="99"/>
      <c r="JLR7" s="99"/>
      <c r="JLS7" s="99"/>
      <c r="JLT7" s="99"/>
      <c r="JLU7" s="99"/>
      <c r="JLV7" s="99"/>
      <c r="JLW7" s="99"/>
      <c r="JLX7" s="99"/>
      <c r="JLY7" s="99"/>
      <c r="JLZ7" s="99"/>
      <c r="JMA7" s="99"/>
      <c r="JMB7" s="99"/>
      <c r="JMC7" s="99"/>
      <c r="JMD7" s="99"/>
      <c r="JME7" s="99"/>
      <c r="JMF7" s="99"/>
      <c r="JMG7" s="99"/>
      <c r="JMH7" s="99"/>
      <c r="JMI7" s="99"/>
      <c r="JMJ7" s="99"/>
      <c r="JMK7" s="99"/>
      <c r="JML7" s="99"/>
      <c r="JMM7" s="99"/>
      <c r="JMN7" s="99"/>
      <c r="JMO7" s="99"/>
      <c r="JMP7" s="99"/>
      <c r="JMQ7" s="99"/>
      <c r="JMR7" s="99"/>
      <c r="JMS7" s="99"/>
      <c r="JMT7" s="99"/>
      <c r="JMU7" s="99"/>
      <c r="JMV7" s="99"/>
      <c r="JMW7" s="99"/>
      <c r="JMX7" s="99"/>
      <c r="JMY7" s="99"/>
      <c r="JMZ7" s="99"/>
      <c r="JNA7" s="99"/>
      <c r="JNB7" s="99"/>
      <c r="JNC7" s="99"/>
      <c r="JND7" s="99"/>
      <c r="JNE7" s="99"/>
      <c r="JNF7" s="99"/>
      <c r="JNG7" s="99"/>
      <c r="JNH7" s="99"/>
      <c r="JNI7" s="99"/>
      <c r="JNJ7" s="99"/>
      <c r="JNK7" s="99"/>
      <c r="JNL7" s="99"/>
      <c r="JNM7" s="99"/>
      <c r="JNN7" s="99"/>
      <c r="JNO7" s="99"/>
      <c r="JNP7" s="99"/>
      <c r="JNQ7" s="99"/>
      <c r="JNR7" s="99"/>
      <c r="JNS7" s="99"/>
      <c r="JNT7" s="99"/>
      <c r="JNU7" s="99"/>
      <c r="JNV7" s="99"/>
      <c r="JNW7" s="99"/>
      <c r="JNX7" s="99"/>
      <c r="JNY7" s="99"/>
      <c r="JNZ7" s="99"/>
      <c r="JOA7" s="99"/>
      <c r="JOB7" s="99"/>
      <c r="JOC7" s="99"/>
      <c r="JOD7" s="99"/>
      <c r="JOE7" s="99"/>
      <c r="JOF7" s="99"/>
      <c r="JOG7" s="99"/>
      <c r="JOH7" s="99"/>
      <c r="JOI7" s="99"/>
      <c r="JOJ7" s="99"/>
      <c r="JOK7" s="99"/>
      <c r="JOL7" s="99"/>
      <c r="JOM7" s="99"/>
      <c r="JON7" s="99"/>
      <c r="JOO7" s="99"/>
      <c r="JOP7" s="99"/>
      <c r="JOQ7" s="99"/>
      <c r="JOR7" s="99"/>
      <c r="JOS7" s="99"/>
      <c r="JOT7" s="99"/>
      <c r="JOU7" s="99"/>
      <c r="JOV7" s="99"/>
      <c r="JOW7" s="99"/>
      <c r="JOX7" s="99"/>
      <c r="JOY7" s="99"/>
      <c r="JOZ7" s="99"/>
      <c r="JPA7" s="99"/>
      <c r="JPB7" s="99"/>
      <c r="JPC7" s="99"/>
      <c r="JPD7" s="99"/>
      <c r="JPE7" s="99"/>
      <c r="JPF7" s="99"/>
      <c r="JPG7" s="99"/>
      <c r="JPH7" s="99"/>
      <c r="JPI7" s="99"/>
      <c r="JPJ7" s="99"/>
      <c r="JPK7" s="99"/>
      <c r="JPL7" s="99"/>
      <c r="JPM7" s="99"/>
      <c r="JPN7" s="99"/>
      <c r="JPO7" s="99"/>
      <c r="JPP7" s="99"/>
      <c r="JPQ7" s="99"/>
      <c r="JPR7" s="99"/>
      <c r="JPS7" s="99"/>
      <c r="JPT7" s="99"/>
      <c r="JPU7" s="99"/>
      <c r="JPV7" s="99"/>
      <c r="JPW7" s="99"/>
      <c r="JPX7" s="99"/>
      <c r="JPY7" s="99"/>
      <c r="JPZ7" s="99"/>
      <c r="JQA7" s="99"/>
      <c r="JQB7" s="99"/>
      <c r="JQC7" s="99"/>
      <c r="JQD7" s="99"/>
      <c r="JQE7" s="99"/>
      <c r="JQF7" s="99"/>
      <c r="JQG7" s="99"/>
      <c r="JQH7" s="99"/>
      <c r="JQI7" s="99"/>
      <c r="JQJ7" s="99"/>
      <c r="JQK7" s="99"/>
      <c r="JQL7" s="99"/>
      <c r="JQM7" s="99"/>
      <c r="JQN7" s="99"/>
      <c r="JQO7" s="99"/>
      <c r="JQP7" s="99"/>
      <c r="JQQ7" s="99"/>
      <c r="JQR7" s="99"/>
      <c r="JQS7" s="99"/>
      <c r="JQT7" s="99"/>
      <c r="JQU7" s="99"/>
      <c r="JQV7" s="99"/>
      <c r="JQW7" s="99"/>
      <c r="JQX7" s="99"/>
      <c r="JQY7" s="99"/>
      <c r="JQZ7" s="99"/>
      <c r="JRA7" s="99"/>
      <c r="JRB7" s="99"/>
      <c r="JRC7" s="99"/>
      <c r="JRD7" s="99"/>
      <c r="JRE7" s="99"/>
      <c r="JRF7" s="99"/>
      <c r="JRG7" s="99"/>
      <c r="JRH7" s="99"/>
      <c r="JRI7" s="99"/>
      <c r="JRJ7" s="99"/>
      <c r="JRK7" s="99"/>
      <c r="JRL7" s="99"/>
      <c r="JRM7" s="99"/>
      <c r="JRN7" s="99"/>
      <c r="JRO7" s="99"/>
      <c r="JRP7" s="99"/>
      <c r="JRQ7" s="99"/>
      <c r="JRR7" s="99"/>
      <c r="JRS7" s="99"/>
      <c r="JRT7" s="99"/>
      <c r="JRU7" s="99"/>
      <c r="JRV7" s="99"/>
      <c r="JRW7" s="99"/>
      <c r="JRX7" s="99"/>
      <c r="JRY7" s="99"/>
      <c r="JRZ7" s="99"/>
      <c r="JSA7" s="99"/>
      <c r="JSB7" s="99"/>
      <c r="JSC7" s="99"/>
      <c r="JSD7" s="99"/>
      <c r="JSE7" s="99"/>
      <c r="JSF7" s="99"/>
      <c r="JSG7" s="99"/>
      <c r="JSH7" s="99"/>
      <c r="JSI7" s="99"/>
      <c r="JSJ7" s="99"/>
      <c r="JSK7" s="99"/>
      <c r="JSL7" s="99"/>
      <c r="JSM7" s="99"/>
      <c r="JSN7" s="99"/>
      <c r="JSO7" s="99"/>
      <c r="JSP7" s="99"/>
      <c r="JSQ7" s="99"/>
      <c r="JSR7" s="99"/>
      <c r="JSS7" s="99"/>
      <c r="JST7" s="99"/>
      <c r="JSU7" s="99"/>
      <c r="JSV7" s="99"/>
      <c r="JSW7" s="99"/>
      <c r="JSX7" s="99"/>
      <c r="JSY7" s="99"/>
      <c r="JSZ7" s="99"/>
      <c r="JTA7" s="99"/>
      <c r="JTB7" s="99"/>
      <c r="JTC7" s="99"/>
      <c r="JTD7" s="99"/>
      <c r="JTE7" s="99"/>
      <c r="JTF7" s="99"/>
      <c r="JTG7" s="99"/>
      <c r="JTH7" s="99"/>
      <c r="JTI7" s="99"/>
      <c r="JTJ7" s="99"/>
      <c r="JTK7" s="99"/>
      <c r="JTL7" s="99"/>
      <c r="JTM7" s="99"/>
      <c r="JTN7" s="99"/>
      <c r="JTO7" s="99"/>
      <c r="JTP7" s="99"/>
      <c r="JTQ7" s="99"/>
      <c r="JTR7" s="99"/>
      <c r="JTS7" s="99"/>
      <c r="JTT7" s="99"/>
      <c r="JTU7" s="99"/>
      <c r="JTV7" s="99"/>
      <c r="JTW7" s="99"/>
      <c r="JTX7" s="99"/>
      <c r="JTY7" s="99"/>
      <c r="JTZ7" s="99"/>
      <c r="JUA7" s="99"/>
      <c r="JUB7" s="99"/>
      <c r="JUC7" s="99"/>
      <c r="JUD7" s="99"/>
      <c r="JUE7" s="99"/>
      <c r="JUF7" s="99"/>
      <c r="JUG7" s="99"/>
      <c r="JUH7" s="99"/>
      <c r="JUI7" s="99"/>
      <c r="JUJ7" s="99"/>
      <c r="JUK7" s="99"/>
      <c r="JUL7" s="99"/>
      <c r="JUM7" s="99"/>
      <c r="JUN7" s="99"/>
      <c r="JUO7" s="99"/>
      <c r="JUP7" s="99"/>
      <c r="JUQ7" s="99"/>
      <c r="JUR7" s="99"/>
      <c r="JUS7" s="99"/>
      <c r="JUT7" s="99"/>
      <c r="JUU7" s="99"/>
      <c r="JUV7" s="99"/>
      <c r="JUW7" s="99"/>
      <c r="JUX7" s="99"/>
      <c r="JUY7" s="99"/>
      <c r="JUZ7" s="99"/>
      <c r="JVA7" s="99"/>
      <c r="JVB7" s="99"/>
      <c r="JVC7" s="99"/>
      <c r="JVD7" s="99"/>
      <c r="JVE7" s="99"/>
      <c r="JVF7" s="99"/>
      <c r="JVG7" s="99"/>
      <c r="JVH7" s="99"/>
      <c r="JVI7" s="99"/>
      <c r="JVJ7" s="99"/>
      <c r="JVK7" s="99"/>
      <c r="JVL7" s="99"/>
      <c r="JVM7" s="99"/>
      <c r="JVN7" s="99"/>
      <c r="JVO7" s="99"/>
      <c r="JVP7" s="99"/>
      <c r="JVQ7" s="99"/>
      <c r="JVR7" s="99"/>
      <c r="JVS7" s="99"/>
      <c r="JVT7" s="99"/>
      <c r="JVU7" s="99"/>
      <c r="JVV7" s="99"/>
      <c r="JVW7" s="99"/>
      <c r="JVX7" s="99"/>
      <c r="JVY7" s="99"/>
      <c r="JVZ7" s="99"/>
      <c r="JWA7" s="99"/>
      <c r="JWB7" s="99"/>
      <c r="JWC7" s="99"/>
      <c r="JWD7" s="99"/>
      <c r="JWE7" s="99"/>
      <c r="JWF7" s="99"/>
      <c r="JWG7" s="99"/>
      <c r="JWH7" s="99"/>
      <c r="JWI7" s="99"/>
      <c r="JWJ7" s="99"/>
      <c r="JWK7" s="99"/>
      <c r="JWL7" s="99"/>
      <c r="JWM7" s="99"/>
      <c r="JWN7" s="99"/>
      <c r="JWO7" s="99"/>
      <c r="JWP7" s="99"/>
      <c r="JWQ7" s="99"/>
      <c r="JWR7" s="99"/>
      <c r="JWS7" s="99"/>
      <c r="JWT7" s="99"/>
      <c r="JWU7" s="99"/>
      <c r="JWV7" s="99"/>
      <c r="JWW7" s="99"/>
      <c r="JWX7" s="99"/>
      <c r="JWY7" s="99"/>
      <c r="JWZ7" s="99"/>
      <c r="JXA7" s="99"/>
      <c r="JXB7" s="99"/>
      <c r="JXC7" s="99"/>
      <c r="JXD7" s="99"/>
      <c r="JXE7" s="99"/>
      <c r="JXF7" s="99"/>
      <c r="JXG7" s="99"/>
      <c r="JXH7" s="99"/>
      <c r="JXI7" s="99"/>
      <c r="JXJ7" s="99"/>
      <c r="JXK7" s="99"/>
      <c r="JXL7" s="99"/>
      <c r="JXM7" s="99"/>
      <c r="JXN7" s="99"/>
      <c r="JXO7" s="99"/>
      <c r="JXP7" s="99"/>
      <c r="JXQ7" s="99"/>
      <c r="JXR7" s="99"/>
      <c r="JXS7" s="99"/>
      <c r="JXT7" s="99"/>
      <c r="JXU7" s="99"/>
      <c r="JXV7" s="99"/>
      <c r="JXW7" s="99"/>
      <c r="JXX7" s="99"/>
      <c r="JXY7" s="99"/>
      <c r="JXZ7" s="99"/>
      <c r="JYA7" s="99"/>
      <c r="JYB7" s="99"/>
      <c r="JYC7" s="99"/>
      <c r="JYD7" s="99"/>
      <c r="JYE7" s="99"/>
      <c r="JYF7" s="99"/>
      <c r="JYG7" s="99"/>
      <c r="JYH7" s="99"/>
      <c r="JYI7" s="99"/>
      <c r="JYJ7" s="99"/>
      <c r="JYK7" s="99"/>
      <c r="JYL7" s="99"/>
      <c r="JYM7" s="99"/>
      <c r="JYN7" s="99"/>
      <c r="JYO7" s="99"/>
      <c r="JYP7" s="99"/>
      <c r="JYQ7" s="99"/>
      <c r="JYR7" s="99"/>
      <c r="JYS7" s="99"/>
      <c r="JYT7" s="99"/>
      <c r="JYU7" s="99"/>
      <c r="JYV7" s="99"/>
      <c r="JYW7" s="99"/>
      <c r="JYX7" s="99"/>
      <c r="JYY7" s="99"/>
      <c r="JYZ7" s="99"/>
      <c r="JZA7" s="99"/>
      <c r="JZB7" s="99"/>
      <c r="JZC7" s="99"/>
      <c r="JZD7" s="99"/>
      <c r="JZE7" s="99"/>
      <c r="JZF7" s="99"/>
      <c r="JZG7" s="99"/>
      <c r="JZH7" s="99"/>
      <c r="JZI7" s="99"/>
      <c r="JZJ7" s="99"/>
      <c r="JZK7" s="99"/>
      <c r="JZL7" s="99"/>
      <c r="JZM7" s="99"/>
      <c r="JZN7" s="99"/>
      <c r="JZO7" s="99"/>
      <c r="JZP7" s="99"/>
      <c r="JZQ7" s="99"/>
      <c r="JZR7" s="99"/>
      <c r="JZS7" s="99"/>
      <c r="JZT7" s="99"/>
      <c r="JZU7" s="99"/>
      <c r="JZV7" s="99"/>
      <c r="JZW7" s="99"/>
      <c r="JZX7" s="99"/>
      <c r="JZY7" s="99"/>
      <c r="JZZ7" s="99"/>
      <c r="KAA7" s="99"/>
      <c r="KAB7" s="99"/>
      <c r="KAC7" s="99"/>
      <c r="KAD7" s="99"/>
      <c r="KAE7" s="99"/>
      <c r="KAF7" s="99"/>
      <c r="KAG7" s="99"/>
      <c r="KAH7" s="99"/>
      <c r="KAI7" s="99"/>
      <c r="KAJ7" s="99"/>
      <c r="KAK7" s="99"/>
      <c r="KAL7" s="99"/>
      <c r="KAM7" s="99"/>
      <c r="KAN7" s="99"/>
      <c r="KAO7" s="99"/>
      <c r="KAP7" s="99"/>
      <c r="KAQ7" s="99"/>
      <c r="KAR7" s="99"/>
      <c r="KAS7" s="99"/>
      <c r="KAT7" s="99"/>
      <c r="KAU7" s="99"/>
      <c r="KAV7" s="99"/>
      <c r="KAW7" s="99"/>
      <c r="KAX7" s="99"/>
      <c r="KAY7" s="99"/>
      <c r="KAZ7" s="99"/>
      <c r="KBA7" s="99"/>
      <c r="KBB7" s="99"/>
      <c r="KBC7" s="99"/>
      <c r="KBD7" s="99"/>
      <c r="KBE7" s="99"/>
      <c r="KBF7" s="99"/>
      <c r="KBG7" s="99"/>
      <c r="KBH7" s="99"/>
      <c r="KBI7" s="99"/>
      <c r="KBJ7" s="99"/>
      <c r="KBK7" s="99"/>
      <c r="KBL7" s="99"/>
      <c r="KBM7" s="99"/>
      <c r="KBN7" s="99"/>
      <c r="KBO7" s="99"/>
      <c r="KBP7" s="99"/>
      <c r="KBQ7" s="99"/>
      <c r="KBR7" s="99"/>
      <c r="KBS7" s="99"/>
      <c r="KBT7" s="99"/>
      <c r="KBU7" s="99"/>
      <c r="KBV7" s="99"/>
      <c r="KBW7" s="99"/>
      <c r="KBX7" s="99"/>
      <c r="KBY7" s="99"/>
      <c r="KBZ7" s="99"/>
      <c r="KCA7" s="99"/>
      <c r="KCB7" s="99"/>
      <c r="KCC7" s="99"/>
      <c r="KCD7" s="99"/>
      <c r="KCE7" s="99"/>
      <c r="KCF7" s="99"/>
      <c r="KCG7" s="99"/>
      <c r="KCH7" s="99"/>
      <c r="KCI7" s="99"/>
      <c r="KCJ7" s="99"/>
      <c r="KCK7" s="99"/>
      <c r="KCL7" s="99"/>
      <c r="KCM7" s="99"/>
      <c r="KCN7" s="99"/>
      <c r="KCO7" s="99"/>
      <c r="KCP7" s="99"/>
      <c r="KCQ7" s="99"/>
      <c r="KCR7" s="99"/>
      <c r="KCS7" s="99"/>
      <c r="KCT7" s="99"/>
      <c r="KCU7" s="99"/>
      <c r="KCV7" s="99"/>
      <c r="KCW7" s="99"/>
      <c r="KCX7" s="99"/>
      <c r="KCY7" s="99"/>
      <c r="KCZ7" s="99"/>
      <c r="KDA7" s="99"/>
      <c r="KDB7" s="99"/>
      <c r="KDC7" s="99"/>
      <c r="KDD7" s="99"/>
      <c r="KDE7" s="99"/>
      <c r="KDF7" s="99"/>
      <c r="KDG7" s="99"/>
      <c r="KDH7" s="99"/>
      <c r="KDI7" s="99"/>
      <c r="KDJ7" s="99"/>
      <c r="KDK7" s="99"/>
      <c r="KDL7" s="99"/>
      <c r="KDM7" s="99"/>
      <c r="KDN7" s="99"/>
      <c r="KDO7" s="99"/>
      <c r="KDP7" s="99"/>
      <c r="KDQ7" s="99"/>
      <c r="KDR7" s="99"/>
      <c r="KDS7" s="99"/>
      <c r="KDT7" s="99"/>
      <c r="KDU7" s="99"/>
      <c r="KDV7" s="99"/>
      <c r="KDW7" s="99"/>
      <c r="KDX7" s="99"/>
      <c r="KDY7" s="99"/>
      <c r="KDZ7" s="99"/>
      <c r="KEA7" s="99"/>
      <c r="KEB7" s="99"/>
      <c r="KEC7" s="99"/>
      <c r="KED7" s="99"/>
      <c r="KEE7" s="99"/>
      <c r="KEF7" s="99"/>
      <c r="KEG7" s="99"/>
      <c r="KEH7" s="99"/>
      <c r="KEI7" s="99"/>
      <c r="KEJ7" s="99"/>
      <c r="KEK7" s="99"/>
      <c r="KEL7" s="99"/>
      <c r="KEM7" s="99"/>
      <c r="KEN7" s="99"/>
      <c r="KEO7" s="99"/>
      <c r="KEP7" s="99"/>
      <c r="KEQ7" s="99"/>
      <c r="KER7" s="99"/>
      <c r="KES7" s="99"/>
      <c r="KET7" s="99"/>
      <c r="KEU7" s="99"/>
      <c r="KEV7" s="99"/>
      <c r="KEW7" s="99"/>
      <c r="KEX7" s="99"/>
      <c r="KEY7" s="99"/>
      <c r="KEZ7" s="99"/>
      <c r="KFA7" s="99"/>
      <c r="KFB7" s="99"/>
      <c r="KFC7" s="99"/>
      <c r="KFD7" s="99"/>
      <c r="KFE7" s="99"/>
      <c r="KFF7" s="99"/>
      <c r="KFG7" s="99"/>
      <c r="KFH7" s="99"/>
      <c r="KFI7" s="99"/>
      <c r="KFJ7" s="99"/>
      <c r="KFK7" s="99"/>
      <c r="KFL7" s="99"/>
      <c r="KFM7" s="99"/>
      <c r="KFN7" s="99"/>
      <c r="KFO7" s="99"/>
      <c r="KFP7" s="99"/>
      <c r="KFQ7" s="99"/>
      <c r="KFR7" s="99"/>
      <c r="KFS7" s="99"/>
      <c r="KFT7" s="99"/>
      <c r="KFU7" s="99"/>
      <c r="KFV7" s="99"/>
      <c r="KFW7" s="99"/>
      <c r="KFX7" s="99"/>
      <c r="KFY7" s="99"/>
      <c r="KFZ7" s="99"/>
      <c r="KGA7" s="99"/>
      <c r="KGB7" s="99"/>
      <c r="KGC7" s="99"/>
      <c r="KGD7" s="99"/>
      <c r="KGE7" s="99"/>
      <c r="KGF7" s="99"/>
      <c r="KGG7" s="99"/>
      <c r="KGH7" s="99"/>
      <c r="KGI7" s="99"/>
      <c r="KGJ7" s="99"/>
      <c r="KGK7" s="99"/>
      <c r="KGL7" s="99"/>
      <c r="KGM7" s="99"/>
      <c r="KGN7" s="99"/>
      <c r="KGO7" s="99"/>
      <c r="KGP7" s="99"/>
      <c r="KGQ7" s="99"/>
      <c r="KGR7" s="99"/>
      <c r="KGS7" s="99"/>
      <c r="KGT7" s="99"/>
      <c r="KGU7" s="99"/>
      <c r="KGV7" s="99"/>
      <c r="KGW7" s="99"/>
      <c r="KGX7" s="99"/>
      <c r="KGY7" s="99"/>
      <c r="KGZ7" s="99"/>
      <c r="KHA7" s="99"/>
      <c r="KHB7" s="99"/>
      <c r="KHC7" s="99"/>
      <c r="KHD7" s="99"/>
      <c r="KHE7" s="99"/>
      <c r="KHF7" s="99"/>
      <c r="KHG7" s="99"/>
      <c r="KHH7" s="99"/>
      <c r="KHI7" s="99"/>
      <c r="KHJ7" s="99"/>
      <c r="KHK7" s="99"/>
      <c r="KHL7" s="99"/>
      <c r="KHM7" s="99"/>
      <c r="KHN7" s="99"/>
      <c r="KHO7" s="99"/>
      <c r="KHP7" s="99"/>
      <c r="KHQ7" s="99"/>
      <c r="KHR7" s="99"/>
      <c r="KHS7" s="99"/>
      <c r="KHT7" s="99"/>
      <c r="KHU7" s="99"/>
      <c r="KHV7" s="99"/>
      <c r="KHW7" s="99"/>
      <c r="KHX7" s="99"/>
      <c r="KHY7" s="99"/>
      <c r="KHZ7" s="99"/>
      <c r="KIA7" s="99"/>
      <c r="KIB7" s="99"/>
      <c r="KIC7" s="99"/>
      <c r="KID7" s="99"/>
      <c r="KIE7" s="99"/>
      <c r="KIF7" s="99"/>
      <c r="KIG7" s="99"/>
      <c r="KIH7" s="99"/>
      <c r="KII7" s="99"/>
      <c r="KIJ7" s="99"/>
      <c r="KIK7" s="99"/>
      <c r="KIL7" s="99"/>
      <c r="KIM7" s="99"/>
      <c r="KIN7" s="99"/>
      <c r="KIO7" s="99"/>
      <c r="KIP7" s="99"/>
      <c r="KIQ7" s="99"/>
      <c r="KIR7" s="99"/>
      <c r="KIS7" s="99"/>
      <c r="KIT7" s="99"/>
      <c r="KIU7" s="99"/>
      <c r="KIV7" s="99"/>
      <c r="KIW7" s="99"/>
      <c r="KIX7" s="99"/>
      <c r="KIY7" s="99"/>
      <c r="KIZ7" s="99"/>
      <c r="KJA7" s="99"/>
      <c r="KJB7" s="99"/>
      <c r="KJC7" s="99"/>
      <c r="KJD7" s="99"/>
      <c r="KJE7" s="99"/>
      <c r="KJF7" s="99"/>
      <c r="KJG7" s="99"/>
      <c r="KJH7" s="99"/>
      <c r="KJI7" s="99"/>
      <c r="KJJ7" s="99"/>
      <c r="KJK7" s="99"/>
      <c r="KJL7" s="99"/>
      <c r="KJM7" s="99"/>
      <c r="KJN7" s="99"/>
      <c r="KJO7" s="99"/>
      <c r="KJP7" s="99"/>
      <c r="KJQ7" s="99"/>
      <c r="KJR7" s="99"/>
      <c r="KJS7" s="99"/>
      <c r="KJT7" s="99"/>
      <c r="KJU7" s="99"/>
      <c r="KJV7" s="99"/>
      <c r="KJW7" s="99"/>
      <c r="KJX7" s="99"/>
      <c r="KJY7" s="99"/>
      <c r="KJZ7" s="99"/>
      <c r="KKA7" s="99"/>
      <c r="KKB7" s="99"/>
      <c r="KKC7" s="99"/>
      <c r="KKD7" s="99"/>
      <c r="KKE7" s="99"/>
      <c r="KKF7" s="99"/>
      <c r="KKG7" s="99"/>
      <c r="KKH7" s="99"/>
      <c r="KKI7" s="99"/>
      <c r="KKJ7" s="99"/>
      <c r="KKK7" s="99"/>
      <c r="KKL7" s="99"/>
      <c r="KKM7" s="99"/>
      <c r="KKN7" s="99"/>
      <c r="KKO7" s="99"/>
      <c r="KKP7" s="99"/>
      <c r="KKQ7" s="99"/>
      <c r="KKR7" s="99"/>
      <c r="KKS7" s="99"/>
      <c r="KKT7" s="99"/>
      <c r="KKU7" s="99"/>
      <c r="KKV7" s="99"/>
      <c r="KKW7" s="99"/>
      <c r="KKX7" s="99"/>
      <c r="KKY7" s="99"/>
      <c r="KKZ7" s="99"/>
      <c r="KLA7" s="99"/>
      <c r="KLB7" s="99"/>
      <c r="KLC7" s="99"/>
      <c r="KLD7" s="99"/>
      <c r="KLE7" s="99"/>
      <c r="KLF7" s="99"/>
      <c r="KLG7" s="99"/>
      <c r="KLH7" s="99"/>
      <c r="KLI7" s="99"/>
      <c r="KLJ7" s="99"/>
      <c r="KLK7" s="99"/>
      <c r="KLL7" s="99"/>
      <c r="KLM7" s="99"/>
      <c r="KLN7" s="99"/>
      <c r="KLO7" s="99"/>
      <c r="KLP7" s="99"/>
      <c r="KLQ7" s="99"/>
      <c r="KLR7" s="99"/>
      <c r="KLS7" s="99"/>
      <c r="KLT7" s="99"/>
      <c r="KLU7" s="99"/>
      <c r="KLV7" s="99"/>
      <c r="KLW7" s="99"/>
      <c r="KLX7" s="99"/>
      <c r="KLY7" s="99"/>
      <c r="KLZ7" s="99"/>
      <c r="KMA7" s="99"/>
      <c r="KMB7" s="99"/>
      <c r="KMC7" s="99"/>
      <c r="KMD7" s="99"/>
      <c r="KME7" s="99"/>
      <c r="KMF7" s="99"/>
      <c r="KMG7" s="99"/>
      <c r="KMH7" s="99"/>
      <c r="KMI7" s="99"/>
      <c r="KMJ7" s="99"/>
      <c r="KMK7" s="99"/>
      <c r="KML7" s="99"/>
      <c r="KMM7" s="99"/>
      <c r="KMN7" s="99"/>
      <c r="KMO7" s="99"/>
      <c r="KMP7" s="99"/>
      <c r="KMQ7" s="99"/>
      <c r="KMR7" s="99"/>
      <c r="KMS7" s="99"/>
      <c r="KMT7" s="99"/>
      <c r="KMU7" s="99"/>
      <c r="KMV7" s="99"/>
      <c r="KMW7" s="99"/>
      <c r="KMX7" s="99"/>
      <c r="KMY7" s="99"/>
      <c r="KMZ7" s="99"/>
      <c r="KNA7" s="99"/>
      <c r="KNB7" s="99"/>
      <c r="KNC7" s="99"/>
      <c r="KND7" s="99"/>
      <c r="KNE7" s="99"/>
      <c r="KNF7" s="99"/>
      <c r="KNG7" s="99"/>
      <c r="KNH7" s="99"/>
      <c r="KNI7" s="99"/>
      <c r="KNJ7" s="99"/>
      <c r="KNK7" s="99"/>
      <c r="KNL7" s="99"/>
      <c r="KNM7" s="99"/>
      <c r="KNN7" s="99"/>
      <c r="KNO7" s="99"/>
      <c r="KNP7" s="99"/>
      <c r="KNQ7" s="99"/>
      <c r="KNR7" s="99"/>
      <c r="KNS7" s="99"/>
      <c r="KNT7" s="99"/>
      <c r="KNU7" s="99"/>
      <c r="KNV7" s="99"/>
      <c r="KNW7" s="99"/>
      <c r="KNX7" s="99"/>
      <c r="KNY7" s="99"/>
      <c r="KNZ7" s="99"/>
      <c r="KOA7" s="99"/>
      <c r="KOB7" s="99"/>
      <c r="KOC7" s="99"/>
      <c r="KOD7" s="99"/>
      <c r="KOE7" s="99"/>
      <c r="KOF7" s="99"/>
      <c r="KOG7" s="99"/>
      <c r="KOH7" s="99"/>
      <c r="KOI7" s="99"/>
      <c r="KOJ7" s="99"/>
      <c r="KOK7" s="99"/>
      <c r="KOL7" s="99"/>
      <c r="KOM7" s="99"/>
      <c r="KON7" s="99"/>
      <c r="KOO7" s="99"/>
      <c r="KOP7" s="99"/>
      <c r="KOQ7" s="99"/>
      <c r="KOR7" s="99"/>
      <c r="KOS7" s="99"/>
      <c r="KOT7" s="99"/>
      <c r="KOU7" s="99"/>
      <c r="KOV7" s="99"/>
      <c r="KOW7" s="99"/>
      <c r="KOX7" s="99"/>
      <c r="KOY7" s="99"/>
      <c r="KOZ7" s="99"/>
      <c r="KPA7" s="99"/>
      <c r="KPB7" s="99"/>
      <c r="KPC7" s="99"/>
      <c r="KPD7" s="99"/>
      <c r="KPE7" s="99"/>
      <c r="KPF7" s="99"/>
      <c r="KPG7" s="99"/>
      <c r="KPH7" s="99"/>
      <c r="KPI7" s="99"/>
      <c r="KPJ7" s="99"/>
      <c r="KPK7" s="99"/>
      <c r="KPL7" s="99"/>
      <c r="KPM7" s="99"/>
      <c r="KPN7" s="99"/>
      <c r="KPO7" s="99"/>
      <c r="KPP7" s="99"/>
      <c r="KPQ7" s="99"/>
      <c r="KPR7" s="99"/>
      <c r="KPS7" s="99"/>
      <c r="KPT7" s="99"/>
      <c r="KPU7" s="99"/>
      <c r="KPV7" s="99"/>
      <c r="KPW7" s="99"/>
      <c r="KPX7" s="99"/>
      <c r="KPY7" s="99"/>
      <c r="KPZ7" s="99"/>
      <c r="KQA7" s="99"/>
      <c r="KQB7" s="99"/>
      <c r="KQC7" s="99"/>
      <c r="KQD7" s="99"/>
      <c r="KQE7" s="99"/>
      <c r="KQF7" s="99"/>
      <c r="KQG7" s="99"/>
      <c r="KQH7" s="99"/>
      <c r="KQI7" s="99"/>
      <c r="KQJ7" s="99"/>
      <c r="KQK7" s="99"/>
      <c r="KQL7" s="99"/>
      <c r="KQM7" s="99"/>
      <c r="KQN7" s="99"/>
      <c r="KQO7" s="99"/>
      <c r="KQP7" s="99"/>
      <c r="KQQ7" s="99"/>
      <c r="KQR7" s="99"/>
      <c r="KQS7" s="99"/>
      <c r="KQT7" s="99"/>
      <c r="KQU7" s="99"/>
      <c r="KQV7" s="99"/>
      <c r="KQW7" s="99"/>
      <c r="KQX7" s="99"/>
      <c r="KQY7" s="99"/>
      <c r="KQZ7" s="99"/>
      <c r="KRA7" s="99"/>
      <c r="KRB7" s="99"/>
      <c r="KRC7" s="99"/>
      <c r="KRD7" s="99"/>
      <c r="KRE7" s="99"/>
      <c r="KRF7" s="99"/>
      <c r="KRG7" s="99"/>
      <c r="KRH7" s="99"/>
      <c r="KRI7" s="99"/>
      <c r="KRJ7" s="99"/>
      <c r="KRK7" s="99"/>
      <c r="KRL7" s="99"/>
      <c r="KRM7" s="99"/>
      <c r="KRN7" s="99"/>
      <c r="KRO7" s="99"/>
      <c r="KRP7" s="99"/>
      <c r="KRQ7" s="99"/>
      <c r="KRR7" s="99"/>
      <c r="KRS7" s="99"/>
      <c r="KRT7" s="99"/>
      <c r="KRU7" s="99"/>
      <c r="KRV7" s="99"/>
      <c r="KRW7" s="99"/>
      <c r="KRX7" s="99"/>
      <c r="KRY7" s="99"/>
      <c r="KRZ7" s="99"/>
      <c r="KSA7" s="99"/>
      <c r="KSB7" s="99"/>
      <c r="KSC7" s="99"/>
      <c r="KSD7" s="99"/>
      <c r="KSE7" s="99"/>
      <c r="KSF7" s="99"/>
      <c r="KSG7" s="99"/>
      <c r="KSH7" s="99"/>
      <c r="KSI7" s="99"/>
      <c r="KSJ7" s="99"/>
      <c r="KSK7" s="99"/>
      <c r="KSL7" s="99"/>
      <c r="KSM7" s="99"/>
      <c r="KSN7" s="99"/>
      <c r="KSO7" s="99"/>
      <c r="KSP7" s="99"/>
      <c r="KSQ7" s="99"/>
      <c r="KSR7" s="99"/>
      <c r="KSS7" s="99"/>
      <c r="KST7" s="99"/>
      <c r="KSU7" s="99"/>
      <c r="KSV7" s="99"/>
      <c r="KSW7" s="99"/>
      <c r="KSX7" s="99"/>
      <c r="KSY7" s="99"/>
      <c r="KSZ7" s="99"/>
      <c r="KTA7" s="99"/>
      <c r="KTB7" s="99"/>
      <c r="KTC7" s="99"/>
      <c r="KTD7" s="99"/>
      <c r="KTE7" s="99"/>
      <c r="KTF7" s="99"/>
      <c r="KTG7" s="99"/>
      <c r="KTH7" s="99"/>
      <c r="KTI7" s="99"/>
      <c r="KTJ7" s="99"/>
      <c r="KTK7" s="99"/>
      <c r="KTL7" s="99"/>
      <c r="KTM7" s="99"/>
      <c r="KTN7" s="99"/>
      <c r="KTO7" s="99"/>
      <c r="KTP7" s="99"/>
      <c r="KTQ7" s="99"/>
      <c r="KTR7" s="99"/>
      <c r="KTS7" s="99"/>
      <c r="KTT7" s="99"/>
      <c r="KTU7" s="99"/>
      <c r="KTV7" s="99"/>
      <c r="KTW7" s="99"/>
      <c r="KTX7" s="99"/>
      <c r="KTY7" s="99"/>
      <c r="KTZ7" s="99"/>
      <c r="KUA7" s="99"/>
      <c r="KUB7" s="99"/>
      <c r="KUC7" s="99"/>
      <c r="KUD7" s="99"/>
      <c r="KUE7" s="99"/>
      <c r="KUF7" s="99"/>
      <c r="KUG7" s="99"/>
      <c r="KUH7" s="99"/>
      <c r="KUI7" s="99"/>
      <c r="KUJ7" s="99"/>
      <c r="KUK7" s="99"/>
      <c r="KUL7" s="99"/>
      <c r="KUM7" s="99"/>
      <c r="KUN7" s="99"/>
      <c r="KUO7" s="99"/>
      <c r="KUP7" s="99"/>
      <c r="KUQ7" s="99"/>
      <c r="KUR7" s="99"/>
      <c r="KUS7" s="99"/>
      <c r="KUT7" s="99"/>
      <c r="KUU7" s="99"/>
      <c r="KUV7" s="99"/>
      <c r="KUW7" s="99"/>
      <c r="KUX7" s="99"/>
      <c r="KUY7" s="99"/>
      <c r="KUZ7" s="99"/>
      <c r="KVA7" s="99"/>
      <c r="KVB7" s="99"/>
      <c r="KVC7" s="99"/>
      <c r="KVD7" s="99"/>
      <c r="KVE7" s="99"/>
      <c r="KVF7" s="99"/>
      <c r="KVG7" s="99"/>
      <c r="KVH7" s="99"/>
      <c r="KVI7" s="99"/>
      <c r="KVJ7" s="99"/>
      <c r="KVK7" s="99"/>
      <c r="KVL7" s="99"/>
      <c r="KVM7" s="99"/>
      <c r="KVN7" s="99"/>
      <c r="KVO7" s="99"/>
      <c r="KVP7" s="99"/>
      <c r="KVQ7" s="99"/>
      <c r="KVR7" s="99"/>
      <c r="KVS7" s="99"/>
      <c r="KVT7" s="99"/>
      <c r="KVU7" s="99"/>
      <c r="KVV7" s="99"/>
      <c r="KVW7" s="99"/>
      <c r="KVX7" s="99"/>
      <c r="KVY7" s="99"/>
      <c r="KVZ7" s="99"/>
      <c r="KWA7" s="99"/>
      <c r="KWB7" s="99"/>
      <c r="KWC7" s="99"/>
      <c r="KWD7" s="99"/>
      <c r="KWE7" s="99"/>
      <c r="KWF7" s="99"/>
      <c r="KWG7" s="99"/>
      <c r="KWH7" s="99"/>
      <c r="KWI7" s="99"/>
      <c r="KWJ7" s="99"/>
      <c r="KWK7" s="99"/>
      <c r="KWL7" s="99"/>
      <c r="KWM7" s="99"/>
      <c r="KWN7" s="99"/>
      <c r="KWO7" s="99"/>
      <c r="KWP7" s="99"/>
      <c r="KWQ7" s="99"/>
      <c r="KWR7" s="99"/>
      <c r="KWS7" s="99"/>
      <c r="KWT7" s="99"/>
      <c r="KWU7" s="99"/>
      <c r="KWV7" s="99"/>
      <c r="KWW7" s="99"/>
      <c r="KWX7" s="99"/>
      <c r="KWY7" s="99"/>
      <c r="KWZ7" s="99"/>
      <c r="KXA7" s="99"/>
      <c r="KXB7" s="99"/>
      <c r="KXC7" s="99"/>
      <c r="KXD7" s="99"/>
      <c r="KXE7" s="99"/>
      <c r="KXF7" s="99"/>
      <c r="KXG7" s="99"/>
      <c r="KXH7" s="99"/>
      <c r="KXI7" s="99"/>
      <c r="KXJ7" s="99"/>
      <c r="KXK7" s="99"/>
      <c r="KXL7" s="99"/>
      <c r="KXM7" s="99"/>
      <c r="KXN7" s="99"/>
      <c r="KXO7" s="99"/>
      <c r="KXP7" s="99"/>
      <c r="KXQ7" s="99"/>
      <c r="KXR7" s="99"/>
      <c r="KXS7" s="99"/>
      <c r="KXT7" s="99"/>
      <c r="KXU7" s="99"/>
      <c r="KXV7" s="99"/>
      <c r="KXW7" s="99"/>
      <c r="KXX7" s="99"/>
      <c r="KXY7" s="99"/>
      <c r="KXZ7" s="99"/>
      <c r="KYA7" s="99"/>
      <c r="KYB7" s="99"/>
      <c r="KYC7" s="99"/>
      <c r="KYD7" s="99"/>
      <c r="KYE7" s="99"/>
      <c r="KYF7" s="99"/>
      <c r="KYG7" s="99"/>
      <c r="KYH7" s="99"/>
      <c r="KYI7" s="99"/>
      <c r="KYJ7" s="99"/>
      <c r="KYK7" s="99"/>
      <c r="KYL7" s="99"/>
      <c r="KYM7" s="99"/>
      <c r="KYN7" s="99"/>
      <c r="KYO7" s="99"/>
      <c r="KYP7" s="99"/>
      <c r="KYQ7" s="99"/>
      <c r="KYR7" s="99"/>
      <c r="KYS7" s="99"/>
      <c r="KYT7" s="99"/>
      <c r="KYU7" s="99"/>
      <c r="KYV7" s="99"/>
      <c r="KYW7" s="99"/>
      <c r="KYX7" s="99"/>
      <c r="KYY7" s="99"/>
      <c r="KYZ7" s="99"/>
      <c r="KZA7" s="99"/>
      <c r="KZB7" s="99"/>
      <c r="KZC7" s="99"/>
      <c r="KZD7" s="99"/>
      <c r="KZE7" s="99"/>
      <c r="KZF7" s="99"/>
      <c r="KZG7" s="99"/>
      <c r="KZH7" s="99"/>
      <c r="KZI7" s="99"/>
      <c r="KZJ7" s="99"/>
      <c r="KZK7" s="99"/>
      <c r="KZL7" s="99"/>
      <c r="KZM7" s="99"/>
      <c r="KZN7" s="99"/>
      <c r="KZO7" s="99"/>
      <c r="KZP7" s="99"/>
      <c r="KZQ7" s="99"/>
      <c r="KZR7" s="99"/>
      <c r="KZS7" s="99"/>
      <c r="KZT7" s="99"/>
      <c r="KZU7" s="99"/>
      <c r="KZV7" s="99"/>
      <c r="KZW7" s="99"/>
      <c r="KZX7" s="99"/>
      <c r="KZY7" s="99"/>
      <c r="KZZ7" s="99"/>
      <c r="LAA7" s="99"/>
      <c r="LAB7" s="99"/>
      <c r="LAC7" s="99"/>
      <c r="LAD7" s="99"/>
      <c r="LAE7" s="99"/>
      <c r="LAF7" s="99"/>
      <c r="LAG7" s="99"/>
      <c r="LAH7" s="99"/>
      <c r="LAI7" s="99"/>
      <c r="LAJ7" s="99"/>
      <c r="LAK7" s="99"/>
      <c r="LAL7" s="99"/>
      <c r="LAM7" s="99"/>
      <c r="LAN7" s="99"/>
      <c r="LAO7" s="99"/>
      <c r="LAP7" s="99"/>
      <c r="LAQ7" s="99"/>
      <c r="LAR7" s="99"/>
      <c r="LAS7" s="99"/>
      <c r="LAT7" s="99"/>
      <c r="LAU7" s="99"/>
      <c r="LAV7" s="99"/>
      <c r="LAW7" s="99"/>
      <c r="LAX7" s="99"/>
      <c r="LAY7" s="99"/>
      <c r="LAZ7" s="99"/>
      <c r="LBA7" s="99"/>
      <c r="LBB7" s="99"/>
      <c r="LBC7" s="99"/>
      <c r="LBD7" s="99"/>
      <c r="LBE7" s="99"/>
      <c r="LBF7" s="99"/>
      <c r="LBG7" s="99"/>
      <c r="LBH7" s="99"/>
      <c r="LBI7" s="99"/>
      <c r="LBJ7" s="99"/>
      <c r="LBK7" s="99"/>
      <c r="LBL7" s="99"/>
      <c r="LBM7" s="99"/>
      <c r="LBN7" s="99"/>
      <c r="LBO7" s="99"/>
      <c r="LBP7" s="99"/>
      <c r="LBQ7" s="99"/>
      <c r="LBR7" s="99"/>
      <c r="LBS7" s="99"/>
      <c r="LBT7" s="99"/>
      <c r="LBU7" s="99"/>
      <c r="LBV7" s="99"/>
      <c r="LBW7" s="99"/>
      <c r="LBX7" s="99"/>
      <c r="LBY7" s="99"/>
      <c r="LBZ7" s="99"/>
      <c r="LCA7" s="99"/>
      <c r="LCB7" s="99"/>
      <c r="LCC7" s="99"/>
      <c r="LCD7" s="99"/>
      <c r="LCE7" s="99"/>
      <c r="LCF7" s="99"/>
      <c r="LCG7" s="99"/>
      <c r="LCH7" s="99"/>
      <c r="LCI7" s="99"/>
      <c r="LCJ7" s="99"/>
      <c r="LCK7" s="99"/>
      <c r="LCL7" s="99"/>
      <c r="LCM7" s="99"/>
      <c r="LCN7" s="99"/>
      <c r="LCO7" s="99"/>
      <c r="LCP7" s="99"/>
      <c r="LCQ7" s="99"/>
      <c r="LCR7" s="99"/>
      <c r="LCS7" s="99"/>
      <c r="LCT7" s="99"/>
      <c r="LCU7" s="99"/>
      <c r="LCV7" s="99"/>
      <c r="LCW7" s="99"/>
      <c r="LCX7" s="99"/>
      <c r="LCY7" s="99"/>
      <c r="LCZ7" s="99"/>
      <c r="LDA7" s="99"/>
      <c r="LDB7" s="99"/>
      <c r="LDC7" s="99"/>
      <c r="LDD7" s="99"/>
      <c r="LDE7" s="99"/>
      <c r="LDF7" s="99"/>
      <c r="LDG7" s="99"/>
      <c r="LDH7" s="99"/>
      <c r="LDI7" s="99"/>
      <c r="LDJ7" s="99"/>
      <c r="LDK7" s="99"/>
      <c r="LDL7" s="99"/>
      <c r="LDM7" s="99"/>
      <c r="LDN7" s="99"/>
      <c r="LDO7" s="99"/>
      <c r="LDP7" s="99"/>
      <c r="LDQ7" s="99"/>
      <c r="LDR7" s="99"/>
      <c r="LDS7" s="99"/>
      <c r="LDT7" s="99"/>
      <c r="LDU7" s="99"/>
      <c r="LDV7" s="99"/>
      <c r="LDW7" s="99"/>
      <c r="LDX7" s="99"/>
      <c r="LDY7" s="99"/>
      <c r="LDZ7" s="99"/>
      <c r="LEA7" s="99"/>
      <c r="LEB7" s="99"/>
      <c r="LEC7" s="99"/>
      <c r="LED7" s="99"/>
      <c r="LEE7" s="99"/>
      <c r="LEF7" s="99"/>
      <c r="LEG7" s="99"/>
      <c r="LEH7" s="99"/>
      <c r="LEI7" s="99"/>
      <c r="LEJ7" s="99"/>
      <c r="LEK7" s="99"/>
      <c r="LEL7" s="99"/>
      <c r="LEM7" s="99"/>
      <c r="LEN7" s="99"/>
      <c r="LEO7" s="99"/>
      <c r="LEP7" s="99"/>
      <c r="LEQ7" s="99"/>
      <c r="LER7" s="99"/>
      <c r="LES7" s="99"/>
      <c r="LET7" s="99"/>
      <c r="LEU7" s="99"/>
      <c r="LEV7" s="99"/>
      <c r="LEW7" s="99"/>
      <c r="LEX7" s="99"/>
      <c r="LEY7" s="99"/>
      <c r="LEZ7" s="99"/>
      <c r="LFA7" s="99"/>
      <c r="LFB7" s="99"/>
      <c r="LFC7" s="99"/>
      <c r="LFD7" s="99"/>
      <c r="LFE7" s="99"/>
      <c r="LFF7" s="99"/>
      <c r="LFG7" s="99"/>
      <c r="LFH7" s="99"/>
      <c r="LFI7" s="99"/>
      <c r="LFJ7" s="99"/>
      <c r="LFK7" s="99"/>
      <c r="LFL7" s="99"/>
      <c r="LFM7" s="99"/>
      <c r="LFN7" s="99"/>
      <c r="LFO7" s="99"/>
      <c r="LFP7" s="99"/>
      <c r="LFQ7" s="99"/>
      <c r="LFR7" s="99"/>
      <c r="LFS7" s="99"/>
      <c r="LFT7" s="99"/>
      <c r="LFU7" s="99"/>
      <c r="LFV7" s="99"/>
      <c r="LFW7" s="99"/>
      <c r="LFX7" s="99"/>
      <c r="LFY7" s="99"/>
      <c r="LFZ7" s="99"/>
      <c r="LGA7" s="99"/>
      <c r="LGB7" s="99"/>
      <c r="LGC7" s="99"/>
      <c r="LGD7" s="99"/>
      <c r="LGE7" s="99"/>
      <c r="LGF7" s="99"/>
      <c r="LGG7" s="99"/>
      <c r="LGH7" s="99"/>
      <c r="LGI7" s="99"/>
      <c r="LGJ7" s="99"/>
      <c r="LGK7" s="99"/>
      <c r="LGL7" s="99"/>
      <c r="LGM7" s="99"/>
      <c r="LGN7" s="99"/>
      <c r="LGO7" s="99"/>
      <c r="LGP7" s="99"/>
      <c r="LGQ7" s="99"/>
      <c r="LGR7" s="99"/>
      <c r="LGS7" s="99"/>
      <c r="LGT7" s="99"/>
      <c r="LGU7" s="99"/>
      <c r="LGV7" s="99"/>
      <c r="LGW7" s="99"/>
      <c r="LGX7" s="99"/>
      <c r="LGY7" s="99"/>
      <c r="LGZ7" s="99"/>
      <c r="LHA7" s="99"/>
      <c r="LHB7" s="99"/>
      <c r="LHC7" s="99"/>
      <c r="LHD7" s="99"/>
      <c r="LHE7" s="99"/>
      <c r="LHF7" s="99"/>
      <c r="LHG7" s="99"/>
      <c r="LHH7" s="99"/>
      <c r="LHI7" s="99"/>
      <c r="LHJ7" s="99"/>
      <c r="LHK7" s="99"/>
      <c r="LHL7" s="99"/>
      <c r="LHM7" s="99"/>
      <c r="LHN7" s="99"/>
      <c r="LHO7" s="99"/>
      <c r="LHP7" s="99"/>
      <c r="LHQ7" s="99"/>
      <c r="LHR7" s="99"/>
      <c r="LHS7" s="99"/>
      <c r="LHT7" s="99"/>
      <c r="LHU7" s="99"/>
      <c r="LHV7" s="99"/>
      <c r="LHW7" s="99"/>
      <c r="LHX7" s="99"/>
      <c r="LHY7" s="99"/>
      <c r="LHZ7" s="99"/>
      <c r="LIA7" s="99"/>
      <c r="LIB7" s="99"/>
      <c r="LIC7" s="99"/>
      <c r="LID7" s="99"/>
      <c r="LIE7" s="99"/>
      <c r="LIF7" s="99"/>
      <c r="LIG7" s="99"/>
      <c r="LIH7" s="99"/>
      <c r="LII7" s="99"/>
      <c r="LIJ7" s="99"/>
      <c r="LIK7" s="99"/>
      <c r="LIL7" s="99"/>
      <c r="LIM7" s="99"/>
      <c r="LIN7" s="99"/>
      <c r="LIO7" s="99"/>
      <c r="LIP7" s="99"/>
      <c r="LIQ7" s="99"/>
      <c r="LIR7" s="99"/>
      <c r="LIS7" s="99"/>
      <c r="LIT7" s="99"/>
      <c r="LIU7" s="99"/>
      <c r="LIV7" s="99"/>
      <c r="LIW7" s="99"/>
      <c r="LIX7" s="99"/>
      <c r="LIY7" s="99"/>
      <c r="LIZ7" s="99"/>
      <c r="LJA7" s="99"/>
      <c r="LJB7" s="99"/>
      <c r="LJC7" s="99"/>
      <c r="LJD7" s="99"/>
      <c r="LJE7" s="99"/>
      <c r="LJF7" s="99"/>
      <c r="LJG7" s="99"/>
      <c r="LJH7" s="99"/>
      <c r="LJI7" s="99"/>
      <c r="LJJ7" s="99"/>
      <c r="LJK7" s="99"/>
      <c r="LJL7" s="99"/>
      <c r="LJM7" s="99"/>
      <c r="LJN7" s="99"/>
      <c r="LJO7" s="99"/>
      <c r="LJP7" s="99"/>
      <c r="LJQ7" s="99"/>
      <c r="LJR7" s="99"/>
      <c r="LJS7" s="99"/>
      <c r="LJT7" s="99"/>
      <c r="LJU7" s="99"/>
      <c r="LJV7" s="99"/>
      <c r="LJW7" s="99"/>
      <c r="LJX7" s="99"/>
      <c r="LJY7" s="99"/>
      <c r="LJZ7" s="99"/>
      <c r="LKA7" s="99"/>
      <c r="LKB7" s="99"/>
      <c r="LKC7" s="99"/>
      <c r="LKD7" s="99"/>
      <c r="LKE7" s="99"/>
      <c r="LKF7" s="99"/>
      <c r="LKG7" s="99"/>
      <c r="LKH7" s="99"/>
      <c r="LKI7" s="99"/>
      <c r="LKJ7" s="99"/>
      <c r="LKK7" s="99"/>
      <c r="LKL7" s="99"/>
      <c r="LKM7" s="99"/>
      <c r="LKN7" s="99"/>
      <c r="LKO7" s="99"/>
      <c r="LKP7" s="99"/>
      <c r="LKQ7" s="99"/>
      <c r="LKR7" s="99"/>
      <c r="LKS7" s="99"/>
      <c r="LKT7" s="99"/>
      <c r="LKU7" s="99"/>
      <c r="LKV7" s="99"/>
      <c r="LKW7" s="99"/>
      <c r="LKX7" s="99"/>
      <c r="LKY7" s="99"/>
      <c r="LKZ7" s="99"/>
      <c r="LLA7" s="99"/>
      <c r="LLB7" s="99"/>
      <c r="LLC7" s="99"/>
      <c r="LLD7" s="99"/>
      <c r="LLE7" s="99"/>
      <c r="LLF7" s="99"/>
      <c r="LLG7" s="99"/>
      <c r="LLH7" s="99"/>
      <c r="LLI7" s="99"/>
      <c r="LLJ7" s="99"/>
      <c r="LLK7" s="99"/>
      <c r="LLL7" s="99"/>
      <c r="LLM7" s="99"/>
      <c r="LLN7" s="99"/>
      <c r="LLO7" s="99"/>
      <c r="LLP7" s="99"/>
      <c r="LLQ7" s="99"/>
      <c r="LLR7" s="99"/>
      <c r="LLS7" s="99"/>
      <c r="LLT7" s="99"/>
      <c r="LLU7" s="99"/>
      <c r="LLV7" s="99"/>
      <c r="LLW7" s="99"/>
      <c r="LLX7" s="99"/>
      <c r="LLY7" s="99"/>
      <c r="LLZ7" s="99"/>
      <c r="LMA7" s="99"/>
      <c r="LMB7" s="99"/>
      <c r="LMC7" s="99"/>
      <c r="LMD7" s="99"/>
      <c r="LME7" s="99"/>
      <c r="LMF7" s="99"/>
      <c r="LMG7" s="99"/>
      <c r="LMH7" s="99"/>
      <c r="LMI7" s="99"/>
      <c r="LMJ7" s="99"/>
      <c r="LMK7" s="99"/>
      <c r="LML7" s="99"/>
      <c r="LMM7" s="99"/>
      <c r="LMN7" s="99"/>
      <c r="LMO7" s="99"/>
      <c r="LMP7" s="99"/>
      <c r="LMQ7" s="99"/>
      <c r="LMR7" s="99"/>
      <c r="LMS7" s="99"/>
      <c r="LMT7" s="99"/>
      <c r="LMU7" s="99"/>
      <c r="LMV7" s="99"/>
      <c r="LMW7" s="99"/>
      <c r="LMX7" s="99"/>
      <c r="LMY7" s="99"/>
      <c r="LMZ7" s="99"/>
      <c r="LNA7" s="99"/>
      <c r="LNB7" s="99"/>
      <c r="LNC7" s="99"/>
      <c r="LND7" s="99"/>
      <c r="LNE7" s="99"/>
      <c r="LNF7" s="99"/>
      <c r="LNG7" s="99"/>
      <c r="LNH7" s="99"/>
      <c r="LNI7" s="99"/>
      <c r="LNJ7" s="99"/>
      <c r="LNK7" s="99"/>
      <c r="LNL7" s="99"/>
      <c r="LNM7" s="99"/>
      <c r="LNN7" s="99"/>
      <c r="LNO7" s="99"/>
      <c r="LNP7" s="99"/>
      <c r="LNQ7" s="99"/>
      <c r="LNR7" s="99"/>
      <c r="LNS7" s="99"/>
      <c r="LNT7" s="99"/>
      <c r="LNU7" s="99"/>
      <c r="LNV7" s="99"/>
      <c r="LNW7" s="99"/>
      <c r="LNX7" s="99"/>
      <c r="LNY7" s="99"/>
      <c r="LNZ7" s="99"/>
      <c r="LOA7" s="99"/>
      <c r="LOB7" s="99"/>
      <c r="LOC7" s="99"/>
      <c r="LOD7" s="99"/>
      <c r="LOE7" s="99"/>
      <c r="LOF7" s="99"/>
      <c r="LOG7" s="99"/>
      <c r="LOH7" s="99"/>
      <c r="LOI7" s="99"/>
      <c r="LOJ7" s="99"/>
      <c r="LOK7" s="99"/>
      <c r="LOL7" s="99"/>
      <c r="LOM7" s="99"/>
      <c r="LON7" s="99"/>
      <c r="LOO7" s="99"/>
      <c r="LOP7" s="99"/>
      <c r="LOQ7" s="99"/>
      <c r="LOR7" s="99"/>
      <c r="LOS7" s="99"/>
      <c r="LOT7" s="99"/>
      <c r="LOU7" s="99"/>
      <c r="LOV7" s="99"/>
      <c r="LOW7" s="99"/>
      <c r="LOX7" s="99"/>
      <c r="LOY7" s="99"/>
      <c r="LOZ7" s="99"/>
      <c r="LPA7" s="99"/>
      <c r="LPB7" s="99"/>
      <c r="LPC7" s="99"/>
      <c r="LPD7" s="99"/>
      <c r="LPE7" s="99"/>
      <c r="LPF7" s="99"/>
      <c r="LPG7" s="99"/>
      <c r="LPH7" s="99"/>
      <c r="LPI7" s="99"/>
      <c r="LPJ7" s="99"/>
      <c r="LPK7" s="99"/>
      <c r="LPL7" s="99"/>
      <c r="LPM7" s="99"/>
      <c r="LPN7" s="99"/>
      <c r="LPO7" s="99"/>
      <c r="LPP7" s="99"/>
      <c r="LPQ7" s="99"/>
      <c r="LPR7" s="99"/>
      <c r="LPS7" s="99"/>
      <c r="LPT7" s="99"/>
      <c r="LPU7" s="99"/>
      <c r="LPV7" s="99"/>
      <c r="LPW7" s="99"/>
      <c r="LPX7" s="99"/>
      <c r="LPY7" s="99"/>
      <c r="LPZ7" s="99"/>
      <c r="LQA7" s="99"/>
      <c r="LQB7" s="99"/>
      <c r="LQC7" s="99"/>
      <c r="LQD7" s="99"/>
      <c r="LQE7" s="99"/>
      <c r="LQF7" s="99"/>
      <c r="LQG7" s="99"/>
      <c r="LQH7" s="99"/>
      <c r="LQI7" s="99"/>
      <c r="LQJ7" s="99"/>
      <c r="LQK7" s="99"/>
      <c r="LQL7" s="99"/>
      <c r="LQM7" s="99"/>
      <c r="LQN7" s="99"/>
      <c r="LQO7" s="99"/>
      <c r="LQP7" s="99"/>
      <c r="LQQ7" s="99"/>
      <c r="LQR7" s="99"/>
      <c r="LQS7" s="99"/>
      <c r="LQT7" s="99"/>
      <c r="LQU7" s="99"/>
      <c r="LQV7" s="99"/>
      <c r="LQW7" s="99"/>
      <c r="LQX7" s="99"/>
      <c r="LQY7" s="99"/>
      <c r="LQZ7" s="99"/>
      <c r="LRA7" s="99"/>
      <c r="LRB7" s="99"/>
      <c r="LRC7" s="99"/>
      <c r="LRD7" s="99"/>
      <c r="LRE7" s="99"/>
      <c r="LRF7" s="99"/>
      <c r="LRG7" s="99"/>
      <c r="LRH7" s="99"/>
      <c r="LRI7" s="99"/>
      <c r="LRJ7" s="99"/>
      <c r="LRK7" s="99"/>
      <c r="LRL7" s="99"/>
      <c r="LRM7" s="99"/>
      <c r="LRN7" s="99"/>
      <c r="LRO7" s="99"/>
      <c r="LRP7" s="99"/>
      <c r="LRQ7" s="99"/>
      <c r="LRR7" s="99"/>
      <c r="LRS7" s="99"/>
      <c r="LRT7" s="99"/>
      <c r="LRU7" s="99"/>
      <c r="LRV7" s="99"/>
      <c r="LRW7" s="99"/>
      <c r="LRX7" s="99"/>
      <c r="LRY7" s="99"/>
      <c r="LRZ7" s="99"/>
      <c r="LSA7" s="99"/>
      <c r="LSB7" s="99"/>
      <c r="LSC7" s="99"/>
      <c r="LSD7" s="99"/>
      <c r="LSE7" s="99"/>
      <c r="LSF7" s="99"/>
      <c r="LSG7" s="99"/>
      <c r="LSH7" s="99"/>
      <c r="LSI7" s="99"/>
      <c r="LSJ7" s="99"/>
      <c r="LSK7" s="99"/>
      <c r="LSL7" s="99"/>
      <c r="LSM7" s="99"/>
      <c r="LSN7" s="99"/>
      <c r="LSO7" s="99"/>
      <c r="LSP7" s="99"/>
      <c r="LSQ7" s="99"/>
      <c r="LSR7" s="99"/>
      <c r="LSS7" s="99"/>
      <c r="LST7" s="99"/>
      <c r="LSU7" s="99"/>
      <c r="LSV7" s="99"/>
      <c r="LSW7" s="99"/>
      <c r="LSX7" s="99"/>
      <c r="LSY7" s="99"/>
      <c r="LSZ7" s="99"/>
      <c r="LTA7" s="99"/>
      <c r="LTB7" s="99"/>
      <c r="LTC7" s="99"/>
      <c r="LTD7" s="99"/>
      <c r="LTE7" s="99"/>
      <c r="LTF7" s="99"/>
      <c r="LTG7" s="99"/>
      <c r="LTH7" s="99"/>
      <c r="LTI7" s="99"/>
      <c r="LTJ7" s="99"/>
      <c r="LTK7" s="99"/>
      <c r="LTL7" s="99"/>
      <c r="LTM7" s="99"/>
      <c r="LTN7" s="99"/>
      <c r="LTO7" s="99"/>
      <c r="LTP7" s="99"/>
      <c r="LTQ7" s="99"/>
      <c r="LTR7" s="99"/>
      <c r="LTS7" s="99"/>
      <c r="LTT7" s="99"/>
      <c r="LTU7" s="99"/>
      <c r="LTV7" s="99"/>
      <c r="LTW7" s="99"/>
      <c r="LTX7" s="99"/>
      <c r="LTY7" s="99"/>
      <c r="LTZ7" s="99"/>
      <c r="LUA7" s="99"/>
      <c r="LUB7" s="99"/>
      <c r="LUC7" s="99"/>
      <c r="LUD7" s="99"/>
      <c r="LUE7" s="99"/>
      <c r="LUF7" s="99"/>
      <c r="LUG7" s="99"/>
      <c r="LUH7" s="99"/>
      <c r="LUI7" s="99"/>
      <c r="LUJ7" s="99"/>
      <c r="LUK7" s="99"/>
      <c r="LUL7" s="99"/>
      <c r="LUM7" s="99"/>
      <c r="LUN7" s="99"/>
      <c r="LUO7" s="99"/>
      <c r="LUP7" s="99"/>
      <c r="LUQ7" s="99"/>
      <c r="LUR7" s="99"/>
      <c r="LUS7" s="99"/>
      <c r="LUT7" s="99"/>
      <c r="LUU7" s="99"/>
      <c r="LUV7" s="99"/>
      <c r="LUW7" s="99"/>
      <c r="LUX7" s="99"/>
      <c r="LUY7" s="99"/>
      <c r="LUZ7" s="99"/>
      <c r="LVA7" s="99"/>
      <c r="LVB7" s="99"/>
      <c r="LVC7" s="99"/>
      <c r="LVD7" s="99"/>
      <c r="LVE7" s="99"/>
      <c r="LVF7" s="99"/>
      <c r="LVG7" s="99"/>
      <c r="LVH7" s="99"/>
      <c r="LVI7" s="99"/>
      <c r="LVJ7" s="99"/>
      <c r="LVK7" s="99"/>
      <c r="LVL7" s="99"/>
      <c r="LVM7" s="99"/>
      <c r="LVN7" s="99"/>
      <c r="LVO7" s="99"/>
      <c r="LVP7" s="99"/>
      <c r="LVQ7" s="99"/>
      <c r="LVR7" s="99"/>
      <c r="LVS7" s="99"/>
      <c r="LVT7" s="99"/>
      <c r="LVU7" s="99"/>
      <c r="LVV7" s="99"/>
      <c r="LVW7" s="99"/>
      <c r="LVX7" s="99"/>
      <c r="LVY7" s="99"/>
      <c r="LVZ7" s="99"/>
      <c r="LWA7" s="99"/>
      <c r="LWB7" s="99"/>
      <c r="LWC7" s="99"/>
      <c r="LWD7" s="99"/>
      <c r="LWE7" s="99"/>
      <c r="LWF7" s="99"/>
      <c r="LWG7" s="99"/>
      <c r="LWH7" s="99"/>
      <c r="LWI7" s="99"/>
      <c r="LWJ7" s="99"/>
      <c r="LWK7" s="99"/>
      <c r="LWL7" s="99"/>
      <c r="LWM7" s="99"/>
      <c r="LWN7" s="99"/>
      <c r="LWO7" s="99"/>
      <c r="LWP7" s="99"/>
      <c r="LWQ7" s="99"/>
      <c r="LWR7" s="99"/>
      <c r="LWS7" s="99"/>
      <c r="LWT7" s="99"/>
      <c r="LWU7" s="99"/>
      <c r="LWV7" s="99"/>
      <c r="LWW7" s="99"/>
      <c r="LWX7" s="99"/>
      <c r="LWY7" s="99"/>
      <c r="LWZ7" s="99"/>
      <c r="LXA7" s="99"/>
      <c r="LXB7" s="99"/>
      <c r="LXC7" s="99"/>
      <c r="LXD7" s="99"/>
      <c r="LXE7" s="99"/>
      <c r="LXF7" s="99"/>
      <c r="LXG7" s="99"/>
      <c r="LXH7" s="99"/>
      <c r="LXI7" s="99"/>
      <c r="LXJ7" s="99"/>
      <c r="LXK7" s="99"/>
      <c r="LXL7" s="99"/>
      <c r="LXM7" s="99"/>
      <c r="LXN7" s="99"/>
      <c r="LXO7" s="99"/>
      <c r="LXP7" s="99"/>
      <c r="LXQ7" s="99"/>
      <c r="LXR7" s="99"/>
      <c r="LXS7" s="99"/>
      <c r="LXT7" s="99"/>
      <c r="LXU7" s="99"/>
      <c r="LXV7" s="99"/>
      <c r="LXW7" s="99"/>
      <c r="LXX7" s="99"/>
      <c r="LXY7" s="99"/>
      <c r="LXZ7" s="99"/>
      <c r="LYA7" s="99"/>
      <c r="LYB7" s="99"/>
      <c r="LYC7" s="99"/>
      <c r="LYD7" s="99"/>
      <c r="LYE7" s="99"/>
      <c r="LYF7" s="99"/>
      <c r="LYG7" s="99"/>
      <c r="LYH7" s="99"/>
      <c r="LYI7" s="99"/>
      <c r="LYJ7" s="99"/>
      <c r="LYK7" s="99"/>
      <c r="LYL7" s="99"/>
      <c r="LYM7" s="99"/>
      <c r="LYN7" s="99"/>
      <c r="LYO7" s="99"/>
      <c r="LYP7" s="99"/>
      <c r="LYQ7" s="99"/>
      <c r="LYR7" s="99"/>
      <c r="LYS7" s="99"/>
      <c r="LYT7" s="99"/>
      <c r="LYU7" s="99"/>
      <c r="LYV7" s="99"/>
      <c r="LYW7" s="99"/>
      <c r="LYX7" s="99"/>
      <c r="LYY7" s="99"/>
      <c r="LYZ7" s="99"/>
      <c r="LZA7" s="99"/>
      <c r="LZB7" s="99"/>
      <c r="LZC7" s="99"/>
      <c r="LZD7" s="99"/>
      <c r="LZE7" s="99"/>
      <c r="LZF7" s="99"/>
      <c r="LZG7" s="99"/>
      <c r="LZH7" s="99"/>
      <c r="LZI7" s="99"/>
      <c r="LZJ7" s="99"/>
      <c r="LZK7" s="99"/>
      <c r="LZL7" s="99"/>
      <c r="LZM7" s="99"/>
      <c r="LZN7" s="99"/>
      <c r="LZO7" s="99"/>
      <c r="LZP7" s="99"/>
      <c r="LZQ7" s="99"/>
      <c r="LZR7" s="99"/>
      <c r="LZS7" s="99"/>
      <c r="LZT7" s="99"/>
      <c r="LZU7" s="99"/>
      <c r="LZV7" s="99"/>
      <c r="LZW7" s="99"/>
      <c r="LZX7" s="99"/>
      <c r="LZY7" s="99"/>
      <c r="LZZ7" s="99"/>
      <c r="MAA7" s="99"/>
      <c r="MAB7" s="99"/>
      <c r="MAC7" s="99"/>
      <c r="MAD7" s="99"/>
      <c r="MAE7" s="99"/>
      <c r="MAF7" s="99"/>
      <c r="MAG7" s="99"/>
      <c r="MAH7" s="99"/>
      <c r="MAI7" s="99"/>
      <c r="MAJ7" s="99"/>
      <c r="MAK7" s="99"/>
      <c r="MAL7" s="99"/>
      <c r="MAM7" s="99"/>
      <c r="MAN7" s="99"/>
      <c r="MAO7" s="99"/>
      <c r="MAP7" s="99"/>
      <c r="MAQ7" s="99"/>
      <c r="MAR7" s="99"/>
      <c r="MAS7" s="99"/>
      <c r="MAT7" s="99"/>
      <c r="MAU7" s="99"/>
      <c r="MAV7" s="99"/>
      <c r="MAW7" s="99"/>
      <c r="MAX7" s="99"/>
      <c r="MAY7" s="99"/>
      <c r="MAZ7" s="99"/>
      <c r="MBA7" s="99"/>
      <c r="MBB7" s="99"/>
      <c r="MBC7" s="99"/>
      <c r="MBD7" s="99"/>
      <c r="MBE7" s="99"/>
      <c r="MBF7" s="99"/>
      <c r="MBG7" s="99"/>
      <c r="MBH7" s="99"/>
      <c r="MBI7" s="99"/>
      <c r="MBJ7" s="99"/>
      <c r="MBK7" s="99"/>
      <c r="MBL7" s="99"/>
      <c r="MBM7" s="99"/>
      <c r="MBN7" s="99"/>
      <c r="MBO7" s="99"/>
      <c r="MBP7" s="99"/>
      <c r="MBQ7" s="99"/>
      <c r="MBR7" s="99"/>
      <c r="MBS7" s="99"/>
      <c r="MBT7" s="99"/>
      <c r="MBU7" s="99"/>
      <c r="MBV7" s="99"/>
      <c r="MBW7" s="99"/>
      <c r="MBX7" s="99"/>
      <c r="MBY7" s="99"/>
      <c r="MBZ7" s="99"/>
      <c r="MCA7" s="99"/>
      <c r="MCB7" s="99"/>
      <c r="MCC7" s="99"/>
      <c r="MCD7" s="99"/>
      <c r="MCE7" s="99"/>
      <c r="MCF7" s="99"/>
      <c r="MCG7" s="99"/>
      <c r="MCH7" s="99"/>
      <c r="MCI7" s="99"/>
      <c r="MCJ7" s="99"/>
      <c r="MCK7" s="99"/>
      <c r="MCL7" s="99"/>
      <c r="MCM7" s="99"/>
      <c r="MCN7" s="99"/>
      <c r="MCO7" s="99"/>
      <c r="MCP7" s="99"/>
      <c r="MCQ7" s="99"/>
      <c r="MCR7" s="99"/>
      <c r="MCS7" s="99"/>
      <c r="MCT7" s="99"/>
      <c r="MCU7" s="99"/>
      <c r="MCV7" s="99"/>
      <c r="MCW7" s="99"/>
      <c r="MCX7" s="99"/>
      <c r="MCY7" s="99"/>
      <c r="MCZ7" s="99"/>
      <c r="MDA7" s="99"/>
      <c r="MDB7" s="99"/>
      <c r="MDC7" s="99"/>
      <c r="MDD7" s="99"/>
      <c r="MDE7" s="99"/>
      <c r="MDF7" s="99"/>
      <c r="MDG7" s="99"/>
      <c r="MDH7" s="99"/>
      <c r="MDI7" s="99"/>
      <c r="MDJ7" s="99"/>
      <c r="MDK7" s="99"/>
      <c r="MDL7" s="99"/>
      <c r="MDM7" s="99"/>
      <c r="MDN7" s="99"/>
      <c r="MDO7" s="99"/>
      <c r="MDP7" s="99"/>
      <c r="MDQ7" s="99"/>
      <c r="MDR7" s="99"/>
      <c r="MDS7" s="99"/>
      <c r="MDT7" s="99"/>
      <c r="MDU7" s="99"/>
      <c r="MDV7" s="99"/>
      <c r="MDW7" s="99"/>
      <c r="MDX7" s="99"/>
      <c r="MDY7" s="99"/>
      <c r="MDZ7" s="99"/>
      <c r="MEA7" s="99"/>
      <c r="MEB7" s="99"/>
      <c r="MEC7" s="99"/>
      <c r="MED7" s="99"/>
      <c r="MEE7" s="99"/>
      <c r="MEF7" s="99"/>
      <c r="MEG7" s="99"/>
      <c r="MEH7" s="99"/>
      <c r="MEI7" s="99"/>
      <c r="MEJ7" s="99"/>
      <c r="MEK7" s="99"/>
      <c r="MEL7" s="99"/>
      <c r="MEM7" s="99"/>
      <c r="MEN7" s="99"/>
      <c r="MEO7" s="99"/>
      <c r="MEP7" s="99"/>
      <c r="MEQ7" s="99"/>
      <c r="MER7" s="99"/>
      <c r="MES7" s="99"/>
      <c r="MET7" s="99"/>
      <c r="MEU7" s="99"/>
      <c r="MEV7" s="99"/>
      <c r="MEW7" s="99"/>
      <c r="MEX7" s="99"/>
      <c r="MEY7" s="99"/>
      <c r="MEZ7" s="99"/>
      <c r="MFA7" s="99"/>
      <c r="MFB7" s="99"/>
      <c r="MFC7" s="99"/>
      <c r="MFD7" s="99"/>
      <c r="MFE7" s="99"/>
      <c r="MFF7" s="99"/>
      <c r="MFG7" s="99"/>
      <c r="MFH7" s="99"/>
      <c r="MFI7" s="99"/>
      <c r="MFJ7" s="99"/>
      <c r="MFK7" s="99"/>
      <c r="MFL7" s="99"/>
      <c r="MFM7" s="99"/>
      <c r="MFN7" s="99"/>
      <c r="MFO7" s="99"/>
      <c r="MFP7" s="99"/>
      <c r="MFQ7" s="99"/>
      <c r="MFR7" s="99"/>
      <c r="MFS7" s="99"/>
      <c r="MFT7" s="99"/>
      <c r="MFU7" s="99"/>
      <c r="MFV7" s="99"/>
      <c r="MFW7" s="99"/>
      <c r="MFX7" s="99"/>
      <c r="MFY7" s="99"/>
      <c r="MFZ7" s="99"/>
      <c r="MGA7" s="99"/>
      <c r="MGB7" s="99"/>
      <c r="MGC7" s="99"/>
      <c r="MGD7" s="99"/>
      <c r="MGE7" s="99"/>
      <c r="MGF7" s="99"/>
      <c r="MGG7" s="99"/>
      <c r="MGH7" s="99"/>
      <c r="MGI7" s="99"/>
      <c r="MGJ7" s="99"/>
      <c r="MGK7" s="99"/>
      <c r="MGL7" s="99"/>
      <c r="MGM7" s="99"/>
      <c r="MGN7" s="99"/>
      <c r="MGO7" s="99"/>
      <c r="MGP7" s="99"/>
      <c r="MGQ7" s="99"/>
      <c r="MGR7" s="99"/>
      <c r="MGS7" s="99"/>
      <c r="MGT7" s="99"/>
      <c r="MGU7" s="99"/>
      <c r="MGV7" s="99"/>
      <c r="MGW7" s="99"/>
      <c r="MGX7" s="99"/>
      <c r="MGY7" s="99"/>
      <c r="MGZ7" s="99"/>
      <c r="MHA7" s="99"/>
      <c r="MHB7" s="99"/>
      <c r="MHC7" s="99"/>
      <c r="MHD7" s="99"/>
      <c r="MHE7" s="99"/>
      <c r="MHF7" s="99"/>
      <c r="MHG7" s="99"/>
      <c r="MHH7" s="99"/>
      <c r="MHI7" s="99"/>
      <c r="MHJ7" s="99"/>
      <c r="MHK7" s="99"/>
      <c r="MHL7" s="99"/>
      <c r="MHM7" s="99"/>
      <c r="MHN7" s="99"/>
      <c r="MHO7" s="99"/>
      <c r="MHP7" s="99"/>
      <c r="MHQ7" s="99"/>
      <c r="MHR7" s="99"/>
      <c r="MHS7" s="99"/>
      <c r="MHT7" s="99"/>
      <c r="MHU7" s="99"/>
      <c r="MHV7" s="99"/>
      <c r="MHW7" s="99"/>
      <c r="MHX7" s="99"/>
      <c r="MHY7" s="99"/>
      <c r="MHZ7" s="99"/>
      <c r="MIA7" s="99"/>
      <c r="MIB7" s="99"/>
      <c r="MIC7" s="99"/>
      <c r="MID7" s="99"/>
      <c r="MIE7" s="99"/>
      <c r="MIF7" s="99"/>
      <c r="MIG7" s="99"/>
      <c r="MIH7" s="99"/>
      <c r="MII7" s="99"/>
      <c r="MIJ7" s="99"/>
      <c r="MIK7" s="99"/>
      <c r="MIL7" s="99"/>
      <c r="MIM7" s="99"/>
      <c r="MIN7" s="99"/>
      <c r="MIO7" s="99"/>
      <c r="MIP7" s="99"/>
      <c r="MIQ7" s="99"/>
      <c r="MIR7" s="99"/>
      <c r="MIS7" s="99"/>
      <c r="MIT7" s="99"/>
      <c r="MIU7" s="99"/>
      <c r="MIV7" s="99"/>
      <c r="MIW7" s="99"/>
      <c r="MIX7" s="99"/>
      <c r="MIY7" s="99"/>
      <c r="MIZ7" s="99"/>
      <c r="MJA7" s="99"/>
      <c r="MJB7" s="99"/>
      <c r="MJC7" s="99"/>
      <c r="MJD7" s="99"/>
      <c r="MJE7" s="99"/>
      <c r="MJF7" s="99"/>
      <c r="MJG7" s="99"/>
      <c r="MJH7" s="99"/>
      <c r="MJI7" s="99"/>
      <c r="MJJ7" s="99"/>
      <c r="MJK7" s="99"/>
      <c r="MJL7" s="99"/>
      <c r="MJM7" s="99"/>
      <c r="MJN7" s="99"/>
      <c r="MJO7" s="99"/>
      <c r="MJP7" s="99"/>
      <c r="MJQ7" s="99"/>
      <c r="MJR7" s="99"/>
      <c r="MJS7" s="99"/>
      <c r="MJT7" s="99"/>
      <c r="MJU7" s="99"/>
      <c r="MJV7" s="99"/>
      <c r="MJW7" s="99"/>
      <c r="MJX7" s="99"/>
      <c r="MJY7" s="99"/>
      <c r="MJZ7" s="99"/>
      <c r="MKA7" s="99"/>
      <c r="MKB7" s="99"/>
      <c r="MKC7" s="99"/>
      <c r="MKD7" s="99"/>
      <c r="MKE7" s="99"/>
      <c r="MKF7" s="99"/>
      <c r="MKG7" s="99"/>
      <c r="MKH7" s="99"/>
      <c r="MKI7" s="99"/>
      <c r="MKJ7" s="99"/>
      <c r="MKK7" s="99"/>
      <c r="MKL7" s="99"/>
      <c r="MKM7" s="99"/>
      <c r="MKN7" s="99"/>
      <c r="MKO7" s="99"/>
      <c r="MKP7" s="99"/>
      <c r="MKQ7" s="99"/>
      <c r="MKR7" s="99"/>
      <c r="MKS7" s="99"/>
      <c r="MKT7" s="99"/>
      <c r="MKU7" s="99"/>
      <c r="MKV7" s="99"/>
      <c r="MKW7" s="99"/>
      <c r="MKX7" s="99"/>
      <c r="MKY7" s="99"/>
      <c r="MKZ7" s="99"/>
      <c r="MLA7" s="99"/>
      <c r="MLB7" s="99"/>
      <c r="MLC7" s="99"/>
      <c r="MLD7" s="99"/>
      <c r="MLE7" s="99"/>
      <c r="MLF7" s="99"/>
      <c r="MLG7" s="99"/>
      <c r="MLH7" s="99"/>
      <c r="MLI7" s="99"/>
      <c r="MLJ7" s="99"/>
      <c r="MLK7" s="99"/>
      <c r="MLL7" s="99"/>
      <c r="MLM7" s="99"/>
      <c r="MLN7" s="99"/>
      <c r="MLO7" s="99"/>
      <c r="MLP7" s="99"/>
      <c r="MLQ7" s="99"/>
      <c r="MLR7" s="99"/>
      <c r="MLS7" s="99"/>
      <c r="MLT7" s="99"/>
      <c r="MLU7" s="99"/>
      <c r="MLV7" s="99"/>
      <c r="MLW7" s="99"/>
      <c r="MLX7" s="99"/>
      <c r="MLY7" s="99"/>
      <c r="MLZ7" s="99"/>
      <c r="MMA7" s="99"/>
      <c r="MMB7" s="99"/>
      <c r="MMC7" s="99"/>
      <c r="MMD7" s="99"/>
      <c r="MME7" s="99"/>
      <c r="MMF7" s="99"/>
      <c r="MMG7" s="99"/>
      <c r="MMH7" s="99"/>
      <c r="MMI7" s="99"/>
      <c r="MMJ7" s="99"/>
      <c r="MMK7" s="99"/>
      <c r="MML7" s="99"/>
      <c r="MMM7" s="99"/>
      <c r="MMN7" s="99"/>
      <c r="MMO7" s="99"/>
      <c r="MMP7" s="99"/>
      <c r="MMQ7" s="99"/>
      <c r="MMR7" s="99"/>
      <c r="MMS7" s="99"/>
      <c r="MMT7" s="99"/>
      <c r="MMU7" s="99"/>
      <c r="MMV7" s="99"/>
      <c r="MMW7" s="99"/>
      <c r="MMX7" s="99"/>
      <c r="MMY7" s="99"/>
      <c r="MMZ7" s="99"/>
      <c r="MNA7" s="99"/>
      <c r="MNB7" s="99"/>
      <c r="MNC7" s="99"/>
      <c r="MND7" s="99"/>
      <c r="MNE7" s="99"/>
      <c r="MNF7" s="99"/>
      <c r="MNG7" s="99"/>
      <c r="MNH7" s="99"/>
      <c r="MNI7" s="99"/>
      <c r="MNJ7" s="99"/>
      <c r="MNK7" s="99"/>
      <c r="MNL7" s="99"/>
      <c r="MNM7" s="99"/>
      <c r="MNN7" s="99"/>
      <c r="MNO7" s="99"/>
      <c r="MNP7" s="99"/>
      <c r="MNQ7" s="99"/>
      <c r="MNR7" s="99"/>
      <c r="MNS7" s="99"/>
      <c r="MNT7" s="99"/>
      <c r="MNU7" s="99"/>
      <c r="MNV7" s="99"/>
      <c r="MNW7" s="99"/>
      <c r="MNX7" s="99"/>
      <c r="MNY7" s="99"/>
      <c r="MNZ7" s="99"/>
      <c r="MOA7" s="99"/>
      <c r="MOB7" s="99"/>
      <c r="MOC7" s="99"/>
      <c r="MOD7" s="99"/>
      <c r="MOE7" s="99"/>
      <c r="MOF7" s="99"/>
      <c r="MOG7" s="99"/>
      <c r="MOH7" s="99"/>
      <c r="MOI7" s="99"/>
      <c r="MOJ7" s="99"/>
      <c r="MOK7" s="99"/>
      <c r="MOL7" s="99"/>
      <c r="MOM7" s="99"/>
      <c r="MON7" s="99"/>
      <c r="MOO7" s="99"/>
      <c r="MOP7" s="99"/>
      <c r="MOQ7" s="99"/>
      <c r="MOR7" s="99"/>
      <c r="MOS7" s="99"/>
      <c r="MOT7" s="99"/>
      <c r="MOU7" s="99"/>
      <c r="MOV7" s="99"/>
      <c r="MOW7" s="99"/>
      <c r="MOX7" s="99"/>
      <c r="MOY7" s="99"/>
      <c r="MOZ7" s="99"/>
      <c r="MPA7" s="99"/>
      <c r="MPB7" s="99"/>
      <c r="MPC7" s="99"/>
      <c r="MPD7" s="99"/>
      <c r="MPE7" s="99"/>
      <c r="MPF7" s="99"/>
      <c r="MPG7" s="99"/>
      <c r="MPH7" s="99"/>
      <c r="MPI7" s="99"/>
      <c r="MPJ7" s="99"/>
      <c r="MPK7" s="99"/>
      <c r="MPL7" s="99"/>
      <c r="MPM7" s="99"/>
      <c r="MPN7" s="99"/>
      <c r="MPO7" s="99"/>
      <c r="MPP7" s="99"/>
      <c r="MPQ7" s="99"/>
      <c r="MPR7" s="99"/>
      <c r="MPS7" s="99"/>
      <c r="MPT7" s="99"/>
      <c r="MPU7" s="99"/>
      <c r="MPV7" s="99"/>
      <c r="MPW7" s="99"/>
      <c r="MPX7" s="99"/>
      <c r="MPY7" s="99"/>
      <c r="MPZ7" s="99"/>
      <c r="MQA7" s="99"/>
      <c r="MQB7" s="99"/>
      <c r="MQC7" s="99"/>
      <c r="MQD7" s="99"/>
      <c r="MQE7" s="99"/>
      <c r="MQF7" s="99"/>
      <c r="MQG7" s="99"/>
      <c r="MQH7" s="99"/>
      <c r="MQI7" s="99"/>
      <c r="MQJ7" s="99"/>
      <c r="MQK7" s="99"/>
      <c r="MQL7" s="99"/>
      <c r="MQM7" s="99"/>
      <c r="MQN7" s="99"/>
      <c r="MQO7" s="99"/>
      <c r="MQP7" s="99"/>
      <c r="MQQ7" s="99"/>
      <c r="MQR7" s="99"/>
      <c r="MQS7" s="99"/>
      <c r="MQT7" s="99"/>
      <c r="MQU7" s="99"/>
      <c r="MQV7" s="99"/>
      <c r="MQW7" s="99"/>
      <c r="MQX7" s="99"/>
      <c r="MQY7" s="99"/>
      <c r="MQZ7" s="99"/>
      <c r="MRA7" s="99"/>
      <c r="MRB7" s="99"/>
      <c r="MRC7" s="99"/>
      <c r="MRD7" s="99"/>
      <c r="MRE7" s="99"/>
      <c r="MRF7" s="99"/>
      <c r="MRG7" s="99"/>
      <c r="MRH7" s="99"/>
      <c r="MRI7" s="99"/>
      <c r="MRJ7" s="99"/>
      <c r="MRK7" s="99"/>
      <c r="MRL7" s="99"/>
      <c r="MRM7" s="99"/>
      <c r="MRN7" s="99"/>
      <c r="MRO7" s="99"/>
      <c r="MRP7" s="99"/>
      <c r="MRQ7" s="99"/>
      <c r="MRR7" s="99"/>
      <c r="MRS7" s="99"/>
      <c r="MRT7" s="99"/>
      <c r="MRU7" s="99"/>
      <c r="MRV7" s="99"/>
      <c r="MRW7" s="99"/>
      <c r="MRX7" s="99"/>
      <c r="MRY7" s="99"/>
      <c r="MRZ7" s="99"/>
      <c r="MSA7" s="99"/>
      <c r="MSB7" s="99"/>
      <c r="MSC7" s="99"/>
      <c r="MSD7" s="99"/>
      <c r="MSE7" s="99"/>
      <c r="MSF7" s="99"/>
      <c r="MSG7" s="99"/>
      <c r="MSH7" s="99"/>
      <c r="MSI7" s="99"/>
      <c r="MSJ7" s="99"/>
      <c r="MSK7" s="99"/>
      <c r="MSL7" s="99"/>
      <c r="MSM7" s="99"/>
      <c r="MSN7" s="99"/>
      <c r="MSO7" s="99"/>
      <c r="MSP7" s="99"/>
      <c r="MSQ7" s="99"/>
      <c r="MSR7" s="99"/>
      <c r="MSS7" s="99"/>
      <c r="MST7" s="99"/>
      <c r="MSU7" s="99"/>
      <c r="MSV7" s="99"/>
      <c r="MSW7" s="99"/>
      <c r="MSX7" s="99"/>
      <c r="MSY7" s="99"/>
      <c r="MSZ7" s="99"/>
      <c r="MTA7" s="99"/>
      <c r="MTB7" s="99"/>
      <c r="MTC7" s="99"/>
      <c r="MTD7" s="99"/>
      <c r="MTE7" s="99"/>
      <c r="MTF7" s="99"/>
      <c r="MTG7" s="99"/>
      <c r="MTH7" s="99"/>
      <c r="MTI7" s="99"/>
      <c r="MTJ7" s="99"/>
      <c r="MTK7" s="99"/>
      <c r="MTL7" s="99"/>
      <c r="MTM7" s="99"/>
      <c r="MTN7" s="99"/>
      <c r="MTO7" s="99"/>
      <c r="MTP7" s="99"/>
      <c r="MTQ7" s="99"/>
      <c r="MTR7" s="99"/>
      <c r="MTS7" s="99"/>
      <c r="MTT7" s="99"/>
      <c r="MTU7" s="99"/>
      <c r="MTV7" s="99"/>
      <c r="MTW7" s="99"/>
      <c r="MTX7" s="99"/>
      <c r="MTY7" s="99"/>
      <c r="MTZ7" s="99"/>
      <c r="MUA7" s="99"/>
      <c r="MUB7" s="99"/>
      <c r="MUC7" s="99"/>
      <c r="MUD7" s="99"/>
      <c r="MUE7" s="99"/>
      <c r="MUF7" s="99"/>
      <c r="MUG7" s="99"/>
      <c r="MUH7" s="99"/>
      <c r="MUI7" s="99"/>
      <c r="MUJ7" s="99"/>
      <c r="MUK7" s="99"/>
      <c r="MUL7" s="99"/>
      <c r="MUM7" s="99"/>
      <c r="MUN7" s="99"/>
      <c r="MUO7" s="99"/>
      <c r="MUP7" s="99"/>
      <c r="MUQ7" s="99"/>
      <c r="MUR7" s="99"/>
      <c r="MUS7" s="99"/>
      <c r="MUT7" s="99"/>
      <c r="MUU7" s="99"/>
      <c r="MUV7" s="99"/>
      <c r="MUW7" s="99"/>
      <c r="MUX7" s="99"/>
      <c r="MUY7" s="99"/>
      <c r="MUZ7" s="99"/>
      <c r="MVA7" s="99"/>
      <c r="MVB7" s="99"/>
      <c r="MVC7" s="99"/>
      <c r="MVD7" s="99"/>
      <c r="MVE7" s="99"/>
      <c r="MVF7" s="99"/>
      <c r="MVG7" s="99"/>
      <c r="MVH7" s="99"/>
      <c r="MVI7" s="99"/>
      <c r="MVJ7" s="99"/>
      <c r="MVK7" s="99"/>
      <c r="MVL7" s="99"/>
      <c r="MVM7" s="99"/>
      <c r="MVN7" s="99"/>
      <c r="MVO7" s="99"/>
      <c r="MVP7" s="99"/>
      <c r="MVQ7" s="99"/>
      <c r="MVR7" s="99"/>
      <c r="MVS7" s="99"/>
      <c r="MVT7" s="99"/>
      <c r="MVU7" s="99"/>
      <c r="MVV7" s="99"/>
      <c r="MVW7" s="99"/>
      <c r="MVX7" s="99"/>
      <c r="MVY7" s="99"/>
      <c r="MVZ7" s="99"/>
      <c r="MWA7" s="99"/>
      <c r="MWB7" s="99"/>
      <c r="MWC7" s="99"/>
      <c r="MWD7" s="99"/>
      <c r="MWE7" s="99"/>
      <c r="MWF7" s="99"/>
      <c r="MWG7" s="99"/>
      <c r="MWH7" s="99"/>
      <c r="MWI7" s="99"/>
      <c r="MWJ7" s="99"/>
      <c r="MWK7" s="99"/>
      <c r="MWL7" s="99"/>
      <c r="MWM7" s="99"/>
      <c r="MWN7" s="99"/>
      <c r="MWO7" s="99"/>
      <c r="MWP7" s="99"/>
      <c r="MWQ7" s="99"/>
      <c r="MWR7" s="99"/>
      <c r="MWS7" s="99"/>
      <c r="MWT7" s="99"/>
      <c r="MWU7" s="99"/>
      <c r="MWV7" s="99"/>
      <c r="MWW7" s="99"/>
      <c r="MWX7" s="99"/>
      <c r="MWY7" s="99"/>
      <c r="MWZ7" s="99"/>
      <c r="MXA7" s="99"/>
      <c r="MXB7" s="99"/>
      <c r="MXC7" s="99"/>
      <c r="MXD7" s="99"/>
      <c r="MXE7" s="99"/>
      <c r="MXF7" s="99"/>
      <c r="MXG7" s="99"/>
      <c r="MXH7" s="99"/>
      <c r="MXI7" s="99"/>
      <c r="MXJ7" s="99"/>
      <c r="MXK7" s="99"/>
      <c r="MXL7" s="99"/>
      <c r="MXM7" s="99"/>
      <c r="MXN7" s="99"/>
      <c r="MXO7" s="99"/>
      <c r="MXP7" s="99"/>
      <c r="MXQ7" s="99"/>
      <c r="MXR7" s="99"/>
      <c r="MXS7" s="99"/>
      <c r="MXT7" s="99"/>
      <c r="MXU7" s="99"/>
      <c r="MXV7" s="99"/>
      <c r="MXW7" s="99"/>
      <c r="MXX7" s="99"/>
      <c r="MXY7" s="99"/>
      <c r="MXZ7" s="99"/>
      <c r="MYA7" s="99"/>
      <c r="MYB7" s="99"/>
      <c r="MYC7" s="99"/>
      <c r="MYD7" s="99"/>
      <c r="MYE7" s="99"/>
      <c r="MYF7" s="99"/>
      <c r="MYG7" s="99"/>
      <c r="MYH7" s="99"/>
      <c r="MYI7" s="99"/>
      <c r="MYJ7" s="99"/>
      <c r="MYK7" s="99"/>
      <c r="MYL7" s="99"/>
      <c r="MYM7" s="99"/>
      <c r="MYN7" s="99"/>
      <c r="MYO7" s="99"/>
      <c r="MYP7" s="99"/>
      <c r="MYQ7" s="99"/>
      <c r="MYR7" s="99"/>
      <c r="MYS7" s="99"/>
      <c r="MYT7" s="99"/>
      <c r="MYU7" s="99"/>
      <c r="MYV7" s="99"/>
      <c r="MYW7" s="99"/>
      <c r="MYX7" s="99"/>
      <c r="MYY7" s="99"/>
      <c r="MYZ7" s="99"/>
      <c r="MZA7" s="99"/>
      <c r="MZB7" s="99"/>
      <c r="MZC7" s="99"/>
      <c r="MZD7" s="99"/>
      <c r="MZE7" s="99"/>
      <c r="MZF7" s="99"/>
      <c r="MZG7" s="99"/>
      <c r="MZH7" s="99"/>
      <c r="MZI7" s="99"/>
      <c r="MZJ7" s="99"/>
      <c r="MZK7" s="99"/>
      <c r="MZL7" s="99"/>
      <c r="MZM7" s="99"/>
      <c r="MZN7" s="99"/>
      <c r="MZO7" s="99"/>
      <c r="MZP7" s="99"/>
      <c r="MZQ7" s="99"/>
      <c r="MZR7" s="99"/>
      <c r="MZS7" s="99"/>
      <c r="MZT7" s="99"/>
      <c r="MZU7" s="99"/>
      <c r="MZV7" s="99"/>
      <c r="MZW7" s="99"/>
      <c r="MZX7" s="99"/>
      <c r="MZY7" s="99"/>
      <c r="MZZ7" s="99"/>
      <c r="NAA7" s="99"/>
      <c r="NAB7" s="99"/>
      <c r="NAC7" s="99"/>
      <c r="NAD7" s="99"/>
      <c r="NAE7" s="99"/>
      <c r="NAF7" s="99"/>
      <c r="NAG7" s="99"/>
      <c r="NAH7" s="99"/>
      <c r="NAI7" s="99"/>
      <c r="NAJ7" s="99"/>
      <c r="NAK7" s="99"/>
      <c r="NAL7" s="99"/>
      <c r="NAM7" s="99"/>
      <c r="NAN7" s="99"/>
      <c r="NAO7" s="99"/>
      <c r="NAP7" s="99"/>
      <c r="NAQ7" s="99"/>
      <c r="NAR7" s="99"/>
      <c r="NAS7" s="99"/>
      <c r="NAT7" s="99"/>
      <c r="NAU7" s="99"/>
      <c r="NAV7" s="99"/>
      <c r="NAW7" s="99"/>
      <c r="NAX7" s="99"/>
      <c r="NAY7" s="99"/>
      <c r="NAZ7" s="99"/>
      <c r="NBA7" s="99"/>
      <c r="NBB7" s="99"/>
      <c r="NBC7" s="99"/>
      <c r="NBD7" s="99"/>
      <c r="NBE7" s="99"/>
      <c r="NBF7" s="99"/>
      <c r="NBG7" s="99"/>
      <c r="NBH7" s="99"/>
      <c r="NBI7" s="99"/>
      <c r="NBJ7" s="99"/>
      <c r="NBK7" s="99"/>
      <c r="NBL7" s="99"/>
      <c r="NBM7" s="99"/>
      <c r="NBN7" s="99"/>
      <c r="NBO7" s="99"/>
      <c r="NBP7" s="99"/>
      <c r="NBQ7" s="99"/>
      <c r="NBR7" s="99"/>
      <c r="NBS7" s="99"/>
      <c r="NBT7" s="99"/>
      <c r="NBU7" s="99"/>
      <c r="NBV7" s="99"/>
      <c r="NBW7" s="99"/>
      <c r="NBX7" s="99"/>
      <c r="NBY7" s="99"/>
      <c r="NBZ7" s="99"/>
      <c r="NCA7" s="99"/>
      <c r="NCB7" s="99"/>
      <c r="NCC7" s="99"/>
      <c r="NCD7" s="99"/>
      <c r="NCE7" s="99"/>
      <c r="NCF7" s="99"/>
      <c r="NCG7" s="99"/>
      <c r="NCH7" s="99"/>
      <c r="NCI7" s="99"/>
      <c r="NCJ7" s="99"/>
      <c r="NCK7" s="99"/>
      <c r="NCL7" s="99"/>
      <c r="NCM7" s="99"/>
      <c r="NCN7" s="99"/>
      <c r="NCO7" s="99"/>
      <c r="NCP7" s="99"/>
      <c r="NCQ7" s="99"/>
      <c r="NCR7" s="99"/>
      <c r="NCS7" s="99"/>
      <c r="NCT7" s="99"/>
      <c r="NCU7" s="99"/>
      <c r="NCV7" s="99"/>
      <c r="NCW7" s="99"/>
      <c r="NCX7" s="99"/>
      <c r="NCY7" s="99"/>
      <c r="NCZ7" s="99"/>
      <c r="NDA7" s="99"/>
      <c r="NDB7" s="99"/>
      <c r="NDC7" s="99"/>
      <c r="NDD7" s="99"/>
      <c r="NDE7" s="99"/>
      <c r="NDF7" s="99"/>
      <c r="NDG7" s="99"/>
      <c r="NDH7" s="99"/>
      <c r="NDI7" s="99"/>
      <c r="NDJ7" s="99"/>
      <c r="NDK7" s="99"/>
      <c r="NDL7" s="99"/>
      <c r="NDM7" s="99"/>
      <c r="NDN7" s="99"/>
      <c r="NDO7" s="99"/>
      <c r="NDP7" s="99"/>
      <c r="NDQ7" s="99"/>
      <c r="NDR7" s="99"/>
      <c r="NDS7" s="99"/>
      <c r="NDT7" s="99"/>
      <c r="NDU7" s="99"/>
      <c r="NDV7" s="99"/>
      <c r="NDW7" s="99"/>
      <c r="NDX7" s="99"/>
      <c r="NDY7" s="99"/>
      <c r="NDZ7" s="99"/>
      <c r="NEA7" s="99"/>
      <c r="NEB7" s="99"/>
      <c r="NEC7" s="99"/>
      <c r="NED7" s="99"/>
      <c r="NEE7" s="99"/>
      <c r="NEF7" s="99"/>
      <c r="NEG7" s="99"/>
      <c r="NEH7" s="99"/>
      <c r="NEI7" s="99"/>
      <c r="NEJ7" s="99"/>
      <c r="NEK7" s="99"/>
      <c r="NEL7" s="99"/>
      <c r="NEM7" s="99"/>
      <c r="NEN7" s="99"/>
      <c r="NEO7" s="99"/>
      <c r="NEP7" s="99"/>
      <c r="NEQ7" s="99"/>
      <c r="NER7" s="99"/>
      <c r="NES7" s="99"/>
      <c r="NET7" s="99"/>
      <c r="NEU7" s="99"/>
      <c r="NEV7" s="99"/>
      <c r="NEW7" s="99"/>
      <c r="NEX7" s="99"/>
      <c r="NEY7" s="99"/>
      <c r="NEZ7" s="99"/>
      <c r="NFA7" s="99"/>
      <c r="NFB7" s="99"/>
      <c r="NFC7" s="99"/>
      <c r="NFD7" s="99"/>
      <c r="NFE7" s="99"/>
      <c r="NFF7" s="99"/>
      <c r="NFG7" s="99"/>
      <c r="NFH7" s="99"/>
      <c r="NFI7" s="99"/>
      <c r="NFJ7" s="99"/>
      <c r="NFK7" s="99"/>
      <c r="NFL7" s="99"/>
      <c r="NFM7" s="99"/>
      <c r="NFN7" s="99"/>
      <c r="NFO7" s="99"/>
      <c r="NFP7" s="99"/>
      <c r="NFQ7" s="99"/>
      <c r="NFR7" s="99"/>
      <c r="NFS7" s="99"/>
      <c r="NFT7" s="99"/>
      <c r="NFU7" s="99"/>
      <c r="NFV7" s="99"/>
      <c r="NFW7" s="99"/>
      <c r="NFX7" s="99"/>
      <c r="NFY7" s="99"/>
      <c r="NFZ7" s="99"/>
      <c r="NGA7" s="99"/>
      <c r="NGB7" s="99"/>
      <c r="NGC7" s="99"/>
      <c r="NGD7" s="99"/>
      <c r="NGE7" s="99"/>
      <c r="NGF7" s="99"/>
      <c r="NGG7" s="99"/>
      <c r="NGH7" s="99"/>
      <c r="NGI7" s="99"/>
      <c r="NGJ7" s="99"/>
      <c r="NGK7" s="99"/>
      <c r="NGL7" s="99"/>
      <c r="NGM7" s="99"/>
      <c r="NGN7" s="99"/>
      <c r="NGO7" s="99"/>
      <c r="NGP7" s="99"/>
      <c r="NGQ7" s="99"/>
      <c r="NGR7" s="99"/>
      <c r="NGS7" s="99"/>
      <c r="NGT7" s="99"/>
      <c r="NGU7" s="99"/>
      <c r="NGV7" s="99"/>
      <c r="NGW7" s="99"/>
      <c r="NGX7" s="99"/>
      <c r="NGY7" s="99"/>
      <c r="NGZ7" s="99"/>
      <c r="NHA7" s="99"/>
      <c r="NHB7" s="99"/>
      <c r="NHC7" s="99"/>
      <c r="NHD7" s="99"/>
      <c r="NHE7" s="99"/>
      <c r="NHF7" s="99"/>
      <c r="NHG7" s="99"/>
      <c r="NHH7" s="99"/>
      <c r="NHI7" s="99"/>
      <c r="NHJ7" s="99"/>
      <c r="NHK7" s="99"/>
      <c r="NHL7" s="99"/>
      <c r="NHM7" s="99"/>
      <c r="NHN7" s="99"/>
      <c r="NHO7" s="99"/>
      <c r="NHP7" s="99"/>
      <c r="NHQ7" s="99"/>
      <c r="NHR7" s="99"/>
      <c r="NHS7" s="99"/>
      <c r="NHT7" s="99"/>
      <c r="NHU7" s="99"/>
      <c r="NHV7" s="99"/>
      <c r="NHW7" s="99"/>
      <c r="NHX7" s="99"/>
      <c r="NHY7" s="99"/>
      <c r="NHZ7" s="99"/>
      <c r="NIA7" s="99"/>
      <c r="NIB7" s="99"/>
      <c r="NIC7" s="99"/>
      <c r="NID7" s="99"/>
      <c r="NIE7" s="99"/>
      <c r="NIF7" s="99"/>
      <c r="NIG7" s="99"/>
      <c r="NIH7" s="99"/>
      <c r="NII7" s="99"/>
      <c r="NIJ7" s="99"/>
      <c r="NIK7" s="99"/>
      <c r="NIL7" s="99"/>
      <c r="NIM7" s="99"/>
      <c r="NIN7" s="99"/>
      <c r="NIO7" s="99"/>
      <c r="NIP7" s="99"/>
      <c r="NIQ7" s="99"/>
      <c r="NIR7" s="99"/>
      <c r="NIS7" s="99"/>
      <c r="NIT7" s="99"/>
      <c r="NIU7" s="99"/>
      <c r="NIV7" s="99"/>
      <c r="NIW7" s="99"/>
      <c r="NIX7" s="99"/>
      <c r="NIY7" s="99"/>
      <c r="NIZ7" s="99"/>
      <c r="NJA7" s="99"/>
      <c r="NJB7" s="99"/>
      <c r="NJC7" s="99"/>
      <c r="NJD7" s="99"/>
      <c r="NJE7" s="99"/>
      <c r="NJF7" s="99"/>
      <c r="NJG7" s="99"/>
      <c r="NJH7" s="99"/>
      <c r="NJI7" s="99"/>
      <c r="NJJ7" s="99"/>
      <c r="NJK7" s="99"/>
      <c r="NJL7" s="99"/>
      <c r="NJM7" s="99"/>
      <c r="NJN7" s="99"/>
      <c r="NJO7" s="99"/>
      <c r="NJP7" s="99"/>
      <c r="NJQ7" s="99"/>
      <c r="NJR7" s="99"/>
      <c r="NJS7" s="99"/>
      <c r="NJT7" s="99"/>
      <c r="NJU7" s="99"/>
      <c r="NJV7" s="99"/>
      <c r="NJW7" s="99"/>
      <c r="NJX7" s="99"/>
      <c r="NJY7" s="99"/>
      <c r="NJZ7" s="99"/>
      <c r="NKA7" s="99"/>
      <c r="NKB7" s="99"/>
      <c r="NKC7" s="99"/>
      <c r="NKD7" s="99"/>
      <c r="NKE7" s="99"/>
      <c r="NKF7" s="99"/>
      <c r="NKG7" s="99"/>
      <c r="NKH7" s="99"/>
      <c r="NKI7" s="99"/>
      <c r="NKJ7" s="99"/>
      <c r="NKK7" s="99"/>
      <c r="NKL7" s="99"/>
      <c r="NKM7" s="99"/>
      <c r="NKN7" s="99"/>
      <c r="NKO7" s="99"/>
      <c r="NKP7" s="99"/>
      <c r="NKQ7" s="99"/>
      <c r="NKR7" s="99"/>
      <c r="NKS7" s="99"/>
      <c r="NKT7" s="99"/>
      <c r="NKU7" s="99"/>
      <c r="NKV7" s="99"/>
      <c r="NKW7" s="99"/>
      <c r="NKX7" s="99"/>
      <c r="NKY7" s="99"/>
      <c r="NKZ7" s="99"/>
      <c r="NLA7" s="99"/>
      <c r="NLB7" s="99"/>
      <c r="NLC7" s="99"/>
      <c r="NLD7" s="99"/>
      <c r="NLE7" s="99"/>
      <c r="NLF7" s="99"/>
      <c r="NLG7" s="99"/>
      <c r="NLH7" s="99"/>
      <c r="NLI7" s="99"/>
      <c r="NLJ7" s="99"/>
      <c r="NLK7" s="99"/>
      <c r="NLL7" s="99"/>
      <c r="NLM7" s="99"/>
      <c r="NLN7" s="99"/>
      <c r="NLO7" s="99"/>
      <c r="NLP7" s="99"/>
      <c r="NLQ7" s="99"/>
      <c r="NLR7" s="99"/>
      <c r="NLS7" s="99"/>
      <c r="NLT7" s="99"/>
      <c r="NLU7" s="99"/>
      <c r="NLV7" s="99"/>
      <c r="NLW7" s="99"/>
      <c r="NLX7" s="99"/>
      <c r="NLY7" s="99"/>
      <c r="NLZ7" s="99"/>
      <c r="NMA7" s="99"/>
      <c r="NMB7" s="99"/>
      <c r="NMC7" s="99"/>
      <c r="NMD7" s="99"/>
      <c r="NME7" s="99"/>
      <c r="NMF7" s="99"/>
      <c r="NMG7" s="99"/>
      <c r="NMH7" s="99"/>
      <c r="NMI7" s="99"/>
      <c r="NMJ7" s="99"/>
      <c r="NMK7" s="99"/>
      <c r="NML7" s="99"/>
      <c r="NMM7" s="99"/>
      <c r="NMN7" s="99"/>
      <c r="NMO7" s="99"/>
      <c r="NMP7" s="99"/>
      <c r="NMQ7" s="99"/>
      <c r="NMR7" s="99"/>
      <c r="NMS7" s="99"/>
      <c r="NMT7" s="99"/>
      <c r="NMU7" s="99"/>
      <c r="NMV7" s="99"/>
      <c r="NMW7" s="99"/>
      <c r="NMX7" s="99"/>
      <c r="NMY7" s="99"/>
      <c r="NMZ7" s="99"/>
      <c r="NNA7" s="99"/>
      <c r="NNB7" s="99"/>
      <c r="NNC7" s="99"/>
      <c r="NND7" s="99"/>
      <c r="NNE7" s="99"/>
      <c r="NNF7" s="99"/>
      <c r="NNG7" s="99"/>
      <c r="NNH7" s="99"/>
      <c r="NNI7" s="99"/>
      <c r="NNJ7" s="99"/>
      <c r="NNK7" s="99"/>
      <c r="NNL7" s="99"/>
      <c r="NNM7" s="99"/>
      <c r="NNN7" s="99"/>
      <c r="NNO7" s="99"/>
      <c r="NNP7" s="99"/>
      <c r="NNQ7" s="99"/>
      <c r="NNR7" s="99"/>
      <c r="NNS7" s="99"/>
      <c r="NNT7" s="99"/>
      <c r="NNU7" s="99"/>
      <c r="NNV7" s="99"/>
      <c r="NNW7" s="99"/>
      <c r="NNX7" s="99"/>
      <c r="NNY7" s="99"/>
      <c r="NNZ7" s="99"/>
      <c r="NOA7" s="99"/>
      <c r="NOB7" s="99"/>
      <c r="NOC7" s="99"/>
      <c r="NOD7" s="99"/>
      <c r="NOE7" s="99"/>
      <c r="NOF7" s="99"/>
      <c r="NOG7" s="99"/>
      <c r="NOH7" s="99"/>
      <c r="NOI7" s="99"/>
      <c r="NOJ7" s="99"/>
      <c r="NOK7" s="99"/>
      <c r="NOL7" s="99"/>
      <c r="NOM7" s="99"/>
      <c r="NON7" s="99"/>
      <c r="NOO7" s="99"/>
      <c r="NOP7" s="99"/>
      <c r="NOQ7" s="99"/>
      <c r="NOR7" s="99"/>
      <c r="NOS7" s="99"/>
      <c r="NOT7" s="99"/>
      <c r="NOU7" s="99"/>
      <c r="NOV7" s="99"/>
      <c r="NOW7" s="99"/>
      <c r="NOX7" s="99"/>
      <c r="NOY7" s="99"/>
      <c r="NOZ7" s="99"/>
      <c r="NPA7" s="99"/>
      <c r="NPB7" s="99"/>
      <c r="NPC7" s="99"/>
      <c r="NPD7" s="99"/>
      <c r="NPE7" s="99"/>
      <c r="NPF7" s="99"/>
      <c r="NPG7" s="99"/>
      <c r="NPH7" s="99"/>
      <c r="NPI7" s="99"/>
      <c r="NPJ7" s="99"/>
      <c r="NPK7" s="99"/>
      <c r="NPL7" s="99"/>
      <c r="NPM7" s="99"/>
      <c r="NPN7" s="99"/>
      <c r="NPO7" s="99"/>
      <c r="NPP7" s="99"/>
      <c r="NPQ7" s="99"/>
      <c r="NPR7" s="99"/>
      <c r="NPS7" s="99"/>
      <c r="NPT7" s="99"/>
      <c r="NPU7" s="99"/>
      <c r="NPV7" s="99"/>
      <c r="NPW7" s="99"/>
      <c r="NPX7" s="99"/>
      <c r="NPY7" s="99"/>
      <c r="NPZ7" s="99"/>
      <c r="NQA7" s="99"/>
      <c r="NQB7" s="99"/>
      <c r="NQC7" s="99"/>
      <c r="NQD7" s="99"/>
      <c r="NQE7" s="99"/>
      <c r="NQF7" s="99"/>
      <c r="NQG7" s="99"/>
      <c r="NQH7" s="99"/>
      <c r="NQI7" s="99"/>
      <c r="NQJ7" s="99"/>
      <c r="NQK7" s="99"/>
      <c r="NQL7" s="99"/>
      <c r="NQM7" s="99"/>
      <c r="NQN7" s="99"/>
      <c r="NQO7" s="99"/>
      <c r="NQP7" s="99"/>
      <c r="NQQ7" s="99"/>
      <c r="NQR7" s="99"/>
      <c r="NQS7" s="99"/>
      <c r="NQT7" s="99"/>
      <c r="NQU7" s="99"/>
      <c r="NQV7" s="99"/>
      <c r="NQW7" s="99"/>
      <c r="NQX7" s="99"/>
      <c r="NQY7" s="99"/>
      <c r="NQZ7" s="99"/>
      <c r="NRA7" s="99"/>
      <c r="NRB7" s="99"/>
      <c r="NRC7" s="99"/>
      <c r="NRD7" s="99"/>
      <c r="NRE7" s="99"/>
    </row>
    <row r="8" spans="1:9937" ht="20.149999999999999" customHeight="1" x14ac:dyDescent="0.45">
      <c r="A8" s="105" t="s">
        <v>565</v>
      </c>
      <c r="B8" s="55">
        <v>5</v>
      </c>
      <c r="C8" s="361">
        <f>VLOOKUP($A$3,INITIAL_EST_PY,131,FALSE)</f>
        <v>0</v>
      </c>
      <c r="D8" s="361">
        <f>C8</f>
        <v>0</v>
      </c>
      <c r="E8" s="361">
        <f>D8</f>
        <v>0</v>
      </c>
      <c r="F8" s="372">
        <f>E8</f>
        <v>0</v>
      </c>
    </row>
    <row r="9" spans="1:9937" ht="20.149999999999999" customHeight="1" x14ac:dyDescent="0.45">
      <c r="A9" s="105" t="s">
        <v>566</v>
      </c>
      <c r="B9" s="55">
        <v>3</v>
      </c>
      <c r="C9" s="361">
        <f>VLOOKUP($A$3,INITIAL_EST_PY,132,FALSE)</f>
        <v>0</v>
      </c>
      <c r="D9" s="361">
        <f t="shared" ref="D9:F17" si="1">C9</f>
        <v>0</v>
      </c>
      <c r="E9" s="361">
        <f t="shared" si="1"/>
        <v>0</v>
      </c>
      <c r="F9" s="372">
        <f t="shared" si="1"/>
        <v>0</v>
      </c>
    </row>
    <row r="10" spans="1:9937" ht="20.149999999999999" customHeight="1" x14ac:dyDescent="0.45">
      <c r="A10" s="105" t="s">
        <v>567</v>
      </c>
      <c r="B10" s="55">
        <v>5</v>
      </c>
      <c r="C10" s="361">
        <f>VLOOKUP($A$3,INITIAL_EST_PY,144,FALSE)</f>
        <v>0</v>
      </c>
      <c r="D10" s="361">
        <f t="shared" si="1"/>
        <v>0</v>
      </c>
      <c r="E10" s="361">
        <f t="shared" si="1"/>
        <v>0</v>
      </c>
      <c r="F10" s="372">
        <f t="shared" si="1"/>
        <v>0</v>
      </c>
    </row>
    <row r="11" spans="1:9937" ht="20.149999999999999" customHeight="1" x14ac:dyDescent="0.45">
      <c r="A11" s="105" t="s">
        <v>584</v>
      </c>
      <c r="B11" s="55">
        <v>3</v>
      </c>
      <c r="C11" s="361">
        <f>VLOOKUP($A$3,INITIAL_EST_PY,141,FALSE)</f>
        <v>0</v>
      </c>
      <c r="D11" s="361">
        <f t="shared" si="1"/>
        <v>0</v>
      </c>
      <c r="E11" s="361">
        <f t="shared" si="1"/>
        <v>0</v>
      </c>
      <c r="F11" s="372">
        <f t="shared" si="1"/>
        <v>0</v>
      </c>
    </row>
    <row r="12" spans="1:9937" ht="20.149999999999999" customHeight="1" x14ac:dyDescent="0.45">
      <c r="A12" s="105" t="s">
        <v>585</v>
      </c>
      <c r="B12" s="55">
        <v>3</v>
      </c>
      <c r="C12" s="361">
        <f>VLOOKUP($A$3,INITIAL_EST_PY,143,FALSE)</f>
        <v>0</v>
      </c>
      <c r="D12" s="361">
        <f t="shared" si="1"/>
        <v>0</v>
      </c>
      <c r="E12" s="361">
        <f t="shared" si="1"/>
        <v>0</v>
      </c>
      <c r="F12" s="372">
        <f t="shared" si="1"/>
        <v>0</v>
      </c>
    </row>
    <row r="13" spans="1:9937" ht="20.149999999999999" customHeight="1" x14ac:dyDescent="0.45">
      <c r="A13" s="105" t="s">
        <v>586</v>
      </c>
      <c r="B13" s="55">
        <v>3</v>
      </c>
      <c r="C13" s="361">
        <v>0</v>
      </c>
      <c r="D13" s="361">
        <f t="shared" si="1"/>
        <v>0</v>
      </c>
      <c r="E13" s="361">
        <f t="shared" si="1"/>
        <v>0</v>
      </c>
      <c r="F13" s="372">
        <f t="shared" si="1"/>
        <v>0</v>
      </c>
    </row>
    <row r="14" spans="1:9937" ht="20.149999999999999" customHeight="1" x14ac:dyDescent="0.45">
      <c r="A14" s="105" t="s">
        <v>587</v>
      </c>
      <c r="B14" s="55">
        <v>2.7</v>
      </c>
      <c r="C14" s="361">
        <f>VLOOKUP($A$3,INITIAL_EST_PY,137,FALSE)</f>
        <v>0</v>
      </c>
      <c r="D14" s="361">
        <f t="shared" si="1"/>
        <v>0</v>
      </c>
      <c r="E14" s="361">
        <f t="shared" si="1"/>
        <v>0</v>
      </c>
      <c r="F14" s="372">
        <f t="shared" si="1"/>
        <v>0</v>
      </c>
    </row>
    <row r="15" spans="1:9937" ht="20.149999999999999" customHeight="1" x14ac:dyDescent="0.45">
      <c r="A15" s="105" t="s">
        <v>568</v>
      </c>
      <c r="B15" s="55">
        <v>2.2999999999999998</v>
      </c>
      <c r="C15" s="361">
        <f>VLOOKUP($A$3,INITIAL_EST_PY,148,FALSE)</f>
        <v>0</v>
      </c>
      <c r="D15" s="361">
        <f t="shared" si="1"/>
        <v>0</v>
      </c>
      <c r="E15" s="361">
        <f t="shared" si="1"/>
        <v>0</v>
      </c>
      <c r="F15" s="372">
        <f t="shared" si="1"/>
        <v>0</v>
      </c>
    </row>
    <row r="16" spans="1:9937" ht="20.149999999999999" customHeight="1" x14ac:dyDescent="0.45">
      <c r="A16" s="105" t="s">
        <v>588</v>
      </c>
      <c r="B16" s="55">
        <v>2.8</v>
      </c>
      <c r="C16" s="361">
        <f>VLOOKUP($A$3,INITIAL_EST_PY,146,FALSE)</f>
        <v>0</v>
      </c>
      <c r="D16" s="361">
        <f t="shared" si="1"/>
        <v>0</v>
      </c>
      <c r="E16" s="361">
        <f t="shared" si="1"/>
        <v>0</v>
      </c>
      <c r="F16" s="372">
        <f t="shared" si="1"/>
        <v>0</v>
      </c>
    </row>
    <row r="17" spans="1:9937" ht="20.149999999999999" customHeight="1" x14ac:dyDescent="0.45">
      <c r="A17" s="105" t="s">
        <v>569</v>
      </c>
      <c r="B17" s="55">
        <v>4</v>
      </c>
      <c r="C17" s="361">
        <f>VLOOKUP($A$3,INITIAL_EST_PY,140,FALSE)</f>
        <v>0</v>
      </c>
      <c r="D17" s="361">
        <f t="shared" si="1"/>
        <v>0</v>
      </c>
      <c r="E17" s="361">
        <f t="shared" si="1"/>
        <v>0</v>
      </c>
      <c r="F17" s="372">
        <f t="shared" si="1"/>
        <v>0</v>
      </c>
    </row>
    <row r="18" spans="1:9937" ht="25" customHeight="1" thickBot="1" x14ac:dyDescent="0.5">
      <c r="A18" s="56" t="s">
        <v>655</v>
      </c>
      <c r="B18" s="56"/>
      <c r="C18" s="391">
        <f>SUM(C8:C17)</f>
        <v>0</v>
      </c>
      <c r="D18" s="391">
        <f>SUM(D8:D17)</f>
        <v>0</v>
      </c>
      <c r="E18" s="391">
        <f t="shared" ref="E18:F18" si="2">SUM(E8:E17)</f>
        <v>0</v>
      </c>
      <c r="F18" s="374">
        <f t="shared" si="2"/>
        <v>0</v>
      </c>
    </row>
    <row r="19" spans="1:9937" ht="25" customHeight="1" thickTop="1" thickBot="1" x14ac:dyDescent="0.5">
      <c r="A19" s="57" t="s">
        <v>591</v>
      </c>
      <c r="B19" s="57"/>
      <c r="C19" s="391">
        <f t="shared" ref="C19" si="3">(C8*$B$21)+(C9*$B$22)+(C10*$B$23)+(C11*$B$24)+(C12*$B$25)+(C13*$B$26)+(C14*$B$27)+(C15*$B$28)+(C16*$B$29)+(C17*$B$30)</f>
        <v>0</v>
      </c>
      <c r="D19" s="391">
        <f t="shared" ref="D19:F19" si="4">(D8*$B$8)+(D9*$B$9)+(D10*$B$10)+(D11*$B$11)+(D12*$B$12)+(D13*$B$13)+(D14*$B$14)+(D15*$B$15)+(D16*$B$16)+(D17*$B$17)</f>
        <v>0</v>
      </c>
      <c r="E19" s="391">
        <f t="shared" si="4"/>
        <v>0</v>
      </c>
      <c r="F19" s="374">
        <f t="shared" si="4"/>
        <v>0</v>
      </c>
    </row>
    <row r="20" spans="1:9937" s="5" customFormat="1" ht="25" customHeight="1" thickTop="1" x14ac:dyDescent="0.45">
      <c r="A20" s="104" t="s">
        <v>459</v>
      </c>
      <c r="B20" s="58" t="s">
        <v>611</v>
      </c>
      <c r="C20" s="392"/>
      <c r="D20" s="392"/>
      <c r="E20" s="392"/>
      <c r="F20" s="364"/>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c r="KN20" s="91"/>
      <c r="KO20" s="91"/>
      <c r="KP20" s="91"/>
      <c r="KQ20" s="91"/>
      <c r="KR20" s="91"/>
      <c r="KS20" s="91"/>
      <c r="KT20" s="91"/>
      <c r="KU20" s="91"/>
      <c r="KV20" s="91"/>
      <c r="KW20" s="91"/>
      <c r="KX20" s="91"/>
      <c r="KY20" s="91"/>
      <c r="KZ20" s="91"/>
      <c r="LA20" s="91"/>
      <c r="LB20" s="91"/>
      <c r="LC20" s="91"/>
      <c r="LD20" s="91"/>
      <c r="LE20" s="91"/>
      <c r="LF20" s="91"/>
      <c r="LG20" s="91"/>
      <c r="LH20" s="91"/>
      <c r="LI20" s="91"/>
      <c r="LJ20" s="91"/>
      <c r="LK20" s="91"/>
      <c r="LL20" s="91"/>
      <c r="LM20" s="91"/>
      <c r="LN20" s="91"/>
      <c r="LO20" s="91"/>
      <c r="LP20" s="91"/>
      <c r="LQ20" s="91"/>
      <c r="LR20" s="91"/>
      <c r="LS20" s="91"/>
      <c r="LT20" s="91"/>
      <c r="LU20" s="91"/>
      <c r="LV20" s="91"/>
      <c r="LW20" s="91"/>
      <c r="LX20" s="91"/>
      <c r="LY20" s="91"/>
      <c r="LZ20" s="91"/>
      <c r="MA20" s="91"/>
      <c r="MB20" s="91"/>
      <c r="MC20" s="91"/>
      <c r="MD20" s="91"/>
      <c r="ME20" s="91"/>
      <c r="MF20" s="91"/>
      <c r="MG20" s="91"/>
      <c r="MH20" s="91"/>
      <c r="MI20" s="91"/>
      <c r="MJ20" s="91"/>
      <c r="MK20" s="91"/>
      <c r="ML20" s="91"/>
      <c r="MM20" s="91"/>
      <c r="MN20" s="91"/>
      <c r="MO20" s="91"/>
      <c r="MP20" s="91"/>
      <c r="MQ20" s="91"/>
      <c r="MR20" s="91"/>
      <c r="MS20" s="91"/>
      <c r="MT20" s="91"/>
      <c r="MU20" s="91"/>
      <c r="MV20" s="91"/>
      <c r="MW20" s="91"/>
      <c r="MX20" s="91"/>
      <c r="MY20" s="91"/>
      <c r="MZ20" s="91"/>
      <c r="NA20" s="91"/>
      <c r="NB20" s="91"/>
      <c r="NC20" s="91"/>
      <c r="ND20" s="91"/>
      <c r="NE20" s="91"/>
      <c r="NF20" s="91"/>
      <c r="NG20" s="91"/>
      <c r="NH20" s="91"/>
      <c r="NI20" s="91"/>
      <c r="NJ20" s="91"/>
      <c r="NK20" s="91"/>
      <c r="NL20" s="91"/>
      <c r="NM20" s="91"/>
      <c r="NN20" s="91"/>
      <c r="NO20" s="91"/>
      <c r="NP20" s="91"/>
      <c r="NQ20" s="91"/>
      <c r="NR20" s="91"/>
      <c r="NS20" s="91"/>
      <c r="NT20" s="91"/>
      <c r="NU20" s="91"/>
      <c r="NV20" s="91"/>
      <c r="NW20" s="91"/>
      <c r="NX20" s="91"/>
      <c r="NY20" s="91"/>
      <c r="NZ20" s="91"/>
      <c r="OA20" s="91"/>
      <c r="OB20" s="91"/>
      <c r="OC20" s="91"/>
      <c r="OD20" s="91"/>
      <c r="OE20" s="91"/>
      <c r="OF20" s="91"/>
      <c r="OG20" s="91"/>
      <c r="OH20" s="91"/>
      <c r="OI20" s="91"/>
      <c r="OJ20" s="91"/>
      <c r="OK20" s="91"/>
      <c r="OL20" s="91"/>
      <c r="OM20" s="91"/>
      <c r="ON20" s="91"/>
      <c r="OO20" s="91"/>
      <c r="OP20" s="91"/>
      <c r="OQ20" s="91"/>
      <c r="OR20" s="91"/>
      <c r="OS20" s="91"/>
      <c r="OT20" s="91"/>
      <c r="OU20" s="91"/>
      <c r="OV20" s="91"/>
      <c r="OW20" s="91"/>
      <c r="OX20" s="91"/>
      <c r="OY20" s="91"/>
      <c r="OZ20" s="91"/>
      <c r="PA20" s="91"/>
      <c r="PB20" s="91"/>
      <c r="PC20" s="91"/>
      <c r="PD20" s="91"/>
      <c r="PE20" s="91"/>
      <c r="PF20" s="91"/>
      <c r="PG20" s="91"/>
      <c r="PH20" s="91"/>
      <c r="PI20" s="91"/>
      <c r="PJ20" s="91"/>
      <c r="PK20" s="91"/>
      <c r="PL20" s="91"/>
      <c r="PM20" s="91"/>
      <c r="PN20" s="91"/>
      <c r="PO20" s="91"/>
      <c r="PP20" s="91"/>
      <c r="PQ20" s="91"/>
      <c r="PR20" s="91"/>
      <c r="PS20" s="91"/>
      <c r="PT20" s="91"/>
      <c r="PU20" s="91"/>
      <c r="PV20" s="91"/>
      <c r="PW20" s="91"/>
      <c r="PX20" s="91"/>
      <c r="PY20" s="91"/>
      <c r="PZ20" s="91"/>
      <c r="QA20" s="91"/>
      <c r="QB20" s="91"/>
      <c r="QC20" s="91"/>
      <c r="QD20" s="91"/>
      <c r="QE20" s="91"/>
      <c r="QF20" s="91"/>
      <c r="QG20" s="91"/>
      <c r="QH20" s="91"/>
      <c r="QI20" s="91"/>
      <c r="QJ20" s="91"/>
      <c r="QK20" s="91"/>
      <c r="QL20" s="91"/>
      <c r="QM20" s="91"/>
      <c r="QN20" s="91"/>
      <c r="QO20" s="91"/>
      <c r="QP20" s="91"/>
      <c r="QQ20" s="91"/>
      <c r="QR20" s="91"/>
      <c r="QS20" s="91"/>
      <c r="QT20" s="91"/>
      <c r="QU20" s="91"/>
      <c r="QV20" s="91"/>
      <c r="QW20" s="91"/>
      <c r="QX20" s="91"/>
      <c r="QY20" s="91"/>
      <c r="QZ20" s="91"/>
      <c r="RA20" s="91"/>
      <c r="RB20" s="91"/>
      <c r="RC20" s="91"/>
      <c r="RD20" s="91"/>
      <c r="RE20" s="91"/>
      <c r="RF20" s="91"/>
      <c r="RG20" s="91"/>
      <c r="RH20" s="91"/>
      <c r="RI20" s="91"/>
      <c r="RJ20" s="91"/>
      <c r="RK20" s="91"/>
      <c r="RL20" s="91"/>
      <c r="RM20" s="91"/>
      <c r="RN20" s="91"/>
      <c r="RO20" s="91"/>
      <c r="RP20" s="91"/>
      <c r="RQ20" s="91"/>
      <c r="RR20" s="91"/>
      <c r="RS20" s="91"/>
      <c r="RT20" s="91"/>
      <c r="RU20" s="91"/>
      <c r="RV20" s="91"/>
      <c r="RW20" s="91"/>
      <c r="RX20" s="91"/>
      <c r="RY20" s="91"/>
      <c r="RZ20" s="91"/>
      <c r="SA20" s="91"/>
      <c r="SB20" s="91"/>
      <c r="SC20" s="91"/>
      <c r="SD20" s="91"/>
      <c r="SE20" s="91"/>
      <c r="SF20" s="91"/>
      <c r="SG20" s="91"/>
      <c r="SH20" s="91"/>
      <c r="SI20" s="91"/>
      <c r="SJ20" s="91"/>
      <c r="SK20" s="91"/>
      <c r="SL20" s="91"/>
      <c r="SM20" s="91"/>
      <c r="SN20" s="91"/>
      <c r="SO20" s="91"/>
      <c r="SP20" s="91"/>
      <c r="SQ20" s="91"/>
      <c r="SR20" s="91"/>
      <c r="SS20" s="91"/>
      <c r="ST20" s="91"/>
      <c r="SU20" s="91"/>
      <c r="SV20" s="91"/>
      <c r="SW20" s="91"/>
      <c r="SX20" s="91"/>
      <c r="SY20" s="91"/>
      <c r="SZ20" s="91"/>
      <c r="TA20" s="91"/>
      <c r="TB20" s="91"/>
      <c r="TC20" s="91"/>
      <c r="TD20" s="91"/>
      <c r="TE20" s="91"/>
      <c r="TF20" s="91"/>
      <c r="TG20" s="91"/>
      <c r="TH20" s="91"/>
      <c r="TI20" s="91"/>
      <c r="TJ20" s="91"/>
      <c r="TK20" s="91"/>
      <c r="TL20" s="91"/>
      <c r="TM20" s="91"/>
      <c r="TN20" s="91"/>
      <c r="TO20" s="91"/>
      <c r="TP20" s="91"/>
      <c r="TQ20" s="91"/>
      <c r="TR20" s="91"/>
      <c r="TS20" s="91"/>
      <c r="TT20" s="91"/>
      <c r="TU20" s="91"/>
      <c r="TV20" s="91"/>
      <c r="TW20" s="91"/>
      <c r="TX20" s="91"/>
      <c r="TY20" s="91"/>
      <c r="TZ20" s="91"/>
      <c r="UA20" s="91"/>
      <c r="UB20" s="91"/>
      <c r="UC20" s="91"/>
      <c r="UD20" s="91"/>
      <c r="UE20" s="91"/>
      <c r="UF20" s="91"/>
      <c r="UG20" s="91"/>
      <c r="UH20" s="91"/>
      <c r="UI20" s="91"/>
      <c r="UJ20" s="91"/>
      <c r="UK20" s="91"/>
      <c r="UL20" s="91"/>
      <c r="UM20" s="91"/>
      <c r="UN20" s="91"/>
      <c r="UO20" s="91"/>
      <c r="UP20" s="91"/>
      <c r="UQ20" s="91"/>
      <c r="UR20" s="91"/>
      <c r="US20" s="91"/>
      <c r="UT20" s="91"/>
      <c r="UU20" s="91"/>
      <c r="UV20" s="91"/>
      <c r="UW20" s="91"/>
      <c r="UX20" s="91"/>
      <c r="UY20" s="91"/>
      <c r="UZ20" s="91"/>
      <c r="VA20" s="91"/>
      <c r="VB20" s="91"/>
      <c r="VC20" s="91"/>
      <c r="VD20" s="91"/>
      <c r="VE20" s="91"/>
      <c r="VF20" s="91"/>
      <c r="VG20" s="91"/>
      <c r="VH20" s="91"/>
      <c r="VI20" s="91"/>
      <c r="VJ20" s="91"/>
      <c r="VK20" s="91"/>
      <c r="VL20" s="91"/>
      <c r="VM20" s="91"/>
      <c r="VN20" s="91"/>
      <c r="VO20" s="91"/>
      <c r="VP20" s="91"/>
      <c r="VQ20" s="91"/>
      <c r="VR20" s="91"/>
      <c r="VS20" s="91"/>
      <c r="VT20" s="91"/>
      <c r="VU20" s="91"/>
      <c r="VV20" s="91"/>
      <c r="VW20" s="91"/>
      <c r="VX20" s="91"/>
      <c r="VY20" s="91"/>
      <c r="VZ20" s="91"/>
      <c r="WA20" s="91"/>
      <c r="WB20" s="91"/>
      <c r="WC20" s="91"/>
      <c r="WD20" s="91"/>
      <c r="WE20" s="91"/>
      <c r="WF20" s="91"/>
      <c r="WG20" s="91"/>
      <c r="WH20" s="91"/>
      <c r="WI20" s="91"/>
      <c r="WJ20" s="91"/>
      <c r="WK20" s="91"/>
      <c r="WL20" s="91"/>
      <c r="WM20" s="91"/>
      <c r="WN20" s="91"/>
      <c r="WO20" s="91"/>
      <c r="WP20" s="91"/>
      <c r="WQ20" s="91"/>
      <c r="WR20" s="91"/>
      <c r="WS20" s="91"/>
      <c r="WT20" s="91"/>
      <c r="WU20" s="91"/>
      <c r="WV20" s="91"/>
      <c r="WW20" s="91"/>
      <c r="WX20" s="91"/>
      <c r="WY20" s="91"/>
      <c r="WZ20" s="91"/>
      <c r="XA20" s="91"/>
      <c r="XB20" s="91"/>
      <c r="XC20" s="91"/>
      <c r="XD20" s="91"/>
      <c r="XE20" s="91"/>
      <c r="XF20" s="91"/>
      <c r="XG20" s="91"/>
      <c r="XH20" s="91"/>
      <c r="XI20" s="91"/>
      <c r="XJ20" s="91"/>
      <c r="XK20" s="91"/>
      <c r="XL20" s="91"/>
      <c r="XM20" s="91"/>
      <c r="XN20" s="91"/>
      <c r="XO20" s="91"/>
      <c r="XP20" s="91"/>
      <c r="XQ20" s="91"/>
      <c r="XR20" s="91"/>
      <c r="XS20" s="91"/>
      <c r="XT20" s="91"/>
      <c r="XU20" s="91"/>
      <c r="XV20" s="91"/>
      <c r="XW20" s="91"/>
      <c r="XX20" s="91"/>
      <c r="XY20" s="91"/>
      <c r="XZ20" s="91"/>
      <c r="YA20" s="91"/>
      <c r="YB20" s="91"/>
      <c r="YC20" s="91"/>
      <c r="YD20" s="91"/>
      <c r="YE20" s="91"/>
      <c r="YF20" s="91"/>
      <c r="YG20" s="91"/>
      <c r="YH20" s="91"/>
      <c r="YI20" s="91"/>
      <c r="YJ20" s="91"/>
      <c r="YK20" s="91"/>
      <c r="YL20" s="91"/>
      <c r="YM20" s="91"/>
      <c r="YN20" s="91"/>
      <c r="YO20" s="91"/>
      <c r="YP20" s="91"/>
      <c r="YQ20" s="91"/>
      <c r="YR20" s="91"/>
      <c r="YS20" s="91"/>
      <c r="YT20" s="91"/>
      <c r="YU20" s="91"/>
      <c r="YV20" s="91"/>
      <c r="YW20" s="91"/>
      <c r="YX20" s="91"/>
      <c r="YY20" s="91"/>
      <c r="YZ20" s="91"/>
      <c r="ZA20" s="91"/>
      <c r="ZB20" s="91"/>
      <c r="ZC20" s="91"/>
      <c r="ZD20" s="91"/>
      <c r="ZE20" s="91"/>
      <c r="ZF20" s="91"/>
      <c r="ZG20" s="91"/>
      <c r="ZH20" s="91"/>
      <c r="ZI20" s="91"/>
      <c r="ZJ20" s="91"/>
      <c r="ZK20" s="91"/>
      <c r="ZL20" s="91"/>
      <c r="ZM20" s="91"/>
      <c r="ZN20" s="91"/>
      <c r="ZO20" s="91"/>
      <c r="ZP20" s="91"/>
      <c r="ZQ20" s="91"/>
      <c r="ZR20" s="91"/>
      <c r="ZS20" s="91"/>
      <c r="ZT20" s="91"/>
      <c r="ZU20" s="91"/>
      <c r="ZV20" s="91"/>
      <c r="ZW20" s="91"/>
      <c r="ZX20" s="91"/>
      <c r="ZY20" s="91"/>
      <c r="ZZ20" s="91"/>
      <c r="AAA20" s="91"/>
      <c r="AAB20" s="91"/>
      <c r="AAC20" s="91"/>
      <c r="AAD20" s="91"/>
      <c r="AAE20" s="91"/>
      <c r="AAF20" s="91"/>
      <c r="AAG20" s="91"/>
      <c r="AAH20" s="91"/>
      <c r="AAI20" s="91"/>
      <c r="AAJ20" s="91"/>
      <c r="AAK20" s="91"/>
      <c r="AAL20" s="91"/>
      <c r="AAM20" s="91"/>
      <c r="AAN20" s="91"/>
      <c r="AAO20" s="91"/>
      <c r="AAP20" s="91"/>
      <c r="AAQ20" s="91"/>
      <c r="AAR20" s="91"/>
      <c r="AAS20" s="91"/>
      <c r="AAT20" s="91"/>
      <c r="AAU20" s="91"/>
      <c r="AAV20" s="91"/>
      <c r="AAW20" s="91"/>
      <c r="AAX20" s="91"/>
      <c r="AAY20" s="91"/>
      <c r="AAZ20" s="91"/>
      <c r="ABA20" s="91"/>
      <c r="ABB20" s="91"/>
      <c r="ABC20" s="91"/>
      <c r="ABD20" s="91"/>
      <c r="ABE20" s="91"/>
      <c r="ABF20" s="91"/>
      <c r="ABG20" s="91"/>
      <c r="ABH20" s="91"/>
      <c r="ABI20" s="91"/>
      <c r="ABJ20" s="91"/>
      <c r="ABK20" s="91"/>
      <c r="ABL20" s="91"/>
      <c r="ABM20" s="91"/>
      <c r="ABN20" s="91"/>
      <c r="ABO20" s="91"/>
      <c r="ABP20" s="91"/>
      <c r="ABQ20" s="91"/>
      <c r="ABR20" s="91"/>
      <c r="ABS20" s="91"/>
      <c r="ABT20" s="91"/>
      <c r="ABU20" s="91"/>
      <c r="ABV20" s="91"/>
      <c r="ABW20" s="91"/>
      <c r="ABX20" s="91"/>
      <c r="ABY20" s="91"/>
      <c r="ABZ20" s="91"/>
      <c r="ACA20" s="91"/>
      <c r="ACB20" s="91"/>
      <c r="ACC20" s="91"/>
      <c r="ACD20" s="91"/>
      <c r="ACE20" s="91"/>
      <c r="ACF20" s="91"/>
      <c r="ACG20" s="91"/>
      <c r="ACH20" s="91"/>
      <c r="ACI20" s="91"/>
      <c r="ACJ20" s="91"/>
      <c r="ACK20" s="91"/>
      <c r="ACL20" s="91"/>
      <c r="ACM20" s="91"/>
      <c r="ACN20" s="91"/>
      <c r="ACO20" s="91"/>
      <c r="ACP20" s="91"/>
      <c r="ACQ20" s="91"/>
      <c r="ACR20" s="91"/>
      <c r="ACS20" s="91"/>
      <c r="ACT20" s="91"/>
      <c r="ACU20" s="91"/>
      <c r="ACV20" s="91"/>
      <c r="ACW20" s="91"/>
      <c r="ACX20" s="91"/>
      <c r="ACY20" s="91"/>
      <c r="ACZ20" s="91"/>
      <c r="ADA20" s="91"/>
      <c r="ADB20" s="91"/>
      <c r="ADC20" s="91"/>
      <c r="ADD20" s="91"/>
      <c r="ADE20" s="91"/>
      <c r="ADF20" s="91"/>
      <c r="ADG20" s="91"/>
      <c r="ADH20" s="91"/>
      <c r="ADI20" s="91"/>
      <c r="ADJ20" s="91"/>
      <c r="ADK20" s="91"/>
      <c r="ADL20" s="91"/>
      <c r="ADM20" s="91"/>
      <c r="ADN20" s="91"/>
      <c r="ADO20" s="91"/>
      <c r="ADP20" s="91"/>
      <c r="ADQ20" s="91"/>
      <c r="ADR20" s="91"/>
      <c r="ADS20" s="91"/>
      <c r="ADT20" s="91"/>
      <c r="ADU20" s="91"/>
      <c r="ADV20" s="91"/>
      <c r="ADW20" s="91"/>
      <c r="ADX20" s="91"/>
      <c r="ADY20" s="91"/>
      <c r="ADZ20" s="91"/>
      <c r="AEA20" s="91"/>
      <c r="AEB20" s="91"/>
      <c r="AEC20" s="91"/>
      <c r="AED20" s="91"/>
      <c r="AEE20" s="91"/>
      <c r="AEF20" s="91"/>
      <c r="AEG20" s="91"/>
      <c r="AEH20" s="91"/>
      <c r="AEI20" s="91"/>
      <c r="AEJ20" s="91"/>
      <c r="AEK20" s="91"/>
      <c r="AEL20" s="91"/>
      <c r="AEM20" s="91"/>
      <c r="AEN20" s="91"/>
      <c r="AEO20" s="91"/>
      <c r="AEP20" s="91"/>
      <c r="AEQ20" s="91"/>
      <c r="AER20" s="91"/>
      <c r="AES20" s="91"/>
      <c r="AET20" s="91"/>
      <c r="AEU20" s="91"/>
      <c r="AEV20" s="91"/>
      <c r="AEW20" s="91"/>
      <c r="AEX20" s="91"/>
      <c r="AEY20" s="91"/>
      <c r="AEZ20" s="91"/>
      <c r="AFA20" s="91"/>
      <c r="AFB20" s="91"/>
      <c r="AFC20" s="91"/>
      <c r="AFD20" s="91"/>
      <c r="AFE20" s="91"/>
      <c r="AFF20" s="91"/>
      <c r="AFG20" s="91"/>
      <c r="AFH20" s="91"/>
      <c r="AFI20" s="91"/>
      <c r="AFJ20" s="91"/>
      <c r="AFK20" s="91"/>
      <c r="AFL20" s="91"/>
      <c r="AFM20" s="91"/>
      <c r="AFN20" s="91"/>
      <c r="AFO20" s="91"/>
      <c r="AFP20" s="91"/>
      <c r="AFQ20" s="91"/>
      <c r="AFR20" s="91"/>
      <c r="AFS20" s="91"/>
      <c r="AFT20" s="91"/>
      <c r="AFU20" s="91"/>
      <c r="AFV20" s="91"/>
      <c r="AFW20" s="91"/>
      <c r="AFX20" s="91"/>
      <c r="AFY20" s="91"/>
      <c r="AFZ20" s="91"/>
      <c r="AGA20" s="91"/>
      <c r="AGB20" s="91"/>
      <c r="AGC20" s="91"/>
      <c r="AGD20" s="91"/>
      <c r="AGE20" s="91"/>
      <c r="AGF20" s="91"/>
      <c r="AGG20" s="91"/>
      <c r="AGH20" s="91"/>
      <c r="AGI20" s="91"/>
      <c r="AGJ20" s="91"/>
      <c r="AGK20" s="91"/>
      <c r="AGL20" s="91"/>
      <c r="AGM20" s="91"/>
      <c r="AGN20" s="91"/>
      <c r="AGO20" s="91"/>
      <c r="AGP20" s="91"/>
      <c r="AGQ20" s="91"/>
      <c r="AGR20" s="91"/>
      <c r="AGS20" s="91"/>
      <c r="AGT20" s="91"/>
      <c r="AGU20" s="91"/>
      <c r="AGV20" s="91"/>
      <c r="AGW20" s="91"/>
      <c r="AGX20" s="91"/>
      <c r="AGY20" s="91"/>
      <c r="AGZ20" s="91"/>
      <c r="AHA20" s="91"/>
      <c r="AHB20" s="91"/>
      <c r="AHC20" s="91"/>
      <c r="AHD20" s="91"/>
      <c r="AHE20" s="91"/>
      <c r="AHF20" s="91"/>
      <c r="AHG20" s="91"/>
      <c r="AHH20" s="91"/>
      <c r="AHI20" s="91"/>
      <c r="AHJ20" s="91"/>
      <c r="AHK20" s="91"/>
      <c r="AHL20" s="91"/>
      <c r="AHM20" s="91"/>
      <c r="AHN20" s="91"/>
      <c r="AHO20" s="91"/>
      <c r="AHP20" s="91"/>
      <c r="AHQ20" s="91"/>
      <c r="AHR20" s="91"/>
      <c r="AHS20" s="91"/>
      <c r="AHT20" s="91"/>
      <c r="AHU20" s="91"/>
      <c r="AHV20" s="91"/>
      <c r="AHW20" s="91"/>
      <c r="AHX20" s="91"/>
      <c r="AHY20" s="91"/>
      <c r="AHZ20" s="91"/>
      <c r="AIA20" s="91"/>
      <c r="AIB20" s="91"/>
      <c r="AIC20" s="91"/>
      <c r="AID20" s="91"/>
      <c r="AIE20" s="91"/>
      <c r="AIF20" s="91"/>
      <c r="AIG20" s="91"/>
      <c r="AIH20" s="91"/>
      <c r="AII20" s="91"/>
      <c r="AIJ20" s="91"/>
      <c r="AIK20" s="91"/>
      <c r="AIL20" s="91"/>
      <c r="AIM20" s="91"/>
      <c r="AIN20" s="91"/>
      <c r="AIO20" s="91"/>
      <c r="AIP20" s="91"/>
      <c r="AIQ20" s="91"/>
      <c r="AIR20" s="91"/>
      <c r="AIS20" s="91"/>
      <c r="AIT20" s="91"/>
      <c r="AIU20" s="91"/>
      <c r="AIV20" s="91"/>
      <c r="AIW20" s="91"/>
      <c r="AIX20" s="91"/>
      <c r="AIY20" s="91"/>
      <c r="AIZ20" s="91"/>
      <c r="AJA20" s="91"/>
      <c r="AJB20" s="91"/>
      <c r="AJC20" s="91"/>
      <c r="AJD20" s="91"/>
      <c r="AJE20" s="91"/>
      <c r="AJF20" s="91"/>
      <c r="AJG20" s="91"/>
      <c r="AJH20" s="91"/>
      <c r="AJI20" s="91"/>
      <c r="AJJ20" s="91"/>
      <c r="AJK20" s="91"/>
      <c r="AJL20" s="91"/>
      <c r="AJM20" s="91"/>
      <c r="AJN20" s="91"/>
      <c r="AJO20" s="91"/>
      <c r="AJP20" s="91"/>
      <c r="AJQ20" s="91"/>
      <c r="AJR20" s="91"/>
      <c r="AJS20" s="91"/>
      <c r="AJT20" s="91"/>
      <c r="AJU20" s="91"/>
      <c r="AJV20" s="91"/>
      <c r="AJW20" s="91"/>
      <c r="AJX20" s="91"/>
      <c r="AJY20" s="91"/>
      <c r="AJZ20" s="91"/>
      <c r="AKA20" s="91"/>
      <c r="AKB20" s="91"/>
      <c r="AKC20" s="91"/>
      <c r="AKD20" s="91"/>
      <c r="AKE20" s="91"/>
      <c r="AKF20" s="91"/>
      <c r="AKG20" s="91"/>
      <c r="AKH20" s="91"/>
      <c r="AKI20" s="91"/>
      <c r="AKJ20" s="91"/>
      <c r="AKK20" s="91"/>
      <c r="AKL20" s="91"/>
      <c r="AKM20" s="91"/>
      <c r="AKN20" s="91"/>
      <c r="AKO20" s="91"/>
      <c r="AKP20" s="91"/>
      <c r="AKQ20" s="91"/>
      <c r="AKR20" s="91"/>
      <c r="AKS20" s="91"/>
      <c r="AKT20" s="91"/>
      <c r="AKU20" s="91"/>
      <c r="AKV20" s="91"/>
      <c r="AKW20" s="91"/>
      <c r="AKX20" s="91"/>
      <c r="AKY20" s="91"/>
      <c r="AKZ20" s="91"/>
      <c r="ALA20" s="91"/>
      <c r="ALB20" s="91"/>
      <c r="ALC20" s="91"/>
      <c r="ALD20" s="91"/>
      <c r="ALE20" s="91"/>
      <c r="ALF20" s="91"/>
      <c r="ALG20" s="91"/>
      <c r="ALH20" s="91"/>
      <c r="ALI20" s="91"/>
      <c r="ALJ20" s="91"/>
      <c r="ALK20" s="91"/>
      <c r="ALL20" s="91"/>
      <c r="ALM20" s="91"/>
      <c r="ALN20" s="91"/>
      <c r="ALO20" s="91"/>
      <c r="ALP20" s="91"/>
      <c r="ALQ20" s="91"/>
      <c r="ALR20" s="91"/>
      <c r="ALS20" s="91"/>
      <c r="ALT20" s="91"/>
      <c r="ALU20" s="91"/>
      <c r="ALV20" s="91"/>
      <c r="ALW20" s="91"/>
      <c r="ALX20" s="91"/>
      <c r="ALY20" s="91"/>
      <c r="ALZ20" s="91"/>
      <c r="AMA20" s="91"/>
      <c r="AMB20" s="91"/>
      <c r="AMC20" s="91"/>
      <c r="AMD20" s="91"/>
      <c r="AME20" s="91"/>
      <c r="AMF20" s="91"/>
      <c r="AMG20" s="91"/>
      <c r="AMH20" s="91"/>
      <c r="AMI20" s="91"/>
      <c r="AMJ20" s="91"/>
      <c r="AMK20" s="91"/>
      <c r="AML20" s="91"/>
      <c r="AMM20" s="91"/>
      <c r="AMN20" s="91"/>
      <c r="AMO20" s="91"/>
      <c r="AMP20" s="91"/>
      <c r="AMQ20" s="91"/>
      <c r="AMR20" s="91"/>
      <c r="AMS20" s="91"/>
      <c r="AMT20" s="91"/>
      <c r="AMU20" s="91"/>
      <c r="AMV20" s="91"/>
      <c r="AMW20" s="91"/>
      <c r="AMX20" s="91"/>
      <c r="AMY20" s="91"/>
      <c r="AMZ20" s="91"/>
      <c r="ANA20" s="91"/>
      <c r="ANB20" s="91"/>
      <c r="ANC20" s="91"/>
      <c r="AND20" s="91"/>
      <c r="ANE20" s="91"/>
      <c r="ANF20" s="91"/>
      <c r="ANG20" s="91"/>
      <c r="ANH20" s="91"/>
      <c r="ANI20" s="91"/>
      <c r="ANJ20" s="91"/>
      <c r="ANK20" s="91"/>
      <c r="ANL20" s="91"/>
      <c r="ANM20" s="91"/>
      <c r="ANN20" s="91"/>
      <c r="ANO20" s="91"/>
      <c r="ANP20" s="91"/>
      <c r="ANQ20" s="91"/>
      <c r="ANR20" s="91"/>
      <c r="ANS20" s="91"/>
      <c r="ANT20" s="91"/>
      <c r="ANU20" s="91"/>
      <c r="ANV20" s="91"/>
      <c r="ANW20" s="91"/>
      <c r="ANX20" s="91"/>
      <c r="ANY20" s="91"/>
      <c r="ANZ20" s="91"/>
      <c r="AOA20" s="91"/>
      <c r="AOB20" s="91"/>
      <c r="AOC20" s="91"/>
      <c r="AOD20" s="91"/>
      <c r="AOE20" s="91"/>
      <c r="AOF20" s="91"/>
      <c r="AOG20" s="91"/>
      <c r="AOH20" s="91"/>
      <c r="AOI20" s="91"/>
      <c r="AOJ20" s="91"/>
      <c r="AOK20" s="91"/>
      <c r="AOL20" s="91"/>
      <c r="AOM20" s="91"/>
      <c r="AON20" s="91"/>
      <c r="AOO20" s="91"/>
      <c r="AOP20" s="91"/>
      <c r="AOQ20" s="91"/>
      <c r="AOR20" s="91"/>
      <c r="AOS20" s="91"/>
      <c r="AOT20" s="91"/>
      <c r="AOU20" s="91"/>
      <c r="AOV20" s="91"/>
      <c r="AOW20" s="91"/>
      <c r="AOX20" s="91"/>
      <c r="AOY20" s="91"/>
      <c r="AOZ20" s="91"/>
      <c r="APA20" s="91"/>
      <c r="APB20" s="91"/>
      <c r="APC20" s="91"/>
      <c r="APD20" s="91"/>
      <c r="APE20" s="91"/>
      <c r="APF20" s="91"/>
      <c r="APG20" s="91"/>
      <c r="APH20" s="91"/>
      <c r="API20" s="91"/>
      <c r="APJ20" s="91"/>
      <c r="APK20" s="91"/>
      <c r="APL20" s="91"/>
      <c r="APM20" s="91"/>
      <c r="APN20" s="91"/>
      <c r="APO20" s="91"/>
      <c r="APP20" s="91"/>
      <c r="APQ20" s="91"/>
      <c r="APR20" s="91"/>
      <c r="APS20" s="91"/>
      <c r="APT20" s="91"/>
      <c r="APU20" s="91"/>
      <c r="APV20" s="91"/>
      <c r="APW20" s="91"/>
      <c r="APX20" s="91"/>
      <c r="APY20" s="91"/>
      <c r="APZ20" s="91"/>
      <c r="AQA20" s="91"/>
      <c r="AQB20" s="91"/>
      <c r="AQC20" s="91"/>
      <c r="AQD20" s="91"/>
      <c r="AQE20" s="91"/>
      <c r="AQF20" s="91"/>
      <c r="AQG20" s="91"/>
      <c r="AQH20" s="91"/>
      <c r="AQI20" s="91"/>
      <c r="AQJ20" s="91"/>
      <c r="AQK20" s="91"/>
      <c r="AQL20" s="91"/>
      <c r="AQM20" s="91"/>
      <c r="AQN20" s="91"/>
      <c r="AQO20" s="91"/>
      <c r="AQP20" s="91"/>
      <c r="AQQ20" s="91"/>
      <c r="AQR20" s="91"/>
      <c r="AQS20" s="91"/>
      <c r="AQT20" s="91"/>
      <c r="AQU20" s="91"/>
      <c r="AQV20" s="91"/>
      <c r="AQW20" s="91"/>
      <c r="AQX20" s="91"/>
      <c r="AQY20" s="91"/>
      <c r="AQZ20" s="91"/>
      <c r="ARA20" s="91"/>
      <c r="ARB20" s="91"/>
      <c r="ARC20" s="91"/>
      <c r="ARD20" s="91"/>
      <c r="ARE20" s="91"/>
      <c r="ARF20" s="91"/>
      <c r="ARG20" s="91"/>
      <c r="ARH20" s="91"/>
      <c r="ARI20" s="91"/>
      <c r="ARJ20" s="91"/>
      <c r="ARK20" s="91"/>
      <c r="ARL20" s="91"/>
      <c r="ARM20" s="91"/>
      <c r="ARN20" s="91"/>
      <c r="ARO20" s="91"/>
      <c r="ARP20" s="91"/>
      <c r="ARQ20" s="91"/>
      <c r="ARR20" s="91"/>
      <c r="ARS20" s="91"/>
      <c r="ART20" s="91"/>
      <c r="ARU20" s="91"/>
      <c r="ARV20" s="91"/>
      <c r="ARW20" s="91"/>
      <c r="ARX20" s="91"/>
      <c r="ARY20" s="91"/>
      <c r="ARZ20" s="91"/>
      <c r="ASA20" s="91"/>
      <c r="ASB20" s="91"/>
      <c r="ASC20" s="91"/>
      <c r="ASD20" s="91"/>
      <c r="ASE20" s="91"/>
      <c r="ASF20" s="91"/>
      <c r="ASG20" s="91"/>
      <c r="ASH20" s="91"/>
      <c r="ASI20" s="91"/>
      <c r="ASJ20" s="91"/>
      <c r="ASK20" s="91"/>
      <c r="ASL20" s="91"/>
      <c r="ASM20" s="91"/>
      <c r="ASN20" s="91"/>
      <c r="ASO20" s="91"/>
      <c r="ASP20" s="91"/>
      <c r="ASQ20" s="91"/>
      <c r="ASR20" s="91"/>
      <c r="ASS20" s="91"/>
      <c r="AST20" s="91"/>
      <c r="ASU20" s="91"/>
      <c r="ASV20" s="91"/>
      <c r="ASW20" s="91"/>
      <c r="ASX20" s="91"/>
      <c r="ASY20" s="91"/>
      <c r="ASZ20" s="91"/>
      <c r="ATA20" s="91"/>
      <c r="ATB20" s="91"/>
      <c r="ATC20" s="91"/>
      <c r="ATD20" s="91"/>
      <c r="ATE20" s="91"/>
      <c r="ATF20" s="91"/>
      <c r="ATG20" s="91"/>
      <c r="ATH20" s="91"/>
      <c r="ATI20" s="91"/>
      <c r="ATJ20" s="91"/>
      <c r="ATK20" s="91"/>
      <c r="ATL20" s="91"/>
      <c r="ATM20" s="91"/>
      <c r="ATN20" s="91"/>
      <c r="ATO20" s="91"/>
      <c r="ATP20" s="91"/>
      <c r="ATQ20" s="91"/>
      <c r="ATR20" s="91"/>
      <c r="ATS20" s="91"/>
      <c r="ATT20" s="91"/>
      <c r="ATU20" s="91"/>
      <c r="ATV20" s="91"/>
      <c r="ATW20" s="91"/>
      <c r="ATX20" s="91"/>
      <c r="ATY20" s="91"/>
      <c r="ATZ20" s="91"/>
      <c r="AUA20" s="91"/>
      <c r="AUB20" s="91"/>
      <c r="AUC20" s="91"/>
      <c r="AUD20" s="91"/>
      <c r="AUE20" s="91"/>
      <c r="AUF20" s="91"/>
      <c r="AUG20" s="91"/>
      <c r="AUH20" s="91"/>
      <c r="AUI20" s="91"/>
      <c r="AUJ20" s="91"/>
      <c r="AUK20" s="91"/>
      <c r="AUL20" s="91"/>
      <c r="AUM20" s="91"/>
      <c r="AUN20" s="91"/>
      <c r="AUO20" s="91"/>
      <c r="AUP20" s="91"/>
      <c r="AUQ20" s="91"/>
      <c r="AUR20" s="91"/>
      <c r="AUS20" s="91"/>
      <c r="AUT20" s="91"/>
      <c r="AUU20" s="91"/>
      <c r="AUV20" s="91"/>
      <c r="AUW20" s="91"/>
      <c r="AUX20" s="91"/>
      <c r="AUY20" s="91"/>
      <c r="AUZ20" s="91"/>
      <c r="AVA20" s="91"/>
      <c r="AVB20" s="91"/>
      <c r="AVC20" s="91"/>
      <c r="AVD20" s="91"/>
      <c r="AVE20" s="91"/>
      <c r="AVF20" s="91"/>
      <c r="AVG20" s="91"/>
      <c r="AVH20" s="91"/>
      <c r="AVI20" s="91"/>
      <c r="AVJ20" s="91"/>
      <c r="AVK20" s="91"/>
      <c r="AVL20" s="91"/>
      <c r="AVM20" s="91"/>
      <c r="AVN20" s="91"/>
      <c r="AVO20" s="91"/>
      <c r="AVP20" s="91"/>
      <c r="AVQ20" s="91"/>
      <c r="AVR20" s="91"/>
      <c r="AVS20" s="91"/>
      <c r="AVT20" s="91"/>
      <c r="AVU20" s="91"/>
      <c r="AVV20" s="91"/>
      <c r="AVW20" s="91"/>
      <c r="AVX20" s="91"/>
      <c r="AVY20" s="91"/>
      <c r="AVZ20" s="91"/>
      <c r="AWA20" s="91"/>
      <c r="AWB20" s="91"/>
      <c r="AWC20" s="91"/>
      <c r="AWD20" s="91"/>
      <c r="AWE20" s="91"/>
      <c r="AWF20" s="91"/>
      <c r="AWG20" s="91"/>
      <c r="AWH20" s="91"/>
      <c r="AWI20" s="91"/>
      <c r="AWJ20" s="91"/>
      <c r="AWK20" s="91"/>
      <c r="AWL20" s="91"/>
      <c r="AWM20" s="91"/>
      <c r="AWN20" s="91"/>
      <c r="AWO20" s="91"/>
      <c r="AWP20" s="91"/>
      <c r="AWQ20" s="91"/>
      <c r="AWR20" s="91"/>
      <c r="AWS20" s="91"/>
      <c r="AWT20" s="91"/>
      <c r="AWU20" s="91"/>
      <c r="AWV20" s="91"/>
      <c r="AWW20" s="91"/>
      <c r="AWX20" s="91"/>
      <c r="AWY20" s="91"/>
      <c r="AWZ20" s="91"/>
      <c r="AXA20" s="91"/>
      <c r="AXB20" s="91"/>
      <c r="AXC20" s="91"/>
      <c r="AXD20" s="91"/>
      <c r="AXE20" s="91"/>
      <c r="AXF20" s="91"/>
      <c r="AXG20" s="91"/>
      <c r="AXH20" s="91"/>
      <c r="AXI20" s="91"/>
      <c r="AXJ20" s="91"/>
      <c r="AXK20" s="91"/>
      <c r="AXL20" s="91"/>
      <c r="AXM20" s="91"/>
      <c r="AXN20" s="91"/>
      <c r="AXO20" s="91"/>
      <c r="AXP20" s="91"/>
      <c r="AXQ20" s="91"/>
      <c r="AXR20" s="91"/>
      <c r="AXS20" s="91"/>
      <c r="AXT20" s="91"/>
      <c r="AXU20" s="91"/>
      <c r="AXV20" s="91"/>
      <c r="AXW20" s="91"/>
      <c r="AXX20" s="91"/>
      <c r="AXY20" s="91"/>
      <c r="AXZ20" s="91"/>
      <c r="AYA20" s="91"/>
      <c r="AYB20" s="91"/>
      <c r="AYC20" s="91"/>
      <c r="AYD20" s="91"/>
      <c r="AYE20" s="91"/>
      <c r="AYF20" s="91"/>
      <c r="AYG20" s="91"/>
      <c r="AYH20" s="91"/>
      <c r="AYI20" s="91"/>
      <c r="AYJ20" s="91"/>
      <c r="AYK20" s="91"/>
      <c r="AYL20" s="91"/>
      <c r="AYM20" s="91"/>
      <c r="AYN20" s="91"/>
      <c r="AYO20" s="91"/>
      <c r="AYP20" s="91"/>
      <c r="AYQ20" s="91"/>
      <c r="AYR20" s="91"/>
      <c r="AYS20" s="91"/>
      <c r="AYT20" s="91"/>
      <c r="AYU20" s="91"/>
      <c r="AYV20" s="91"/>
      <c r="AYW20" s="91"/>
      <c r="AYX20" s="91"/>
      <c r="AYY20" s="91"/>
      <c r="AYZ20" s="91"/>
      <c r="AZA20" s="91"/>
      <c r="AZB20" s="91"/>
      <c r="AZC20" s="91"/>
      <c r="AZD20" s="91"/>
      <c r="AZE20" s="91"/>
      <c r="AZF20" s="91"/>
      <c r="AZG20" s="91"/>
      <c r="AZH20" s="91"/>
      <c r="AZI20" s="91"/>
      <c r="AZJ20" s="91"/>
      <c r="AZK20" s="91"/>
      <c r="AZL20" s="91"/>
      <c r="AZM20" s="91"/>
      <c r="AZN20" s="91"/>
      <c r="AZO20" s="91"/>
      <c r="AZP20" s="91"/>
      <c r="AZQ20" s="91"/>
      <c r="AZR20" s="91"/>
      <c r="AZS20" s="91"/>
      <c r="AZT20" s="91"/>
      <c r="AZU20" s="91"/>
      <c r="AZV20" s="91"/>
      <c r="AZW20" s="91"/>
      <c r="AZX20" s="91"/>
      <c r="AZY20" s="91"/>
      <c r="AZZ20" s="91"/>
      <c r="BAA20" s="91"/>
      <c r="BAB20" s="91"/>
      <c r="BAC20" s="91"/>
      <c r="BAD20" s="91"/>
      <c r="BAE20" s="91"/>
      <c r="BAF20" s="91"/>
      <c r="BAG20" s="91"/>
      <c r="BAH20" s="91"/>
      <c r="BAI20" s="91"/>
      <c r="BAJ20" s="91"/>
      <c r="BAK20" s="91"/>
      <c r="BAL20" s="91"/>
      <c r="BAM20" s="91"/>
      <c r="BAN20" s="91"/>
      <c r="BAO20" s="91"/>
      <c r="BAP20" s="91"/>
      <c r="BAQ20" s="91"/>
      <c r="BAR20" s="91"/>
      <c r="BAS20" s="91"/>
      <c r="BAT20" s="91"/>
      <c r="BAU20" s="91"/>
      <c r="BAV20" s="91"/>
      <c r="BAW20" s="91"/>
      <c r="BAX20" s="91"/>
      <c r="BAY20" s="91"/>
      <c r="BAZ20" s="91"/>
      <c r="BBA20" s="91"/>
      <c r="BBB20" s="91"/>
      <c r="BBC20" s="91"/>
      <c r="BBD20" s="91"/>
      <c r="BBE20" s="91"/>
      <c r="BBF20" s="91"/>
      <c r="BBG20" s="91"/>
      <c r="BBH20" s="91"/>
      <c r="BBI20" s="91"/>
      <c r="BBJ20" s="91"/>
      <c r="BBK20" s="91"/>
      <c r="BBL20" s="91"/>
      <c r="BBM20" s="91"/>
      <c r="BBN20" s="91"/>
      <c r="BBO20" s="91"/>
      <c r="BBP20" s="91"/>
      <c r="BBQ20" s="91"/>
      <c r="BBR20" s="91"/>
      <c r="BBS20" s="91"/>
      <c r="BBT20" s="91"/>
      <c r="BBU20" s="91"/>
      <c r="BBV20" s="91"/>
      <c r="BBW20" s="91"/>
      <c r="BBX20" s="91"/>
      <c r="BBY20" s="91"/>
      <c r="BBZ20" s="91"/>
      <c r="BCA20" s="91"/>
      <c r="BCB20" s="91"/>
      <c r="BCC20" s="91"/>
      <c r="BCD20" s="91"/>
      <c r="BCE20" s="91"/>
      <c r="BCF20" s="91"/>
      <c r="BCG20" s="91"/>
      <c r="BCH20" s="91"/>
      <c r="BCI20" s="91"/>
      <c r="BCJ20" s="91"/>
      <c r="BCK20" s="91"/>
      <c r="BCL20" s="91"/>
      <c r="BCM20" s="91"/>
      <c r="BCN20" s="91"/>
      <c r="BCO20" s="91"/>
      <c r="BCP20" s="91"/>
      <c r="BCQ20" s="91"/>
      <c r="BCR20" s="91"/>
      <c r="BCS20" s="91"/>
      <c r="BCT20" s="91"/>
      <c r="BCU20" s="91"/>
      <c r="BCV20" s="91"/>
      <c r="BCW20" s="91"/>
      <c r="BCX20" s="91"/>
      <c r="BCY20" s="91"/>
      <c r="BCZ20" s="91"/>
      <c r="BDA20" s="91"/>
      <c r="BDB20" s="91"/>
      <c r="BDC20" s="91"/>
      <c r="BDD20" s="91"/>
      <c r="BDE20" s="91"/>
      <c r="BDF20" s="91"/>
      <c r="BDG20" s="91"/>
      <c r="BDH20" s="91"/>
      <c r="BDI20" s="91"/>
      <c r="BDJ20" s="91"/>
      <c r="BDK20" s="91"/>
      <c r="BDL20" s="91"/>
      <c r="BDM20" s="91"/>
      <c r="BDN20" s="91"/>
      <c r="BDO20" s="91"/>
      <c r="BDP20" s="91"/>
      <c r="BDQ20" s="91"/>
      <c r="BDR20" s="91"/>
      <c r="BDS20" s="91"/>
      <c r="BDT20" s="91"/>
      <c r="BDU20" s="91"/>
      <c r="BDV20" s="91"/>
      <c r="BDW20" s="91"/>
      <c r="BDX20" s="91"/>
      <c r="BDY20" s="91"/>
      <c r="BDZ20" s="91"/>
      <c r="BEA20" s="91"/>
      <c r="BEB20" s="91"/>
      <c r="BEC20" s="91"/>
      <c r="BED20" s="91"/>
      <c r="BEE20" s="91"/>
      <c r="BEF20" s="91"/>
      <c r="BEG20" s="91"/>
      <c r="BEH20" s="91"/>
      <c r="BEI20" s="91"/>
      <c r="BEJ20" s="91"/>
      <c r="BEK20" s="91"/>
      <c r="BEL20" s="91"/>
      <c r="BEM20" s="91"/>
      <c r="BEN20" s="91"/>
      <c r="BEO20" s="91"/>
      <c r="BEP20" s="91"/>
      <c r="BEQ20" s="91"/>
      <c r="BER20" s="91"/>
      <c r="BES20" s="91"/>
      <c r="BET20" s="91"/>
      <c r="BEU20" s="91"/>
      <c r="BEV20" s="91"/>
      <c r="BEW20" s="91"/>
      <c r="BEX20" s="91"/>
      <c r="BEY20" s="91"/>
      <c r="BEZ20" s="91"/>
      <c r="BFA20" s="91"/>
      <c r="BFB20" s="91"/>
      <c r="BFC20" s="91"/>
      <c r="BFD20" s="91"/>
      <c r="BFE20" s="91"/>
      <c r="BFF20" s="91"/>
      <c r="BFG20" s="91"/>
      <c r="BFH20" s="91"/>
      <c r="BFI20" s="91"/>
      <c r="BFJ20" s="91"/>
      <c r="BFK20" s="91"/>
      <c r="BFL20" s="91"/>
      <c r="BFM20" s="91"/>
      <c r="BFN20" s="91"/>
      <c r="BFO20" s="91"/>
      <c r="BFP20" s="91"/>
      <c r="BFQ20" s="91"/>
      <c r="BFR20" s="91"/>
      <c r="BFS20" s="91"/>
      <c r="BFT20" s="91"/>
      <c r="BFU20" s="91"/>
      <c r="BFV20" s="91"/>
      <c r="BFW20" s="91"/>
      <c r="BFX20" s="91"/>
      <c r="BFY20" s="91"/>
      <c r="BFZ20" s="91"/>
      <c r="BGA20" s="91"/>
      <c r="BGB20" s="91"/>
      <c r="BGC20" s="91"/>
      <c r="BGD20" s="91"/>
      <c r="BGE20" s="91"/>
      <c r="BGF20" s="91"/>
      <c r="BGG20" s="91"/>
      <c r="BGH20" s="91"/>
      <c r="BGI20" s="91"/>
      <c r="BGJ20" s="91"/>
      <c r="BGK20" s="91"/>
      <c r="BGL20" s="91"/>
      <c r="BGM20" s="91"/>
      <c r="BGN20" s="91"/>
      <c r="BGO20" s="91"/>
      <c r="BGP20" s="91"/>
      <c r="BGQ20" s="91"/>
      <c r="BGR20" s="91"/>
      <c r="BGS20" s="91"/>
      <c r="BGT20" s="91"/>
      <c r="BGU20" s="91"/>
      <c r="BGV20" s="91"/>
      <c r="BGW20" s="91"/>
      <c r="BGX20" s="91"/>
      <c r="BGY20" s="91"/>
      <c r="BGZ20" s="91"/>
      <c r="BHA20" s="91"/>
      <c r="BHB20" s="91"/>
      <c r="BHC20" s="91"/>
      <c r="BHD20" s="91"/>
      <c r="BHE20" s="91"/>
      <c r="BHF20" s="91"/>
      <c r="BHG20" s="91"/>
      <c r="BHH20" s="91"/>
      <c r="BHI20" s="91"/>
      <c r="BHJ20" s="91"/>
      <c r="BHK20" s="91"/>
      <c r="BHL20" s="91"/>
      <c r="BHM20" s="91"/>
      <c r="BHN20" s="91"/>
      <c r="BHO20" s="91"/>
      <c r="BHP20" s="91"/>
      <c r="BHQ20" s="91"/>
      <c r="BHR20" s="91"/>
      <c r="BHS20" s="91"/>
      <c r="BHT20" s="91"/>
      <c r="BHU20" s="91"/>
      <c r="BHV20" s="91"/>
      <c r="BHW20" s="91"/>
      <c r="BHX20" s="91"/>
      <c r="BHY20" s="91"/>
      <c r="BHZ20" s="91"/>
      <c r="BIA20" s="91"/>
      <c r="BIB20" s="91"/>
      <c r="BIC20" s="91"/>
      <c r="BID20" s="91"/>
      <c r="BIE20" s="91"/>
      <c r="BIF20" s="91"/>
      <c r="BIG20" s="91"/>
      <c r="BIH20" s="91"/>
      <c r="BII20" s="91"/>
      <c r="BIJ20" s="91"/>
      <c r="BIK20" s="91"/>
      <c r="BIL20" s="91"/>
      <c r="BIM20" s="91"/>
      <c r="BIN20" s="91"/>
      <c r="BIO20" s="91"/>
      <c r="BIP20" s="91"/>
      <c r="BIQ20" s="91"/>
      <c r="BIR20" s="91"/>
      <c r="BIS20" s="91"/>
      <c r="BIT20" s="91"/>
      <c r="BIU20" s="91"/>
      <c r="BIV20" s="91"/>
      <c r="BIW20" s="91"/>
      <c r="BIX20" s="91"/>
      <c r="BIY20" s="91"/>
      <c r="BIZ20" s="91"/>
      <c r="BJA20" s="91"/>
      <c r="BJB20" s="91"/>
      <c r="BJC20" s="91"/>
      <c r="BJD20" s="91"/>
      <c r="BJE20" s="91"/>
      <c r="BJF20" s="91"/>
      <c r="BJG20" s="91"/>
      <c r="BJH20" s="91"/>
      <c r="BJI20" s="91"/>
      <c r="BJJ20" s="91"/>
      <c r="BJK20" s="91"/>
      <c r="BJL20" s="91"/>
      <c r="BJM20" s="91"/>
      <c r="BJN20" s="91"/>
      <c r="BJO20" s="91"/>
      <c r="BJP20" s="91"/>
      <c r="BJQ20" s="91"/>
      <c r="BJR20" s="91"/>
      <c r="BJS20" s="91"/>
      <c r="BJT20" s="91"/>
      <c r="BJU20" s="91"/>
      <c r="BJV20" s="91"/>
      <c r="BJW20" s="91"/>
      <c r="BJX20" s="91"/>
      <c r="BJY20" s="91"/>
      <c r="BJZ20" s="91"/>
      <c r="BKA20" s="91"/>
      <c r="BKB20" s="91"/>
      <c r="BKC20" s="91"/>
      <c r="BKD20" s="91"/>
      <c r="BKE20" s="91"/>
      <c r="BKF20" s="91"/>
      <c r="BKG20" s="91"/>
      <c r="BKH20" s="91"/>
      <c r="BKI20" s="91"/>
      <c r="BKJ20" s="91"/>
      <c r="BKK20" s="91"/>
      <c r="BKL20" s="91"/>
      <c r="BKM20" s="91"/>
      <c r="BKN20" s="91"/>
      <c r="BKO20" s="91"/>
      <c r="BKP20" s="91"/>
      <c r="BKQ20" s="91"/>
      <c r="BKR20" s="91"/>
      <c r="BKS20" s="91"/>
      <c r="BKT20" s="91"/>
      <c r="BKU20" s="91"/>
      <c r="BKV20" s="91"/>
      <c r="BKW20" s="91"/>
      <c r="BKX20" s="91"/>
      <c r="BKY20" s="91"/>
      <c r="BKZ20" s="91"/>
      <c r="BLA20" s="91"/>
      <c r="BLB20" s="91"/>
      <c r="BLC20" s="91"/>
      <c r="BLD20" s="91"/>
      <c r="BLE20" s="91"/>
      <c r="BLF20" s="91"/>
      <c r="BLG20" s="91"/>
      <c r="BLH20" s="91"/>
      <c r="BLI20" s="91"/>
      <c r="BLJ20" s="91"/>
      <c r="BLK20" s="91"/>
      <c r="BLL20" s="91"/>
      <c r="BLM20" s="91"/>
      <c r="BLN20" s="91"/>
      <c r="BLO20" s="91"/>
      <c r="BLP20" s="91"/>
      <c r="BLQ20" s="91"/>
      <c r="BLR20" s="91"/>
      <c r="BLS20" s="91"/>
      <c r="BLT20" s="91"/>
      <c r="BLU20" s="91"/>
      <c r="BLV20" s="91"/>
      <c r="BLW20" s="91"/>
      <c r="BLX20" s="91"/>
      <c r="BLY20" s="91"/>
      <c r="BLZ20" s="91"/>
      <c r="BMA20" s="91"/>
      <c r="BMB20" s="91"/>
      <c r="BMC20" s="91"/>
      <c r="BMD20" s="91"/>
      <c r="BME20" s="91"/>
      <c r="BMF20" s="91"/>
      <c r="BMG20" s="91"/>
      <c r="BMH20" s="91"/>
      <c r="BMI20" s="91"/>
      <c r="BMJ20" s="91"/>
      <c r="BMK20" s="91"/>
      <c r="BML20" s="91"/>
      <c r="BMM20" s="91"/>
      <c r="BMN20" s="91"/>
      <c r="BMO20" s="91"/>
      <c r="BMP20" s="91"/>
      <c r="BMQ20" s="91"/>
      <c r="BMR20" s="91"/>
      <c r="BMS20" s="91"/>
      <c r="BMT20" s="91"/>
      <c r="BMU20" s="91"/>
      <c r="BMV20" s="91"/>
      <c r="BMW20" s="91"/>
      <c r="BMX20" s="91"/>
      <c r="BMY20" s="91"/>
      <c r="BMZ20" s="91"/>
      <c r="BNA20" s="91"/>
      <c r="BNB20" s="91"/>
      <c r="BNC20" s="91"/>
      <c r="BND20" s="91"/>
      <c r="BNE20" s="91"/>
      <c r="BNF20" s="91"/>
      <c r="BNG20" s="91"/>
      <c r="BNH20" s="91"/>
      <c r="BNI20" s="91"/>
      <c r="BNJ20" s="91"/>
      <c r="BNK20" s="91"/>
      <c r="BNL20" s="91"/>
      <c r="BNM20" s="91"/>
      <c r="BNN20" s="91"/>
      <c r="BNO20" s="91"/>
      <c r="BNP20" s="91"/>
      <c r="BNQ20" s="91"/>
      <c r="BNR20" s="91"/>
      <c r="BNS20" s="91"/>
      <c r="BNT20" s="91"/>
      <c r="BNU20" s="91"/>
      <c r="BNV20" s="91"/>
      <c r="BNW20" s="91"/>
      <c r="BNX20" s="91"/>
      <c r="BNY20" s="91"/>
      <c r="BNZ20" s="91"/>
      <c r="BOA20" s="91"/>
      <c r="BOB20" s="91"/>
      <c r="BOC20" s="91"/>
      <c r="BOD20" s="91"/>
      <c r="BOE20" s="91"/>
      <c r="BOF20" s="91"/>
      <c r="BOG20" s="91"/>
      <c r="BOH20" s="91"/>
      <c r="BOI20" s="91"/>
      <c r="BOJ20" s="91"/>
      <c r="BOK20" s="91"/>
      <c r="BOL20" s="91"/>
      <c r="BOM20" s="91"/>
      <c r="BON20" s="91"/>
      <c r="BOO20" s="91"/>
      <c r="BOP20" s="91"/>
      <c r="BOQ20" s="91"/>
      <c r="BOR20" s="91"/>
      <c r="BOS20" s="91"/>
      <c r="BOT20" s="91"/>
      <c r="BOU20" s="91"/>
      <c r="BOV20" s="91"/>
      <c r="BOW20" s="91"/>
      <c r="BOX20" s="91"/>
      <c r="BOY20" s="91"/>
      <c r="BOZ20" s="91"/>
      <c r="BPA20" s="91"/>
      <c r="BPB20" s="91"/>
      <c r="BPC20" s="91"/>
      <c r="BPD20" s="91"/>
      <c r="BPE20" s="91"/>
      <c r="BPF20" s="91"/>
      <c r="BPG20" s="91"/>
      <c r="BPH20" s="91"/>
      <c r="BPI20" s="91"/>
      <c r="BPJ20" s="91"/>
      <c r="BPK20" s="91"/>
      <c r="BPL20" s="91"/>
      <c r="BPM20" s="91"/>
      <c r="BPN20" s="91"/>
      <c r="BPO20" s="91"/>
      <c r="BPP20" s="91"/>
      <c r="BPQ20" s="91"/>
      <c r="BPR20" s="91"/>
      <c r="BPS20" s="91"/>
      <c r="BPT20" s="91"/>
      <c r="BPU20" s="91"/>
      <c r="BPV20" s="91"/>
      <c r="BPW20" s="91"/>
      <c r="BPX20" s="91"/>
      <c r="BPY20" s="91"/>
      <c r="BPZ20" s="91"/>
      <c r="BQA20" s="91"/>
      <c r="BQB20" s="91"/>
      <c r="BQC20" s="91"/>
      <c r="BQD20" s="91"/>
      <c r="BQE20" s="91"/>
      <c r="BQF20" s="91"/>
      <c r="BQG20" s="91"/>
      <c r="BQH20" s="91"/>
      <c r="BQI20" s="91"/>
      <c r="BQJ20" s="91"/>
      <c r="BQK20" s="91"/>
      <c r="BQL20" s="91"/>
      <c r="BQM20" s="91"/>
      <c r="BQN20" s="91"/>
      <c r="BQO20" s="91"/>
      <c r="BQP20" s="91"/>
      <c r="BQQ20" s="91"/>
      <c r="BQR20" s="91"/>
      <c r="BQS20" s="91"/>
      <c r="BQT20" s="91"/>
      <c r="BQU20" s="91"/>
      <c r="BQV20" s="91"/>
      <c r="BQW20" s="91"/>
      <c r="BQX20" s="91"/>
      <c r="BQY20" s="91"/>
      <c r="BQZ20" s="91"/>
      <c r="BRA20" s="91"/>
      <c r="BRB20" s="91"/>
      <c r="BRC20" s="91"/>
      <c r="BRD20" s="91"/>
      <c r="BRE20" s="91"/>
      <c r="BRF20" s="91"/>
      <c r="BRG20" s="91"/>
      <c r="BRH20" s="91"/>
      <c r="BRI20" s="91"/>
      <c r="BRJ20" s="91"/>
      <c r="BRK20" s="91"/>
      <c r="BRL20" s="91"/>
      <c r="BRM20" s="91"/>
      <c r="BRN20" s="91"/>
      <c r="BRO20" s="91"/>
      <c r="BRP20" s="91"/>
      <c r="BRQ20" s="91"/>
      <c r="BRR20" s="91"/>
      <c r="BRS20" s="91"/>
      <c r="BRT20" s="91"/>
      <c r="BRU20" s="91"/>
      <c r="BRV20" s="91"/>
      <c r="BRW20" s="91"/>
      <c r="BRX20" s="91"/>
      <c r="BRY20" s="91"/>
      <c r="BRZ20" s="91"/>
      <c r="BSA20" s="91"/>
      <c r="BSB20" s="91"/>
      <c r="BSC20" s="91"/>
      <c r="BSD20" s="91"/>
      <c r="BSE20" s="91"/>
      <c r="BSF20" s="91"/>
      <c r="BSG20" s="91"/>
      <c r="BSH20" s="91"/>
      <c r="BSI20" s="91"/>
      <c r="BSJ20" s="91"/>
      <c r="BSK20" s="91"/>
      <c r="BSL20" s="91"/>
      <c r="BSM20" s="91"/>
      <c r="BSN20" s="91"/>
      <c r="BSO20" s="91"/>
      <c r="BSP20" s="91"/>
      <c r="BSQ20" s="91"/>
      <c r="BSR20" s="91"/>
      <c r="BSS20" s="91"/>
      <c r="BST20" s="91"/>
      <c r="BSU20" s="91"/>
      <c r="BSV20" s="91"/>
      <c r="BSW20" s="91"/>
      <c r="BSX20" s="91"/>
      <c r="BSY20" s="91"/>
      <c r="BSZ20" s="91"/>
      <c r="BTA20" s="91"/>
      <c r="BTB20" s="91"/>
      <c r="BTC20" s="91"/>
      <c r="BTD20" s="91"/>
      <c r="BTE20" s="91"/>
      <c r="BTF20" s="91"/>
      <c r="BTG20" s="91"/>
      <c r="BTH20" s="91"/>
      <c r="BTI20" s="91"/>
      <c r="BTJ20" s="91"/>
      <c r="BTK20" s="91"/>
      <c r="BTL20" s="91"/>
      <c r="BTM20" s="91"/>
      <c r="BTN20" s="91"/>
      <c r="BTO20" s="91"/>
      <c r="BTP20" s="91"/>
      <c r="BTQ20" s="91"/>
      <c r="BTR20" s="91"/>
      <c r="BTS20" s="91"/>
      <c r="BTT20" s="91"/>
      <c r="BTU20" s="91"/>
      <c r="BTV20" s="91"/>
      <c r="BTW20" s="91"/>
      <c r="BTX20" s="91"/>
      <c r="BTY20" s="91"/>
      <c r="BTZ20" s="91"/>
      <c r="BUA20" s="91"/>
      <c r="BUB20" s="91"/>
      <c r="BUC20" s="91"/>
      <c r="BUD20" s="91"/>
      <c r="BUE20" s="91"/>
      <c r="BUF20" s="91"/>
      <c r="BUG20" s="91"/>
      <c r="BUH20" s="91"/>
      <c r="BUI20" s="91"/>
      <c r="BUJ20" s="91"/>
      <c r="BUK20" s="91"/>
      <c r="BUL20" s="91"/>
      <c r="BUM20" s="91"/>
      <c r="BUN20" s="91"/>
      <c r="BUO20" s="91"/>
      <c r="BUP20" s="91"/>
      <c r="BUQ20" s="91"/>
      <c r="BUR20" s="91"/>
      <c r="BUS20" s="91"/>
      <c r="BUT20" s="91"/>
      <c r="BUU20" s="91"/>
      <c r="BUV20" s="91"/>
      <c r="BUW20" s="91"/>
      <c r="BUX20" s="91"/>
      <c r="BUY20" s="91"/>
      <c r="BUZ20" s="91"/>
      <c r="BVA20" s="91"/>
      <c r="BVB20" s="91"/>
      <c r="BVC20" s="91"/>
      <c r="BVD20" s="91"/>
      <c r="BVE20" s="91"/>
      <c r="BVF20" s="91"/>
      <c r="BVG20" s="91"/>
      <c r="BVH20" s="91"/>
      <c r="BVI20" s="91"/>
      <c r="BVJ20" s="91"/>
      <c r="BVK20" s="91"/>
      <c r="BVL20" s="91"/>
      <c r="BVM20" s="91"/>
      <c r="BVN20" s="91"/>
      <c r="BVO20" s="91"/>
      <c r="BVP20" s="91"/>
      <c r="BVQ20" s="91"/>
      <c r="BVR20" s="91"/>
      <c r="BVS20" s="91"/>
      <c r="BVT20" s="91"/>
      <c r="BVU20" s="91"/>
      <c r="BVV20" s="91"/>
      <c r="BVW20" s="91"/>
      <c r="BVX20" s="91"/>
      <c r="BVY20" s="91"/>
      <c r="BVZ20" s="91"/>
      <c r="BWA20" s="91"/>
      <c r="BWB20" s="91"/>
      <c r="BWC20" s="91"/>
      <c r="BWD20" s="91"/>
      <c r="BWE20" s="91"/>
      <c r="BWF20" s="91"/>
      <c r="BWG20" s="91"/>
      <c r="BWH20" s="91"/>
      <c r="BWI20" s="91"/>
      <c r="BWJ20" s="91"/>
      <c r="BWK20" s="91"/>
      <c r="BWL20" s="91"/>
      <c r="BWM20" s="91"/>
      <c r="BWN20" s="91"/>
      <c r="BWO20" s="91"/>
      <c r="BWP20" s="91"/>
      <c r="BWQ20" s="91"/>
      <c r="BWR20" s="91"/>
      <c r="BWS20" s="91"/>
      <c r="BWT20" s="91"/>
      <c r="BWU20" s="91"/>
      <c r="BWV20" s="91"/>
      <c r="BWW20" s="91"/>
      <c r="BWX20" s="91"/>
      <c r="BWY20" s="91"/>
      <c r="BWZ20" s="91"/>
      <c r="BXA20" s="91"/>
      <c r="BXB20" s="91"/>
      <c r="BXC20" s="91"/>
      <c r="BXD20" s="91"/>
      <c r="BXE20" s="91"/>
      <c r="BXF20" s="91"/>
      <c r="BXG20" s="91"/>
      <c r="BXH20" s="91"/>
      <c r="BXI20" s="91"/>
      <c r="BXJ20" s="91"/>
      <c r="BXK20" s="91"/>
      <c r="BXL20" s="91"/>
      <c r="BXM20" s="91"/>
      <c r="BXN20" s="91"/>
      <c r="BXO20" s="91"/>
      <c r="BXP20" s="91"/>
      <c r="BXQ20" s="91"/>
      <c r="BXR20" s="91"/>
      <c r="BXS20" s="91"/>
      <c r="BXT20" s="91"/>
      <c r="BXU20" s="91"/>
      <c r="BXV20" s="91"/>
      <c r="BXW20" s="91"/>
      <c r="BXX20" s="91"/>
      <c r="BXY20" s="91"/>
      <c r="BXZ20" s="91"/>
      <c r="BYA20" s="91"/>
      <c r="BYB20" s="91"/>
      <c r="BYC20" s="91"/>
      <c r="BYD20" s="91"/>
      <c r="BYE20" s="91"/>
      <c r="BYF20" s="91"/>
      <c r="BYG20" s="91"/>
      <c r="BYH20" s="91"/>
      <c r="BYI20" s="91"/>
      <c r="BYJ20" s="91"/>
      <c r="BYK20" s="91"/>
      <c r="BYL20" s="91"/>
      <c r="BYM20" s="91"/>
      <c r="BYN20" s="91"/>
      <c r="BYO20" s="91"/>
      <c r="BYP20" s="91"/>
      <c r="BYQ20" s="91"/>
      <c r="BYR20" s="91"/>
      <c r="BYS20" s="91"/>
      <c r="BYT20" s="91"/>
      <c r="BYU20" s="91"/>
      <c r="BYV20" s="91"/>
      <c r="BYW20" s="91"/>
      <c r="BYX20" s="91"/>
      <c r="BYY20" s="91"/>
      <c r="BYZ20" s="91"/>
      <c r="BZA20" s="91"/>
      <c r="BZB20" s="91"/>
      <c r="BZC20" s="91"/>
      <c r="BZD20" s="91"/>
      <c r="BZE20" s="91"/>
      <c r="BZF20" s="91"/>
      <c r="BZG20" s="91"/>
      <c r="BZH20" s="91"/>
      <c r="BZI20" s="91"/>
      <c r="BZJ20" s="91"/>
      <c r="BZK20" s="91"/>
      <c r="BZL20" s="91"/>
      <c r="BZM20" s="91"/>
      <c r="BZN20" s="91"/>
      <c r="BZO20" s="91"/>
      <c r="BZP20" s="91"/>
      <c r="BZQ20" s="91"/>
      <c r="BZR20" s="91"/>
      <c r="BZS20" s="91"/>
      <c r="BZT20" s="91"/>
      <c r="BZU20" s="91"/>
      <c r="BZV20" s="91"/>
      <c r="BZW20" s="91"/>
      <c r="BZX20" s="91"/>
      <c r="BZY20" s="91"/>
      <c r="BZZ20" s="91"/>
      <c r="CAA20" s="91"/>
      <c r="CAB20" s="91"/>
      <c r="CAC20" s="91"/>
      <c r="CAD20" s="91"/>
      <c r="CAE20" s="91"/>
      <c r="CAF20" s="91"/>
      <c r="CAG20" s="91"/>
      <c r="CAH20" s="91"/>
      <c r="CAI20" s="91"/>
      <c r="CAJ20" s="91"/>
      <c r="CAK20" s="91"/>
      <c r="CAL20" s="91"/>
      <c r="CAM20" s="91"/>
      <c r="CAN20" s="91"/>
      <c r="CAO20" s="91"/>
      <c r="CAP20" s="91"/>
      <c r="CAQ20" s="91"/>
      <c r="CAR20" s="91"/>
      <c r="CAS20" s="91"/>
      <c r="CAT20" s="91"/>
      <c r="CAU20" s="91"/>
      <c r="CAV20" s="91"/>
      <c r="CAW20" s="91"/>
      <c r="CAX20" s="91"/>
      <c r="CAY20" s="91"/>
      <c r="CAZ20" s="91"/>
      <c r="CBA20" s="91"/>
      <c r="CBB20" s="91"/>
      <c r="CBC20" s="91"/>
      <c r="CBD20" s="91"/>
      <c r="CBE20" s="91"/>
      <c r="CBF20" s="91"/>
      <c r="CBG20" s="91"/>
      <c r="CBH20" s="91"/>
      <c r="CBI20" s="91"/>
      <c r="CBJ20" s="91"/>
      <c r="CBK20" s="91"/>
      <c r="CBL20" s="91"/>
      <c r="CBM20" s="91"/>
      <c r="CBN20" s="91"/>
      <c r="CBO20" s="91"/>
      <c r="CBP20" s="91"/>
      <c r="CBQ20" s="91"/>
      <c r="CBR20" s="91"/>
      <c r="CBS20" s="91"/>
      <c r="CBT20" s="91"/>
      <c r="CBU20" s="91"/>
      <c r="CBV20" s="91"/>
      <c r="CBW20" s="91"/>
      <c r="CBX20" s="91"/>
      <c r="CBY20" s="91"/>
      <c r="CBZ20" s="91"/>
      <c r="CCA20" s="91"/>
      <c r="CCB20" s="91"/>
      <c r="CCC20" s="91"/>
      <c r="CCD20" s="91"/>
      <c r="CCE20" s="91"/>
      <c r="CCF20" s="91"/>
      <c r="CCG20" s="91"/>
      <c r="CCH20" s="91"/>
      <c r="CCI20" s="91"/>
      <c r="CCJ20" s="91"/>
      <c r="CCK20" s="91"/>
      <c r="CCL20" s="91"/>
      <c r="CCM20" s="91"/>
      <c r="CCN20" s="91"/>
      <c r="CCO20" s="91"/>
      <c r="CCP20" s="91"/>
      <c r="CCQ20" s="91"/>
      <c r="CCR20" s="91"/>
      <c r="CCS20" s="91"/>
      <c r="CCT20" s="91"/>
      <c r="CCU20" s="91"/>
      <c r="CCV20" s="91"/>
      <c r="CCW20" s="91"/>
      <c r="CCX20" s="91"/>
      <c r="CCY20" s="91"/>
      <c r="CCZ20" s="91"/>
      <c r="CDA20" s="91"/>
      <c r="CDB20" s="91"/>
      <c r="CDC20" s="91"/>
      <c r="CDD20" s="91"/>
      <c r="CDE20" s="91"/>
      <c r="CDF20" s="91"/>
      <c r="CDG20" s="91"/>
      <c r="CDH20" s="91"/>
      <c r="CDI20" s="91"/>
      <c r="CDJ20" s="91"/>
      <c r="CDK20" s="91"/>
      <c r="CDL20" s="91"/>
      <c r="CDM20" s="91"/>
      <c r="CDN20" s="91"/>
      <c r="CDO20" s="91"/>
      <c r="CDP20" s="91"/>
      <c r="CDQ20" s="91"/>
      <c r="CDR20" s="91"/>
      <c r="CDS20" s="91"/>
      <c r="CDT20" s="91"/>
      <c r="CDU20" s="91"/>
      <c r="CDV20" s="91"/>
      <c r="CDW20" s="91"/>
      <c r="CDX20" s="91"/>
      <c r="CDY20" s="91"/>
      <c r="CDZ20" s="91"/>
      <c r="CEA20" s="91"/>
      <c r="CEB20" s="91"/>
      <c r="CEC20" s="91"/>
      <c r="CED20" s="91"/>
      <c r="CEE20" s="91"/>
      <c r="CEF20" s="91"/>
      <c r="CEG20" s="91"/>
      <c r="CEH20" s="91"/>
      <c r="CEI20" s="91"/>
      <c r="CEJ20" s="91"/>
      <c r="CEK20" s="91"/>
      <c r="CEL20" s="91"/>
      <c r="CEM20" s="91"/>
      <c r="CEN20" s="91"/>
      <c r="CEO20" s="91"/>
      <c r="CEP20" s="91"/>
      <c r="CEQ20" s="91"/>
      <c r="CER20" s="91"/>
      <c r="CES20" s="91"/>
      <c r="CET20" s="91"/>
      <c r="CEU20" s="91"/>
      <c r="CEV20" s="91"/>
      <c r="CEW20" s="91"/>
      <c r="CEX20" s="91"/>
      <c r="CEY20" s="91"/>
      <c r="CEZ20" s="91"/>
      <c r="CFA20" s="91"/>
      <c r="CFB20" s="91"/>
      <c r="CFC20" s="91"/>
      <c r="CFD20" s="91"/>
      <c r="CFE20" s="91"/>
      <c r="CFF20" s="91"/>
      <c r="CFG20" s="91"/>
      <c r="CFH20" s="91"/>
      <c r="CFI20" s="91"/>
      <c r="CFJ20" s="91"/>
      <c r="CFK20" s="91"/>
      <c r="CFL20" s="91"/>
      <c r="CFM20" s="91"/>
      <c r="CFN20" s="91"/>
      <c r="CFO20" s="91"/>
      <c r="CFP20" s="91"/>
      <c r="CFQ20" s="91"/>
      <c r="CFR20" s="91"/>
      <c r="CFS20" s="91"/>
      <c r="CFT20" s="91"/>
      <c r="CFU20" s="91"/>
      <c r="CFV20" s="91"/>
      <c r="CFW20" s="91"/>
      <c r="CFX20" s="91"/>
      <c r="CFY20" s="91"/>
      <c r="CFZ20" s="91"/>
      <c r="CGA20" s="91"/>
      <c r="CGB20" s="91"/>
      <c r="CGC20" s="91"/>
      <c r="CGD20" s="91"/>
      <c r="CGE20" s="91"/>
      <c r="CGF20" s="91"/>
      <c r="CGG20" s="91"/>
      <c r="CGH20" s="91"/>
      <c r="CGI20" s="91"/>
      <c r="CGJ20" s="91"/>
      <c r="CGK20" s="91"/>
      <c r="CGL20" s="91"/>
      <c r="CGM20" s="91"/>
      <c r="CGN20" s="91"/>
      <c r="CGO20" s="91"/>
      <c r="CGP20" s="91"/>
      <c r="CGQ20" s="91"/>
      <c r="CGR20" s="91"/>
      <c r="CGS20" s="91"/>
      <c r="CGT20" s="91"/>
      <c r="CGU20" s="91"/>
      <c r="CGV20" s="91"/>
      <c r="CGW20" s="91"/>
      <c r="CGX20" s="91"/>
      <c r="CGY20" s="91"/>
      <c r="CGZ20" s="91"/>
      <c r="CHA20" s="91"/>
      <c r="CHB20" s="91"/>
      <c r="CHC20" s="91"/>
      <c r="CHD20" s="91"/>
      <c r="CHE20" s="91"/>
      <c r="CHF20" s="91"/>
      <c r="CHG20" s="91"/>
      <c r="CHH20" s="91"/>
      <c r="CHI20" s="91"/>
      <c r="CHJ20" s="91"/>
      <c r="CHK20" s="91"/>
      <c r="CHL20" s="91"/>
      <c r="CHM20" s="91"/>
      <c r="CHN20" s="91"/>
      <c r="CHO20" s="91"/>
      <c r="CHP20" s="91"/>
      <c r="CHQ20" s="91"/>
      <c r="CHR20" s="91"/>
      <c r="CHS20" s="91"/>
      <c r="CHT20" s="91"/>
      <c r="CHU20" s="91"/>
      <c r="CHV20" s="91"/>
      <c r="CHW20" s="91"/>
      <c r="CHX20" s="91"/>
      <c r="CHY20" s="91"/>
      <c r="CHZ20" s="91"/>
      <c r="CIA20" s="91"/>
      <c r="CIB20" s="91"/>
      <c r="CIC20" s="91"/>
      <c r="CID20" s="91"/>
      <c r="CIE20" s="91"/>
      <c r="CIF20" s="91"/>
      <c r="CIG20" s="91"/>
      <c r="CIH20" s="91"/>
      <c r="CII20" s="91"/>
      <c r="CIJ20" s="91"/>
      <c r="CIK20" s="91"/>
      <c r="CIL20" s="91"/>
      <c r="CIM20" s="91"/>
      <c r="CIN20" s="91"/>
      <c r="CIO20" s="91"/>
      <c r="CIP20" s="91"/>
      <c r="CIQ20" s="91"/>
      <c r="CIR20" s="91"/>
      <c r="CIS20" s="91"/>
      <c r="CIT20" s="91"/>
      <c r="CIU20" s="91"/>
      <c r="CIV20" s="91"/>
      <c r="CIW20" s="91"/>
      <c r="CIX20" s="91"/>
      <c r="CIY20" s="91"/>
      <c r="CIZ20" s="91"/>
      <c r="CJA20" s="91"/>
      <c r="CJB20" s="91"/>
      <c r="CJC20" s="91"/>
      <c r="CJD20" s="91"/>
      <c r="CJE20" s="91"/>
      <c r="CJF20" s="91"/>
      <c r="CJG20" s="91"/>
      <c r="CJH20" s="91"/>
      <c r="CJI20" s="91"/>
      <c r="CJJ20" s="91"/>
      <c r="CJK20" s="91"/>
      <c r="CJL20" s="91"/>
      <c r="CJM20" s="91"/>
      <c r="CJN20" s="91"/>
      <c r="CJO20" s="91"/>
      <c r="CJP20" s="91"/>
      <c r="CJQ20" s="91"/>
      <c r="CJR20" s="91"/>
      <c r="CJS20" s="91"/>
      <c r="CJT20" s="91"/>
      <c r="CJU20" s="91"/>
      <c r="CJV20" s="91"/>
      <c r="CJW20" s="91"/>
      <c r="CJX20" s="91"/>
      <c r="CJY20" s="91"/>
      <c r="CJZ20" s="91"/>
      <c r="CKA20" s="91"/>
      <c r="CKB20" s="91"/>
      <c r="CKC20" s="91"/>
      <c r="CKD20" s="91"/>
      <c r="CKE20" s="91"/>
      <c r="CKF20" s="91"/>
      <c r="CKG20" s="91"/>
      <c r="CKH20" s="91"/>
      <c r="CKI20" s="91"/>
      <c r="CKJ20" s="91"/>
      <c r="CKK20" s="91"/>
      <c r="CKL20" s="91"/>
      <c r="CKM20" s="91"/>
      <c r="CKN20" s="91"/>
      <c r="CKO20" s="91"/>
      <c r="CKP20" s="91"/>
      <c r="CKQ20" s="91"/>
      <c r="CKR20" s="91"/>
      <c r="CKS20" s="91"/>
      <c r="CKT20" s="91"/>
      <c r="CKU20" s="91"/>
      <c r="CKV20" s="91"/>
      <c r="CKW20" s="91"/>
      <c r="CKX20" s="91"/>
      <c r="CKY20" s="91"/>
      <c r="CKZ20" s="91"/>
      <c r="CLA20" s="91"/>
      <c r="CLB20" s="91"/>
      <c r="CLC20" s="91"/>
      <c r="CLD20" s="91"/>
      <c r="CLE20" s="91"/>
      <c r="CLF20" s="91"/>
      <c r="CLG20" s="91"/>
      <c r="CLH20" s="91"/>
      <c r="CLI20" s="91"/>
      <c r="CLJ20" s="91"/>
      <c r="CLK20" s="91"/>
      <c r="CLL20" s="91"/>
      <c r="CLM20" s="91"/>
      <c r="CLN20" s="91"/>
      <c r="CLO20" s="91"/>
      <c r="CLP20" s="91"/>
      <c r="CLQ20" s="91"/>
      <c r="CLR20" s="91"/>
      <c r="CLS20" s="91"/>
      <c r="CLT20" s="91"/>
      <c r="CLU20" s="91"/>
      <c r="CLV20" s="91"/>
      <c r="CLW20" s="91"/>
      <c r="CLX20" s="91"/>
      <c r="CLY20" s="91"/>
      <c r="CLZ20" s="91"/>
      <c r="CMA20" s="91"/>
      <c r="CMB20" s="91"/>
      <c r="CMC20" s="91"/>
      <c r="CMD20" s="91"/>
      <c r="CME20" s="91"/>
      <c r="CMF20" s="91"/>
      <c r="CMG20" s="91"/>
      <c r="CMH20" s="91"/>
      <c r="CMI20" s="91"/>
      <c r="CMJ20" s="91"/>
      <c r="CMK20" s="91"/>
      <c r="CML20" s="91"/>
      <c r="CMM20" s="91"/>
      <c r="CMN20" s="91"/>
      <c r="CMO20" s="91"/>
      <c r="CMP20" s="91"/>
      <c r="CMQ20" s="91"/>
      <c r="CMR20" s="91"/>
      <c r="CMS20" s="91"/>
      <c r="CMT20" s="91"/>
      <c r="CMU20" s="91"/>
      <c r="CMV20" s="91"/>
      <c r="CMW20" s="91"/>
      <c r="CMX20" s="91"/>
      <c r="CMY20" s="91"/>
      <c r="CMZ20" s="91"/>
      <c r="CNA20" s="91"/>
      <c r="CNB20" s="91"/>
      <c r="CNC20" s="91"/>
      <c r="CND20" s="91"/>
      <c r="CNE20" s="91"/>
      <c r="CNF20" s="91"/>
      <c r="CNG20" s="91"/>
      <c r="CNH20" s="91"/>
      <c r="CNI20" s="91"/>
      <c r="CNJ20" s="91"/>
      <c r="CNK20" s="91"/>
      <c r="CNL20" s="91"/>
      <c r="CNM20" s="91"/>
      <c r="CNN20" s="91"/>
      <c r="CNO20" s="91"/>
      <c r="CNP20" s="91"/>
      <c r="CNQ20" s="91"/>
      <c r="CNR20" s="91"/>
      <c r="CNS20" s="91"/>
      <c r="CNT20" s="91"/>
      <c r="CNU20" s="91"/>
      <c r="CNV20" s="91"/>
      <c r="CNW20" s="91"/>
      <c r="CNX20" s="91"/>
      <c r="CNY20" s="91"/>
      <c r="CNZ20" s="91"/>
      <c r="COA20" s="91"/>
      <c r="COB20" s="91"/>
      <c r="COC20" s="91"/>
      <c r="COD20" s="91"/>
      <c r="COE20" s="91"/>
      <c r="COF20" s="91"/>
      <c r="COG20" s="91"/>
      <c r="COH20" s="91"/>
      <c r="COI20" s="91"/>
      <c r="COJ20" s="91"/>
      <c r="COK20" s="91"/>
      <c r="COL20" s="91"/>
      <c r="COM20" s="91"/>
      <c r="CON20" s="91"/>
      <c r="COO20" s="91"/>
      <c r="COP20" s="91"/>
      <c r="COQ20" s="91"/>
      <c r="COR20" s="91"/>
      <c r="COS20" s="91"/>
      <c r="COT20" s="91"/>
      <c r="COU20" s="91"/>
      <c r="COV20" s="91"/>
      <c r="COW20" s="91"/>
      <c r="COX20" s="91"/>
      <c r="COY20" s="91"/>
      <c r="COZ20" s="91"/>
      <c r="CPA20" s="91"/>
      <c r="CPB20" s="91"/>
      <c r="CPC20" s="91"/>
      <c r="CPD20" s="91"/>
      <c r="CPE20" s="91"/>
      <c r="CPF20" s="91"/>
      <c r="CPG20" s="91"/>
      <c r="CPH20" s="91"/>
      <c r="CPI20" s="91"/>
      <c r="CPJ20" s="91"/>
      <c r="CPK20" s="91"/>
      <c r="CPL20" s="91"/>
      <c r="CPM20" s="91"/>
      <c r="CPN20" s="91"/>
      <c r="CPO20" s="91"/>
      <c r="CPP20" s="91"/>
      <c r="CPQ20" s="91"/>
      <c r="CPR20" s="91"/>
      <c r="CPS20" s="91"/>
      <c r="CPT20" s="91"/>
      <c r="CPU20" s="91"/>
      <c r="CPV20" s="91"/>
      <c r="CPW20" s="91"/>
      <c r="CPX20" s="91"/>
      <c r="CPY20" s="91"/>
      <c r="CPZ20" s="91"/>
      <c r="CQA20" s="91"/>
      <c r="CQB20" s="91"/>
      <c r="CQC20" s="91"/>
      <c r="CQD20" s="91"/>
      <c r="CQE20" s="91"/>
      <c r="CQF20" s="91"/>
      <c r="CQG20" s="91"/>
      <c r="CQH20" s="91"/>
      <c r="CQI20" s="91"/>
      <c r="CQJ20" s="91"/>
      <c r="CQK20" s="91"/>
      <c r="CQL20" s="91"/>
      <c r="CQM20" s="91"/>
      <c r="CQN20" s="91"/>
      <c r="CQO20" s="91"/>
      <c r="CQP20" s="91"/>
      <c r="CQQ20" s="91"/>
      <c r="CQR20" s="91"/>
      <c r="CQS20" s="91"/>
      <c r="CQT20" s="91"/>
      <c r="CQU20" s="91"/>
      <c r="CQV20" s="91"/>
      <c r="CQW20" s="91"/>
      <c r="CQX20" s="91"/>
      <c r="CQY20" s="91"/>
      <c r="CQZ20" s="91"/>
      <c r="CRA20" s="91"/>
      <c r="CRB20" s="91"/>
      <c r="CRC20" s="91"/>
      <c r="CRD20" s="91"/>
      <c r="CRE20" s="91"/>
      <c r="CRF20" s="91"/>
      <c r="CRG20" s="91"/>
      <c r="CRH20" s="91"/>
      <c r="CRI20" s="91"/>
      <c r="CRJ20" s="91"/>
      <c r="CRK20" s="91"/>
      <c r="CRL20" s="91"/>
      <c r="CRM20" s="91"/>
      <c r="CRN20" s="91"/>
      <c r="CRO20" s="91"/>
      <c r="CRP20" s="91"/>
      <c r="CRQ20" s="91"/>
      <c r="CRR20" s="91"/>
      <c r="CRS20" s="91"/>
      <c r="CRT20" s="91"/>
      <c r="CRU20" s="91"/>
      <c r="CRV20" s="91"/>
      <c r="CRW20" s="91"/>
      <c r="CRX20" s="91"/>
      <c r="CRY20" s="91"/>
      <c r="CRZ20" s="91"/>
      <c r="CSA20" s="91"/>
      <c r="CSB20" s="91"/>
      <c r="CSC20" s="91"/>
      <c r="CSD20" s="91"/>
      <c r="CSE20" s="91"/>
      <c r="CSF20" s="91"/>
      <c r="CSG20" s="91"/>
      <c r="CSH20" s="91"/>
      <c r="CSI20" s="91"/>
      <c r="CSJ20" s="91"/>
      <c r="CSK20" s="91"/>
      <c r="CSL20" s="91"/>
      <c r="CSM20" s="91"/>
      <c r="CSN20" s="91"/>
      <c r="CSO20" s="91"/>
      <c r="CSP20" s="91"/>
      <c r="CSQ20" s="91"/>
      <c r="CSR20" s="91"/>
      <c r="CSS20" s="91"/>
      <c r="CST20" s="91"/>
      <c r="CSU20" s="91"/>
      <c r="CSV20" s="91"/>
      <c r="CSW20" s="91"/>
      <c r="CSX20" s="91"/>
      <c r="CSY20" s="91"/>
      <c r="CSZ20" s="91"/>
      <c r="CTA20" s="91"/>
      <c r="CTB20" s="91"/>
      <c r="CTC20" s="91"/>
      <c r="CTD20" s="91"/>
      <c r="CTE20" s="91"/>
      <c r="CTF20" s="91"/>
      <c r="CTG20" s="91"/>
      <c r="CTH20" s="91"/>
      <c r="CTI20" s="91"/>
      <c r="CTJ20" s="91"/>
      <c r="CTK20" s="91"/>
      <c r="CTL20" s="91"/>
      <c r="CTM20" s="91"/>
      <c r="CTN20" s="91"/>
      <c r="CTO20" s="91"/>
      <c r="CTP20" s="91"/>
      <c r="CTQ20" s="91"/>
      <c r="CTR20" s="91"/>
      <c r="CTS20" s="91"/>
      <c r="CTT20" s="91"/>
      <c r="CTU20" s="91"/>
      <c r="CTV20" s="91"/>
      <c r="CTW20" s="91"/>
      <c r="CTX20" s="91"/>
      <c r="CTY20" s="91"/>
      <c r="CTZ20" s="91"/>
      <c r="CUA20" s="91"/>
      <c r="CUB20" s="91"/>
      <c r="CUC20" s="91"/>
      <c r="CUD20" s="91"/>
      <c r="CUE20" s="91"/>
      <c r="CUF20" s="91"/>
      <c r="CUG20" s="91"/>
      <c r="CUH20" s="91"/>
      <c r="CUI20" s="91"/>
      <c r="CUJ20" s="91"/>
      <c r="CUK20" s="91"/>
      <c r="CUL20" s="91"/>
      <c r="CUM20" s="91"/>
      <c r="CUN20" s="91"/>
      <c r="CUO20" s="91"/>
      <c r="CUP20" s="91"/>
      <c r="CUQ20" s="91"/>
      <c r="CUR20" s="91"/>
      <c r="CUS20" s="91"/>
      <c r="CUT20" s="91"/>
      <c r="CUU20" s="91"/>
      <c r="CUV20" s="91"/>
      <c r="CUW20" s="91"/>
      <c r="CUX20" s="91"/>
      <c r="CUY20" s="91"/>
      <c r="CUZ20" s="91"/>
      <c r="CVA20" s="91"/>
      <c r="CVB20" s="91"/>
      <c r="CVC20" s="91"/>
      <c r="CVD20" s="91"/>
      <c r="CVE20" s="91"/>
      <c r="CVF20" s="91"/>
      <c r="CVG20" s="91"/>
      <c r="CVH20" s="91"/>
      <c r="CVI20" s="91"/>
      <c r="CVJ20" s="91"/>
      <c r="CVK20" s="91"/>
      <c r="CVL20" s="91"/>
      <c r="CVM20" s="91"/>
      <c r="CVN20" s="91"/>
      <c r="CVO20" s="91"/>
      <c r="CVP20" s="91"/>
      <c r="CVQ20" s="91"/>
      <c r="CVR20" s="91"/>
      <c r="CVS20" s="91"/>
      <c r="CVT20" s="91"/>
      <c r="CVU20" s="91"/>
      <c r="CVV20" s="91"/>
      <c r="CVW20" s="91"/>
      <c r="CVX20" s="91"/>
      <c r="CVY20" s="91"/>
      <c r="CVZ20" s="91"/>
      <c r="CWA20" s="91"/>
      <c r="CWB20" s="91"/>
      <c r="CWC20" s="91"/>
      <c r="CWD20" s="91"/>
      <c r="CWE20" s="91"/>
      <c r="CWF20" s="91"/>
      <c r="CWG20" s="91"/>
      <c r="CWH20" s="91"/>
      <c r="CWI20" s="91"/>
      <c r="CWJ20" s="91"/>
      <c r="CWK20" s="91"/>
      <c r="CWL20" s="91"/>
      <c r="CWM20" s="91"/>
      <c r="CWN20" s="91"/>
      <c r="CWO20" s="91"/>
      <c r="CWP20" s="91"/>
      <c r="CWQ20" s="91"/>
      <c r="CWR20" s="91"/>
      <c r="CWS20" s="91"/>
      <c r="CWT20" s="91"/>
      <c r="CWU20" s="91"/>
      <c r="CWV20" s="91"/>
      <c r="CWW20" s="91"/>
      <c r="CWX20" s="91"/>
      <c r="CWY20" s="91"/>
      <c r="CWZ20" s="91"/>
      <c r="CXA20" s="91"/>
      <c r="CXB20" s="91"/>
      <c r="CXC20" s="91"/>
      <c r="CXD20" s="91"/>
      <c r="CXE20" s="91"/>
      <c r="CXF20" s="91"/>
      <c r="CXG20" s="91"/>
      <c r="CXH20" s="91"/>
      <c r="CXI20" s="91"/>
      <c r="CXJ20" s="91"/>
      <c r="CXK20" s="91"/>
      <c r="CXL20" s="91"/>
      <c r="CXM20" s="91"/>
      <c r="CXN20" s="91"/>
      <c r="CXO20" s="91"/>
      <c r="CXP20" s="91"/>
      <c r="CXQ20" s="91"/>
      <c r="CXR20" s="91"/>
      <c r="CXS20" s="91"/>
      <c r="CXT20" s="91"/>
      <c r="CXU20" s="91"/>
      <c r="CXV20" s="91"/>
      <c r="CXW20" s="91"/>
      <c r="CXX20" s="91"/>
      <c r="CXY20" s="91"/>
      <c r="CXZ20" s="91"/>
      <c r="CYA20" s="91"/>
      <c r="CYB20" s="91"/>
      <c r="CYC20" s="91"/>
      <c r="CYD20" s="91"/>
      <c r="CYE20" s="91"/>
      <c r="CYF20" s="91"/>
      <c r="CYG20" s="91"/>
      <c r="CYH20" s="91"/>
      <c r="CYI20" s="91"/>
      <c r="CYJ20" s="91"/>
      <c r="CYK20" s="91"/>
      <c r="CYL20" s="91"/>
      <c r="CYM20" s="91"/>
      <c r="CYN20" s="91"/>
      <c r="CYO20" s="91"/>
      <c r="CYP20" s="91"/>
      <c r="CYQ20" s="91"/>
      <c r="CYR20" s="91"/>
      <c r="CYS20" s="91"/>
      <c r="CYT20" s="91"/>
      <c r="CYU20" s="91"/>
      <c r="CYV20" s="91"/>
      <c r="CYW20" s="91"/>
      <c r="CYX20" s="91"/>
      <c r="CYY20" s="91"/>
      <c r="CYZ20" s="91"/>
      <c r="CZA20" s="91"/>
      <c r="CZB20" s="91"/>
      <c r="CZC20" s="91"/>
      <c r="CZD20" s="91"/>
      <c r="CZE20" s="91"/>
      <c r="CZF20" s="91"/>
      <c r="CZG20" s="91"/>
      <c r="CZH20" s="91"/>
      <c r="CZI20" s="91"/>
      <c r="CZJ20" s="91"/>
      <c r="CZK20" s="91"/>
      <c r="CZL20" s="91"/>
      <c r="CZM20" s="91"/>
      <c r="CZN20" s="91"/>
      <c r="CZO20" s="91"/>
      <c r="CZP20" s="91"/>
      <c r="CZQ20" s="91"/>
      <c r="CZR20" s="91"/>
      <c r="CZS20" s="91"/>
      <c r="CZT20" s="91"/>
      <c r="CZU20" s="91"/>
      <c r="CZV20" s="91"/>
      <c r="CZW20" s="91"/>
      <c r="CZX20" s="91"/>
      <c r="CZY20" s="91"/>
      <c r="CZZ20" s="91"/>
      <c r="DAA20" s="91"/>
      <c r="DAB20" s="91"/>
      <c r="DAC20" s="91"/>
      <c r="DAD20" s="91"/>
      <c r="DAE20" s="91"/>
      <c r="DAF20" s="91"/>
      <c r="DAG20" s="91"/>
      <c r="DAH20" s="91"/>
      <c r="DAI20" s="91"/>
      <c r="DAJ20" s="91"/>
      <c r="DAK20" s="91"/>
      <c r="DAL20" s="91"/>
      <c r="DAM20" s="91"/>
      <c r="DAN20" s="91"/>
      <c r="DAO20" s="91"/>
      <c r="DAP20" s="91"/>
      <c r="DAQ20" s="91"/>
      <c r="DAR20" s="91"/>
      <c r="DAS20" s="91"/>
      <c r="DAT20" s="91"/>
      <c r="DAU20" s="91"/>
      <c r="DAV20" s="91"/>
      <c r="DAW20" s="91"/>
      <c r="DAX20" s="91"/>
      <c r="DAY20" s="91"/>
      <c r="DAZ20" s="91"/>
      <c r="DBA20" s="91"/>
      <c r="DBB20" s="91"/>
      <c r="DBC20" s="91"/>
      <c r="DBD20" s="91"/>
      <c r="DBE20" s="91"/>
      <c r="DBF20" s="91"/>
      <c r="DBG20" s="91"/>
      <c r="DBH20" s="91"/>
      <c r="DBI20" s="91"/>
      <c r="DBJ20" s="91"/>
      <c r="DBK20" s="91"/>
      <c r="DBL20" s="91"/>
      <c r="DBM20" s="91"/>
      <c r="DBN20" s="91"/>
      <c r="DBO20" s="91"/>
      <c r="DBP20" s="91"/>
      <c r="DBQ20" s="91"/>
      <c r="DBR20" s="91"/>
      <c r="DBS20" s="91"/>
      <c r="DBT20" s="91"/>
      <c r="DBU20" s="91"/>
      <c r="DBV20" s="91"/>
      <c r="DBW20" s="91"/>
      <c r="DBX20" s="91"/>
      <c r="DBY20" s="91"/>
      <c r="DBZ20" s="91"/>
      <c r="DCA20" s="91"/>
      <c r="DCB20" s="91"/>
      <c r="DCC20" s="91"/>
      <c r="DCD20" s="91"/>
      <c r="DCE20" s="91"/>
      <c r="DCF20" s="91"/>
      <c r="DCG20" s="91"/>
      <c r="DCH20" s="91"/>
      <c r="DCI20" s="91"/>
      <c r="DCJ20" s="91"/>
      <c r="DCK20" s="91"/>
      <c r="DCL20" s="91"/>
      <c r="DCM20" s="91"/>
      <c r="DCN20" s="91"/>
      <c r="DCO20" s="91"/>
      <c r="DCP20" s="91"/>
      <c r="DCQ20" s="91"/>
      <c r="DCR20" s="91"/>
      <c r="DCS20" s="91"/>
      <c r="DCT20" s="91"/>
      <c r="DCU20" s="91"/>
      <c r="DCV20" s="91"/>
      <c r="DCW20" s="91"/>
      <c r="DCX20" s="91"/>
      <c r="DCY20" s="91"/>
      <c r="DCZ20" s="91"/>
      <c r="DDA20" s="91"/>
      <c r="DDB20" s="91"/>
      <c r="DDC20" s="91"/>
      <c r="DDD20" s="91"/>
      <c r="DDE20" s="91"/>
      <c r="DDF20" s="91"/>
      <c r="DDG20" s="91"/>
      <c r="DDH20" s="91"/>
      <c r="DDI20" s="91"/>
      <c r="DDJ20" s="91"/>
      <c r="DDK20" s="91"/>
      <c r="DDL20" s="91"/>
      <c r="DDM20" s="91"/>
      <c r="DDN20" s="91"/>
      <c r="DDO20" s="91"/>
      <c r="DDP20" s="91"/>
      <c r="DDQ20" s="91"/>
      <c r="DDR20" s="91"/>
      <c r="DDS20" s="91"/>
      <c r="DDT20" s="91"/>
      <c r="DDU20" s="91"/>
      <c r="DDV20" s="91"/>
      <c r="DDW20" s="91"/>
      <c r="DDX20" s="91"/>
      <c r="DDY20" s="91"/>
      <c r="DDZ20" s="91"/>
      <c r="DEA20" s="91"/>
      <c r="DEB20" s="91"/>
      <c r="DEC20" s="91"/>
      <c r="DED20" s="91"/>
      <c r="DEE20" s="91"/>
      <c r="DEF20" s="91"/>
      <c r="DEG20" s="91"/>
      <c r="DEH20" s="91"/>
      <c r="DEI20" s="91"/>
      <c r="DEJ20" s="91"/>
      <c r="DEK20" s="91"/>
      <c r="DEL20" s="91"/>
      <c r="DEM20" s="91"/>
      <c r="DEN20" s="91"/>
      <c r="DEO20" s="91"/>
      <c r="DEP20" s="91"/>
      <c r="DEQ20" s="91"/>
      <c r="DER20" s="91"/>
      <c r="DES20" s="91"/>
      <c r="DET20" s="91"/>
      <c r="DEU20" s="91"/>
      <c r="DEV20" s="91"/>
      <c r="DEW20" s="91"/>
      <c r="DEX20" s="91"/>
      <c r="DEY20" s="91"/>
      <c r="DEZ20" s="91"/>
      <c r="DFA20" s="91"/>
      <c r="DFB20" s="91"/>
      <c r="DFC20" s="91"/>
      <c r="DFD20" s="91"/>
      <c r="DFE20" s="91"/>
      <c r="DFF20" s="91"/>
      <c r="DFG20" s="91"/>
      <c r="DFH20" s="91"/>
      <c r="DFI20" s="91"/>
      <c r="DFJ20" s="91"/>
      <c r="DFK20" s="91"/>
      <c r="DFL20" s="91"/>
      <c r="DFM20" s="91"/>
      <c r="DFN20" s="91"/>
      <c r="DFO20" s="91"/>
      <c r="DFP20" s="91"/>
      <c r="DFQ20" s="91"/>
      <c r="DFR20" s="91"/>
      <c r="DFS20" s="91"/>
      <c r="DFT20" s="91"/>
      <c r="DFU20" s="91"/>
      <c r="DFV20" s="91"/>
      <c r="DFW20" s="91"/>
      <c r="DFX20" s="91"/>
      <c r="DFY20" s="91"/>
      <c r="DFZ20" s="91"/>
      <c r="DGA20" s="91"/>
      <c r="DGB20" s="91"/>
      <c r="DGC20" s="91"/>
      <c r="DGD20" s="91"/>
      <c r="DGE20" s="91"/>
      <c r="DGF20" s="91"/>
      <c r="DGG20" s="91"/>
      <c r="DGH20" s="91"/>
      <c r="DGI20" s="91"/>
      <c r="DGJ20" s="91"/>
      <c r="DGK20" s="91"/>
      <c r="DGL20" s="91"/>
      <c r="DGM20" s="91"/>
      <c r="DGN20" s="91"/>
      <c r="DGO20" s="91"/>
      <c r="DGP20" s="91"/>
      <c r="DGQ20" s="91"/>
      <c r="DGR20" s="91"/>
      <c r="DGS20" s="91"/>
      <c r="DGT20" s="91"/>
      <c r="DGU20" s="91"/>
      <c r="DGV20" s="91"/>
      <c r="DGW20" s="91"/>
      <c r="DGX20" s="91"/>
      <c r="DGY20" s="91"/>
      <c r="DGZ20" s="91"/>
      <c r="DHA20" s="91"/>
      <c r="DHB20" s="91"/>
      <c r="DHC20" s="91"/>
      <c r="DHD20" s="91"/>
      <c r="DHE20" s="91"/>
      <c r="DHF20" s="91"/>
      <c r="DHG20" s="91"/>
      <c r="DHH20" s="91"/>
      <c r="DHI20" s="91"/>
      <c r="DHJ20" s="91"/>
      <c r="DHK20" s="91"/>
      <c r="DHL20" s="91"/>
      <c r="DHM20" s="91"/>
      <c r="DHN20" s="91"/>
      <c r="DHO20" s="91"/>
      <c r="DHP20" s="91"/>
      <c r="DHQ20" s="91"/>
      <c r="DHR20" s="91"/>
      <c r="DHS20" s="91"/>
      <c r="DHT20" s="91"/>
      <c r="DHU20" s="91"/>
      <c r="DHV20" s="91"/>
      <c r="DHW20" s="91"/>
      <c r="DHX20" s="91"/>
      <c r="DHY20" s="91"/>
      <c r="DHZ20" s="91"/>
      <c r="DIA20" s="91"/>
      <c r="DIB20" s="91"/>
      <c r="DIC20" s="91"/>
      <c r="DID20" s="91"/>
      <c r="DIE20" s="91"/>
      <c r="DIF20" s="91"/>
      <c r="DIG20" s="91"/>
      <c r="DIH20" s="91"/>
      <c r="DII20" s="91"/>
      <c r="DIJ20" s="91"/>
      <c r="DIK20" s="91"/>
      <c r="DIL20" s="91"/>
      <c r="DIM20" s="91"/>
      <c r="DIN20" s="91"/>
      <c r="DIO20" s="91"/>
      <c r="DIP20" s="91"/>
      <c r="DIQ20" s="91"/>
      <c r="DIR20" s="91"/>
      <c r="DIS20" s="91"/>
      <c r="DIT20" s="91"/>
      <c r="DIU20" s="91"/>
      <c r="DIV20" s="91"/>
      <c r="DIW20" s="91"/>
      <c r="DIX20" s="91"/>
      <c r="DIY20" s="91"/>
      <c r="DIZ20" s="91"/>
      <c r="DJA20" s="91"/>
      <c r="DJB20" s="91"/>
      <c r="DJC20" s="91"/>
      <c r="DJD20" s="91"/>
      <c r="DJE20" s="91"/>
      <c r="DJF20" s="91"/>
      <c r="DJG20" s="91"/>
      <c r="DJH20" s="91"/>
      <c r="DJI20" s="91"/>
      <c r="DJJ20" s="91"/>
      <c r="DJK20" s="91"/>
      <c r="DJL20" s="91"/>
      <c r="DJM20" s="91"/>
      <c r="DJN20" s="91"/>
      <c r="DJO20" s="91"/>
      <c r="DJP20" s="91"/>
      <c r="DJQ20" s="91"/>
      <c r="DJR20" s="91"/>
      <c r="DJS20" s="91"/>
      <c r="DJT20" s="91"/>
      <c r="DJU20" s="91"/>
      <c r="DJV20" s="91"/>
      <c r="DJW20" s="91"/>
      <c r="DJX20" s="91"/>
      <c r="DJY20" s="91"/>
      <c r="DJZ20" s="91"/>
      <c r="DKA20" s="91"/>
      <c r="DKB20" s="91"/>
      <c r="DKC20" s="91"/>
      <c r="DKD20" s="91"/>
      <c r="DKE20" s="91"/>
      <c r="DKF20" s="91"/>
      <c r="DKG20" s="91"/>
      <c r="DKH20" s="91"/>
      <c r="DKI20" s="91"/>
      <c r="DKJ20" s="91"/>
      <c r="DKK20" s="91"/>
      <c r="DKL20" s="91"/>
      <c r="DKM20" s="91"/>
      <c r="DKN20" s="91"/>
      <c r="DKO20" s="91"/>
      <c r="DKP20" s="91"/>
      <c r="DKQ20" s="91"/>
      <c r="DKR20" s="91"/>
      <c r="DKS20" s="91"/>
      <c r="DKT20" s="91"/>
      <c r="DKU20" s="91"/>
      <c r="DKV20" s="91"/>
      <c r="DKW20" s="91"/>
      <c r="DKX20" s="91"/>
      <c r="DKY20" s="91"/>
      <c r="DKZ20" s="91"/>
      <c r="DLA20" s="91"/>
      <c r="DLB20" s="91"/>
      <c r="DLC20" s="91"/>
      <c r="DLD20" s="91"/>
      <c r="DLE20" s="91"/>
      <c r="DLF20" s="91"/>
      <c r="DLG20" s="91"/>
      <c r="DLH20" s="91"/>
      <c r="DLI20" s="91"/>
      <c r="DLJ20" s="91"/>
      <c r="DLK20" s="91"/>
      <c r="DLL20" s="91"/>
      <c r="DLM20" s="91"/>
      <c r="DLN20" s="91"/>
      <c r="DLO20" s="91"/>
      <c r="DLP20" s="91"/>
      <c r="DLQ20" s="91"/>
      <c r="DLR20" s="91"/>
      <c r="DLS20" s="91"/>
      <c r="DLT20" s="91"/>
      <c r="DLU20" s="91"/>
      <c r="DLV20" s="91"/>
      <c r="DLW20" s="91"/>
      <c r="DLX20" s="91"/>
      <c r="DLY20" s="91"/>
      <c r="DLZ20" s="91"/>
      <c r="DMA20" s="91"/>
      <c r="DMB20" s="91"/>
      <c r="DMC20" s="91"/>
      <c r="DMD20" s="91"/>
      <c r="DME20" s="91"/>
      <c r="DMF20" s="91"/>
      <c r="DMG20" s="91"/>
      <c r="DMH20" s="91"/>
      <c r="DMI20" s="91"/>
      <c r="DMJ20" s="91"/>
      <c r="DMK20" s="91"/>
      <c r="DML20" s="91"/>
      <c r="DMM20" s="91"/>
      <c r="DMN20" s="91"/>
      <c r="DMO20" s="91"/>
      <c r="DMP20" s="91"/>
      <c r="DMQ20" s="91"/>
      <c r="DMR20" s="91"/>
      <c r="DMS20" s="91"/>
      <c r="DMT20" s="91"/>
      <c r="DMU20" s="91"/>
      <c r="DMV20" s="91"/>
      <c r="DMW20" s="91"/>
      <c r="DMX20" s="91"/>
      <c r="DMY20" s="91"/>
      <c r="DMZ20" s="91"/>
      <c r="DNA20" s="91"/>
      <c r="DNB20" s="91"/>
      <c r="DNC20" s="91"/>
      <c r="DND20" s="91"/>
      <c r="DNE20" s="91"/>
      <c r="DNF20" s="91"/>
      <c r="DNG20" s="91"/>
      <c r="DNH20" s="91"/>
      <c r="DNI20" s="91"/>
      <c r="DNJ20" s="91"/>
      <c r="DNK20" s="91"/>
      <c r="DNL20" s="91"/>
      <c r="DNM20" s="91"/>
      <c r="DNN20" s="91"/>
      <c r="DNO20" s="91"/>
      <c r="DNP20" s="91"/>
      <c r="DNQ20" s="91"/>
      <c r="DNR20" s="91"/>
      <c r="DNS20" s="91"/>
      <c r="DNT20" s="91"/>
      <c r="DNU20" s="91"/>
      <c r="DNV20" s="91"/>
      <c r="DNW20" s="91"/>
      <c r="DNX20" s="91"/>
      <c r="DNY20" s="91"/>
      <c r="DNZ20" s="91"/>
      <c r="DOA20" s="91"/>
      <c r="DOB20" s="91"/>
      <c r="DOC20" s="91"/>
      <c r="DOD20" s="91"/>
      <c r="DOE20" s="91"/>
      <c r="DOF20" s="91"/>
      <c r="DOG20" s="91"/>
      <c r="DOH20" s="91"/>
      <c r="DOI20" s="91"/>
      <c r="DOJ20" s="91"/>
      <c r="DOK20" s="91"/>
      <c r="DOL20" s="91"/>
      <c r="DOM20" s="91"/>
      <c r="DON20" s="91"/>
      <c r="DOO20" s="91"/>
      <c r="DOP20" s="91"/>
      <c r="DOQ20" s="91"/>
      <c r="DOR20" s="91"/>
      <c r="DOS20" s="91"/>
      <c r="DOT20" s="91"/>
      <c r="DOU20" s="91"/>
      <c r="DOV20" s="91"/>
      <c r="DOW20" s="91"/>
      <c r="DOX20" s="91"/>
      <c r="DOY20" s="91"/>
      <c r="DOZ20" s="91"/>
      <c r="DPA20" s="91"/>
      <c r="DPB20" s="91"/>
      <c r="DPC20" s="91"/>
      <c r="DPD20" s="91"/>
      <c r="DPE20" s="91"/>
      <c r="DPF20" s="91"/>
      <c r="DPG20" s="91"/>
      <c r="DPH20" s="91"/>
      <c r="DPI20" s="91"/>
      <c r="DPJ20" s="91"/>
      <c r="DPK20" s="91"/>
      <c r="DPL20" s="91"/>
      <c r="DPM20" s="91"/>
      <c r="DPN20" s="91"/>
      <c r="DPO20" s="91"/>
      <c r="DPP20" s="91"/>
      <c r="DPQ20" s="91"/>
      <c r="DPR20" s="91"/>
      <c r="DPS20" s="91"/>
      <c r="DPT20" s="91"/>
      <c r="DPU20" s="91"/>
      <c r="DPV20" s="91"/>
      <c r="DPW20" s="91"/>
      <c r="DPX20" s="91"/>
      <c r="DPY20" s="91"/>
      <c r="DPZ20" s="91"/>
      <c r="DQA20" s="91"/>
      <c r="DQB20" s="91"/>
      <c r="DQC20" s="91"/>
      <c r="DQD20" s="91"/>
      <c r="DQE20" s="91"/>
      <c r="DQF20" s="91"/>
      <c r="DQG20" s="91"/>
      <c r="DQH20" s="91"/>
      <c r="DQI20" s="91"/>
      <c r="DQJ20" s="91"/>
      <c r="DQK20" s="91"/>
      <c r="DQL20" s="91"/>
      <c r="DQM20" s="91"/>
      <c r="DQN20" s="91"/>
      <c r="DQO20" s="91"/>
      <c r="DQP20" s="91"/>
      <c r="DQQ20" s="91"/>
      <c r="DQR20" s="91"/>
      <c r="DQS20" s="91"/>
      <c r="DQT20" s="91"/>
      <c r="DQU20" s="91"/>
      <c r="DQV20" s="91"/>
      <c r="DQW20" s="91"/>
      <c r="DQX20" s="91"/>
      <c r="DQY20" s="91"/>
      <c r="DQZ20" s="91"/>
      <c r="DRA20" s="91"/>
      <c r="DRB20" s="91"/>
      <c r="DRC20" s="91"/>
      <c r="DRD20" s="91"/>
      <c r="DRE20" s="91"/>
      <c r="DRF20" s="91"/>
      <c r="DRG20" s="91"/>
      <c r="DRH20" s="91"/>
      <c r="DRI20" s="91"/>
      <c r="DRJ20" s="91"/>
      <c r="DRK20" s="91"/>
      <c r="DRL20" s="91"/>
      <c r="DRM20" s="91"/>
      <c r="DRN20" s="91"/>
      <c r="DRO20" s="91"/>
      <c r="DRP20" s="91"/>
      <c r="DRQ20" s="91"/>
      <c r="DRR20" s="91"/>
      <c r="DRS20" s="91"/>
      <c r="DRT20" s="91"/>
      <c r="DRU20" s="91"/>
      <c r="DRV20" s="91"/>
      <c r="DRW20" s="91"/>
      <c r="DRX20" s="91"/>
      <c r="DRY20" s="91"/>
      <c r="DRZ20" s="91"/>
      <c r="DSA20" s="91"/>
      <c r="DSB20" s="91"/>
      <c r="DSC20" s="91"/>
      <c r="DSD20" s="91"/>
      <c r="DSE20" s="91"/>
      <c r="DSF20" s="91"/>
      <c r="DSG20" s="91"/>
      <c r="DSH20" s="91"/>
      <c r="DSI20" s="91"/>
      <c r="DSJ20" s="91"/>
      <c r="DSK20" s="91"/>
      <c r="DSL20" s="91"/>
      <c r="DSM20" s="91"/>
      <c r="DSN20" s="91"/>
      <c r="DSO20" s="91"/>
      <c r="DSP20" s="91"/>
      <c r="DSQ20" s="91"/>
      <c r="DSR20" s="91"/>
      <c r="DSS20" s="91"/>
      <c r="DST20" s="91"/>
      <c r="DSU20" s="91"/>
      <c r="DSV20" s="91"/>
      <c r="DSW20" s="91"/>
      <c r="DSX20" s="91"/>
      <c r="DSY20" s="91"/>
      <c r="DSZ20" s="91"/>
      <c r="DTA20" s="91"/>
      <c r="DTB20" s="91"/>
      <c r="DTC20" s="91"/>
      <c r="DTD20" s="91"/>
      <c r="DTE20" s="91"/>
      <c r="DTF20" s="91"/>
      <c r="DTG20" s="91"/>
      <c r="DTH20" s="91"/>
      <c r="DTI20" s="91"/>
      <c r="DTJ20" s="91"/>
      <c r="DTK20" s="91"/>
      <c r="DTL20" s="91"/>
      <c r="DTM20" s="91"/>
      <c r="DTN20" s="91"/>
      <c r="DTO20" s="91"/>
      <c r="DTP20" s="91"/>
      <c r="DTQ20" s="91"/>
      <c r="DTR20" s="91"/>
      <c r="DTS20" s="91"/>
      <c r="DTT20" s="91"/>
      <c r="DTU20" s="91"/>
      <c r="DTV20" s="91"/>
      <c r="DTW20" s="91"/>
      <c r="DTX20" s="91"/>
      <c r="DTY20" s="91"/>
      <c r="DTZ20" s="91"/>
      <c r="DUA20" s="91"/>
      <c r="DUB20" s="91"/>
      <c r="DUC20" s="91"/>
      <c r="DUD20" s="91"/>
      <c r="DUE20" s="91"/>
      <c r="DUF20" s="91"/>
      <c r="DUG20" s="91"/>
      <c r="DUH20" s="91"/>
      <c r="DUI20" s="91"/>
      <c r="DUJ20" s="91"/>
      <c r="DUK20" s="91"/>
      <c r="DUL20" s="91"/>
      <c r="DUM20" s="91"/>
      <c r="DUN20" s="91"/>
      <c r="DUO20" s="91"/>
      <c r="DUP20" s="91"/>
      <c r="DUQ20" s="91"/>
      <c r="DUR20" s="91"/>
      <c r="DUS20" s="91"/>
      <c r="DUT20" s="91"/>
      <c r="DUU20" s="91"/>
      <c r="DUV20" s="91"/>
      <c r="DUW20" s="91"/>
      <c r="DUX20" s="91"/>
      <c r="DUY20" s="91"/>
      <c r="DUZ20" s="91"/>
      <c r="DVA20" s="91"/>
      <c r="DVB20" s="91"/>
      <c r="DVC20" s="91"/>
      <c r="DVD20" s="91"/>
      <c r="DVE20" s="91"/>
      <c r="DVF20" s="91"/>
      <c r="DVG20" s="91"/>
      <c r="DVH20" s="91"/>
      <c r="DVI20" s="91"/>
      <c r="DVJ20" s="91"/>
      <c r="DVK20" s="91"/>
      <c r="DVL20" s="91"/>
      <c r="DVM20" s="91"/>
      <c r="DVN20" s="91"/>
      <c r="DVO20" s="91"/>
      <c r="DVP20" s="91"/>
      <c r="DVQ20" s="91"/>
      <c r="DVR20" s="91"/>
      <c r="DVS20" s="91"/>
      <c r="DVT20" s="91"/>
      <c r="DVU20" s="91"/>
      <c r="DVV20" s="91"/>
      <c r="DVW20" s="91"/>
      <c r="DVX20" s="91"/>
      <c r="DVY20" s="91"/>
      <c r="DVZ20" s="91"/>
      <c r="DWA20" s="91"/>
      <c r="DWB20" s="91"/>
      <c r="DWC20" s="91"/>
      <c r="DWD20" s="91"/>
      <c r="DWE20" s="91"/>
      <c r="DWF20" s="91"/>
      <c r="DWG20" s="91"/>
      <c r="DWH20" s="91"/>
      <c r="DWI20" s="91"/>
      <c r="DWJ20" s="91"/>
      <c r="DWK20" s="91"/>
      <c r="DWL20" s="91"/>
      <c r="DWM20" s="91"/>
      <c r="DWN20" s="91"/>
      <c r="DWO20" s="91"/>
      <c r="DWP20" s="91"/>
      <c r="DWQ20" s="91"/>
      <c r="DWR20" s="91"/>
      <c r="DWS20" s="91"/>
      <c r="DWT20" s="91"/>
      <c r="DWU20" s="91"/>
      <c r="DWV20" s="91"/>
      <c r="DWW20" s="91"/>
      <c r="DWX20" s="91"/>
      <c r="DWY20" s="91"/>
      <c r="DWZ20" s="91"/>
      <c r="DXA20" s="91"/>
      <c r="DXB20" s="91"/>
      <c r="DXC20" s="91"/>
      <c r="DXD20" s="91"/>
      <c r="DXE20" s="91"/>
      <c r="DXF20" s="91"/>
      <c r="DXG20" s="91"/>
      <c r="DXH20" s="91"/>
      <c r="DXI20" s="91"/>
      <c r="DXJ20" s="91"/>
      <c r="DXK20" s="91"/>
      <c r="DXL20" s="91"/>
      <c r="DXM20" s="91"/>
      <c r="DXN20" s="91"/>
      <c r="DXO20" s="91"/>
      <c r="DXP20" s="91"/>
      <c r="DXQ20" s="91"/>
      <c r="DXR20" s="91"/>
      <c r="DXS20" s="91"/>
      <c r="DXT20" s="91"/>
      <c r="DXU20" s="91"/>
      <c r="DXV20" s="91"/>
      <c r="DXW20" s="91"/>
      <c r="DXX20" s="91"/>
      <c r="DXY20" s="91"/>
      <c r="DXZ20" s="91"/>
      <c r="DYA20" s="91"/>
      <c r="DYB20" s="91"/>
      <c r="DYC20" s="91"/>
      <c r="DYD20" s="91"/>
      <c r="DYE20" s="91"/>
      <c r="DYF20" s="91"/>
      <c r="DYG20" s="91"/>
      <c r="DYH20" s="91"/>
      <c r="DYI20" s="91"/>
      <c r="DYJ20" s="91"/>
      <c r="DYK20" s="91"/>
      <c r="DYL20" s="91"/>
      <c r="DYM20" s="91"/>
      <c r="DYN20" s="91"/>
      <c r="DYO20" s="91"/>
      <c r="DYP20" s="91"/>
      <c r="DYQ20" s="91"/>
      <c r="DYR20" s="91"/>
      <c r="DYS20" s="91"/>
      <c r="DYT20" s="91"/>
      <c r="DYU20" s="91"/>
      <c r="DYV20" s="91"/>
      <c r="DYW20" s="91"/>
      <c r="DYX20" s="91"/>
      <c r="DYY20" s="91"/>
      <c r="DYZ20" s="91"/>
      <c r="DZA20" s="91"/>
      <c r="DZB20" s="91"/>
      <c r="DZC20" s="91"/>
      <c r="DZD20" s="91"/>
      <c r="DZE20" s="91"/>
      <c r="DZF20" s="91"/>
      <c r="DZG20" s="91"/>
      <c r="DZH20" s="91"/>
      <c r="DZI20" s="91"/>
      <c r="DZJ20" s="91"/>
      <c r="DZK20" s="91"/>
      <c r="DZL20" s="91"/>
      <c r="DZM20" s="91"/>
      <c r="DZN20" s="91"/>
      <c r="DZO20" s="91"/>
      <c r="DZP20" s="91"/>
      <c r="DZQ20" s="91"/>
      <c r="DZR20" s="91"/>
      <c r="DZS20" s="91"/>
      <c r="DZT20" s="91"/>
      <c r="DZU20" s="91"/>
      <c r="DZV20" s="91"/>
      <c r="DZW20" s="91"/>
      <c r="DZX20" s="91"/>
      <c r="DZY20" s="91"/>
      <c r="DZZ20" s="91"/>
      <c r="EAA20" s="91"/>
      <c r="EAB20" s="91"/>
      <c r="EAC20" s="91"/>
      <c r="EAD20" s="91"/>
      <c r="EAE20" s="91"/>
      <c r="EAF20" s="91"/>
      <c r="EAG20" s="91"/>
      <c r="EAH20" s="91"/>
      <c r="EAI20" s="91"/>
      <c r="EAJ20" s="91"/>
      <c r="EAK20" s="91"/>
      <c r="EAL20" s="91"/>
      <c r="EAM20" s="91"/>
      <c r="EAN20" s="91"/>
      <c r="EAO20" s="91"/>
      <c r="EAP20" s="91"/>
      <c r="EAQ20" s="91"/>
      <c r="EAR20" s="91"/>
      <c r="EAS20" s="91"/>
      <c r="EAT20" s="91"/>
      <c r="EAU20" s="91"/>
      <c r="EAV20" s="91"/>
      <c r="EAW20" s="91"/>
      <c r="EAX20" s="91"/>
      <c r="EAY20" s="91"/>
      <c r="EAZ20" s="91"/>
      <c r="EBA20" s="91"/>
      <c r="EBB20" s="91"/>
      <c r="EBC20" s="91"/>
      <c r="EBD20" s="91"/>
      <c r="EBE20" s="91"/>
      <c r="EBF20" s="91"/>
      <c r="EBG20" s="91"/>
      <c r="EBH20" s="91"/>
      <c r="EBI20" s="91"/>
      <c r="EBJ20" s="91"/>
      <c r="EBK20" s="91"/>
      <c r="EBL20" s="91"/>
      <c r="EBM20" s="91"/>
      <c r="EBN20" s="91"/>
      <c r="EBO20" s="91"/>
      <c r="EBP20" s="91"/>
      <c r="EBQ20" s="91"/>
      <c r="EBR20" s="91"/>
      <c r="EBS20" s="91"/>
      <c r="EBT20" s="91"/>
      <c r="EBU20" s="91"/>
      <c r="EBV20" s="91"/>
      <c r="EBW20" s="91"/>
      <c r="EBX20" s="91"/>
      <c r="EBY20" s="91"/>
      <c r="EBZ20" s="91"/>
      <c r="ECA20" s="91"/>
      <c r="ECB20" s="91"/>
      <c r="ECC20" s="91"/>
      <c r="ECD20" s="91"/>
      <c r="ECE20" s="91"/>
      <c r="ECF20" s="91"/>
      <c r="ECG20" s="91"/>
      <c r="ECH20" s="91"/>
      <c r="ECI20" s="91"/>
      <c r="ECJ20" s="91"/>
      <c r="ECK20" s="91"/>
      <c r="ECL20" s="91"/>
      <c r="ECM20" s="91"/>
      <c r="ECN20" s="91"/>
      <c r="ECO20" s="91"/>
      <c r="ECP20" s="91"/>
      <c r="ECQ20" s="91"/>
      <c r="ECR20" s="91"/>
      <c r="ECS20" s="91"/>
      <c r="ECT20" s="91"/>
      <c r="ECU20" s="91"/>
      <c r="ECV20" s="91"/>
      <c r="ECW20" s="91"/>
      <c r="ECX20" s="91"/>
      <c r="ECY20" s="91"/>
      <c r="ECZ20" s="91"/>
      <c r="EDA20" s="91"/>
      <c r="EDB20" s="91"/>
      <c r="EDC20" s="91"/>
      <c r="EDD20" s="91"/>
      <c r="EDE20" s="91"/>
      <c r="EDF20" s="91"/>
      <c r="EDG20" s="91"/>
      <c r="EDH20" s="91"/>
      <c r="EDI20" s="91"/>
      <c r="EDJ20" s="91"/>
      <c r="EDK20" s="91"/>
      <c r="EDL20" s="91"/>
      <c r="EDM20" s="91"/>
      <c r="EDN20" s="91"/>
      <c r="EDO20" s="91"/>
      <c r="EDP20" s="91"/>
      <c r="EDQ20" s="91"/>
      <c r="EDR20" s="91"/>
      <c r="EDS20" s="91"/>
      <c r="EDT20" s="91"/>
      <c r="EDU20" s="91"/>
      <c r="EDV20" s="91"/>
      <c r="EDW20" s="91"/>
      <c r="EDX20" s="91"/>
      <c r="EDY20" s="91"/>
      <c r="EDZ20" s="91"/>
      <c r="EEA20" s="91"/>
      <c r="EEB20" s="91"/>
      <c r="EEC20" s="91"/>
      <c r="EED20" s="91"/>
      <c r="EEE20" s="91"/>
      <c r="EEF20" s="91"/>
      <c r="EEG20" s="91"/>
      <c r="EEH20" s="91"/>
      <c r="EEI20" s="91"/>
      <c r="EEJ20" s="91"/>
      <c r="EEK20" s="91"/>
      <c r="EEL20" s="91"/>
      <c r="EEM20" s="91"/>
      <c r="EEN20" s="91"/>
      <c r="EEO20" s="91"/>
      <c r="EEP20" s="91"/>
      <c r="EEQ20" s="91"/>
      <c r="EER20" s="91"/>
      <c r="EES20" s="91"/>
      <c r="EET20" s="91"/>
      <c r="EEU20" s="91"/>
      <c r="EEV20" s="91"/>
      <c r="EEW20" s="91"/>
      <c r="EEX20" s="91"/>
      <c r="EEY20" s="91"/>
      <c r="EEZ20" s="91"/>
      <c r="EFA20" s="91"/>
      <c r="EFB20" s="91"/>
      <c r="EFC20" s="91"/>
      <c r="EFD20" s="91"/>
      <c r="EFE20" s="91"/>
      <c r="EFF20" s="91"/>
      <c r="EFG20" s="91"/>
      <c r="EFH20" s="91"/>
      <c r="EFI20" s="91"/>
      <c r="EFJ20" s="91"/>
      <c r="EFK20" s="91"/>
      <c r="EFL20" s="91"/>
      <c r="EFM20" s="91"/>
      <c r="EFN20" s="91"/>
      <c r="EFO20" s="91"/>
      <c r="EFP20" s="91"/>
      <c r="EFQ20" s="91"/>
      <c r="EFR20" s="91"/>
      <c r="EFS20" s="91"/>
      <c r="EFT20" s="91"/>
      <c r="EFU20" s="91"/>
      <c r="EFV20" s="91"/>
      <c r="EFW20" s="91"/>
      <c r="EFX20" s="91"/>
      <c r="EFY20" s="91"/>
      <c r="EFZ20" s="91"/>
      <c r="EGA20" s="91"/>
      <c r="EGB20" s="91"/>
      <c r="EGC20" s="91"/>
      <c r="EGD20" s="91"/>
      <c r="EGE20" s="91"/>
      <c r="EGF20" s="91"/>
      <c r="EGG20" s="91"/>
      <c r="EGH20" s="91"/>
      <c r="EGI20" s="91"/>
      <c r="EGJ20" s="91"/>
      <c r="EGK20" s="91"/>
      <c r="EGL20" s="91"/>
      <c r="EGM20" s="91"/>
      <c r="EGN20" s="91"/>
      <c r="EGO20" s="91"/>
      <c r="EGP20" s="91"/>
      <c r="EGQ20" s="91"/>
      <c r="EGR20" s="91"/>
      <c r="EGS20" s="91"/>
      <c r="EGT20" s="91"/>
      <c r="EGU20" s="91"/>
      <c r="EGV20" s="91"/>
      <c r="EGW20" s="91"/>
      <c r="EGX20" s="91"/>
      <c r="EGY20" s="91"/>
      <c r="EGZ20" s="91"/>
      <c r="EHA20" s="91"/>
      <c r="EHB20" s="91"/>
      <c r="EHC20" s="91"/>
      <c r="EHD20" s="91"/>
      <c r="EHE20" s="91"/>
      <c r="EHF20" s="91"/>
      <c r="EHG20" s="91"/>
      <c r="EHH20" s="91"/>
      <c r="EHI20" s="91"/>
      <c r="EHJ20" s="91"/>
      <c r="EHK20" s="91"/>
      <c r="EHL20" s="91"/>
      <c r="EHM20" s="91"/>
      <c r="EHN20" s="91"/>
      <c r="EHO20" s="91"/>
      <c r="EHP20" s="91"/>
      <c r="EHQ20" s="91"/>
      <c r="EHR20" s="91"/>
      <c r="EHS20" s="91"/>
      <c r="EHT20" s="91"/>
      <c r="EHU20" s="91"/>
      <c r="EHV20" s="91"/>
      <c r="EHW20" s="91"/>
      <c r="EHX20" s="91"/>
      <c r="EHY20" s="91"/>
      <c r="EHZ20" s="91"/>
      <c r="EIA20" s="91"/>
      <c r="EIB20" s="91"/>
      <c r="EIC20" s="91"/>
      <c r="EID20" s="91"/>
      <c r="EIE20" s="91"/>
      <c r="EIF20" s="91"/>
      <c r="EIG20" s="91"/>
      <c r="EIH20" s="91"/>
      <c r="EII20" s="91"/>
      <c r="EIJ20" s="91"/>
      <c r="EIK20" s="91"/>
      <c r="EIL20" s="91"/>
      <c r="EIM20" s="91"/>
      <c r="EIN20" s="91"/>
      <c r="EIO20" s="91"/>
      <c r="EIP20" s="91"/>
      <c r="EIQ20" s="91"/>
      <c r="EIR20" s="91"/>
      <c r="EIS20" s="91"/>
      <c r="EIT20" s="91"/>
      <c r="EIU20" s="91"/>
      <c r="EIV20" s="91"/>
      <c r="EIW20" s="91"/>
      <c r="EIX20" s="91"/>
      <c r="EIY20" s="91"/>
      <c r="EIZ20" s="91"/>
      <c r="EJA20" s="91"/>
      <c r="EJB20" s="91"/>
      <c r="EJC20" s="91"/>
      <c r="EJD20" s="91"/>
      <c r="EJE20" s="91"/>
      <c r="EJF20" s="91"/>
      <c r="EJG20" s="91"/>
      <c r="EJH20" s="91"/>
      <c r="EJI20" s="91"/>
      <c r="EJJ20" s="91"/>
      <c r="EJK20" s="91"/>
      <c r="EJL20" s="91"/>
      <c r="EJM20" s="91"/>
      <c r="EJN20" s="91"/>
      <c r="EJO20" s="91"/>
      <c r="EJP20" s="91"/>
      <c r="EJQ20" s="91"/>
      <c r="EJR20" s="91"/>
      <c r="EJS20" s="91"/>
      <c r="EJT20" s="91"/>
      <c r="EJU20" s="91"/>
      <c r="EJV20" s="91"/>
      <c r="EJW20" s="91"/>
      <c r="EJX20" s="91"/>
      <c r="EJY20" s="91"/>
      <c r="EJZ20" s="91"/>
      <c r="EKA20" s="91"/>
      <c r="EKB20" s="91"/>
      <c r="EKC20" s="91"/>
      <c r="EKD20" s="91"/>
      <c r="EKE20" s="91"/>
      <c r="EKF20" s="91"/>
      <c r="EKG20" s="91"/>
      <c r="EKH20" s="91"/>
      <c r="EKI20" s="91"/>
      <c r="EKJ20" s="91"/>
      <c r="EKK20" s="91"/>
      <c r="EKL20" s="91"/>
      <c r="EKM20" s="91"/>
      <c r="EKN20" s="91"/>
      <c r="EKO20" s="91"/>
      <c r="EKP20" s="91"/>
      <c r="EKQ20" s="91"/>
      <c r="EKR20" s="91"/>
      <c r="EKS20" s="91"/>
      <c r="EKT20" s="91"/>
      <c r="EKU20" s="91"/>
      <c r="EKV20" s="91"/>
      <c r="EKW20" s="91"/>
      <c r="EKX20" s="91"/>
      <c r="EKY20" s="91"/>
      <c r="EKZ20" s="91"/>
      <c r="ELA20" s="91"/>
      <c r="ELB20" s="91"/>
      <c r="ELC20" s="91"/>
      <c r="ELD20" s="91"/>
      <c r="ELE20" s="91"/>
      <c r="ELF20" s="91"/>
      <c r="ELG20" s="91"/>
      <c r="ELH20" s="91"/>
      <c r="ELI20" s="91"/>
      <c r="ELJ20" s="91"/>
      <c r="ELK20" s="91"/>
      <c r="ELL20" s="91"/>
      <c r="ELM20" s="91"/>
      <c r="ELN20" s="91"/>
      <c r="ELO20" s="91"/>
      <c r="ELP20" s="91"/>
      <c r="ELQ20" s="91"/>
      <c r="ELR20" s="91"/>
      <c r="ELS20" s="91"/>
      <c r="ELT20" s="91"/>
      <c r="ELU20" s="91"/>
      <c r="ELV20" s="91"/>
      <c r="ELW20" s="91"/>
      <c r="ELX20" s="91"/>
      <c r="ELY20" s="91"/>
      <c r="ELZ20" s="91"/>
      <c r="EMA20" s="91"/>
      <c r="EMB20" s="91"/>
      <c r="EMC20" s="91"/>
      <c r="EMD20" s="91"/>
      <c r="EME20" s="91"/>
      <c r="EMF20" s="91"/>
      <c r="EMG20" s="91"/>
      <c r="EMH20" s="91"/>
      <c r="EMI20" s="91"/>
      <c r="EMJ20" s="91"/>
      <c r="EMK20" s="91"/>
      <c r="EML20" s="91"/>
      <c r="EMM20" s="91"/>
      <c r="EMN20" s="91"/>
      <c r="EMO20" s="91"/>
      <c r="EMP20" s="91"/>
      <c r="EMQ20" s="91"/>
      <c r="EMR20" s="91"/>
      <c r="EMS20" s="91"/>
      <c r="EMT20" s="91"/>
      <c r="EMU20" s="91"/>
      <c r="EMV20" s="91"/>
      <c r="EMW20" s="91"/>
      <c r="EMX20" s="91"/>
      <c r="EMY20" s="91"/>
      <c r="EMZ20" s="91"/>
      <c r="ENA20" s="91"/>
      <c r="ENB20" s="91"/>
      <c r="ENC20" s="91"/>
      <c r="END20" s="91"/>
      <c r="ENE20" s="91"/>
      <c r="ENF20" s="91"/>
      <c r="ENG20" s="91"/>
      <c r="ENH20" s="91"/>
      <c r="ENI20" s="91"/>
      <c r="ENJ20" s="91"/>
      <c r="ENK20" s="91"/>
      <c r="ENL20" s="91"/>
      <c r="ENM20" s="91"/>
      <c r="ENN20" s="91"/>
      <c r="ENO20" s="91"/>
      <c r="ENP20" s="91"/>
      <c r="ENQ20" s="91"/>
      <c r="ENR20" s="91"/>
      <c r="ENS20" s="91"/>
      <c r="ENT20" s="91"/>
      <c r="ENU20" s="91"/>
      <c r="ENV20" s="91"/>
      <c r="ENW20" s="91"/>
      <c r="ENX20" s="91"/>
      <c r="ENY20" s="91"/>
      <c r="ENZ20" s="91"/>
      <c r="EOA20" s="91"/>
      <c r="EOB20" s="91"/>
      <c r="EOC20" s="91"/>
      <c r="EOD20" s="91"/>
      <c r="EOE20" s="91"/>
      <c r="EOF20" s="91"/>
      <c r="EOG20" s="91"/>
      <c r="EOH20" s="91"/>
      <c r="EOI20" s="91"/>
      <c r="EOJ20" s="91"/>
      <c r="EOK20" s="91"/>
      <c r="EOL20" s="91"/>
      <c r="EOM20" s="91"/>
      <c r="EON20" s="91"/>
      <c r="EOO20" s="91"/>
      <c r="EOP20" s="91"/>
      <c r="EOQ20" s="91"/>
      <c r="EOR20" s="91"/>
      <c r="EOS20" s="91"/>
      <c r="EOT20" s="91"/>
      <c r="EOU20" s="91"/>
      <c r="EOV20" s="91"/>
      <c r="EOW20" s="91"/>
      <c r="EOX20" s="91"/>
      <c r="EOY20" s="91"/>
      <c r="EOZ20" s="91"/>
      <c r="EPA20" s="91"/>
      <c r="EPB20" s="91"/>
      <c r="EPC20" s="91"/>
      <c r="EPD20" s="91"/>
      <c r="EPE20" s="91"/>
      <c r="EPF20" s="91"/>
      <c r="EPG20" s="91"/>
      <c r="EPH20" s="91"/>
      <c r="EPI20" s="91"/>
      <c r="EPJ20" s="91"/>
      <c r="EPK20" s="91"/>
      <c r="EPL20" s="91"/>
      <c r="EPM20" s="91"/>
      <c r="EPN20" s="91"/>
      <c r="EPO20" s="91"/>
      <c r="EPP20" s="91"/>
      <c r="EPQ20" s="91"/>
      <c r="EPR20" s="91"/>
      <c r="EPS20" s="91"/>
      <c r="EPT20" s="91"/>
      <c r="EPU20" s="91"/>
      <c r="EPV20" s="91"/>
      <c r="EPW20" s="91"/>
      <c r="EPX20" s="91"/>
      <c r="EPY20" s="91"/>
      <c r="EPZ20" s="91"/>
      <c r="EQA20" s="91"/>
      <c r="EQB20" s="91"/>
      <c r="EQC20" s="91"/>
      <c r="EQD20" s="91"/>
      <c r="EQE20" s="91"/>
      <c r="EQF20" s="91"/>
      <c r="EQG20" s="91"/>
      <c r="EQH20" s="91"/>
      <c r="EQI20" s="91"/>
      <c r="EQJ20" s="91"/>
      <c r="EQK20" s="91"/>
      <c r="EQL20" s="91"/>
      <c r="EQM20" s="91"/>
      <c r="EQN20" s="91"/>
      <c r="EQO20" s="91"/>
      <c r="EQP20" s="91"/>
      <c r="EQQ20" s="91"/>
      <c r="EQR20" s="91"/>
      <c r="EQS20" s="91"/>
      <c r="EQT20" s="91"/>
      <c r="EQU20" s="91"/>
      <c r="EQV20" s="91"/>
      <c r="EQW20" s="91"/>
      <c r="EQX20" s="91"/>
      <c r="EQY20" s="91"/>
      <c r="EQZ20" s="91"/>
      <c r="ERA20" s="91"/>
      <c r="ERB20" s="91"/>
      <c r="ERC20" s="91"/>
      <c r="ERD20" s="91"/>
      <c r="ERE20" s="91"/>
      <c r="ERF20" s="91"/>
      <c r="ERG20" s="91"/>
      <c r="ERH20" s="91"/>
      <c r="ERI20" s="91"/>
      <c r="ERJ20" s="91"/>
      <c r="ERK20" s="91"/>
      <c r="ERL20" s="91"/>
      <c r="ERM20" s="91"/>
      <c r="ERN20" s="91"/>
      <c r="ERO20" s="91"/>
      <c r="ERP20" s="91"/>
      <c r="ERQ20" s="91"/>
      <c r="ERR20" s="91"/>
      <c r="ERS20" s="91"/>
      <c r="ERT20" s="91"/>
      <c r="ERU20" s="91"/>
      <c r="ERV20" s="91"/>
      <c r="ERW20" s="91"/>
      <c r="ERX20" s="91"/>
      <c r="ERY20" s="91"/>
      <c r="ERZ20" s="91"/>
      <c r="ESA20" s="91"/>
      <c r="ESB20" s="91"/>
      <c r="ESC20" s="91"/>
      <c r="ESD20" s="91"/>
      <c r="ESE20" s="91"/>
      <c r="ESF20" s="91"/>
      <c r="ESG20" s="91"/>
      <c r="ESH20" s="91"/>
      <c r="ESI20" s="91"/>
      <c r="ESJ20" s="91"/>
      <c r="ESK20" s="91"/>
      <c r="ESL20" s="91"/>
      <c r="ESM20" s="91"/>
      <c r="ESN20" s="91"/>
      <c r="ESO20" s="91"/>
      <c r="ESP20" s="91"/>
      <c r="ESQ20" s="91"/>
      <c r="ESR20" s="91"/>
      <c r="ESS20" s="91"/>
      <c r="EST20" s="91"/>
      <c r="ESU20" s="91"/>
      <c r="ESV20" s="91"/>
      <c r="ESW20" s="91"/>
      <c r="ESX20" s="91"/>
      <c r="ESY20" s="91"/>
      <c r="ESZ20" s="91"/>
      <c r="ETA20" s="91"/>
      <c r="ETB20" s="91"/>
      <c r="ETC20" s="91"/>
      <c r="ETD20" s="91"/>
      <c r="ETE20" s="91"/>
      <c r="ETF20" s="91"/>
      <c r="ETG20" s="91"/>
      <c r="ETH20" s="91"/>
      <c r="ETI20" s="91"/>
      <c r="ETJ20" s="91"/>
      <c r="ETK20" s="91"/>
      <c r="ETL20" s="91"/>
      <c r="ETM20" s="91"/>
      <c r="ETN20" s="91"/>
      <c r="ETO20" s="91"/>
      <c r="ETP20" s="91"/>
      <c r="ETQ20" s="91"/>
      <c r="ETR20" s="91"/>
      <c r="ETS20" s="91"/>
      <c r="ETT20" s="91"/>
      <c r="ETU20" s="91"/>
      <c r="ETV20" s="91"/>
      <c r="ETW20" s="91"/>
      <c r="ETX20" s="91"/>
      <c r="ETY20" s="91"/>
      <c r="ETZ20" s="91"/>
      <c r="EUA20" s="91"/>
      <c r="EUB20" s="91"/>
      <c r="EUC20" s="91"/>
      <c r="EUD20" s="91"/>
      <c r="EUE20" s="91"/>
      <c r="EUF20" s="91"/>
      <c r="EUG20" s="91"/>
      <c r="EUH20" s="91"/>
      <c r="EUI20" s="91"/>
      <c r="EUJ20" s="91"/>
      <c r="EUK20" s="91"/>
      <c r="EUL20" s="91"/>
      <c r="EUM20" s="91"/>
      <c r="EUN20" s="91"/>
      <c r="EUO20" s="91"/>
      <c r="EUP20" s="91"/>
      <c r="EUQ20" s="91"/>
      <c r="EUR20" s="91"/>
      <c r="EUS20" s="91"/>
      <c r="EUT20" s="91"/>
      <c r="EUU20" s="91"/>
      <c r="EUV20" s="91"/>
      <c r="EUW20" s="91"/>
      <c r="EUX20" s="91"/>
      <c r="EUY20" s="91"/>
      <c r="EUZ20" s="91"/>
      <c r="EVA20" s="91"/>
      <c r="EVB20" s="91"/>
      <c r="EVC20" s="91"/>
      <c r="EVD20" s="91"/>
      <c r="EVE20" s="91"/>
      <c r="EVF20" s="91"/>
      <c r="EVG20" s="91"/>
      <c r="EVH20" s="91"/>
      <c r="EVI20" s="91"/>
      <c r="EVJ20" s="91"/>
      <c r="EVK20" s="91"/>
      <c r="EVL20" s="91"/>
      <c r="EVM20" s="91"/>
      <c r="EVN20" s="91"/>
      <c r="EVO20" s="91"/>
      <c r="EVP20" s="91"/>
      <c r="EVQ20" s="91"/>
      <c r="EVR20" s="91"/>
      <c r="EVS20" s="91"/>
      <c r="EVT20" s="91"/>
      <c r="EVU20" s="91"/>
      <c r="EVV20" s="91"/>
      <c r="EVW20" s="91"/>
      <c r="EVX20" s="91"/>
      <c r="EVY20" s="91"/>
      <c r="EVZ20" s="91"/>
      <c r="EWA20" s="91"/>
      <c r="EWB20" s="91"/>
      <c r="EWC20" s="91"/>
      <c r="EWD20" s="91"/>
      <c r="EWE20" s="91"/>
      <c r="EWF20" s="91"/>
      <c r="EWG20" s="91"/>
      <c r="EWH20" s="91"/>
      <c r="EWI20" s="91"/>
      <c r="EWJ20" s="91"/>
      <c r="EWK20" s="91"/>
      <c r="EWL20" s="91"/>
      <c r="EWM20" s="91"/>
      <c r="EWN20" s="91"/>
      <c r="EWO20" s="91"/>
      <c r="EWP20" s="91"/>
      <c r="EWQ20" s="91"/>
      <c r="EWR20" s="91"/>
      <c r="EWS20" s="91"/>
      <c r="EWT20" s="91"/>
      <c r="EWU20" s="91"/>
      <c r="EWV20" s="91"/>
      <c r="EWW20" s="91"/>
      <c r="EWX20" s="91"/>
      <c r="EWY20" s="91"/>
      <c r="EWZ20" s="91"/>
      <c r="EXA20" s="91"/>
      <c r="EXB20" s="91"/>
      <c r="EXC20" s="91"/>
      <c r="EXD20" s="91"/>
      <c r="EXE20" s="91"/>
      <c r="EXF20" s="91"/>
      <c r="EXG20" s="91"/>
      <c r="EXH20" s="91"/>
      <c r="EXI20" s="91"/>
      <c r="EXJ20" s="91"/>
      <c r="EXK20" s="91"/>
      <c r="EXL20" s="91"/>
      <c r="EXM20" s="91"/>
      <c r="EXN20" s="91"/>
      <c r="EXO20" s="91"/>
      <c r="EXP20" s="91"/>
      <c r="EXQ20" s="91"/>
      <c r="EXR20" s="91"/>
      <c r="EXS20" s="91"/>
      <c r="EXT20" s="91"/>
      <c r="EXU20" s="91"/>
      <c r="EXV20" s="91"/>
      <c r="EXW20" s="91"/>
      <c r="EXX20" s="91"/>
      <c r="EXY20" s="91"/>
      <c r="EXZ20" s="91"/>
      <c r="EYA20" s="91"/>
      <c r="EYB20" s="91"/>
      <c r="EYC20" s="91"/>
      <c r="EYD20" s="91"/>
      <c r="EYE20" s="91"/>
      <c r="EYF20" s="91"/>
      <c r="EYG20" s="91"/>
      <c r="EYH20" s="91"/>
      <c r="EYI20" s="91"/>
      <c r="EYJ20" s="91"/>
      <c r="EYK20" s="91"/>
      <c r="EYL20" s="91"/>
      <c r="EYM20" s="91"/>
      <c r="EYN20" s="91"/>
      <c r="EYO20" s="91"/>
      <c r="EYP20" s="91"/>
      <c r="EYQ20" s="91"/>
      <c r="EYR20" s="91"/>
      <c r="EYS20" s="91"/>
      <c r="EYT20" s="91"/>
      <c r="EYU20" s="91"/>
      <c r="EYV20" s="91"/>
      <c r="EYW20" s="91"/>
      <c r="EYX20" s="91"/>
      <c r="EYY20" s="91"/>
      <c r="EYZ20" s="91"/>
      <c r="EZA20" s="91"/>
      <c r="EZB20" s="91"/>
      <c r="EZC20" s="91"/>
      <c r="EZD20" s="91"/>
      <c r="EZE20" s="91"/>
      <c r="EZF20" s="91"/>
      <c r="EZG20" s="91"/>
      <c r="EZH20" s="91"/>
      <c r="EZI20" s="91"/>
      <c r="EZJ20" s="91"/>
      <c r="EZK20" s="91"/>
      <c r="EZL20" s="91"/>
      <c r="EZM20" s="91"/>
      <c r="EZN20" s="91"/>
      <c r="EZO20" s="91"/>
      <c r="EZP20" s="91"/>
      <c r="EZQ20" s="91"/>
      <c r="EZR20" s="91"/>
      <c r="EZS20" s="91"/>
      <c r="EZT20" s="91"/>
      <c r="EZU20" s="91"/>
      <c r="EZV20" s="91"/>
      <c r="EZW20" s="91"/>
      <c r="EZX20" s="91"/>
      <c r="EZY20" s="91"/>
      <c r="EZZ20" s="91"/>
      <c r="FAA20" s="91"/>
      <c r="FAB20" s="91"/>
      <c r="FAC20" s="91"/>
      <c r="FAD20" s="91"/>
      <c r="FAE20" s="91"/>
      <c r="FAF20" s="91"/>
      <c r="FAG20" s="91"/>
      <c r="FAH20" s="91"/>
      <c r="FAI20" s="91"/>
      <c r="FAJ20" s="91"/>
      <c r="FAK20" s="91"/>
      <c r="FAL20" s="91"/>
      <c r="FAM20" s="91"/>
      <c r="FAN20" s="91"/>
      <c r="FAO20" s="91"/>
      <c r="FAP20" s="91"/>
      <c r="FAQ20" s="91"/>
      <c r="FAR20" s="91"/>
      <c r="FAS20" s="91"/>
      <c r="FAT20" s="91"/>
      <c r="FAU20" s="91"/>
      <c r="FAV20" s="91"/>
      <c r="FAW20" s="91"/>
      <c r="FAX20" s="91"/>
      <c r="FAY20" s="91"/>
      <c r="FAZ20" s="91"/>
      <c r="FBA20" s="91"/>
      <c r="FBB20" s="91"/>
      <c r="FBC20" s="91"/>
      <c r="FBD20" s="91"/>
      <c r="FBE20" s="91"/>
      <c r="FBF20" s="91"/>
      <c r="FBG20" s="91"/>
      <c r="FBH20" s="91"/>
      <c r="FBI20" s="91"/>
      <c r="FBJ20" s="91"/>
      <c r="FBK20" s="91"/>
      <c r="FBL20" s="91"/>
      <c r="FBM20" s="91"/>
      <c r="FBN20" s="91"/>
      <c r="FBO20" s="91"/>
      <c r="FBP20" s="91"/>
      <c r="FBQ20" s="91"/>
      <c r="FBR20" s="91"/>
      <c r="FBS20" s="91"/>
      <c r="FBT20" s="91"/>
      <c r="FBU20" s="91"/>
      <c r="FBV20" s="91"/>
      <c r="FBW20" s="91"/>
      <c r="FBX20" s="91"/>
      <c r="FBY20" s="91"/>
      <c r="FBZ20" s="91"/>
      <c r="FCA20" s="91"/>
      <c r="FCB20" s="91"/>
      <c r="FCC20" s="91"/>
      <c r="FCD20" s="91"/>
      <c r="FCE20" s="91"/>
      <c r="FCF20" s="91"/>
      <c r="FCG20" s="91"/>
      <c r="FCH20" s="91"/>
      <c r="FCI20" s="91"/>
      <c r="FCJ20" s="91"/>
      <c r="FCK20" s="91"/>
      <c r="FCL20" s="91"/>
      <c r="FCM20" s="91"/>
      <c r="FCN20" s="91"/>
      <c r="FCO20" s="91"/>
      <c r="FCP20" s="91"/>
      <c r="FCQ20" s="91"/>
      <c r="FCR20" s="91"/>
      <c r="FCS20" s="91"/>
      <c r="FCT20" s="91"/>
      <c r="FCU20" s="91"/>
      <c r="FCV20" s="91"/>
      <c r="FCW20" s="91"/>
      <c r="FCX20" s="91"/>
      <c r="FCY20" s="91"/>
      <c r="FCZ20" s="91"/>
      <c r="FDA20" s="91"/>
      <c r="FDB20" s="91"/>
      <c r="FDC20" s="91"/>
      <c r="FDD20" s="91"/>
      <c r="FDE20" s="91"/>
      <c r="FDF20" s="91"/>
      <c r="FDG20" s="91"/>
      <c r="FDH20" s="91"/>
      <c r="FDI20" s="91"/>
      <c r="FDJ20" s="91"/>
      <c r="FDK20" s="91"/>
      <c r="FDL20" s="91"/>
      <c r="FDM20" s="91"/>
      <c r="FDN20" s="91"/>
      <c r="FDO20" s="91"/>
      <c r="FDP20" s="91"/>
      <c r="FDQ20" s="91"/>
      <c r="FDR20" s="91"/>
      <c r="FDS20" s="91"/>
      <c r="FDT20" s="91"/>
      <c r="FDU20" s="91"/>
      <c r="FDV20" s="91"/>
      <c r="FDW20" s="91"/>
      <c r="FDX20" s="91"/>
      <c r="FDY20" s="91"/>
      <c r="FDZ20" s="91"/>
      <c r="FEA20" s="91"/>
      <c r="FEB20" s="91"/>
      <c r="FEC20" s="91"/>
      <c r="FED20" s="91"/>
      <c r="FEE20" s="91"/>
      <c r="FEF20" s="91"/>
      <c r="FEG20" s="91"/>
      <c r="FEH20" s="91"/>
      <c r="FEI20" s="91"/>
      <c r="FEJ20" s="91"/>
      <c r="FEK20" s="91"/>
      <c r="FEL20" s="91"/>
      <c r="FEM20" s="91"/>
      <c r="FEN20" s="91"/>
      <c r="FEO20" s="91"/>
      <c r="FEP20" s="91"/>
      <c r="FEQ20" s="91"/>
      <c r="FER20" s="91"/>
      <c r="FES20" s="91"/>
      <c r="FET20" s="91"/>
      <c r="FEU20" s="91"/>
      <c r="FEV20" s="91"/>
      <c r="FEW20" s="91"/>
      <c r="FEX20" s="91"/>
      <c r="FEY20" s="91"/>
      <c r="FEZ20" s="91"/>
      <c r="FFA20" s="91"/>
      <c r="FFB20" s="91"/>
      <c r="FFC20" s="91"/>
      <c r="FFD20" s="91"/>
      <c r="FFE20" s="91"/>
      <c r="FFF20" s="91"/>
      <c r="FFG20" s="91"/>
      <c r="FFH20" s="91"/>
      <c r="FFI20" s="91"/>
      <c r="FFJ20" s="91"/>
      <c r="FFK20" s="91"/>
      <c r="FFL20" s="91"/>
      <c r="FFM20" s="91"/>
      <c r="FFN20" s="91"/>
      <c r="FFO20" s="91"/>
      <c r="FFP20" s="91"/>
      <c r="FFQ20" s="91"/>
      <c r="FFR20" s="91"/>
      <c r="FFS20" s="91"/>
      <c r="FFT20" s="91"/>
      <c r="FFU20" s="91"/>
      <c r="FFV20" s="91"/>
      <c r="FFW20" s="91"/>
      <c r="FFX20" s="91"/>
      <c r="FFY20" s="91"/>
      <c r="FFZ20" s="91"/>
      <c r="FGA20" s="91"/>
      <c r="FGB20" s="91"/>
      <c r="FGC20" s="91"/>
      <c r="FGD20" s="91"/>
      <c r="FGE20" s="91"/>
      <c r="FGF20" s="91"/>
      <c r="FGG20" s="91"/>
      <c r="FGH20" s="91"/>
      <c r="FGI20" s="91"/>
      <c r="FGJ20" s="91"/>
      <c r="FGK20" s="91"/>
      <c r="FGL20" s="91"/>
      <c r="FGM20" s="91"/>
      <c r="FGN20" s="91"/>
      <c r="FGO20" s="91"/>
      <c r="FGP20" s="91"/>
      <c r="FGQ20" s="91"/>
      <c r="FGR20" s="91"/>
      <c r="FGS20" s="91"/>
      <c r="FGT20" s="91"/>
      <c r="FGU20" s="91"/>
      <c r="FGV20" s="91"/>
      <c r="FGW20" s="91"/>
      <c r="FGX20" s="91"/>
      <c r="FGY20" s="91"/>
      <c r="FGZ20" s="91"/>
      <c r="FHA20" s="91"/>
      <c r="FHB20" s="91"/>
      <c r="FHC20" s="91"/>
      <c r="FHD20" s="91"/>
      <c r="FHE20" s="91"/>
      <c r="FHF20" s="91"/>
      <c r="FHG20" s="91"/>
      <c r="FHH20" s="91"/>
      <c r="FHI20" s="91"/>
      <c r="FHJ20" s="91"/>
      <c r="FHK20" s="91"/>
      <c r="FHL20" s="91"/>
      <c r="FHM20" s="91"/>
      <c r="FHN20" s="91"/>
      <c r="FHO20" s="91"/>
      <c r="FHP20" s="91"/>
      <c r="FHQ20" s="91"/>
      <c r="FHR20" s="91"/>
      <c r="FHS20" s="91"/>
      <c r="FHT20" s="91"/>
      <c r="FHU20" s="91"/>
      <c r="FHV20" s="91"/>
      <c r="FHW20" s="91"/>
      <c r="FHX20" s="91"/>
      <c r="FHY20" s="91"/>
      <c r="FHZ20" s="91"/>
      <c r="FIA20" s="91"/>
      <c r="FIB20" s="91"/>
      <c r="FIC20" s="91"/>
      <c r="FID20" s="91"/>
      <c r="FIE20" s="91"/>
      <c r="FIF20" s="91"/>
      <c r="FIG20" s="91"/>
      <c r="FIH20" s="91"/>
      <c r="FII20" s="91"/>
      <c r="FIJ20" s="91"/>
      <c r="FIK20" s="91"/>
      <c r="FIL20" s="91"/>
      <c r="FIM20" s="91"/>
      <c r="FIN20" s="91"/>
      <c r="FIO20" s="91"/>
      <c r="FIP20" s="91"/>
      <c r="FIQ20" s="91"/>
      <c r="FIR20" s="91"/>
      <c r="FIS20" s="91"/>
      <c r="FIT20" s="91"/>
      <c r="FIU20" s="91"/>
      <c r="FIV20" s="91"/>
      <c r="FIW20" s="91"/>
      <c r="FIX20" s="91"/>
      <c r="FIY20" s="91"/>
      <c r="FIZ20" s="91"/>
      <c r="FJA20" s="91"/>
      <c r="FJB20" s="91"/>
      <c r="FJC20" s="91"/>
      <c r="FJD20" s="91"/>
      <c r="FJE20" s="91"/>
      <c r="FJF20" s="91"/>
      <c r="FJG20" s="91"/>
      <c r="FJH20" s="91"/>
      <c r="FJI20" s="91"/>
      <c r="FJJ20" s="91"/>
      <c r="FJK20" s="91"/>
      <c r="FJL20" s="91"/>
      <c r="FJM20" s="91"/>
      <c r="FJN20" s="91"/>
      <c r="FJO20" s="91"/>
      <c r="FJP20" s="91"/>
      <c r="FJQ20" s="91"/>
      <c r="FJR20" s="91"/>
      <c r="FJS20" s="91"/>
      <c r="FJT20" s="91"/>
      <c r="FJU20" s="91"/>
      <c r="FJV20" s="91"/>
      <c r="FJW20" s="91"/>
      <c r="FJX20" s="91"/>
      <c r="FJY20" s="91"/>
      <c r="FJZ20" s="91"/>
      <c r="FKA20" s="91"/>
      <c r="FKB20" s="91"/>
      <c r="FKC20" s="91"/>
      <c r="FKD20" s="91"/>
      <c r="FKE20" s="91"/>
      <c r="FKF20" s="91"/>
      <c r="FKG20" s="91"/>
      <c r="FKH20" s="91"/>
      <c r="FKI20" s="91"/>
      <c r="FKJ20" s="91"/>
      <c r="FKK20" s="91"/>
      <c r="FKL20" s="91"/>
      <c r="FKM20" s="91"/>
      <c r="FKN20" s="91"/>
      <c r="FKO20" s="91"/>
      <c r="FKP20" s="91"/>
      <c r="FKQ20" s="91"/>
      <c r="FKR20" s="91"/>
      <c r="FKS20" s="91"/>
      <c r="FKT20" s="91"/>
      <c r="FKU20" s="91"/>
      <c r="FKV20" s="91"/>
      <c r="FKW20" s="91"/>
      <c r="FKX20" s="91"/>
      <c r="FKY20" s="91"/>
      <c r="FKZ20" s="91"/>
      <c r="FLA20" s="91"/>
      <c r="FLB20" s="91"/>
      <c r="FLC20" s="91"/>
      <c r="FLD20" s="91"/>
      <c r="FLE20" s="91"/>
      <c r="FLF20" s="91"/>
      <c r="FLG20" s="91"/>
      <c r="FLH20" s="91"/>
      <c r="FLI20" s="91"/>
      <c r="FLJ20" s="91"/>
      <c r="FLK20" s="91"/>
      <c r="FLL20" s="91"/>
      <c r="FLM20" s="91"/>
      <c r="FLN20" s="91"/>
      <c r="FLO20" s="91"/>
      <c r="FLP20" s="91"/>
      <c r="FLQ20" s="91"/>
      <c r="FLR20" s="91"/>
      <c r="FLS20" s="91"/>
      <c r="FLT20" s="91"/>
      <c r="FLU20" s="91"/>
      <c r="FLV20" s="91"/>
      <c r="FLW20" s="91"/>
      <c r="FLX20" s="91"/>
      <c r="FLY20" s="91"/>
      <c r="FLZ20" s="91"/>
      <c r="FMA20" s="91"/>
      <c r="FMB20" s="91"/>
      <c r="FMC20" s="91"/>
      <c r="FMD20" s="91"/>
      <c r="FME20" s="91"/>
      <c r="FMF20" s="91"/>
      <c r="FMG20" s="91"/>
      <c r="FMH20" s="91"/>
      <c r="FMI20" s="91"/>
      <c r="FMJ20" s="91"/>
      <c r="FMK20" s="91"/>
      <c r="FML20" s="91"/>
      <c r="FMM20" s="91"/>
      <c r="FMN20" s="91"/>
      <c r="FMO20" s="91"/>
      <c r="FMP20" s="91"/>
      <c r="FMQ20" s="91"/>
      <c r="FMR20" s="91"/>
      <c r="FMS20" s="91"/>
      <c r="FMT20" s="91"/>
      <c r="FMU20" s="91"/>
      <c r="FMV20" s="91"/>
      <c r="FMW20" s="91"/>
      <c r="FMX20" s="91"/>
      <c r="FMY20" s="91"/>
      <c r="FMZ20" s="91"/>
      <c r="FNA20" s="91"/>
      <c r="FNB20" s="91"/>
      <c r="FNC20" s="91"/>
      <c r="FND20" s="91"/>
      <c r="FNE20" s="91"/>
      <c r="FNF20" s="91"/>
      <c r="FNG20" s="91"/>
      <c r="FNH20" s="91"/>
      <c r="FNI20" s="91"/>
      <c r="FNJ20" s="91"/>
      <c r="FNK20" s="91"/>
      <c r="FNL20" s="91"/>
      <c r="FNM20" s="91"/>
      <c r="FNN20" s="91"/>
      <c r="FNO20" s="91"/>
      <c r="FNP20" s="91"/>
      <c r="FNQ20" s="91"/>
      <c r="FNR20" s="91"/>
      <c r="FNS20" s="91"/>
      <c r="FNT20" s="91"/>
      <c r="FNU20" s="91"/>
      <c r="FNV20" s="91"/>
      <c r="FNW20" s="91"/>
      <c r="FNX20" s="91"/>
      <c r="FNY20" s="91"/>
      <c r="FNZ20" s="91"/>
      <c r="FOA20" s="91"/>
      <c r="FOB20" s="91"/>
      <c r="FOC20" s="91"/>
      <c r="FOD20" s="91"/>
      <c r="FOE20" s="91"/>
      <c r="FOF20" s="91"/>
      <c r="FOG20" s="91"/>
      <c r="FOH20" s="91"/>
      <c r="FOI20" s="91"/>
      <c r="FOJ20" s="91"/>
      <c r="FOK20" s="91"/>
      <c r="FOL20" s="91"/>
      <c r="FOM20" s="91"/>
      <c r="FON20" s="91"/>
      <c r="FOO20" s="91"/>
      <c r="FOP20" s="91"/>
      <c r="FOQ20" s="91"/>
      <c r="FOR20" s="91"/>
      <c r="FOS20" s="91"/>
      <c r="FOT20" s="91"/>
      <c r="FOU20" s="91"/>
      <c r="FOV20" s="91"/>
      <c r="FOW20" s="91"/>
      <c r="FOX20" s="91"/>
      <c r="FOY20" s="91"/>
      <c r="FOZ20" s="91"/>
      <c r="FPA20" s="91"/>
      <c r="FPB20" s="91"/>
      <c r="FPC20" s="91"/>
      <c r="FPD20" s="91"/>
      <c r="FPE20" s="91"/>
      <c r="FPF20" s="91"/>
      <c r="FPG20" s="91"/>
      <c r="FPH20" s="91"/>
      <c r="FPI20" s="91"/>
      <c r="FPJ20" s="91"/>
      <c r="FPK20" s="91"/>
      <c r="FPL20" s="91"/>
      <c r="FPM20" s="91"/>
      <c r="FPN20" s="91"/>
      <c r="FPO20" s="91"/>
      <c r="FPP20" s="91"/>
      <c r="FPQ20" s="91"/>
      <c r="FPR20" s="91"/>
      <c r="FPS20" s="91"/>
      <c r="FPT20" s="91"/>
      <c r="FPU20" s="91"/>
      <c r="FPV20" s="91"/>
      <c r="FPW20" s="91"/>
      <c r="FPX20" s="91"/>
      <c r="FPY20" s="91"/>
      <c r="FPZ20" s="91"/>
      <c r="FQA20" s="91"/>
      <c r="FQB20" s="91"/>
      <c r="FQC20" s="91"/>
      <c r="FQD20" s="91"/>
      <c r="FQE20" s="91"/>
      <c r="FQF20" s="91"/>
      <c r="FQG20" s="91"/>
      <c r="FQH20" s="91"/>
      <c r="FQI20" s="91"/>
      <c r="FQJ20" s="91"/>
      <c r="FQK20" s="91"/>
      <c r="FQL20" s="91"/>
      <c r="FQM20" s="91"/>
      <c r="FQN20" s="91"/>
      <c r="FQO20" s="91"/>
      <c r="FQP20" s="91"/>
      <c r="FQQ20" s="91"/>
      <c r="FQR20" s="91"/>
      <c r="FQS20" s="91"/>
      <c r="FQT20" s="91"/>
      <c r="FQU20" s="91"/>
      <c r="FQV20" s="91"/>
      <c r="FQW20" s="91"/>
      <c r="FQX20" s="91"/>
      <c r="FQY20" s="91"/>
      <c r="FQZ20" s="91"/>
      <c r="FRA20" s="91"/>
      <c r="FRB20" s="91"/>
      <c r="FRC20" s="91"/>
      <c r="FRD20" s="91"/>
      <c r="FRE20" s="91"/>
      <c r="FRF20" s="91"/>
      <c r="FRG20" s="91"/>
      <c r="FRH20" s="91"/>
      <c r="FRI20" s="91"/>
      <c r="FRJ20" s="91"/>
      <c r="FRK20" s="91"/>
      <c r="FRL20" s="91"/>
      <c r="FRM20" s="91"/>
      <c r="FRN20" s="91"/>
      <c r="FRO20" s="91"/>
      <c r="FRP20" s="91"/>
      <c r="FRQ20" s="91"/>
      <c r="FRR20" s="91"/>
      <c r="FRS20" s="91"/>
      <c r="FRT20" s="91"/>
      <c r="FRU20" s="91"/>
      <c r="FRV20" s="91"/>
      <c r="FRW20" s="91"/>
      <c r="FRX20" s="91"/>
      <c r="FRY20" s="91"/>
      <c r="FRZ20" s="91"/>
      <c r="FSA20" s="91"/>
      <c r="FSB20" s="91"/>
      <c r="FSC20" s="91"/>
      <c r="FSD20" s="91"/>
      <c r="FSE20" s="91"/>
      <c r="FSF20" s="91"/>
      <c r="FSG20" s="91"/>
      <c r="FSH20" s="91"/>
      <c r="FSI20" s="91"/>
      <c r="FSJ20" s="91"/>
      <c r="FSK20" s="91"/>
      <c r="FSL20" s="91"/>
      <c r="FSM20" s="91"/>
      <c r="FSN20" s="91"/>
      <c r="FSO20" s="91"/>
      <c r="FSP20" s="91"/>
      <c r="FSQ20" s="91"/>
      <c r="FSR20" s="91"/>
      <c r="FSS20" s="91"/>
      <c r="FST20" s="91"/>
      <c r="FSU20" s="91"/>
      <c r="FSV20" s="91"/>
      <c r="FSW20" s="91"/>
      <c r="FSX20" s="91"/>
      <c r="FSY20" s="91"/>
      <c r="FSZ20" s="91"/>
      <c r="FTA20" s="91"/>
      <c r="FTB20" s="91"/>
      <c r="FTC20" s="91"/>
      <c r="FTD20" s="91"/>
      <c r="FTE20" s="91"/>
      <c r="FTF20" s="91"/>
      <c r="FTG20" s="91"/>
      <c r="FTH20" s="91"/>
      <c r="FTI20" s="91"/>
      <c r="FTJ20" s="91"/>
      <c r="FTK20" s="91"/>
      <c r="FTL20" s="91"/>
      <c r="FTM20" s="91"/>
      <c r="FTN20" s="91"/>
      <c r="FTO20" s="91"/>
      <c r="FTP20" s="91"/>
      <c r="FTQ20" s="91"/>
      <c r="FTR20" s="91"/>
      <c r="FTS20" s="91"/>
      <c r="FTT20" s="91"/>
      <c r="FTU20" s="91"/>
      <c r="FTV20" s="91"/>
      <c r="FTW20" s="91"/>
      <c r="FTX20" s="91"/>
      <c r="FTY20" s="91"/>
      <c r="FTZ20" s="91"/>
      <c r="FUA20" s="91"/>
      <c r="FUB20" s="91"/>
      <c r="FUC20" s="91"/>
      <c r="FUD20" s="91"/>
      <c r="FUE20" s="91"/>
      <c r="FUF20" s="91"/>
      <c r="FUG20" s="91"/>
      <c r="FUH20" s="91"/>
      <c r="FUI20" s="91"/>
      <c r="FUJ20" s="91"/>
      <c r="FUK20" s="91"/>
      <c r="FUL20" s="91"/>
      <c r="FUM20" s="91"/>
      <c r="FUN20" s="91"/>
      <c r="FUO20" s="91"/>
      <c r="FUP20" s="91"/>
      <c r="FUQ20" s="91"/>
      <c r="FUR20" s="91"/>
      <c r="FUS20" s="91"/>
      <c r="FUT20" s="91"/>
      <c r="FUU20" s="91"/>
      <c r="FUV20" s="91"/>
      <c r="FUW20" s="91"/>
      <c r="FUX20" s="91"/>
      <c r="FUY20" s="91"/>
      <c r="FUZ20" s="91"/>
      <c r="FVA20" s="91"/>
      <c r="FVB20" s="91"/>
      <c r="FVC20" s="91"/>
      <c r="FVD20" s="91"/>
      <c r="FVE20" s="91"/>
      <c r="FVF20" s="91"/>
      <c r="FVG20" s="91"/>
      <c r="FVH20" s="91"/>
      <c r="FVI20" s="91"/>
      <c r="FVJ20" s="91"/>
      <c r="FVK20" s="91"/>
      <c r="FVL20" s="91"/>
      <c r="FVM20" s="91"/>
      <c r="FVN20" s="91"/>
      <c r="FVO20" s="91"/>
      <c r="FVP20" s="91"/>
      <c r="FVQ20" s="91"/>
      <c r="FVR20" s="91"/>
      <c r="FVS20" s="91"/>
      <c r="FVT20" s="91"/>
      <c r="FVU20" s="91"/>
      <c r="FVV20" s="91"/>
      <c r="FVW20" s="91"/>
      <c r="FVX20" s="91"/>
      <c r="FVY20" s="91"/>
      <c r="FVZ20" s="91"/>
      <c r="FWA20" s="91"/>
      <c r="FWB20" s="91"/>
      <c r="FWC20" s="91"/>
      <c r="FWD20" s="91"/>
      <c r="FWE20" s="91"/>
      <c r="FWF20" s="91"/>
      <c r="FWG20" s="91"/>
      <c r="FWH20" s="91"/>
      <c r="FWI20" s="91"/>
      <c r="FWJ20" s="91"/>
      <c r="FWK20" s="91"/>
      <c r="FWL20" s="91"/>
      <c r="FWM20" s="91"/>
      <c r="FWN20" s="91"/>
      <c r="FWO20" s="91"/>
      <c r="FWP20" s="91"/>
      <c r="FWQ20" s="91"/>
      <c r="FWR20" s="91"/>
      <c r="FWS20" s="91"/>
      <c r="FWT20" s="91"/>
      <c r="FWU20" s="91"/>
      <c r="FWV20" s="91"/>
      <c r="FWW20" s="91"/>
      <c r="FWX20" s="91"/>
      <c r="FWY20" s="91"/>
      <c r="FWZ20" s="91"/>
      <c r="FXA20" s="91"/>
      <c r="FXB20" s="91"/>
      <c r="FXC20" s="91"/>
      <c r="FXD20" s="91"/>
      <c r="FXE20" s="91"/>
      <c r="FXF20" s="91"/>
      <c r="FXG20" s="91"/>
      <c r="FXH20" s="91"/>
      <c r="FXI20" s="91"/>
      <c r="FXJ20" s="91"/>
      <c r="FXK20" s="91"/>
      <c r="FXL20" s="91"/>
      <c r="FXM20" s="91"/>
      <c r="FXN20" s="91"/>
      <c r="FXO20" s="91"/>
      <c r="FXP20" s="91"/>
      <c r="FXQ20" s="91"/>
      <c r="FXR20" s="91"/>
      <c r="FXS20" s="91"/>
      <c r="FXT20" s="91"/>
      <c r="FXU20" s="91"/>
      <c r="FXV20" s="91"/>
      <c r="FXW20" s="91"/>
      <c r="FXX20" s="91"/>
      <c r="FXY20" s="91"/>
      <c r="FXZ20" s="91"/>
      <c r="FYA20" s="91"/>
      <c r="FYB20" s="91"/>
      <c r="FYC20" s="91"/>
      <c r="FYD20" s="91"/>
      <c r="FYE20" s="91"/>
      <c r="FYF20" s="91"/>
      <c r="FYG20" s="91"/>
      <c r="FYH20" s="91"/>
      <c r="FYI20" s="91"/>
      <c r="FYJ20" s="91"/>
      <c r="FYK20" s="91"/>
      <c r="FYL20" s="91"/>
      <c r="FYM20" s="91"/>
      <c r="FYN20" s="91"/>
      <c r="FYO20" s="91"/>
      <c r="FYP20" s="91"/>
      <c r="FYQ20" s="91"/>
      <c r="FYR20" s="91"/>
      <c r="FYS20" s="91"/>
      <c r="FYT20" s="91"/>
      <c r="FYU20" s="91"/>
      <c r="FYV20" s="91"/>
      <c r="FYW20" s="91"/>
      <c r="FYX20" s="91"/>
      <c r="FYY20" s="91"/>
      <c r="FYZ20" s="91"/>
      <c r="FZA20" s="91"/>
      <c r="FZB20" s="91"/>
      <c r="FZC20" s="91"/>
      <c r="FZD20" s="91"/>
      <c r="FZE20" s="91"/>
      <c r="FZF20" s="91"/>
      <c r="FZG20" s="91"/>
      <c r="FZH20" s="91"/>
      <c r="FZI20" s="91"/>
      <c r="FZJ20" s="91"/>
      <c r="FZK20" s="91"/>
      <c r="FZL20" s="91"/>
      <c r="FZM20" s="91"/>
      <c r="FZN20" s="91"/>
      <c r="FZO20" s="91"/>
      <c r="FZP20" s="91"/>
      <c r="FZQ20" s="91"/>
      <c r="FZR20" s="91"/>
      <c r="FZS20" s="91"/>
      <c r="FZT20" s="91"/>
      <c r="FZU20" s="91"/>
      <c r="FZV20" s="91"/>
      <c r="FZW20" s="91"/>
      <c r="FZX20" s="91"/>
      <c r="FZY20" s="91"/>
      <c r="FZZ20" s="91"/>
      <c r="GAA20" s="91"/>
      <c r="GAB20" s="91"/>
      <c r="GAC20" s="91"/>
      <c r="GAD20" s="91"/>
      <c r="GAE20" s="91"/>
      <c r="GAF20" s="91"/>
      <c r="GAG20" s="91"/>
      <c r="GAH20" s="91"/>
      <c r="GAI20" s="91"/>
      <c r="GAJ20" s="91"/>
      <c r="GAK20" s="91"/>
      <c r="GAL20" s="91"/>
      <c r="GAM20" s="91"/>
      <c r="GAN20" s="91"/>
      <c r="GAO20" s="91"/>
      <c r="GAP20" s="91"/>
      <c r="GAQ20" s="91"/>
      <c r="GAR20" s="91"/>
      <c r="GAS20" s="91"/>
      <c r="GAT20" s="91"/>
      <c r="GAU20" s="91"/>
      <c r="GAV20" s="91"/>
      <c r="GAW20" s="91"/>
      <c r="GAX20" s="91"/>
      <c r="GAY20" s="91"/>
      <c r="GAZ20" s="91"/>
      <c r="GBA20" s="91"/>
      <c r="GBB20" s="91"/>
      <c r="GBC20" s="91"/>
      <c r="GBD20" s="91"/>
      <c r="GBE20" s="91"/>
      <c r="GBF20" s="91"/>
      <c r="GBG20" s="91"/>
      <c r="GBH20" s="91"/>
      <c r="GBI20" s="91"/>
      <c r="GBJ20" s="91"/>
      <c r="GBK20" s="91"/>
      <c r="GBL20" s="91"/>
      <c r="GBM20" s="91"/>
      <c r="GBN20" s="91"/>
      <c r="GBO20" s="91"/>
      <c r="GBP20" s="91"/>
      <c r="GBQ20" s="91"/>
      <c r="GBR20" s="91"/>
      <c r="GBS20" s="91"/>
      <c r="GBT20" s="91"/>
      <c r="GBU20" s="91"/>
      <c r="GBV20" s="91"/>
      <c r="GBW20" s="91"/>
      <c r="GBX20" s="91"/>
      <c r="GBY20" s="91"/>
      <c r="GBZ20" s="91"/>
      <c r="GCA20" s="91"/>
      <c r="GCB20" s="91"/>
      <c r="GCC20" s="91"/>
      <c r="GCD20" s="91"/>
      <c r="GCE20" s="91"/>
      <c r="GCF20" s="91"/>
      <c r="GCG20" s="91"/>
      <c r="GCH20" s="91"/>
      <c r="GCI20" s="91"/>
      <c r="GCJ20" s="91"/>
      <c r="GCK20" s="91"/>
      <c r="GCL20" s="91"/>
      <c r="GCM20" s="91"/>
      <c r="GCN20" s="91"/>
      <c r="GCO20" s="91"/>
      <c r="GCP20" s="91"/>
      <c r="GCQ20" s="91"/>
      <c r="GCR20" s="91"/>
      <c r="GCS20" s="91"/>
      <c r="GCT20" s="91"/>
      <c r="GCU20" s="91"/>
      <c r="GCV20" s="91"/>
      <c r="GCW20" s="91"/>
      <c r="GCX20" s="91"/>
      <c r="GCY20" s="91"/>
      <c r="GCZ20" s="91"/>
      <c r="GDA20" s="91"/>
      <c r="GDB20" s="91"/>
      <c r="GDC20" s="91"/>
      <c r="GDD20" s="91"/>
      <c r="GDE20" s="91"/>
      <c r="GDF20" s="91"/>
      <c r="GDG20" s="91"/>
      <c r="GDH20" s="91"/>
      <c r="GDI20" s="91"/>
      <c r="GDJ20" s="91"/>
      <c r="GDK20" s="91"/>
      <c r="GDL20" s="91"/>
      <c r="GDM20" s="91"/>
      <c r="GDN20" s="91"/>
      <c r="GDO20" s="91"/>
      <c r="GDP20" s="91"/>
      <c r="GDQ20" s="91"/>
      <c r="GDR20" s="91"/>
      <c r="GDS20" s="91"/>
      <c r="GDT20" s="91"/>
      <c r="GDU20" s="91"/>
      <c r="GDV20" s="91"/>
      <c r="GDW20" s="91"/>
      <c r="GDX20" s="91"/>
      <c r="GDY20" s="91"/>
      <c r="GDZ20" s="91"/>
      <c r="GEA20" s="91"/>
      <c r="GEB20" s="91"/>
      <c r="GEC20" s="91"/>
      <c r="GED20" s="91"/>
      <c r="GEE20" s="91"/>
      <c r="GEF20" s="91"/>
      <c r="GEG20" s="91"/>
      <c r="GEH20" s="91"/>
      <c r="GEI20" s="91"/>
      <c r="GEJ20" s="91"/>
      <c r="GEK20" s="91"/>
      <c r="GEL20" s="91"/>
      <c r="GEM20" s="91"/>
      <c r="GEN20" s="91"/>
      <c r="GEO20" s="91"/>
      <c r="GEP20" s="91"/>
      <c r="GEQ20" s="91"/>
      <c r="GER20" s="91"/>
      <c r="GES20" s="91"/>
      <c r="GET20" s="91"/>
      <c r="GEU20" s="91"/>
      <c r="GEV20" s="91"/>
      <c r="GEW20" s="91"/>
      <c r="GEX20" s="91"/>
      <c r="GEY20" s="91"/>
      <c r="GEZ20" s="91"/>
      <c r="GFA20" s="91"/>
      <c r="GFB20" s="91"/>
      <c r="GFC20" s="91"/>
      <c r="GFD20" s="91"/>
      <c r="GFE20" s="91"/>
      <c r="GFF20" s="91"/>
      <c r="GFG20" s="91"/>
      <c r="GFH20" s="91"/>
      <c r="GFI20" s="91"/>
      <c r="GFJ20" s="91"/>
      <c r="GFK20" s="91"/>
      <c r="GFL20" s="91"/>
      <c r="GFM20" s="91"/>
      <c r="GFN20" s="91"/>
      <c r="GFO20" s="91"/>
      <c r="GFP20" s="91"/>
      <c r="GFQ20" s="91"/>
      <c r="GFR20" s="91"/>
      <c r="GFS20" s="91"/>
      <c r="GFT20" s="91"/>
      <c r="GFU20" s="91"/>
      <c r="GFV20" s="91"/>
      <c r="GFW20" s="91"/>
      <c r="GFX20" s="91"/>
      <c r="GFY20" s="91"/>
      <c r="GFZ20" s="91"/>
      <c r="GGA20" s="91"/>
      <c r="GGB20" s="91"/>
      <c r="GGC20" s="91"/>
      <c r="GGD20" s="91"/>
      <c r="GGE20" s="91"/>
      <c r="GGF20" s="91"/>
      <c r="GGG20" s="91"/>
      <c r="GGH20" s="91"/>
      <c r="GGI20" s="91"/>
      <c r="GGJ20" s="91"/>
      <c r="GGK20" s="91"/>
      <c r="GGL20" s="91"/>
      <c r="GGM20" s="91"/>
      <c r="GGN20" s="91"/>
      <c r="GGO20" s="91"/>
      <c r="GGP20" s="91"/>
      <c r="GGQ20" s="91"/>
      <c r="GGR20" s="91"/>
      <c r="GGS20" s="91"/>
      <c r="GGT20" s="91"/>
      <c r="GGU20" s="91"/>
      <c r="GGV20" s="91"/>
      <c r="GGW20" s="91"/>
      <c r="GGX20" s="91"/>
      <c r="GGY20" s="91"/>
      <c r="GGZ20" s="91"/>
      <c r="GHA20" s="91"/>
      <c r="GHB20" s="91"/>
      <c r="GHC20" s="91"/>
      <c r="GHD20" s="91"/>
      <c r="GHE20" s="91"/>
      <c r="GHF20" s="91"/>
      <c r="GHG20" s="91"/>
      <c r="GHH20" s="91"/>
      <c r="GHI20" s="91"/>
      <c r="GHJ20" s="91"/>
      <c r="GHK20" s="91"/>
      <c r="GHL20" s="91"/>
      <c r="GHM20" s="91"/>
      <c r="GHN20" s="91"/>
      <c r="GHO20" s="91"/>
      <c r="GHP20" s="91"/>
      <c r="GHQ20" s="91"/>
      <c r="GHR20" s="91"/>
      <c r="GHS20" s="91"/>
      <c r="GHT20" s="91"/>
      <c r="GHU20" s="91"/>
      <c r="GHV20" s="91"/>
      <c r="GHW20" s="91"/>
      <c r="GHX20" s="91"/>
      <c r="GHY20" s="91"/>
      <c r="GHZ20" s="91"/>
      <c r="GIA20" s="91"/>
      <c r="GIB20" s="91"/>
      <c r="GIC20" s="91"/>
      <c r="GID20" s="91"/>
      <c r="GIE20" s="91"/>
      <c r="GIF20" s="91"/>
      <c r="GIG20" s="91"/>
      <c r="GIH20" s="91"/>
      <c r="GII20" s="91"/>
      <c r="GIJ20" s="91"/>
      <c r="GIK20" s="91"/>
      <c r="GIL20" s="91"/>
      <c r="GIM20" s="91"/>
      <c r="GIN20" s="91"/>
      <c r="GIO20" s="91"/>
      <c r="GIP20" s="91"/>
      <c r="GIQ20" s="91"/>
      <c r="GIR20" s="91"/>
      <c r="GIS20" s="91"/>
      <c r="GIT20" s="91"/>
      <c r="GIU20" s="91"/>
      <c r="GIV20" s="91"/>
      <c r="GIW20" s="91"/>
      <c r="GIX20" s="91"/>
      <c r="GIY20" s="91"/>
      <c r="GIZ20" s="91"/>
      <c r="GJA20" s="91"/>
      <c r="GJB20" s="91"/>
      <c r="GJC20" s="91"/>
      <c r="GJD20" s="91"/>
      <c r="GJE20" s="91"/>
      <c r="GJF20" s="91"/>
      <c r="GJG20" s="91"/>
      <c r="GJH20" s="91"/>
      <c r="GJI20" s="91"/>
      <c r="GJJ20" s="91"/>
      <c r="GJK20" s="91"/>
      <c r="GJL20" s="91"/>
      <c r="GJM20" s="91"/>
      <c r="GJN20" s="91"/>
      <c r="GJO20" s="91"/>
      <c r="GJP20" s="91"/>
      <c r="GJQ20" s="91"/>
      <c r="GJR20" s="91"/>
      <c r="GJS20" s="91"/>
      <c r="GJT20" s="91"/>
      <c r="GJU20" s="91"/>
      <c r="GJV20" s="91"/>
      <c r="GJW20" s="91"/>
      <c r="GJX20" s="91"/>
      <c r="GJY20" s="91"/>
      <c r="GJZ20" s="91"/>
      <c r="GKA20" s="91"/>
      <c r="GKB20" s="91"/>
      <c r="GKC20" s="91"/>
      <c r="GKD20" s="91"/>
      <c r="GKE20" s="91"/>
      <c r="GKF20" s="91"/>
      <c r="GKG20" s="91"/>
      <c r="GKH20" s="91"/>
      <c r="GKI20" s="91"/>
      <c r="GKJ20" s="91"/>
      <c r="GKK20" s="91"/>
      <c r="GKL20" s="91"/>
      <c r="GKM20" s="91"/>
      <c r="GKN20" s="91"/>
      <c r="GKO20" s="91"/>
      <c r="GKP20" s="91"/>
      <c r="GKQ20" s="91"/>
      <c r="GKR20" s="91"/>
      <c r="GKS20" s="91"/>
      <c r="GKT20" s="91"/>
      <c r="GKU20" s="91"/>
      <c r="GKV20" s="91"/>
      <c r="GKW20" s="91"/>
      <c r="GKX20" s="91"/>
      <c r="GKY20" s="91"/>
      <c r="GKZ20" s="91"/>
      <c r="GLA20" s="91"/>
      <c r="GLB20" s="91"/>
      <c r="GLC20" s="91"/>
      <c r="GLD20" s="91"/>
      <c r="GLE20" s="91"/>
      <c r="GLF20" s="91"/>
      <c r="GLG20" s="91"/>
      <c r="GLH20" s="91"/>
      <c r="GLI20" s="91"/>
      <c r="GLJ20" s="91"/>
      <c r="GLK20" s="91"/>
      <c r="GLL20" s="91"/>
      <c r="GLM20" s="91"/>
      <c r="GLN20" s="91"/>
      <c r="GLO20" s="91"/>
      <c r="GLP20" s="91"/>
      <c r="GLQ20" s="91"/>
      <c r="GLR20" s="91"/>
      <c r="GLS20" s="91"/>
      <c r="GLT20" s="91"/>
      <c r="GLU20" s="91"/>
      <c r="GLV20" s="91"/>
      <c r="GLW20" s="91"/>
      <c r="GLX20" s="91"/>
      <c r="GLY20" s="91"/>
      <c r="GLZ20" s="91"/>
      <c r="GMA20" s="91"/>
      <c r="GMB20" s="91"/>
      <c r="GMC20" s="91"/>
      <c r="GMD20" s="91"/>
      <c r="GME20" s="91"/>
      <c r="GMF20" s="91"/>
      <c r="GMG20" s="91"/>
      <c r="GMH20" s="91"/>
      <c r="GMI20" s="91"/>
      <c r="GMJ20" s="91"/>
      <c r="GMK20" s="91"/>
      <c r="GML20" s="91"/>
      <c r="GMM20" s="91"/>
      <c r="GMN20" s="91"/>
      <c r="GMO20" s="91"/>
      <c r="GMP20" s="91"/>
      <c r="GMQ20" s="91"/>
      <c r="GMR20" s="91"/>
      <c r="GMS20" s="91"/>
      <c r="GMT20" s="91"/>
      <c r="GMU20" s="91"/>
      <c r="GMV20" s="91"/>
      <c r="GMW20" s="91"/>
      <c r="GMX20" s="91"/>
      <c r="GMY20" s="91"/>
      <c r="GMZ20" s="91"/>
      <c r="GNA20" s="91"/>
      <c r="GNB20" s="91"/>
      <c r="GNC20" s="91"/>
      <c r="GND20" s="91"/>
      <c r="GNE20" s="91"/>
      <c r="GNF20" s="91"/>
      <c r="GNG20" s="91"/>
      <c r="GNH20" s="91"/>
      <c r="GNI20" s="91"/>
      <c r="GNJ20" s="91"/>
      <c r="GNK20" s="91"/>
      <c r="GNL20" s="91"/>
      <c r="GNM20" s="91"/>
      <c r="GNN20" s="91"/>
      <c r="GNO20" s="91"/>
      <c r="GNP20" s="91"/>
      <c r="GNQ20" s="91"/>
      <c r="GNR20" s="91"/>
      <c r="GNS20" s="91"/>
      <c r="GNT20" s="91"/>
      <c r="GNU20" s="91"/>
      <c r="GNV20" s="91"/>
      <c r="GNW20" s="91"/>
      <c r="GNX20" s="91"/>
      <c r="GNY20" s="91"/>
      <c r="GNZ20" s="91"/>
      <c r="GOA20" s="91"/>
      <c r="GOB20" s="91"/>
      <c r="GOC20" s="91"/>
      <c r="GOD20" s="91"/>
      <c r="GOE20" s="91"/>
      <c r="GOF20" s="91"/>
      <c r="GOG20" s="91"/>
      <c r="GOH20" s="91"/>
      <c r="GOI20" s="91"/>
      <c r="GOJ20" s="91"/>
      <c r="GOK20" s="91"/>
      <c r="GOL20" s="91"/>
      <c r="GOM20" s="91"/>
      <c r="GON20" s="91"/>
      <c r="GOO20" s="91"/>
      <c r="GOP20" s="91"/>
      <c r="GOQ20" s="91"/>
      <c r="GOR20" s="91"/>
      <c r="GOS20" s="91"/>
      <c r="GOT20" s="91"/>
      <c r="GOU20" s="91"/>
      <c r="GOV20" s="91"/>
      <c r="GOW20" s="91"/>
      <c r="GOX20" s="91"/>
      <c r="GOY20" s="91"/>
      <c r="GOZ20" s="91"/>
      <c r="GPA20" s="91"/>
      <c r="GPB20" s="91"/>
      <c r="GPC20" s="91"/>
      <c r="GPD20" s="91"/>
      <c r="GPE20" s="91"/>
      <c r="GPF20" s="91"/>
      <c r="GPG20" s="91"/>
      <c r="GPH20" s="91"/>
      <c r="GPI20" s="91"/>
      <c r="GPJ20" s="91"/>
      <c r="GPK20" s="91"/>
      <c r="GPL20" s="91"/>
      <c r="GPM20" s="91"/>
      <c r="GPN20" s="91"/>
      <c r="GPO20" s="91"/>
      <c r="GPP20" s="91"/>
      <c r="GPQ20" s="91"/>
      <c r="GPR20" s="91"/>
      <c r="GPS20" s="91"/>
      <c r="GPT20" s="91"/>
      <c r="GPU20" s="91"/>
      <c r="GPV20" s="91"/>
      <c r="GPW20" s="91"/>
      <c r="GPX20" s="91"/>
      <c r="GPY20" s="91"/>
      <c r="GPZ20" s="91"/>
      <c r="GQA20" s="91"/>
      <c r="GQB20" s="91"/>
      <c r="GQC20" s="91"/>
      <c r="GQD20" s="91"/>
      <c r="GQE20" s="91"/>
      <c r="GQF20" s="91"/>
      <c r="GQG20" s="91"/>
      <c r="GQH20" s="91"/>
      <c r="GQI20" s="91"/>
      <c r="GQJ20" s="91"/>
      <c r="GQK20" s="91"/>
      <c r="GQL20" s="91"/>
      <c r="GQM20" s="91"/>
      <c r="GQN20" s="91"/>
      <c r="GQO20" s="91"/>
      <c r="GQP20" s="91"/>
      <c r="GQQ20" s="91"/>
      <c r="GQR20" s="91"/>
      <c r="GQS20" s="91"/>
      <c r="GQT20" s="91"/>
      <c r="GQU20" s="91"/>
      <c r="GQV20" s="91"/>
      <c r="GQW20" s="91"/>
      <c r="GQX20" s="91"/>
      <c r="GQY20" s="91"/>
      <c r="GQZ20" s="91"/>
      <c r="GRA20" s="91"/>
      <c r="GRB20" s="91"/>
      <c r="GRC20" s="91"/>
      <c r="GRD20" s="91"/>
      <c r="GRE20" s="91"/>
      <c r="GRF20" s="91"/>
      <c r="GRG20" s="91"/>
      <c r="GRH20" s="91"/>
      <c r="GRI20" s="91"/>
      <c r="GRJ20" s="91"/>
      <c r="GRK20" s="91"/>
      <c r="GRL20" s="91"/>
      <c r="GRM20" s="91"/>
      <c r="GRN20" s="91"/>
      <c r="GRO20" s="91"/>
      <c r="GRP20" s="91"/>
      <c r="GRQ20" s="91"/>
      <c r="GRR20" s="91"/>
      <c r="GRS20" s="91"/>
      <c r="GRT20" s="91"/>
      <c r="GRU20" s="91"/>
      <c r="GRV20" s="91"/>
      <c r="GRW20" s="91"/>
      <c r="GRX20" s="91"/>
      <c r="GRY20" s="91"/>
      <c r="GRZ20" s="91"/>
      <c r="GSA20" s="91"/>
      <c r="GSB20" s="91"/>
      <c r="GSC20" s="91"/>
      <c r="GSD20" s="91"/>
      <c r="GSE20" s="91"/>
      <c r="GSF20" s="91"/>
      <c r="GSG20" s="91"/>
      <c r="GSH20" s="91"/>
      <c r="GSI20" s="91"/>
      <c r="GSJ20" s="91"/>
      <c r="GSK20" s="91"/>
      <c r="GSL20" s="91"/>
      <c r="GSM20" s="91"/>
      <c r="GSN20" s="91"/>
      <c r="GSO20" s="91"/>
      <c r="GSP20" s="91"/>
      <c r="GSQ20" s="91"/>
      <c r="GSR20" s="91"/>
      <c r="GSS20" s="91"/>
      <c r="GST20" s="91"/>
      <c r="GSU20" s="91"/>
      <c r="GSV20" s="91"/>
      <c r="GSW20" s="91"/>
      <c r="GSX20" s="91"/>
      <c r="GSY20" s="91"/>
      <c r="GSZ20" s="91"/>
      <c r="GTA20" s="91"/>
      <c r="GTB20" s="91"/>
      <c r="GTC20" s="91"/>
      <c r="GTD20" s="91"/>
      <c r="GTE20" s="91"/>
      <c r="GTF20" s="91"/>
      <c r="GTG20" s="91"/>
      <c r="GTH20" s="91"/>
      <c r="GTI20" s="91"/>
      <c r="GTJ20" s="91"/>
      <c r="GTK20" s="91"/>
      <c r="GTL20" s="91"/>
      <c r="GTM20" s="91"/>
      <c r="GTN20" s="91"/>
      <c r="GTO20" s="91"/>
      <c r="GTP20" s="91"/>
      <c r="GTQ20" s="91"/>
      <c r="GTR20" s="91"/>
      <c r="GTS20" s="91"/>
      <c r="GTT20" s="91"/>
      <c r="GTU20" s="91"/>
      <c r="GTV20" s="91"/>
      <c r="GTW20" s="91"/>
      <c r="GTX20" s="91"/>
      <c r="GTY20" s="91"/>
      <c r="GTZ20" s="91"/>
      <c r="GUA20" s="91"/>
      <c r="GUB20" s="91"/>
      <c r="GUC20" s="91"/>
      <c r="GUD20" s="91"/>
      <c r="GUE20" s="91"/>
      <c r="GUF20" s="91"/>
      <c r="GUG20" s="91"/>
      <c r="GUH20" s="91"/>
      <c r="GUI20" s="91"/>
      <c r="GUJ20" s="91"/>
      <c r="GUK20" s="91"/>
      <c r="GUL20" s="91"/>
      <c r="GUM20" s="91"/>
      <c r="GUN20" s="91"/>
      <c r="GUO20" s="91"/>
      <c r="GUP20" s="91"/>
      <c r="GUQ20" s="91"/>
      <c r="GUR20" s="91"/>
      <c r="GUS20" s="91"/>
      <c r="GUT20" s="91"/>
      <c r="GUU20" s="91"/>
      <c r="GUV20" s="91"/>
      <c r="GUW20" s="91"/>
      <c r="GUX20" s="91"/>
      <c r="GUY20" s="91"/>
      <c r="GUZ20" s="91"/>
      <c r="GVA20" s="91"/>
      <c r="GVB20" s="91"/>
      <c r="GVC20" s="91"/>
      <c r="GVD20" s="91"/>
      <c r="GVE20" s="91"/>
      <c r="GVF20" s="91"/>
      <c r="GVG20" s="91"/>
      <c r="GVH20" s="91"/>
      <c r="GVI20" s="91"/>
      <c r="GVJ20" s="91"/>
      <c r="GVK20" s="91"/>
      <c r="GVL20" s="91"/>
      <c r="GVM20" s="91"/>
      <c r="GVN20" s="91"/>
      <c r="GVO20" s="91"/>
      <c r="GVP20" s="91"/>
      <c r="GVQ20" s="91"/>
      <c r="GVR20" s="91"/>
      <c r="GVS20" s="91"/>
      <c r="GVT20" s="91"/>
      <c r="GVU20" s="91"/>
      <c r="GVV20" s="91"/>
      <c r="GVW20" s="91"/>
      <c r="GVX20" s="91"/>
      <c r="GVY20" s="91"/>
      <c r="GVZ20" s="91"/>
      <c r="GWA20" s="91"/>
      <c r="GWB20" s="91"/>
      <c r="GWC20" s="91"/>
      <c r="GWD20" s="91"/>
      <c r="GWE20" s="91"/>
      <c r="GWF20" s="91"/>
      <c r="GWG20" s="91"/>
      <c r="GWH20" s="91"/>
      <c r="GWI20" s="91"/>
      <c r="GWJ20" s="91"/>
      <c r="GWK20" s="91"/>
      <c r="GWL20" s="91"/>
      <c r="GWM20" s="91"/>
      <c r="GWN20" s="91"/>
      <c r="GWO20" s="91"/>
      <c r="GWP20" s="91"/>
      <c r="GWQ20" s="91"/>
      <c r="GWR20" s="91"/>
      <c r="GWS20" s="91"/>
      <c r="GWT20" s="91"/>
      <c r="GWU20" s="91"/>
      <c r="GWV20" s="91"/>
      <c r="GWW20" s="91"/>
      <c r="GWX20" s="91"/>
      <c r="GWY20" s="91"/>
      <c r="GWZ20" s="91"/>
      <c r="GXA20" s="91"/>
      <c r="GXB20" s="91"/>
      <c r="GXC20" s="91"/>
      <c r="GXD20" s="91"/>
      <c r="GXE20" s="91"/>
      <c r="GXF20" s="91"/>
      <c r="GXG20" s="91"/>
      <c r="GXH20" s="91"/>
      <c r="GXI20" s="91"/>
      <c r="GXJ20" s="91"/>
      <c r="GXK20" s="91"/>
      <c r="GXL20" s="91"/>
      <c r="GXM20" s="91"/>
      <c r="GXN20" s="91"/>
      <c r="GXO20" s="91"/>
      <c r="GXP20" s="91"/>
      <c r="GXQ20" s="91"/>
      <c r="GXR20" s="91"/>
      <c r="GXS20" s="91"/>
      <c r="GXT20" s="91"/>
      <c r="GXU20" s="91"/>
      <c r="GXV20" s="91"/>
      <c r="GXW20" s="91"/>
      <c r="GXX20" s="91"/>
      <c r="GXY20" s="91"/>
      <c r="GXZ20" s="91"/>
      <c r="GYA20" s="91"/>
      <c r="GYB20" s="91"/>
      <c r="GYC20" s="91"/>
      <c r="GYD20" s="91"/>
      <c r="GYE20" s="91"/>
      <c r="GYF20" s="91"/>
      <c r="GYG20" s="91"/>
      <c r="GYH20" s="91"/>
      <c r="GYI20" s="91"/>
      <c r="GYJ20" s="91"/>
      <c r="GYK20" s="91"/>
      <c r="GYL20" s="91"/>
      <c r="GYM20" s="91"/>
      <c r="GYN20" s="91"/>
      <c r="GYO20" s="91"/>
      <c r="GYP20" s="91"/>
      <c r="GYQ20" s="91"/>
      <c r="GYR20" s="91"/>
      <c r="GYS20" s="91"/>
      <c r="GYT20" s="91"/>
      <c r="GYU20" s="91"/>
      <c r="GYV20" s="91"/>
      <c r="GYW20" s="91"/>
      <c r="GYX20" s="91"/>
      <c r="GYY20" s="91"/>
      <c r="GYZ20" s="91"/>
      <c r="GZA20" s="91"/>
      <c r="GZB20" s="91"/>
      <c r="GZC20" s="91"/>
      <c r="GZD20" s="91"/>
      <c r="GZE20" s="91"/>
      <c r="GZF20" s="91"/>
      <c r="GZG20" s="91"/>
      <c r="GZH20" s="91"/>
      <c r="GZI20" s="91"/>
      <c r="GZJ20" s="91"/>
      <c r="GZK20" s="91"/>
      <c r="GZL20" s="91"/>
      <c r="GZM20" s="91"/>
      <c r="GZN20" s="91"/>
      <c r="GZO20" s="91"/>
      <c r="GZP20" s="91"/>
      <c r="GZQ20" s="91"/>
      <c r="GZR20" s="91"/>
      <c r="GZS20" s="91"/>
      <c r="GZT20" s="91"/>
      <c r="GZU20" s="91"/>
      <c r="GZV20" s="91"/>
      <c r="GZW20" s="91"/>
      <c r="GZX20" s="91"/>
      <c r="GZY20" s="91"/>
      <c r="GZZ20" s="91"/>
      <c r="HAA20" s="91"/>
      <c r="HAB20" s="91"/>
      <c r="HAC20" s="91"/>
      <c r="HAD20" s="91"/>
      <c r="HAE20" s="91"/>
      <c r="HAF20" s="91"/>
      <c r="HAG20" s="91"/>
      <c r="HAH20" s="91"/>
      <c r="HAI20" s="91"/>
      <c r="HAJ20" s="91"/>
      <c r="HAK20" s="91"/>
      <c r="HAL20" s="91"/>
      <c r="HAM20" s="91"/>
      <c r="HAN20" s="91"/>
      <c r="HAO20" s="91"/>
      <c r="HAP20" s="91"/>
      <c r="HAQ20" s="91"/>
      <c r="HAR20" s="91"/>
      <c r="HAS20" s="91"/>
      <c r="HAT20" s="91"/>
      <c r="HAU20" s="91"/>
      <c r="HAV20" s="91"/>
      <c r="HAW20" s="91"/>
      <c r="HAX20" s="91"/>
      <c r="HAY20" s="91"/>
      <c r="HAZ20" s="91"/>
      <c r="HBA20" s="91"/>
      <c r="HBB20" s="91"/>
      <c r="HBC20" s="91"/>
      <c r="HBD20" s="91"/>
      <c r="HBE20" s="91"/>
      <c r="HBF20" s="91"/>
      <c r="HBG20" s="91"/>
      <c r="HBH20" s="91"/>
      <c r="HBI20" s="91"/>
      <c r="HBJ20" s="91"/>
      <c r="HBK20" s="91"/>
      <c r="HBL20" s="91"/>
      <c r="HBM20" s="91"/>
      <c r="HBN20" s="91"/>
      <c r="HBO20" s="91"/>
      <c r="HBP20" s="91"/>
      <c r="HBQ20" s="91"/>
      <c r="HBR20" s="91"/>
      <c r="HBS20" s="91"/>
      <c r="HBT20" s="91"/>
      <c r="HBU20" s="91"/>
      <c r="HBV20" s="91"/>
      <c r="HBW20" s="91"/>
      <c r="HBX20" s="91"/>
      <c r="HBY20" s="91"/>
      <c r="HBZ20" s="91"/>
      <c r="HCA20" s="91"/>
      <c r="HCB20" s="91"/>
      <c r="HCC20" s="91"/>
      <c r="HCD20" s="91"/>
      <c r="HCE20" s="91"/>
      <c r="HCF20" s="91"/>
      <c r="HCG20" s="91"/>
      <c r="HCH20" s="91"/>
      <c r="HCI20" s="91"/>
      <c r="HCJ20" s="91"/>
      <c r="HCK20" s="91"/>
      <c r="HCL20" s="91"/>
      <c r="HCM20" s="91"/>
      <c r="HCN20" s="91"/>
      <c r="HCO20" s="91"/>
      <c r="HCP20" s="91"/>
      <c r="HCQ20" s="91"/>
      <c r="HCR20" s="91"/>
      <c r="HCS20" s="91"/>
      <c r="HCT20" s="91"/>
      <c r="HCU20" s="91"/>
      <c r="HCV20" s="91"/>
      <c r="HCW20" s="91"/>
      <c r="HCX20" s="91"/>
      <c r="HCY20" s="91"/>
      <c r="HCZ20" s="91"/>
      <c r="HDA20" s="91"/>
      <c r="HDB20" s="91"/>
      <c r="HDC20" s="91"/>
      <c r="HDD20" s="91"/>
      <c r="HDE20" s="91"/>
      <c r="HDF20" s="91"/>
      <c r="HDG20" s="91"/>
      <c r="HDH20" s="91"/>
      <c r="HDI20" s="91"/>
      <c r="HDJ20" s="91"/>
      <c r="HDK20" s="91"/>
      <c r="HDL20" s="91"/>
      <c r="HDM20" s="91"/>
      <c r="HDN20" s="91"/>
      <c r="HDO20" s="91"/>
      <c r="HDP20" s="91"/>
      <c r="HDQ20" s="91"/>
      <c r="HDR20" s="91"/>
      <c r="HDS20" s="91"/>
      <c r="HDT20" s="91"/>
      <c r="HDU20" s="91"/>
      <c r="HDV20" s="91"/>
      <c r="HDW20" s="91"/>
      <c r="HDX20" s="91"/>
      <c r="HDY20" s="91"/>
      <c r="HDZ20" s="91"/>
      <c r="HEA20" s="91"/>
      <c r="HEB20" s="91"/>
      <c r="HEC20" s="91"/>
      <c r="HED20" s="91"/>
      <c r="HEE20" s="91"/>
      <c r="HEF20" s="91"/>
      <c r="HEG20" s="91"/>
      <c r="HEH20" s="91"/>
      <c r="HEI20" s="91"/>
      <c r="HEJ20" s="91"/>
      <c r="HEK20" s="91"/>
      <c r="HEL20" s="91"/>
      <c r="HEM20" s="91"/>
      <c r="HEN20" s="91"/>
      <c r="HEO20" s="91"/>
      <c r="HEP20" s="91"/>
      <c r="HEQ20" s="91"/>
      <c r="HER20" s="91"/>
      <c r="HES20" s="91"/>
      <c r="HET20" s="91"/>
      <c r="HEU20" s="91"/>
      <c r="HEV20" s="91"/>
      <c r="HEW20" s="91"/>
      <c r="HEX20" s="91"/>
      <c r="HEY20" s="91"/>
      <c r="HEZ20" s="91"/>
      <c r="HFA20" s="91"/>
      <c r="HFB20" s="91"/>
      <c r="HFC20" s="91"/>
      <c r="HFD20" s="91"/>
      <c r="HFE20" s="91"/>
      <c r="HFF20" s="91"/>
      <c r="HFG20" s="91"/>
      <c r="HFH20" s="91"/>
      <c r="HFI20" s="91"/>
      <c r="HFJ20" s="91"/>
      <c r="HFK20" s="91"/>
      <c r="HFL20" s="91"/>
      <c r="HFM20" s="91"/>
      <c r="HFN20" s="91"/>
      <c r="HFO20" s="91"/>
      <c r="HFP20" s="91"/>
      <c r="HFQ20" s="91"/>
      <c r="HFR20" s="91"/>
      <c r="HFS20" s="91"/>
      <c r="HFT20" s="91"/>
      <c r="HFU20" s="91"/>
      <c r="HFV20" s="91"/>
      <c r="HFW20" s="91"/>
      <c r="HFX20" s="91"/>
      <c r="HFY20" s="91"/>
      <c r="HFZ20" s="91"/>
      <c r="HGA20" s="91"/>
      <c r="HGB20" s="91"/>
      <c r="HGC20" s="91"/>
      <c r="HGD20" s="91"/>
      <c r="HGE20" s="91"/>
      <c r="HGF20" s="91"/>
      <c r="HGG20" s="91"/>
      <c r="HGH20" s="91"/>
      <c r="HGI20" s="91"/>
      <c r="HGJ20" s="91"/>
      <c r="HGK20" s="91"/>
      <c r="HGL20" s="91"/>
      <c r="HGM20" s="91"/>
      <c r="HGN20" s="91"/>
      <c r="HGO20" s="91"/>
      <c r="HGP20" s="91"/>
      <c r="HGQ20" s="91"/>
      <c r="HGR20" s="91"/>
      <c r="HGS20" s="91"/>
      <c r="HGT20" s="91"/>
      <c r="HGU20" s="91"/>
      <c r="HGV20" s="91"/>
      <c r="HGW20" s="91"/>
      <c r="HGX20" s="91"/>
      <c r="HGY20" s="91"/>
      <c r="HGZ20" s="91"/>
      <c r="HHA20" s="91"/>
      <c r="HHB20" s="91"/>
      <c r="HHC20" s="91"/>
      <c r="HHD20" s="91"/>
      <c r="HHE20" s="91"/>
      <c r="HHF20" s="91"/>
      <c r="HHG20" s="91"/>
      <c r="HHH20" s="91"/>
      <c r="HHI20" s="91"/>
      <c r="HHJ20" s="91"/>
      <c r="HHK20" s="91"/>
      <c r="HHL20" s="91"/>
      <c r="HHM20" s="91"/>
      <c r="HHN20" s="91"/>
      <c r="HHO20" s="91"/>
      <c r="HHP20" s="91"/>
      <c r="HHQ20" s="91"/>
      <c r="HHR20" s="91"/>
      <c r="HHS20" s="91"/>
      <c r="HHT20" s="91"/>
      <c r="HHU20" s="91"/>
      <c r="HHV20" s="91"/>
      <c r="HHW20" s="91"/>
      <c r="HHX20" s="91"/>
      <c r="HHY20" s="91"/>
      <c r="HHZ20" s="91"/>
      <c r="HIA20" s="91"/>
      <c r="HIB20" s="91"/>
      <c r="HIC20" s="91"/>
      <c r="HID20" s="91"/>
      <c r="HIE20" s="91"/>
      <c r="HIF20" s="91"/>
      <c r="HIG20" s="91"/>
      <c r="HIH20" s="91"/>
      <c r="HII20" s="91"/>
      <c r="HIJ20" s="91"/>
      <c r="HIK20" s="91"/>
      <c r="HIL20" s="91"/>
      <c r="HIM20" s="91"/>
      <c r="HIN20" s="91"/>
      <c r="HIO20" s="91"/>
      <c r="HIP20" s="91"/>
      <c r="HIQ20" s="91"/>
      <c r="HIR20" s="91"/>
      <c r="HIS20" s="91"/>
      <c r="HIT20" s="91"/>
      <c r="HIU20" s="91"/>
      <c r="HIV20" s="91"/>
      <c r="HIW20" s="91"/>
      <c r="HIX20" s="91"/>
      <c r="HIY20" s="91"/>
      <c r="HIZ20" s="91"/>
      <c r="HJA20" s="91"/>
      <c r="HJB20" s="91"/>
      <c r="HJC20" s="91"/>
      <c r="HJD20" s="91"/>
      <c r="HJE20" s="91"/>
      <c r="HJF20" s="91"/>
      <c r="HJG20" s="91"/>
      <c r="HJH20" s="91"/>
      <c r="HJI20" s="91"/>
      <c r="HJJ20" s="91"/>
      <c r="HJK20" s="91"/>
      <c r="HJL20" s="91"/>
      <c r="HJM20" s="91"/>
      <c r="HJN20" s="91"/>
      <c r="HJO20" s="91"/>
      <c r="HJP20" s="91"/>
      <c r="HJQ20" s="91"/>
      <c r="HJR20" s="91"/>
      <c r="HJS20" s="91"/>
      <c r="HJT20" s="91"/>
      <c r="HJU20" s="91"/>
      <c r="HJV20" s="91"/>
      <c r="HJW20" s="91"/>
      <c r="HJX20" s="91"/>
      <c r="HJY20" s="91"/>
      <c r="HJZ20" s="91"/>
      <c r="HKA20" s="91"/>
      <c r="HKB20" s="91"/>
      <c r="HKC20" s="91"/>
      <c r="HKD20" s="91"/>
      <c r="HKE20" s="91"/>
      <c r="HKF20" s="91"/>
      <c r="HKG20" s="91"/>
      <c r="HKH20" s="91"/>
      <c r="HKI20" s="91"/>
      <c r="HKJ20" s="91"/>
      <c r="HKK20" s="91"/>
      <c r="HKL20" s="91"/>
      <c r="HKM20" s="91"/>
      <c r="HKN20" s="91"/>
      <c r="HKO20" s="91"/>
      <c r="HKP20" s="91"/>
      <c r="HKQ20" s="91"/>
      <c r="HKR20" s="91"/>
      <c r="HKS20" s="91"/>
      <c r="HKT20" s="91"/>
      <c r="HKU20" s="91"/>
      <c r="HKV20" s="91"/>
      <c r="HKW20" s="91"/>
      <c r="HKX20" s="91"/>
      <c r="HKY20" s="91"/>
      <c r="HKZ20" s="91"/>
      <c r="HLA20" s="91"/>
      <c r="HLB20" s="91"/>
      <c r="HLC20" s="91"/>
      <c r="HLD20" s="91"/>
      <c r="HLE20" s="91"/>
      <c r="HLF20" s="91"/>
      <c r="HLG20" s="91"/>
      <c r="HLH20" s="91"/>
      <c r="HLI20" s="91"/>
      <c r="HLJ20" s="91"/>
      <c r="HLK20" s="91"/>
      <c r="HLL20" s="91"/>
      <c r="HLM20" s="91"/>
      <c r="HLN20" s="91"/>
      <c r="HLO20" s="91"/>
      <c r="HLP20" s="91"/>
      <c r="HLQ20" s="91"/>
      <c r="HLR20" s="91"/>
      <c r="HLS20" s="91"/>
      <c r="HLT20" s="91"/>
      <c r="HLU20" s="91"/>
      <c r="HLV20" s="91"/>
      <c r="HLW20" s="91"/>
      <c r="HLX20" s="91"/>
      <c r="HLY20" s="91"/>
      <c r="HLZ20" s="91"/>
      <c r="HMA20" s="91"/>
      <c r="HMB20" s="91"/>
      <c r="HMC20" s="91"/>
      <c r="HMD20" s="91"/>
      <c r="HME20" s="91"/>
      <c r="HMF20" s="91"/>
      <c r="HMG20" s="91"/>
      <c r="HMH20" s="91"/>
      <c r="HMI20" s="91"/>
      <c r="HMJ20" s="91"/>
      <c r="HMK20" s="91"/>
      <c r="HML20" s="91"/>
      <c r="HMM20" s="91"/>
      <c r="HMN20" s="91"/>
      <c r="HMO20" s="91"/>
      <c r="HMP20" s="91"/>
      <c r="HMQ20" s="91"/>
      <c r="HMR20" s="91"/>
      <c r="HMS20" s="91"/>
      <c r="HMT20" s="91"/>
      <c r="HMU20" s="91"/>
      <c r="HMV20" s="91"/>
      <c r="HMW20" s="91"/>
      <c r="HMX20" s="91"/>
      <c r="HMY20" s="91"/>
      <c r="HMZ20" s="91"/>
      <c r="HNA20" s="91"/>
      <c r="HNB20" s="91"/>
      <c r="HNC20" s="91"/>
      <c r="HND20" s="91"/>
      <c r="HNE20" s="91"/>
      <c r="HNF20" s="91"/>
      <c r="HNG20" s="91"/>
      <c r="HNH20" s="91"/>
      <c r="HNI20" s="91"/>
      <c r="HNJ20" s="91"/>
      <c r="HNK20" s="91"/>
      <c r="HNL20" s="91"/>
      <c r="HNM20" s="91"/>
      <c r="HNN20" s="91"/>
      <c r="HNO20" s="91"/>
      <c r="HNP20" s="91"/>
      <c r="HNQ20" s="91"/>
      <c r="HNR20" s="91"/>
      <c r="HNS20" s="91"/>
      <c r="HNT20" s="91"/>
      <c r="HNU20" s="91"/>
      <c r="HNV20" s="91"/>
      <c r="HNW20" s="91"/>
      <c r="HNX20" s="91"/>
      <c r="HNY20" s="91"/>
      <c r="HNZ20" s="91"/>
      <c r="HOA20" s="91"/>
      <c r="HOB20" s="91"/>
      <c r="HOC20" s="91"/>
      <c r="HOD20" s="91"/>
      <c r="HOE20" s="91"/>
      <c r="HOF20" s="91"/>
      <c r="HOG20" s="91"/>
      <c r="HOH20" s="91"/>
      <c r="HOI20" s="91"/>
      <c r="HOJ20" s="91"/>
      <c r="HOK20" s="91"/>
      <c r="HOL20" s="91"/>
      <c r="HOM20" s="91"/>
      <c r="HON20" s="91"/>
      <c r="HOO20" s="91"/>
      <c r="HOP20" s="91"/>
      <c r="HOQ20" s="91"/>
      <c r="HOR20" s="91"/>
      <c r="HOS20" s="91"/>
      <c r="HOT20" s="91"/>
      <c r="HOU20" s="91"/>
      <c r="HOV20" s="91"/>
      <c r="HOW20" s="91"/>
      <c r="HOX20" s="91"/>
      <c r="HOY20" s="91"/>
      <c r="HOZ20" s="91"/>
      <c r="HPA20" s="91"/>
      <c r="HPB20" s="91"/>
      <c r="HPC20" s="91"/>
      <c r="HPD20" s="91"/>
      <c r="HPE20" s="91"/>
      <c r="HPF20" s="91"/>
      <c r="HPG20" s="91"/>
      <c r="HPH20" s="91"/>
      <c r="HPI20" s="91"/>
      <c r="HPJ20" s="91"/>
      <c r="HPK20" s="91"/>
      <c r="HPL20" s="91"/>
      <c r="HPM20" s="91"/>
      <c r="HPN20" s="91"/>
      <c r="HPO20" s="91"/>
      <c r="HPP20" s="91"/>
      <c r="HPQ20" s="91"/>
      <c r="HPR20" s="91"/>
      <c r="HPS20" s="91"/>
      <c r="HPT20" s="91"/>
      <c r="HPU20" s="91"/>
      <c r="HPV20" s="91"/>
      <c r="HPW20" s="91"/>
      <c r="HPX20" s="91"/>
      <c r="HPY20" s="91"/>
      <c r="HPZ20" s="91"/>
      <c r="HQA20" s="91"/>
      <c r="HQB20" s="91"/>
      <c r="HQC20" s="91"/>
      <c r="HQD20" s="91"/>
      <c r="HQE20" s="91"/>
      <c r="HQF20" s="91"/>
      <c r="HQG20" s="91"/>
      <c r="HQH20" s="91"/>
      <c r="HQI20" s="91"/>
      <c r="HQJ20" s="91"/>
      <c r="HQK20" s="91"/>
      <c r="HQL20" s="91"/>
      <c r="HQM20" s="91"/>
      <c r="HQN20" s="91"/>
      <c r="HQO20" s="91"/>
      <c r="HQP20" s="91"/>
      <c r="HQQ20" s="91"/>
      <c r="HQR20" s="91"/>
      <c r="HQS20" s="91"/>
      <c r="HQT20" s="91"/>
      <c r="HQU20" s="91"/>
      <c r="HQV20" s="91"/>
      <c r="HQW20" s="91"/>
      <c r="HQX20" s="91"/>
      <c r="HQY20" s="91"/>
      <c r="HQZ20" s="91"/>
      <c r="HRA20" s="91"/>
      <c r="HRB20" s="91"/>
      <c r="HRC20" s="91"/>
      <c r="HRD20" s="91"/>
      <c r="HRE20" s="91"/>
      <c r="HRF20" s="91"/>
      <c r="HRG20" s="91"/>
      <c r="HRH20" s="91"/>
      <c r="HRI20" s="91"/>
      <c r="HRJ20" s="91"/>
      <c r="HRK20" s="91"/>
      <c r="HRL20" s="91"/>
      <c r="HRM20" s="91"/>
      <c r="HRN20" s="91"/>
      <c r="HRO20" s="91"/>
      <c r="HRP20" s="91"/>
      <c r="HRQ20" s="91"/>
      <c r="HRR20" s="91"/>
      <c r="HRS20" s="91"/>
      <c r="HRT20" s="91"/>
      <c r="HRU20" s="91"/>
      <c r="HRV20" s="91"/>
      <c r="HRW20" s="91"/>
      <c r="HRX20" s="91"/>
      <c r="HRY20" s="91"/>
      <c r="HRZ20" s="91"/>
      <c r="HSA20" s="91"/>
      <c r="HSB20" s="91"/>
      <c r="HSC20" s="91"/>
      <c r="HSD20" s="91"/>
      <c r="HSE20" s="91"/>
      <c r="HSF20" s="91"/>
      <c r="HSG20" s="91"/>
      <c r="HSH20" s="91"/>
      <c r="HSI20" s="91"/>
      <c r="HSJ20" s="91"/>
      <c r="HSK20" s="91"/>
      <c r="HSL20" s="91"/>
      <c r="HSM20" s="91"/>
      <c r="HSN20" s="91"/>
      <c r="HSO20" s="91"/>
      <c r="HSP20" s="91"/>
      <c r="HSQ20" s="91"/>
      <c r="HSR20" s="91"/>
      <c r="HSS20" s="91"/>
      <c r="HST20" s="91"/>
      <c r="HSU20" s="91"/>
      <c r="HSV20" s="91"/>
      <c r="HSW20" s="91"/>
      <c r="HSX20" s="91"/>
      <c r="HSY20" s="91"/>
      <c r="HSZ20" s="91"/>
      <c r="HTA20" s="91"/>
      <c r="HTB20" s="91"/>
      <c r="HTC20" s="91"/>
      <c r="HTD20" s="91"/>
      <c r="HTE20" s="91"/>
      <c r="HTF20" s="91"/>
      <c r="HTG20" s="91"/>
      <c r="HTH20" s="91"/>
      <c r="HTI20" s="91"/>
      <c r="HTJ20" s="91"/>
      <c r="HTK20" s="91"/>
      <c r="HTL20" s="91"/>
      <c r="HTM20" s="91"/>
      <c r="HTN20" s="91"/>
      <c r="HTO20" s="91"/>
      <c r="HTP20" s="91"/>
      <c r="HTQ20" s="91"/>
      <c r="HTR20" s="91"/>
      <c r="HTS20" s="91"/>
      <c r="HTT20" s="91"/>
      <c r="HTU20" s="91"/>
      <c r="HTV20" s="91"/>
      <c r="HTW20" s="91"/>
      <c r="HTX20" s="91"/>
      <c r="HTY20" s="91"/>
      <c r="HTZ20" s="91"/>
      <c r="HUA20" s="91"/>
      <c r="HUB20" s="91"/>
      <c r="HUC20" s="91"/>
      <c r="HUD20" s="91"/>
      <c r="HUE20" s="91"/>
      <c r="HUF20" s="91"/>
      <c r="HUG20" s="91"/>
      <c r="HUH20" s="91"/>
      <c r="HUI20" s="91"/>
      <c r="HUJ20" s="91"/>
      <c r="HUK20" s="91"/>
      <c r="HUL20" s="91"/>
      <c r="HUM20" s="91"/>
      <c r="HUN20" s="91"/>
      <c r="HUO20" s="91"/>
      <c r="HUP20" s="91"/>
      <c r="HUQ20" s="91"/>
      <c r="HUR20" s="91"/>
      <c r="HUS20" s="91"/>
      <c r="HUT20" s="91"/>
      <c r="HUU20" s="91"/>
      <c r="HUV20" s="91"/>
      <c r="HUW20" s="91"/>
      <c r="HUX20" s="91"/>
      <c r="HUY20" s="91"/>
      <c r="HUZ20" s="91"/>
      <c r="HVA20" s="91"/>
      <c r="HVB20" s="91"/>
      <c r="HVC20" s="91"/>
      <c r="HVD20" s="91"/>
      <c r="HVE20" s="91"/>
      <c r="HVF20" s="91"/>
      <c r="HVG20" s="91"/>
      <c r="HVH20" s="91"/>
      <c r="HVI20" s="91"/>
      <c r="HVJ20" s="91"/>
      <c r="HVK20" s="91"/>
      <c r="HVL20" s="91"/>
      <c r="HVM20" s="91"/>
      <c r="HVN20" s="91"/>
      <c r="HVO20" s="91"/>
      <c r="HVP20" s="91"/>
      <c r="HVQ20" s="91"/>
      <c r="HVR20" s="91"/>
      <c r="HVS20" s="91"/>
      <c r="HVT20" s="91"/>
      <c r="HVU20" s="91"/>
      <c r="HVV20" s="91"/>
      <c r="HVW20" s="91"/>
      <c r="HVX20" s="91"/>
      <c r="HVY20" s="91"/>
      <c r="HVZ20" s="91"/>
      <c r="HWA20" s="91"/>
      <c r="HWB20" s="91"/>
      <c r="HWC20" s="91"/>
      <c r="HWD20" s="91"/>
      <c r="HWE20" s="91"/>
      <c r="HWF20" s="91"/>
      <c r="HWG20" s="91"/>
      <c r="HWH20" s="91"/>
      <c r="HWI20" s="91"/>
      <c r="HWJ20" s="91"/>
      <c r="HWK20" s="91"/>
      <c r="HWL20" s="91"/>
      <c r="HWM20" s="91"/>
      <c r="HWN20" s="91"/>
      <c r="HWO20" s="91"/>
      <c r="HWP20" s="91"/>
      <c r="HWQ20" s="91"/>
      <c r="HWR20" s="91"/>
      <c r="HWS20" s="91"/>
      <c r="HWT20" s="91"/>
      <c r="HWU20" s="91"/>
      <c r="HWV20" s="91"/>
      <c r="HWW20" s="91"/>
      <c r="HWX20" s="91"/>
      <c r="HWY20" s="91"/>
      <c r="HWZ20" s="91"/>
      <c r="HXA20" s="91"/>
      <c r="HXB20" s="91"/>
      <c r="HXC20" s="91"/>
      <c r="HXD20" s="91"/>
      <c r="HXE20" s="91"/>
      <c r="HXF20" s="91"/>
      <c r="HXG20" s="91"/>
      <c r="HXH20" s="91"/>
      <c r="HXI20" s="91"/>
      <c r="HXJ20" s="91"/>
      <c r="HXK20" s="91"/>
      <c r="HXL20" s="91"/>
      <c r="HXM20" s="91"/>
      <c r="HXN20" s="91"/>
      <c r="HXO20" s="91"/>
      <c r="HXP20" s="91"/>
      <c r="HXQ20" s="91"/>
      <c r="HXR20" s="91"/>
      <c r="HXS20" s="91"/>
      <c r="HXT20" s="91"/>
      <c r="HXU20" s="91"/>
      <c r="HXV20" s="91"/>
      <c r="HXW20" s="91"/>
      <c r="HXX20" s="91"/>
      <c r="HXY20" s="91"/>
      <c r="HXZ20" s="91"/>
      <c r="HYA20" s="91"/>
      <c r="HYB20" s="91"/>
      <c r="HYC20" s="91"/>
      <c r="HYD20" s="91"/>
      <c r="HYE20" s="91"/>
      <c r="HYF20" s="91"/>
      <c r="HYG20" s="91"/>
      <c r="HYH20" s="91"/>
      <c r="HYI20" s="91"/>
      <c r="HYJ20" s="91"/>
      <c r="HYK20" s="91"/>
      <c r="HYL20" s="91"/>
      <c r="HYM20" s="91"/>
      <c r="HYN20" s="91"/>
      <c r="HYO20" s="91"/>
      <c r="HYP20" s="91"/>
      <c r="HYQ20" s="91"/>
      <c r="HYR20" s="91"/>
      <c r="HYS20" s="91"/>
      <c r="HYT20" s="91"/>
      <c r="HYU20" s="91"/>
      <c r="HYV20" s="91"/>
      <c r="HYW20" s="91"/>
      <c r="HYX20" s="91"/>
      <c r="HYY20" s="91"/>
      <c r="HYZ20" s="91"/>
      <c r="HZA20" s="91"/>
      <c r="HZB20" s="91"/>
      <c r="HZC20" s="91"/>
      <c r="HZD20" s="91"/>
      <c r="HZE20" s="91"/>
      <c r="HZF20" s="91"/>
      <c r="HZG20" s="91"/>
      <c r="HZH20" s="91"/>
      <c r="HZI20" s="91"/>
      <c r="HZJ20" s="91"/>
      <c r="HZK20" s="91"/>
      <c r="HZL20" s="91"/>
      <c r="HZM20" s="91"/>
      <c r="HZN20" s="91"/>
      <c r="HZO20" s="91"/>
      <c r="HZP20" s="91"/>
      <c r="HZQ20" s="91"/>
      <c r="HZR20" s="91"/>
      <c r="HZS20" s="91"/>
      <c r="HZT20" s="91"/>
      <c r="HZU20" s="91"/>
      <c r="HZV20" s="91"/>
      <c r="HZW20" s="91"/>
      <c r="HZX20" s="91"/>
      <c r="HZY20" s="91"/>
      <c r="HZZ20" s="91"/>
      <c r="IAA20" s="91"/>
      <c r="IAB20" s="91"/>
      <c r="IAC20" s="91"/>
      <c r="IAD20" s="91"/>
      <c r="IAE20" s="91"/>
      <c r="IAF20" s="91"/>
      <c r="IAG20" s="91"/>
      <c r="IAH20" s="91"/>
      <c r="IAI20" s="91"/>
      <c r="IAJ20" s="91"/>
      <c r="IAK20" s="91"/>
      <c r="IAL20" s="91"/>
      <c r="IAM20" s="91"/>
      <c r="IAN20" s="91"/>
      <c r="IAO20" s="91"/>
      <c r="IAP20" s="91"/>
      <c r="IAQ20" s="91"/>
      <c r="IAR20" s="91"/>
      <c r="IAS20" s="91"/>
      <c r="IAT20" s="91"/>
      <c r="IAU20" s="91"/>
      <c r="IAV20" s="91"/>
      <c r="IAW20" s="91"/>
      <c r="IAX20" s="91"/>
      <c r="IAY20" s="91"/>
      <c r="IAZ20" s="91"/>
      <c r="IBA20" s="91"/>
      <c r="IBB20" s="91"/>
      <c r="IBC20" s="91"/>
      <c r="IBD20" s="91"/>
      <c r="IBE20" s="91"/>
      <c r="IBF20" s="91"/>
      <c r="IBG20" s="91"/>
      <c r="IBH20" s="91"/>
      <c r="IBI20" s="91"/>
      <c r="IBJ20" s="91"/>
      <c r="IBK20" s="91"/>
      <c r="IBL20" s="91"/>
      <c r="IBM20" s="91"/>
      <c r="IBN20" s="91"/>
      <c r="IBO20" s="91"/>
      <c r="IBP20" s="91"/>
      <c r="IBQ20" s="91"/>
      <c r="IBR20" s="91"/>
      <c r="IBS20" s="91"/>
      <c r="IBT20" s="91"/>
      <c r="IBU20" s="91"/>
      <c r="IBV20" s="91"/>
      <c r="IBW20" s="91"/>
      <c r="IBX20" s="91"/>
      <c r="IBY20" s="91"/>
      <c r="IBZ20" s="91"/>
      <c r="ICA20" s="91"/>
      <c r="ICB20" s="91"/>
      <c r="ICC20" s="91"/>
      <c r="ICD20" s="91"/>
      <c r="ICE20" s="91"/>
      <c r="ICF20" s="91"/>
      <c r="ICG20" s="91"/>
      <c r="ICH20" s="91"/>
      <c r="ICI20" s="91"/>
      <c r="ICJ20" s="91"/>
      <c r="ICK20" s="91"/>
      <c r="ICL20" s="91"/>
      <c r="ICM20" s="91"/>
      <c r="ICN20" s="91"/>
      <c r="ICO20" s="91"/>
      <c r="ICP20" s="91"/>
      <c r="ICQ20" s="91"/>
      <c r="ICR20" s="91"/>
      <c r="ICS20" s="91"/>
      <c r="ICT20" s="91"/>
      <c r="ICU20" s="91"/>
      <c r="ICV20" s="91"/>
      <c r="ICW20" s="91"/>
      <c r="ICX20" s="91"/>
      <c r="ICY20" s="91"/>
      <c r="ICZ20" s="91"/>
      <c r="IDA20" s="91"/>
      <c r="IDB20" s="91"/>
      <c r="IDC20" s="91"/>
      <c r="IDD20" s="91"/>
      <c r="IDE20" s="91"/>
      <c r="IDF20" s="91"/>
      <c r="IDG20" s="91"/>
      <c r="IDH20" s="91"/>
      <c r="IDI20" s="91"/>
      <c r="IDJ20" s="91"/>
      <c r="IDK20" s="91"/>
      <c r="IDL20" s="91"/>
      <c r="IDM20" s="91"/>
      <c r="IDN20" s="91"/>
      <c r="IDO20" s="91"/>
      <c r="IDP20" s="91"/>
      <c r="IDQ20" s="91"/>
      <c r="IDR20" s="91"/>
      <c r="IDS20" s="91"/>
      <c r="IDT20" s="91"/>
      <c r="IDU20" s="91"/>
      <c r="IDV20" s="91"/>
      <c r="IDW20" s="91"/>
      <c r="IDX20" s="91"/>
      <c r="IDY20" s="91"/>
      <c r="IDZ20" s="91"/>
      <c r="IEA20" s="91"/>
      <c r="IEB20" s="91"/>
      <c r="IEC20" s="91"/>
      <c r="IED20" s="91"/>
      <c r="IEE20" s="91"/>
      <c r="IEF20" s="91"/>
      <c r="IEG20" s="91"/>
      <c r="IEH20" s="91"/>
      <c r="IEI20" s="91"/>
      <c r="IEJ20" s="91"/>
      <c r="IEK20" s="91"/>
      <c r="IEL20" s="91"/>
      <c r="IEM20" s="91"/>
      <c r="IEN20" s="91"/>
      <c r="IEO20" s="91"/>
      <c r="IEP20" s="91"/>
      <c r="IEQ20" s="91"/>
      <c r="IER20" s="91"/>
      <c r="IES20" s="91"/>
      <c r="IET20" s="91"/>
      <c r="IEU20" s="91"/>
      <c r="IEV20" s="91"/>
      <c r="IEW20" s="91"/>
      <c r="IEX20" s="91"/>
      <c r="IEY20" s="91"/>
      <c r="IEZ20" s="91"/>
      <c r="IFA20" s="91"/>
      <c r="IFB20" s="91"/>
      <c r="IFC20" s="91"/>
      <c r="IFD20" s="91"/>
      <c r="IFE20" s="91"/>
      <c r="IFF20" s="91"/>
      <c r="IFG20" s="91"/>
      <c r="IFH20" s="91"/>
      <c r="IFI20" s="91"/>
      <c r="IFJ20" s="91"/>
      <c r="IFK20" s="91"/>
      <c r="IFL20" s="91"/>
      <c r="IFM20" s="91"/>
      <c r="IFN20" s="91"/>
      <c r="IFO20" s="91"/>
      <c r="IFP20" s="91"/>
      <c r="IFQ20" s="91"/>
      <c r="IFR20" s="91"/>
      <c r="IFS20" s="91"/>
      <c r="IFT20" s="91"/>
      <c r="IFU20" s="91"/>
      <c r="IFV20" s="91"/>
      <c r="IFW20" s="91"/>
      <c r="IFX20" s="91"/>
      <c r="IFY20" s="91"/>
      <c r="IFZ20" s="91"/>
      <c r="IGA20" s="91"/>
      <c r="IGB20" s="91"/>
      <c r="IGC20" s="91"/>
      <c r="IGD20" s="91"/>
      <c r="IGE20" s="91"/>
      <c r="IGF20" s="91"/>
      <c r="IGG20" s="91"/>
      <c r="IGH20" s="91"/>
      <c r="IGI20" s="91"/>
      <c r="IGJ20" s="91"/>
      <c r="IGK20" s="91"/>
      <c r="IGL20" s="91"/>
      <c r="IGM20" s="91"/>
      <c r="IGN20" s="91"/>
      <c r="IGO20" s="91"/>
      <c r="IGP20" s="91"/>
      <c r="IGQ20" s="91"/>
      <c r="IGR20" s="91"/>
      <c r="IGS20" s="91"/>
      <c r="IGT20" s="91"/>
      <c r="IGU20" s="91"/>
      <c r="IGV20" s="91"/>
      <c r="IGW20" s="91"/>
      <c r="IGX20" s="91"/>
      <c r="IGY20" s="91"/>
      <c r="IGZ20" s="91"/>
      <c r="IHA20" s="91"/>
      <c r="IHB20" s="91"/>
      <c r="IHC20" s="91"/>
      <c r="IHD20" s="91"/>
      <c r="IHE20" s="91"/>
      <c r="IHF20" s="91"/>
      <c r="IHG20" s="91"/>
      <c r="IHH20" s="91"/>
      <c r="IHI20" s="91"/>
      <c r="IHJ20" s="91"/>
      <c r="IHK20" s="91"/>
      <c r="IHL20" s="91"/>
      <c r="IHM20" s="91"/>
      <c r="IHN20" s="91"/>
      <c r="IHO20" s="91"/>
      <c r="IHP20" s="91"/>
      <c r="IHQ20" s="91"/>
      <c r="IHR20" s="91"/>
      <c r="IHS20" s="91"/>
      <c r="IHT20" s="91"/>
      <c r="IHU20" s="91"/>
      <c r="IHV20" s="91"/>
      <c r="IHW20" s="91"/>
      <c r="IHX20" s="91"/>
      <c r="IHY20" s="91"/>
      <c r="IHZ20" s="91"/>
      <c r="IIA20" s="91"/>
      <c r="IIB20" s="91"/>
      <c r="IIC20" s="91"/>
      <c r="IID20" s="91"/>
      <c r="IIE20" s="91"/>
      <c r="IIF20" s="91"/>
      <c r="IIG20" s="91"/>
      <c r="IIH20" s="91"/>
      <c r="III20" s="91"/>
      <c r="IIJ20" s="91"/>
      <c r="IIK20" s="91"/>
      <c r="IIL20" s="91"/>
      <c r="IIM20" s="91"/>
      <c r="IIN20" s="91"/>
      <c r="IIO20" s="91"/>
      <c r="IIP20" s="91"/>
      <c r="IIQ20" s="91"/>
      <c r="IIR20" s="91"/>
      <c r="IIS20" s="91"/>
      <c r="IIT20" s="91"/>
      <c r="IIU20" s="91"/>
      <c r="IIV20" s="91"/>
      <c r="IIW20" s="91"/>
      <c r="IIX20" s="91"/>
      <c r="IIY20" s="91"/>
      <c r="IIZ20" s="91"/>
      <c r="IJA20" s="91"/>
      <c r="IJB20" s="91"/>
      <c r="IJC20" s="91"/>
      <c r="IJD20" s="91"/>
      <c r="IJE20" s="91"/>
      <c r="IJF20" s="91"/>
      <c r="IJG20" s="91"/>
      <c r="IJH20" s="91"/>
      <c r="IJI20" s="91"/>
      <c r="IJJ20" s="91"/>
      <c r="IJK20" s="91"/>
      <c r="IJL20" s="91"/>
      <c r="IJM20" s="91"/>
      <c r="IJN20" s="91"/>
      <c r="IJO20" s="91"/>
      <c r="IJP20" s="91"/>
      <c r="IJQ20" s="91"/>
      <c r="IJR20" s="91"/>
      <c r="IJS20" s="91"/>
      <c r="IJT20" s="91"/>
      <c r="IJU20" s="91"/>
      <c r="IJV20" s="91"/>
      <c r="IJW20" s="91"/>
      <c r="IJX20" s="91"/>
      <c r="IJY20" s="91"/>
      <c r="IJZ20" s="91"/>
      <c r="IKA20" s="91"/>
      <c r="IKB20" s="91"/>
      <c r="IKC20" s="91"/>
      <c r="IKD20" s="91"/>
      <c r="IKE20" s="91"/>
      <c r="IKF20" s="91"/>
      <c r="IKG20" s="91"/>
      <c r="IKH20" s="91"/>
      <c r="IKI20" s="91"/>
      <c r="IKJ20" s="91"/>
      <c r="IKK20" s="91"/>
      <c r="IKL20" s="91"/>
      <c r="IKM20" s="91"/>
      <c r="IKN20" s="91"/>
      <c r="IKO20" s="91"/>
      <c r="IKP20" s="91"/>
      <c r="IKQ20" s="91"/>
      <c r="IKR20" s="91"/>
      <c r="IKS20" s="91"/>
      <c r="IKT20" s="91"/>
      <c r="IKU20" s="91"/>
      <c r="IKV20" s="91"/>
      <c r="IKW20" s="91"/>
      <c r="IKX20" s="91"/>
      <c r="IKY20" s="91"/>
      <c r="IKZ20" s="91"/>
      <c r="ILA20" s="91"/>
      <c r="ILB20" s="91"/>
      <c r="ILC20" s="91"/>
      <c r="ILD20" s="91"/>
      <c r="ILE20" s="91"/>
      <c r="ILF20" s="91"/>
      <c r="ILG20" s="91"/>
      <c r="ILH20" s="91"/>
      <c r="ILI20" s="91"/>
      <c r="ILJ20" s="91"/>
      <c r="ILK20" s="91"/>
      <c r="ILL20" s="91"/>
      <c r="ILM20" s="91"/>
      <c r="ILN20" s="91"/>
      <c r="ILO20" s="91"/>
      <c r="ILP20" s="91"/>
      <c r="ILQ20" s="91"/>
      <c r="ILR20" s="91"/>
      <c r="ILS20" s="91"/>
      <c r="ILT20" s="91"/>
      <c r="ILU20" s="91"/>
      <c r="ILV20" s="91"/>
      <c r="ILW20" s="91"/>
      <c r="ILX20" s="91"/>
      <c r="ILY20" s="91"/>
      <c r="ILZ20" s="91"/>
      <c r="IMA20" s="91"/>
      <c r="IMB20" s="91"/>
      <c r="IMC20" s="91"/>
      <c r="IMD20" s="91"/>
      <c r="IME20" s="91"/>
      <c r="IMF20" s="91"/>
      <c r="IMG20" s="91"/>
      <c r="IMH20" s="91"/>
      <c r="IMI20" s="91"/>
      <c r="IMJ20" s="91"/>
      <c r="IMK20" s="91"/>
      <c r="IML20" s="91"/>
      <c r="IMM20" s="91"/>
      <c r="IMN20" s="91"/>
      <c r="IMO20" s="91"/>
      <c r="IMP20" s="91"/>
      <c r="IMQ20" s="91"/>
      <c r="IMR20" s="91"/>
      <c r="IMS20" s="91"/>
      <c r="IMT20" s="91"/>
      <c r="IMU20" s="91"/>
      <c r="IMV20" s="91"/>
      <c r="IMW20" s="91"/>
      <c r="IMX20" s="91"/>
      <c r="IMY20" s="91"/>
      <c r="IMZ20" s="91"/>
      <c r="INA20" s="91"/>
      <c r="INB20" s="91"/>
      <c r="INC20" s="91"/>
      <c r="IND20" s="91"/>
      <c r="INE20" s="91"/>
      <c r="INF20" s="91"/>
      <c r="ING20" s="91"/>
      <c r="INH20" s="91"/>
      <c r="INI20" s="91"/>
      <c r="INJ20" s="91"/>
      <c r="INK20" s="91"/>
      <c r="INL20" s="91"/>
      <c r="INM20" s="91"/>
      <c r="INN20" s="91"/>
      <c r="INO20" s="91"/>
      <c r="INP20" s="91"/>
      <c r="INQ20" s="91"/>
      <c r="INR20" s="91"/>
      <c r="INS20" s="91"/>
      <c r="INT20" s="91"/>
      <c r="INU20" s="91"/>
      <c r="INV20" s="91"/>
      <c r="INW20" s="91"/>
      <c r="INX20" s="91"/>
      <c r="INY20" s="91"/>
      <c r="INZ20" s="91"/>
      <c r="IOA20" s="91"/>
      <c r="IOB20" s="91"/>
      <c r="IOC20" s="91"/>
      <c r="IOD20" s="91"/>
      <c r="IOE20" s="91"/>
      <c r="IOF20" s="91"/>
      <c r="IOG20" s="91"/>
      <c r="IOH20" s="91"/>
      <c r="IOI20" s="91"/>
      <c r="IOJ20" s="91"/>
      <c r="IOK20" s="91"/>
      <c r="IOL20" s="91"/>
      <c r="IOM20" s="91"/>
      <c r="ION20" s="91"/>
      <c r="IOO20" s="91"/>
      <c r="IOP20" s="91"/>
      <c r="IOQ20" s="91"/>
      <c r="IOR20" s="91"/>
      <c r="IOS20" s="91"/>
      <c r="IOT20" s="91"/>
      <c r="IOU20" s="91"/>
      <c r="IOV20" s="91"/>
      <c r="IOW20" s="91"/>
      <c r="IOX20" s="91"/>
      <c r="IOY20" s="91"/>
      <c r="IOZ20" s="91"/>
      <c r="IPA20" s="91"/>
      <c r="IPB20" s="91"/>
      <c r="IPC20" s="91"/>
      <c r="IPD20" s="91"/>
      <c r="IPE20" s="91"/>
      <c r="IPF20" s="91"/>
      <c r="IPG20" s="91"/>
      <c r="IPH20" s="91"/>
      <c r="IPI20" s="91"/>
      <c r="IPJ20" s="91"/>
      <c r="IPK20" s="91"/>
      <c r="IPL20" s="91"/>
      <c r="IPM20" s="91"/>
      <c r="IPN20" s="91"/>
      <c r="IPO20" s="91"/>
      <c r="IPP20" s="91"/>
      <c r="IPQ20" s="91"/>
      <c r="IPR20" s="91"/>
      <c r="IPS20" s="91"/>
      <c r="IPT20" s="91"/>
      <c r="IPU20" s="91"/>
      <c r="IPV20" s="91"/>
      <c r="IPW20" s="91"/>
      <c r="IPX20" s="91"/>
      <c r="IPY20" s="91"/>
      <c r="IPZ20" s="91"/>
      <c r="IQA20" s="91"/>
      <c r="IQB20" s="91"/>
      <c r="IQC20" s="91"/>
      <c r="IQD20" s="91"/>
      <c r="IQE20" s="91"/>
      <c r="IQF20" s="91"/>
      <c r="IQG20" s="91"/>
      <c r="IQH20" s="91"/>
      <c r="IQI20" s="91"/>
      <c r="IQJ20" s="91"/>
      <c r="IQK20" s="91"/>
      <c r="IQL20" s="91"/>
      <c r="IQM20" s="91"/>
      <c r="IQN20" s="91"/>
      <c r="IQO20" s="91"/>
      <c r="IQP20" s="91"/>
      <c r="IQQ20" s="91"/>
      <c r="IQR20" s="91"/>
      <c r="IQS20" s="91"/>
      <c r="IQT20" s="91"/>
      <c r="IQU20" s="91"/>
      <c r="IQV20" s="91"/>
      <c r="IQW20" s="91"/>
      <c r="IQX20" s="91"/>
      <c r="IQY20" s="91"/>
      <c r="IQZ20" s="91"/>
      <c r="IRA20" s="91"/>
      <c r="IRB20" s="91"/>
      <c r="IRC20" s="91"/>
      <c r="IRD20" s="91"/>
      <c r="IRE20" s="91"/>
      <c r="IRF20" s="91"/>
      <c r="IRG20" s="91"/>
      <c r="IRH20" s="91"/>
      <c r="IRI20" s="91"/>
      <c r="IRJ20" s="91"/>
      <c r="IRK20" s="91"/>
      <c r="IRL20" s="91"/>
      <c r="IRM20" s="91"/>
      <c r="IRN20" s="91"/>
      <c r="IRO20" s="91"/>
      <c r="IRP20" s="91"/>
      <c r="IRQ20" s="91"/>
      <c r="IRR20" s="91"/>
      <c r="IRS20" s="91"/>
      <c r="IRT20" s="91"/>
      <c r="IRU20" s="91"/>
      <c r="IRV20" s="91"/>
      <c r="IRW20" s="91"/>
      <c r="IRX20" s="91"/>
      <c r="IRY20" s="91"/>
      <c r="IRZ20" s="91"/>
      <c r="ISA20" s="91"/>
      <c r="ISB20" s="91"/>
      <c r="ISC20" s="91"/>
      <c r="ISD20" s="91"/>
      <c r="ISE20" s="91"/>
      <c r="ISF20" s="91"/>
      <c r="ISG20" s="91"/>
      <c r="ISH20" s="91"/>
      <c r="ISI20" s="91"/>
      <c r="ISJ20" s="91"/>
      <c r="ISK20" s="91"/>
      <c r="ISL20" s="91"/>
      <c r="ISM20" s="91"/>
      <c r="ISN20" s="91"/>
      <c r="ISO20" s="91"/>
      <c r="ISP20" s="91"/>
      <c r="ISQ20" s="91"/>
      <c r="ISR20" s="91"/>
      <c r="ISS20" s="91"/>
      <c r="IST20" s="91"/>
      <c r="ISU20" s="91"/>
      <c r="ISV20" s="91"/>
      <c r="ISW20" s="91"/>
      <c r="ISX20" s="91"/>
      <c r="ISY20" s="91"/>
      <c r="ISZ20" s="91"/>
      <c r="ITA20" s="91"/>
      <c r="ITB20" s="91"/>
      <c r="ITC20" s="91"/>
      <c r="ITD20" s="91"/>
      <c r="ITE20" s="91"/>
      <c r="ITF20" s="91"/>
      <c r="ITG20" s="91"/>
      <c r="ITH20" s="91"/>
      <c r="ITI20" s="91"/>
      <c r="ITJ20" s="91"/>
      <c r="ITK20" s="91"/>
      <c r="ITL20" s="91"/>
      <c r="ITM20" s="91"/>
      <c r="ITN20" s="91"/>
      <c r="ITO20" s="91"/>
      <c r="ITP20" s="91"/>
      <c r="ITQ20" s="91"/>
      <c r="ITR20" s="91"/>
      <c r="ITS20" s="91"/>
      <c r="ITT20" s="91"/>
      <c r="ITU20" s="91"/>
      <c r="ITV20" s="91"/>
      <c r="ITW20" s="91"/>
      <c r="ITX20" s="91"/>
      <c r="ITY20" s="91"/>
      <c r="ITZ20" s="91"/>
      <c r="IUA20" s="91"/>
      <c r="IUB20" s="91"/>
      <c r="IUC20" s="91"/>
      <c r="IUD20" s="91"/>
      <c r="IUE20" s="91"/>
      <c r="IUF20" s="91"/>
      <c r="IUG20" s="91"/>
      <c r="IUH20" s="91"/>
      <c r="IUI20" s="91"/>
      <c r="IUJ20" s="91"/>
      <c r="IUK20" s="91"/>
      <c r="IUL20" s="91"/>
      <c r="IUM20" s="91"/>
      <c r="IUN20" s="91"/>
      <c r="IUO20" s="91"/>
      <c r="IUP20" s="91"/>
      <c r="IUQ20" s="91"/>
      <c r="IUR20" s="91"/>
      <c r="IUS20" s="91"/>
      <c r="IUT20" s="91"/>
      <c r="IUU20" s="91"/>
      <c r="IUV20" s="91"/>
      <c r="IUW20" s="91"/>
      <c r="IUX20" s="91"/>
      <c r="IUY20" s="91"/>
      <c r="IUZ20" s="91"/>
      <c r="IVA20" s="91"/>
      <c r="IVB20" s="91"/>
      <c r="IVC20" s="91"/>
      <c r="IVD20" s="91"/>
      <c r="IVE20" s="91"/>
      <c r="IVF20" s="91"/>
      <c r="IVG20" s="91"/>
      <c r="IVH20" s="91"/>
      <c r="IVI20" s="91"/>
      <c r="IVJ20" s="91"/>
      <c r="IVK20" s="91"/>
      <c r="IVL20" s="91"/>
      <c r="IVM20" s="91"/>
      <c r="IVN20" s="91"/>
      <c r="IVO20" s="91"/>
      <c r="IVP20" s="91"/>
      <c r="IVQ20" s="91"/>
      <c r="IVR20" s="91"/>
      <c r="IVS20" s="91"/>
      <c r="IVT20" s="91"/>
      <c r="IVU20" s="91"/>
      <c r="IVV20" s="91"/>
      <c r="IVW20" s="91"/>
      <c r="IVX20" s="91"/>
      <c r="IVY20" s="91"/>
      <c r="IVZ20" s="91"/>
      <c r="IWA20" s="91"/>
      <c r="IWB20" s="91"/>
      <c r="IWC20" s="91"/>
      <c r="IWD20" s="91"/>
      <c r="IWE20" s="91"/>
      <c r="IWF20" s="91"/>
      <c r="IWG20" s="91"/>
      <c r="IWH20" s="91"/>
      <c r="IWI20" s="91"/>
      <c r="IWJ20" s="91"/>
      <c r="IWK20" s="91"/>
      <c r="IWL20" s="91"/>
      <c r="IWM20" s="91"/>
      <c r="IWN20" s="91"/>
      <c r="IWO20" s="91"/>
      <c r="IWP20" s="91"/>
      <c r="IWQ20" s="91"/>
      <c r="IWR20" s="91"/>
      <c r="IWS20" s="91"/>
      <c r="IWT20" s="91"/>
      <c r="IWU20" s="91"/>
      <c r="IWV20" s="91"/>
      <c r="IWW20" s="91"/>
      <c r="IWX20" s="91"/>
      <c r="IWY20" s="91"/>
      <c r="IWZ20" s="91"/>
      <c r="IXA20" s="91"/>
      <c r="IXB20" s="91"/>
      <c r="IXC20" s="91"/>
      <c r="IXD20" s="91"/>
      <c r="IXE20" s="91"/>
      <c r="IXF20" s="91"/>
      <c r="IXG20" s="91"/>
      <c r="IXH20" s="91"/>
      <c r="IXI20" s="91"/>
      <c r="IXJ20" s="91"/>
      <c r="IXK20" s="91"/>
      <c r="IXL20" s="91"/>
      <c r="IXM20" s="91"/>
      <c r="IXN20" s="91"/>
      <c r="IXO20" s="91"/>
      <c r="IXP20" s="91"/>
      <c r="IXQ20" s="91"/>
      <c r="IXR20" s="91"/>
      <c r="IXS20" s="91"/>
      <c r="IXT20" s="91"/>
      <c r="IXU20" s="91"/>
      <c r="IXV20" s="91"/>
      <c r="IXW20" s="91"/>
      <c r="IXX20" s="91"/>
      <c r="IXY20" s="91"/>
      <c r="IXZ20" s="91"/>
      <c r="IYA20" s="91"/>
      <c r="IYB20" s="91"/>
      <c r="IYC20" s="91"/>
      <c r="IYD20" s="91"/>
      <c r="IYE20" s="91"/>
      <c r="IYF20" s="91"/>
      <c r="IYG20" s="91"/>
      <c r="IYH20" s="91"/>
      <c r="IYI20" s="91"/>
      <c r="IYJ20" s="91"/>
      <c r="IYK20" s="91"/>
      <c r="IYL20" s="91"/>
      <c r="IYM20" s="91"/>
      <c r="IYN20" s="91"/>
      <c r="IYO20" s="91"/>
      <c r="IYP20" s="91"/>
      <c r="IYQ20" s="91"/>
      <c r="IYR20" s="91"/>
      <c r="IYS20" s="91"/>
      <c r="IYT20" s="91"/>
      <c r="IYU20" s="91"/>
      <c r="IYV20" s="91"/>
      <c r="IYW20" s="91"/>
      <c r="IYX20" s="91"/>
      <c r="IYY20" s="91"/>
      <c r="IYZ20" s="91"/>
      <c r="IZA20" s="91"/>
      <c r="IZB20" s="91"/>
      <c r="IZC20" s="91"/>
      <c r="IZD20" s="91"/>
      <c r="IZE20" s="91"/>
      <c r="IZF20" s="91"/>
      <c r="IZG20" s="91"/>
      <c r="IZH20" s="91"/>
      <c r="IZI20" s="91"/>
      <c r="IZJ20" s="91"/>
      <c r="IZK20" s="91"/>
      <c r="IZL20" s="91"/>
      <c r="IZM20" s="91"/>
      <c r="IZN20" s="91"/>
      <c r="IZO20" s="91"/>
      <c r="IZP20" s="91"/>
      <c r="IZQ20" s="91"/>
      <c r="IZR20" s="91"/>
      <c r="IZS20" s="91"/>
      <c r="IZT20" s="91"/>
      <c r="IZU20" s="91"/>
      <c r="IZV20" s="91"/>
      <c r="IZW20" s="91"/>
      <c r="IZX20" s="91"/>
      <c r="IZY20" s="91"/>
      <c r="IZZ20" s="91"/>
      <c r="JAA20" s="91"/>
      <c r="JAB20" s="91"/>
      <c r="JAC20" s="91"/>
      <c r="JAD20" s="91"/>
      <c r="JAE20" s="91"/>
      <c r="JAF20" s="91"/>
      <c r="JAG20" s="91"/>
      <c r="JAH20" s="91"/>
      <c r="JAI20" s="91"/>
      <c r="JAJ20" s="91"/>
      <c r="JAK20" s="91"/>
      <c r="JAL20" s="91"/>
      <c r="JAM20" s="91"/>
      <c r="JAN20" s="91"/>
      <c r="JAO20" s="91"/>
      <c r="JAP20" s="91"/>
      <c r="JAQ20" s="91"/>
      <c r="JAR20" s="91"/>
      <c r="JAS20" s="91"/>
      <c r="JAT20" s="91"/>
      <c r="JAU20" s="91"/>
      <c r="JAV20" s="91"/>
      <c r="JAW20" s="91"/>
      <c r="JAX20" s="91"/>
      <c r="JAY20" s="91"/>
      <c r="JAZ20" s="91"/>
      <c r="JBA20" s="91"/>
      <c r="JBB20" s="91"/>
      <c r="JBC20" s="91"/>
      <c r="JBD20" s="91"/>
      <c r="JBE20" s="91"/>
      <c r="JBF20" s="91"/>
      <c r="JBG20" s="91"/>
      <c r="JBH20" s="91"/>
      <c r="JBI20" s="91"/>
      <c r="JBJ20" s="91"/>
      <c r="JBK20" s="91"/>
      <c r="JBL20" s="91"/>
      <c r="JBM20" s="91"/>
      <c r="JBN20" s="91"/>
      <c r="JBO20" s="91"/>
      <c r="JBP20" s="91"/>
      <c r="JBQ20" s="91"/>
      <c r="JBR20" s="91"/>
      <c r="JBS20" s="91"/>
      <c r="JBT20" s="91"/>
      <c r="JBU20" s="91"/>
      <c r="JBV20" s="91"/>
      <c r="JBW20" s="91"/>
      <c r="JBX20" s="91"/>
      <c r="JBY20" s="91"/>
      <c r="JBZ20" s="91"/>
      <c r="JCA20" s="91"/>
      <c r="JCB20" s="91"/>
      <c r="JCC20" s="91"/>
      <c r="JCD20" s="91"/>
      <c r="JCE20" s="91"/>
      <c r="JCF20" s="91"/>
      <c r="JCG20" s="91"/>
      <c r="JCH20" s="91"/>
      <c r="JCI20" s="91"/>
      <c r="JCJ20" s="91"/>
      <c r="JCK20" s="91"/>
      <c r="JCL20" s="91"/>
      <c r="JCM20" s="91"/>
      <c r="JCN20" s="91"/>
      <c r="JCO20" s="91"/>
      <c r="JCP20" s="91"/>
      <c r="JCQ20" s="91"/>
      <c r="JCR20" s="91"/>
      <c r="JCS20" s="91"/>
      <c r="JCT20" s="91"/>
      <c r="JCU20" s="91"/>
      <c r="JCV20" s="91"/>
      <c r="JCW20" s="91"/>
      <c r="JCX20" s="91"/>
      <c r="JCY20" s="91"/>
      <c r="JCZ20" s="91"/>
      <c r="JDA20" s="91"/>
      <c r="JDB20" s="91"/>
      <c r="JDC20" s="91"/>
      <c r="JDD20" s="91"/>
      <c r="JDE20" s="91"/>
      <c r="JDF20" s="91"/>
      <c r="JDG20" s="91"/>
      <c r="JDH20" s="91"/>
      <c r="JDI20" s="91"/>
      <c r="JDJ20" s="91"/>
      <c r="JDK20" s="91"/>
      <c r="JDL20" s="91"/>
      <c r="JDM20" s="91"/>
      <c r="JDN20" s="91"/>
      <c r="JDO20" s="91"/>
      <c r="JDP20" s="91"/>
      <c r="JDQ20" s="91"/>
      <c r="JDR20" s="91"/>
      <c r="JDS20" s="91"/>
      <c r="JDT20" s="91"/>
      <c r="JDU20" s="91"/>
      <c r="JDV20" s="91"/>
      <c r="JDW20" s="91"/>
      <c r="JDX20" s="91"/>
      <c r="JDY20" s="91"/>
      <c r="JDZ20" s="91"/>
      <c r="JEA20" s="91"/>
      <c r="JEB20" s="91"/>
      <c r="JEC20" s="91"/>
      <c r="JED20" s="91"/>
      <c r="JEE20" s="91"/>
      <c r="JEF20" s="91"/>
      <c r="JEG20" s="91"/>
      <c r="JEH20" s="91"/>
      <c r="JEI20" s="91"/>
      <c r="JEJ20" s="91"/>
      <c r="JEK20" s="91"/>
      <c r="JEL20" s="91"/>
      <c r="JEM20" s="91"/>
      <c r="JEN20" s="91"/>
      <c r="JEO20" s="91"/>
      <c r="JEP20" s="91"/>
      <c r="JEQ20" s="91"/>
      <c r="JER20" s="91"/>
      <c r="JES20" s="91"/>
      <c r="JET20" s="91"/>
      <c r="JEU20" s="91"/>
      <c r="JEV20" s="91"/>
      <c r="JEW20" s="91"/>
      <c r="JEX20" s="91"/>
      <c r="JEY20" s="91"/>
      <c r="JEZ20" s="91"/>
      <c r="JFA20" s="91"/>
      <c r="JFB20" s="91"/>
      <c r="JFC20" s="91"/>
      <c r="JFD20" s="91"/>
      <c r="JFE20" s="91"/>
      <c r="JFF20" s="91"/>
      <c r="JFG20" s="91"/>
      <c r="JFH20" s="91"/>
      <c r="JFI20" s="91"/>
      <c r="JFJ20" s="91"/>
      <c r="JFK20" s="91"/>
      <c r="JFL20" s="91"/>
      <c r="JFM20" s="91"/>
      <c r="JFN20" s="91"/>
      <c r="JFO20" s="91"/>
      <c r="JFP20" s="91"/>
      <c r="JFQ20" s="91"/>
      <c r="JFR20" s="91"/>
      <c r="JFS20" s="91"/>
      <c r="JFT20" s="91"/>
      <c r="JFU20" s="91"/>
      <c r="JFV20" s="91"/>
      <c r="JFW20" s="91"/>
      <c r="JFX20" s="91"/>
      <c r="JFY20" s="91"/>
      <c r="JFZ20" s="91"/>
      <c r="JGA20" s="91"/>
      <c r="JGB20" s="91"/>
      <c r="JGC20" s="91"/>
      <c r="JGD20" s="91"/>
      <c r="JGE20" s="91"/>
      <c r="JGF20" s="91"/>
      <c r="JGG20" s="91"/>
      <c r="JGH20" s="91"/>
      <c r="JGI20" s="91"/>
      <c r="JGJ20" s="91"/>
      <c r="JGK20" s="91"/>
      <c r="JGL20" s="91"/>
      <c r="JGM20" s="91"/>
      <c r="JGN20" s="91"/>
      <c r="JGO20" s="91"/>
      <c r="JGP20" s="91"/>
      <c r="JGQ20" s="91"/>
      <c r="JGR20" s="91"/>
      <c r="JGS20" s="91"/>
      <c r="JGT20" s="91"/>
      <c r="JGU20" s="91"/>
      <c r="JGV20" s="91"/>
      <c r="JGW20" s="91"/>
      <c r="JGX20" s="91"/>
      <c r="JGY20" s="91"/>
      <c r="JGZ20" s="91"/>
      <c r="JHA20" s="91"/>
      <c r="JHB20" s="91"/>
      <c r="JHC20" s="91"/>
      <c r="JHD20" s="91"/>
      <c r="JHE20" s="91"/>
      <c r="JHF20" s="91"/>
      <c r="JHG20" s="91"/>
      <c r="JHH20" s="91"/>
      <c r="JHI20" s="91"/>
      <c r="JHJ20" s="91"/>
      <c r="JHK20" s="91"/>
      <c r="JHL20" s="91"/>
      <c r="JHM20" s="91"/>
      <c r="JHN20" s="91"/>
      <c r="JHO20" s="91"/>
      <c r="JHP20" s="91"/>
      <c r="JHQ20" s="91"/>
      <c r="JHR20" s="91"/>
      <c r="JHS20" s="91"/>
      <c r="JHT20" s="91"/>
      <c r="JHU20" s="91"/>
      <c r="JHV20" s="91"/>
      <c r="JHW20" s="91"/>
      <c r="JHX20" s="91"/>
      <c r="JHY20" s="91"/>
      <c r="JHZ20" s="91"/>
      <c r="JIA20" s="91"/>
      <c r="JIB20" s="91"/>
      <c r="JIC20" s="91"/>
      <c r="JID20" s="91"/>
      <c r="JIE20" s="91"/>
      <c r="JIF20" s="91"/>
      <c r="JIG20" s="91"/>
      <c r="JIH20" s="91"/>
      <c r="JII20" s="91"/>
      <c r="JIJ20" s="91"/>
      <c r="JIK20" s="91"/>
      <c r="JIL20" s="91"/>
      <c r="JIM20" s="91"/>
      <c r="JIN20" s="91"/>
      <c r="JIO20" s="91"/>
      <c r="JIP20" s="91"/>
      <c r="JIQ20" s="91"/>
      <c r="JIR20" s="91"/>
      <c r="JIS20" s="91"/>
      <c r="JIT20" s="91"/>
      <c r="JIU20" s="91"/>
      <c r="JIV20" s="91"/>
      <c r="JIW20" s="91"/>
      <c r="JIX20" s="91"/>
      <c r="JIY20" s="91"/>
      <c r="JIZ20" s="91"/>
      <c r="JJA20" s="91"/>
      <c r="JJB20" s="91"/>
      <c r="JJC20" s="91"/>
      <c r="JJD20" s="91"/>
      <c r="JJE20" s="91"/>
      <c r="JJF20" s="91"/>
      <c r="JJG20" s="91"/>
      <c r="JJH20" s="91"/>
      <c r="JJI20" s="91"/>
      <c r="JJJ20" s="91"/>
      <c r="JJK20" s="91"/>
      <c r="JJL20" s="91"/>
      <c r="JJM20" s="91"/>
      <c r="JJN20" s="91"/>
      <c r="JJO20" s="91"/>
      <c r="JJP20" s="91"/>
      <c r="JJQ20" s="91"/>
      <c r="JJR20" s="91"/>
      <c r="JJS20" s="91"/>
      <c r="JJT20" s="91"/>
      <c r="JJU20" s="91"/>
      <c r="JJV20" s="91"/>
      <c r="JJW20" s="91"/>
      <c r="JJX20" s="91"/>
      <c r="JJY20" s="91"/>
      <c r="JJZ20" s="91"/>
      <c r="JKA20" s="91"/>
      <c r="JKB20" s="91"/>
      <c r="JKC20" s="91"/>
      <c r="JKD20" s="91"/>
      <c r="JKE20" s="91"/>
      <c r="JKF20" s="91"/>
      <c r="JKG20" s="91"/>
      <c r="JKH20" s="91"/>
      <c r="JKI20" s="91"/>
      <c r="JKJ20" s="91"/>
      <c r="JKK20" s="91"/>
      <c r="JKL20" s="91"/>
      <c r="JKM20" s="91"/>
      <c r="JKN20" s="91"/>
      <c r="JKO20" s="91"/>
      <c r="JKP20" s="91"/>
      <c r="JKQ20" s="91"/>
      <c r="JKR20" s="91"/>
      <c r="JKS20" s="91"/>
      <c r="JKT20" s="91"/>
      <c r="JKU20" s="91"/>
      <c r="JKV20" s="91"/>
      <c r="JKW20" s="91"/>
      <c r="JKX20" s="91"/>
      <c r="JKY20" s="91"/>
      <c r="JKZ20" s="91"/>
      <c r="JLA20" s="91"/>
      <c r="JLB20" s="91"/>
      <c r="JLC20" s="91"/>
      <c r="JLD20" s="91"/>
      <c r="JLE20" s="91"/>
      <c r="JLF20" s="91"/>
      <c r="JLG20" s="91"/>
      <c r="JLH20" s="91"/>
      <c r="JLI20" s="91"/>
      <c r="JLJ20" s="91"/>
      <c r="JLK20" s="91"/>
      <c r="JLL20" s="91"/>
      <c r="JLM20" s="91"/>
      <c r="JLN20" s="91"/>
      <c r="JLO20" s="91"/>
      <c r="JLP20" s="91"/>
      <c r="JLQ20" s="91"/>
      <c r="JLR20" s="91"/>
      <c r="JLS20" s="91"/>
      <c r="JLT20" s="91"/>
      <c r="JLU20" s="91"/>
      <c r="JLV20" s="91"/>
      <c r="JLW20" s="91"/>
      <c r="JLX20" s="91"/>
      <c r="JLY20" s="91"/>
      <c r="JLZ20" s="91"/>
      <c r="JMA20" s="91"/>
      <c r="JMB20" s="91"/>
      <c r="JMC20" s="91"/>
      <c r="JMD20" s="91"/>
      <c r="JME20" s="91"/>
      <c r="JMF20" s="91"/>
      <c r="JMG20" s="91"/>
      <c r="JMH20" s="91"/>
      <c r="JMI20" s="91"/>
      <c r="JMJ20" s="91"/>
      <c r="JMK20" s="91"/>
      <c r="JML20" s="91"/>
      <c r="JMM20" s="91"/>
      <c r="JMN20" s="91"/>
      <c r="JMO20" s="91"/>
      <c r="JMP20" s="91"/>
      <c r="JMQ20" s="91"/>
      <c r="JMR20" s="91"/>
      <c r="JMS20" s="91"/>
      <c r="JMT20" s="91"/>
      <c r="JMU20" s="91"/>
      <c r="JMV20" s="91"/>
      <c r="JMW20" s="91"/>
      <c r="JMX20" s="91"/>
      <c r="JMY20" s="91"/>
      <c r="JMZ20" s="91"/>
      <c r="JNA20" s="91"/>
      <c r="JNB20" s="91"/>
      <c r="JNC20" s="91"/>
      <c r="JND20" s="91"/>
      <c r="JNE20" s="91"/>
      <c r="JNF20" s="91"/>
      <c r="JNG20" s="91"/>
      <c r="JNH20" s="91"/>
      <c r="JNI20" s="91"/>
      <c r="JNJ20" s="91"/>
      <c r="JNK20" s="91"/>
      <c r="JNL20" s="91"/>
      <c r="JNM20" s="91"/>
      <c r="JNN20" s="91"/>
      <c r="JNO20" s="91"/>
      <c r="JNP20" s="91"/>
      <c r="JNQ20" s="91"/>
      <c r="JNR20" s="91"/>
      <c r="JNS20" s="91"/>
      <c r="JNT20" s="91"/>
      <c r="JNU20" s="91"/>
      <c r="JNV20" s="91"/>
      <c r="JNW20" s="91"/>
      <c r="JNX20" s="91"/>
      <c r="JNY20" s="91"/>
      <c r="JNZ20" s="91"/>
      <c r="JOA20" s="91"/>
      <c r="JOB20" s="91"/>
      <c r="JOC20" s="91"/>
      <c r="JOD20" s="91"/>
      <c r="JOE20" s="91"/>
      <c r="JOF20" s="91"/>
      <c r="JOG20" s="91"/>
      <c r="JOH20" s="91"/>
      <c r="JOI20" s="91"/>
      <c r="JOJ20" s="91"/>
      <c r="JOK20" s="91"/>
      <c r="JOL20" s="91"/>
      <c r="JOM20" s="91"/>
      <c r="JON20" s="91"/>
      <c r="JOO20" s="91"/>
      <c r="JOP20" s="91"/>
      <c r="JOQ20" s="91"/>
      <c r="JOR20" s="91"/>
      <c r="JOS20" s="91"/>
      <c r="JOT20" s="91"/>
      <c r="JOU20" s="91"/>
      <c r="JOV20" s="91"/>
      <c r="JOW20" s="91"/>
      <c r="JOX20" s="91"/>
      <c r="JOY20" s="91"/>
      <c r="JOZ20" s="91"/>
      <c r="JPA20" s="91"/>
      <c r="JPB20" s="91"/>
      <c r="JPC20" s="91"/>
      <c r="JPD20" s="91"/>
      <c r="JPE20" s="91"/>
      <c r="JPF20" s="91"/>
      <c r="JPG20" s="91"/>
      <c r="JPH20" s="91"/>
      <c r="JPI20" s="91"/>
      <c r="JPJ20" s="91"/>
      <c r="JPK20" s="91"/>
      <c r="JPL20" s="91"/>
      <c r="JPM20" s="91"/>
      <c r="JPN20" s="91"/>
      <c r="JPO20" s="91"/>
      <c r="JPP20" s="91"/>
      <c r="JPQ20" s="91"/>
      <c r="JPR20" s="91"/>
      <c r="JPS20" s="91"/>
      <c r="JPT20" s="91"/>
      <c r="JPU20" s="91"/>
      <c r="JPV20" s="91"/>
      <c r="JPW20" s="91"/>
      <c r="JPX20" s="91"/>
      <c r="JPY20" s="91"/>
      <c r="JPZ20" s="91"/>
      <c r="JQA20" s="91"/>
      <c r="JQB20" s="91"/>
      <c r="JQC20" s="91"/>
      <c r="JQD20" s="91"/>
      <c r="JQE20" s="91"/>
      <c r="JQF20" s="91"/>
      <c r="JQG20" s="91"/>
      <c r="JQH20" s="91"/>
      <c r="JQI20" s="91"/>
      <c r="JQJ20" s="91"/>
      <c r="JQK20" s="91"/>
      <c r="JQL20" s="91"/>
      <c r="JQM20" s="91"/>
      <c r="JQN20" s="91"/>
      <c r="JQO20" s="91"/>
      <c r="JQP20" s="91"/>
      <c r="JQQ20" s="91"/>
      <c r="JQR20" s="91"/>
      <c r="JQS20" s="91"/>
      <c r="JQT20" s="91"/>
      <c r="JQU20" s="91"/>
      <c r="JQV20" s="91"/>
      <c r="JQW20" s="91"/>
      <c r="JQX20" s="91"/>
      <c r="JQY20" s="91"/>
      <c r="JQZ20" s="91"/>
      <c r="JRA20" s="91"/>
      <c r="JRB20" s="91"/>
      <c r="JRC20" s="91"/>
      <c r="JRD20" s="91"/>
      <c r="JRE20" s="91"/>
      <c r="JRF20" s="91"/>
      <c r="JRG20" s="91"/>
      <c r="JRH20" s="91"/>
      <c r="JRI20" s="91"/>
      <c r="JRJ20" s="91"/>
      <c r="JRK20" s="91"/>
      <c r="JRL20" s="91"/>
      <c r="JRM20" s="91"/>
      <c r="JRN20" s="91"/>
      <c r="JRO20" s="91"/>
      <c r="JRP20" s="91"/>
      <c r="JRQ20" s="91"/>
      <c r="JRR20" s="91"/>
      <c r="JRS20" s="91"/>
      <c r="JRT20" s="91"/>
      <c r="JRU20" s="91"/>
      <c r="JRV20" s="91"/>
      <c r="JRW20" s="91"/>
      <c r="JRX20" s="91"/>
      <c r="JRY20" s="91"/>
      <c r="JRZ20" s="91"/>
      <c r="JSA20" s="91"/>
      <c r="JSB20" s="91"/>
      <c r="JSC20" s="91"/>
      <c r="JSD20" s="91"/>
      <c r="JSE20" s="91"/>
      <c r="JSF20" s="91"/>
      <c r="JSG20" s="91"/>
      <c r="JSH20" s="91"/>
      <c r="JSI20" s="91"/>
      <c r="JSJ20" s="91"/>
      <c r="JSK20" s="91"/>
      <c r="JSL20" s="91"/>
      <c r="JSM20" s="91"/>
      <c r="JSN20" s="91"/>
      <c r="JSO20" s="91"/>
      <c r="JSP20" s="91"/>
      <c r="JSQ20" s="91"/>
      <c r="JSR20" s="91"/>
      <c r="JSS20" s="91"/>
      <c r="JST20" s="91"/>
      <c r="JSU20" s="91"/>
      <c r="JSV20" s="91"/>
      <c r="JSW20" s="91"/>
      <c r="JSX20" s="91"/>
      <c r="JSY20" s="91"/>
      <c r="JSZ20" s="91"/>
      <c r="JTA20" s="91"/>
      <c r="JTB20" s="91"/>
      <c r="JTC20" s="91"/>
      <c r="JTD20" s="91"/>
      <c r="JTE20" s="91"/>
      <c r="JTF20" s="91"/>
      <c r="JTG20" s="91"/>
      <c r="JTH20" s="91"/>
      <c r="JTI20" s="91"/>
      <c r="JTJ20" s="91"/>
      <c r="JTK20" s="91"/>
      <c r="JTL20" s="91"/>
      <c r="JTM20" s="91"/>
      <c r="JTN20" s="91"/>
      <c r="JTO20" s="91"/>
      <c r="JTP20" s="91"/>
      <c r="JTQ20" s="91"/>
      <c r="JTR20" s="91"/>
      <c r="JTS20" s="91"/>
      <c r="JTT20" s="91"/>
      <c r="JTU20" s="91"/>
      <c r="JTV20" s="91"/>
      <c r="JTW20" s="91"/>
      <c r="JTX20" s="91"/>
      <c r="JTY20" s="91"/>
      <c r="JTZ20" s="91"/>
      <c r="JUA20" s="91"/>
      <c r="JUB20" s="91"/>
      <c r="JUC20" s="91"/>
      <c r="JUD20" s="91"/>
      <c r="JUE20" s="91"/>
      <c r="JUF20" s="91"/>
      <c r="JUG20" s="91"/>
      <c r="JUH20" s="91"/>
      <c r="JUI20" s="91"/>
      <c r="JUJ20" s="91"/>
      <c r="JUK20" s="91"/>
      <c r="JUL20" s="91"/>
      <c r="JUM20" s="91"/>
      <c r="JUN20" s="91"/>
      <c r="JUO20" s="91"/>
      <c r="JUP20" s="91"/>
      <c r="JUQ20" s="91"/>
      <c r="JUR20" s="91"/>
      <c r="JUS20" s="91"/>
      <c r="JUT20" s="91"/>
      <c r="JUU20" s="91"/>
      <c r="JUV20" s="91"/>
      <c r="JUW20" s="91"/>
      <c r="JUX20" s="91"/>
      <c r="JUY20" s="91"/>
      <c r="JUZ20" s="91"/>
      <c r="JVA20" s="91"/>
      <c r="JVB20" s="91"/>
      <c r="JVC20" s="91"/>
      <c r="JVD20" s="91"/>
      <c r="JVE20" s="91"/>
      <c r="JVF20" s="91"/>
      <c r="JVG20" s="91"/>
      <c r="JVH20" s="91"/>
      <c r="JVI20" s="91"/>
      <c r="JVJ20" s="91"/>
      <c r="JVK20" s="91"/>
      <c r="JVL20" s="91"/>
      <c r="JVM20" s="91"/>
      <c r="JVN20" s="91"/>
      <c r="JVO20" s="91"/>
      <c r="JVP20" s="91"/>
      <c r="JVQ20" s="91"/>
      <c r="JVR20" s="91"/>
      <c r="JVS20" s="91"/>
      <c r="JVT20" s="91"/>
      <c r="JVU20" s="91"/>
      <c r="JVV20" s="91"/>
      <c r="JVW20" s="91"/>
      <c r="JVX20" s="91"/>
      <c r="JVY20" s="91"/>
      <c r="JVZ20" s="91"/>
      <c r="JWA20" s="91"/>
      <c r="JWB20" s="91"/>
      <c r="JWC20" s="91"/>
      <c r="JWD20" s="91"/>
      <c r="JWE20" s="91"/>
      <c r="JWF20" s="91"/>
      <c r="JWG20" s="91"/>
      <c r="JWH20" s="91"/>
      <c r="JWI20" s="91"/>
      <c r="JWJ20" s="91"/>
      <c r="JWK20" s="91"/>
      <c r="JWL20" s="91"/>
      <c r="JWM20" s="91"/>
      <c r="JWN20" s="91"/>
      <c r="JWO20" s="91"/>
      <c r="JWP20" s="91"/>
      <c r="JWQ20" s="91"/>
      <c r="JWR20" s="91"/>
      <c r="JWS20" s="91"/>
      <c r="JWT20" s="91"/>
      <c r="JWU20" s="91"/>
      <c r="JWV20" s="91"/>
      <c r="JWW20" s="91"/>
      <c r="JWX20" s="91"/>
      <c r="JWY20" s="91"/>
      <c r="JWZ20" s="91"/>
      <c r="JXA20" s="91"/>
      <c r="JXB20" s="91"/>
      <c r="JXC20" s="91"/>
      <c r="JXD20" s="91"/>
      <c r="JXE20" s="91"/>
      <c r="JXF20" s="91"/>
      <c r="JXG20" s="91"/>
      <c r="JXH20" s="91"/>
      <c r="JXI20" s="91"/>
      <c r="JXJ20" s="91"/>
      <c r="JXK20" s="91"/>
      <c r="JXL20" s="91"/>
      <c r="JXM20" s="91"/>
      <c r="JXN20" s="91"/>
      <c r="JXO20" s="91"/>
      <c r="JXP20" s="91"/>
      <c r="JXQ20" s="91"/>
      <c r="JXR20" s="91"/>
      <c r="JXS20" s="91"/>
      <c r="JXT20" s="91"/>
      <c r="JXU20" s="91"/>
      <c r="JXV20" s="91"/>
      <c r="JXW20" s="91"/>
      <c r="JXX20" s="91"/>
      <c r="JXY20" s="91"/>
      <c r="JXZ20" s="91"/>
      <c r="JYA20" s="91"/>
      <c r="JYB20" s="91"/>
      <c r="JYC20" s="91"/>
      <c r="JYD20" s="91"/>
      <c r="JYE20" s="91"/>
      <c r="JYF20" s="91"/>
      <c r="JYG20" s="91"/>
      <c r="JYH20" s="91"/>
      <c r="JYI20" s="91"/>
      <c r="JYJ20" s="91"/>
      <c r="JYK20" s="91"/>
      <c r="JYL20" s="91"/>
      <c r="JYM20" s="91"/>
      <c r="JYN20" s="91"/>
      <c r="JYO20" s="91"/>
      <c r="JYP20" s="91"/>
      <c r="JYQ20" s="91"/>
      <c r="JYR20" s="91"/>
      <c r="JYS20" s="91"/>
      <c r="JYT20" s="91"/>
      <c r="JYU20" s="91"/>
      <c r="JYV20" s="91"/>
      <c r="JYW20" s="91"/>
      <c r="JYX20" s="91"/>
      <c r="JYY20" s="91"/>
      <c r="JYZ20" s="91"/>
      <c r="JZA20" s="91"/>
      <c r="JZB20" s="91"/>
      <c r="JZC20" s="91"/>
      <c r="JZD20" s="91"/>
      <c r="JZE20" s="91"/>
      <c r="JZF20" s="91"/>
      <c r="JZG20" s="91"/>
      <c r="JZH20" s="91"/>
      <c r="JZI20" s="91"/>
      <c r="JZJ20" s="91"/>
      <c r="JZK20" s="91"/>
      <c r="JZL20" s="91"/>
      <c r="JZM20" s="91"/>
      <c r="JZN20" s="91"/>
      <c r="JZO20" s="91"/>
      <c r="JZP20" s="91"/>
      <c r="JZQ20" s="91"/>
      <c r="JZR20" s="91"/>
      <c r="JZS20" s="91"/>
      <c r="JZT20" s="91"/>
      <c r="JZU20" s="91"/>
      <c r="JZV20" s="91"/>
      <c r="JZW20" s="91"/>
      <c r="JZX20" s="91"/>
      <c r="JZY20" s="91"/>
      <c r="JZZ20" s="91"/>
      <c r="KAA20" s="91"/>
      <c r="KAB20" s="91"/>
      <c r="KAC20" s="91"/>
      <c r="KAD20" s="91"/>
      <c r="KAE20" s="91"/>
      <c r="KAF20" s="91"/>
      <c r="KAG20" s="91"/>
      <c r="KAH20" s="91"/>
      <c r="KAI20" s="91"/>
      <c r="KAJ20" s="91"/>
      <c r="KAK20" s="91"/>
      <c r="KAL20" s="91"/>
      <c r="KAM20" s="91"/>
      <c r="KAN20" s="91"/>
      <c r="KAO20" s="91"/>
      <c r="KAP20" s="91"/>
      <c r="KAQ20" s="91"/>
      <c r="KAR20" s="91"/>
      <c r="KAS20" s="91"/>
      <c r="KAT20" s="91"/>
      <c r="KAU20" s="91"/>
      <c r="KAV20" s="91"/>
      <c r="KAW20" s="91"/>
      <c r="KAX20" s="91"/>
      <c r="KAY20" s="91"/>
      <c r="KAZ20" s="91"/>
      <c r="KBA20" s="91"/>
      <c r="KBB20" s="91"/>
      <c r="KBC20" s="91"/>
      <c r="KBD20" s="91"/>
      <c r="KBE20" s="91"/>
      <c r="KBF20" s="91"/>
      <c r="KBG20" s="91"/>
      <c r="KBH20" s="91"/>
      <c r="KBI20" s="91"/>
      <c r="KBJ20" s="91"/>
      <c r="KBK20" s="91"/>
      <c r="KBL20" s="91"/>
      <c r="KBM20" s="91"/>
      <c r="KBN20" s="91"/>
      <c r="KBO20" s="91"/>
      <c r="KBP20" s="91"/>
      <c r="KBQ20" s="91"/>
      <c r="KBR20" s="91"/>
      <c r="KBS20" s="91"/>
      <c r="KBT20" s="91"/>
      <c r="KBU20" s="91"/>
      <c r="KBV20" s="91"/>
      <c r="KBW20" s="91"/>
      <c r="KBX20" s="91"/>
      <c r="KBY20" s="91"/>
      <c r="KBZ20" s="91"/>
      <c r="KCA20" s="91"/>
      <c r="KCB20" s="91"/>
      <c r="KCC20" s="91"/>
      <c r="KCD20" s="91"/>
      <c r="KCE20" s="91"/>
      <c r="KCF20" s="91"/>
      <c r="KCG20" s="91"/>
      <c r="KCH20" s="91"/>
      <c r="KCI20" s="91"/>
      <c r="KCJ20" s="91"/>
      <c r="KCK20" s="91"/>
      <c r="KCL20" s="91"/>
      <c r="KCM20" s="91"/>
      <c r="KCN20" s="91"/>
      <c r="KCO20" s="91"/>
      <c r="KCP20" s="91"/>
      <c r="KCQ20" s="91"/>
      <c r="KCR20" s="91"/>
      <c r="KCS20" s="91"/>
      <c r="KCT20" s="91"/>
      <c r="KCU20" s="91"/>
      <c r="KCV20" s="91"/>
      <c r="KCW20" s="91"/>
      <c r="KCX20" s="91"/>
      <c r="KCY20" s="91"/>
      <c r="KCZ20" s="91"/>
      <c r="KDA20" s="91"/>
      <c r="KDB20" s="91"/>
      <c r="KDC20" s="91"/>
      <c r="KDD20" s="91"/>
      <c r="KDE20" s="91"/>
      <c r="KDF20" s="91"/>
      <c r="KDG20" s="91"/>
      <c r="KDH20" s="91"/>
      <c r="KDI20" s="91"/>
      <c r="KDJ20" s="91"/>
      <c r="KDK20" s="91"/>
      <c r="KDL20" s="91"/>
      <c r="KDM20" s="91"/>
      <c r="KDN20" s="91"/>
      <c r="KDO20" s="91"/>
      <c r="KDP20" s="91"/>
      <c r="KDQ20" s="91"/>
      <c r="KDR20" s="91"/>
      <c r="KDS20" s="91"/>
      <c r="KDT20" s="91"/>
      <c r="KDU20" s="91"/>
      <c r="KDV20" s="91"/>
      <c r="KDW20" s="91"/>
      <c r="KDX20" s="91"/>
      <c r="KDY20" s="91"/>
      <c r="KDZ20" s="91"/>
      <c r="KEA20" s="91"/>
      <c r="KEB20" s="91"/>
      <c r="KEC20" s="91"/>
      <c r="KED20" s="91"/>
      <c r="KEE20" s="91"/>
      <c r="KEF20" s="91"/>
      <c r="KEG20" s="91"/>
      <c r="KEH20" s="91"/>
      <c r="KEI20" s="91"/>
      <c r="KEJ20" s="91"/>
      <c r="KEK20" s="91"/>
      <c r="KEL20" s="91"/>
      <c r="KEM20" s="91"/>
      <c r="KEN20" s="91"/>
      <c r="KEO20" s="91"/>
      <c r="KEP20" s="91"/>
      <c r="KEQ20" s="91"/>
      <c r="KER20" s="91"/>
      <c r="KES20" s="91"/>
      <c r="KET20" s="91"/>
      <c r="KEU20" s="91"/>
      <c r="KEV20" s="91"/>
      <c r="KEW20" s="91"/>
      <c r="KEX20" s="91"/>
      <c r="KEY20" s="91"/>
      <c r="KEZ20" s="91"/>
      <c r="KFA20" s="91"/>
      <c r="KFB20" s="91"/>
      <c r="KFC20" s="91"/>
      <c r="KFD20" s="91"/>
      <c r="KFE20" s="91"/>
      <c r="KFF20" s="91"/>
      <c r="KFG20" s="91"/>
      <c r="KFH20" s="91"/>
      <c r="KFI20" s="91"/>
      <c r="KFJ20" s="91"/>
      <c r="KFK20" s="91"/>
      <c r="KFL20" s="91"/>
      <c r="KFM20" s="91"/>
      <c r="KFN20" s="91"/>
      <c r="KFO20" s="91"/>
      <c r="KFP20" s="91"/>
      <c r="KFQ20" s="91"/>
      <c r="KFR20" s="91"/>
      <c r="KFS20" s="91"/>
      <c r="KFT20" s="91"/>
      <c r="KFU20" s="91"/>
      <c r="KFV20" s="91"/>
      <c r="KFW20" s="91"/>
      <c r="KFX20" s="91"/>
      <c r="KFY20" s="91"/>
      <c r="KFZ20" s="91"/>
      <c r="KGA20" s="91"/>
      <c r="KGB20" s="91"/>
      <c r="KGC20" s="91"/>
      <c r="KGD20" s="91"/>
      <c r="KGE20" s="91"/>
      <c r="KGF20" s="91"/>
      <c r="KGG20" s="91"/>
      <c r="KGH20" s="91"/>
      <c r="KGI20" s="91"/>
      <c r="KGJ20" s="91"/>
      <c r="KGK20" s="91"/>
      <c r="KGL20" s="91"/>
      <c r="KGM20" s="91"/>
      <c r="KGN20" s="91"/>
      <c r="KGO20" s="91"/>
      <c r="KGP20" s="91"/>
      <c r="KGQ20" s="91"/>
      <c r="KGR20" s="91"/>
      <c r="KGS20" s="91"/>
      <c r="KGT20" s="91"/>
      <c r="KGU20" s="91"/>
      <c r="KGV20" s="91"/>
      <c r="KGW20" s="91"/>
      <c r="KGX20" s="91"/>
      <c r="KGY20" s="91"/>
      <c r="KGZ20" s="91"/>
      <c r="KHA20" s="91"/>
      <c r="KHB20" s="91"/>
      <c r="KHC20" s="91"/>
      <c r="KHD20" s="91"/>
      <c r="KHE20" s="91"/>
      <c r="KHF20" s="91"/>
      <c r="KHG20" s="91"/>
      <c r="KHH20" s="91"/>
      <c r="KHI20" s="91"/>
      <c r="KHJ20" s="91"/>
      <c r="KHK20" s="91"/>
      <c r="KHL20" s="91"/>
      <c r="KHM20" s="91"/>
      <c r="KHN20" s="91"/>
      <c r="KHO20" s="91"/>
      <c r="KHP20" s="91"/>
      <c r="KHQ20" s="91"/>
      <c r="KHR20" s="91"/>
      <c r="KHS20" s="91"/>
      <c r="KHT20" s="91"/>
      <c r="KHU20" s="91"/>
      <c r="KHV20" s="91"/>
      <c r="KHW20" s="91"/>
      <c r="KHX20" s="91"/>
      <c r="KHY20" s="91"/>
      <c r="KHZ20" s="91"/>
      <c r="KIA20" s="91"/>
      <c r="KIB20" s="91"/>
      <c r="KIC20" s="91"/>
      <c r="KID20" s="91"/>
      <c r="KIE20" s="91"/>
      <c r="KIF20" s="91"/>
      <c r="KIG20" s="91"/>
      <c r="KIH20" s="91"/>
      <c r="KII20" s="91"/>
      <c r="KIJ20" s="91"/>
      <c r="KIK20" s="91"/>
      <c r="KIL20" s="91"/>
      <c r="KIM20" s="91"/>
      <c r="KIN20" s="91"/>
      <c r="KIO20" s="91"/>
      <c r="KIP20" s="91"/>
      <c r="KIQ20" s="91"/>
      <c r="KIR20" s="91"/>
      <c r="KIS20" s="91"/>
      <c r="KIT20" s="91"/>
      <c r="KIU20" s="91"/>
      <c r="KIV20" s="91"/>
      <c r="KIW20" s="91"/>
      <c r="KIX20" s="91"/>
      <c r="KIY20" s="91"/>
      <c r="KIZ20" s="91"/>
      <c r="KJA20" s="91"/>
      <c r="KJB20" s="91"/>
      <c r="KJC20" s="91"/>
      <c r="KJD20" s="91"/>
      <c r="KJE20" s="91"/>
      <c r="KJF20" s="91"/>
      <c r="KJG20" s="91"/>
      <c r="KJH20" s="91"/>
      <c r="KJI20" s="91"/>
      <c r="KJJ20" s="91"/>
      <c r="KJK20" s="91"/>
      <c r="KJL20" s="91"/>
      <c r="KJM20" s="91"/>
      <c r="KJN20" s="91"/>
      <c r="KJO20" s="91"/>
      <c r="KJP20" s="91"/>
      <c r="KJQ20" s="91"/>
      <c r="KJR20" s="91"/>
      <c r="KJS20" s="91"/>
      <c r="KJT20" s="91"/>
      <c r="KJU20" s="91"/>
      <c r="KJV20" s="91"/>
      <c r="KJW20" s="91"/>
      <c r="KJX20" s="91"/>
      <c r="KJY20" s="91"/>
      <c r="KJZ20" s="91"/>
      <c r="KKA20" s="91"/>
      <c r="KKB20" s="91"/>
      <c r="KKC20" s="91"/>
      <c r="KKD20" s="91"/>
      <c r="KKE20" s="91"/>
      <c r="KKF20" s="91"/>
      <c r="KKG20" s="91"/>
      <c r="KKH20" s="91"/>
      <c r="KKI20" s="91"/>
      <c r="KKJ20" s="91"/>
      <c r="KKK20" s="91"/>
      <c r="KKL20" s="91"/>
      <c r="KKM20" s="91"/>
      <c r="KKN20" s="91"/>
      <c r="KKO20" s="91"/>
      <c r="KKP20" s="91"/>
      <c r="KKQ20" s="91"/>
      <c r="KKR20" s="91"/>
      <c r="KKS20" s="91"/>
      <c r="KKT20" s="91"/>
      <c r="KKU20" s="91"/>
      <c r="KKV20" s="91"/>
      <c r="KKW20" s="91"/>
      <c r="KKX20" s="91"/>
      <c r="KKY20" s="91"/>
      <c r="KKZ20" s="91"/>
      <c r="KLA20" s="91"/>
      <c r="KLB20" s="91"/>
      <c r="KLC20" s="91"/>
      <c r="KLD20" s="91"/>
      <c r="KLE20" s="91"/>
      <c r="KLF20" s="91"/>
      <c r="KLG20" s="91"/>
      <c r="KLH20" s="91"/>
      <c r="KLI20" s="91"/>
      <c r="KLJ20" s="91"/>
      <c r="KLK20" s="91"/>
      <c r="KLL20" s="91"/>
      <c r="KLM20" s="91"/>
      <c r="KLN20" s="91"/>
      <c r="KLO20" s="91"/>
      <c r="KLP20" s="91"/>
      <c r="KLQ20" s="91"/>
      <c r="KLR20" s="91"/>
      <c r="KLS20" s="91"/>
      <c r="KLT20" s="91"/>
      <c r="KLU20" s="91"/>
      <c r="KLV20" s="91"/>
      <c r="KLW20" s="91"/>
      <c r="KLX20" s="91"/>
      <c r="KLY20" s="91"/>
      <c r="KLZ20" s="91"/>
      <c r="KMA20" s="91"/>
      <c r="KMB20" s="91"/>
      <c r="KMC20" s="91"/>
      <c r="KMD20" s="91"/>
      <c r="KME20" s="91"/>
      <c r="KMF20" s="91"/>
      <c r="KMG20" s="91"/>
      <c r="KMH20" s="91"/>
      <c r="KMI20" s="91"/>
      <c r="KMJ20" s="91"/>
      <c r="KMK20" s="91"/>
      <c r="KML20" s="91"/>
      <c r="KMM20" s="91"/>
      <c r="KMN20" s="91"/>
      <c r="KMO20" s="91"/>
      <c r="KMP20" s="91"/>
      <c r="KMQ20" s="91"/>
      <c r="KMR20" s="91"/>
      <c r="KMS20" s="91"/>
      <c r="KMT20" s="91"/>
      <c r="KMU20" s="91"/>
      <c r="KMV20" s="91"/>
      <c r="KMW20" s="91"/>
      <c r="KMX20" s="91"/>
      <c r="KMY20" s="91"/>
      <c r="KMZ20" s="91"/>
      <c r="KNA20" s="91"/>
      <c r="KNB20" s="91"/>
      <c r="KNC20" s="91"/>
      <c r="KND20" s="91"/>
      <c r="KNE20" s="91"/>
      <c r="KNF20" s="91"/>
      <c r="KNG20" s="91"/>
      <c r="KNH20" s="91"/>
      <c r="KNI20" s="91"/>
      <c r="KNJ20" s="91"/>
      <c r="KNK20" s="91"/>
      <c r="KNL20" s="91"/>
      <c r="KNM20" s="91"/>
      <c r="KNN20" s="91"/>
      <c r="KNO20" s="91"/>
      <c r="KNP20" s="91"/>
      <c r="KNQ20" s="91"/>
      <c r="KNR20" s="91"/>
      <c r="KNS20" s="91"/>
      <c r="KNT20" s="91"/>
      <c r="KNU20" s="91"/>
      <c r="KNV20" s="91"/>
      <c r="KNW20" s="91"/>
      <c r="KNX20" s="91"/>
      <c r="KNY20" s="91"/>
      <c r="KNZ20" s="91"/>
      <c r="KOA20" s="91"/>
      <c r="KOB20" s="91"/>
      <c r="KOC20" s="91"/>
      <c r="KOD20" s="91"/>
      <c r="KOE20" s="91"/>
      <c r="KOF20" s="91"/>
      <c r="KOG20" s="91"/>
      <c r="KOH20" s="91"/>
      <c r="KOI20" s="91"/>
      <c r="KOJ20" s="91"/>
      <c r="KOK20" s="91"/>
      <c r="KOL20" s="91"/>
      <c r="KOM20" s="91"/>
      <c r="KON20" s="91"/>
      <c r="KOO20" s="91"/>
      <c r="KOP20" s="91"/>
      <c r="KOQ20" s="91"/>
      <c r="KOR20" s="91"/>
      <c r="KOS20" s="91"/>
      <c r="KOT20" s="91"/>
      <c r="KOU20" s="91"/>
      <c r="KOV20" s="91"/>
      <c r="KOW20" s="91"/>
      <c r="KOX20" s="91"/>
      <c r="KOY20" s="91"/>
      <c r="KOZ20" s="91"/>
      <c r="KPA20" s="91"/>
      <c r="KPB20" s="91"/>
      <c r="KPC20" s="91"/>
      <c r="KPD20" s="91"/>
      <c r="KPE20" s="91"/>
      <c r="KPF20" s="91"/>
      <c r="KPG20" s="91"/>
      <c r="KPH20" s="91"/>
      <c r="KPI20" s="91"/>
      <c r="KPJ20" s="91"/>
      <c r="KPK20" s="91"/>
      <c r="KPL20" s="91"/>
      <c r="KPM20" s="91"/>
      <c r="KPN20" s="91"/>
      <c r="KPO20" s="91"/>
      <c r="KPP20" s="91"/>
      <c r="KPQ20" s="91"/>
      <c r="KPR20" s="91"/>
      <c r="KPS20" s="91"/>
      <c r="KPT20" s="91"/>
      <c r="KPU20" s="91"/>
      <c r="KPV20" s="91"/>
      <c r="KPW20" s="91"/>
      <c r="KPX20" s="91"/>
      <c r="KPY20" s="91"/>
      <c r="KPZ20" s="91"/>
      <c r="KQA20" s="91"/>
      <c r="KQB20" s="91"/>
      <c r="KQC20" s="91"/>
      <c r="KQD20" s="91"/>
      <c r="KQE20" s="91"/>
      <c r="KQF20" s="91"/>
      <c r="KQG20" s="91"/>
      <c r="KQH20" s="91"/>
      <c r="KQI20" s="91"/>
      <c r="KQJ20" s="91"/>
      <c r="KQK20" s="91"/>
      <c r="KQL20" s="91"/>
      <c r="KQM20" s="91"/>
      <c r="KQN20" s="91"/>
      <c r="KQO20" s="91"/>
      <c r="KQP20" s="91"/>
      <c r="KQQ20" s="91"/>
      <c r="KQR20" s="91"/>
      <c r="KQS20" s="91"/>
      <c r="KQT20" s="91"/>
      <c r="KQU20" s="91"/>
      <c r="KQV20" s="91"/>
      <c r="KQW20" s="91"/>
      <c r="KQX20" s="91"/>
      <c r="KQY20" s="91"/>
      <c r="KQZ20" s="91"/>
      <c r="KRA20" s="91"/>
      <c r="KRB20" s="91"/>
      <c r="KRC20" s="91"/>
      <c r="KRD20" s="91"/>
      <c r="KRE20" s="91"/>
      <c r="KRF20" s="91"/>
      <c r="KRG20" s="91"/>
      <c r="KRH20" s="91"/>
      <c r="KRI20" s="91"/>
      <c r="KRJ20" s="91"/>
      <c r="KRK20" s="91"/>
      <c r="KRL20" s="91"/>
      <c r="KRM20" s="91"/>
      <c r="KRN20" s="91"/>
      <c r="KRO20" s="91"/>
      <c r="KRP20" s="91"/>
      <c r="KRQ20" s="91"/>
      <c r="KRR20" s="91"/>
      <c r="KRS20" s="91"/>
      <c r="KRT20" s="91"/>
      <c r="KRU20" s="91"/>
      <c r="KRV20" s="91"/>
      <c r="KRW20" s="91"/>
      <c r="KRX20" s="91"/>
      <c r="KRY20" s="91"/>
      <c r="KRZ20" s="91"/>
      <c r="KSA20" s="91"/>
      <c r="KSB20" s="91"/>
      <c r="KSC20" s="91"/>
      <c r="KSD20" s="91"/>
      <c r="KSE20" s="91"/>
      <c r="KSF20" s="91"/>
      <c r="KSG20" s="91"/>
      <c r="KSH20" s="91"/>
      <c r="KSI20" s="91"/>
      <c r="KSJ20" s="91"/>
      <c r="KSK20" s="91"/>
      <c r="KSL20" s="91"/>
      <c r="KSM20" s="91"/>
      <c r="KSN20" s="91"/>
      <c r="KSO20" s="91"/>
      <c r="KSP20" s="91"/>
      <c r="KSQ20" s="91"/>
      <c r="KSR20" s="91"/>
      <c r="KSS20" s="91"/>
      <c r="KST20" s="91"/>
      <c r="KSU20" s="91"/>
      <c r="KSV20" s="91"/>
      <c r="KSW20" s="91"/>
      <c r="KSX20" s="91"/>
      <c r="KSY20" s="91"/>
      <c r="KSZ20" s="91"/>
      <c r="KTA20" s="91"/>
      <c r="KTB20" s="91"/>
      <c r="KTC20" s="91"/>
      <c r="KTD20" s="91"/>
      <c r="KTE20" s="91"/>
      <c r="KTF20" s="91"/>
      <c r="KTG20" s="91"/>
      <c r="KTH20" s="91"/>
      <c r="KTI20" s="91"/>
      <c r="KTJ20" s="91"/>
      <c r="KTK20" s="91"/>
      <c r="KTL20" s="91"/>
      <c r="KTM20" s="91"/>
      <c r="KTN20" s="91"/>
      <c r="KTO20" s="91"/>
      <c r="KTP20" s="91"/>
      <c r="KTQ20" s="91"/>
      <c r="KTR20" s="91"/>
      <c r="KTS20" s="91"/>
      <c r="KTT20" s="91"/>
      <c r="KTU20" s="91"/>
      <c r="KTV20" s="91"/>
      <c r="KTW20" s="91"/>
      <c r="KTX20" s="91"/>
      <c r="KTY20" s="91"/>
      <c r="KTZ20" s="91"/>
      <c r="KUA20" s="91"/>
      <c r="KUB20" s="91"/>
      <c r="KUC20" s="91"/>
      <c r="KUD20" s="91"/>
      <c r="KUE20" s="91"/>
      <c r="KUF20" s="91"/>
      <c r="KUG20" s="91"/>
      <c r="KUH20" s="91"/>
      <c r="KUI20" s="91"/>
      <c r="KUJ20" s="91"/>
      <c r="KUK20" s="91"/>
      <c r="KUL20" s="91"/>
      <c r="KUM20" s="91"/>
      <c r="KUN20" s="91"/>
      <c r="KUO20" s="91"/>
      <c r="KUP20" s="91"/>
      <c r="KUQ20" s="91"/>
      <c r="KUR20" s="91"/>
      <c r="KUS20" s="91"/>
      <c r="KUT20" s="91"/>
      <c r="KUU20" s="91"/>
      <c r="KUV20" s="91"/>
      <c r="KUW20" s="91"/>
      <c r="KUX20" s="91"/>
      <c r="KUY20" s="91"/>
      <c r="KUZ20" s="91"/>
      <c r="KVA20" s="91"/>
      <c r="KVB20" s="91"/>
      <c r="KVC20" s="91"/>
      <c r="KVD20" s="91"/>
      <c r="KVE20" s="91"/>
      <c r="KVF20" s="91"/>
      <c r="KVG20" s="91"/>
      <c r="KVH20" s="91"/>
      <c r="KVI20" s="91"/>
      <c r="KVJ20" s="91"/>
      <c r="KVK20" s="91"/>
      <c r="KVL20" s="91"/>
      <c r="KVM20" s="91"/>
      <c r="KVN20" s="91"/>
      <c r="KVO20" s="91"/>
      <c r="KVP20" s="91"/>
      <c r="KVQ20" s="91"/>
      <c r="KVR20" s="91"/>
      <c r="KVS20" s="91"/>
      <c r="KVT20" s="91"/>
      <c r="KVU20" s="91"/>
      <c r="KVV20" s="91"/>
      <c r="KVW20" s="91"/>
      <c r="KVX20" s="91"/>
      <c r="KVY20" s="91"/>
      <c r="KVZ20" s="91"/>
      <c r="KWA20" s="91"/>
      <c r="KWB20" s="91"/>
      <c r="KWC20" s="91"/>
      <c r="KWD20" s="91"/>
      <c r="KWE20" s="91"/>
      <c r="KWF20" s="91"/>
      <c r="KWG20" s="91"/>
      <c r="KWH20" s="91"/>
      <c r="KWI20" s="91"/>
      <c r="KWJ20" s="91"/>
      <c r="KWK20" s="91"/>
      <c r="KWL20" s="91"/>
      <c r="KWM20" s="91"/>
      <c r="KWN20" s="91"/>
      <c r="KWO20" s="91"/>
      <c r="KWP20" s="91"/>
      <c r="KWQ20" s="91"/>
      <c r="KWR20" s="91"/>
      <c r="KWS20" s="91"/>
      <c r="KWT20" s="91"/>
      <c r="KWU20" s="91"/>
      <c r="KWV20" s="91"/>
      <c r="KWW20" s="91"/>
      <c r="KWX20" s="91"/>
      <c r="KWY20" s="91"/>
      <c r="KWZ20" s="91"/>
      <c r="KXA20" s="91"/>
      <c r="KXB20" s="91"/>
      <c r="KXC20" s="91"/>
      <c r="KXD20" s="91"/>
      <c r="KXE20" s="91"/>
      <c r="KXF20" s="91"/>
      <c r="KXG20" s="91"/>
      <c r="KXH20" s="91"/>
      <c r="KXI20" s="91"/>
      <c r="KXJ20" s="91"/>
      <c r="KXK20" s="91"/>
      <c r="KXL20" s="91"/>
      <c r="KXM20" s="91"/>
      <c r="KXN20" s="91"/>
      <c r="KXO20" s="91"/>
      <c r="KXP20" s="91"/>
      <c r="KXQ20" s="91"/>
      <c r="KXR20" s="91"/>
      <c r="KXS20" s="91"/>
      <c r="KXT20" s="91"/>
      <c r="KXU20" s="91"/>
      <c r="KXV20" s="91"/>
      <c r="KXW20" s="91"/>
      <c r="KXX20" s="91"/>
      <c r="KXY20" s="91"/>
      <c r="KXZ20" s="91"/>
      <c r="KYA20" s="91"/>
      <c r="KYB20" s="91"/>
      <c r="KYC20" s="91"/>
      <c r="KYD20" s="91"/>
      <c r="KYE20" s="91"/>
      <c r="KYF20" s="91"/>
      <c r="KYG20" s="91"/>
      <c r="KYH20" s="91"/>
      <c r="KYI20" s="91"/>
      <c r="KYJ20" s="91"/>
      <c r="KYK20" s="91"/>
      <c r="KYL20" s="91"/>
      <c r="KYM20" s="91"/>
      <c r="KYN20" s="91"/>
      <c r="KYO20" s="91"/>
      <c r="KYP20" s="91"/>
      <c r="KYQ20" s="91"/>
      <c r="KYR20" s="91"/>
      <c r="KYS20" s="91"/>
      <c r="KYT20" s="91"/>
      <c r="KYU20" s="91"/>
      <c r="KYV20" s="91"/>
      <c r="KYW20" s="91"/>
      <c r="KYX20" s="91"/>
      <c r="KYY20" s="91"/>
      <c r="KYZ20" s="91"/>
      <c r="KZA20" s="91"/>
      <c r="KZB20" s="91"/>
      <c r="KZC20" s="91"/>
      <c r="KZD20" s="91"/>
      <c r="KZE20" s="91"/>
      <c r="KZF20" s="91"/>
      <c r="KZG20" s="91"/>
      <c r="KZH20" s="91"/>
      <c r="KZI20" s="91"/>
      <c r="KZJ20" s="91"/>
      <c r="KZK20" s="91"/>
      <c r="KZL20" s="91"/>
      <c r="KZM20" s="91"/>
      <c r="KZN20" s="91"/>
      <c r="KZO20" s="91"/>
      <c r="KZP20" s="91"/>
      <c r="KZQ20" s="91"/>
      <c r="KZR20" s="91"/>
      <c r="KZS20" s="91"/>
      <c r="KZT20" s="91"/>
      <c r="KZU20" s="91"/>
      <c r="KZV20" s="91"/>
      <c r="KZW20" s="91"/>
      <c r="KZX20" s="91"/>
      <c r="KZY20" s="91"/>
      <c r="KZZ20" s="91"/>
      <c r="LAA20" s="91"/>
      <c r="LAB20" s="91"/>
      <c r="LAC20" s="91"/>
      <c r="LAD20" s="91"/>
      <c r="LAE20" s="91"/>
      <c r="LAF20" s="91"/>
      <c r="LAG20" s="91"/>
      <c r="LAH20" s="91"/>
      <c r="LAI20" s="91"/>
      <c r="LAJ20" s="91"/>
      <c r="LAK20" s="91"/>
      <c r="LAL20" s="91"/>
      <c r="LAM20" s="91"/>
      <c r="LAN20" s="91"/>
      <c r="LAO20" s="91"/>
      <c r="LAP20" s="91"/>
      <c r="LAQ20" s="91"/>
      <c r="LAR20" s="91"/>
      <c r="LAS20" s="91"/>
      <c r="LAT20" s="91"/>
      <c r="LAU20" s="91"/>
      <c r="LAV20" s="91"/>
      <c r="LAW20" s="91"/>
      <c r="LAX20" s="91"/>
      <c r="LAY20" s="91"/>
      <c r="LAZ20" s="91"/>
      <c r="LBA20" s="91"/>
      <c r="LBB20" s="91"/>
      <c r="LBC20" s="91"/>
      <c r="LBD20" s="91"/>
      <c r="LBE20" s="91"/>
      <c r="LBF20" s="91"/>
      <c r="LBG20" s="91"/>
      <c r="LBH20" s="91"/>
      <c r="LBI20" s="91"/>
      <c r="LBJ20" s="91"/>
      <c r="LBK20" s="91"/>
      <c r="LBL20" s="91"/>
      <c r="LBM20" s="91"/>
      <c r="LBN20" s="91"/>
      <c r="LBO20" s="91"/>
      <c r="LBP20" s="91"/>
      <c r="LBQ20" s="91"/>
      <c r="LBR20" s="91"/>
      <c r="LBS20" s="91"/>
      <c r="LBT20" s="91"/>
      <c r="LBU20" s="91"/>
      <c r="LBV20" s="91"/>
      <c r="LBW20" s="91"/>
      <c r="LBX20" s="91"/>
      <c r="LBY20" s="91"/>
      <c r="LBZ20" s="91"/>
      <c r="LCA20" s="91"/>
      <c r="LCB20" s="91"/>
      <c r="LCC20" s="91"/>
      <c r="LCD20" s="91"/>
      <c r="LCE20" s="91"/>
      <c r="LCF20" s="91"/>
      <c r="LCG20" s="91"/>
      <c r="LCH20" s="91"/>
      <c r="LCI20" s="91"/>
      <c r="LCJ20" s="91"/>
      <c r="LCK20" s="91"/>
      <c r="LCL20" s="91"/>
      <c r="LCM20" s="91"/>
      <c r="LCN20" s="91"/>
      <c r="LCO20" s="91"/>
      <c r="LCP20" s="91"/>
      <c r="LCQ20" s="91"/>
      <c r="LCR20" s="91"/>
      <c r="LCS20" s="91"/>
      <c r="LCT20" s="91"/>
      <c r="LCU20" s="91"/>
      <c r="LCV20" s="91"/>
      <c r="LCW20" s="91"/>
      <c r="LCX20" s="91"/>
      <c r="LCY20" s="91"/>
      <c r="LCZ20" s="91"/>
      <c r="LDA20" s="91"/>
      <c r="LDB20" s="91"/>
      <c r="LDC20" s="91"/>
      <c r="LDD20" s="91"/>
      <c r="LDE20" s="91"/>
      <c r="LDF20" s="91"/>
      <c r="LDG20" s="91"/>
      <c r="LDH20" s="91"/>
      <c r="LDI20" s="91"/>
      <c r="LDJ20" s="91"/>
      <c r="LDK20" s="91"/>
      <c r="LDL20" s="91"/>
      <c r="LDM20" s="91"/>
      <c r="LDN20" s="91"/>
      <c r="LDO20" s="91"/>
      <c r="LDP20" s="91"/>
      <c r="LDQ20" s="91"/>
      <c r="LDR20" s="91"/>
      <c r="LDS20" s="91"/>
      <c r="LDT20" s="91"/>
      <c r="LDU20" s="91"/>
      <c r="LDV20" s="91"/>
      <c r="LDW20" s="91"/>
      <c r="LDX20" s="91"/>
      <c r="LDY20" s="91"/>
      <c r="LDZ20" s="91"/>
      <c r="LEA20" s="91"/>
      <c r="LEB20" s="91"/>
      <c r="LEC20" s="91"/>
      <c r="LED20" s="91"/>
      <c r="LEE20" s="91"/>
      <c r="LEF20" s="91"/>
      <c r="LEG20" s="91"/>
      <c r="LEH20" s="91"/>
      <c r="LEI20" s="91"/>
      <c r="LEJ20" s="91"/>
      <c r="LEK20" s="91"/>
      <c r="LEL20" s="91"/>
      <c r="LEM20" s="91"/>
      <c r="LEN20" s="91"/>
      <c r="LEO20" s="91"/>
      <c r="LEP20" s="91"/>
      <c r="LEQ20" s="91"/>
      <c r="LER20" s="91"/>
      <c r="LES20" s="91"/>
      <c r="LET20" s="91"/>
      <c r="LEU20" s="91"/>
      <c r="LEV20" s="91"/>
      <c r="LEW20" s="91"/>
      <c r="LEX20" s="91"/>
      <c r="LEY20" s="91"/>
      <c r="LEZ20" s="91"/>
      <c r="LFA20" s="91"/>
      <c r="LFB20" s="91"/>
      <c r="LFC20" s="91"/>
      <c r="LFD20" s="91"/>
      <c r="LFE20" s="91"/>
      <c r="LFF20" s="91"/>
      <c r="LFG20" s="91"/>
      <c r="LFH20" s="91"/>
      <c r="LFI20" s="91"/>
      <c r="LFJ20" s="91"/>
      <c r="LFK20" s="91"/>
      <c r="LFL20" s="91"/>
      <c r="LFM20" s="91"/>
      <c r="LFN20" s="91"/>
      <c r="LFO20" s="91"/>
      <c r="LFP20" s="91"/>
      <c r="LFQ20" s="91"/>
      <c r="LFR20" s="91"/>
      <c r="LFS20" s="91"/>
      <c r="LFT20" s="91"/>
      <c r="LFU20" s="91"/>
      <c r="LFV20" s="91"/>
      <c r="LFW20" s="91"/>
      <c r="LFX20" s="91"/>
      <c r="LFY20" s="91"/>
      <c r="LFZ20" s="91"/>
      <c r="LGA20" s="91"/>
      <c r="LGB20" s="91"/>
      <c r="LGC20" s="91"/>
      <c r="LGD20" s="91"/>
      <c r="LGE20" s="91"/>
      <c r="LGF20" s="91"/>
      <c r="LGG20" s="91"/>
      <c r="LGH20" s="91"/>
      <c r="LGI20" s="91"/>
      <c r="LGJ20" s="91"/>
      <c r="LGK20" s="91"/>
      <c r="LGL20" s="91"/>
      <c r="LGM20" s="91"/>
      <c r="LGN20" s="91"/>
      <c r="LGO20" s="91"/>
      <c r="LGP20" s="91"/>
      <c r="LGQ20" s="91"/>
      <c r="LGR20" s="91"/>
      <c r="LGS20" s="91"/>
      <c r="LGT20" s="91"/>
      <c r="LGU20" s="91"/>
      <c r="LGV20" s="91"/>
      <c r="LGW20" s="91"/>
      <c r="LGX20" s="91"/>
      <c r="LGY20" s="91"/>
      <c r="LGZ20" s="91"/>
      <c r="LHA20" s="91"/>
      <c r="LHB20" s="91"/>
      <c r="LHC20" s="91"/>
      <c r="LHD20" s="91"/>
      <c r="LHE20" s="91"/>
      <c r="LHF20" s="91"/>
      <c r="LHG20" s="91"/>
      <c r="LHH20" s="91"/>
      <c r="LHI20" s="91"/>
      <c r="LHJ20" s="91"/>
      <c r="LHK20" s="91"/>
      <c r="LHL20" s="91"/>
      <c r="LHM20" s="91"/>
      <c r="LHN20" s="91"/>
      <c r="LHO20" s="91"/>
      <c r="LHP20" s="91"/>
      <c r="LHQ20" s="91"/>
      <c r="LHR20" s="91"/>
      <c r="LHS20" s="91"/>
      <c r="LHT20" s="91"/>
      <c r="LHU20" s="91"/>
      <c r="LHV20" s="91"/>
      <c r="LHW20" s="91"/>
      <c r="LHX20" s="91"/>
      <c r="LHY20" s="91"/>
      <c r="LHZ20" s="91"/>
      <c r="LIA20" s="91"/>
      <c r="LIB20" s="91"/>
      <c r="LIC20" s="91"/>
      <c r="LID20" s="91"/>
      <c r="LIE20" s="91"/>
      <c r="LIF20" s="91"/>
      <c r="LIG20" s="91"/>
      <c r="LIH20" s="91"/>
      <c r="LII20" s="91"/>
      <c r="LIJ20" s="91"/>
      <c r="LIK20" s="91"/>
      <c r="LIL20" s="91"/>
      <c r="LIM20" s="91"/>
      <c r="LIN20" s="91"/>
      <c r="LIO20" s="91"/>
      <c r="LIP20" s="91"/>
      <c r="LIQ20" s="91"/>
      <c r="LIR20" s="91"/>
      <c r="LIS20" s="91"/>
      <c r="LIT20" s="91"/>
      <c r="LIU20" s="91"/>
      <c r="LIV20" s="91"/>
      <c r="LIW20" s="91"/>
      <c r="LIX20" s="91"/>
      <c r="LIY20" s="91"/>
      <c r="LIZ20" s="91"/>
      <c r="LJA20" s="91"/>
      <c r="LJB20" s="91"/>
      <c r="LJC20" s="91"/>
      <c r="LJD20" s="91"/>
      <c r="LJE20" s="91"/>
      <c r="LJF20" s="91"/>
      <c r="LJG20" s="91"/>
      <c r="LJH20" s="91"/>
      <c r="LJI20" s="91"/>
      <c r="LJJ20" s="91"/>
      <c r="LJK20" s="91"/>
      <c r="LJL20" s="91"/>
      <c r="LJM20" s="91"/>
      <c r="LJN20" s="91"/>
      <c r="LJO20" s="91"/>
      <c r="LJP20" s="91"/>
      <c r="LJQ20" s="91"/>
      <c r="LJR20" s="91"/>
      <c r="LJS20" s="91"/>
      <c r="LJT20" s="91"/>
      <c r="LJU20" s="91"/>
      <c r="LJV20" s="91"/>
      <c r="LJW20" s="91"/>
      <c r="LJX20" s="91"/>
      <c r="LJY20" s="91"/>
      <c r="LJZ20" s="91"/>
      <c r="LKA20" s="91"/>
      <c r="LKB20" s="91"/>
      <c r="LKC20" s="91"/>
      <c r="LKD20" s="91"/>
      <c r="LKE20" s="91"/>
      <c r="LKF20" s="91"/>
      <c r="LKG20" s="91"/>
      <c r="LKH20" s="91"/>
      <c r="LKI20" s="91"/>
      <c r="LKJ20" s="91"/>
      <c r="LKK20" s="91"/>
      <c r="LKL20" s="91"/>
      <c r="LKM20" s="91"/>
      <c r="LKN20" s="91"/>
      <c r="LKO20" s="91"/>
      <c r="LKP20" s="91"/>
      <c r="LKQ20" s="91"/>
      <c r="LKR20" s="91"/>
      <c r="LKS20" s="91"/>
      <c r="LKT20" s="91"/>
      <c r="LKU20" s="91"/>
      <c r="LKV20" s="91"/>
      <c r="LKW20" s="91"/>
      <c r="LKX20" s="91"/>
      <c r="LKY20" s="91"/>
      <c r="LKZ20" s="91"/>
      <c r="LLA20" s="91"/>
      <c r="LLB20" s="91"/>
      <c r="LLC20" s="91"/>
      <c r="LLD20" s="91"/>
      <c r="LLE20" s="91"/>
      <c r="LLF20" s="91"/>
      <c r="LLG20" s="91"/>
      <c r="LLH20" s="91"/>
      <c r="LLI20" s="91"/>
      <c r="LLJ20" s="91"/>
      <c r="LLK20" s="91"/>
      <c r="LLL20" s="91"/>
      <c r="LLM20" s="91"/>
      <c r="LLN20" s="91"/>
      <c r="LLO20" s="91"/>
      <c r="LLP20" s="91"/>
      <c r="LLQ20" s="91"/>
      <c r="LLR20" s="91"/>
      <c r="LLS20" s="91"/>
      <c r="LLT20" s="91"/>
      <c r="LLU20" s="91"/>
      <c r="LLV20" s="91"/>
      <c r="LLW20" s="91"/>
      <c r="LLX20" s="91"/>
      <c r="LLY20" s="91"/>
      <c r="LLZ20" s="91"/>
      <c r="LMA20" s="91"/>
      <c r="LMB20" s="91"/>
      <c r="LMC20" s="91"/>
      <c r="LMD20" s="91"/>
      <c r="LME20" s="91"/>
      <c r="LMF20" s="91"/>
      <c r="LMG20" s="91"/>
      <c r="LMH20" s="91"/>
      <c r="LMI20" s="91"/>
      <c r="LMJ20" s="91"/>
      <c r="LMK20" s="91"/>
      <c r="LML20" s="91"/>
      <c r="LMM20" s="91"/>
      <c r="LMN20" s="91"/>
      <c r="LMO20" s="91"/>
      <c r="LMP20" s="91"/>
      <c r="LMQ20" s="91"/>
      <c r="LMR20" s="91"/>
      <c r="LMS20" s="91"/>
      <c r="LMT20" s="91"/>
      <c r="LMU20" s="91"/>
      <c r="LMV20" s="91"/>
      <c r="LMW20" s="91"/>
      <c r="LMX20" s="91"/>
      <c r="LMY20" s="91"/>
      <c r="LMZ20" s="91"/>
      <c r="LNA20" s="91"/>
      <c r="LNB20" s="91"/>
      <c r="LNC20" s="91"/>
      <c r="LND20" s="91"/>
      <c r="LNE20" s="91"/>
      <c r="LNF20" s="91"/>
      <c r="LNG20" s="91"/>
      <c r="LNH20" s="91"/>
      <c r="LNI20" s="91"/>
      <c r="LNJ20" s="91"/>
      <c r="LNK20" s="91"/>
      <c r="LNL20" s="91"/>
      <c r="LNM20" s="91"/>
      <c r="LNN20" s="91"/>
      <c r="LNO20" s="91"/>
      <c r="LNP20" s="91"/>
      <c r="LNQ20" s="91"/>
      <c r="LNR20" s="91"/>
      <c r="LNS20" s="91"/>
      <c r="LNT20" s="91"/>
      <c r="LNU20" s="91"/>
      <c r="LNV20" s="91"/>
      <c r="LNW20" s="91"/>
      <c r="LNX20" s="91"/>
      <c r="LNY20" s="91"/>
      <c r="LNZ20" s="91"/>
      <c r="LOA20" s="91"/>
      <c r="LOB20" s="91"/>
      <c r="LOC20" s="91"/>
      <c r="LOD20" s="91"/>
      <c r="LOE20" s="91"/>
      <c r="LOF20" s="91"/>
      <c r="LOG20" s="91"/>
      <c r="LOH20" s="91"/>
      <c r="LOI20" s="91"/>
      <c r="LOJ20" s="91"/>
      <c r="LOK20" s="91"/>
      <c r="LOL20" s="91"/>
      <c r="LOM20" s="91"/>
      <c r="LON20" s="91"/>
      <c r="LOO20" s="91"/>
      <c r="LOP20" s="91"/>
      <c r="LOQ20" s="91"/>
      <c r="LOR20" s="91"/>
      <c r="LOS20" s="91"/>
      <c r="LOT20" s="91"/>
      <c r="LOU20" s="91"/>
      <c r="LOV20" s="91"/>
      <c r="LOW20" s="91"/>
      <c r="LOX20" s="91"/>
      <c r="LOY20" s="91"/>
      <c r="LOZ20" s="91"/>
      <c r="LPA20" s="91"/>
      <c r="LPB20" s="91"/>
      <c r="LPC20" s="91"/>
      <c r="LPD20" s="91"/>
      <c r="LPE20" s="91"/>
      <c r="LPF20" s="91"/>
      <c r="LPG20" s="91"/>
      <c r="LPH20" s="91"/>
      <c r="LPI20" s="91"/>
      <c r="LPJ20" s="91"/>
      <c r="LPK20" s="91"/>
      <c r="LPL20" s="91"/>
      <c r="LPM20" s="91"/>
      <c r="LPN20" s="91"/>
      <c r="LPO20" s="91"/>
      <c r="LPP20" s="91"/>
      <c r="LPQ20" s="91"/>
      <c r="LPR20" s="91"/>
      <c r="LPS20" s="91"/>
      <c r="LPT20" s="91"/>
      <c r="LPU20" s="91"/>
      <c r="LPV20" s="91"/>
      <c r="LPW20" s="91"/>
      <c r="LPX20" s="91"/>
      <c r="LPY20" s="91"/>
      <c r="LPZ20" s="91"/>
      <c r="LQA20" s="91"/>
      <c r="LQB20" s="91"/>
      <c r="LQC20" s="91"/>
      <c r="LQD20" s="91"/>
      <c r="LQE20" s="91"/>
      <c r="LQF20" s="91"/>
      <c r="LQG20" s="91"/>
      <c r="LQH20" s="91"/>
      <c r="LQI20" s="91"/>
      <c r="LQJ20" s="91"/>
      <c r="LQK20" s="91"/>
      <c r="LQL20" s="91"/>
      <c r="LQM20" s="91"/>
      <c r="LQN20" s="91"/>
      <c r="LQO20" s="91"/>
      <c r="LQP20" s="91"/>
      <c r="LQQ20" s="91"/>
      <c r="LQR20" s="91"/>
      <c r="LQS20" s="91"/>
      <c r="LQT20" s="91"/>
      <c r="LQU20" s="91"/>
      <c r="LQV20" s="91"/>
      <c r="LQW20" s="91"/>
      <c r="LQX20" s="91"/>
      <c r="LQY20" s="91"/>
      <c r="LQZ20" s="91"/>
      <c r="LRA20" s="91"/>
      <c r="LRB20" s="91"/>
      <c r="LRC20" s="91"/>
      <c r="LRD20" s="91"/>
      <c r="LRE20" s="91"/>
      <c r="LRF20" s="91"/>
      <c r="LRG20" s="91"/>
      <c r="LRH20" s="91"/>
      <c r="LRI20" s="91"/>
      <c r="LRJ20" s="91"/>
      <c r="LRK20" s="91"/>
      <c r="LRL20" s="91"/>
      <c r="LRM20" s="91"/>
      <c r="LRN20" s="91"/>
      <c r="LRO20" s="91"/>
      <c r="LRP20" s="91"/>
      <c r="LRQ20" s="91"/>
      <c r="LRR20" s="91"/>
      <c r="LRS20" s="91"/>
      <c r="LRT20" s="91"/>
      <c r="LRU20" s="91"/>
      <c r="LRV20" s="91"/>
      <c r="LRW20" s="91"/>
      <c r="LRX20" s="91"/>
      <c r="LRY20" s="91"/>
      <c r="LRZ20" s="91"/>
      <c r="LSA20" s="91"/>
      <c r="LSB20" s="91"/>
      <c r="LSC20" s="91"/>
      <c r="LSD20" s="91"/>
      <c r="LSE20" s="91"/>
      <c r="LSF20" s="91"/>
      <c r="LSG20" s="91"/>
      <c r="LSH20" s="91"/>
      <c r="LSI20" s="91"/>
      <c r="LSJ20" s="91"/>
      <c r="LSK20" s="91"/>
      <c r="LSL20" s="91"/>
      <c r="LSM20" s="91"/>
      <c r="LSN20" s="91"/>
      <c r="LSO20" s="91"/>
      <c r="LSP20" s="91"/>
      <c r="LSQ20" s="91"/>
      <c r="LSR20" s="91"/>
      <c r="LSS20" s="91"/>
      <c r="LST20" s="91"/>
      <c r="LSU20" s="91"/>
      <c r="LSV20" s="91"/>
      <c r="LSW20" s="91"/>
      <c r="LSX20" s="91"/>
      <c r="LSY20" s="91"/>
      <c r="LSZ20" s="91"/>
      <c r="LTA20" s="91"/>
      <c r="LTB20" s="91"/>
      <c r="LTC20" s="91"/>
      <c r="LTD20" s="91"/>
      <c r="LTE20" s="91"/>
      <c r="LTF20" s="91"/>
      <c r="LTG20" s="91"/>
      <c r="LTH20" s="91"/>
      <c r="LTI20" s="91"/>
      <c r="LTJ20" s="91"/>
      <c r="LTK20" s="91"/>
      <c r="LTL20" s="91"/>
      <c r="LTM20" s="91"/>
      <c r="LTN20" s="91"/>
      <c r="LTO20" s="91"/>
      <c r="LTP20" s="91"/>
      <c r="LTQ20" s="91"/>
      <c r="LTR20" s="91"/>
      <c r="LTS20" s="91"/>
      <c r="LTT20" s="91"/>
      <c r="LTU20" s="91"/>
      <c r="LTV20" s="91"/>
      <c r="LTW20" s="91"/>
      <c r="LTX20" s="91"/>
      <c r="LTY20" s="91"/>
      <c r="LTZ20" s="91"/>
      <c r="LUA20" s="91"/>
      <c r="LUB20" s="91"/>
      <c r="LUC20" s="91"/>
      <c r="LUD20" s="91"/>
      <c r="LUE20" s="91"/>
      <c r="LUF20" s="91"/>
      <c r="LUG20" s="91"/>
      <c r="LUH20" s="91"/>
      <c r="LUI20" s="91"/>
      <c r="LUJ20" s="91"/>
      <c r="LUK20" s="91"/>
      <c r="LUL20" s="91"/>
      <c r="LUM20" s="91"/>
      <c r="LUN20" s="91"/>
      <c r="LUO20" s="91"/>
      <c r="LUP20" s="91"/>
      <c r="LUQ20" s="91"/>
      <c r="LUR20" s="91"/>
      <c r="LUS20" s="91"/>
      <c r="LUT20" s="91"/>
      <c r="LUU20" s="91"/>
      <c r="LUV20" s="91"/>
      <c r="LUW20" s="91"/>
      <c r="LUX20" s="91"/>
      <c r="LUY20" s="91"/>
      <c r="LUZ20" s="91"/>
      <c r="LVA20" s="91"/>
      <c r="LVB20" s="91"/>
      <c r="LVC20" s="91"/>
      <c r="LVD20" s="91"/>
      <c r="LVE20" s="91"/>
      <c r="LVF20" s="91"/>
      <c r="LVG20" s="91"/>
      <c r="LVH20" s="91"/>
      <c r="LVI20" s="91"/>
      <c r="LVJ20" s="91"/>
      <c r="LVK20" s="91"/>
      <c r="LVL20" s="91"/>
      <c r="LVM20" s="91"/>
      <c r="LVN20" s="91"/>
      <c r="LVO20" s="91"/>
      <c r="LVP20" s="91"/>
      <c r="LVQ20" s="91"/>
      <c r="LVR20" s="91"/>
      <c r="LVS20" s="91"/>
      <c r="LVT20" s="91"/>
      <c r="LVU20" s="91"/>
      <c r="LVV20" s="91"/>
      <c r="LVW20" s="91"/>
      <c r="LVX20" s="91"/>
      <c r="LVY20" s="91"/>
      <c r="LVZ20" s="91"/>
      <c r="LWA20" s="91"/>
      <c r="LWB20" s="91"/>
      <c r="LWC20" s="91"/>
      <c r="LWD20" s="91"/>
      <c r="LWE20" s="91"/>
      <c r="LWF20" s="91"/>
      <c r="LWG20" s="91"/>
      <c r="LWH20" s="91"/>
      <c r="LWI20" s="91"/>
      <c r="LWJ20" s="91"/>
      <c r="LWK20" s="91"/>
      <c r="LWL20" s="91"/>
      <c r="LWM20" s="91"/>
      <c r="LWN20" s="91"/>
      <c r="LWO20" s="91"/>
      <c r="LWP20" s="91"/>
      <c r="LWQ20" s="91"/>
      <c r="LWR20" s="91"/>
      <c r="LWS20" s="91"/>
      <c r="LWT20" s="91"/>
      <c r="LWU20" s="91"/>
      <c r="LWV20" s="91"/>
      <c r="LWW20" s="91"/>
      <c r="LWX20" s="91"/>
      <c r="LWY20" s="91"/>
      <c r="LWZ20" s="91"/>
      <c r="LXA20" s="91"/>
      <c r="LXB20" s="91"/>
      <c r="LXC20" s="91"/>
      <c r="LXD20" s="91"/>
      <c r="LXE20" s="91"/>
      <c r="LXF20" s="91"/>
      <c r="LXG20" s="91"/>
      <c r="LXH20" s="91"/>
      <c r="LXI20" s="91"/>
      <c r="LXJ20" s="91"/>
      <c r="LXK20" s="91"/>
      <c r="LXL20" s="91"/>
      <c r="LXM20" s="91"/>
      <c r="LXN20" s="91"/>
      <c r="LXO20" s="91"/>
      <c r="LXP20" s="91"/>
      <c r="LXQ20" s="91"/>
      <c r="LXR20" s="91"/>
      <c r="LXS20" s="91"/>
      <c r="LXT20" s="91"/>
      <c r="LXU20" s="91"/>
      <c r="LXV20" s="91"/>
      <c r="LXW20" s="91"/>
      <c r="LXX20" s="91"/>
      <c r="LXY20" s="91"/>
      <c r="LXZ20" s="91"/>
      <c r="LYA20" s="91"/>
      <c r="LYB20" s="91"/>
      <c r="LYC20" s="91"/>
      <c r="LYD20" s="91"/>
      <c r="LYE20" s="91"/>
      <c r="LYF20" s="91"/>
      <c r="LYG20" s="91"/>
      <c r="LYH20" s="91"/>
      <c r="LYI20" s="91"/>
      <c r="LYJ20" s="91"/>
      <c r="LYK20" s="91"/>
      <c r="LYL20" s="91"/>
      <c r="LYM20" s="91"/>
      <c r="LYN20" s="91"/>
      <c r="LYO20" s="91"/>
      <c r="LYP20" s="91"/>
      <c r="LYQ20" s="91"/>
      <c r="LYR20" s="91"/>
      <c r="LYS20" s="91"/>
      <c r="LYT20" s="91"/>
      <c r="LYU20" s="91"/>
      <c r="LYV20" s="91"/>
      <c r="LYW20" s="91"/>
      <c r="LYX20" s="91"/>
      <c r="LYY20" s="91"/>
      <c r="LYZ20" s="91"/>
      <c r="LZA20" s="91"/>
      <c r="LZB20" s="91"/>
      <c r="LZC20" s="91"/>
      <c r="LZD20" s="91"/>
      <c r="LZE20" s="91"/>
      <c r="LZF20" s="91"/>
      <c r="LZG20" s="91"/>
      <c r="LZH20" s="91"/>
      <c r="LZI20" s="91"/>
      <c r="LZJ20" s="91"/>
      <c r="LZK20" s="91"/>
      <c r="LZL20" s="91"/>
      <c r="LZM20" s="91"/>
      <c r="LZN20" s="91"/>
      <c r="LZO20" s="91"/>
      <c r="LZP20" s="91"/>
      <c r="LZQ20" s="91"/>
      <c r="LZR20" s="91"/>
      <c r="LZS20" s="91"/>
      <c r="LZT20" s="91"/>
      <c r="LZU20" s="91"/>
      <c r="LZV20" s="91"/>
      <c r="LZW20" s="91"/>
      <c r="LZX20" s="91"/>
      <c r="LZY20" s="91"/>
      <c r="LZZ20" s="91"/>
      <c r="MAA20" s="91"/>
      <c r="MAB20" s="91"/>
      <c r="MAC20" s="91"/>
      <c r="MAD20" s="91"/>
      <c r="MAE20" s="91"/>
      <c r="MAF20" s="91"/>
      <c r="MAG20" s="91"/>
      <c r="MAH20" s="91"/>
      <c r="MAI20" s="91"/>
      <c r="MAJ20" s="91"/>
      <c r="MAK20" s="91"/>
      <c r="MAL20" s="91"/>
      <c r="MAM20" s="91"/>
      <c r="MAN20" s="91"/>
      <c r="MAO20" s="91"/>
      <c r="MAP20" s="91"/>
      <c r="MAQ20" s="91"/>
      <c r="MAR20" s="91"/>
      <c r="MAS20" s="91"/>
      <c r="MAT20" s="91"/>
      <c r="MAU20" s="91"/>
      <c r="MAV20" s="91"/>
      <c r="MAW20" s="91"/>
      <c r="MAX20" s="91"/>
      <c r="MAY20" s="91"/>
      <c r="MAZ20" s="91"/>
      <c r="MBA20" s="91"/>
      <c r="MBB20" s="91"/>
      <c r="MBC20" s="91"/>
      <c r="MBD20" s="91"/>
      <c r="MBE20" s="91"/>
      <c r="MBF20" s="91"/>
      <c r="MBG20" s="91"/>
      <c r="MBH20" s="91"/>
      <c r="MBI20" s="91"/>
      <c r="MBJ20" s="91"/>
      <c r="MBK20" s="91"/>
      <c r="MBL20" s="91"/>
      <c r="MBM20" s="91"/>
      <c r="MBN20" s="91"/>
      <c r="MBO20" s="91"/>
      <c r="MBP20" s="91"/>
      <c r="MBQ20" s="91"/>
      <c r="MBR20" s="91"/>
      <c r="MBS20" s="91"/>
      <c r="MBT20" s="91"/>
      <c r="MBU20" s="91"/>
      <c r="MBV20" s="91"/>
      <c r="MBW20" s="91"/>
      <c r="MBX20" s="91"/>
      <c r="MBY20" s="91"/>
      <c r="MBZ20" s="91"/>
      <c r="MCA20" s="91"/>
      <c r="MCB20" s="91"/>
      <c r="MCC20" s="91"/>
      <c r="MCD20" s="91"/>
      <c r="MCE20" s="91"/>
      <c r="MCF20" s="91"/>
      <c r="MCG20" s="91"/>
      <c r="MCH20" s="91"/>
      <c r="MCI20" s="91"/>
      <c r="MCJ20" s="91"/>
      <c r="MCK20" s="91"/>
      <c r="MCL20" s="91"/>
      <c r="MCM20" s="91"/>
      <c r="MCN20" s="91"/>
      <c r="MCO20" s="91"/>
      <c r="MCP20" s="91"/>
      <c r="MCQ20" s="91"/>
      <c r="MCR20" s="91"/>
      <c r="MCS20" s="91"/>
      <c r="MCT20" s="91"/>
      <c r="MCU20" s="91"/>
      <c r="MCV20" s="91"/>
      <c r="MCW20" s="91"/>
      <c r="MCX20" s="91"/>
      <c r="MCY20" s="91"/>
      <c r="MCZ20" s="91"/>
      <c r="MDA20" s="91"/>
      <c r="MDB20" s="91"/>
      <c r="MDC20" s="91"/>
      <c r="MDD20" s="91"/>
      <c r="MDE20" s="91"/>
      <c r="MDF20" s="91"/>
      <c r="MDG20" s="91"/>
      <c r="MDH20" s="91"/>
      <c r="MDI20" s="91"/>
      <c r="MDJ20" s="91"/>
      <c r="MDK20" s="91"/>
      <c r="MDL20" s="91"/>
      <c r="MDM20" s="91"/>
      <c r="MDN20" s="91"/>
      <c r="MDO20" s="91"/>
      <c r="MDP20" s="91"/>
      <c r="MDQ20" s="91"/>
      <c r="MDR20" s="91"/>
      <c r="MDS20" s="91"/>
      <c r="MDT20" s="91"/>
      <c r="MDU20" s="91"/>
      <c r="MDV20" s="91"/>
      <c r="MDW20" s="91"/>
      <c r="MDX20" s="91"/>
      <c r="MDY20" s="91"/>
      <c r="MDZ20" s="91"/>
      <c r="MEA20" s="91"/>
      <c r="MEB20" s="91"/>
      <c r="MEC20" s="91"/>
      <c r="MED20" s="91"/>
      <c r="MEE20" s="91"/>
      <c r="MEF20" s="91"/>
      <c r="MEG20" s="91"/>
      <c r="MEH20" s="91"/>
      <c r="MEI20" s="91"/>
      <c r="MEJ20" s="91"/>
      <c r="MEK20" s="91"/>
      <c r="MEL20" s="91"/>
      <c r="MEM20" s="91"/>
      <c r="MEN20" s="91"/>
      <c r="MEO20" s="91"/>
      <c r="MEP20" s="91"/>
      <c r="MEQ20" s="91"/>
      <c r="MER20" s="91"/>
      <c r="MES20" s="91"/>
      <c r="MET20" s="91"/>
      <c r="MEU20" s="91"/>
      <c r="MEV20" s="91"/>
      <c r="MEW20" s="91"/>
      <c r="MEX20" s="91"/>
      <c r="MEY20" s="91"/>
      <c r="MEZ20" s="91"/>
      <c r="MFA20" s="91"/>
      <c r="MFB20" s="91"/>
      <c r="MFC20" s="91"/>
      <c r="MFD20" s="91"/>
      <c r="MFE20" s="91"/>
      <c r="MFF20" s="91"/>
      <c r="MFG20" s="91"/>
      <c r="MFH20" s="91"/>
      <c r="MFI20" s="91"/>
      <c r="MFJ20" s="91"/>
      <c r="MFK20" s="91"/>
      <c r="MFL20" s="91"/>
      <c r="MFM20" s="91"/>
      <c r="MFN20" s="91"/>
      <c r="MFO20" s="91"/>
      <c r="MFP20" s="91"/>
      <c r="MFQ20" s="91"/>
      <c r="MFR20" s="91"/>
      <c r="MFS20" s="91"/>
      <c r="MFT20" s="91"/>
      <c r="MFU20" s="91"/>
      <c r="MFV20" s="91"/>
      <c r="MFW20" s="91"/>
      <c r="MFX20" s="91"/>
      <c r="MFY20" s="91"/>
      <c r="MFZ20" s="91"/>
      <c r="MGA20" s="91"/>
      <c r="MGB20" s="91"/>
      <c r="MGC20" s="91"/>
      <c r="MGD20" s="91"/>
      <c r="MGE20" s="91"/>
      <c r="MGF20" s="91"/>
      <c r="MGG20" s="91"/>
      <c r="MGH20" s="91"/>
      <c r="MGI20" s="91"/>
      <c r="MGJ20" s="91"/>
      <c r="MGK20" s="91"/>
      <c r="MGL20" s="91"/>
      <c r="MGM20" s="91"/>
      <c r="MGN20" s="91"/>
      <c r="MGO20" s="91"/>
      <c r="MGP20" s="91"/>
      <c r="MGQ20" s="91"/>
      <c r="MGR20" s="91"/>
      <c r="MGS20" s="91"/>
      <c r="MGT20" s="91"/>
      <c r="MGU20" s="91"/>
      <c r="MGV20" s="91"/>
      <c r="MGW20" s="91"/>
      <c r="MGX20" s="91"/>
      <c r="MGY20" s="91"/>
      <c r="MGZ20" s="91"/>
      <c r="MHA20" s="91"/>
      <c r="MHB20" s="91"/>
      <c r="MHC20" s="91"/>
      <c r="MHD20" s="91"/>
      <c r="MHE20" s="91"/>
      <c r="MHF20" s="91"/>
      <c r="MHG20" s="91"/>
      <c r="MHH20" s="91"/>
      <c r="MHI20" s="91"/>
      <c r="MHJ20" s="91"/>
      <c r="MHK20" s="91"/>
      <c r="MHL20" s="91"/>
      <c r="MHM20" s="91"/>
      <c r="MHN20" s="91"/>
      <c r="MHO20" s="91"/>
      <c r="MHP20" s="91"/>
      <c r="MHQ20" s="91"/>
      <c r="MHR20" s="91"/>
      <c r="MHS20" s="91"/>
      <c r="MHT20" s="91"/>
      <c r="MHU20" s="91"/>
      <c r="MHV20" s="91"/>
      <c r="MHW20" s="91"/>
      <c r="MHX20" s="91"/>
      <c r="MHY20" s="91"/>
      <c r="MHZ20" s="91"/>
      <c r="MIA20" s="91"/>
      <c r="MIB20" s="91"/>
      <c r="MIC20" s="91"/>
      <c r="MID20" s="91"/>
      <c r="MIE20" s="91"/>
      <c r="MIF20" s="91"/>
      <c r="MIG20" s="91"/>
      <c r="MIH20" s="91"/>
      <c r="MII20" s="91"/>
      <c r="MIJ20" s="91"/>
      <c r="MIK20" s="91"/>
      <c r="MIL20" s="91"/>
      <c r="MIM20" s="91"/>
      <c r="MIN20" s="91"/>
      <c r="MIO20" s="91"/>
      <c r="MIP20" s="91"/>
      <c r="MIQ20" s="91"/>
      <c r="MIR20" s="91"/>
      <c r="MIS20" s="91"/>
      <c r="MIT20" s="91"/>
      <c r="MIU20" s="91"/>
      <c r="MIV20" s="91"/>
      <c r="MIW20" s="91"/>
      <c r="MIX20" s="91"/>
      <c r="MIY20" s="91"/>
      <c r="MIZ20" s="91"/>
      <c r="MJA20" s="91"/>
      <c r="MJB20" s="91"/>
      <c r="MJC20" s="91"/>
      <c r="MJD20" s="91"/>
      <c r="MJE20" s="91"/>
      <c r="MJF20" s="91"/>
      <c r="MJG20" s="91"/>
      <c r="MJH20" s="91"/>
      <c r="MJI20" s="91"/>
      <c r="MJJ20" s="91"/>
      <c r="MJK20" s="91"/>
      <c r="MJL20" s="91"/>
      <c r="MJM20" s="91"/>
      <c r="MJN20" s="91"/>
      <c r="MJO20" s="91"/>
      <c r="MJP20" s="91"/>
      <c r="MJQ20" s="91"/>
      <c r="MJR20" s="91"/>
      <c r="MJS20" s="91"/>
      <c r="MJT20" s="91"/>
      <c r="MJU20" s="91"/>
      <c r="MJV20" s="91"/>
      <c r="MJW20" s="91"/>
      <c r="MJX20" s="91"/>
      <c r="MJY20" s="91"/>
      <c r="MJZ20" s="91"/>
      <c r="MKA20" s="91"/>
      <c r="MKB20" s="91"/>
      <c r="MKC20" s="91"/>
      <c r="MKD20" s="91"/>
      <c r="MKE20" s="91"/>
      <c r="MKF20" s="91"/>
      <c r="MKG20" s="91"/>
      <c r="MKH20" s="91"/>
      <c r="MKI20" s="91"/>
      <c r="MKJ20" s="91"/>
      <c r="MKK20" s="91"/>
      <c r="MKL20" s="91"/>
      <c r="MKM20" s="91"/>
      <c r="MKN20" s="91"/>
      <c r="MKO20" s="91"/>
      <c r="MKP20" s="91"/>
      <c r="MKQ20" s="91"/>
      <c r="MKR20" s="91"/>
      <c r="MKS20" s="91"/>
      <c r="MKT20" s="91"/>
      <c r="MKU20" s="91"/>
      <c r="MKV20" s="91"/>
      <c r="MKW20" s="91"/>
      <c r="MKX20" s="91"/>
      <c r="MKY20" s="91"/>
      <c r="MKZ20" s="91"/>
      <c r="MLA20" s="91"/>
      <c r="MLB20" s="91"/>
      <c r="MLC20" s="91"/>
      <c r="MLD20" s="91"/>
      <c r="MLE20" s="91"/>
      <c r="MLF20" s="91"/>
      <c r="MLG20" s="91"/>
      <c r="MLH20" s="91"/>
      <c r="MLI20" s="91"/>
      <c r="MLJ20" s="91"/>
      <c r="MLK20" s="91"/>
      <c r="MLL20" s="91"/>
      <c r="MLM20" s="91"/>
      <c r="MLN20" s="91"/>
      <c r="MLO20" s="91"/>
      <c r="MLP20" s="91"/>
      <c r="MLQ20" s="91"/>
      <c r="MLR20" s="91"/>
      <c r="MLS20" s="91"/>
      <c r="MLT20" s="91"/>
      <c r="MLU20" s="91"/>
      <c r="MLV20" s="91"/>
      <c r="MLW20" s="91"/>
      <c r="MLX20" s="91"/>
      <c r="MLY20" s="91"/>
      <c r="MLZ20" s="91"/>
      <c r="MMA20" s="91"/>
      <c r="MMB20" s="91"/>
      <c r="MMC20" s="91"/>
      <c r="MMD20" s="91"/>
      <c r="MME20" s="91"/>
      <c r="MMF20" s="91"/>
      <c r="MMG20" s="91"/>
      <c r="MMH20" s="91"/>
      <c r="MMI20" s="91"/>
      <c r="MMJ20" s="91"/>
      <c r="MMK20" s="91"/>
      <c r="MML20" s="91"/>
      <c r="MMM20" s="91"/>
      <c r="MMN20" s="91"/>
      <c r="MMO20" s="91"/>
      <c r="MMP20" s="91"/>
      <c r="MMQ20" s="91"/>
      <c r="MMR20" s="91"/>
      <c r="MMS20" s="91"/>
      <c r="MMT20" s="91"/>
      <c r="MMU20" s="91"/>
      <c r="MMV20" s="91"/>
      <c r="MMW20" s="91"/>
      <c r="MMX20" s="91"/>
      <c r="MMY20" s="91"/>
      <c r="MMZ20" s="91"/>
      <c r="MNA20" s="91"/>
      <c r="MNB20" s="91"/>
      <c r="MNC20" s="91"/>
      <c r="MND20" s="91"/>
      <c r="MNE20" s="91"/>
      <c r="MNF20" s="91"/>
      <c r="MNG20" s="91"/>
      <c r="MNH20" s="91"/>
      <c r="MNI20" s="91"/>
      <c r="MNJ20" s="91"/>
      <c r="MNK20" s="91"/>
      <c r="MNL20" s="91"/>
      <c r="MNM20" s="91"/>
      <c r="MNN20" s="91"/>
      <c r="MNO20" s="91"/>
      <c r="MNP20" s="91"/>
      <c r="MNQ20" s="91"/>
      <c r="MNR20" s="91"/>
      <c r="MNS20" s="91"/>
      <c r="MNT20" s="91"/>
      <c r="MNU20" s="91"/>
      <c r="MNV20" s="91"/>
      <c r="MNW20" s="91"/>
      <c r="MNX20" s="91"/>
      <c r="MNY20" s="91"/>
      <c r="MNZ20" s="91"/>
      <c r="MOA20" s="91"/>
      <c r="MOB20" s="91"/>
      <c r="MOC20" s="91"/>
      <c r="MOD20" s="91"/>
      <c r="MOE20" s="91"/>
      <c r="MOF20" s="91"/>
      <c r="MOG20" s="91"/>
      <c r="MOH20" s="91"/>
      <c r="MOI20" s="91"/>
      <c r="MOJ20" s="91"/>
      <c r="MOK20" s="91"/>
      <c r="MOL20" s="91"/>
      <c r="MOM20" s="91"/>
      <c r="MON20" s="91"/>
      <c r="MOO20" s="91"/>
      <c r="MOP20" s="91"/>
      <c r="MOQ20" s="91"/>
      <c r="MOR20" s="91"/>
      <c r="MOS20" s="91"/>
      <c r="MOT20" s="91"/>
      <c r="MOU20" s="91"/>
      <c r="MOV20" s="91"/>
      <c r="MOW20" s="91"/>
      <c r="MOX20" s="91"/>
      <c r="MOY20" s="91"/>
      <c r="MOZ20" s="91"/>
      <c r="MPA20" s="91"/>
      <c r="MPB20" s="91"/>
      <c r="MPC20" s="91"/>
      <c r="MPD20" s="91"/>
      <c r="MPE20" s="91"/>
      <c r="MPF20" s="91"/>
      <c r="MPG20" s="91"/>
      <c r="MPH20" s="91"/>
      <c r="MPI20" s="91"/>
      <c r="MPJ20" s="91"/>
      <c r="MPK20" s="91"/>
      <c r="MPL20" s="91"/>
      <c r="MPM20" s="91"/>
      <c r="MPN20" s="91"/>
      <c r="MPO20" s="91"/>
      <c r="MPP20" s="91"/>
      <c r="MPQ20" s="91"/>
      <c r="MPR20" s="91"/>
      <c r="MPS20" s="91"/>
      <c r="MPT20" s="91"/>
      <c r="MPU20" s="91"/>
      <c r="MPV20" s="91"/>
      <c r="MPW20" s="91"/>
      <c r="MPX20" s="91"/>
      <c r="MPY20" s="91"/>
      <c r="MPZ20" s="91"/>
      <c r="MQA20" s="91"/>
      <c r="MQB20" s="91"/>
      <c r="MQC20" s="91"/>
      <c r="MQD20" s="91"/>
      <c r="MQE20" s="91"/>
      <c r="MQF20" s="91"/>
      <c r="MQG20" s="91"/>
      <c r="MQH20" s="91"/>
      <c r="MQI20" s="91"/>
      <c r="MQJ20" s="91"/>
      <c r="MQK20" s="91"/>
      <c r="MQL20" s="91"/>
      <c r="MQM20" s="91"/>
      <c r="MQN20" s="91"/>
      <c r="MQO20" s="91"/>
      <c r="MQP20" s="91"/>
      <c r="MQQ20" s="91"/>
      <c r="MQR20" s="91"/>
      <c r="MQS20" s="91"/>
      <c r="MQT20" s="91"/>
      <c r="MQU20" s="91"/>
      <c r="MQV20" s="91"/>
      <c r="MQW20" s="91"/>
      <c r="MQX20" s="91"/>
      <c r="MQY20" s="91"/>
      <c r="MQZ20" s="91"/>
      <c r="MRA20" s="91"/>
      <c r="MRB20" s="91"/>
      <c r="MRC20" s="91"/>
      <c r="MRD20" s="91"/>
      <c r="MRE20" s="91"/>
      <c r="MRF20" s="91"/>
      <c r="MRG20" s="91"/>
      <c r="MRH20" s="91"/>
      <c r="MRI20" s="91"/>
      <c r="MRJ20" s="91"/>
      <c r="MRK20" s="91"/>
      <c r="MRL20" s="91"/>
      <c r="MRM20" s="91"/>
      <c r="MRN20" s="91"/>
      <c r="MRO20" s="91"/>
      <c r="MRP20" s="91"/>
      <c r="MRQ20" s="91"/>
      <c r="MRR20" s="91"/>
      <c r="MRS20" s="91"/>
      <c r="MRT20" s="91"/>
      <c r="MRU20" s="91"/>
      <c r="MRV20" s="91"/>
      <c r="MRW20" s="91"/>
      <c r="MRX20" s="91"/>
      <c r="MRY20" s="91"/>
      <c r="MRZ20" s="91"/>
      <c r="MSA20" s="91"/>
      <c r="MSB20" s="91"/>
      <c r="MSC20" s="91"/>
      <c r="MSD20" s="91"/>
      <c r="MSE20" s="91"/>
      <c r="MSF20" s="91"/>
      <c r="MSG20" s="91"/>
      <c r="MSH20" s="91"/>
      <c r="MSI20" s="91"/>
      <c r="MSJ20" s="91"/>
      <c r="MSK20" s="91"/>
      <c r="MSL20" s="91"/>
      <c r="MSM20" s="91"/>
      <c r="MSN20" s="91"/>
      <c r="MSO20" s="91"/>
      <c r="MSP20" s="91"/>
      <c r="MSQ20" s="91"/>
      <c r="MSR20" s="91"/>
      <c r="MSS20" s="91"/>
      <c r="MST20" s="91"/>
      <c r="MSU20" s="91"/>
      <c r="MSV20" s="91"/>
      <c r="MSW20" s="91"/>
      <c r="MSX20" s="91"/>
      <c r="MSY20" s="91"/>
      <c r="MSZ20" s="91"/>
      <c r="MTA20" s="91"/>
      <c r="MTB20" s="91"/>
      <c r="MTC20" s="91"/>
      <c r="MTD20" s="91"/>
      <c r="MTE20" s="91"/>
      <c r="MTF20" s="91"/>
      <c r="MTG20" s="91"/>
      <c r="MTH20" s="91"/>
      <c r="MTI20" s="91"/>
      <c r="MTJ20" s="91"/>
      <c r="MTK20" s="91"/>
      <c r="MTL20" s="91"/>
      <c r="MTM20" s="91"/>
      <c r="MTN20" s="91"/>
      <c r="MTO20" s="91"/>
      <c r="MTP20" s="91"/>
      <c r="MTQ20" s="91"/>
      <c r="MTR20" s="91"/>
      <c r="MTS20" s="91"/>
      <c r="MTT20" s="91"/>
      <c r="MTU20" s="91"/>
      <c r="MTV20" s="91"/>
      <c r="MTW20" s="91"/>
      <c r="MTX20" s="91"/>
      <c r="MTY20" s="91"/>
      <c r="MTZ20" s="91"/>
      <c r="MUA20" s="91"/>
      <c r="MUB20" s="91"/>
      <c r="MUC20" s="91"/>
      <c r="MUD20" s="91"/>
      <c r="MUE20" s="91"/>
      <c r="MUF20" s="91"/>
      <c r="MUG20" s="91"/>
      <c r="MUH20" s="91"/>
      <c r="MUI20" s="91"/>
      <c r="MUJ20" s="91"/>
      <c r="MUK20" s="91"/>
      <c r="MUL20" s="91"/>
      <c r="MUM20" s="91"/>
      <c r="MUN20" s="91"/>
      <c r="MUO20" s="91"/>
      <c r="MUP20" s="91"/>
      <c r="MUQ20" s="91"/>
      <c r="MUR20" s="91"/>
      <c r="MUS20" s="91"/>
      <c r="MUT20" s="91"/>
      <c r="MUU20" s="91"/>
      <c r="MUV20" s="91"/>
      <c r="MUW20" s="91"/>
      <c r="MUX20" s="91"/>
      <c r="MUY20" s="91"/>
      <c r="MUZ20" s="91"/>
      <c r="MVA20" s="91"/>
      <c r="MVB20" s="91"/>
      <c r="MVC20" s="91"/>
      <c r="MVD20" s="91"/>
      <c r="MVE20" s="91"/>
      <c r="MVF20" s="91"/>
      <c r="MVG20" s="91"/>
      <c r="MVH20" s="91"/>
      <c r="MVI20" s="91"/>
      <c r="MVJ20" s="91"/>
      <c r="MVK20" s="91"/>
      <c r="MVL20" s="91"/>
      <c r="MVM20" s="91"/>
      <c r="MVN20" s="91"/>
      <c r="MVO20" s="91"/>
      <c r="MVP20" s="91"/>
      <c r="MVQ20" s="91"/>
      <c r="MVR20" s="91"/>
      <c r="MVS20" s="91"/>
      <c r="MVT20" s="91"/>
      <c r="MVU20" s="91"/>
      <c r="MVV20" s="91"/>
      <c r="MVW20" s="91"/>
      <c r="MVX20" s="91"/>
      <c r="MVY20" s="91"/>
      <c r="MVZ20" s="91"/>
      <c r="MWA20" s="91"/>
      <c r="MWB20" s="91"/>
      <c r="MWC20" s="91"/>
      <c r="MWD20" s="91"/>
      <c r="MWE20" s="91"/>
      <c r="MWF20" s="91"/>
      <c r="MWG20" s="91"/>
      <c r="MWH20" s="91"/>
      <c r="MWI20" s="91"/>
      <c r="MWJ20" s="91"/>
      <c r="MWK20" s="91"/>
      <c r="MWL20" s="91"/>
      <c r="MWM20" s="91"/>
      <c r="MWN20" s="91"/>
      <c r="MWO20" s="91"/>
      <c r="MWP20" s="91"/>
      <c r="MWQ20" s="91"/>
      <c r="MWR20" s="91"/>
      <c r="MWS20" s="91"/>
      <c r="MWT20" s="91"/>
      <c r="MWU20" s="91"/>
      <c r="MWV20" s="91"/>
      <c r="MWW20" s="91"/>
      <c r="MWX20" s="91"/>
      <c r="MWY20" s="91"/>
      <c r="MWZ20" s="91"/>
      <c r="MXA20" s="91"/>
      <c r="MXB20" s="91"/>
      <c r="MXC20" s="91"/>
      <c r="MXD20" s="91"/>
      <c r="MXE20" s="91"/>
      <c r="MXF20" s="91"/>
      <c r="MXG20" s="91"/>
      <c r="MXH20" s="91"/>
      <c r="MXI20" s="91"/>
      <c r="MXJ20" s="91"/>
      <c r="MXK20" s="91"/>
      <c r="MXL20" s="91"/>
      <c r="MXM20" s="91"/>
      <c r="MXN20" s="91"/>
      <c r="MXO20" s="91"/>
      <c r="MXP20" s="91"/>
      <c r="MXQ20" s="91"/>
      <c r="MXR20" s="91"/>
      <c r="MXS20" s="91"/>
      <c r="MXT20" s="91"/>
      <c r="MXU20" s="91"/>
      <c r="MXV20" s="91"/>
      <c r="MXW20" s="91"/>
      <c r="MXX20" s="91"/>
      <c r="MXY20" s="91"/>
      <c r="MXZ20" s="91"/>
      <c r="MYA20" s="91"/>
      <c r="MYB20" s="91"/>
      <c r="MYC20" s="91"/>
      <c r="MYD20" s="91"/>
      <c r="MYE20" s="91"/>
      <c r="MYF20" s="91"/>
      <c r="MYG20" s="91"/>
      <c r="MYH20" s="91"/>
      <c r="MYI20" s="91"/>
      <c r="MYJ20" s="91"/>
      <c r="MYK20" s="91"/>
      <c r="MYL20" s="91"/>
      <c r="MYM20" s="91"/>
      <c r="MYN20" s="91"/>
      <c r="MYO20" s="91"/>
      <c r="MYP20" s="91"/>
      <c r="MYQ20" s="91"/>
      <c r="MYR20" s="91"/>
      <c r="MYS20" s="91"/>
      <c r="MYT20" s="91"/>
      <c r="MYU20" s="91"/>
      <c r="MYV20" s="91"/>
      <c r="MYW20" s="91"/>
      <c r="MYX20" s="91"/>
      <c r="MYY20" s="91"/>
      <c r="MYZ20" s="91"/>
      <c r="MZA20" s="91"/>
      <c r="MZB20" s="91"/>
      <c r="MZC20" s="91"/>
      <c r="MZD20" s="91"/>
      <c r="MZE20" s="91"/>
      <c r="MZF20" s="91"/>
      <c r="MZG20" s="91"/>
      <c r="MZH20" s="91"/>
      <c r="MZI20" s="91"/>
      <c r="MZJ20" s="91"/>
      <c r="MZK20" s="91"/>
      <c r="MZL20" s="91"/>
      <c r="MZM20" s="91"/>
      <c r="MZN20" s="91"/>
      <c r="MZO20" s="91"/>
      <c r="MZP20" s="91"/>
      <c r="MZQ20" s="91"/>
      <c r="MZR20" s="91"/>
      <c r="MZS20" s="91"/>
      <c r="MZT20" s="91"/>
      <c r="MZU20" s="91"/>
      <c r="MZV20" s="91"/>
      <c r="MZW20" s="91"/>
      <c r="MZX20" s="91"/>
      <c r="MZY20" s="91"/>
      <c r="MZZ20" s="91"/>
      <c r="NAA20" s="91"/>
      <c r="NAB20" s="91"/>
      <c r="NAC20" s="91"/>
      <c r="NAD20" s="91"/>
      <c r="NAE20" s="91"/>
      <c r="NAF20" s="91"/>
      <c r="NAG20" s="91"/>
      <c r="NAH20" s="91"/>
      <c r="NAI20" s="91"/>
      <c r="NAJ20" s="91"/>
      <c r="NAK20" s="91"/>
      <c r="NAL20" s="91"/>
      <c r="NAM20" s="91"/>
      <c r="NAN20" s="91"/>
      <c r="NAO20" s="91"/>
      <c r="NAP20" s="91"/>
      <c r="NAQ20" s="91"/>
      <c r="NAR20" s="91"/>
      <c r="NAS20" s="91"/>
      <c r="NAT20" s="91"/>
      <c r="NAU20" s="91"/>
      <c r="NAV20" s="91"/>
      <c r="NAW20" s="91"/>
      <c r="NAX20" s="91"/>
      <c r="NAY20" s="91"/>
      <c r="NAZ20" s="91"/>
      <c r="NBA20" s="91"/>
      <c r="NBB20" s="91"/>
      <c r="NBC20" s="91"/>
      <c r="NBD20" s="91"/>
      <c r="NBE20" s="91"/>
      <c r="NBF20" s="91"/>
      <c r="NBG20" s="91"/>
      <c r="NBH20" s="91"/>
      <c r="NBI20" s="91"/>
      <c r="NBJ20" s="91"/>
      <c r="NBK20" s="91"/>
      <c r="NBL20" s="91"/>
      <c r="NBM20" s="91"/>
      <c r="NBN20" s="91"/>
      <c r="NBO20" s="91"/>
      <c r="NBP20" s="91"/>
      <c r="NBQ20" s="91"/>
      <c r="NBR20" s="91"/>
      <c r="NBS20" s="91"/>
      <c r="NBT20" s="91"/>
      <c r="NBU20" s="91"/>
      <c r="NBV20" s="91"/>
      <c r="NBW20" s="91"/>
      <c r="NBX20" s="91"/>
      <c r="NBY20" s="91"/>
      <c r="NBZ20" s="91"/>
      <c r="NCA20" s="91"/>
      <c r="NCB20" s="91"/>
      <c r="NCC20" s="91"/>
      <c r="NCD20" s="91"/>
      <c r="NCE20" s="91"/>
      <c r="NCF20" s="91"/>
      <c r="NCG20" s="91"/>
      <c r="NCH20" s="91"/>
      <c r="NCI20" s="91"/>
      <c r="NCJ20" s="91"/>
      <c r="NCK20" s="91"/>
      <c r="NCL20" s="91"/>
      <c r="NCM20" s="91"/>
      <c r="NCN20" s="91"/>
      <c r="NCO20" s="91"/>
      <c r="NCP20" s="91"/>
      <c r="NCQ20" s="91"/>
      <c r="NCR20" s="91"/>
      <c r="NCS20" s="91"/>
      <c r="NCT20" s="91"/>
      <c r="NCU20" s="91"/>
      <c r="NCV20" s="91"/>
      <c r="NCW20" s="91"/>
      <c r="NCX20" s="91"/>
      <c r="NCY20" s="91"/>
      <c r="NCZ20" s="91"/>
      <c r="NDA20" s="91"/>
      <c r="NDB20" s="91"/>
      <c r="NDC20" s="91"/>
      <c r="NDD20" s="91"/>
      <c r="NDE20" s="91"/>
      <c r="NDF20" s="91"/>
      <c r="NDG20" s="91"/>
      <c r="NDH20" s="91"/>
      <c r="NDI20" s="91"/>
      <c r="NDJ20" s="91"/>
      <c r="NDK20" s="91"/>
      <c r="NDL20" s="91"/>
      <c r="NDM20" s="91"/>
      <c r="NDN20" s="91"/>
      <c r="NDO20" s="91"/>
      <c r="NDP20" s="91"/>
      <c r="NDQ20" s="91"/>
      <c r="NDR20" s="91"/>
      <c r="NDS20" s="91"/>
      <c r="NDT20" s="91"/>
      <c r="NDU20" s="91"/>
      <c r="NDV20" s="91"/>
      <c r="NDW20" s="91"/>
      <c r="NDX20" s="91"/>
      <c r="NDY20" s="91"/>
      <c r="NDZ20" s="91"/>
      <c r="NEA20" s="91"/>
      <c r="NEB20" s="91"/>
      <c r="NEC20" s="91"/>
      <c r="NED20" s="91"/>
      <c r="NEE20" s="91"/>
      <c r="NEF20" s="91"/>
      <c r="NEG20" s="91"/>
      <c r="NEH20" s="91"/>
      <c r="NEI20" s="91"/>
      <c r="NEJ20" s="91"/>
      <c r="NEK20" s="91"/>
      <c r="NEL20" s="91"/>
      <c r="NEM20" s="91"/>
      <c r="NEN20" s="91"/>
      <c r="NEO20" s="91"/>
      <c r="NEP20" s="91"/>
      <c r="NEQ20" s="91"/>
      <c r="NER20" s="91"/>
      <c r="NES20" s="91"/>
      <c r="NET20" s="91"/>
      <c r="NEU20" s="91"/>
      <c r="NEV20" s="91"/>
      <c r="NEW20" s="91"/>
      <c r="NEX20" s="91"/>
      <c r="NEY20" s="91"/>
      <c r="NEZ20" s="91"/>
      <c r="NFA20" s="91"/>
      <c r="NFB20" s="91"/>
      <c r="NFC20" s="91"/>
      <c r="NFD20" s="91"/>
      <c r="NFE20" s="91"/>
      <c r="NFF20" s="91"/>
      <c r="NFG20" s="91"/>
      <c r="NFH20" s="91"/>
      <c r="NFI20" s="91"/>
      <c r="NFJ20" s="91"/>
      <c r="NFK20" s="91"/>
      <c r="NFL20" s="91"/>
      <c r="NFM20" s="91"/>
      <c r="NFN20" s="91"/>
      <c r="NFO20" s="91"/>
      <c r="NFP20" s="91"/>
      <c r="NFQ20" s="91"/>
      <c r="NFR20" s="91"/>
      <c r="NFS20" s="91"/>
      <c r="NFT20" s="91"/>
      <c r="NFU20" s="91"/>
      <c r="NFV20" s="91"/>
      <c r="NFW20" s="91"/>
      <c r="NFX20" s="91"/>
      <c r="NFY20" s="91"/>
      <c r="NFZ20" s="91"/>
      <c r="NGA20" s="91"/>
      <c r="NGB20" s="91"/>
      <c r="NGC20" s="91"/>
      <c r="NGD20" s="91"/>
      <c r="NGE20" s="91"/>
      <c r="NGF20" s="91"/>
      <c r="NGG20" s="91"/>
      <c r="NGH20" s="91"/>
      <c r="NGI20" s="91"/>
      <c r="NGJ20" s="91"/>
      <c r="NGK20" s="91"/>
      <c r="NGL20" s="91"/>
      <c r="NGM20" s="91"/>
      <c r="NGN20" s="91"/>
      <c r="NGO20" s="91"/>
      <c r="NGP20" s="91"/>
      <c r="NGQ20" s="91"/>
      <c r="NGR20" s="91"/>
      <c r="NGS20" s="91"/>
      <c r="NGT20" s="91"/>
      <c r="NGU20" s="91"/>
      <c r="NGV20" s="91"/>
      <c r="NGW20" s="91"/>
      <c r="NGX20" s="91"/>
      <c r="NGY20" s="91"/>
      <c r="NGZ20" s="91"/>
      <c r="NHA20" s="91"/>
      <c r="NHB20" s="91"/>
      <c r="NHC20" s="91"/>
      <c r="NHD20" s="91"/>
      <c r="NHE20" s="91"/>
      <c r="NHF20" s="91"/>
      <c r="NHG20" s="91"/>
      <c r="NHH20" s="91"/>
      <c r="NHI20" s="91"/>
      <c r="NHJ20" s="91"/>
      <c r="NHK20" s="91"/>
      <c r="NHL20" s="91"/>
      <c r="NHM20" s="91"/>
      <c r="NHN20" s="91"/>
      <c r="NHO20" s="91"/>
      <c r="NHP20" s="91"/>
      <c r="NHQ20" s="91"/>
      <c r="NHR20" s="91"/>
      <c r="NHS20" s="91"/>
      <c r="NHT20" s="91"/>
      <c r="NHU20" s="91"/>
      <c r="NHV20" s="91"/>
      <c r="NHW20" s="91"/>
      <c r="NHX20" s="91"/>
      <c r="NHY20" s="91"/>
      <c r="NHZ20" s="91"/>
      <c r="NIA20" s="91"/>
      <c r="NIB20" s="91"/>
      <c r="NIC20" s="91"/>
      <c r="NID20" s="91"/>
      <c r="NIE20" s="91"/>
      <c r="NIF20" s="91"/>
      <c r="NIG20" s="91"/>
      <c r="NIH20" s="91"/>
      <c r="NII20" s="91"/>
      <c r="NIJ20" s="91"/>
      <c r="NIK20" s="91"/>
      <c r="NIL20" s="91"/>
      <c r="NIM20" s="91"/>
      <c r="NIN20" s="91"/>
      <c r="NIO20" s="91"/>
      <c r="NIP20" s="91"/>
      <c r="NIQ20" s="91"/>
      <c r="NIR20" s="91"/>
      <c r="NIS20" s="91"/>
      <c r="NIT20" s="91"/>
      <c r="NIU20" s="91"/>
      <c r="NIV20" s="91"/>
      <c r="NIW20" s="91"/>
      <c r="NIX20" s="91"/>
      <c r="NIY20" s="91"/>
      <c r="NIZ20" s="91"/>
      <c r="NJA20" s="91"/>
      <c r="NJB20" s="91"/>
      <c r="NJC20" s="91"/>
      <c r="NJD20" s="91"/>
      <c r="NJE20" s="91"/>
      <c r="NJF20" s="91"/>
      <c r="NJG20" s="91"/>
      <c r="NJH20" s="91"/>
      <c r="NJI20" s="91"/>
      <c r="NJJ20" s="91"/>
      <c r="NJK20" s="91"/>
      <c r="NJL20" s="91"/>
      <c r="NJM20" s="91"/>
      <c r="NJN20" s="91"/>
      <c r="NJO20" s="91"/>
      <c r="NJP20" s="91"/>
      <c r="NJQ20" s="91"/>
      <c r="NJR20" s="91"/>
      <c r="NJS20" s="91"/>
      <c r="NJT20" s="91"/>
      <c r="NJU20" s="91"/>
      <c r="NJV20" s="91"/>
      <c r="NJW20" s="91"/>
      <c r="NJX20" s="91"/>
      <c r="NJY20" s="91"/>
      <c r="NJZ20" s="91"/>
      <c r="NKA20" s="91"/>
      <c r="NKB20" s="91"/>
      <c r="NKC20" s="91"/>
      <c r="NKD20" s="91"/>
      <c r="NKE20" s="91"/>
      <c r="NKF20" s="91"/>
      <c r="NKG20" s="91"/>
      <c r="NKH20" s="91"/>
      <c r="NKI20" s="91"/>
      <c r="NKJ20" s="91"/>
      <c r="NKK20" s="91"/>
      <c r="NKL20" s="91"/>
      <c r="NKM20" s="91"/>
      <c r="NKN20" s="91"/>
      <c r="NKO20" s="91"/>
      <c r="NKP20" s="91"/>
      <c r="NKQ20" s="91"/>
      <c r="NKR20" s="91"/>
      <c r="NKS20" s="91"/>
      <c r="NKT20" s="91"/>
      <c r="NKU20" s="91"/>
      <c r="NKV20" s="91"/>
      <c r="NKW20" s="91"/>
      <c r="NKX20" s="91"/>
      <c r="NKY20" s="91"/>
      <c r="NKZ20" s="91"/>
      <c r="NLA20" s="91"/>
      <c r="NLB20" s="91"/>
      <c r="NLC20" s="91"/>
      <c r="NLD20" s="91"/>
      <c r="NLE20" s="91"/>
      <c r="NLF20" s="91"/>
      <c r="NLG20" s="91"/>
      <c r="NLH20" s="91"/>
      <c r="NLI20" s="91"/>
      <c r="NLJ20" s="91"/>
      <c r="NLK20" s="91"/>
      <c r="NLL20" s="91"/>
      <c r="NLM20" s="91"/>
      <c r="NLN20" s="91"/>
      <c r="NLO20" s="91"/>
      <c r="NLP20" s="91"/>
      <c r="NLQ20" s="91"/>
      <c r="NLR20" s="91"/>
      <c r="NLS20" s="91"/>
      <c r="NLT20" s="91"/>
      <c r="NLU20" s="91"/>
      <c r="NLV20" s="91"/>
      <c r="NLW20" s="91"/>
      <c r="NLX20" s="91"/>
      <c r="NLY20" s="91"/>
      <c r="NLZ20" s="91"/>
      <c r="NMA20" s="91"/>
      <c r="NMB20" s="91"/>
      <c r="NMC20" s="91"/>
      <c r="NMD20" s="91"/>
      <c r="NME20" s="91"/>
      <c r="NMF20" s="91"/>
      <c r="NMG20" s="91"/>
      <c r="NMH20" s="91"/>
      <c r="NMI20" s="91"/>
      <c r="NMJ20" s="91"/>
      <c r="NMK20" s="91"/>
      <c r="NML20" s="91"/>
      <c r="NMM20" s="91"/>
      <c r="NMN20" s="91"/>
      <c r="NMO20" s="91"/>
      <c r="NMP20" s="91"/>
      <c r="NMQ20" s="91"/>
      <c r="NMR20" s="91"/>
      <c r="NMS20" s="91"/>
      <c r="NMT20" s="91"/>
      <c r="NMU20" s="91"/>
      <c r="NMV20" s="91"/>
      <c r="NMW20" s="91"/>
      <c r="NMX20" s="91"/>
      <c r="NMY20" s="91"/>
      <c r="NMZ20" s="91"/>
      <c r="NNA20" s="91"/>
      <c r="NNB20" s="91"/>
      <c r="NNC20" s="91"/>
      <c r="NND20" s="91"/>
      <c r="NNE20" s="91"/>
      <c r="NNF20" s="91"/>
      <c r="NNG20" s="91"/>
      <c r="NNH20" s="91"/>
      <c r="NNI20" s="91"/>
      <c r="NNJ20" s="91"/>
      <c r="NNK20" s="91"/>
      <c r="NNL20" s="91"/>
      <c r="NNM20" s="91"/>
      <c r="NNN20" s="91"/>
      <c r="NNO20" s="91"/>
      <c r="NNP20" s="91"/>
      <c r="NNQ20" s="91"/>
      <c r="NNR20" s="91"/>
      <c r="NNS20" s="91"/>
      <c r="NNT20" s="91"/>
      <c r="NNU20" s="91"/>
      <c r="NNV20" s="91"/>
      <c r="NNW20" s="91"/>
      <c r="NNX20" s="91"/>
      <c r="NNY20" s="91"/>
      <c r="NNZ20" s="91"/>
      <c r="NOA20" s="91"/>
      <c r="NOB20" s="91"/>
      <c r="NOC20" s="91"/>
      <c r="NOD20" s="91"/>
      <c r="NOE20" s="91"/>
      <c r="NOF20" s="91"/>
      <c r="NOG20" s="91"/>
      <c r="NOH20" s="91"/>
      <c r="NOI20" s="91"/>
      <c r="NOJ20" s="91"/>
      <c r="NOK20" s="91"/>
      <c r="NOL20" s="91"/>
      <c r="NOM20" s="91"/>
      <c r="NON20" s="91"/>
      <c r="NOO20" s="91"/>
      <c r="NOP20" s="91"/>
      <c r="NOQ20" s="91"/>
      <c r="NOR20" s="91"/>
      <c r="NOS20" s="91"/>
      <c r="NOT20" s="91"/>
      <c r="NOU20" s="91"/>
      <c r="NOV20" s="91"/>
      <c r="NOW20" s="91"/>
      <c r="NOX20" s="91"/>
      <c r="NOY20" s="91"/>
      <c r="NOZ20" s="91"/>
      <c r="NPA20" s="91"/>
      <c r="NPB20" s="91"/>
      <c r="NPC20" s="91"/>
      <c r="NPD20" s="91"/>
      <c r="NPE20" s="91"/>
      <c r="NPF20" s="91"/>
      <c r="NPG20" s="91"/>
      <c r="NPH20" s="91"/>
      <c r="NPI20" s="91"/>
      <c r="NPJ20" s="91"/>
      <c r="NPK20" s="91"/>
      <c r="NPL20" s="91"/>
      <c r="NPM20" s="91"/>
      <c r="NPN20" s="91"/>
      <c r="NPO20" s="91"/>
      <c r="NPP20" s="91"/>
      <c r="NPQ20" s="91"/>
      <c r="NPR20" s="91"/>
      <c r="NPS20" s="91"/>
      <c r="NPT20" s="91"/>
      <c r="NPU20" s="91"/>
      <c r="NPV20" s="91"/>
      <c r="NPW20" s="91"/>
      <c r="NPX20" s="91"/>
      <c r="NPY20" s="91"/>
      <c r="NPZ20" s="91"/>
      <c r="NQA20" s="91"/>
      <c r="NQB20" s="91"/>
      <c r="NQC20" s="91"/>
      <c r="NQD20" s="91"/>
      <c r="NQE20" s="91"/>
      <c r="NQF20" s="91"/>
      <c r="NQG20" s="91"/>
      <c r="NQH20" s="91"/>
      <c r="NQI20" s="91"/>
      <c r="NQJ20" s="91"/>
      <c r="NQK20" s="91"/>
      <c r="NQL20" s="91"/>
      <c r="NQM20" s="91"/>
      <c r="NQN20" s="91"/>
      <c r="NQO20" s="91"/>
      <c r="NQP20" s="91"/>
      <c r="NQQ20" s="91"/>
      <c r="NQR20" s="91"/>
      <c r="NQS20" s="91"/>
      <c r="NQT20" s="91"/>
      <c r="NQU20" s="91"/>
      <c r="NQV20" s="91"/>
      <c r="NQW20" s="91"/>
      <c r="NQX20" s="91"/>
      <c r="NQY20" s="91"/>
      <c r="NQZ20" s="91"/>
      <c r="NRA20" s="91"/>
      <c r="NRB20" s="91"/>
      <c r="NRC20" s="91"/>
      <c r="NRD20" s="91"/>
      <c r="NRE20" s="91"/>
    </row>
    <row r="21" spans="1:9937" ht="20.149999999999999" customHeight="1" x14ac:dyDescent="0.45">
      <c r="A21" s="105" t="s">
        <v>570</v>
      </c>
      <c r="B21" s="55">
        <v>5</v>
      </c>
      <c r="C21" s="361">
        <f>VLOOKUP($A$3,INITIAL_EST_PY,120,FALSE)</f>
        <v>0</v>
      </c>
      <c r="D21" s="361">
        <f>C21</f>
        <v>0</v>
      </c>
      <c r="E21" s="361">
        <f>D21</f>
        <v>0</v>
      </c>
      <c r="F21" s="372">
        <f>E21</f>
        <v>0</v>
      </c>
    </row>
    <row r="22" spans="1:9937" ht="20.149999999999999" customHeight="1" x14ac:dyDescent="0.45">
      <c r="A22" s="105" t="s">
        <v>571</v>
      </c>
      <c r="B22" s="55">
        <v>3</v>
      </c>
      <c r="C22" s="361">
        <f>VLOOKUP($A$3,INITIAL_EST_PY,121,FALSE)</f>
        <v>0</v>
      </c>
      <c r="D22" s="361">
        <f t="shared" ref="D22:F30" si="5">C22</f>
        <v>0</v>
      </c>
      <c r="E22" s="361">
        <f t="shared" si="5"/>
        <v>0</v>
      </c>
      <c r="F22" s="372">
        <f t="shared" si="5"/>
        <v>0</v>
      </c>
    </row>
    <row r="23" spans="1:9937" ht="20.149999999999999" customHeight="1" x14ac:dyDescent="0.45">
      <c r="A23" s="105" t="s">
        <v>572</v>
      </c>
      <c r="B23" s="55">
        <v>5</v>
      </c>
      <c r="C23" s="361">
        <f>VLOOKUP($A$3,INITIAL_EST_PY,127,FALSE)</f>
        <v>0</v>
      </c>
      <c r="D23" s="361">
        <f t="shared" si="5"/>
        <v>0</v>
      </c>
      <c r="E23" s="361">
        <f t="shared" si="5"/>
        <v>0</v>
      </c>
      <c r="F23" s="372">
        <f t="shared" si="5"/>
        <v>0</v>
      </c>
    </row>
    <row r="24" spans="1:9937" ht="20.149999999999999" customHeight="1" x14ac:dyDescent="0.45">
      <c r="A24" s="105" t="s">
        <v>594</v>
      </c>
      <c r="B24" s="55">
        <v>3</v>
      </c>
      <c r="C24" s="361">
        <f>VLOOKUP($A$3,INITIAL_EST_PY,124,FALSE)</f>
        <v>0</v>
      </c>
      <c r="D24" s="361">
        <f t="shared" si="5"/>
        <v>0</v>
      </c>
      <c r="E24" s="361">
        <f t="shared" si="5"/>
        <v>0</v>
      </c>
      <c r="F24" s="372">
        <f t="shared" si="5"/>
        <v>0</v>
      </c>
    </row>
    <row r="25" spans="1:9937" ht="20.149999999999999" customHeight="1" x14ac:dyDescent="0.45">
      <c r="A25" s="105" t="s">
        <v>595</v>
      </c>
      <c r="B25" s="55">
        <v>3</v>
      </c>
      <c r="C25" s="361">
        <f>VLOOKUP($A$3,INITIAL_EST_PY,126,FALSE)</f>
        <v>0</v>
      </c>
      <c r="D25" s="361">
        <f t="shared" si="5"/>
        <v>0</v>
      </c>
      <c r="E25" s="361">
        <f t="shared" si="5"/>
        <v>0</v>
      </c>
      <c r="F25" s="372">
        <f t="shared" si="5"/>
        <v>0</v>
      </c>
    </row>
    <row r="26" spans="1:9937" ht="20.149999999999999" customHeight="1" x14ac:dyDescent="0.45">
      <c r="A26" s="105" t="s">
        <v>596</v>
      </c>
      <c r="B26" s="55">
        <v>3</v>
      </c>
      <c r="C26" s="361">
        <v>0</v>
      </c>
      <c r="D26" s="361">
        <f t="shared" si="5"/>
        <v>0</v>
      </c>
      <c r="E26" s="361">
        <f t="shared" si="5"/>
        <v>0</v>
      </c>
      <c r="F26" s="372">
        <f t="shared" si="5"/>
        <v>0</v>
      </c>
    </row>
    <row r="27" spans="1:9937" ht="20.149999999999999" customHeight="1" x14ac:dyDescent="0.45">
      <c r="A27" s="105" t="s">
        <v>597</v>
      </c>
      <c r="B27" s="55">
        <v>2.7</v>
      </c>
      <c r="C27" s="361">
        <f>VLOOKUP($A$3,INITIAL_EST_PY,122,FALSE)</f>
        <v>0</v>
      </c>
      <c r="D27" s="361">
        <f t="shared" si="5"/>
        <v>0</v>
      </c>
      <c r="E27" s="361">
        <f t="shared" si="5"/>
        <v>0</v>
      </c>
      <c r="F27" s="372">
        <f t="shared" si="5"/>
        <v>0</v>
      </c>
    </row>
    <row r="28" spans="1:9937" ht="20.149999999999999" customHeight="1" x14ac:dyDescent="0.45">
      <c r="A28" s="105" t="s">
        <v>573</v>
      </c>
      <c r="B28" s="55">
        <v>2.2999999999999998</v>
      </c>
      <c r="C28" s="361">
        <f>VLOOKUP($A$3,INITIAL_EST_PY,129,FALSE)</f>
        <v>0</v>
      </c>
      <c r="D28" s="361">
        <f t="shared" si="5"/>
        <v>0</v>
      </c>
      <c r="E28" s="361">
        <f t="shared" si="5"/>
        <v>0</v>
      </c>
      <c r="F28" s="372">
        <f t="shared" si="5"/>
        <v>0</v>
      </c>
    </row>
    <row r="29" spans="1:9937" ht="20.149999999999999" customHeight="1" x14ac:dyDescent="0.45">
      <c r="A29" s="105" t="s">
        <v>598</v>
      </c>
      <c r="B29" s="55">
        <v>2.8</v>
      </c>
      <c r="C29" s="361">
        <f>VLOOKUP($A$3,INITIAL_EST_PY,128,FALSE)</f>
        <v>0</v>
      </c>
      <c r="D29" s="361">
        <f t="shared" si="5"/>
        <v>0</v>
      </c>
      <c r="E29" s="361">
        <f t="shared" si="5"/>
        <v>0</v>
      </c>
      <c r="F29" s="372">
        <f t="shared" si="5"/>
        <v>0</v>
      </c>
    </row>
    <row r="30" spans="1:9937" ht="20.149999999999999" customHeight="1" x14ac:dyDescent="0.45">
      <c r="A30" s="105" t="s">
        <v>574</v>
      </c>
      <c r="B30" s="55">
        <v>4</v>
      </c>
      <c r="C30" s="361">
        <f>VLOOKUP($A$3,INITIAL_EST_PY,123,FALSE)</f>
        <v>0</v>
      </c>
      <c r="D30" s="361">
        <f t="shared" si="5"/>
        <v>0</v>
      </c>
      <c r="E30" s="361">
        <f t="shared" si="5"/>
        <v>0</v>
      </c>
      <c r="F30" s="372">
        <f t="shared" si="5"/>
        <v>0</v>
      </c>
    </row>
    <row r="31" spans="1:9937" ht="25" customHeight="1" thickBot="1" x14ac:dyDescent="0.5">
      <c r="A31" s="56" t="s">
        <v>652</v>
      </c>
      <c r="B31" s="56"/>
      <c r="C31" s="391">
        <f>SUM(C21:C30)</f>
        <v>0</v>
      </c>
      <c r="D31" s="391">
        <f>SUM(D21:D30)</f>
        <v>0</v>
      </c>
      <c r="E31" s="391">
        <f t="shared" ref="E31:F31" si="6">SUM(E21:E30)</f>
        <v>0</v>
      </c>
      <c r="F31" s="374">
        <f t="shared" si="6"/>
        <v>0</v>
      </c>
    </row>
    <row r="32" spans="1:9937" ht="25" customHeight="1" thickTop="1" thickBot="1" x14ac:dyDescent="0.5">
      <c r="A32" s="57" t="s">
        <v>653</v>
      </c>
      <c r="B32" s="57"/>
      <c r="C32" s="391">
        <f t="shared" ref="C32:D32" si="7">(C21*$B$21)+(C22*$B$22)+(C23*$B$23)+(C24*$B$24)+(C25*$B$25)+(C26*$B$26)+(C27*$B$27)+(C28*$B$28)+(C29*$B$29)+(C30*$B$30)</f>
        <v>0</v>
      </c>
      <c r="D32" s="355">
        <f t="shared" si="7"/>
        <v>0</v>
      </c>
      <c r="E32" s="355">
        <f t="shared" ref="E32:F32" si="8">(E21*$B$21)+(E22*$B$22)+(E23*$B$23)+(E24*$B$24)+(E25*$B$25)+(E26*$B$26)+(E27*$B$27)+(E28*$B$28)+(E29*$B$29)+(E30*$B$30)</f>
        <v>0</v>
      </c>
      <c r="F32" s="354">
        <f t="shared" si="8"/>
        <v>0</v>
      </c>
    </row>
    <row r="33" spans="1:9937" ht="25" customHeight="1" thickTop="1" thickBot="1" x14ac:dyDescent="0.5">
      <c r="A33" s="106" t="s">
        <v>562</v>
      </c>
      <c r="B33" s="59">
        <v>1.1000000000000001</v>
      </c>
      <c r="C33" s="361">
        <f>VLOOKUP($A$3,INITIAL_EST_PY,133,FALSE)</f>
        <v>0</v>
      </c>
      <c r="D33" s="356">
        <f t="shared" ref="D33:F35" si="9">C33</f>
        <v>0</v>
      </c>
      <c r="E33" s="626">
        <f t="shared" si="9"/>
        <v>0</v>
      </c>
      <c r="F33" s="627">
        <f t="shared" si="9"/>
        <v>0</v>
      </c>
    </row>
    <row r="34" spans="1:9937" ht="25" customHeight="1" thickTop="1" x14ac:dyDescent="0.45">
      <c r="A34" s="106" t="s">
        <v>788</v>
      </c>
      <c r="B34" s="59">
        <v>1.35</v>
      </c>
      <c r="C34" s="361">
        <f>VLOOKUP(A3,INITIAL_EST_PY,186,FALSE)</f>
        <v>0</v>
      </c>
      <c r="D34" s="356">
        <f t="shared" si="9"/>
        <v>0</v>
      </c>
      <c r="E34" s="356">
        <f t="shared" si="9"/>
        <v>0</v>
      </c>
      <c r="F34" s="353">
        <f t="shared" si="9"/>
        <v>0</v>
      </c>
    </row>
    <row r="35" spans="1:9937" s="169" customFormat="1" ht="25" customHeight="1" x14ac:dyDescent="0.45">
      <c r="A35" s="105" t="s">
        <v>563</v>
      </c>
      <c r="B35" s="44">
        <v>50</v>
      </c>
      <c r="C35" s="361">
        <f>VLOOKUP(A3,INITIAL_EST_PY,183,FALSE)</f>
        <v>0</v>
      </c>
      <c r="D35" s="361">
        <f t="shared" si="9"/>
        <v>0</v>
      </c>
      <c r="E35" s="361">
        <f t="shared" si="9"/>
        <v>0</v>
      </c>
      <c r="F35" s="353">
        <f t="shared" si="9"/>
        <v>0</v>
      </c>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c r="IN35" s="168"/>
      <c r="IO35" s="168"/>
      <c r="IP35" s="168"/>
      <c r="IQ35" s="168"/>
      <c r="IR35" s="168"/>
      <c r="IS35" s="168"/>
      <c r="IT35" s="168"/>
      <c r="IU35" s="168"/>
      <c r="IV35" s="168"/>
      <c r="IW35" s="168"/>
      <c r="IX35" s="168"/>
      <c r="IY35" s="168"/>
      <c r="IZ35" s="168"/>
      <c r="JA35" s="168"/>
      <c r="JB35" s="168"/>
      <c r="JC35" s="168"/>
      <c r="JD35" s="168"/>
      <c r="JE35" s="168"/>
      <c r="JF35" s="168"/>
      <c r="JG35" s="168"/>
      <c r="JH35" s="168"/>
      <c r="JI35" s="168"/>
      <c r="JJ35" s="168"/>
      <c r="JK35" s="168"/>
      <c r="JL35" s="168"/>
      <c r="JM35" s="168"/>
      <c r="JN35" s="168"/>
      <c r="JO35" s="168"/>
      <c r="JP35" s="168"/>
      <c r="JQ35" s="168"/>
      <c r="JR35" s="168"/>
      <c r="JS35" s="168"/>
      <c r="JT35" s="168"/>
      <c r="JU35" s="168"/>
      <c r="JV35" s="168"/>
      <c r="JW35" s="168"/>
      <c r="JX35" s="168"/>
      <c r="JY35" s="168"/>
      <c r="JZ35" s="168"/>
      <c r="KA35" s="168"/>
      <c r="KB35" s="168"/>
      <c r="KC35" s="168"/>
      <c r="KD35" s="168"/>
      <c r="KE35" s="168"/>
      <c r="KF35" s="168"/>
      <c r="KG35" s="168"/>
      <c r="KH35" s="168"/>
      <c r="KI35" s="168"/>
      <c r="KJ35" s="168"/>
      <c r="KK35" s="168"/>
      <c r="KL35" s="168"/>
      <c r="KM35" s="168"/>
      <c r="KN35" s="168"/>
      <c r="KO35" s="168"/>
      <c r="KP35" s="168"/>
      <c r="KQ35" s="168"/>
      <c r="KR35" s="168"/>
      <c r="KS35" s="168"/>
      <c r="KT35" s="168"/>
      <c r="KU35" s="168"/>
      <c r="KV35" s="168"/>
      <c r="KW35" s="168"/>
      <c r="KX35" s="168"/>
      <c r="KY35" s="168"/>
      <c r="KZ35" s="168"/>
      <c r="LA35" s="168"/>
      <c r="LB35" s="168"/>
      <c r="LC35" s="168"/>
      <c r="LD35" s="168"/>
      <c r="LE35" s="168"/>
      <c r="LF35" s="168"/>
      <c r="LG35" s="168"/>
      <c r="LH35" s="168"/>
      <c r="LI35" s="168"/>
      <c r="LJ35" s="168"/>
      <c r="LK35" s="168"/>
      <c r="LL35" s="168"/>
      <c r="LM35" s="168"/>
      <c r="LN35" s="168"/>
      <c r="LO35" s="168"/>
      <c r="LP35" s="168"/>
      <c r="LQ35" s="168"/>
      <c r="LR35" s="168"/>
      <c r="LS35" s="168"/>
      <c r="LT35" s="168"/>
      <c r="LU35" s="168"/>
      <c r="LV35" s="168"/>
      <c r="LW35" s="168"/>
      <c r="LX35" s="168"/>
      <c r="LY35" s="168"/>
      <c r="LZ35" s="168"/>
      <c r="MA35" s="168"/>
      <c r="MB35" s="168"/>
      <c r="MC35" s="168"/>
      <c r="MD35" s="168"/>
      <c r="ME35" s="168"/>
      <c r="MF35" s="168"/>
      <c r="MG35" s="168"/>
      <c r="MH35" s="168"/>
      <c r="MI35" s="168"/>
      <c r="MJ35" s="168"/>
      <c r="MK35" s="168"/>
      <c r="ML35" s="168"/>
      <c r="MM35" s="168"/>
      <c r="MN35" s="168"/>
      <c r="MO35" s="168"/>
      <c r="MP35" s="168"/>
      <c r="MQ35" s="168"/>
      <c r="MR35" s="168"/>
      <c r="MS35" s="168"/>
      <c r="MT35" s="168"/>
      <c r="MU35" s="168"/>
      <c r="MV35" s="168"/>
      <c r="MW35" s="168"/>
      <c r="MX35" s="168"/>
      <c r="MY35" s="168"/>
      <c r="MZ35" s="168"/>
      <c r="NA35" s="168"/>
      <c r="NB35" s="168"/>
      <c r="NC35" s="168"/>
      <c r="ND35" s="168"/>
      <c r="NE35" s="168"/>
      <c r="NF35" s="168"/>
      <c r="NG35" s="168"/>
      <c r="NH35" s="168"/>
      <c r="NI35" s="168"/>
      <c r="NJ35" s="168"/>
      <c r="NK35" s="168"/>
      <c r="NL35" s="168"/>
      <c r="NM35" s="168"/>
      <c r="NN35" s="168"/>
      <c r="NO35" s="168"/>
      <c r="NP35" s="168"/>
      <c r="NQ35" s="168"/>
      <c r="NR35" s="168"/>
      <c r="NS35" s="168"/>
      <c r="NT35" s="168"/>
      <c r="NU35" s="168"/>
      <c r="NV35" s="168"/>
      <c r="NW35" s="168"/>
      <c r="NX35" s="168"/>
      <c r="NY35" s="168"/>
      <c r="NZ35" s="168"/>
      <c r="OA35" s="168"/>
      <c r="OB35" s="168"/>
      <c r="OC35" s="168"/>
      <c r="OD35" s="168"/>
      <c r="OE35" s="168"/>
      <c r="OF35" s="168"/>
      <c r="OG35" s="168"/>
      <c r="OH35" s="168"/>
      <c r="OI35" s="168"/>
      <c r="OJ35" s="168"/>
      <c r="OK35" s="168"/>
      <c r="OL35" s="168"/>
      <c r="OM35" s="168"/>
      <c r="ON35" s="168"/>
      <c r="OO35" s="168"/>
      <c r="OP35" s="168"/>
      <c r="OQ35" s="168"/>
      <c r="OR35" s="168"/>
      <c r="OS35" s="168"/>
      <c r="OT35" s="168"/>
      <c r="OU35" s="168"/>
      <c r="OV35" s="168"/>
      <c r="OW35" s="168"/>
      <c r="OX35" s="168"/>
      <c r="OY35" s="168"/>
      <c r="OZ35" s="168"/>
      <c r="PA35" s="168"/>
      <c r="PB35" s="168"/>
      <c r="PC35" s="168"/>
      <c r="PD35" s="168"/>
      <c r="PE35" s="168"/>
      <c r="PF35" s="168"/>
      <c r="PG35" s="168"/>
      <c r="PH35" s="168"/>
      <c r="PI35" s="168"/>
      <c r="PJ35" s="168"/>
      <c r="PK35" s="168"/>
      <c r="PL35" s="168"/>
      <c r="PM35" s="168"/>
      <c r="PN35" s="168"/>
      <c r="PO35" s="168"/>
      <c r="PP35" s="168"/>
      <c r="PQ35" s="168"/>
      <c r="PR35" s="168"/>
      <c r="PS35" s="168"/>
      <c r="PT35" s="168"/>
      <c r="PU35" s="168"/>
      <c r="PV35" s="168"/>
      <c r="PW35" s="168"/>
      <c r="PX35" s="168"/>
      <c r="PY35" s="168"/>
      <c r="PZ35" s="168"/>
      <c r="QA35" s="168"/>
      <c r="QB35" s="168"/>
      <c r="QC35" s="168"/>
      <c r="QD35" s="168"/>
      <c r="QE35" s="168"/>
      <c r="QF35" s="168"/>
      <c r="QG35" s="168"/>
      <c r="QH35" s="168"/>
      <c r="QI35" s="168"/>
      <c r="QJ35" s="168"/>
      <c r="QK35" s="168"/>
      <c r="QL35" s="168"/>
      <c r="QM35" s="168"/>
      <c r="QN35" s="168"/>
      <c r="QO35" s="168"/>
      <c r="QP35" s="168"/>
      <c r="QQ35" s="168"/>
      <c r="QR35" s="168"/>
      <c r="QS35" s="168"/>
      <c r="QT35" s="168"/>
      <c r="QU35" s="168"/>
      <c r="QV35" s="168"/>
      <c r="QW35" s="168"/>
      <c r="QX35" s="168"/>
      <c r="QY35" s="168"/>
      <c r="QZ35" s="168"/>
      <c r="RA35" s="168"/>
      <c r="RB35" s="168"/>
      <c r="RC35" s="168"/>
      <c r="RD35" s="168"/>
      <c r="RE35" s="168"/>
      <c r="RF35" s="168"/>
      <c r="RG35" s="168"/>
      <c r="RH35" s="168"/>
      <c r="RI35" s="168"/>
      <c r="RJ35" s="168"/>
      <c r="RK35" s="168"/>
      <c r="RL35" s="168"/>
      <c r="RM35" s="168"/>
      <c r="RN35" s="168"/>
      <c r="RO35" s="168"/>
      <c r="RP35" s="168"/>
      <c r="RQ35" s="168"/>
      <c r="RR35" s="168"/>
      <c r="RS35" s="168"/>
      <c r="RT35" s="168"/>
      <c r="RU35" s="168"/>
      <c r="RV35" s="168"/>
      <c r="RW35" s="168"/>
      <c r="RX35" s="168"/>
      <c r="RY35" s="168"/>
      <c r="RZ35" s="168"/>
      <c r="SA35" s="168"/>
      <c r="SB35" s="168"/>
      <c r="SC35" s="168"/>
      <c r="SD35" s="168"/>
      <c r="SE35" s="168"/>
      <c r="SF35" s="168"/>
      <c r="SG35" s="168"/>
      <c r="SH35" s="168"/>
      <c r="SI35" s="168"/>
      <c r="SJ35" s="168"/>
      <c r="SK35" s="168"/>
      <c r="SL35" s="168"/>
      <c r="SM35" s="168"/>
      <c r="SN35" s="168"/>
      <c r="SO35" s="168"/>
      <c r="SP35" s="168"/>
      <c r="SQ35" s="168"/>
      <c r="SR35" s="168"/>
      <c r="SS35" s="168"/>
      <c r="ST35" s="168"/>
      <c r="SU35" s="168"/>
      <c r="SV35" s="168"/>
      <c r="SW35" s="168"/>
      <c r="SX35" s="168"/>
      <c r="SY35" s="168"/>
      <c r="SZ35" s="168"/>
      <c r="TA35" s="168"/>
      <c r="TB35" s="168"/>
      <c r="TC35" s="168"/>
      <c r="TD35" s="168"/>
      <c r="TE35" s="168"/>
      <c r="TF35" s="168"/>
      <c r="TG35" s="168"/>
      <c r="TH35" s="168"/>
      <c r="TI35" s="168"/>
      <c r="TJ35" s="168"/>
      <c r="TK35" s="168"/>
      <c r="TL35" s="168"/>
      <c r="TM35" s="168"/>
      <c r="TN35" s="168"/>
      <c r="TO35" s="168"/>
      <c r="TP35" s="168"/>
      <c r="TQ35" s="168"/>
      <c r="TR35" s="168"/>
      <c r="TS35" s="168"/>
      <c r="TT35" s="168"/>
      <c r="TU35" s="168"/>
      <c r="TV35" s="168"/>
      <c r="TW35" s="168"/>
      <c r="TX35" s="168"/>
      <c r="TY35" s="168"/>
      <c r="TZ35" s="168"/>
      <c r="UA35" s="168"/>
      <c r="UB35" s="168"/>
      <c r="UC35" s="168"/>
      <c r="UD35" s="168"/>
      <c r="UE35" s="168"/>
      <c r="UF35" s="168"/>
      <c r="UG35" s="168"/>
      <c r="UH35" s="168"/>
      <c r="UI35" s="168"/>
      <c r="UJ35" s="168"/>
      <c r="UK35" s="168"/>
      <c r="UL35" s="168"/>
      <c r="UM35" s="168"/>
      <c r="UN35" s="168"/>
      <c r="UO35" s="168"/>
      <c r="UP35" s="168"/>
      <c r="UQ35" s="168"/>
      <c r="UR35" s="168"/>
      <c r="US35" s="168"/>
      <c r="UT35" s="168"/>
      <c r="UU35" s="168"/>
      <c r="UV35" s="168"/>
      <c r="UW35" s="168"/>
      <c r="UX35" s="168"/>
      <c r="UY35" s="168"/>
      <c r="UZ35" s="168"/>
      <c r="VA35" s="168"/>
      <c r="VB35" s="168"/>
      <c r="VC35" s="168"/>
      <c r="VD35" s="168"/>
      <c r="VE35" s="168"/>
      <c r="VF35" s="168"/>
      <c r="VG35" s="168"/>
      <c r="VH35" s="168"/>
      <c r="VI35" s="168"/>
      <c r="VJ35" s="168"/>
      <c r="VK35" s="168"/>
      <c r="VL35" s="168"/>
      <c r="VM35" s="168"/>
      <c r="VN35" s="168"/>
      <c r="VO35" s="168"/>
      <c r="VP35" s="168"/>
      <c r="VQ35" s="168"/>
      <c r="VR35" s="168"/>
      <c r="VS35" s="168"/>
      <c r="VT35" s="168"/>
      <c r="VU35" s="168"/>
      <c r="VV35" s="168"/>
      <c r="VW35" s="168"/>
      <c r="VX35" s="168"/>
      <c r="VY35" s="168"/>
      <c r="VZ35" s="168"/>
      <c r="WA35" s="168"/>
      <c r="WB35" s="168"/>
      <c r="WC35" s="168"/>
      <c r="WD35" s="168"/>
      <c r="WE35" s="168"/>
      <c r="WF35" s="168"/>
      <c r="WG35" s="168"/>
      <c r="WH35" s="168"/>
      <c r="WI35" s="168"/>
      <c r="WJ35" s="168"/>
      <c r="WK35" s="168"/>
      <c r="WL35" s="168"/>
      <c r="WM35" s="168"/>
      <c r="WN35" s="168"/>
      <c r="WO35" s="168"/>
      <c r="WP35" s="168"/>
      <c r="WQ35" s="168"/>
      <c r="WR35" s="168"/>
      <c r="WS35" s="168"/>
      <c r="WT35" s="168"/>
      <c r="WU35" s="168"/>
      <c r="WV35" s="168"/>
      <c r="WW35" s="168"/>
      <c r="WX35" s="168"/>
      <c r="WY35" s="168"/>
      <c r="WZ35" s="168"/>
      <c r="XA35" s="168"/>
      <c r="XB35" s="168"/>
      <c r="XC35" s="168"/>
      <c r="XD35" s="168"/>
      <c r="XE35" s="168"/>
      <c r="XF35" s="168"/>
      <c r="XG35" s="168"/>
      <c r="XH35" s="168"/>
      <c r="XI35" s="168"/>
      <c r="XJ35" s="168"/>
      <c r="XK35" s="168"/>
      <c r="XL35" s="168"/>
      <c r="XM35" s="168"/>
      <c r="XN35" s="168"/>
      <c r="XO35" s="168"/>
      <c r="XP35" s="168"/>
      <c r="XQ35" s="168"/>
      <c r="XR35" s="168"/>
      <c r="XS35" s="168"/>
      <c r="XT35" s="168"/>
      <c r="XU35" s="168"/>
      <c r="XV35" s="168"/>
      <c r="XW35" s="168"/>
      <c r="XX35" s="168"/>
      <c r="XY35" s="168"/>
      <c r="XZ35" s="168"/>
      <c r="YA35" s="168"/>
      <c r="YB35" s="168"/>
      <c r="YC35" s="168"/>
      <c r="YD35" s="168"/>
      <c r="YE35" s="168"/>
      <c r="YF35" s="168"/>
      <c r="YG35" s="168"/>
      <c r="YH35" s="168"/>
      <c r="YI35" s="168"/>
      <c r="YJ35" s="168"/>
      <c r="YK35" s="168"/>
      <c r="YL35" s="168"/>
      <c r="YM35" s="168"/>
      <c r="YN35" s="168"/>
      <c r="YO35" s="168"/>
      <c r="YP35" s="168"/>
      <c r="YQ35" s="168"/>
      <c r="YR35" s="168"/>
      <c r="YS35" s="168"/>
      <c r="YT35" s="168"/>
      <c r="YU35" s="168"/>
      <c r="YV35" s="168"/>
      <c r="YW35" s="168"/>
      <c r="YX35" s="168"/>
      <c r="YY35" s="168"/>
      <c r="YZ35" s="168"/>
      <c r="ZA35" s="168"/>
      <c r="ZB35" s="168"/>
      <c r="ZC35" s="168"/>
      <c r="ZD35" s="168"/>
      <c r="ZE35" s="168"/>
      <c r="ZF35" s="168"/>
      <c r="ZG35" s="168"/>
      <c r="ZH35" s="168"/>
      <c r="ZI35" s="168"/>
      <c r="ZJ35" s="168"/>
      <c r="ZK35" s="168"/>
      <c r="ZL35" s="168"/>
      <c r="ZM35" s="168"/>
      <c r="ZN35" s="168"/>
      <c r="ZO35" s="168"/>
      <c r="ZP35" s="168"/>
      <c r="ZQ35" s="168"/>
      <c r="ZR35" s="168"/>
      <c r="ZS35" s="168"/>
      <c r="ZT35" s="168"/>
      <c r="ZU35" s="168"/>
      <c r="ZV35" s="168"/>
      <c r="ZW35" s="168"/>
      <c r="ZX35" s="168"/>
      <c r="ZY35" s="168"/>
      <c r="ZZ35" s="168"/>
      <c r="AAA35" s="168"/>
      <c r="AAB35" s="168"/>
      <c r="AAC35" s="168"/>
      <c r="AAD35" s="168"/>
      <c r="AAE35" s="168"/>
      <c r="AAF35" s="168"/>
      <c r="AAG35" s="168"/>
      <c r="AAH35" s="168"/>
      <c r="AAI35" s="168"/>
      <c r="AAJ35" s="168"/>
      <c r="AAK35" s="168"/>
      <c r="AAL35" s="168"/>
      <c r="AAM35" s="168"/>
      <c r="AAN35" s="168"/>
      <c r="AAO35" s="168"/>
      <c r="AAP35" s="168"/>
      <c r="AAQ35" s="168"/>
      <c r="AAR35" s="168"/>
      <c r="AAS35" s="168"/>
      <c r="AAT35" s="168"/>
      <c r="AAU35" s="168"/>
      <c r="AAV35" s="168"/>
      <c r="AAW35" s="168"/>
      <c r="AAX35" s="168"/>
      <c r="AAY35" s="168"/>
      <c r="AAZ35" s="168"/>
      <c r="ABA35" s="168"/>
      <c r="ABB35" s="168"/>
      <c r="ABC35" s="168"/>
      <c r="ABD35" s="168"/>
      <c r="ABE35" s="168"/>
      <c r="ABF35" s="168"/>
      <c r="ABG35" s="168"/>
      <c r="ABH35" s="168"/>
      <c r="ABI35" s="168"/>
      <c r="ABJ35" s="168"/>
      <c r="ABK35" s="168"/>
      <c r="ABL35" s="168"/>
      <c r="ABM35" s="168"/>
      <c r="ABN35" s="168"/>
      <c r="ABO35" s="168"/>
      <c r="ABP35" s="168"/>
      <c r="ABQ35" s="168"/>
      <c r="ABR35" s="168"/>
      <c r="ABS35" s="168"/>
      <c r="ABT35" s="168"/>
      <c r="ABU35" s="168"/>
      <c r="ABV35" s="168"/>
      <c r="ABW35" s="168"/>
      <c r="ABX35" s="168"/>
      <c r="ABY35" s="168"/>
      <c r="ABZ35" s="168"/>
      <c r="ACA35" s="168"/>
      <c r="ACB35" s="168"/>
      <c r="ACC35" s="168"/>
      <c r="ACD35" s="168"/>
      <c r="ACE35" s="168"/>
      <c r="ACF35" s="168"/>
      <c r="ACG35" s="168"/>
      <c r="ACH35" s="168"/>
      <c r="ACI35" s="168"/>
      <c r="ACJ35" s="168"/>
      <c r="ACK35" s="168"/>
      <c r="ACL35" s="168"/>
      <c r="ACM35" s="168"/>
      <c r="ACN35" s="168"/>
      <c r="ACO35" s="168"/>
      <c r="ACP35" s="168"/>
      <c r="ACQ35" s="168"/>
      <c r="ACR35" s="168"/>
      <c r="ACS35" s="168"/>
      <c r="ACT35" s="168"/>
      <c r="ACU35" s="168"/>
      <c r="ACV35" s="168"/>
      <c r="ACW35" s="168"/>
      <c r="ACX35" s="168"/>
      <c r="ACY35" s="168"/>
      <c r="ACZ35" s="168"/>
      <c r="ADA35" s="168"/>
      <c r="ADB35" s="168"/>
      <c r="ADC35" s="168"/>
      <c r="ADD35" s="168"/>
      <c r="ADE35" s="168"/>
      <c r="ADF35" s="168"/>
      <c r="ADG35" s="168"/>
      <c r="ADH35" s="168"/>
      <c r="ADI35" s="168"/>
      <c r="ADJ35" s="168"/>
      <c r="ADK35" s="168"/>
      <c r="ADL35" s="168"/>
      <c r="ADM35" s="168"/>
      <c r="ADN35" s="168"/>
      <c r="ADO35" s="168"/>
      <c r="ADP35" s="168"/>
      <c r="ADQ35" s="168"/>
      <c r="ADR35" s="168"/>
      <c r="ADS35" s="168"/>
      <c r="ADT35" s="168"/>
      <c r="ADU35" s="168"/>
      <c r="ADV35" s="168"/>
      <c r="ADW35" s="168"/>
      <c r="ADX35" s="168"/>
      <c r="ADY35" s="168"/>
      <c r="ADZ35" s="168"/>
      <c r="AEA35" s="168"/>
      <c r="AEB35" s="168"/>
      <c r="AEC35" s="168"/>
      <c r="AED35" s="168"/>
      <c r="AEE35" s="168"/>
      <c r="AEF35" s="168"/>
      <c r="AEG35" s="168"/>
      <c r="AEH35" s="168"/>
      <c r="AEI35" s="168"/>
      <c r="AEJ35" s="168"/>
      <c r="AEK35" s="168"/>
      <c r="AEL35" s="168"/>
      <c r="AEM35" s="168"/>
      <c r="AEN35" s="168"/>
      <c r="AEO35" s="168"/>
      <c r="AEP35" s="168"/>
      <c r="AEQ35" s="168"/>
      <c r="AER35" s="168"/>
      <c r="AES35" s="168"/>
      <c r="AET35" s="168"/>
      <c r="AEU35" s="168"/>
      <c r="AEV35" s="168"/>
      <c r="AEW35" s="168"/>
      <c r="AEX35" s="168"/>
      <c r="AEY35" s="168"/>
      <c r="AEZ35" s="168"/>
      <c r="AFA35" s="168"/>
      <c r="AFB35" s="168"/>
      <c r="AFC35" s="168"/>
      <c r="AFD35" s="168"/>
      <c r="AFE35" s="168"/>
      <c r="AFF35" s="168"/>
      <c r="AFG35" s="168"/>
      <c r="AFH35" s="168"/>
      <c r="AFI35" s="168"/>
      <c r="AFJ35" s="168"/>
      <c r="AFK35" s="168"/>
      <c r="AFL35" s="168"/>
      <c r="AFM35" s="168"/>
      <c r="AFN35" s="168"/>
      <c r="AFO35" s="168"/>
      <c r="AFP35" s="168"/>
      <c r="AFQ35" s="168"/>
      <c r="AFR35" s="168"/>
      <c r="AFS35" s="168"/>
      <c r="AFT35" s="168"/>
      <c r="AFU35" s="168"/>
      <c r="AFV35" s="168"/>
      <c r="AFW35" s="168"/>
      <c r="AFX35" s="168"/>
      <c r="AFY35" s="168"/>
      <c r="AFZ35" s="168"/>
      <c r="AGA35" s="168"/>
      <c r="AGB35" s="168"/>
      <c r="AGC35" s="168"/>
      <c r="AGD35" s="168"/>
      <c r="AGE35" s="168"/>
      <c r="AGF35" s="168"/>
      <c r="AGG35" s="168"/>
      <c r="AGH35" s="168"/>
      <c r="AGI35" s="168"/>
      <c r="AGJ35" s="168"/>
      <c r="AGK35" s="168"/>
      <c r="AGL35" s="168"/>
      <c r="AGM35" s="168"/>
      <c r="AGN35" s="168"/>
      <c r="AGO35" s="168"/>
      <c r="AGP35" s="168"/>
      <c r="AGQ35" s="168"/>
      <c r="AGR35" s="168"/>
      <c r="AGS35" s="168"/>
      <c r="AGT35" s="168"/>
      <c r="AGU35" s="168"/>
      <c r="AGV35" s="168"/>
      <c r="AGW35" s="168"/>
      <c r="AGX35" s="168"/>
      <c r="AGY35" s="168"/>
      <c r="AGZ35" s="168"/>
      <c r="AHA35" s="168"/>
      <c r="AHB35" s="168"/>
      <c r="AHC35" s="168"/>
      <c r="AHD35" s="168"/>
      <c r="AHE35" s="168"/>
      <c r="AHF35" s="168"/>
      <c r="AHG35" s="168"/>
      <c r="AHH35" s="168"/>
      <c r="AHI35" s="168"/>
      <c r="AHJ35" s="168"/>
      <c r="AHK35" s="168"/>
      <c r="AHL35" s="168"/>
      <c r="AHM35" s="168"/>
      <c r="AHN35" s="168"/>
      <c r="AHO35" s="168"/>
      <c r="AHP35" s="168"/>
      <c r="AHQ35" s="168"/>
      <c r="AHR35" s="168"/>
      <c r="AHS35" s="168"/>
      <c r="AHT35" s="168"/>
      <c r="AHU35" s="168"/>
      <c r="AHV35" s="168"/>
      <c r="AHW35" s="168"/>
      <c r="AHX35" s="168"/>
      <c r="AHY35" s="168"/>
      <c r="AHZ35" s="168"/>
      <c r="AIA35" s="168"/>
      <c r="AIB35" s="168"/>
      <c r="AIC35" s="168"/>
      <c r="AID35" s="168"/>
      <c r="AIE35" s="168"/>
      <c r="AIF35" s="168"/>
      <c r="AIG35" s="168"/>
      <c r="AIH35" s="168"/>
      <c r="AII35" s="168"/>
      <c r="AIJ35" s="168"/>
      <c r="AIK35" s="168"/>
      <c r="AIL35" s="168"/>
      <c r="AIM35" s="168"/>
      <c r="AIN35" s="168"/>
      <c r="AIO35" s="168"/>
      <c r="AIP35" s="168"/>
      <c r="AIQ35" s="168"/>
      <c r="AIR35" s="168"/>
      <c r="AIS35" s="168"/>
      <c r="AIT35" s="168"/>
      <c r="AIU35" s="168"/>
      <c r="AIV35" s="168"/>
      <c r="AIW35" s="168"/>
      <c r="AIX35" s="168"/>
      <c r="AIY35" s="168"/>
      <c r="AIZ35" s="168"/>
      <c r="AJA35" s="168"/>
      <c r="AJB35" s="168"/>
      <c r="AJC35" s="168"/>
      <c r="AJD35" s="168"/>
      <c r="AJE35" s="168"/>
      <c r="AJF35" s="168"/>
      <c r="AJG35" s="168"/>
      <c r="AJH35" s="168"/>
      <c r="AJI35" s="168"/>
      <c r="AJJ35" s="168"/>
      <c r="AJK35" s="168"/>
      <c r="AJL35" s="168"/>
      <c r="AJM35" s="168"/>
      <c r="AJN35" s="168"/>
      <c r="AJO35" s="168"/>
      <c r="AJP35" s="168"/>
      <c r="AJQ35" s="168"/>
      <c r="AJR35" s="168"/>
      <c r="AJS35" s="168"/>
      <c r="AJT35" s="168"/>
      <c r="AJU35" s="168"/>
      <c r="AJV35" s="168"/>
      <c r="AJW35" s="168"/>
      <c r="AJX35" s="168"/>
      <c r="AJY35" s="168"/>
      <c r="AJZ35" s="168"/>
      <c r="AKA35" s="168"/>
      <c r="AKB35" s="168"/>
      <c r="AKC35" s="168"/>
      <c r="AKD35" s="168"/>
      <c r="AKE35" s="168"/>
      <c r="AKF35" s="168"/>
      <c r="AKG35" s="168"/>
      <c r="AKH35" s="168"/>
      <c r="AKI35" s="168"/>
      <c r="AKJ35" s="168"/>
      <c r="AKK35" s="168"/>
      <c r="AKL35" s="168"/>
      <c r="AKM35" s="168"/>
      <c r="AKN35" s="168"/>
      <c r="AKO35" s="168"/>
      <c r="AKP35" s="168"/>
      <c r="AKQ35" s="168"/>
      <c r="AKR35" s="168"/>
      <c r="AKS35" s="168"/>
      <c r="AKT35" s="168"/>
      <c r="AKU35" s="168"/>
      <c r="AKV35" s="168"/>
      <c r="AKW35" s="168"/>
      <c r="AKX35" s="168"/>
      <c r="AKY35" s="168"/>
      <c r="AKZ35" s="168"/>
      <c r="ALA35" s="168"/>
      <c r="ALB35" s="168"/>
      <c r="ALC35" s="168"/>
      <c r="ALD35" s="168"/>
      <c r="ALE35" s="168"/>
      <c r="ALF35" s="168"/>
      <c r="ALG35" s="168"/>
      <c r="ALH35" s="168"/>
      <c r="ALI35" s="168"/>
      <c r="ALJ35" s="168"/>
      <c r="ALK35" s="168"/>
      <c r="ALL35" s="168"/>
      <c r="ALM35" s="168"/>
      <c r="ALN35" s="168"/>
      <c r="ALO35" s="168"/>
      <c r="ALP35" s="168"/>
      <c r="ALQ35" s="168"/>
      <c r="ALR35" s="168"/>
      <c r="ALS35" s="168"/>
      <c r="ALT35" s="168"/>
      <c r="ALU35" s="168"/>
      <c r="ALV35" s="168"/>
      <c r="ALW35" s="168"/>
      <c r="ALX35" s="168"/>
      <c r="ALY35" s="168"/>
      <c r="ALZ35" s="168"/>
      <c r="AMA35" s="168"/>
      <c r="AMB35" s="168"/>
      <c r="AMC35" s="168"/>
      <c r="AMD35" s="168"/>
      <c r="AME35" s="168"/>
      <c r="AMF35" s="168"/>
      <c r="AMG35" s="168"/>
      <c r="AMH35" s="168"/>
      <c r="AMI35" s="168"/>
      <c r="AMJ35" s="168"/>
      <c r="AMK35" s="168"/>
      <c r="AML35" s="168"/>
      <c r="AMM35" s="168"/>
      <c r="AMN35" s="168"/>
      <c r="AMO35" s="168"/>
      <c r="AMP35" s="168"/>
      <c r="AMQ35" s="168"/>
      <c r="AMR35" s="168"/>
      <c r="AMS35" s="168"/>
      <c r="AMT35" s="168"/>
      <c r="AMU35" s="168"/>
      <c r="AMV35" s="168"/>
      <c r="AMW35" s="168"/>
      <c r="AMX35" s="168"/>
      <c r="AMY35" s="168"/>
      <c r="AMZ35" s="168"/>
      <c r="ANA35" s="168"/>
      <c r="ANB35" s="168"/>
      <c r="ANC35" s="168"/>
      <c r="AND35" s="168"/>
      <c r="ANE35" s="168"/>
      <c r="ANF35" s="168"/>
      <c r="ANG35" s="168"/>
      <c r="ANH35" s="168"/>
      <c r="ANI35" s="168"/>
      <c r="ANJ35" s="168"/>
      <c r="ANK35" s="168"/>
      <c r="ANL35" s="168"/>
      <c r="ANM35" s="168"/>
      <c r="ANN35" s="168"/>
      <c r="ANO35" s="168"/>
      <c r="ANP35" s="168"/>
      <c r="ANQ35" s="168"/>
      <c r="ANR35" s="168"/>
      <c r="ANS35" s="168"/>
      <c r="ANT35" s="168"/>
      <c r="ANU35" s="168"/>
      <c r="ANV35" s="168"/>
      <c r="ANW35" s="168"/>
      <c r="ANX35" s="168"/>
      <c r="ANY35" s="168"/>
      <c r="ANZ35" s="168"/>
      <c r="AOA35" s="168"/>
      <c r="AOB35" s="168"/>
      <c r="AOC35" s="168"/>
      <c r="AOD35" s="168"/>
      <c r="AOE35" s="168"/>
      <c r="AOF35" s="168"/>
      <c r="AOG35" s="168"/>
      <c r="AOH35" s="168"/>
      <c r="AOI35" s="168"/>
      <c r="AOJ35" s="168"/>
      <c r="AOK35" s="168"/>
      <c r="AOL35" s="168"/>
      <c r="AOM35" s="168"/>
      <c r="AON35" s="168"/>
      <c r="AOO35" s="168"/>
      <c r="AOP35" s="168"/>
      <c r="AOQ35" s="168"/>
      <c r="AOR35" s="168"/>
      <c r="AOS35" s="168"/>
      <c r="AOT35" s="168"/>
      <c r="AOU35" s="168"/>
      <c r="AOV35" s="168"/>
      <c r="AOW35" s="168"/>
      <c r="AOX35" s="168"/>
      <c r="AOY35" s="168"/>
      <c r="AOZ35" s="168"/>
      <c r="APA35" s="168"/>
      <c r="APB35" s="168"/>
      <c r="APC35" s="168"/>
      <c r="APD35" s="168"/>
      <c r="APE35" s="168"/>
      <c r="APF35" s="168"/>
      <c r="APG35" s="168"/>
      <c r="APH35" s="168"/>
      <c r="API35" s="168"/>
      <c r="APJ35" s="168"/>
      <c r="APK35" s="168"/>
      <c r="APL35" s="168"/>
      <c r="APM35" s="168"/>
      <c r="APN35" s="168"/>
      <c r="APO35" s="168"/>
      <c r="APP35" s="168"/>
      <c r="APQ35" s="168"/>
      <c r="APR35" s="168"/>
      <c r="APS35" s="168"/>
      <c r="APT35" s="168"/>
      <c r="APU35" s="168"/>
      <c r="APV35" s="168"/>
      <c r="APW35" s="168"/>
      <c r="APX35" s="168"/>
      <c r="APY35" s="168"/>
      <c r="APZ35" s="168"/>
      <c r="AQA35" s="168"/>
      <c r="AQB35" s="168"/>
      <c r="AQC35" s="168"/>
      <c r="AQD35" s="168"/>
      <c r="AQE35" s="168"/>
      <c r="AQF35" s="168"/>
      <c r="AQG35" s="168"/>
      <c r="AQH35" s="168"/>
      <c r="AQI35" s="168"/>
      <c r="AQJ35" s="168"/>
      <c r="AQK35" s="168"/>
      <c r="AQL35" s="168"/>
      <c r="AQM35" s="168"/>
      <c r="AQN35" s="168"/>
      <c r="AQO35" s="168"/>
      <c r="AQP35" s="168"/>
      <c r="AQQ35" s="168"/>
      <c r="AQR35" s="168"/>
      <c r="AQS35" s="168"/>
      <c r="AQT35" s="168"/>
      <c r="AQU35" s="168"/>
      <c r="AQV35" s="168"/>
      <c r="AQW35" s="168"/>
      <c r="AQX35" s="168"/>
      <c r="AQY35" s="168"/>
      <c r="AQZ35" s="168"/>
      <c r="ARA35" s="168"/>
      <c r="ARB35" s="168"/>
      <c r="ARC35" s="168"/>
      <c r="ARD35" s="168"/>
      <c r="ARE35" s="168"/>
      <c r="ARF35" s="168"/>
      <c r="ARG35" s="168"/>
      <c r="ARH35" s="168"/>
      <c r="ARI35" s="168"/>
      <c r="ARJ35" s="168"/>
      <c r="ARK35" s="168"/>
      <c r="ARL35" s="168"/>
      <c r="ARM35" s="168"/>
      <c r="ARN35" s="168"/>
      <c r="ARO35" s="168"/>
      <c r="ARP35" s="168"/>
      <c r="ARQ35" s="168"/>
      <c r="ARR35" s="168"/>
      <c r="ARS35" s="168"/>
      <c r="ART35" s="168"/>
      <c r="ARU35" s="168"/>
      <c r="ARV35" s="168"/>
      <c r="ARW35" s="168"/>
      <c r="ARX35" s="168"/>
      <c r="ARY35" s="168"/>
      <c r="ARZ35" s="168"/>
      <c r="ASA35" s="168"/>
      <c r="ASB35" s="168"/>
      <c r="ASC35" s="168"/>
      <c r="ASD35" s="168"/>
      <c r="ASE35" s="168"/>
      <c r="ASF35" s="168"/>
      <c r="ASG35" s="168"/>
      <c r="ASH35" s="168"/>
      <c r="ASI35" s="168"/>
      <c r="ASJ35" s="168"/>
      <c r="ASK35" s="168"/>
      <c r="ASL35" s="168"/>
      <c r="ASM35" s="168"/>
      <c r="ASN35" s="168"/>
      <c r="ASO35" s="168"/>
      <c r="ASP35" s="168"/>
      <c r="ASQ35" s="168"/>
      <c r="ASR35" s="168"/>
      <c r="ASS35" s="168"/>
      <c r="AST35" s="168"/>
      <c r="ASU35" s="168"/>
      <c r="ASV35" s="168"/>
      <c r="ASW35" s="168"/>
      <c r="ASX35" s="168"/>
      <c r="ASY35" s="168"/>
      <c r="ASZ35" s="168"/>
      <c r="ATA35" s="168"/>
      <c r="ATB35" s="168"/>
      <c r="ATC35" s="168"/>
      <c r="ATD35" s="168"/>
      <c r="ATE35" s="168"/>
      <c r="ATF35" s="168"/>
      <c r="ATG35" s="168"/>
      <c r="ATH35" s="168"/>
      <c r="ATI35" s="168"/>
      <c r="ATJ35" s="168"/>
      <c r="ATK35" s="168"/>
      <c r="ATL35" s="168"/>
      <c r="ATM35" s="168"/>
      <c r="ATN35" s="168"/>
      <c r="ATO35" s="168"/>
      <c r="ATP35" s="168"/>
      <c r="ATQ35" s="168"/>
      <c r="ATR35" s="168"/>
      <c r="ATS35" s="168"/>
      <c r="ATT35" s="168"/>
      <c r="ATU35" s="168"/>
      <c r="ATV35" s="168"/>
      <c r="ATW35" s="168"/>
      <c r="ATX35" s="168"/>
      <c r="ATY35" s="168"/>
      <c r="ATZ35" s="168"/>
      <c r="AUA35" s="168"/>
      <c r="AUB35" s="168"/>
      <c r="AUC35" s="168"/>
      <c r="AUD35" s="168"/>
      <c r="AUE35" s="168"/>
      <c r="AUF35" s="168"/>
      <c r="AUG35" s="168"/>
      <c r="AUH35" s="168"/>
      <c r="AUI35" s="168"/>
      <c r="AUJ35" s="168"/>
      <c r="AUK35" s="168"/>
      <c r="AUL35" s="168"/>
      <c r="AUM35" s="168"/>
      <c r="AUN35" s="168"/>
      <c r="AUO35" s="168"/>
      <c r="AUP35" s="168"/>
      <c r="AUQ35" s="168"/>
      <c r="AUR35" s="168"/>
      <c r="AUS35" s="168"/>
      <c r="AUT35" s="168"/>
      <c r="AUU35" s="168"/>
      <c r="AUV35" s="168"/>
      <c r="AUW35" s="168"/>
      <c r="AUX35" s="168"/>
      <c r="AUY35" s="168"/>
      <c r="AUZ35" s="168"/>
      <c r="AVA35" s="168"/>
      <c r="AVB35" s="168"/>
      <c r="AVC35" s="168"/>
      <c r="AVD35" s="168"/>
      <c r="AVE35" s="168"/>
      <c r="AVF35" s="168"/>
      <c r="AVG35" s="168"/>
      <c r="AVH35" s="168"/>
      <c r="AVI35" s="168"/>
      <c r="AVJ35" s="168"/>
      <c r="AVK35" s="168"/>
      <c r="AVL35" s="168"/>
      <c r="AVM35" s="168"/>
      <c r="AVN35" s="168"/>
      <c r="AVO35" s="168"/>
      <c r="AVP35" s="168"/>
      <c r="AVQ35" s="168"/>
      <c r="AVR35" s="168"/>
      <c r="AVS35" s="168"/>
      <c r="AVT35" s="168"/>
      <c r="AVU35" s="168"/>
      <c r="AVV35" s="168"/>
      <c r="AVW35" s="168"/>
      <c r="AVX35" s="168"/>
      <c r="AVY35" s="168"/>
      <c r="AVZ35" s="168"/>
      <c r="AWA35" s="168"/>
      <c r="AWB35" s="168"/>
      <c r="AWC35" s="168"/>
      <c r="AWD35" s="168"/>
      <c r="AWE35" s="168"/>
      <c r="AWF35" s="168"/>
      <c r="AWG35" s="168"/>
      <c r="AWH35" s="168"/>
      <c r="AWI35" s="168"/>
      <c r="AWJ35" s="168"/>
      <c r="AWK35" s="168"/>
      <c r="AWL35" s="168"/>
      <c r="AWM35" s="168"/>
      <c r="AWN35" s="168"/>
      <c r="AWO35" s="168"/>
      <c r="AWP35" s="168"/>
      <c r="AWQ35" s="168"/>
      <c r="AWR35" s="168"/>
      <c r="AWS35" s="168"/>
      <c r="AWT35" s="168"/>
      <c r="AWU35" s="168"/>
      <c r="AWV35" s="168"/>
      <c r="AWW35" s="168"/>
      <c r="AWX35" s="168"/>
      <c r="AWY35" s="168"/>
      <c r="AWZ35" s="168"/>
      <c r="AXA35" s="168"/>
      <c r="AXB35" s="168"/>
      <c r="AXC35" s="168"/>
      <c r="AXD35" s="168"/>
      <c r="AXE35" s="168"/>
      <c r="AXF35" s="168"/>
      <c r="AXG35" s="168"/>
      <c r="AXH35" s="168"/>
      <c r="AXI35" s="168"/>
      <c r="AXJ35" s="168"/>
      <c r="AXK35" s="168"/>
      <c r="AXL35" s="168"/>
      <c r="AXM35" s="168"/>
      <c r="AXN35" s="168"/>
      <c r="AXO35" s="168"/>
      <c r="AXP35" s="168"/>
      <c r="AXQ35" s="168"/>
      <c r="AXR35" s="168"/>
      <c r="AXS35" s="168"/>
      <c r="AXT35" s="168"/>
      <c r="AXU35" s="168"/>
      <c r="AXV35" s="168"/>
      <c r="AXW35" s="168"/>
      <c r="AXX35" s="168"/>
      <c r="AXY35" s="168"/>
      <c r="AXZ35" s="168"/>
      <c r="AYA35" s="168"/>
      <c r="AYB35" s="168"/>
      <c r="AYC35" s="168"/>
      <c r="AYD35" s="168"/>
      <c r="AYE35" s="168"/>
      <c r="AYF35" s="168"/>
      <c r="AYG35" s="168"/>
      <c r="AYH35" s="168"/>
      <c r="AYI35" s="168"/>
      <c r="AYJ35" s="168"/>
      <c r="AYK35" s="168"/>
      <c r="AYL35" s="168"/>
      <c r="AYM35" s="168"/>
      <c r="AYN35" s="168"/>
      <c r="AYO35" s="168"/>
      <c r="AYP35" s="168"/>
      <c r="AYQ35" s="168"/>
      <c r="AYR35" s="168"/>
      <c r="AYS35" s="168"/>
      <c r="AYT35" s="168"/>
      <c r="AYU35" s="168"/>
      <c r="AYV35" s="168"/>
      <c r="AYW35" s="168"/>
      <c r="AYX35" s="168"/>
      <c r="AYY35" s="168"/>
      <c r="AYZ35" s="168"/>
      <c r="AZA35" s="168"/>
      <c r="AZB35" s="168"/>
      <c r="AZC35" s="168"/>
      <c r="AZD35" s="168"/>
      <c r="AZE35" s="168"/>
      <c r="AZF35" s="168"/>
      <c r="AZG35" s="168"/>
      <c r="AZH35" s="168"/>
      <c r="AZI35" s="168"/>
      <c r="AZJ35" s="168"/>
      <c r="AZK35" s="168"/>
      <c r="AZL35" s="168"/>
      <c r="AZM35" s="168"/>
      <c r="AZN35" s="168"/>
      <c r="AZO35" s="168"/>
      <c r="AZP35" s="168"/>
      <c r="AZQ35" s="168"/>
      <c r="AZR35" s="168"/>
      <c r="AZS35" s="168"/>
      <c r="AZT35" s="168"/>
      <c r="AZU35" s="168"/>
      <c r="AZV35" s="168"/>
      <c r="AZW35" s="168"/>
      <c r="AZX35" s="168"/>
      <c r="AZY35" s="168"/>
      <c r="AZZ35" s="168"/>
      <c r="BAA35" s="168"/>
      <c r="BAB35" s="168"/>
      <c r="BAC35" s="168"/>
      <c r="BAD35" s="168"/>
      <c r="BAE35" s="168"/>
      <c r="BAF35" s="168"/>
      <c r="BAG35" s="168"/>
      <c r="BAH35" s="168"/>
      <c r="BAI35" s="168"/>
      <c r="BAJ35" s="168"/>
      <c r="BAK35" s="168"/>
      <c r="BAL35" s="168"/>
      <c r="BAM35" s="168"/>
      <c r="BAN35" s="168"/>
      <c r="BAO35" s="168"/>
      <c r="BAP35" s="168"/>
      <c r="BAQ35" s="168"/>
      <c r="BAR35" s="168"/>
      <c r="BAS35" s="168"/>
      <c r="BAT35" s="168"/>
      <c r="BAU35" s="168"/>
      <c r="BAV35" s="168"/>
      <c r="BAW35" s="168"/>
      <c r="BAX35" s="168"/>
      <c r="BAY35" s="168"/>
      <c r="BAZ35" s="168"/>
      <c r="BBA35" s="168"/>
      <c r="BBB35" s="168"/>
      <c r="BBC35" s="168"/>
      <c r="BBD35" s="168"/>
      <c r="BBE35" s="168"/>
      <c r="BBF35" s="168"/>
      <c r="BBG35" s="168"/>
      <c r="BBH35" s="168"/>
      <c r="BBI35" s="168"/>
      <c r="BBJ35" s="168"/>
      <c r="BBK35" s="168"/>
      <c r="BBL35" s="168"/>
      <c r="BBM35" s="168"/>
      <c r="BBN35" s="168"/>
      <c r="BBO35" s="168"/>
      <c r="BBP35" s="168"/>
      <c r="BBQ35" s="168"/>
      <c r="BBR35" s="168"/>
      <c r="BBS35" s="168"/>
      <c r="BBT35" s="168"/>
      <c r="BBU35" s="168"/>
      <c r="BBV35" s="168"/>
      <c r="BBW35" s="168"/>
      <c r="BBX35" s="168"/>
      <c r="BBY35" s="168"/>
      <c r="BBZ35" s="168"/>
      <c r="BCA35" s="168"/>
      <c r="BCB35" s="168"/>
      <c r="BCC35" s="168"/>
      <c r="BCD35" s="168"/>
      <c r="BCE35" s="168"/>
      <c r="BCF35" s="168"/>
      <c r="BCG35" s="168"/>
      <c r="BCH35" s="168"/>
      <c r="BCI35" s="168"/>
      <c r="BCJ35" s="168"/>
      <c r="BCK35" s="168"/>
      <c r="BCL35" s="168"/>
      <c r="BCM35" s="168"/>
      <c r="BCN35" s="168"/>
      <c r="BCO35" s="168"/>
      <c r="BCP35" s="168"/>
      <c r="BCQ35" s="168"/>
      <c r="BCR35" s="168"/>
      <c r="BCS35" s="168"/>
      <c r="BCT35" s="168"/>
      <c r="BCU35" s="168"/>
      <c r="BCV35" s="168"/>
      <c r="BCW35" s="168"/>
      <c r="BCX35" s="168"/>
      <c r="BCY35" s="168"/>
      <c r="BCZ35" s="168"/>
      <c r="BDA35" s="168"/>
      <c r="BDB35" s="168"/>
      <c r="BDC35" s="168"/>
      <c r="BDD35" s="168"/>
      <c r="BDE35" s="168"/>
      <c r="BDF35" s="168"/>
      <c r="BDG35" s="168"/>
      <c r="BDH35" s="168"/>
      <c r="BDI35" s="168"/>
      <c r="BDJ35" s="168"/>
      <c r="BDK35" s="168"/>
      <c r="BDL35" s="168"/>
      <c r="BDM35" s="168"/>
      <c r="BDN35" s="168"/>
      <c r="BDO35" s="168"/>
      <c r="BDP35" s="168"/>
      <c r="BDQ35" s="168"/>
      <c r="BDR35" s="168"/>
      <c r="BDS35" s="168"/>
      <c r="BDT35" s="168"/>
      <c r="BDU35" s="168"/>
      <c r="BDV35" s="168"/>
      <c r="BDW35" s="168"/>
      <c r="BDX35" s="168"/>
      <c r="BDY35" s="168"/>
      <c r="BDZ35" s="168"/>
      <c r="BEA35" s="168"/>
      <c r="BEB35" s="168"/>
      <c r="BEC35" s="168"/>
      <c r="BED35" s="168"/>
      <c r="BEE35" s="168"/>
      <c r="BEF35" s="168"/>
      <c r="BEG35" s="168"/>
      <c r="BEH35" s="168"/>
      <c r="BEI35" s="168"/>
      <c r="BEJ35" s="168"/>
      <c r="BEK35" s="168"/>
      <c r="BEL35" s="168"/>
      <c r="BEM35" s="168"/>
      <c r="BEN35" s="168"/>
      <c r="BEO35" s="168"/>
      <c r="BEP35" s="168"/>
      <c r="BEQ35" s="168"/>
      <c r="BER35" s="168"/>
      <c r="BES35" s="168"/>
      <c r="BET35" s="168"/>
      <c r="BEU35" s="168"/>
      <c r="BEV35" s="168"/>
      <c r="BEW35" s="168"/>
      <c r="BEX35" s="168"/>
      <c r="BEY35" s="168"/>
      <c r="BEZ35" s="168"/>
      <c r="BFA35" s="168"/>
      <c r="BFB35" s="168"/>
      <c r="BFC35" s="168"/>
      <c r="BFD35" s="168"/>
      <c r="BFE35" s="168"/>
      <c r="BFF35" s="168"/>
      <c r="BFG35" s="168"/>
      <c r="BFH35" s="168"/>
      <c r="BFI35" s="168"/>
      <c r="BFJ35" s="168"/>
      <c r="BFK35" s="168"/>
      <c r="BFL35" s="168"/>
      <c r="BFM35" s="168"/>
      <c r="BFN35" s="168"/>
      <c r="BFO35" s="168"/>
      <c r="BFP35" s="168"/>
      <c r="BFQ35" s="168"/>
      <c r="BFR35" s="168"/>
      <c r="BFS35" s="168"/>
      <c r="BFT35" s="168"/>
      <c r="BFU35" s="168"/>
      <c r="BFV35" s="168"/>
      <c r="BFW35" s="168"/>
      <c r="BFX35" s="168"/>
      <c r="BFY35" s="168"/>
      <c r="BFZ35" s="168"/>
      <c r="BGA35" s="168"/>
      <c r="BGB35" s="168"/>
      <c r="BGC35" s="168"/>
      <c r="BGD35" s="168"/>
      <c r="BGE35" s="168"/>
      <c r="BGF35" s="168"/>
      <c r="BGG35" s="168"/>
      <c r="BGH35" s="168"/>
      <c r="BGI35" s="168"/>
      <c r="BGJ35" s="168"/>
      <c r="BGK35" s="168"/>
      <c r="BGL35" s="168"/>
      <c r="BGM35" s="168"/>
      <c r="BGN35" s="168"/>
      <c r="BGO35" s="168"/>
      <c r="BGP35" s="168"/>
      <c r="BGQ35" s="168"/>
      <c r="BGR35" s="168"/>
      <c r="BGS35" s="168"/>
      <c r="BGT35" s="168"/>
      <c r="BGU35" s="168"/>
      <c r="BGV35" s="168"/>
      <c r="BGW35" s="168"/>
      <c r="BGX35" s="168"/>
      <c r="BGY35" s="168"/>
      <c r="BGZ35" s="168"/>
      <c r="BHA35" s="168"/>
      <c r="BHB35" s="168"/>
      <c r="BHC35" s="168"/>
      <c r="BHD35" s="168"/>
      <c r="BHE35" s="168"/>
      <c r="BHF35" s="168"/>
      <c r="BHG35" s="168"/>
      <c r="BHH35" s="168"/>
      <c r="BHI35" s="168"/>
      <c r="BHJ35" s="168"/>
      <c r="BHK35" s="168"/>
      <c r="BHL35" s="168"/>
      <c r="BHM35" s="168"/>
      <c r="BHN35" s="168"/>
      <c r="BHO35" s="168"/>
      <c r="BHP35" s="168"/>
      <c r="BHQ35" s="168"/>
      <c r="BHR35" s="168"/>
      <c r="BHS35" s="168"/>
      <c r="BHT35" s="168"/>
      <c r="BHU35" s="168"/>
      <c r="BHV35" s="168"/>
      <c r="BHW35" s="168"/>
      <c r="BHX35" s="168"/>
      <c r="BHY35" s="168"/>
      <c r="BHZ35" s="168"/>
      <c r="BIA35" s="168"/>
      <c r="BIB35" s="168"/>
      <c r="BIC35" s="168"/>
      <c r="BID35" s="168"/>
      <c r="BIE35" s="168"/>
      <c r="BIF35" s="168"/>
      <c r="BIG35" s="168"/>
      <c r="BIH35" s="168"/>
      <c r="BII35" s="168"/>
      <c r="BIJ35" s="168"/>
      <c r="BIK35" s="168"/>
      <c r="BIL35" s="168"/>
      <c r="BIM35" s="168"/>
      <c r="BIN35" s="168"/>
      <c r="BIO35" s="168"/>
      <c r="BIP35" s="168"/>
      <c r="BIQ35" s="168"/>
      <c r="BIR35" s="168"/>
      <c r="BIS35" s="168"/>
      <c r="BIT35" s="168"/>
      <c r="BIU35" s="168"/>
      <c r="BIV35" s="168"/>
      <c r="BIW35" s="168"/>
      <c r="BIX35" s="168"/>
      <c r="BIY35" s="168"/>
      <c r="BIZ35" s="168"/>
      <c r="BJA35" s="168"/>
      <c r="BJB35" s="168"/>
      <c r="BJC35" s="168"/>
      <c r="BJD35" s="168"/>
      <c r="BJE35" s="168"/>
      <c r="BJF35" s="168"/>
      <c r="BJG35" s="168"/>
      <c r="BJH35" s="168"/>
      <c r="BJI35" s="168"/>
      <c r="BJJ35" s="168"/>
      <c r="BJK35" s="168"/>
      <c r="BJL35" s="168"/>
      <c r="BJM35" s="168"/>
      <c r="BJN35" s="168"/>
      <c r="BJO35" s="168"/>
      <c r="BJP35" s="168"/>
      <c r="BJQ35" s="168"/>
      <c r="BJR35" s="168"/>
      <c r="BJS35" s="168"/>
      <c r="BJT35" s="168"/>
      <c r="BJU35" s="168"/>
      <c r="BJV35" s="168"/>
      <c r="BJW35" s="168"/>
      <c r="BJX35" s="168"/>
      <c r="BJY35" s="168"/>
      <c r="BJZ35" s="168"/>
      <c r="BKA35" s="168"/>
      <c r="BKB35" s="168"/>
      <c r="BKC35" s="168"/>
      <c r="BKD35" s="168"/>
      <c r="BKE35" s="168"/>
      <c r="BKF35" s="168"/>
      <c r="BKG35" s="168"/>
      <c r="BKH35" s="168"/>
      <c r="BKI35" s="168"/>
      <c r="BKJ35" s="168"/>
      <c r="BKK35" s="168"/>
      <c r="BKL35" s="168"/>
      <c r="BKM35" s="168"/>
      <c r="BKN35" s="168"/>
      <c r="BKO35" s="168"/>
      <c r="BKP35" s="168"/>
      <c r="BKQ35" s="168"/>
      <c r="BKR35" s="168"/>
      <c r="BKS35" s="168"/>
      <c r="BKT35" s="168"/>
      <c r="BKU35" s="168"/>
      <c r="BKV35" s="168"/>
      <c r="BKW35" s="168"/>
      <c r="BKX35" s="168"/>
      <c r="BKY35" s="168"/>
      <c r="BKZ35" s="168"/>
      <c r="BLA35" s="168"/>
      <c r="BLB35" s="168"/>
      <c r="BLC35" s="168"/>
      <c r="BLD35" s="168"/>
      <c r="BLE35" s="168"/>
      <c r="BLF35" s="168"/>
      <c r="BLG35" s="168"/>
      <c r="BLH35" s="168"/>
      <c r="BLI35" s="168"/>
      <c r="BLJ35" s="168"/>
      <c r="BLK35" s="168"/>
      <c r="BLL35" s="168"/>
      <c r="BLM35" s="168"/>
      <c r="BLN35" s="168"/>
      <c r="BLO35" s="168"/>
      <c r="BLP35" s="168"/>
      <c r="BLQ35" s="168"/>
      <c r="BLR35" s="168"/>
      <c r="BLS35" s="168"/>
      <c r="BLT35" s="168"/>
      <c r="BLU35" s="168"/>
      <c r="BLV35" s="168"/>
      <c r="BLW35" s="168"/>
      <c r="BLX35" s="168"/>
      <c r="BLY35" s="168"/>
      <c r="BLZ35" s="168"/>
      <c r="BMA35" s="168"/>
      <c r="BMB35" s="168"/>
      <c r="BMC35" s="168"/>
      <c r="BMD35" s="168"/>
      <c r="BME35" s="168"/>
      <c r="BMF35" s="168"/>
      <c r="BMG35" s="168"/>
      <c r="BMH35" s="168"/>
      <c r="BMI35" s="168"/>
      <c r="BMJ35" s="168"/>
      <c r="BMK35" s="168"/>
      <c r="BML35" s="168"/>
      <c r="BMM35" s="168"/>
      <c r="BMN35" s="168"/>
      <c r="BMO35" s="168"/>
      <c r="BMP35" s="168"/>
      <c r="BMQ35" s="168"/>
      <c r="BMR35" s="168"/>
      <c r="BMS35" s="168"/>
      <c r="BMT35" s="168"/>
      <c r="BMU35" s="168"/>
      <c r="BMV35" s="168"/>
      <c r="BMW35" s="168"/>
      <c r="BMX35" s="168"/>
      <c r="BMY35" s="168"/>
      <c r="BMZ35" s="168"/>
      <c r="BNA35" s="168"/>
      <c r="BNB35" s="168"/>
      <c r="BNC35" s="168"/>
      <c r="BND35" s="168"/>
      <c r="BNE35" s="168"/>
      <c r="BNF35" s="168"/>
      <c r="BNG35" s="168"/>
      <c r="BNH35" s="168"/>
      <c r="BNI35" s="168"/>
      <c r="BNJ35" s="168"/>
      <c r="BNK35" s="168"/>
      <c r="BNL35" s="168"/>
      <c r="BNM35" s="168"/>
      <c r="BNN35" s="168"/>
      <c r="BNO35" s="168"/>
      <c r="BNP35" s="168"/>
      <c r="BNQ35" s="168"/>
      <c r="BNR35" s="168"/>
      <c r="BNS35" s="168"/>
      <c r="BNT35" s="168"/>
      <c r="BNU35" s="168"/>
      <c r="BNV35" s="168"/>
      <c r="BNW35" s="168"/>
      <c r="BNX35" s="168"/>
      <c r="BNY35" s="168"/>
      <c r="BNZ35" s="168"/>
      <c r="BOA35" s="168"/>
      <c r="BOB35" s="168"/>
      <c r="BOC35" s="168"/>
      <c r="BOD35" s="168"/>
      <c r="BOE35" s="168"/>
      <c r="BOF35" s="168"/>
      <c r="BOG35" s="168"/>
      <c r="BOH35" s="168"/>
      <c r="BOI35" s="168"/>
      <c r="BOJ35" s="168"/>
      <c r="BOK35" s="168"/>
      <c r="BOL35" s="168"/>
      <c r="BOM35" s="168"/>
      <c r="BON35" s="168"/>
      <c r="BOO35" s="168"/>
      <c r="BOP35" s="168"/>
      <c r="BOQ35" s="168"/>
      <c r="BOR35" s="168"/>
      <c r="BOS35" s="168"/>
      <c r="BOT35" s="168"/>
      <c r="BOU35" s="168"/>
      <c r="BOV35" s="168"/>
      <c r="BOW35" s="168"/>
      <c r="BOX35" s="168"/>
      <c r="BOY35" s="168"/>
      <c r="BOZ35" s="168"/>
      <c r="BPA35" s="168"/>
      <c r="BPB35" s="168"/>
      <c r="BPC35" s="168"/>
      <c r="BPD35" s="168"/>
      <c r="BPE35" s="168"/>
      <c r="BPF35" s="168"/>
      <c r="BPG35" s="168"/>
      <c r="BPH35" s="168"/>
      <c r="BPI35" s="168"/>
      <c r="BPJ35" s="168"/>
      <c r="BPK35" s="168"/>
      <c r="BPL35" s="168"/>
      <c r="BPM35" s="168"/>
      <c r="BPN35" s="168"/>
      <c r="BPO35" s="168"/>
      <c r="BPP35" s="168"/>
      <c r="BPQ35" s="168"/>
      <c r="BPR35" s="168"/>
      <c r="BPS35" s="168"/>
      <c r="BPT35" s="168"/>
      <c r="BPU35" s="168"/>
      <c r="BPV35" s="168"/>
      <c r="BPW35" s="168"/>
      <c r="BPX35" s="168"/>
      <c r="BPY35" s="168"/>
      <c r="BPZ35" s="168"/>
      <c r="BQA35" s="168"/>
      <c r="BQB35" s="168"/>
      <c r="BQC35" s="168"/>
      <c r="BQD35" s="168"/>
      <c r="BQE35" s="168"/>
      <c r="BQF35" s="168"/>
      <c r="BQG35" s="168"/>
      <c r="BQH35" s="168"/>
      <c r="BQI35" s="168"/>
      <c r="BQJ35" s="168"/>
      <c r="BQK35" s="168"/>
      <c r="BQL35" s="168"/>
      <c r="BQM35" s="168"/>
      <c r="BQN35" s="168"/>
      <c r="BQO35" s="168"/>
      <c r="BQP35" s="168"/>
      <c r="BQQ35" s="168"/>
      <c r="BQR35" s="168"/>
      <c r="BQS35" s="168"/>
      <c r="BQT35" s="168"/>
      <c r="BQU35" s="168"/>
      <c r="BQV35" s="168"/>
      <c r="BQW35" s="168"/>
      <c r="BQX35" s="168"/>
      <c r="BQY35" s="168"/>
      <c r="BQZ35" s="168"/>
      <c r="BRA35" s="168"/>
      <c r="BRB35" s="168"/>
      <c r="BRC35" s="168"/>
      <c r="BRD35" s="168"/>
      <c r="BRE35" s="168"/>
      <c r="BRF35" s="168"/>
      <c r="BRG35" s="168"/>
      <c r="BRH35" s="168"/>
      <c r="BRI35" s="168"/>
      <c r="BRJ35" s="168"/>
      <c r="BRK35" s="168"/>
      <c r="BRL35" s="168"/>
      <c r="BRM35" s="168"/>
      <c r="BRN35" s="168"/>
      <c r="BRO35" s="168"/>
      <c r="BRP35" s="168"/>
      <c r="BRQ35" s="168"/>
      <c r="BRR35" s="168"/>
      <c r="BRS35" s="168"/>
      <c r="BRT35" s="168"/>
      <c r="BRU35" s="168"/>
      <c r="BRV35" s="168"/>
      <c r="BRW35" s="168"/>
      <c r="BRX35" s="168"/>
      <c r="BRY35" s="168"/>
      <c r="BRZ35" s="168"/>
      <c r="BSA35" s="168"/>
      <c r="BSB35" s="168"/>
      <c r="BSC35" s="168"/>
      <c r="BSD35" s="168"/>
      <c r="BSE35" s="168"/>
      <c r="BSF35" s="168"/>
      <c r="BSG35" s="168"/>
      <c r="BSH35" s="168"/>
      <c r="BSI35" s="168"/>
      <c r="BSJ35" s="168"/>
      <c r="BSK35" s="168"/>
      <c r="BSL35" s="168"/>
      <c r="BSM35" s="168"/>
      <c r="BSN35" s="168"/>
      <c r="BSO35" s="168"/>
      <c r="BSP35" s="168"/>
      <c r="BSQ35" s="168"/>
      <c r="BSR35" s="168"/>
      <c r="BSS35" s="168"/>
      <c r="BST35" s="168"/>
      <c r="BSU35" s="168"/>
      <c r="BSV35" s="168"/>
      <c r="BSW35" s="168"/>
      <c r="BSX35" s="168"/>
      <c r="BSY35" s="168"/>
      <c r="BSZ35" s="168"/>
      <c r="BTA35" s="168"/>
      <c r="BTB35" s="168"/>
      <c r="BTC35" s="168"/>
      <c r="BTD35" s="168"/>
      <c r="BTE35" s="168"/>
      <c r="BTF35" s="168"/>
      <c r="BTG35" s="168"/>
      <c r="BTH35" s="168"/>
      <c r="BTI35" s="168"/>
      <c r="BTJ35" s="168"/>
      <c r="BTK35" s="168"/>
      <c r="BTL35" s="168"/>
      <c r="BTM35" s="168"/>
      <c r="BTN35" s="168"/>
      <c r="BTO35" s="168"/>
      <c r="BTP35" s="168"/>
      <c r="BTQ35" s="168"/>
      <c r="BTR35" s="168"/>
      <c r="BTS35" s="168"/>
      <c r="BTT35" s="168"/>
      <c r="BTU35" s="168"/>
      <c r="BTV35" s="168"/>
      <c r="BTW35" s="168"/>
      <c r="BTX35" s="168"/>
      <c r="BTY35" s="168"/>
      <c r="BTZ35" s="168"/>
      <c r="BUA35" s="168"/>
      <c r="BUB35" s="168"/>
      <c r="BUC35" s="168"/>
      <c r="BUD35" s="168"/>
      <c r="BUE35" s="168"/>
      <c r="BUF35" s="168"/>
      <c r="BUG35" s="168"/>
      <c r="BUH35" s="168"/>
      <c r="BUI35" s="168"/>
      <c r="BUJ35" s="168"/>
      <c r="BUK35" s="168"/>
      <c r="BUL35" s="168"/>
      <c r="BUM35" s="168"/>
      <c r="BUN35" s="168"/>
      <c r="BUO35" s="168"/>
      <c r="BUP35" s="168"/>
      <c r="BUQ35" s="168"/>
      <c r="BUR35" s="168"/>
      <c r="BUS35" s="168"/>
      <c r="BUT35" s="168"/>
      <c r="BUU35" s="168"/>
      <c r="BUV35" s="168"/>
      <c r="BUW35" s="168"/>
      <c r="BUX35" s="168"/>
      <c r="BUY35" s="168"/>
      <c r="BUZ35" s="168"/>
      <c r="BVA35" s="168"/>
      <c r="BVB35" s="168"/>
      <c r="BVC35" s="168"/>
      <c r="BVD35" s="168"/>
      <c r="BVE35" s="168"/>
      <c r="BVF35" s="168"/>
      <c r="BVG35" s="168"/>
      <c r="BVH35" s="168"/>
      <c r="BVI35" s="168"/>
      <c r="BVJ35" s="168"/>
      <c r="BVK35" s="168"/>
      <c r="BVL35" s="168"/>
      <c r="BVM35" s="168"/>
      <c r="BVN35" s="168"/>
      <c r="BVO35" s="168"/>
      <c r="BVP35" s="168"/>
      <c r="BVQ35" s="168"/>
      <c r="BVR35" s="168"/>
      <c r="BVS35" s="168"/>
      <c r="BVT35" s="168"/>
      <c r="BVU35" s="168"/>
      <c r="BVV35" s="168"/>
      <c r="BVW35" s="168"/>
      <c r="BVX35" s="168"/>
      <c r="BVY35" s="168"/>
      <c r="BVZ35" s="168"/>
      <c r="BWA35" s="168"/>
      <c r="BWB35" s="168"/>
      <c r="BWC35" s="168"/>
      <c r="BWD35" s="168"/>
      <c r="BWE35" s="168"/>
      <c r="BWF35" s="168"/>
      <c r="BWG35" s="168"/>
      <c r="BWH35" s="168"/>
      <c r="BWI35" s="168"/>
      <c r="BWJ35" s="168"/>
      <c r="BWK35" s="168"/>
      <c r="BWL35" s="168"/>
      <c r="BWM35" s="168"/>
      <c r="BWN35" s="168"/>
      <c r="BWO35" s="168"/>
      <c r="BWP35" s="168"/>
      <c r="BWQ35" s="168"/>
      <c r="BWR35" s="168"/>
      <c r="BWS35" s="168"/>
      <c r="BWT35" s="168"/>
      <c r="BWU35" s="168"/>
      <c r="BWV35" s="168"/>
      <c r="BWW35" s="168"/>
      <c r="BWX35" s="168"/>
      <c r="BWY35" s="168"/>
      <c r="BWZ35" s="168"/>
      <c r="BXA35" s="168"/>
      <c r="BXB35" s="168"/>
      <c r="BXC35" s="168"/>
      <c r="BXD35" s="168"/>
      <c r="BXE35" s="168"/>
      <c r="BXF35" s="168"/>
      <c r="BXG35" s="168"/>
      <c r="BXH35" s="168"/>
      <c r="BXI35" s="168"/>
      <c r="BXJ35" s="168"/>
      <c r="BXK35" s="168"/>
      <c r="BXL35" s="168"/>
      <c r="BXM35" s="168"/>
      <c r="BXN35" s="168"/>
      <c r="BXO35" s="168"/>
      <c r="BXP35" s="168"/>
      <c r="BXQ35" s="168"/>
      <c r="BXR35" s="168"/>
      <c r="BXS35" s="168"/>
      <c r="BXT35" s="168"/>
      <c r="BXU35" s="168"/>
      <c r="BXV35" s="168"/>
      <c r="BXW35" s="168"/>
      <c r="BXX35" s="168"/>
      <c r="BXY35" s="168"/>
      <c r="BXZ35" s="168"/>
      <c r="BYA35" s="168"/>
      <c r="BYB35" s="168"/>
      <c r="BYC35" s="168"/>
      <c r="BYD35" s="168"/>
      <c r="BYE35" s="168"/>
      <c r="BYF35" s="168"/>
      <c r="BYG35" s="168"/>
      <c r="BYH35" s="168"/>
      <c r="BYI35" s="168"/>
      <c r="BYJ35" s="168"/>
      <c r="BYK35" s="168"/>
      <c r="BYL35" s="168"/>
      <c r="BYM35" s="168"/>
      <c r="BYN35" s="168"/>
      <c r="BYO35" s="168"/>
      <c r="BYP35" s="168"/>
      <c r="BYQ35" s="168"/>
      <c r="BYR35" s="168"/>
      <c r="BYS35" s="168"/>
      <c r="BYT35" s="168"/>
      <c r="BYU35" s="168"/>
      <c r="BYV35" s="168"/>
      <c r="BYW35" s="168"/>
      <c r="BYX35" s="168"/>
      <c r="BYY35" s="168"/>
      <c r="BYZ35" s="168"/>
      <c r="BZA35" s="168"/>
      <c r="BZB35" s="168"/>
      <c r="BZC35" s="168"/>
      <c r="BZD35" s="168"/>
      <c r="BZE35" s="168"/>
      <c r="BZF35" s="168"/>
      <c r="BZG35" s="168"/>
      <c r="BZH35" s="168"/>
      <c r="BZI35" s="168"/>
      <c r="BZJ35" s="168"/>
      <c r="BZK35" s="168"/>
      <c r="BZL35" s="168"/>
      <c r="BZM35" s="168"/>
      <c r="BZN35" s="168"/>
      <c r="BZO35" s="168"/>
      <c r="BZP35" s="168"/>
      <c r="BZQ35" s="168"/>
      <c r="BZR35" s="168"/>
      <c r="BZS35" s="168"/>
      <c r="BZT35" s="168"/>
      <c r="BZU35" s="168"/>
      <c r="BZV35" s="168"/>
      <c r="BZW35" s="168"/>
      <c r="BZX35" s="168"/>
      <c r="BZY35" s="168"/>
      <c r="BZZ35" s="168"/>
      <c r="CAA35" s="168"/>
      <c r="CAB35" s="168"/>
      <c r="CAC35" s="168"/>
      <c r="CAD35" s="168"/>
      <c r="CAE35" s="168"/>
      <c r="CAF35" s="168"/>
      <c r="CAG35" s="168"/>
      <c r="CAH35" s="168"/>
      <c r="CAI35" s="168"/>
      <c r="CAJ35" s="168"/>
      <c r="CAK35" s="168"/>
      <c r="CAL35" s="168"/>
      <c r="CAM35" s="168"/>
      <c r="CAN35" s="168"/>
      <c r="CAO35" s="168"/>
      <c r="CAP35" s="168"/>
      <c r="CAQ35" s="168"/>
      <c r="CAR35" s="168"/>
      <c r="CAS35" s="168"/>
      <c r="CAT35" s="168"/>
      <c r="CAU35" s="168"/>
      <c r="CAV35" s="168"/>
      <c r="CAW35" s="168"/>
      <c r="CAX35" s="168"/>
      <c r="CAY35" s="168"/>
      <c r="CAZ35" s="168"/>
      <c r="CBA35" s="168"/>
      <c r="CBB35" s="168"/>
      <c r="CBC35" s="168"/>
      <c r="CBD35" s="168"/>
      <c r="CBE35" s="168"/>
      <c r="CBF35" s="168"/>
      <c r="CBG35" s="168"/>
      <c r="CBH35" s="168"/>
      <c r="CBI35" s="168"/>
      <c r="CBJ35" s="168"/>
      <c r="CBK35" s="168"/>
      <c r="CBL35" s="168"/>
      <c r="CBM35" s="168"/>
      <c r="CBN35" s="168"/>
      <c r="CBO35" s="168"/>
      <c r="CBP35" s="168"/>
      <c r="CBQ35" s="168"/>
      <c r="CBR35" s="168"/>
      <c r="CBS35" s="168"/>
      <c r="CBT35" s="168"/>
      <c r="CBU35" s="168"/>
      <c r="CBV35" s="168"/>
      <c r="CBW35" s="168"/>
      <c r="CBX35" s="168"/>
      <c r="CBY35" s="168"/>
      <c r="CBZ35" s="168"/>
      <c r="CCA35" s="168"/>
      <c r="CCB35" s="168"/>
      <c r="CCC35" s="168"/>
      <c r="CCD35" s="168"/>
      <c r="CCE35" s="168"/>
      <c r="CCF35" s="168"/>
      <c r="CCG35" s="168"/>
      <c r="CCH35" s="168"/>
      <c r="CCI35" s="168"/>
      <c r="CCJ35" s="168"/>
      <c r="CCK35" s="168"/>
      <c r="CCL35" s="168"/>
      <c r="CCM35" s="168"/>
      <c r="CCN35" s="168"/>
      <c r="CCO35" s="168"/>
      <c r="CCP35" s="168"/>
      <c r="CCQ35" s="168"/>
      <c r="CCR35" s="168"/>
      <c r="CCS35" s="168"/>
      <c r="CCT35" s="168"/>
      <c r="CCU35" s="168"/>
      <c r="CCV35" s="168"/>
      <c r="CCW35" s="168"/>
      <c r="CCX35" s="168"/>
      <c r="CCY35" s="168"/>
      <c r="CCZ35" s="168"/>
      <c r="CDA35" s="168"/>
      <c r="CDB35" s="168"/>
      <c r="CDC35" s="168"/>
      <c r="CDD35" s="168"/>
      <c r="CDE35" s="168"/>
      <c r="CDF35" s="168"/>
      <c r="CDG35" s="168"/>
      <c r="CDH35" s="168"/>
      <c r="CDI35" s="168"/>
      <c r="CDJ35" s="168"/>
      <c r="CDK35" s="168"/>
      <c r="CDL35" s="168"/>
      <c r="CDM35" s="168"/>
      <c r="CDN35" s="168"/>
      <c r="CDO35" s="168"/>
      <c r="CDP35" s="168"/>
      <c r="CDQ35" s="168"/>
      <c r="CDR35" s="168"/>
      <c r="CDS35" s="168"/>
      <c r="CDT35" s="168"/>
      <c r="CDU35" s="168"/>
      <c r="CDV35" s="168"/>
      <c r="CDW35" s="168"/>
      <c r="CDX35" s="168"/>
      <c r="CDY35" s="168"/>
      <c r="CDZ35" s="168"/>
      <c r="CEA35" s="168"/>
      <c r="CEB35" s="168"/>
      <c r="CEC35" s="168"/>
      <c r="CED35" s="168"/>
      <c r="CEE35" s="168"/>
      <c r="CEF35" s="168"/>
      <c r="CEG35" s="168"/>
      <c r="CEH35" s="168"/>
      <c r="CEI35" s="168"/>
      <c r="CEJ35" s="168"/>
      <c r="CEK35" s="168"/>
      <c r="CEL35" s="168"/>
      <c r="CEM35" s="168"/>
      <c r="CEN35" s="168"/>
      <c r="CEO35" s="168"/>
      <c r="CEP35" s="168"/>
      <c r="CEQ35" s="168"/>
      <c r="CER35" s="168"/>
      <c r="CES35" s="168"/>
      <c r="CET35" s="168"/>
      <c r="CEU35" s="168"/>
      <c r="CEV35" s="168"/>
      <c r="CEW35" s="168"/>
      <c r="CEX35" s="168"/>
      <c r="CEY35" s="168"/>
      <c r="CEZ35" s="168"/>
      <c r="CFA35" s="168"/>
      <c r="CFB35" s="168"/>
      <c r="CFC35" s="168"/>
      <c r="CFD35" s="168"/>
      <c r="CFE35" s="168"/>
      <c r="CFF35" s="168"/>
      <c r="CFG35" s="168"/>
      <c r="CFH35" s="168"/>
      <c r="CFI35" s="168"/>
      <c r="CFJ35" s="168"/>
      <c r="CFK35" s="168"/>
      <c r="CFL35" s="168"/>
      <c r="CFM35" s="168"/>
      <c r="CFN35" s="168"/>
      <c r="CFO35" s="168"/>
      <c r="CFP35" s="168"/>
      <c r="CFQ35" s="168"/>
      <c r="CFR35" s="168"/>
      <c r="CFS35" s="168"/>
      <c r="CFT35" s="168"/>
      <c r="CFU35" s="168"/>
      <c r="CFV35" s="168"/>
      <c r="CFW35" s="168"/>
      <c r="CFX35" s="168"/>
      <c r="CFY35" s="168"/>
      <c r="CFZ35" s="168"/>
      <c r="CGA35" s="168"/>
      <c r="CGB35" s="168"/>
      <c r="CGC35" s="168"/>
      <c r="CGD35" s="168"/>
      <c r="CGE35" s="168"/>
      <c r="CGF35" s="168"/>
      <c r="CGG35" s="168"/>
      <c r="CGH35" s="168"/>
      <c r="CGI35" s="168"/>
      <c r="CGJ35" s="168"/>
      <c r="CGK35" s="168"/>
      <c r="CGL35" s="168"/>
      <c r="CGM35" s="168"/>
      <c r="CGN35" s="168"/>
      <c r="CGO35" s="168"/>
      <c r="CGP35" s="168"/>
      <c r="CGQ35" s="168"/>
      <c r="CGR35" s="168"/>
      <c r="CGS35" s="168"/>
      <c r="CGT35" s="168"/>
      <c r="CGU35" s="168"/>
      <c r="CGV35" s="168"/>
      <c r="CGW35" s="168"/>
      <c r="CGX35" s="168"/>
      <c r="CGY35" s="168"/>
      <c r="CGZ35" s="168"/>
      <c r="CHA35" s="168"/>
      <c r="CHB35" s="168"/>
      <c r="CHC35" s="168"/>
      <c r="CHD35" s="168"/>
      <c r="CHE35" s="168"/>
      <c r="CHF35" s="168"/>
      <c r="CHG35" s="168"/>
      <c r="CHH35" s="168"/>
      <c r="CHI35" s="168"/>
      <c r="CHJ35" s="168"/>
      <c r="CHK35" s="168"/>
      <c r="CHL35" s="168"/>
      <c r="CHM35" s="168"/>
      <c r="CHN35" s="168"/>
      <c r="CHO35" s="168"/>
      <c r="CHP35" s="168"/>
      <c r="CHQ35" s="168"/>
      <c r="CHR35" s="168"/>
      <c r="CHS35" s="168"/>
      <c r="CHT35" s="168"/>
      <c r="CHU35" s="168"/>
      <c r="CHV35" s="168"/>
      <c r="CHW35" s="168"/>
      <c r="CHX35" s="168"/>
      <c r="CHY35" s="168"/>
      <c r="CHZ35" s="168"/>
      <c r="CIA35" s="168"/>
      <c r="CIB35" s="168"/>
      <c r="CIC35" s="168"/>
      <c r="CID35" s="168"/>
      <c r="CIE35" s="168"/>
      <c r="CIF35" s="168"/>
      <c r="CIG35" s="168"/>
      <c r="CIH35" s="168"/>
      <c r="CII35" s="168"/>
      <c r="CIJ35" s="168"/>
      <c r="CIK35" s="168"/>
      <c r="CIL35" s="168"/>
      <c r="CIM35" s="168"/>
      <c r="CIN35" s="168"/>
      <c r="CIO35" s="168"/>
      <c r="CIP35" s="168"/>
      <c r="CIQ35" s="168"/>
      <c r="CIR35" s="168"/>
      <c r="CIS35" s="168"/>
      <c r="CIT35" s="168"/>
      <c r="CIU35" s="168"/>
      <c r="CIV35" s="168"/>
      <c r="CIW35" s="168"/>
      <c r="CIX35" s="168"/>
      <c r="CIY35" s="168"/>
      <c r="CIZ35" s="168"/>
      <c r="CJA35" s="168"/>
      <c r="CJB35" s="168"/>
      <c r="CJC35" s="168"/>
      <c r="CJD35" s="168"/>
      <c r="CJE35" s="168"/>
      <c r="CJF35" s="168"/>
      <c r="CJG35" s="168"/>
      <c r="CJH35" s="168"/>
      <c r="CJI35" s="168"/>
      <c r="CJJ35" s="168"/>
      <c r="CJK35" s="168"/>
      <c r="CJL35" s="168"/>
      <c r="CJM35" s="168"/>
      <c r="CJN35" s="168"/>
      <c r="CJO35" s="168"/>
      <c r="CJP35" s="168"/>
      <c r="CJQ35" s="168"/>
      <c r="CJR35" s="168"/>
      <c r="CJS35" s="168"/>
      <c r="CJT35" s="168"/>
      <c r="CJU35" s="168"/>
      <c r="CJV35" s="168"/>
      <c r="CJW35" s="168"/>
      <c r="CJX35" s="168"/>
      <c r="CJY35" s="168"/>
      <c r="CJZ35" s="168"/>
      <c r="CKA35" s="168"/>
      <c r="CKB35" s="168"/>
      <c r="CKC35" s="168"/>
      <c r="CKD35" s="168"/>
      <c r="CKE35" s="168"/>
      <c r="CKF35" s="168"/>
      <c r="CKG35" s="168"/>
      <c r="CKH35" s="168"/>
      <c r="CKI35" s="168"/>
      <c r="CKJ35" s="168"/>
      <c r="CKK35" s="168"/>
      <c r="CKL35" s="168"/>
      <c r="CKM35" s="168"/>
      <c r="CKN35" s="168"/>
      <c r="CKO35" s="168"/>
      <c r="CKP35" s="168"/>
      <c r="CKQ35" s="168"/>
      <c r="CKR35" s="168"/>
      <c r="CKS35" s="168"/>
      <c r="CKT35" s="168"/>
      <c r="CKU35" s="168"/>
      <c r="CKV35" s="168"/>
      <c r="CKW35" s="168"/>
      <c r="CKX35" s="168"/>
      <c r="CKY35" s="168"/>
      <c r="CKZ35" s="168"/>
      <c r="CLA35" s="168"/>
      <c r="CLB35" s="168"/>
      <c r="CLC35" s="168"/>
      <c r="CLD35" s="168"/>
      <c r="CLE35" s="168"/>
      <c r="CLF35" s="168"/>
      <c r="CLG35" s="168"/>
      <c r="CLH35" s="168"/>
      <c r="CLI35" s="168"/>
      <c r="CLJ35" s="168"/>
      <c r="CLK35" s="168"/>
      <c r="CLL35" s="168"/>
      <c r="CLM35" s="168"/>
      <c r="CLN35" s="168"/>
      <c r="CLO35" s="168"/>
      <c r="CLP35" s="168"/>
      <c r="CLQ35" s="168"/>
      <c r="CLR35" s="168"/>
      <c r="CLS35" s="168"/>
      <c r="CLT35" s="168"/>
      <c r="CLU35" s="168"/>
      <c r="CLV35" s="168"/>
      <c r="CLW35" s="168"/>
      <c r="CLX35" s="168"/>
      <c r="CLY35" s="168"/>
      <c r="CLZ35" s="168"/>
      <c r="CMA35" s="168"/>
      <c r="CMB35" s="168"/>
      <c r="CMC35" s="168"/>
      <c r="CMD35" s="168"/>
      <c r="CME35" s="168"/>
      <c r="CMF35" s="168"/>
      <c r="CMG35" s="168"/>
      <c r="CMH35" s="168"/>
      <c r="CMI35" s="168"/>
      <c r="CMJ35" s="168"/>
      <c r="CMK35" s="168"/>
      <c r="CML35" s="168"/>
      <c r="CMM35" s="168"/>
      <c r="CMN35" s="168"/>
      <c r="CMO35" s="168"/>
      <c r="CMP35" s="168"/>
      <c r="CMQ35" s="168"/>
      <c r="CMR35" s="168"/>
      <c r="CMS35" s="168"/>
      <c r="CMT35" s="168"/>
      <c r="CMU35" s="168"/>
      <c r="CMV35" s="168"/>
      <c r="CMW35" s="168"/>
      <c r="CMX35" s="168"/>
      <c r="CMY35" s="168"/>
      <c r="CMZ35" s="168"/>
      <c r="CNA35" s="168"/>
      <c r="CNB35" s="168"/>
      <c r="CNC35" s="168"/>
      <c r="CND35" s="168"/>
      <c r="CNE35" s="168"/>
      <c r="CNF35" s="168"/>
      <c r="CNG35" s="168"/>
      <c r="CNH35" s="168"/>
      <c r="CNI35" s="168"/>
      <c r="CNJ35" s="168"/>
      <c r="CNK35" s="168"/>
      <c r="CNL35" s="168"/>
      <c r="CNM35" s="168"/>
      <c r="CNN35" s="168"/>
      <c r="CNO35" s="168"/>
      <c r="CNP35" s="168"/>
      <c r="CNQ35" s="168"/>
      <c r="CNR35" s="168"/>
      <c r="CNS35" s="168"/>
      <c r="CNT35" s="168"/>
      <c r="CNU35" s="168"/>
      <c r="CNV35" s="168"/>
      <c r="CNW35" s="168"/>
      <c r="CNX35" s="168"/>
      <c r="CNY35" s="168"/>
      <c r="CNZ35" s="168"/>
      <c r="COA35" s="168"/>
      <c r="COB35" s="168"/>
      <c r="COC35" s="168"/>
      <c r="COD35" s="168"/>
      <c r="COE35" s="168"/>
      <c r="COF35" s="168"/>
      <c r="COG35" s="168"/>
      <c r="COH35" s="168"/>
      <c r="COI35" s="168"/>
      <c r="COJ35" s="168"/>
      <c r="COK35" s="168"/>
      <c r="COL35" s="168"/>
      <c r="COM35" s="168"/>
      <c r="CON35" s="168"/>
      <c r="COO35" s="168"/>
      <c r="COP35" s="168"/>
      <c r="COQ35" s="168"/>
      <c r="COR35" s="168"/>
      <c r="COS35" s="168"/>
      <c r="COT35" s="168"/>
      <c r="COU35" s="168"/>
      <c r="COV35" s="168"/>
      <c r="COW35" s="168"/>
      <c r="COX35" s="168"/>
      <c r="COY35" s="168"/>
      <c r="COZ35" s="168"/>
      <c r="CPA35" s="168"/>
      <c r="CPB35" s="168"/>
      <c r="CPC35" s="168"/>
      <c r="CPD35" s="168"/>
      <c r="CPE35" s="168"/>
      <c r="CPF35" s="168"/>
      <c r="CPG35" s="168"/>
      <c r="CPH35" s="168"/>
      <c r="CPI35" s="168"/>
      <c r="CPJ35" s="168"/>
      <c r="CPK35" s="168"/>
      <c r="CPL35" s="168"/>
      <c r="CPM35" s="168"/>
      <c r="CPN35" s="168"/>
      <c r="CPO35" s="168"/>
      <c r="CPP35" s="168"/>
      <c r="CPQ35" s="168"/>
      <c r="CPR35" s="168"/>
      <c r="CPS35" s="168"/>
      <c r="CPT35" s="168"/>
      <c r="CPU35" s="168"/>
      <c r="CPV35" s="168"/>
      <c r="CPW35" s="168"/>
      <c r="CPX35" s="168"/>
      <c r="CPY35" s="168"/>
      <c r="CPZ35" s="168"/>
      <c r="CQA35" s="168"/>
      <c r="CQB35" s="168"/>
      <c r="CQC35" s="168"/>
      <c r="CQD35" s="168"/>
      <c r="CQE35" s="168"/>
      <c r="CQF35" s="168"/>
      <c r="CQG35" s="168"/>
      <c r="CQH35" s="168"/>
      <c r="CQI35" s="168"/>
      <c r="CQJ35" s="168"/>
      <c r="CQK35" s="168"/>
      <c r="CQL35" s="168"/>
      <c r="CQM35" s="168"/>
      <c r="CQN35" s="168"/>
      <c r="CQO35" s="168"/>
      <c r="CQP35" s="168"/>
      <c r="CQQ35" s="168"/>
      <c r="CQR35" s="168"/>
      <c r="CQS35" s="168"/>
      <c r="CQT35" s="168"/>
      <c r="CQU35" s="168"/>
      <c r="CQV35" s="168"/>
      <c r="CQW35" s="168"/>
      <c r="CQX35" s="168"/>
      <c r="CQY35" s="168"/>
      <c r="CQZ35" s="168"/>
      <c r="CRA35" s="168"/>
      <c r="CRB35" s="168"/>
      <c r="CRC35" s="168"/>
      <c r="CRD35" s="168"/>
      <c r="CRE35" s="168"/>
      <c r="CRF35" s="168"/>
      <c r="CRG35" s="168"/>
      <c r="CRH35" s="168"/>
      <c r="CRI35" s="168"/>
      <c r="CRJ35" s="168"/>
      <c r="CRK35" s="168"/>
      <c r="CRL35" s="168"/>
      <c r="CRM35" s="168"/>
      <c r="CRN35" s="168"/>
      <c r="CRO35" s="168"/>
      <c r="CRP35" s="168"/>
      <c r="CRQ35" s="168"/>
      <c r="CRR35" s="168"/>
      <c r="CRS35" s="168"/>
      <c r="CRT35" s="168"/>
      <c r="CRU35" s="168"/>
      <c r="CRV35" s="168"/>
      <c r="CRW35" s="168"/>
      <c r="CRX35" s="168"/>
      <c r="CRY35" s="168"/>
      <c r="CRZ35" s="168"/>
      <c r="CSA35" s="168"/>
      <c r="CSB35" s="168"/>
      <c r="CSC35" s="168"/>
      <c r="CSD35" s="168"/>
      <c r="CSE35" s="168"/>
      <c r="CSF35" s="168"/>
      <c r="CSG35" s="168"/>
      <c r="CSH35" s="168"/>
      <c r="CSI35" s="168"/>
      <c r="CSJ35" s="168"/>
      <c r="CSK35" s="168"/>
      <c r="CSL35" s="168"/>
      <c r="CSM35" s="168"/>
      <c r="CSN35" s="168"/>
      <c r="CSO35" s="168"/>
      <c r="CSP35" s="168"/>
      <c r="CSQ35" s="168"/>
      <c r="CSR35" s="168"/>
      <c r="CSS35" s="168"/>
      <c r="CST35" s="168"/>
      <c r="CSU35" s="168"/>
      <c r="CSV35" s="168"/>
      <c r="CSW35" s="168"/>
      <c r="CSX35" s="168"/>
      <c r="CSY35" s="168"/>
      <c r="CSZ35" s="168"/>
      <c r="CTA35" s="168"/>
      <c r="CTB35" s="168"/>
      <c r="CTC35" s="168"/>
      <c r="CTD35" s="168"/>
      <c r="CTE35" s="168"/>
      <c r="CTF35" s="168"/>
      <c r="CTG35" s="168"/>
      <c r="CTH35" s="168"/>
      <c r="CTI35" s="168"/>
      <c r="CTJ35" s="168"/>
      <c r="CTK35" s="168"/>
      <c r="CTL35" s="168"/>
      <c r="CTM35" s="168"/>
      <c r="CTN35" s="168"/>
      <c r="CTO35" s="168"/>
      <c r="CTP35" s="168"/>
      <c r="CTQ35" s="168"/>
      <c r="CTR35" s="168"/>
      <c r="CTS35" s="168"/>
      <c r="CTT35" s="168"/>
      <c r="CTU35" s="168"/>
      <c r="CTV35" s="168"/>
      <c r="CTW35" s="168"/>
      <c r="CTX35" s="168"/>
      <c r="CTY35" s="168"/>
      <c r="CTZ35" s="168"/>
      <c r="CUA35" s="168"/>
      <c r="CUB35" s="168"/>
      <c r="CUC35" s="168"/>
      <c r="CUD35" s="168"/>
      <c r="CUE35" s="168"/>
      <c r="CUF35" s="168"/>
      <c r="CUG35" s="168"/>
      <c r="CUH35" s="168"/>
      <c r="CUI35" s="168"/>
      <c r="CUJ35" s="168"/>
      <c r="CUK35" s="168"/>
      <c r="CUL35" s="168"/>
      <c r="CUM35" s="168"/>
      <c r="CUN35" s="168"/>
      <c r="CUO35" s="168"/>
      <c r="CUP35" s="168"/>
      <c r="CUQ35" s="168"/>
      <c r="CUR35" s="168"/>
      <c r="CUS35" s="168"/>
      <c r="CUT35" s="168"/>
      <c r="CUU35" s="168"/>
      <c r="CUV35" s="168"/>
      <c r="CUW35" s="168"/>
      <c r="CUX35" s="168"/>
      <c r="CUY35" s="168"/>
      <c r="CUZ35" s="168"/>
      <c r="CVA35" s="168"/>
      <c r="CVB35" s="168"/>
      <c r="CVC35" s="168"/>
      <c r="CVD35" s="168"/>
      <c r="CVE35" s="168"/>
      <c r="CVF35" s="168"/>
      <c r="CVG35" s="168"/>
      <c r="CVH35" s="168"/>
      <c r="CVI35" s="168"/>
      <c r="CVJ35" s="168"/>
      <c r="CVK35" s="168"/>
      <c r="CVL35" s="168"/>
      <c r="CVM35" s="168"/>
      <c r="CVN35" s="168"/>
      <c r="CVO35" s="168"/>
      <c r="CVP35" s="168"/>
      <c r="CVQ35" s="168"/>
      <c r="CVR35" s="168"/>
      <c r="CVS35" s="168"/>
      <c r="CVT35" s="168"/>
      <c r="CVU35" s="168"/>
      <c r="CVV35" s="168"/>
      <c r="CVW35" s="168"/>
      <c r="CVX35" s="168"/>
      <c r="CVY35" s="168"/>
      <c r="CVZ35" s="168"/>
      <c r="CWA35" s="168"/>
      <c r="CWB35" s="168"/>
      <c r="CWC35" s="168"/>
      <c r="CWD35" s="168"/>
      <c r="CWE35" s="168"/>
      <c r="CWF35" s="168"/>
      <c r="CWG35" s="168"/>
      <c r="CWH35" s="168"/>
      <c r="CWI35" s="168"/>
      <c r="CWJ35" s="168"/>
      <c r="CWK35" s="168"/>
      <c r="CWL35" s="168"/>
      <c r="CWM35" s="168"/>
      <c r="CWN35" s="168"/>
      <c r="CWO35" s="168"/>
      <c r="CWP35" s="168"/>
      <c r="CWQ35" s="168"/>
      <c r="CWR35" s="168"/>
      <c r="CWS35" s="168"/>
      <c r="CWT35" s="168"/>
      <c r="CWU35" s="168"/>
      <c r="CWV35" s="168"/>
      <c r="CWW35" s="168"/>
      <c r="CWX35" s="168"/>
      <c r="CWY35" s="168"/>
      <c r="CWZ35" s="168"/>
      <c r="CXA35" s="168"/>
      <c r="CXB35" s="168"/>
      <c r="CXC35" s="168"/>
      <c r="CXD35" s="168"/>
      <c r="CXE35" s="168"/>
      <c r="CXF35" s="168"/>
      <c r="CXG35" s="168"/>
      <c r="CXH35" s="168"/>
      <c r="CXI35" s="168"/>
      <c r="CXJ35" s="168"/>
      <c r="CXK35" s="168"/>
      <c r="CXL35" s="168"/>
      <c r="CXM35" s="168"/>
      <c r="CXN35" s="168"/>
      <c r="CXO35" s="168"/>
      <c r="CXP35" s="168"/>
      <c r="CXQ35" s="168"/>
      <c r="CXR35" s="168"/>
      <c r="CXS35" s="168"/>
      <c r="CXT35" s="168"/>
      <c r="CXU35" s="168"/>
      <c r="CXV35" s="168"/>
      <c r="CXW35" s="168"/>
      <c r="CXX35" s="168"/>
      <c r="CXY35" s="168"/>
      <c r="CXZ35" s="168"/>
      <c r="CYA35" s="168"/>
      <c r="CYB35" s="168"/>
      <c r="CYC35" s="168"/>
      <c r="CYD35" s="168"/>
      <c r="CYE35" s="168"/>
      <c r="CYF35" s="168"/>
      <c r="CYG35" s="168"/>
      <c r="CYH35" s="168"/>
      <c r="CYI35" s="168"/>
      <c r="CYJ35" s="168"/>
      <c r="CYK35" s="168"/>
      <c r="CYL35" s="168"/>
      <c r="CYM35" s="168"/>
      <c r="CYN35" s="168"/>
      <c r="CYO35" s="168"/>
      <c r="CYP35" s="168"/>
      <c r="CYQ35" s="168"/>
      <c r="CYR35" s="168"/>
      <c r="CYS35" s="168"/>
      <c r="CYT35" s="168"/>
      <c r="CYU35" s="168"/>
      <c r="CYV35" s="168"/>
      <c r="CYW35" s="168"/>
      <c r="CYX35" s="168"/>
      <c r="CYY35" s="168"/>
      <c r="CYZ35" s="168"/>
      <c r="CZA35" s="168"/>
      <c r="CZB35" s="168"/>
      <c r="CZC35" s="168"/>
      <c r="CZD35" s="168"/>
      <c r="CZE35" s="168"/>
      <c r="CZF35" s="168"/>
      <c r="CZG35" s="168"/>
      <c r="CZH35" s="168"/>
      <c r="CZI35" s="168"/>
      <c r="CZJ35" s="168"/>
      <c r="CZK35" s="168"/>
      <c r="CZL35" s="168"/>
      <c r="CZM35" s="168"/>
      <c r="CZN35" s="168"/>
      <c r="CZO35" s="168"/>
      <c r="CZP35" s="168"/>
      <c r="CZQ35" s="168"/>
      <c r="CZR35" s="168"/>
      <c r="CZS35" s="168"/>
      <c r="CZT35" s="168"/>
      <c r="CZU35" s="168"/>
      <c r="CZV35" s="168"/>
      <c r="CZW35" s="168"/>
      <c r="CZX35" s="168"/>
      <c r="CZY35" s="168"/>
      <c r="CZZ35" s="168"/>
      <c r="DAA35" s="168"/>
      <c r="DAB35" s="168"/>
      <c r="DAC35" s="168"/>
      <c r="DAD35" s="168"/>
      <c r="DAE35" s="168"/>
      <c r="DAF35" s="168"/>
      <c r="DAG35" s="168"/>
      <c r="DAH35" s="168"/>
      <c r="DAI35" s="168"/>
      <c r="DAJ35" s="168"/>
      <c r="DAK35" s="168"/>
      <c r="DAL35" s="168"/>
      <c r="DAM35" s="168"/>
      <c r="DAN35" s="168"/>
      <c r="DAO35" s="168"/>
      <c r="DAP35" s="168"/>
      <c r="DAQ35" s="168"/>
      <c r="DAR35" s="168"/>
      <c r="DAS35" s="168"/>
      <c r="DAT35" s="168"/>
      <c r="DAU35" s="168"/>
      <c r="DAV35" s="168"/>
      <c r="DAW35" s="168"/>
      <c r="DAX35" s="168"/>
      <c r="DAY35" s="168"/>
      <c r="DAZ35" s="168"/>
      <c r="DBA35" s="168"/>
      <c r="DBB35" s="168"/>
      <c r="DBC35" s="168"/>
      <c r="DBD35" s="168"/>
      <c r="DBE35" s="168"/>
      <c r="DBF35" s="168"/>
      <c r="DBG35" s="168"/>
      <c r="DBH35" s="168"/>
      <c r="DBI35" s="168"/>
      <c r="DBJ35" s="168"/>
      <c r="DBK35" s="168"/>
      <c r="DBL35" s="168"/>
      <c r="DBM35" s="168"/>
      <c r="DBN35" s="168"/>
      <c r="DBO35" s="168"/>
      <c r="DBP35" s="168"/>
      <c r="DBQ35" s="168"/>
      <c r="DBR35" s="168"/>
      <c r="DBS35" s="168"/>
      <c r="DBT35" s="168"/>
      <c r="DBU35" s="168"/>
      <c r="DBV35" s="168"/>
      <c r="DBW35" s="168"/>
      <c r="DBX35" s="168"/>
      <c r="DBY35" s="168"/>
      <c r="DBZ35" s="168"/>
      <c r="DCA35" s="168"/>
      <c r="DCB35" s="168"/>
      <c r="DCC35" s="168"/>
      <c r="DCD35" s="168"/>
      <c r="DCE35" s="168"/>
      <c r="DCF35" s="168"/>
      <c r="DCG35" s="168"/>
      <c r="DCH35" s="168"/>
      <c r="DCI35" s="168"/>
      <c r="DCJ35" s="168"/>
      <c r="DCK35" s="168"/>
      <c r="DCL35" s="168"/>
      <c r="DCM35" s="168"/>
      <c r="DCN35" s="168"/>
      <c r="DCO35" s="168"/>
      <c r="DCP35" s="168"/>
      <c r="DCQ35" s="168"/>
      <c r="DCR35" s="168"/>
      <c r="DCS35" s="168"/>
      <c r="DCT35" s="168"/>
      <c r="DCU35" s="168"/>
      <c r="DCV35" s="168"/>
      <c r="DCW35" s="168"/>
      <c r="DCX35" s="168"/>
      <c r="DCY35" s="168"/>
      <c r="DCZ35" s="168"/>
      <c r="DDA35" s="168"/>
      <c r="DDB35" s="168"/>
      <c r="DDC35" s="168"/>
      <c r="DDD35" s="168"/>
      <c r="DDE35" s="168"/>
      <c r="DDF35" s="168"/>
      <c r="DDG35" s="168"/>
      <c r="DDH35" s="168"/>
      <c r="DDI35" s="168"/>
      <c r="DDJ35" s="168"/>
      <c r="DDK35" s="168"/>
      <c r="DDL35" s="168"/>
      <c r="DDM35" s="168"/>
      <c r="DDN35" s="168"/>
      <c r="DDO35" s="168"/>
      <c r="DDP35" s="168"/>
      <c r="DDQ35" s="168"/>
      <c r="DDR35" s="168"/>
      <c r="DDS35" s="168"/>
      <c r="DDT35" s="168"/>
      <c r="DDU35" s="168"/>
      <c r="DDV35" s="168"/>
      <c r="DDW35" s="168"/>
      <c r="DDX35" s="168"/>
      <c r="DDY35" s="168"/>
      <c r="DDZ35" s="168"/>
      <c r="DEA35" s="168"/>
      <c r="DEB35" s="168"/>
      <c r="DEC35" s="168"/>
      <c r="DED35" s="168"/>
      <c r="DEE35" s="168"/>
      <c r="DEF35" s="168"/>
      <c r="DEG35" s="168"/>
      <c r="DEH35" s="168"/>
      <c r="DEI35" s="168"/>
      <c r="DEJ35" s="168"/>
      <c r="DEK35" s="168"/>
      <c r="DEL35" s="168"/>
      <c r="DEM35" s="168"/>
      <c r="DEN35" s="168"/>
      <c r="DEO35" s="168"/>
      <c r="DEP35" s="168"/>
      <c r="DEQ35" s="168"/>
      <c r="DER35" s="168"/>
      <c r="DES35" s="168"/>
      <c r="DET35" s="168"/>
      <c r="DEU35" s="168"/>
      <c r="DEV35" s="168"/>
      <c r="DEW35" s="168"/>
      <c r="DEX35" s="168"/>
      <c r="DEY35" s="168"/>
      <c r="DEZ35" s="168"/>
      <c r="DFA35" s="168"/>
      <c r="DFB35" s="168"/>
      <c r="DFC35" s="168"/>
      <c r="DFD35" s="168"/>
      <c r="DFE35" s="168"/>
      <c r="DFF35" s="168"/>
      <c r="DFG35" s="168"/>
      <c r="DFH35" s="168"/>
      <c r="DFI35" s="168"/>
      <c r="DFJ35" s="168"/>
      <c r="DFK35" s="168"/>
      <c r="DFL35" s="168"/>
      <c r="DFM35" s="168"/>
      <c r="DFN35" s="168"/>
      <c r="DFO35" s="168"/>
      <c r="DFP35" s="168"/>
      <c r="DFQ35" s="168"/>
      <c r="DFR35" s="168"/>
      <c r="DFS35" s="168"/>
      <c r="DFT35" s="168"/>
      <c r="DFU35" s="168"/>
      <c r="DFV35" s="168"/>
      <c r="DFW35" s="168"/>
      <c r="DFX35" s="168"/>
      <c r="DFY35" s="168"/>
      <c r="DFZ35" s="168"/>
      <c r="DGA35" s="168"/>
      <c r="DGB35" s="168"/>
      <c r="DGC35" s="168"/>
      <c r="DGD35" s="168"/>
      <c r="DGE35" s="168"/>
      <c r="DGF35" s="168"/>
      <c r="DGG35" s="168"/>
      <c r="DGH35" s="168"/>
      <c r="DGI35" s="168"/>
      <c r="DGJ35" s="168"/>
      <c r="DGK35" s="168"/>
      <c r="DGL35" s="168"/>
      <c r="DGM35" s="168"/>
      <c r="DGN35" s="168"/>
      <c r="DGO35" s="168"/>
      <c r="DGP35" s="168"/>
      <c r="DGQ35" s="168"/>
      <c r="DGR35" s="168"/>
      <c r="DGS35" s="168"/>
      <c r="DGT35" s="168"/>
      <c r="DGU35" s="168"/>
      <c r="DGV35" s="168"/>
      <c r="DGW35" s="168"/>
      <c r="DGX35" s="168"/>
      <c r="DGY35" s="168"/>
      <c r="DGZ35" s="168"/>
      <c r="DHA35" s="168"/>
      <c r="DHB35" s="168"/>
      <c r="DHC35" s="168"/>
      <c r="DHD35" s="168"/>
      <c r="DHE35" s="168"/>
      <c r="DHF35" s="168"/>
      <c r="DHG35" s="168"/>
      <c r="DHH35" s="168"/>
      <c r="DHI35" s="168"/>
      <c r="DHJ35" s="168"/>
      <c r="DHK35" s="168"/>
      <c r="DHL35" s="168"/>
      <c r="DHM35" s="168"/>
      <c r="DHN35" s="168"/>
      <c r="DHO35" s="168"/>
      <c r="DHP35" s="168"/>
      <c r="DHQ35" s="168"/>
      <c r="DHR35" s="168"/>
      <c r="DHS35" s="168"/>
      <c r="DHT35" s="168"/>
      <c r="DHU35" s="168"/>
      <c r="DHV35" s="168"/>
      <c r="DHW35" s="168"/>
      <c r="DHX35" s="168"/>
      <c r="DHY35" s="168"/>
      <c r="DHZ35" s="168"/>
      <c r="DIA35" s="168"/>
      <c r="DIB35" s="168"/>
      <c r="DIC35" s="168"/>
      <c r="DID35" s="168"/>
      <c r="DIE35" s="168"/>
      <c r="DIF35" s="168"/>
      <c r="DIG35" s="168"/>
      <c r="DIH35" s="168"/>
      <c r="DII35" s="168"/>
      <c r="DIJ35" s="168"/>
      <c r="DIK35" s="168"/>
      <c r="DIL35" s="168"/>
      <c r="DIM35" s="168"/>
      <c r="DIN35" s="168"/>
      <c r="DIO35" s="168"/>
      <c r="DIP35" s="168"/>
      <c r="DIQ35" s="168"/>
      <c r="DIR35" s="168"/>
      <c r="DIS35" s="168"/>
      <c r="DIT35" s="168"/>
      <c r="DIU35" s="168"/>
      <c r="DIV35" s="168"/>
      <c r="DIW35" s="168"/>
      <c r="DIX35" s="168"/>
      <c r="DIY35" s="168"/>
      <c r="DIZ35" s="168"/>
      <c r="DJA35" s="168"/>
      <c r="DJB35" s="168"/>
      <c r="DJC35" s="168"/>
      <c r="DJD35" s="168"/>
      <c r="DJE35" s="168"/>
      <c r="DJF35" s="168"/>
      <c r="DJG35" s="168"/>
      <c r="DJH35" s="168"/>
      <c r="DJI35" s="168"/>
      <c r="DJJ35" s="168"/>
      <c r="DJK35" s="168"/>
      <c r="DJL35" s="168"/>
      <c r="DJM35" s="168"/>
      <c r="DJN35" s="168"/>
      <c r="DJO35" s="168"/>
      <c r="DJP35" s="168"/>
      <c r="DJQ35" s="168"/>
      <c r="DJR35" s="168"/>
      <c r="DJS35" s="168"/>
      <c r="DJT35" s="168"/>
      <c r="DJU35" s="168"/>
      <c r="DJV35" s="168"/>
      <c r="DJW35" s="168"/>
      <c r="DJX35" s="168"/>
      <c r="DJY35" s="168"/>
      <c r="DJZ35" s="168"/>
      <c r="DKA35" s="168"/>
      <c r="DKB35" s="168"/>
      <c r="DKC35" s="168"/>
      <c r="DKD35" s="168"/>
      <c r="DKE35" s="168"/>
      <c r="DKF35" s="168"/>
      <c r="DKG35" s="168"/>
      <c r="DKH35" s="168"/>
      <c r="DKI35" s="168"/>
      <c r="DKJ35" s="168"/>
      <c r="DKK35" s="168"/>
      <c r="DKL35" s="168"/>
      <c r="DKM35" s="168"/>
      <c r="DKN35" s="168"/>
      <c r="DKO35" s="168"/>
      <c r="DKP35" s="168"/>
      <c r="DKQ35" s="168"/>
      <c r="DKR35" s="168"/>
      <c r="DKS35" s="168"/>
      <c r="DKT35" s="168"/>
      <c r="DKU35" s="168"/>
      <c r="DKV35" s="168"/>
      <c r="DKW35" s="168"/>
      <c r="DKX35" s="168"/>
      <c r="DKY35" s="168"/>
      <c r="DKZ35" s="168"/>
      <c r="DLA35" s="168"/>
      <c r="DLB35" s="168"/>
      <c r="DLC35" s="168"/>
      <c r="DLD35" s="168"/>
      <c r="DLE35" s="168"/>
      <c r="DLF35" s="168"/>
      <c r="DLG35" s="168"/>
      <c r="DLH35" s="168"/>
      <c r="DLI35" s="168"/>
      <c r="DLJ35" s="168"/>
      <c r="DLK35" s="168"/>
      <c r="DLL35" s="168"/>
      <c r="DLM35" s="168"/>
      <c r="DLN35" s="168"/>
      <c r="DLO35" s="168"/>
      <c r="DLP35" s="168"/>
      <c r="DLQ35" s="168"/>
      <c r="DLR35" s="168"/>
      <c r="DLS35" s="168"/>
      <c r="DLT35" s="168"/>
      <c r="DLU35" s="168"/>
      <c r="DLV35" s="168"/>
      <c r="DLW35" s="168"/>
      <c r="DLX35" s="168"/>
      <c r="DLY35" s="168"/>
      <c r="DLZ35" s="168"/>
      <c r="DMA35" s="168"/>
      <c r="DMB35" s="168"/>
      <c r="DMC35" s="168"/>
      <c r="DMD35" s="168"/>
      <c r="DME35" s="168"/>
      <c r="DMF35" s="168"/>
      <c r="DMG35" s="168"/>
      <c r="DMH35" s="168"/>
      <c r="DMI35" s="168"/>
      <c r="DMJ35" s="168"/>
      <c r="DMK35" s="168"/>
      <c r="DML35" s="168"/>
      <c r="DMM35" s="168"/>
      <c r="DMN35" s="168"/>
      <c r="DMO35" s="168"/>
      <c r="DMP35" s="168"/>
      <c r="DMQ35" s="168"/>
      <c r="DMR35" s="168"/>
      <c r="DMS35" s="168"/>
      <c r="DMT35" s="168"/>
      <c r="DMU35" s="168"/>
      <c r="DMV35" s="168"/>
      <c r="DMW35" s="168"/>
      <c r="DMX35" s="168"/>
      <c r="DMY35" s="168"/>
      <c r="DMZ35" s="168"/>
      <c r="DNA35" s="168"/>
      <c r="DNB35" s="168"/>
      <c r="DNC35" s="168"/>
      <c r="DND35" s="168"/>
      <c r="DNE35" s="168"/>
      <c r="DNF35" s="168"/>
      <c r="DNG35" s="168"/>
      <c r="DNH35" s="168"/>
      <c r="DNI35" s="168"/>
      <c r="DNJ35" s="168"/>
      <c r="DNK35" s="168"/>
      <c r="DNL35" s="168"/>
      <c r="DNM35" s="168"/>
      <c r="DNN35" s="168"/>
      <c r="DNO35" s="168"/>
      <c r="DNP35" s="168"/>
      <c r="DNQ35" s="168"/>
      <c r="DNR35" s="168"/>
      <c r="DNS35" s="168"/>
      <c r="DNT35" s="168"/>
      <c r="DNU35" s="168"/>
      <c r="DNV35" s="168"/>
      <c r="DNW35" s="168"/>
      <c r="DNX35" s="168"/>
      <c r="DNY35" s="168"/>
      <c r="DNZ35" s="168"/>
      <c r="DOA35" s="168"/>
      <c r="DOB35" s="168"/>
      <c r="DOC35" s="168"/>
      <c r="DOD35" s="168"/>
      <c r="DOE35" s="168"/>
      <c r="DOF35" s="168"/>
      <c r="DOG35" s="168"/>
      <c r="DOH35" s="168"/>
      <c r="DOI35" s="168"/>
      <c r="DOJ35" s="168"/>
      <c r="DOK35" s="168"/>
      <c r="DOL35" s="168"/>
      <c r="DOM35" s="168"/>
      <c r="DON35" s="168"/>
      <c r="DOO35" s="168"/>
      <c r="DOP35" s="168"/>
      <c r="DOQ35" s="168"/>
      <c r="DOR35" s="168"/>
      <c r="DOS35" s="168"/>
      <c r="DOT35" s="168"/>
      <c r="DOU35" s="168"/>
      <c r="DOV35" s="168"/>
      <c r="DOW35" s="168"/>
      <c r="DOX35" s="168"/>
      <c r="DOY35" s="168"/>
      <c r="DOZ35" s="168"/>
      <c r="DPA35" s="168"/>
      <c r="DPB35" s="168"/>
      <c r="DPC35" s="168"/>
      <c r="DPD35" s="168"/>
      <c r="DPE35" s="168"/>
      <c r="DPF35" s="168"/>
      <c r="DPG35" s="168"/>
      <c r="DPH35" s="168"/>
      <c r="DPI35" s="168"/>
      <c r="DPJ35" s="168"/>
      <c r="DPK35" s="168"/>
      <c r="DPL35" s="168"/>
      <c r="DPM35" s="168"/>
      <c r="DPN35" s="168"/>
      <c r="DPO35" s="168"/>
      <c r="DPP35" s="168"/>
      <c r="DPQ35" s="168"/>
      <c r="DPR35" s="168"/>
      <c r="DPS35" s="168"/>
      <c r="DPT35" s="168"/>
      <c r="DPU35" s="168"/>
      <c r="DPV35" s="168"/>
      <c r="DPW35" s="168"/>
      <c r="DPX35" s="168"/>
      <c r="DPY35" s="168"/>
      <c r="DPZ35" s="168"/>
      <c r="DQA35" s="168"/>
      <c r="DQB35" s="168"/>
      <c r="DQC35" s="168"/>
      <c r="DQD35" s="168"/>
      <c r="DQE35" s="168"/>
      <c r="DQF35" s="168"/>
      <c r="DQG35" s="168"/>
      <c r="DQH35" s="168"/>
      <c r="DQI35" s="168"/>
      <c r="DQJ35" s="168"/>
      <c r="DQK35" s="168"/>
      <c r="DQL35" s="168"/>
      <c r="DQM35" s="168"/>
      <c r="DQN35" s="168"/>
      <c r="DQO35" s="168"/>
      <c r="DQP35" s="168"/>
      <c r="DQQ35" s="168"/>
      <c r="DQR35" s="168"/>
      <c r="DQS35" s="168"/>
      <c r="DQT35" s="168"/>
      <c r="DQU35" s="168"/>
      <c r="DQV35" s="168"/>
      <c r="DQW35" s="168"/>
      <c r="DQX35" s="168"/>
      <c r="DQY35" s="168"/>
      <c r="DQZ35" s="168"/>
      <c r="DRA35" s="168"/>
      <c r="DRB35" s="168"/>
      <c r="DRC35" s="168"/>
      <c r="DRD35" s="168"/>
      <c r="DRE35" s="168"/>
      <c r="DRF35" s="168"/>
      <c r="DRG35" s="168"/>
      <c r="DRH35" s="168"/>
      <c r="DRI35" s="168"/>
      <c r="DRJ35" s="168"/>
      <c r="DRK35" s="168"/>
      <c r="DRL35" s="168"/>
      <c r="DRM35" s="168"/>
      <c r="DRN35" s="168"/>
      <c r="DRO35" s="168"/>
      <c r="DRP35" s="168"/>
      <c r="DRQ35" s="168"/>
      <c r="DRR35" s="168"/>
      <c r="DRS35" s="168"/>
      <c r="DRT35" s="168"/>
      <c r="DRU35" s="168"/>
      <c r="DRV35" s="168"/>
      <c r="DRW35" s="168"/>
      <c r="DRX35" s="168"/>
      <c r="DRY35" s="168"/>
      <c r="DRZ35" s="168"/>
      <c r="DSA35" s="168"/>
      <c r="DSB35" s="168"/>
      <c r="DSC35" s="168"/>
      <c r="DSD35" s="168"/>
      <c r="DSE35" s="168"/>
      <c r="DSF35" s="168"/>
      <c r="DSG35" s="168"/>
      <c r="DSH35" s="168"/>
      <c r="DSI35" s="168"/>
      <c r="DSJ35" s="168"/>
      <c r="DSK35" s="168"/>
      <c r="DSL35" s="168"/>
      <c r="DSM35" s="168"/>
      <c r="DSN35" s="168"/>
      <c r="DSO35" s="168"/>
      <c r="DSP35" s="168"/>
      <c r="DSQ35" s="168"/>
      <c r="DSR35" s="168"/>
      <c r="DSS35" s="168"/>
      <c r="DST35" s="168"/>
      <c r="DSU35" s="168"/>
      <c r="DSV35" s="168"/>
      <c r="DSW35" s="168"/>
      <c r="DSX35" s="168"/>
      <c r="DSY35" s="168"/>
      <c r="DSZ35" s="168"/>
      <c r="DTA35" s="168"/>
      <c r="DTB35" s="168"/>
      <c r="DTC35" s="168"/>
      <c r="DTD35" s="168"/>
      <c r="DTE35" s="168"/>
      <c r="DTF35" s="168"/>
      <c r="DTG35" s="168"/>
      <c r="DTH35" s="168"/>
      <c r="DTI35" s="168"/>
      <c r="DTJ35" s="168"/>
      <c r="DTK35" s="168"/>
      <c r="DTL35" s="168"/>
      <c r="DTM35" s="168"/>
      <c r="DTN35" s="168"/>
      <c r="DTO35" s="168"/>
      <c r="DTP35" s="168"/>
      <c r="DTQ35" s="168"/>
      <c r="DTR35" s="168"/>
      <c r="DTS35" s="168"/>
      <c r="DTT35" s="168"/>
      <c r="DTU35" s="168"/>
      <c r="DTV35" s="168"/>
      <c r="DTW35" s="168"/>
      <c r="DTX35" s="168"/>
      <c r="DTY35" s="168"/>
      <c r="DTZ35" s="168"/>
      <c r="DUA35" s="168"/>
      <c r="DUB35" s="168"/>
      <c r="DUC35" s="168"/>
      <c r="DUD35" s="168"/>
      <c r="DUE35" s="168"/>
      <c r="DUF35" s="168"/>
      <c r="DUG35" s="168"/>
      <c r="DUH35" s="168"/>
      <c r="DUI35" s="168"/>
      <c r="DUJ35" s="168"/>
      <c r="DUK35" s="168"/>
      <c r="DUL35" s="168"/>
      <c r="DUM35" s="168"/>
      <c r="DUN35" s="168"/>
      <c r="DUO35" s="168"/>
      <c r="DUP35" s="168"/>
      <c r="DUQ35" s="168"/>
      <c r="DUR35" s="168"/>
      <c r="DUS35" s="168"/>
      <c r="DUT35" s="168"/>
      <c r="DUU35" s="168"/>
      <c r="DUV35" s="168"/>
      <c r="DUW35" s="168"/>
      <c r="DUX35" s="168"/>
      <c r="DUY35" s="168"/>
      <c r="DUZ35" s="168"/>
      <c r="DVA35" s="168"/>
      <c r="DVB35" s="168"/>
      <c r="DVC35" s="168"/>
      <c r="DVD35" s="168"/>
      <c r="DVE35" s="168"/>
      <c r="DVF35" s="168"/>
      <c r="DVG35" s="168"/>
      <c r="DVH35" s="168"/>
      <c r="DVI35" s="168"/>
      <c r="DVJ35" s="168"/>
      <c r="DVK35" s="168"/>
      <c r="DVL35" s="168"/>
      <c r="DVM35" s="168"/>
      <c r="DVN35" s="168"/>
      <c r="DVO35" s="168"/>
      <c r="DVP35" s="168"/>
      <c r="DVQ35" s="168"/>
      <c r="DVR35" s="168"/>
      <c r="DVS35" s="168"/>
      <c r="DVT35" s="168"/>
      <c r="DVU35" s="168"/>
      <c r="DVV35" s="168"/>
      <c r="DVW35" s="168"/>
      <c r="DVX35" s="168"/>
      <c r="DVY35" s="168"/>
      <c r="DVZ35" s="168"/>
      <c r="DWA35" s="168"/>
      <c r="DWB35" s="168"/>
      <c r="DWC35" s="168"/>
      <c r="DWD35" s="168"/>
      <c r="DWE35" s="168"/>
      <c r="DWF35" s="168"/>
      <c r="DWG35" s="168"/>
      <c r="DWH35" s="168"/>
      <c r="DWI35" s="168"/>
      <c r="DWJ35" s="168"/>
      <c r="DWK35" s="168"/>
      <c r="DWL35" s="168"/>
      <c r="DWM35" s="168"/>
      <c r="DWN35" s="168"/>
      <c r="DWO35" s="168"/>
      <c r="DWP35" s="168"/>
      <c r="DWQ35" s="168"/>
      <c r="DWR35" s="168"/>
      <c r="DWS35" s="168"/>
      <c r="DWT35" s="168"/>
      <c r="DWU35" s="168"/>
      <c r="DWV35" s="168"/>
      <c r="DWW35" s="168"/>
      <c r="DWX35" s="168"/>
      <c r="DWY35" s="168"/>
      <c r="DWZ35" s="168"/>
      <c r="DXA35" s="168"/>
      <c r="DXB35" s="168"/>
      <c r="DXC35" s="168"/>
      <c r="DXD35" s="168"/>
      <c r="DXE35" s="168"/>
      <c r="DXF35" s="168"/>
      <c r="DXG35" s="168"/>
      <c r="DXH35" s="168"/>
      <c r="DXI35" s="168"/>
      <c r="DXJ35" s="168"/>
      <c r="DXK35" s="168"/>
      <c r="DXL35" s="168"/>
      <c r="DXM35" s="168"/>
      <c r="DXN35" s="168"/>
      <c r="DXO35" s="168"/>
      <c r="DXP35" s="168"/>
      <c r="DXQ35" s="168"/>
      <c r="DXR35" s="168"/>
      <c r="DXS35" s="168"/>
      <c r="DXT35" s="168"/>
      <c r="DXU35" s="168"/>
      <c r="DXV35" s="168"/>
      <c r="DXW35" s="168"/>
      <c r="DXX35" s="168"/>
      <c r="DXY35" s="168"/>
      <c r="DXZ35" s="168"/>
      <c r="DYA35" s="168"/>
      <c r="DYB35" s="168"/>
      <c r="DYC35" s="168"/>
      <c r="DYD35" s="168"/>
      <c r="DYE35" s="168"/>
      <c r="DYF35" s="168"/>
      <c r="DYG35" s="168"/>
      <c r="DYH35" s="168"/>
      <c r="DYI35" s="168"/>
      <c r="DYJ35" s="168"/>
      <c r="DYK35" s="168"/>
      <c r="DYL35" s="168"/>
      <c r="DYM35" s="168"/>
      <c r="DYN35" s="168"/>
      <c r="DYO35" s="168"/>
      <c r="DYP35" s="168"/>
      <c r="DYQ35" s="168"/>
      <c r="DYR35" s="168"/>
      <c r="DYS35" s="168"/>
      <c r="DYT35" s="168"/>
      <c r="DYU35" s="168"/>
      <c r="DYV35" s="168"/>
      <c r="DYW35" s="168"/>
      <c r="DYX35" s="168"/>
      <c r="DYY35" s="168"/>
      <c r="DYZ35" s="168"/>
      <c r="DZA35" s="168"/>
      <c r="DZB35" s="168"/>
      <c r="DZC35" s="168"/>
      <c r="DZD35" s="168"/>
      <c r="DZE35" s="168"/>
      <c r="DZF35" s="168"/>
      <c r="DZG35" s="168"/>
      <c r="DZH35" s="168"/>
      <c r="DZI35" s="168"/>
      <c r="DZJ35" s="168"/>
      <c r="DZK35" s="168"/>
      <c r="DZL35" s="168"/>
      <c r="DZM35" s="168"/>
      <c r="DZN35" s="168"/>
      <c r="DZO35" s="168"/>
      <c r="DZP35" s="168"/>
      <c r="DZQ35" s="168"/>
      <c r="DZR35" s="168"/>
      <c r="DZS35" s="168"/>
      <c r="DZT35" s="168"/>
      <c r="DZU35" s="168"/>
      <c r="DZV35" s="168"/>
      <c r="DZW35" s="168"/>
      <c r="DZX35" s="168"/>
      <c r="DZY35" s="168"/>
      <c r="DZZ35" s="168"/>
      <c r="EAA35" s="168"/>
      <c r="EAB35" s="168"/>
      <c r="EAC35" s="168"/>
      <c r="EAD35" s="168"/>
      <c r="EAE35" s="168"/>
      <c r="EAF35" s="168"/>
      <c r="EAG35" s="168"/>
      <c r="EAH35" s="168"/>
      <c r="EAI35" s="168"/>
      <c r="EAJ35" s="168"/>
      <c r="EAK35" s="168"/>
      <c r="EAL35" s="168"/>
      <c r="EAM35" s="168"/>
      <c r="EAN35" s="168"/>
      <c r="EAO35" s="168"/>
      <c r="EAP35" s="168"/>
      <c r="EAQ35" s="168"/>
      <c r="EAR35" s="168"/>
      <c r="EAS35" s="168"/>
      <c r="EAT35" s="168"/>
      <c r="EAU35" s="168"/>
      <c r="EAV35" s="168"/>
      <c r="EAW35" s="168"/>
      <c r="EAX35" s="168"/>
      <c r="EAY35" s="168"/>
      <c r="EAZ35" s="168"/>
      <c r="EBA35" s="168"/>
      <c r="EBB35" s="168"/>
      <c r="EBC35" s="168"/>
      <c r="EBD35" s="168"/>
      <c r="EBE35" s="168"/>
      <c r="EBF35" s="168"/>
      <c r="EBG35" s="168"/>
      <c r="EBH35" s="168"/>
      <c r="EBI35" s="168"/>
      <c r="EBJ35" s="168"/>
      <c r="EBK35" s="168"/>
      <c r="EBL35" s="168"/>
      <c r="EBM35" s="168"/>
      <c r="EBN35" s="168"/>
      <c r="EBO35" s="168"/>
      <c r="EBP35" s="168"/>
      <c r="EBQ35" s="168"/>
      <c r="EBR35" s="168"/>
      <c r="EBS35" s="168"/>
      <c r="EBT35" s="168"/>
      <c r="EBU35" s="168"/>
      <c r="EBV35" s="168"/>
      <c r="EBW35" s="168"/>
      <c r="EBX35" s="168"/>
      <c r="EBY35" s="168"/>
      <c r="EBZ35" s="168"/>
      <c r="ECA35" s="168"/>
      <c r="ECB35" s="168"/>
      <c r="ECC35" s="168"/>
      <c r="ECD35" s="168"/>
      <c r="ECE35" s="168"/>
      <c r="ECF35" s="168"/>
      <c r="ECG35" s="168"/>
      <c r="ECH35" s="168"/>
      <c r="ECI35" s="168"/>
      <c r="ECJ35" s="168"/>
      <c r="ECK35" s="168"/>
      <c r="ECL35" s="168"/>
      <c r="ECM35" s="168"/>
      <c r="ECN35" s="168"/>
      <c r="ECO35" s="168"/>
      <c r="ECP35" s="168"/>
      <c r="ECQ35" s="168"/>
      <c r="ECR35" s="168"/>
      <c r="ECS35" s="168"/>
      <c r="ECT35" s="168"/>
      <c r="ECU35" s="168"/>
      <c r="ECV35" s="168"/>
      <c r="ECW35" s="168"/>
      <c r="ECX35" s="168"/>
      <c r="ECY35" s="168"/>
      <c r="ECZ35" s="168"/>
      <c r="EDA35" s="168"/>
      <c r="EDB35" s="168"/>
      <c r="EDC35" s="168"/>
      <c r="EDD35" s="168"/>
      <c r="EDE35" s="168"/>
      <c r="EDF35" s="168"/>
      <c r="EDG35" s="168"/>
      <c r="EDH35" s="168"/>
      <c r="EDI35" s="168"/>
      <c r="EDJ35" s="168"/>
      <c r="EDK35" s="168"/>
      <c r="EDL35" s="168"/>
      <c r="EDM35" s="168"/>
      <c r="EDN35" s="168"/>
      <c r="EDO35" s="168"/>
      <c r="EDP35" s="168"/>
      <c r="EDQ35" s="168"/>
      <c r="EDR35" s="168"/>
      <c r="EDS35" s="168"/>
      <c r="EDT35" s="168"/>
      <c r="EDU35" s="168"/>
      <c r="EDV35" s="168"/>
      <c r="EDW35" s="168"/>
      <c r="EDX35" s="168"/>
      <c r="EDY35" s="168"/>
      <c r="EDZ35" s="168"/>
      <c r="EEA35" s="168"/>
      <c r="EEB35" s="168"/>
      <c r="EEC35" s="168"/>
      <c r="EED35" s="168"/>
      <c r="EEE35" s="168"/>
      <c r="EEF35" s="168"/>
      <c r="EEG35" s="168"/>
      <c r="EEH35" s="168"/>
      <c r="EEI35" s="168"/>
      <c r="EEJ35" s="168"/>
      <c r="EEK35" s="168"/>
      <c r="EEL35" s="168"/>
      <c r="EEM35" s="168"/>
      <c r="EEN35" s="168"/>
      <c r="EEO35" s="168"/>
      <c r="EEP35" s="168"/>
      <c r="EEQ35" s="168"/>
      <c r="EER35" s="168"/>
      <c r="EES35" s="168"/>
      <c r="EET35" s="168"/>
      <c r="EEU35" s="168"/>
      <c r="EEV35" s="168"/>
      <c r="EEW35" s="168"/>
      <c r="EEX35" s="168"/>
      <c r="EEY35" s="168"/>
      <c r="EEZ35" s="168"/>
      <c r="EFA35" s="168"/>
      <c r="EFB35" s="168"/>
      <c r="EFC35" s="168"/>
      <c r="EFD35" s="168"/>
      <c r="EFE35" s="168"/>
      <c r="EFF35" s="168"/>
      <c r="EFG35" s="168"/>
      <c r="EFH35" s="168"/>
      <c r="EFI35" s="168"/>
      <c r="EFJ35" s="168"/>
      <c r="EFK35" s="168"/>
      <c r="EFL35" s="168"/>
      <c r="EFM35" s="168"/>
      <c r="EFN35" s="168"/>
      <c r="EFO35" s="168"/>
      <c r="EFP35" s="168"/>
      <c r="EFQ35" s="168"/>
      <c r="EFR35" s="168"/>
      <c r="EFS35" s="168"/>
      <c r="EFT35" s="168"/>
      <c r="EFU35" s="168"/>
      <c r="EFV35" s="168"/>
      <c r="EFW35" s="168"/>
      <c r="EFX35" s="168"/>
      <c r="EFY35" s="168"/>
      <c r="EFZ35" s="168"/>
      <c r="EGA35" s="168"/>
      <c r="EGB35" s="168"/>
      <c r="EGC35" s="168"/>
      <c r="EGD35" s="168"/>
      <c r="EGE35" s="168"/>
      <c r="EGF35" s="168"/>
      <c r="EGG35" s="168"/>
      <c r="EGH35" s="168"/>
      <c r="EGI35" s="168"/>
      <c r="EGJ35" s="168"/>
      <c r="EGK35" s="168"/>
      <c r="EGL35" s="168"/>
      <c r="EGM35" s="168"/>
      <c r="EGN35" s="168"/>
      <c r="EGO35" s="168"/>
      <c r="EGP35" s="168"/>
      <c r="EGQ35" s="168"/>
      <c r="EGR35" s="168"/>
      <c r="EGS35" s="168"/>
      <c r="EGT35" s="168"/>
      <c r="EGU35" s="168"/>
      <c r="EGV35" s="168"/>
      <c r="EGW35" s="168"/>
      <c r="EGX35" s="168"/>
      <c r="EGY35" s="168"/>
      <c r="EGZ35" s="168"/>
      <c r="EHA35" s="168"/>
      <c r="EHB35" s="168"/>
      <c r="EHC35" s="168"/>
      <c r="EHD35" s="168"/>
      <c r="EHE35" s="168"/>
      <c r="EHF35" s="168"/>
      <c r="EHG35" s="168"/>
      <c r="EHH35" s="168"/>
      <c r="EHI35" s="168"/>
      <c r="EHJ35" s="168"/>
      <c r="EHK35" s="168"/>
      <c r="EHL35" s="168"/>
      <c r="EHM35" s="168"/>
      <c r="EHN35" s="168"/>
      <c r="EHO35" s="168"/>
      <c r="EHP35" s="168"/>
      <c r="EHQ35" s="168"/>
      <c r="EHR35" s="168"/>
      <c r="EHS35" s="168"/>
      <c r="EHT35" s="168"/>
      <c r="EHU35" s="168"/>
      <c r="EHV35" s="168"/>
      <c r="EHW35" s="168"/>
      <c r="EHX35" s="168"/>
      <c r="EHY35" s="168"/>
      <c r="EHZ35" s="168"/>
      <c r="EIA35" s="168"/>
      <c r="EIB35" s="168"/>
      <c r="EIC35" s="168"/>
      <c r="EID35" s="168"/>
      <c r="EIE35" s="168"/>
      <c r="EIF35" s="168"/>
      <c r="EIG35" s="168"/>
      <c r="EIH35" s="168"/>
      <c r="EII35" s="168"/>
      <c r="EIJ35" s="168"/>
      <c r="EIK35" s="168"/>
      <c r="EIL35" s="168"/>
      <c r="EIM35" s="168"/>
      <c r="EIN35" s="168"/>
      <c r="EIO35" s="168"/>
      <c r="EIP35" s="168"/>
      <c r="EIQ35" s="168"/>
      <c r="EIR35" s="168"/>
      <c r="EIS35" s="168"/>
      <c r="EIT35" s="168"/>
      <c r="EIU35" s="168"/>
      <c r="EIV35" s="168"/>
      <c r="EIW35" s="168"/>
      <c r="EIX35" s="168"/>
      <c r="EIY35" s="168"/>
      <c r="EIZ35" s="168"/>
      <c r="EJA35" s="168"/>
      <c r="EJB35" s="168"/>
      <c r="EJC35" s="168"/>
      <c r="EJD35" s="168"/>
      <c r="EJE35" s="168"/>
      <c r="EJF35" s="168"/>
      <c r="EJG35" s="168"/>
      <c r="EJH35" s="168"/>
      <c r="EJI35" s="168"/>
      <c r="EJJ35" s="168"/>
      <c r="EJK35" s="168"/>
      <c r="EJL35" s="168"/>
      <c r="EJM35" s="168"/>
      <c r="EJN35" s="168"/>
      <c r="EJO35" s="168"/>
      <c r="EJP35" s="168"/>
      <c r="EJQ35" s="168"/>
      <c r="EJR35" s="168"/>
      <c r="EJS35" s="168"/>
      <c r="EJT35" s="168"/>
      <c r="EJU35" s="168"/>
      <c r="EJV35" s="168"/>
      <c r="EJW35" s="168"/>
      <c r="EJX35" s="168"/>
      <c r="EJY35" s="168"/>
      <c r="EJZ35" s="168"/>
      <c r="EKA35" s="168"/>
      <c r="EKB35" s="168"/>
      <c r="EKC35" s="168"/>
      <c r="EKD35" s="168"/>
      <c r="EKE35" s="168"/>
      <c r="EKF35" s="168"/>
      <c r="EKG35" s="168"/>
      <c r="EKH35" s="168"/>
      <c r="EKI35" s="168"/>
      <c r="EKJ35" s="168"/>
      <c r="EKK35" s="168"/>
      <c r="EKL35" s="168"/>
      <c r="EKM35" s="168"/>
      <c r="EKN35" s="168"/>
      <c r="EKO35" s="168"/>
      <c r="EKP35" s="168"/>
      <c r="EKQ35" s="168"/>
      <c r="EKR35" s="168"/>
      <c r="EKS35" s="168"/>
      <c r="EKT35" s="168"/>
      <c r="EKU35" s="168"/>
      <c r="EKV35" s="168"/>
      <c r="EKW35" s="168"/>
      <c r="EKX35" s="168"/>
      <c r="EKY35" s="168"/>
      <c r="EKZ35" s="168"/>
      <c r="ELA35" s="168"/>
      <c r="ELB35" s="168"/>
      <c r="ELC35" s="168"/>
      <c r="ELD35" s="168"/>
      <c r="ELE35" s="168"/>
      <c r="ELF35" s="168"/>
      <c r="ELG35" s="168"/>
      <c r="ELH35" s="168"/>
      <c r="ELI35" s="168"/>
      <c r="ELJ35" s="168"/>
      <c r="ELK35" s="168"/>
      <c r="ELL35" s="168"/>
      <c r="ELM35" s="168"/>
      <c r="ELN35" s="168"/>
      <c r="ELO35" s="168"/>
      <c r="ELP35" s="168"/>
      <c r="ELQ35" s="168"/>
      <c r="ELR35" s="168"/>
      <c r="ELS35" s="168"/>
      <c r="ELT35" s="168"/>
      <c r="ELU35" s="168"/>
      <c r="ELV35" s="168"/>
      <c r="ELW35" s="168"/>
      <c r="ELX35" s="168"/>
      <c r="ELY35" s="168"/>
      <c r="ELZ35" s="168"/>
      <c r="EMA35" s="168"/>
      <c r="EMB35" s="168"/>
      <c r="EMC35" s="168"/>
      <c r="EMD35" s="168"/>
      <c r="EME35" s="168"/>
      <c r="EMF35" s="168"/>
      <c r="EMG35" s="168"/>
      <c r="EMH35" s="168"/>
      <c r="EMI35" s="168"/>
      <c r="EMJ35" s="168"/>
      <c r="EMK35" s="168"/>
      <c r="EML35" s="168"/>
      <c r="EMM35" s="168"/>
      <c r="EMN35" s="168"/>
      <c r="EMO35" s="168"/>
      <c r="EMP35" s="168"/>
      <c r="EMQ35" s="168"/>
      <c r="EMR35" s="168"/>
      <c r="EMS35" s="168"/>
      <c r="EMT35" s="168"/>
      <c r="EMU35" s="168"/>
      <c r="EMV35" s="168"/>
      <c r="EMW35" s="168"/>
      <c r="EMX35" s="168"/>
      <c r="EMY35" s="168"/>
      <c r="EMZ35" s="168"/>
      <c r="ENA35" s="168"/>
      <c r="ENB35" s="168"/>
      <c r="ENC35" s="168"/>
      <c r="END35" s="168"/>
      <c r="ENE35" s="168"/>
      <c r="ENF35" s="168"/>
      <c r="ENG35" s="168"/>
      <c r="ENH35" s="168"/>
      <c r="ENI35" s="168"/>
      <c r="ENJ35" s="168"/>
      <c r="ENK35" s="168"/>
      <c r="ENL35" s="168"/>
      <c r="ENM35" s="168"/>
      <c r="ENN35" s="168"/>
      <c r="ENO35" s="168"/>
      <c r="ENP35" s="168"/>
      <c r="ENQ35" s="168"/>
      <c r="ENR35" s="168"/>
      <c r="ENS35" s="168"/>
      <c r="ENT35" s="168"/>
      <c r="ENU35" s="168"/>
      <c r="ENV35" s="168"/>
      <c r="ENW35" s="168"/>
      <c r="ENX35" s="168"/>
      <c r="ENY35" s="168"/>
      <c r="ENZ35" s="168"/>
      <c r="EOA35" s="168"/>
      <c r="EOB35" s="168"/>
      <c r="EOC35" s="168"/>
      <c r="EOD35" s="168"/>
      <c r="EOE35" s="168"/>
      <c r="EOF35" s="168"/>
      <c r="EOG35" s="168"/>
      <c r="EOH35" s="168"/>
      <c r="EOI35" s="168"/>
      <c r="EOJ35" s="168"/>
      <c r="EOK35" s="168"/>
      <c r="EOL35" s="168"/>
      <c r="EOM35" s="168"/>
      <c r="EON35" s="168"/>
      <c r="EOO35" s="168"/>
      <c r="EOP35" s="168"/>
      <c r="EOQ35" s="168"/>
      <c r="EOR35" s="168"/>
      <c r="EOS35" s="168"/>
      <c r="EOT35" s="168"/>
      <c r="EOU35" s="168"/>
      <c r="EOV35" s="168"/>
      <c r="EOW35" s="168"/>
      <c r="EOX35" s="168"/>
      <c r="EOY35" s="168"/>
      <c r="EOZ35" s="168"/>
      <c r="EPA35" s="168"/>
      <c r="EPB35" s="168"/>
      <c r="EPC35" s="168"/>
      <c r="EPD35" s="168"/>
      <c r="EPE35" s="168"/>
      <c r="EPF35" s="168"/>
      <c r="EPG35" s="168"/>
      <c r="EPH35" s="168"/>
      <c r="EPI35" s="168"/>
      <c r="EPJ35" s="168"/>
      <c r="EPK35" s="168"/>
      <c r="EPL35" s="168"/>
      <c r="EPM35" s="168"/>
      <c r="EPN35" s="168"/>
      <c r="EPO35" s="168"/>
      <c r="EPP35" s="168"/>
      <c r="EPQ35" s="168"/>
      <c r="EPR35" s="168"/>
      <c r="EPS35" s="168"/>
      <c r="EPT35" s="168"/>
      <c r="EPU35" s="168"/>
      <c r="EPV35" s="168"/>
      <c r="EPW35" s="168"/>
      <c r="EPX35" s="168"/>
      <c r="EPY35" s="168"/>
      <c r="EPZ35" s="168"/>
      <c r="EQA35" s="168"/>
      <c r="EQB35" s="168"/>
      <c r="EQC35" s="168"/>
      <c r="EQD35" s="168"/>
      <c r="EQE35" s="168"/>
      <c r="EQF35" s="168"/>
      <c r="EQG35" s="168"/>
      <c r="EQH35" s="168"/>
      <c r="EQI35" s="168"/>
      <c r="EQJ35" s="168"/>
      <c r="EQK35" s="168"/>
      <c r="EQL35" s="168"/>
      <c r="EQM35" s="168"/>
      <c r="EQN35" s="168"/>
      <c r="EQO35" s="168"/>
      <c r="EQP35" s="168"/>
      <c r="EQQ35" s="168"/>
      <c r="EQR35" s="168"/>
      <c r="EQS35" s="168"/>
      <c r="EQT35" s="168"/>
      <c r="EQU35" s="168"/>
      <c r="EQV35" s="168"/>
      <c r="EQW35" s="168"/>
      <c r="EQX35" s="168"/>
      <c r="EQY35" s="168"/>
      <c r="EQZ35" s="168"/>
      <c r="ERA35" s="168"/>
      <c r="ERB35" s="168"/>
      <c r="ERC35" s="168"/>
      <c r="ERD35" s="168"/>
      <c r="ERE35" s="168"/>
      <c r="ERF35" s="168"/>
      <c r="ERG35" s="168"/>
      <c r="ERH35" s="168"/>
      <c r="ERI35" s="168"/>
      <c r="ERJ35" s="168"/>
      <c r="ERK35" s="168"/>
      <c r="ERL35" s="168"/>
      <c r="ERM35" s="168"/>
      <c r="ERN35" s="168"/>
      <c r="ERO35" s="168"/>
      <c r="ERP35" s="168"/>
      <c r="ERQ35" s="168"/>
      <c r="ERR35" s="168"/>
      <c r="ERS35" s="168"/>
      <c r="ERT35" s="168"/>
      <c r="ERU35" s="168"/>
      <c r="ERV35" s="168"/>
      <c r="ERW35" s="168"/>
      <c r="ERX35" s="168"/>
      <c r="ERY35" s="168"/>
      <c r="ERZ35" s="168"/>
      <c r="ESA35" s="168"/>
      <c r="ESB35" s="168"/>
      <c r="ESC35" s="168"/>
      <c r="ESD35" s="168"/>
      <c r="ESE35" s="168"/>
      <c r="ESF35" s="168"/>
      <c r="ESG35" s="168"/>
      <c r="ESH35" s="168"/>
      <c r="ESI35" s="168"/>
      <c r="ESJ35" s="168"/>
      <c r="ESK35" s="168"/>
      <c r="ESL35" s="168"/>
      <c r="ESM35" s="168"/>
      <c r="ESN35" s="168"/>
      <c r="ESO35" s="168"/>
      <c r="ESP35" s="168"/>
      <c r="ESQ35" s="168"/>
      <c r="ESR35" s="168"/>
      <c r="ESS35" s="168"/>
      <c r="EST35" s="168"/>
      <c r="ESU35" s="168"/>
      <c r="ESV35" s="168"/>
      <c r="ESW35" s="168"/>
      <c r="ESX35" s="168"/>
      <c r="ESY35" s="168"/>
      <c r="ESZ35" s="168"/>
      <c r="ETA35" s="168"/>
      <c r="ETB35" s="168"/>
      <c r="ETC35" s="168"/>
      <c r="ETD35" s="168"/>
      <c r="ETE35" s="168"/>
      <c r="ETF35" s="168"/>
      <c r="ETG35" s="168"/>
      <c r="ETH35" s="168"/>
      <c r="ETI35" s="168"/>
      <c r="ETJ35" s="168"/>
      <c r="ETK35" s="168"/>
      <c r="ETL35" s="168"/>
      <c r="ETM35" s="168"/>
      <c r="ETN35" s="168"/>
      <c r="ETO35" s="168"/>
      <c r="ETP35" s="168"/>
      <c r="ETQ35" s="168"/>
      <c r="ETR35" s="168"/>
      <c r="ETS35" s="168"/>
      <c r="ETT35" s="168"/>
      <c r="ETU35" s="168"/>
      <c r="ETV35" s="168"/>
      <c r="ETW35" s="168"/>
      <c r="ETX35" s="168"/>
      <c r="ETY35" s="168"/>
      <c r="ETZ35" s="168"/>
      <c r="EUA35" s="168"/>
      <c r="EUB35" s="168"/>
      <c r="EUC35" s="168"/>
      <c r="EUD35" s="168"/>
      <c r="EUE35" s="168"/>
      <c r="EUF35" s="168"/>
      <c r="EUG35" s="168"/>
      <c r="EUH35" s="168"/>
      <c r="EUI35" s="168"/>
      <c r="EUJ35" s="168"/>
      <c r="EUK35" s="168"/>
      <c r="EUL35" s="168"/>
      <c r="EUM35" s="168"/>
      <c r="EUN35" s="168"/>
      <c r="EUO35" s="168"/>
      <c r="EUP35" s="168"/>
      <c r="EUQ35" s="168"/>
      <c r="EUR35" s="168"/>
      <c r="EUS35" s="168"/>
      <c r="EUT35" s="168"/>
      <c r="EUU35" s="168"/>
      <c r="EUV35" s="168"/>
      <c r="EUW35" s="168"/>
      <c r="EUX35" s="168"/>
      <c r="EUY35" s="168"/>
      <c r="EUZ35" s="168"/>
      <c r="EVA35" s="168"/>
      <c r="EVB35" s="168"/>
      <c r="EVC35" s="168"/>
      <c r="EVD35" s="168"/>
      <c r="EVE35" s="168"/>
      <c r="EVF35" s="168"/>
      <c r="EVG35" s="168"/>
      <c r="EVH35" s="168"/>
      <c r="EVI35" s="168"/>
      <c r="EVJ35" s="168"/>
      <c r="EVK35" s="168"/>
      <c r="EVL35" s="168"/>
      <c r="EVM35" s="168"/>
      <c r="EVN35" s="168"/>
      <c r="EVO35" s="168"/>
      <c r="EVP35" s="168"/>
      <c r="EVQ35" s="168"/>
      <c r="EVR35" s="168"/>
      <c r="EVS35" s="168"/>
      <c r="EVT35" s="168"/>
      <c r="EVU35" s="168"/>
      <c r="EVV35" s="168"/>
      <c r="EVW35" s="168"/>
      <c r="EVX35" s="168"/>
      <c r="EVY35" s="168"/>
      <c r="EVZ35" s="168"/>
      <c r="EWA35" s="168"/>
      <c r="EWB35" s="168"/>
      <c r="EWC35" s="168"/>
      <c r="EWD35" s="168"/>
      <c r="EWE35" s="168"/>
      <c r="EWF35" s="168"/>
      <c r="EWG35" s="168"/>
      <c r="EWH35" s="168"/>
      <c r="EWI35" s="168"/>
      <c r="EWJ35" s="168"/>
      <c r="EWK35" s="168"/>
      <c r="EWL35" s="168"/>
      <c r="EWM35" s="168"/>
      <c r="EWN35" s="168"/>
      <c r="EWO35" s="168"/>
      <c r="EWP35" s="168"/>
      <c r="EWQ35" s="168"/>
      <c r="EWR35" s="168"/>
      <c r="EWS35" s="168"/>
      <c r="EWT35" s="168"/>
      <c r="EWU35" s="168"/>
      <c r="EWV35" s="168"/>
      <c r="EWW35" s="168"/>
      <c r="EWX35" s="168"/>
      <c r="EWY35" s="168"/>
      <c r="EWZ35" s="168"/>
      <c r="EXA35" s="168"/>
      <c r="EXB35" s="168"/>
      <c r="EXC35" s="168"/>
      <c r="EXD35" s="168"/>
      <c r="EXE35" s="168"/>
      <c r="EXF35" s="168"/>
      <c r="EXG35" s="168"/>
      <c r="EXH35" s="168"/>
      <c r="EXI35" s="168"/>
      <c r="EXJ35" s="168"/>
      <c r="EXK35" s="168"/>
      <c r="EXL35" s="168"/>
      <c r="EXM35" s="168"/>
      <c r="EXN35" s="168"/>
      <c r="EXO35" s="168"/>
      <c r="EXP35" s="168"/>
      <c r="EXQ35" s="168"/>
      <c r="EXR35" s="168"/>
      <c r="EXS35" s="168"/>
      <c r="EXT35" s="168"/>
      <c r="EXU35" s="168"/>
      <c r="EXV35" s="168"/>
      <c r="EXW35" s="168"/>
      <c r="EXX35" s="168"/>
      <c r="EXY35" s="168"/>
      <c r="EXZ35" s="168"/>
      <c r="EYA35" s="168"/>
      <c r="EYB35" s="168"/>
      <c r="EYC35" s="168"/>
      <c r="EYD35" s="168"/>
      <c r="EYE35" s="168"/>
      <c r="EYF35" s="168"/>
      <c r="EYG35" s="168"/>
      <c r="EYH35" s="168"/>
      <c r="EYI35" s="168"/>
      <c r="EYJ35" s="168"/>
      <c r="EYK35" s="168"/>
      <c r="EYL35" s="168"/>
      <c r="EYM35" s="168"/>
      <c r="EYN35" s="168"/>
      <c r="EYO35" s="168"/>
      <c r="EYP35" s="168"/>
      <c r="EYQ35" s="168"/>
      <c r="EYR35" s="168"/>
      <c r="EYS35" s="168"/>
      <c r="EYT35" s="168"/>
      <c r="EYU35" s="168"/>
      <c r="EYV35" s="168"/>
      <c r="EYW35" s="168"/>
      <c r="EYX35" s="168"/>
      <c r="EYY35" s="168"/>
      <c r="EYZ35" s="168"/>
      <c r="EZA35" s="168"/>
      <c r="EZB35" s="168"/>
      <c r="EZC35" s="168"/>
      <c r="EZD35" s="168"/>
      <c r="EZE35" s="168"/>
      <c r="EZF35" s="168"/>
      <c r="EZG35" s="168"/>
      <c r="EZH35" s="168"/>
      <c r="EZI35" s="168"/>
      <c r="EZJ35" s="168"/>
      <c r="EZK35" s="168"/>
      <c r="EZL35" s="168"/>
      <c r="EZM35" s="168"/>
      <c r="EZN35" s="168"/>
      <c r="EZO35" s="168"/>
      <c r="EZP35" s="168"/>
      <c r="EZQ35" s="168"/>
      <c r="EZR35" s="168"/>
      <c r="EZS35" s="168"/>
      <c r="EZT35" s="168"/>
      <c r="EZU35" s="168"/>
      <c r="EZV35" s="168"/>
      <c r="EZW35" s="168"/>
      <c r="EZX35" s="168"/>
      <c r="EZY35" s="168"/>
      <c r="EZZ35" s="168"/>
      <c r="FAA35" s="168"/>
      <c r="FAB35" s="168"/>
      <c r="FAC35" s="168"/>
      <c r="FAD35" s="168"/>
      <c r="FAE35" s="168"/>
      <c r="FAF35" s="168"/>
      <c r="FAG35" s="168"/>
      <c r="FAH35" s="168"/>
      <c r="FAI35" s="168"/>
      <c r="FAJ35" s="168"/>
      <c r="FAK35" s="168"/>
      <c r="FAL35" s="168"/>
      <c r="FAM35" s="168"/>
      <c r="FAN35" s="168"/>
      <c r="FAO35" s="168"/>
      <c r="FAP35" s="168"/>
      <c r="FAQ35" s="168"/>
      <c r="FAR35" s="168"/>
      <c r="FAS35" s="168"/>
      <c r="FAT35" s="168"/>
      <c r="FAU35" s="168"/>
      <c r="FAV35" s="168"/>
      <c r="FAW35" s="168"/>
      <c r="FAX35" s="168"/>
      <c r="FAY35" s="168"/>
      <c r="FAZ35" s="168"/>
      <c r="FBA35" s="168"/>
      <c r="FBB35" s="168"/>
      <c r="FBC35" s="168"/>
      <c r="FBD35" s="168"/>
      <c r="FBE35" s="168"/>
      <c r="FBF35" s="168"/>
      <c r="FBG35" s="168"/>
      <c r="FBH35" s="168"/>
      <c r="FBI35" s="168"/>
      <c r="FBJ35" s="168"/>
      <c r="FBK35" s="168"/>
      <c r="FBL35" s="168"/>
      <c r="FBM35" s="168"/>
      <c r="FBN35" s="168"/>
      <c r="FBO35" s="168"/>
      <c r="FBP35" s="168"/>
      <c r="FBQ35" s="168"/>
      <c r="FBR35" s="168"/>
      <c r="FBS35" s="168"/>
      <c r="FBT35" s="168"/>
      <c r="FBU35" s="168"/>
      <c r="FBV35" s="168"/>
      <c r="FBW35" s="168"/>
      <c r="FBX35" s="168"/>
      <c r="FBY35" s="168"/>
      <c r="FBZ35" s="168"/>
      <c r="FCA35" s="168"/>
      <c r="FCB35" s="168"/>
      <c r="FCC35" s="168"/>
      <c r="FCD35" s="168"/>
      <c r="FCE35" s="168"/>
      <c r="FCF35" s="168"/>
      <c r="FCG35" s="168"/>
      <c r="FCH35" s="168"/>
      <c r="FCI35" s="168"/>
      <c r="FCJ35" s="168"/>
      <c r="FCK35" s="168"/>
      <c r="FCL35" s="168"/>
      <c r="FCM35" s="168"/>
      <c r="FCN35" s="168"/>
      <c r="FCO35" s="168"/>
      <c r="FCP35" s="168"/>
      <c r="FCQ35" s="168"/>
      <c r="FCR35" s="168"/>
      <c r="FCS35" s="168"/>
      <c r="FCT35" s="168"/>
      <c r="FCU35" s="168"/>
      <c r="FCV35" s="168"/>
      <c r="FCW35" s="168"/>
      <c r="FCX35" s="168"/>
      <c r="FCY35" s="168"/>
      <c r="FCZ35" s="168"/>
      <c r="FDA35" s="168"/>
      <c r="FDB35" s="168"/>
      <c r="FDC35" s="168"/>
      <c r="FDD35" s="168"/>
      <c r="FDE35" s="168"/>
      <c r="FDF35" s="168"/>
      <c r="FDG35" s="168"/>
      <c r="FDH35" s="168"/>
      <c r="FDI35" s="168"/>
      <c r="FDJ35" s="168"/>
      <c r="FDK35" s="168"/>
      <c r="FDL35" s="168"/>
      <c r="FDM35" s="168"/>
      <c r="FDN35" s="168"/>
      <c r="FDO35" s="168"/>
      <c r="FDP35" s="168"/>
      <c r="FDQ35" s="168"/>
      <c r="FDR35" s="168"/>
      <c r="FDS35" s="168"/>
      <c r="FDT35" s="168"/>
      <c r="FDU35" s="168"/>
      <c r="FDV35" s="168"/>
      <c r="FDW35" s="168"/>
      <c r="FDX35" s="168"/>
      <c r="FDY35" s="168"/>
      <c r="FDZ35" s="168"/>
      <c r="FEA35" s="168"/>
      <c r="FEB35" s="168"/>
      <c r="FEC35" s="168"/>
      <c r="FED35" s="168"/>
      <c r="FEE35" s="168"/>
      <c r="FEF35" s="168"/>
      <c r="FEG35" s="168"/>
      <c r="FEH35" s="168"/>
      <c r="FEI35" s="168"/>
      <c r="FEJ35" s="168"/>
      <c r="FEK35" s="168"/>
      <c r="FEL35" s="168"/>
      <c r="FEM35" s="168"/>
      <c r="FEN35" s="168"/>
      <c r="FEO35" s="168"/>
      <c r="FEP35" s="168"/>
      <c r="FEQ35" s="168"/>
      <c r="FER35" s="168"/>
      <c r="FES35" s="168"/>
      <c r="FET35" s="168"/>
      <c r="FEU35" s="168"/>
      <c r="FEV35" s="168"/>
      <c r="FEW35" s="168"/>
      <c r="FEX35" s="168"/>
      <c r="FEY35" s="168"/>
      <c r="FEZ35" s="168"/>
      <c r="FFA35" s="168"/>
      <c r="FFB35" s="168"/>
      <c r="FFC35" s="168"/>
      <c r="FFD35" s="168"/>
      <c r="FFE35" s="168"/>
      <c r="FFF35" s="168"/>
      <c r="FFG35" s="168"/>
      <c r="FFH35" s="168"/>
      <c r="FFI35" s="168"/>
      <c r="FFJ35" s="168"/>
      <c r="FFK35" s="168"/>
      <c r="FFL35" s="168"/>
      <c r="FFM35" s="168"/>
      <c r="FFN35" s="168"/>
      <c r="FFO35" s="168"/>
      <c r="FFP35" s="168"/>
      <c r="FFQ35" s="168"/>
      <c r="FFR35" s="168"/>
      <c r="FFS35" s="168"/>
      <c r="FFT35" s="168"/>
      <c r="FFU35" s="168"/>
      <c r="FFV35" s="168"/>
      <c r="FFW35" s="168"/>
      <c r="FFX35" s="168"/>
      <c r="FFY35" s="168"/>
      <c r="FFZ35" s="168"/>
      <c r="FGA35" s="168"/>
      <c r="FGB35" s="168"/>
      <c r="FGC35" s="168"/>
      <c r="FGD35" s="168"/>
      <c r="FGE35" s="168"/>
      <c r="FGF35" s="168"/>
      <c r="FGG35" s="168"/>
      <c r="FGH35" s="168"/>
      <c r="FGI35" s="168"/>
      <c r="FGJ35" s="168"/>
      <c r="FGK35" s="168"/>
      <c r="FGL35" s="168"/>
      <c r="FGM35" s="168"/>
      <c r="FGN35" s="168"/>
      <c r="FGO35" s="168"/>
      <c r="FGP35" s="168"/>
      <c r="FGQ35" s="168"/>
      <c r="FGR35" s="168"/>
      <c r="FGS35" s="168"/>
      <c r="FGT35" s="168"/>
      <c r="FGU35" s="168"/>
      <c r="FGV35" s="168"/>
      <c r="FGW35" s="168"/>
      <c r="FGX35" s="168"/>
      <c r="FGY35" s="168"/>
      <c r="FGZ35" s="168"/>
      <c r="FHA35" s="168"/>
      <c r="FHB35" s="168"/>
      <c r="FHC35" s="168"/>
      <c r="FHD35" s="168"/>
      <c r="FHE35" s="168"/>
      <c r="FHF35" s="168"/>
      <c r="FHG35" s="168"/>
      <c r="FHH35" s="168"/>
      <c r="FHI35" s="168"/>
      <c r="FHJ35" s="168"/>
      <c r="FHK35" s="168"/>
      <c r="FHL35" s="168"/>
      <c r="FHM35" s="168"/>
      <c r="FHN35" s="168"/>
      <c r="FHO35" s="168"/>
      <c r="FHP35" s="168"/>
      <c r="FHQ35" s="168"/>
      <c r="FHR35" s="168"/>
      <c r="FHS35" s="168"/>
      <c r="FHT35" s="168"/>
      <c r="FHU35" s="168"/>
      <c r="FHV35" s="168"/>
      <c r="FHW35" s="168"/>
      <c r="FHX35" s="168"/>
      <c r="FHY35" s="168"/>
      <c r="FHZ35" s="168"/>
      <c r="FIA35" s="168"/>
      <c r="FIB35" s="168"/>
      <c r="FIC35" s="168"/>
      <c r="FID35" s="168"/>
      <c r="FIE35" s="168"/>
      <c r="FIF35" s="168"/>
      <c r="FIG35" s="168"/>
      <c r="FIH35" s="168"/>
      <c r="FII35" s="168"/>
      <c r="FIJ35" s="168"/>
      <c r="FIK35" s="168"/>
      <c r="FIL35" s="168"/>
      <c r="FIM35" s="168"/>
      <c r="FIN35" s="168"/>
      <c r="FIO35" s="168"/>
      <c r="FIP35" s="168"/>
      <c r="FIQ35" s="168"/>
      <c r="FIR35" s="168"/>
      <c r="FIS35" s="168"/>
      <c r="FIT35" s="168"/>
      <c r="FIU35" s="168"/>
      <c r="FIV35" s="168"/>
      <c r="FIW35" s="168"/>
      <c r="FIX35" s="168"/>
      <c r="FIY35" s="168"/>
      <c r="FIZ35" s="168"/>
      <c r="FJA35" s="168"/>
      <c r="FJB35" s="168"/>
      <c r="FJC35" s="168"/>
      <c r="FJD35" s="168"/>
      <c r="FJE35" s="168"/>
      <c r="FJF35" s="168"/>
      <c r="FJG35" s="168"/>
      <c r="FJH35" s="168"/>
      <c r="FJI35" s="168"/>
      <c r="FJJ35" s="168"/>
      <c r="FJK35" s="168"/>
      <c r="FJL35" s="168"/>
      <c r="FJM35" s="168"/>
      <c r="FJN35" s="168"/>
      <c r="FJO35" s="168"/>
      <c r="FJP35" s="168"/>
      <c r="FJQ35" s="168"/>
      <c r="FJR35" s="168"/>
      <c r="FJS35" s="168"/>
      <c r="FJT35" s="168"/>
      <c r="FJU35" s="168"/>
      <c r="FJV35" s="168"/>
      <c r="FJW35" s="168"/>
      <c r="FJX35" s="168"/>
      <c r="FJY35" s="168"/>
      <c r="FJZ35" s="168"/>
      <c r="FKA35" s="168"/>
      <c r="FKB35" s="168"/>
      <c r="FKC35" s="168"/>
      <c r="FKD35" s="168"/>
      <c r="FKE35" s="168"/>
      <c r="FKF35" s="168"/>
      <c r="FKG35" s="168"/>
      <c r="FKH35" s="168"/>
      <c r="FKI35" s="168"/>
      <c r="FKJ35" s="168"/>
      <c r="FKK35" s="168"/>
      <c r="FKL35" s="168"/>
      <c r="FKM35" s="168"/>
      <c r="FKN35" s="168"/>
      <c r="FKO35" s="168"/>
      <c r="FKP35" s="168"/>
      <c r="FKQ35" s="168"/>
      <c r="FKR35" s="168"/>
      <c r="FKS35" s="168"/>
      <c r="FKT35" s="168"/>
      <c r="FKU35" s="168"/>
      <c r="FKV35" s="168"/>
      <c r="FKW35" s="168"/>
      <c r="FKX35" s="168"/>
      <c r="FKY35" s="168"/>
      <c r="FKZ35" s="168"/>
      <c r="FLA35" s="168"/>
      <c r="FLB35" s="168"/>
      <c r="FLC35" s="168"/>
      <c r="FLD35" s="168"/>
      <c r="FLE35" s="168"/>
      <c r="FLF35" s="168"/>
      <c r="FLG35" s="168"/>
      <c r="FLH35" s="168"/>
      <c r="FLI35" s="168"/>
      <c r="FLJ35" s="168"/>
      <c r="FLK35" s="168"/>
      <c r="FLL35" s="168"/>
      <c r="FLM35" s="168"/>
      <c r="FLN35" s="168"/>
      <c r="FLO35" s="168"/>
      <c r="FLP35" s="168"/>
      <c r="FLQ35" s="168"/>
      <c r="FLR35" s="168"/>
      <c r="FLS35" s="168"/>
      <c r="FLT35" s="168"/>
      <c r="FLU35" s="168"/>
      <c r="FLV35" s="168"/>
      <c r="FLW35" s="168"/>
      <c r="FLX35" s="168"/>
      <c r="FLY35" s="168"/>
      <c r="FLZ35" s="168"/>
      <c r="FMA35" s="168"/>
      <c r="FMB35" s="168"/>
      <c r="FMC35" s="168"/>
      <c r="FMD35" s="168"/>
      <c r="FME35" s="168"/>
      <c r="FMF35" s="168"/>
      <c r="FMG35" s="168"/>
      <c r="FMH35" s="168"/>
      <c r="FMI35" s="168"/>
      <c r="FMJ35" s="168"/>
      <c r="FMK35" s="168"/>
      <c r="FML35" s="168"/>
      <c r="FMM35" s="168"/>
      <c r="FMN35" s="168"/>
      <c r="FMO35" s="168"/>
      <c r="FMP35" s="168"/>
      <c r="FMQ35" s="168"/>
      <c r="FMR35" s="168"/>
      <c r="FMS35" s="168"/>
      <c r="FMT35" s="168"/>
      <c r="FMU35" s="168"/>
      <c r="FMV35" s="168"/>
      <c r="FMW35" s="168"/>
      <c r="FMX35" s="168"/>
      <c r="FMY35" s="168"/>
      <c r="FMZ35" s="168"/>
      <c r="FNA35" s="168"/>
      <c r="FNB35" s="168"/>
      <c r="FNC35" s="168"/>
      <c r="FND35" s="168"/>
      <c r="FNE35" s="168"/>
      <c r="FNF35" s="168"/>
      <c r="FNG35" s="168"/>
      <c r="FNH35" s="168"/>
      <c r="FNI35" s="168"/>
      <c r="FNJ35" s="168"/>
      <c r="FNK35" s="168"/>
      <c r="FNL35" s="168"/>
      <c r="FNM35" s="168"/>
      <c r="FNN35" s="168"/>
      <c r="FNO35" s="168"/>
      <c r="FNP35" s="168"/>
      <c r="FNQ35" s="168"/>
      <c r="FNR35" s="168"/>
      <c r="FNS35" s="168"/>
      <c r="FNT35" s="168"/>
      <c r="FNU35" s="168"/>
      <c r="FNV35" s="168"/>
      <c r="FNW35" s="168"/>
      <c r="FNX35" s="168"/>
      <c r="FNY35" s="168"/>
      <c r="FNZ35" s="168"/>
      <c r="FOA35" s="168"/>
      <c r="FOB35" s="168"/>
      <c r="FOC35" s="168"/>
      <c r="FOD35" s="168"/>
      <c r="FOE35" s="168"/>
      <c r="FOF35" s="168"/>
      <c r="FOG35" s="168"/>
      <c r="FOH35" s="168"/>
      <c r="FOI35" s="168"/>
      <c r="FOJ35" s="168"/>
      <c r="FOK35" s="168"/>
      <c r="FOL35" s="168"/>
      <c r="FOM35" s="168"/>
      <c r="FON35" s="168"/>
      <c r="FOO35" s="168"/>
      <c r="FOP35" s="168"/>
      <c r="FOQ35" s="168"/>
      <c r="FOR35" s="168"/>
      <c r="FOS35" s="168"/>
      <c r="FOT35" s="168"/>
      <c r="FOU35" s="168"/>
      <c r="FOV35" s="168"/>
      <c r="FOW35" s="168"/>
      <c r="FOX35" s="168"/>
      <c r="FOY35" s="168"/>
      <c r="FOZ35" s="168"/>
      <c r="FPA35" s="168"/>
      <c r="FPB35" s="168"/>
      <c r="FPC35" s="168"/>
      <c r="FPD35" s="168"/>
      <c r="FPE35" s="168"/>
      <c r="FPF35" s="168"/>
      <c r="FPG35" s="168"/>
      <c r="FPH35" s="168"/>
      <c r="FPI35" s="168"/>
      <c r="FPJ35" s="168"/>
      <c r="FPK35" s="168"/>
      <c r="FPL35" s="168"/>
      <c r="FPM35" s="168"/>
      <c r="FPN35" s="168"/>
      <c r="FPO35" s="168"/>
      <c r="FPP35" s="168"/>
      <c r="FPQ35" s="168"/>
      <c r="FPR35" s="168"/>
      <c r="FPS35" s="168"/>
      <c r="FPT35" s="168"/>
      <c r="FPU35" s="168"/>
      <c r="FPV35" s="168"/>
      <c r="FPW35" s="168"/>
      <c r="FPX35" s="168"/>
      <c r="FPY35" s="168"/>
      <c r="FPZ35" s="168"/>
      <c r="FQA35" s="168"/>
      <c r="FQB35" s="168"/>
      <c r="FQC35" s="168"/>
      <c r="FQD35" s="168"/>
      <c r="FQE35" s="168"/>
      <c r="FQF35" s="168"/>
      <c r="FQG35" s="168"/>
      <c r="FQH35" s="168"/>
      <c r="FQI35" s="168"/>
      <c r="FQJ35" s="168"/>
      <c r="FQK35" s="168"/>
      <c r="FQL35" s="168"/>
      <c r="FQM35" s="168"/>
      <c r="FQN35" s="168"/>
      <c r="FQO35" s="168"/>
      <c r="FQP35" s="168"/>
      <c r="FQQ35" s="168"/>
      <c r="FQR35" s="168"/>
      <c r="FQS35" s="168"/>
      <c r="FQT35" s="168"/>
      <c r="FQU35" s="168"/>
      <c r="FQV35" s="168"/>
      <c r="FQW35" s="168"/>
      <c r="FQX35" s="168"/>
      <c r="FQY35" s="168"/>
      <c r="FQZ35" s="168"/>
      <c r="FRA35" s="168"/>
      <c r="FRB35" s="168"/>
      <c r="FRC35" s="168"/>
      <c r="FRD35" s="168"/>
      <c r="FRE35" s="168"/>
      <c r="FRF35" s="168"/>
      <c r="FRG35" s="168"/>
      <c r="FRH35" s="168"/>
      <c r="FRI35" s="168"/>
      <c r="FRJ35" s="168"/>
      <c r="FRK35" s="168"/>
      <c r="FRL35" s="168"/>
      <c r="FRM35" s="168"/>
      <c r="FRN35" s="168"/>
      <c r="FRO35" s="168"/>
      <c r="FRP35" s="168"/>
      <c r="FRQ35" s="168"/>
      <c r="FRR35" s="168"/>
      <c r="FRS35" s="168"/>
      <c r="FRT35" s="168"/>
      <c r="FRU35" s="168"/>
      <c r="FRV35" s="168"/>
      <c r="FRW35" s="168"/>
      <c r="FRX35" s="168"/>
      <c r="FRY35" s="168"/>
      <c r="FRZ35" s="168"/>
      <c r="FSA35" s="168"/>
      <c r="FSB35" s="168"/>
      <c r="FSC35" s="168"/>
      <c r="FSD35" s="168"/>
      <c r="FSE35" s="168"/>
      <c r="FSF35" s="168"/>
      <c r="FSG35" s="168"/>
      <c r="FSH35" s="168"/>
      <c r="FSI35" s="168"/>
      <c r="FSJ35" s="168"/>
      <c r="FSK35" s="168"/>
      <c r="FSL35" s="168"/>
      <c r="FSM35" s="168"/>
      <c r="FSN35" s="168"/>
      <c r="FSO35" s="168"/>
      <c r="FSP35" s="168"/>
      <c r="FSQ35" s="168"/>
      <c r="FSR35" s="168"/>
      <c r="FSS35" s="168"/>
      <c r="FST35" s="168"/>
      <c r="FSU35" s="168"/>
      <c r="FSV35" s="168"/>
      <c r="FSW35" s="168"/>
      <c r="FSX35" s="168"/>
      <c r="FSY35" s="168"/>
      <c r="FSZ35" s="168"/>
      <c r="FTA35" s="168"/>
      <c r="FTB35" s="168"/>
      <c r="FTC35" s="168"/>
      <c r="FTD35" s="168"/>
      <c r="FTE35" s="168"/>
      <c r="FTF35" s="168"/>
      <c r="FTG35" s="168"/>
      <c r="FTH35" s="168"/>
      <c r="FTI35" s="168"/>
      <c r="FTJ35" s="168"/>
      <c r="FTK35" s="168"/>
      <c r="FTL35" s="168"/>
      <c r="FTM35" s="168"/>
      <c r="FTN35" s="168"/>
      <c r="FTO35" s="168"/>
      <c r="FTP35" s="168"/>
      <c r="FTQ35" s="168"/>
      <c r="FTR35" s="168"/>
      <c r="FTS35" s="168"/>
      <c r="FTT35" s="168"/>
      <c r="FTU35" s="168"/>
      <c r="FTV35" s="168"/>
      <c r="FTW35" s="168"/>
      <c r="FTX35" s="168"/>
      <c r="FTY35" s="168"/>
      <c r="FTZ35" s="168"/>
      <c r="FUA35" s="168"/>
      <c r="FUB35" s="168"/>
      <c r="FUC35" s="168"/>
      <c r="FUD35" s="168"/>
      <c r="FUE35" s="168"/>
      <c r="FUF35" s="168"/>
      <c r="FUG35" s="168"/>
      <c r="FUH35" s="168"/>
      <c r="FUI35" s="168"/>
      <c r="FUJ35" s="168"/>
      <c r="FUK35" s="168"/>
      <c r="FUL35" s="168"/>
      <c r="FUM35" s="168"/>
      <c r="FUN35" s="168"/>
      <c r="FUO35" s="168"/>
      <c r="FUP35" s="168"/>
      <c r="FUQ35" s="168"/>
      <c r="FUR35" s="168"/>
      <c r="FUS35" s="168"/>
      <c r="FUT35" s="168"/>
      <c r="FUU35" s="168"/>
      <c r="FUV35" s="168"/>
      <c r="FUW35" s="168"/>
      <c r="FUX35" s="168"/>
      <c r="FUY35" s="168"/>
      <c r="FUZ35" s="168"/>
      <c r="FVA35" s="168"/>
      <c r="FVB35" s="168"/>
      <c r="FVC35" s="168"/>
      <c r="FVD35" s="168"/>
      <c r="FVE35" s="168"/>
      <c r="FVF35" s="168"/>
      <c r="FVG35" s="168"/>
      <c r="FVH35" s="168"/>
      <c r="FVI35" s="168"/>
      <c r="FVJ35" s="168"/>
      <c r="FVK35" s="168"/>
      <c r="FVL35" s="168"/>
      <c r="FVM35" s="168"/>
      <c r="FVN35" s="168"/>
      <c r="FVO35" s="168"/>
      <c r="FVP35" s="168"/>
      <c r="FVQ35" s="168"/>
      <c r="FVR35" s="168"/>
      <c r="FVS35" s="168"/>
      <c r="FVT35" s="168"/>
      <c r="FVU35" s="168"/>
      <c r="FVV35" s="168"/>
      <c r="FVW35" s="168"/>
      <c r="FVX35" s="168"/>
      <c r="FVY35" s="168"/>
      <c r="FVZ35" s="168"/>
      <c r="FWA35" s="168"/>
      <c r="FWB35" s="168"/>
      <c r="FWC35" s="168"/>
      <c r="FWD35" s="168"/>
      <c r="FWE35" s="168"/>
      <c r="FWF35" s="168"/>
      <c r="FWG35" s="168"/>
      <c r="FWH35" s="168"/>
      <c r="FWI35" s="168"/>
      <c r="FWJ35" s="168"/>
      <c r="FWK35" s="168"/>
      <c r="FWL35" s="168"/>
      <c r="FWM35" s="168"/>
      <c r="FWN35" s="168"/>
      <c r="FWO35" s="168"/>
      <c r="FWP35" s="168"/>
      <c r="FWQ35" s="168"/>
      <c r="FWR35" s="168"/>
      <c r="FWS35" s="168"/>
      <c r="FWT35" s="168"/>
      <c r="FWU35" s="168"/>
      <c r="FWV35" s="168"/>
      <c r="FWW35" s="168"/>
      <c r="FWX35" s="168"/>
      <c r="FWY35" s="168"/>
      <c r="FWZ35" s="168"/>
      <c r="FXA35" s="168"/>
      <c r="FXB35" s="168"/>
      <c r="FXC35" s="168"/>
      <c r="FXD35" s="168"/>
      <c r="FXE35" s="168"/>
      <c r="FXF35" s="168"/>
      <c r="FXG35" s="168"/>
      <c r="FXH35" s="168"/>
      <c r="FXI35" s="168"/>
      <c r="FXJ35" s="168"/>
      <c r="FXK35" s="168"/>
      <c r="FXL35" s="168"/>
      <c r="FXM35" s="168"/>
      <c r="FXN35" s="168"/>
      <c r="FXO35" s="168"/>
      <c r="FXP35" s="168"/>
      <c r="FXQ35" s="168"/>
      <c r="FXR35" s="168"/>
      <c r="FXS35" s="168"/>
      <c r="FXT35" s="168"/>
      <c r="FXU35" s="168"/>
      <c r="FXV35" s="168"/>
      <c r="FXW35" s="168"/>
      <c r="FXX35" s="168"/>
      <c r="FXY35" s="168"/>
      <c r="FXZ35" s="168"/>
      <c r="FYA35" s="168"/>
      <c r="FYB35" s="168"/>
      <c r="FYC35" s="168"/>
      <c r="FYD35" s="168"/>
      <c r="FYE35" s="168"/>
      <c r="FYF35" s="168"/>
      <c r="FYG35" s="168"/>
      <c r="FYH35" s="168"/>
      <c r="FYI35" s="168"/>
      <c r="FYJ35" s="168"/>
      <c r="FYK35" s="168"/>
      <c r="FYL35" s="168"/>
      <c r="FYM35" s="168"/>
      <c r="FYN35" s="168"/>
      <c r="FYO35" s="168"/>
      <c r="FYP35" s="168"/>
      <c r="FYQ35" s="168"/>
      <c r="FYR35" s="168"/>
      <c r="FYS35" s="168"/>
      <c r="FYT35" s="168"/>
      <c r="FYU35" s="168"/>
      <c r="FYV35" s="168"/>
      <c r="FYW35" s="168"/>
      <c r="FYX35" s="168"/>
      <c r="FYY35" s="168"/>
      <c r="FYZ35" s="168"/>
      <c r="FZA35" s="168"/>
      <c r="FZB35" s="168"/>
      <c r="FZC35" s="168"/>
      <c r="FZD35" s="168"/>
      <c r="FZE35" s="168"/>
      <c r="FZF35" s="168"/>
      <c r="FZG35" s="168"/>
      <c r="FZH35" s="168"/>
      <c r="FZI35" s="168"/>
      <c r="FZJ35" s="168"/>
      <c r="FZK35" s="168"/>
      <c r="FZL35" s="168"/>
      <c r="FZM35" s="168"/>
      <c r="FZN35" s="168"/>
      <c r="FZO35" s="168"/>
      <c r="FZP35" s="168"/>
      <c r="FZQ35" s="168"/>
      <c r="FZR35" s="168"/>
      <c r="FZS35" s="168"/>
      <c r="FZT35" s="168"/>
      <c r="FZU35" s="168"/>
      <c r="FZV35" s="168"/>
      <c r="FZW35" s="168"/>
      <c r="FZX35" s="168"/>
      <c r="FZY35" s="168"/>
      <c r="FZZ35" s="168"/>
      <c r="GAA35" s="168"/>
      <c r="GAB35" s="168"/>
      <c r="GAC35" s="168"/>
      <c r="GAD35" s="168"/>
      <c r="GAE35" s="168"/>
      <c r="GAF35" s="168"/>
      <c r="GAG35" s="168"/>
      <c r="GAH35" s="168"/>
      <c r="GAI35" s="168"/>
      <c r="GAJ35" s="168"/>
      <c r="GAK35" s="168"/>
      <c r="GAL35" s="168"/>
      <c r="GAM35" s="168"/>
      <c r="GAN35" s="168"/>
      <c r="GAO35" s="168"/>
      <c r="GAP35" s="168"/>
      <c r="GAQ35" s="168"/>
      <c r="GAR35" s="168"/>
      <c r="GAS35" s="168"/>
      <c r="GAT35" s="168"/>
      <c r="GAU35" s="168"/>
      <c r="GAV35" s="168"/>
      <c r="GAW35" s="168"/>
      <c r="GAX35" s="168"/>
      <c r="GAY35" s="168"/>
      <c r="GAZ35" s="168"/>
      <c r="GBA35" s="168"/>
      <c r="GBB35" s="168"/>
      <c r="GBC35" s="168"/>
      <c r="GBD35" s="168"/>
      <c r="GBE35" s="168"/>
      <c r="GBF35" s="168"/>
      <c r="GBG35" s="168"/>
      <c r="GBH35" s="168"/>
      <c r="GBI35" s="168"/>
      <c r="GBJ35" s="168"/>
      <c r="GBK35" s="168"/>
      <c r="GBL35" s="168"/>
      <c r="GBM35" s="168"/>
      <c r="GBN35" s="168"/>
      <c r="GBO35" s="168"/>
      <c r="GBP35" s="168"/>
      <c r="GBQ35" s="168"/>
      <c r="GBR35" s="168"/>
      <c r="GBS35" s="168"/>
      <c r="GBT35" s="168"/>
      <c r="GBU35" s="168"/>
      <c r="GBV35" s="168"/>
      <c r="GBW35" s="168"/>
      <c r="GBX35" s="168"/>
      <c r="GBY35" s="168"/>
      <c r="GBZ35" s="168"/>
      <c r="GCA35" s="168"/>
      <c r="GCB35" s="168"/>
      <c r="GCC35" s="168"/>
      <c r="GCD35" s="168"/>
      <c r="GCE35" s="168"/>
      <c r="GCF35" s="168"/>
      <c r="GCG35" s="168"/>
      <c r="GCH35" s="168"/>
      <c r="GCI35" s="168"/>
      <c r="GCJ35" s="168"/>
      <c r="GCK35" s="168"/>
      <c r="GCL35" s="168"/>
      <c r="GCM35" s="168"/>
      <c r="GCN35" s="168"/>
      <c r="GCO35" s="168"/>
      <c r="GCP35" s="168"/>
      <c r="GCQ35" s="168"/>
      <c r="GCR35" s="168"/>
      <c r="GCS35" s="168"/>
      <c r="GCT35" s="168"/>
      <c r="GCU35" s="168"/>
      <c r="GCV35" s="168"/>
      <c r="GCW35" s="168"/>
      <c r="GCX35" s="168"/>
      <c r="GCY35" s="168"/>
      <c r="GCZ35" s="168"/>
      <c r="GDA35" s="168"/>
      <c r="GDB35" s="168"/>
      <c r="GDC35" s="168"/>
      <c r="GDD35" s="168"/>
      <c r="GDE35" s="168"/>
      <c r="GDF35" s="168"/>
      <c r="GDG35" s="168"/>
      <c r="GDH35" s="168"/>
      <c r="GDI35" s="168"/>
      <c r="GDJ35" s="168"/>
      <c r="GDK35" s="168"/>
      <c r="GDL35" s="168"/>
      <c r="GDM35" s="168"/>
      <c r="GDN35" s="168"/>
      <c r="GDO35" s="168"/>
      <c r="GDP35" s="168"/>
      <c r="GDQ35" s="168"/>
      <c r="GDR35" s="168"/>
      <c r="GDS35" s="168"/>
      <c r="GDT35" s="168"/>
      <c r="GDU35" s="168"/>
      <c r="GDV35" s="168"/>
      <c r="GDW35" s="168"/>
      <c r="GDX35" s="168"/>
      <c r="GDY35" s="168"/>
      <c r="GDZ35" s="168"/>
      <c r="GEA35" s="168"/>
      <c r="GEB35" s="168"/>
      <c r="GEC35" s="168"/>
      <c r="GED35" s="168"/>
      <c r="GEE35" s="168"/>
      <c r="GEF35" s="168"/>
      <c r="GEG35" s="168"/>
      <c r="GEH35" s="168"/>
      <c r="GEI35" s="168"/>
      <c r="GEJ35" s="168"/>
      <c r="GEK35" s="168"/>
      <c r="GEL35" s="168"/>
      <c r="GEM35" s="168"/>
      <c r="GEN35" s="168"/>
      <c r="GEO35" s="168"/>
      <c r="GEP35" s="168"/>
      <c r="GEQ35" s="168"/>
      <c r="GER35" s="168"/>
      <c r="GES35" s="168"/>
      <c r="GET35" s="168"/>
      <c r="GEU35" s="168"/>
      <c r="GEV35" s="168"/>
      <c r="GEW35" s="168"/>
      <c r="GEX35" s="168"/>
      <c r="GEY35" s="168"/>
      <c r="GEZ35" s="168"/>
      <c r="GFA35" s="168"/>
      <c r="GFB35" s="168"/>
      <c r="GFC35" s="168"/>
      <c r="GFD35" s="168"/>
      <c r="GFE35" s="168"/>
      <c r="GFF35" s="168"/>
      <c r="GFG35" s="168"/>
      <c r="GFH35" s="168"/>
      <c r="GFI35" s="168"/>
      <c r="GFJ35" s="168"/>
      <c r="GFK35" s="168"/>
      <c r="GFL35" s="168"/>
      <c r="GFM35" s="168"/>
      <c r="GFN35" s="168"/>
      <c r="GFO35" s="168"/>
      <c r="GFP35" s="168"/>
      <c r="GFQ35" s="168"/>
      <c r="GFR35" s="168"/>
      <c r="GFS35" s="168"/>
      <c r="GFT35" s="168"/>
      <c r="GFU35" s="168"/>
      <c r="GFV35" s="168"/>
      <c r="GFW35" s="168"/>
      <c r="GFX35" s="168"/>
      <c r="GFY35" s="168"/>
      <c r="GFZ35" s="168"/>
      <c r="GGA35" s="168"/>
      <c r="GGB35" s="168"/>
      <c r="GGC35" s="168"/>
      <c r="GGD35" s="168"/>
      <c r="GGE35" s="168"/>
      <c r="GGF35" s="168"/>
      <c r="GGG35" s="168"/>
      <c r="GGH35" s="168"/>
      <c r="GGI35" s="168"/>
      <c r="GGJ35" s="168"/>
      <c r="GGK35" s="168"/>
      <c r="GGL35" s="168"/>
      <c r="GGM35" s="168"/>
      <c r="GGN35" s="168"/>
      <c r="GGO35" s="168"/>
      <c r="GGP35" s="168"/>
      <c r="GGQ35" s="168"/>
      <c r="GGR35" s="168"/>
      <c r="GGS35" s="168"/>
      <c r="GGT35" s="168"/>
      <c r="GGU35" s="168"/>
      <c r="GGV35" s="168"/>
      <c r="GGW35" s="168"/>
      <c r="GGX35" s="168"/>
      <c r="GGY35" s="168"/>
      <c r="GGZ35" s="168"/>
      <c r="GHA35" s="168"/>
      <c r="GHB35" s="168"/>
      <c r="GHC35" s="168"/>
      <c r="GHD35" s="168"/>
      <c r="GHE35" s="168"/>
      <c r="GHF35" s="168"/>
      <c r="GHG35" s="168"/>
      <c r="GHH35" s="168"/>
      <c r="GHI35" s="168"/>
      <c r="GHJ35" s="168"/>
      <c r="GHK35" s="168"/>
      <c r="GHL35" s="168"/>
      <c r="GHM35" s="168"/>
      <c r="GHN35" s="168"/>
      <c r="GHO35" s="168"/>
      <c r="GHP35" s="168"/>
      <c r="GHQ35" s="168"/>
      <c r="GHR35" s="168"/>
      <c r="GHS35" s="168"/>
      <c r="GHT35" s="168"/>
      <c r="GHU35" s="168"/>
      <c r="GHV35" s="168"/>
      <c r="GHW35" s="168"/>
      <c r="GHX35" s="168"/>
      <c r="GHY35" s="168"/>
      <c r="GHZ35" s="168"/>
      <c r="GIA35" s="168"/>
      <c r="GIB35" s="168"/>
      <c r="GIC35" s="168"/>
      <c r="GID35" s="168"/>
      <c r="GIE35" s="168"/>
      <c r="GIF35" s="168"/>
      <c r="GIG35" s="168"/>
      <c r="GIH35" s="168"/>
      <c r="GII35" s="168"/>
      <c r="GIJ35" s="168"/>
      <c r="GIK35" s="168"/>
      <c r="GIL35" s="168"/>
      <c r="GIM35" s="168"/>
      <c r="GIN35" s="168"/>
      <c r="GIO35" s="168"/>
      <c r="GIP35" s="168"/>
      <c r="GIQ35" s="168"/>
      <c r="GIR35" s="168"/>
      <c r="GIS35" s="168"/>
      <c r="GIT35" s="168"/>
      <c r="GIU35" s="168"/>
      <c r="GIV35" s="168"/>
      <c r="GIW35" s="168"/>
      <c r="GIX35" s="168"/>
      <c r="GIY35" s="168"/>
      <c r="GIZ35" s="168"/>
      <c r="GJA35" s="168"/>
      <c r="GJB35" s="168"/>
      <c r="GJC35" s="168"/>
      <c r="GJD35" s="168"/>
      <c r="GJE35" s="168"/>
      <c r="GJF35" s="168"/>
      <c r="GJG35" s="168"/>
      <c r="GJH35" s="168"/>
      <c r="GJI35" s="168"/>
      <c r="GJJ35" s="168"/>
      <c r="GJK35" s="168"/>
      <c r="GJL35" s="168"/>
      <c r="GJM35" s="168"/>
      <c r="GJN35" s="168"/>
      <c r="GJO35" s="168"/>
      <c r="GJP35" s="168"/>
      <c r="GJQ35" s="168"/>
      <c r="GJR35" s="168"/>
      <c r="GJS35" s="168"/>
      <c r="GJT35" s="168"/>
      <c r="GJU35" s="168"/>
      <c r="GJV35" s="168"/>
      <c r="GJW35" s="168"/>
      <c r="GJX35" s="168"/>
      <c r="GJY35" s="168"/>
      <c r="GJZ35" s="168"/>
      <c r="GKA35" s="168"/>
      <c r="GKB35" s="168"/>
      <c r="GKC35" s="168"/>
      <c r="GKD35" s="168"/>
      <c r="GKE35" s="168"/>
      <c r="GKF35" s="168"/>
      <c r="GKG35" s="168"/>
      <c r="GKH35" s="168"/>
      <c r="GKI35" s="168"/>
      <c r="GKJ35" s="168"/>
      <c r="GKK35" s="168"/>
      <c r="GKL35" s="168"/>
      <c r="GKM35" s="168"/>
      <c r="GKN35" s="168"/>
      <c r="GKO35" s="168"/>
      <c r="GKP35" s="168"/>
      <c r="GKQ35" s="168"/>
      <c r="GKR35" s="168"/>
      <c r="GKS35" s="168"/>
      <c r="GKT35" s="168"/>
      <c r="GKU35" s="168"/>
      <c r="GKV35" s="168"/>
      <c r="GKW35" s="168"/>
      <c r="GKX35" s="168"/>
      <c r="GKY35" s="168"/>
      <c r="GKZ35" s="168"/>
      <c r="GLA35" s="168"/>
      <c r="GLB35" s="168"/>
      <c r="GLC35" s="168"/>
      <c r="GLD35" s="168"/>
      <c r="GLE35" s="168"/>
      <c r="GLF35" s="168"/>
      <c r="GLG35" s="168"/>
      <c r="GLH35" s="168"/>
      <c r="GLI35" s="168"/>
      <c r="GLJ35" s="168"/>
      <c r="GLK35" s="168"/>
      <c r="GLL35" s="168"/>
      <c r="GLM35" s="168"/>
      <c r="GLN35" s="168"/>
      <c r="GLO35" s="168"/>
      <c r="GLP35" s="168"/>
      <c r="GLQ35" s="168"/>
      <c r="GLR35" s="168"/>
      <c r="GLS35" s="168"/>
      <c r="GLT35" s="168"/>
      <c r="GLU35" s="168"/>
      <c r="GLV35" s="168"/>
      <c r="GLW35" s="168"/>
      <c r="GLX35" s="168"/>
      <c r="GLY35" s="168"/>
      <c r="GLZ35" s="168"/>
      <c r="GMA35" s="168"/>
      <c r="GMB35" s="168"/>
      <c r="GMC35" s="168"/>
      <c r="GMD35" s="168"/>
      <c r="GME35" s="168"/>
      <c r="GMF35" s="168"/>
      <c r="GMG35" s="168"/>
      <c r="GMH35" s="168"/>
      <c r="GMI35" s="168"/>
      <c r="GMJ35" s="168"/>
      <c r="GMK35" s="168"/>
      <c r="GML35" s="168"/>
      <c r="GMM35" s="168"/>
      <c r="GMN35" s="168"/>
      <c r="GMO35" s="168"/>
      <c r="GMP35" s="168"/>
      <c r="GMQ35" s="168"/>
      <c r="GMR35" s="168"/>
      <c r="GMS35" s="168"/>
      <c r="GMT35" s="168"/>
      <c r="GMU35" s="168"/>
      <c r="GMV35" s="168"/>
      <c r="GMW35" s="168"/>
      <c r="GMX35" s="168"/>
      <c r="GMY35" s="168"/>
      <c r="GMZ35" s="168"/>
      <c r="GNA35" s="168"/>
      <c r="GNB35" s="168"/>
      <c r="GNC35" s="168"/>
      <c r="GND35" s="168"/>
      <c r="GNE35" s="168"/>
      <c r="GNF35" s="168"/>
      <c r="GNG35" s="168"/>
      <c r="GNH35" s="168"/>
      <c r="GNI35" s="168"/>
      <c r="GNJ35" s="168"/>
      <c r="GNK35" s="168"/>
      <c r="GNL35" s="168"/>
      <c r="GNM35" s="168"/>
      <c r="GNN35" s="168"/>
      <c r="GNO35" s="168"/>
      <c r="GNP35" s="168"/>
      <c r="GNQ35" s="168"/>
      <c r="GNR35" s="168"/>
      <c r="GNS35" s="168"/>
      <c r="GNT35" s="168"/>
      <c r="GNU35" s="168"/>
      <c r="GNV35" s="168"/>
      <c r="GNW35" s="168"/>
      <c r="GNX35" s="168"/>
      <c r="GNY35" s="168"/>
      <c r="GNZ35" s="168"/>
      <c r="GOA35" s="168"/>
      <c r="GOB35" s="168"/>
      <c r="GOC35" s="168"/>
      <c r="GOD35" s="168"/>
      <c r="GOE35" s="168"/>
      <c r="GOF35" s="168"/>
      <c r="GOG35" s="168"/>
      <c r="GOH35" s="168"/>
      <c r="GOI35" s="168"/>
      <c r="GOJ35" s="168"/>
      <c r="GOK35" s="168"/>
      <c r="GOL35" s="168"/>
      <c r="GOM35" s="168"/>
      <c r="GON35" s="168"/>
      <c r="GOO35" s="168"/>
      <c r="GOP35" s="168"/>
      <c r="GOQ35" s="168"/>
      <c r="GOR35" s="168"/>
      <c r="GOS35" s="168"/>
      <c r="GOT35" s="168"/>
      <c r="GOU35" s="168"/>
      <c r="GOV35" s="168"/>
      <c r="GOW35" s="168"/>
      <c r="GOX35" s="168"/>
      <c r="GOY35" s="168"/>
      <c r="GOZ35" s="168"/>
      <c r="GPA35" s="168"/>
      <c r="GPB35" s="168"/>
      <c r="GPC35" s="168"/>
      <c r="GPD35" s="168"/>
      <c r="GPE35" s="168"/>
      <c r="GPF35" s="168"/>
      <c r="GPG35" s="168"/>
      <c r="GPH35" s="168"/>
      <c r="GPI35" s="168"/>
      <c r="GPJ35" s="168"/>
      <c r="GPK35" s="168"/>
      <c r="GPL35" s="168"/>
      <c r="GPM35" s="168"/>
      <c r="GPN35" s="168"/>
      <c r="GPO35" s="168"/>
      <c r="GPP35" s="168"/>
      <c r="GPQ35" s="168"/>
      <c r="GPR35" s="168"/>
      <c r="GPS35" s="168"/>
      <c r="GPT35" s="168"/>
      <c r="GPU35" s="168"/>
      <c r="GPV35" s="168"/>
      <c r="GPW35" s="168"/>
      <c r="GPX35" s="168"/>
      <c r="GPY35" s="168"/>
      <c r="GPZ35" s="168"/>
      <c r="GQA35" s="168"/>
      <c r="GQB35" s="168"/>
      <c r="GQC35" s="168"/>
      <c r="GQD35" s="168"/>
      <c r="GQE35" s="168"/>
      <c r="GQF35" s="168"/>
      <c r="GQG35" s="168"/>
      <c r="GQH35" s="168"/>
      <c r="GQI35" s="168"/>
      <c r="GQJ35" s="168"/>
      <c r="GQK35" s="168"/>
      <c r="GQL35" s="168"/>
      <c r="GQM35" s="168"/>
      <c r="GQN35" s="168"/>
      <c r="GQO35" s="168"/>
      <c r="GQP35" s="168"/>
      <c r="GQQ35" s="168"/>
      <c r="GQR35" s="168"/>
      <c r="GQS35" s="168"/>
      <c r="GQT35" s="168"/>
      <c r="GQU35" s="168"/>
      <c r="GQV35" s="168"/>
      <c r="GQW35" s="168"/>
      <c r="GQX35" s="168"/>
      <c r="GQY35" s="168"/>
      <c r="GQZ35" s="168"/>
      <c r="GRA35" s="168"/>
      <c r="GRB35" s="168"/>
      <c r="GRC35" s="168"/>
      <c r="GRD35" s="168"/>
      <c r="GRE35" s="168"/>
      <c r="GRF35" s="168"/>
      <c r="GRG35" s="168"/>
      <c r="GRH35" s="168"/>
      <c r="GRI35" s="168"/>
      <c r="GRJ35" s="168"/>
      <c r="GRK35" s="168"/>
      <c r="GRL35" s="168"/>
      <c r="GRM35" s="168"/>
      <c r="GRN35" s="168"/>
      <c r="GRO35" s="168"/>
      <c r="GRP35" s="168"/>
      <c r="GRQ35" s="168"/>
      <c r="GRR35" s="168"/>
      <c r="GRS35" s="168"/>
      <c r="GRT35" s="168"/>
      <c r="GRU35" s="168"/>
      <c r="GRV35" s="168"/>
      <c r="GRW35" s="168"/>
      <c r="GRX35" s="168"/>
      <c r="GRY35" s="168"/>
      <c r="GRZ35" s="168"/>
      <c r="GSA35" s="168"/>
      <c r="GSB35" s="168"/>
      <c r="GSC35" s="168"/>
      <c r="GSD35" s="168"/>
      <c r="GSE35" s="168"/>
      <c r="GSF35" s="168"/>
      <c r="GSG35" s="168"/>
      <c r="GSH35" s="168"/>
      <c r="GSI35" s="168"/>
      <c r="GSJ35" s="168"/>
      <c r="GSK35" s="168"/>
      <c r="GSL35" s="168"/>
      <c r="GSM35" s="168"/>
      <c r="GSN35" s="168"/>
      <c r="GSO35" s="168"/>
      <c r="GSP35" s="168"/>
      <c r="GSQ35" s="168"/>
      <c r="GSR35" s="168"/>
      <c r="GSS35" s="168"/>
      <c r="GST35" s="168"/>
      <c r="GSU35" s="168"/>
      <c r="GSV35" s="168"/>
      <c r="GSW35" s="168"/>
      <c r="GSX35" s="168"/>
      <c r="GSY35" s="168"/>
      <c r="GSZ35" s="168"/>
      <c r="GTA35" s="168"/>
      <c r="GTB35" s="168"/>
      <c r="GTC35" s="168"/>
      <c r="GTD35" s="168"/>
      <c r="GTE35" s="168"/>
      <c r="GTF35" s="168"/>
      <c r="GTG35" s="168"/>
      <c r="GTH35" s="168"/>
      <c r="GTI35" s="168"/>
      <c r="GTJ35" s="168"/>
      <c r="GTK35" s="168"/>
      <c r="GTL35" s="168"/>
      <c r="GTM35" s="168"/>
      <c r="GTN35" s="168"/>
      <c r="GTO35" s="168"/>
      <c r="GTP35" s="168"/>
      <c r="GTQ35" s="168"/>
      <c r="GTR35" s="168"/>
      <c r="GTS35" s="168"/>
      <c r="GTT35" s="168"/>
      <c r="GTU35" s="168"/>
      <c r="GTV35" s="168"/>
      <c r="GTW35" s="168"/>
      <c r="GTX35" s="168"/>
      <c r="GTY35" s="168"/>
      <c r="GTZ35" s="168"/>
      <c r="GUA35" s="168"/>
      <c r="GUB35" s="168"/>
      <c r="GUC35" s="168"/>
      <c r="GUD35" s="168"/>
      <c r="GUE35" s="168"/>
      <c r="GUF35" s="168"/>
      <c r="GUG35" s="168"/>
      <c r="GUH35" s="168"/>
      <c r="GUI35" s="168"/>
      <c r="GUJ35" s="168"/>
      <c r="GUK35" s="168"/>
      <c r="GUL35" s="168"/>
      <c r="GUM35" s="168"/>
      <c r="GUN35" s="168"/>
      <c r="GUO35" s="168"/>
      <c r="GUP35" s="168"/>
      <c r="GUQ35" s="168"/>
      <c r="GUR35" s="168"/>
      <c r="GUS35" s="168"/>
      <c r="GUT35" s="168"/>
      <c r="GUU35" s="168"/>
      <c r="GUV35" s="168"/>
      <c r="GUW35" s="168"/>
      <c r="GUX35" s="168"/>
      <c r="GUY35" s="168"/>
      <c r="GUZ35" s="168"/>
      <c r="GVA35" s="168"/>
      <c r="GVB35" s="168"/>
      <c r="GVC35" s="168"/>
      <c r="GVD35" s="168"/>
      <c r="GVE35" s="168"/>
      <c r="GVF35" s="168"/>
      <c r="GVG35" s="168"/>
      <c r="GVH35" s="168"/>
      <c r="GVI35" s="168"/>
      <c r="GVJ35" s="168"/>
      <c r="GVK35" s="168"/>
      <c r="GVL35" s="168"/>
      <c r="GVM35" s="168"/>
      <c r="GVN35" s="168"/>
      <c r="GVO35" s="168"/>
      <c r="GVP35" s="168"/>
      <c r="GVQ35" s="168"/>
      <c r="GVR35" s="168"/>
      <c r="GVS35" s="168"/>
      <c r="GVT35" s="168"/>
      <c r="GVU35" s="168"/>
      <c r="GVV35" s="168"/>
      <c r="GVW35" s="168"/>
      <c r="GVX35" s="168"/>
      <c r="GVY35" s="168"/>
      <c r="GVZ35" s="168"/>
      <c r="GWA35" s="168"/>
      <c r="GWB35" s="168"/>
      <c r="GWC35" s="168"/>
      <c r="GWD35" s="168"/>
      <c r="GWE35" s="168"/>
      <c r="GWF35" s="168"/>
      <c r="GWG35" s="168"/>
      <c r="GWH35" s="168"/>
      <c r="GWI35" s="168"/>
      <c r="GWJ35" s="168"/>
      <c r="GWK35" s="168"/>
      <c r="GWL35" s="168"/>
      <c r="GWM35" s="168"/>
      <c r="GWN35" s="168"/>
      <c r="GWO35" s="168"/>
      <c r="GWP35" s="168"/>
      <c r="GWQ35" s="168"/>
      <c r="GWR35" s="168"/>
      <c r="GWS35" s="168"/>
      <c r="GWT35" s="168"/>
      <c r="GWU35" s="168"/>
      <c r="GWV35" s="168"/>
      <c r="GWW35" s="168"/>
      <c r="GWX35" s="168"/>
      <c r="GWY35" s="168"/>
      <c r="GWZ35" s="168"/>
      <c r="GXA35" s="168"/>
      <c r="GXB35" s="168"/>
      <c r="GXC35" s="168"/>
      <c r="GXD35" s="168"/>
      <c r="GXE35" s="168"/>
      <c r="GXF35" s="168"/>
      <c r="GXG35" s="168"/>
      <c r="GXH35" s="168"/>
      <c r="GXI35" s="168"/>
      <c r="GXJ35" s="168"/>
      <c r="GXK35" s="168"/>
      <c r="GXL35" s="168"/>
      <c r="GXM35" s="168"/>
      <c r="GXN35" s="168"/>
      <c r="GXO35" s="168"/>
      <c r="GXP35" s="168"/>
      <c r="GXQ35" s="168"/>
      <c r="GXR35" s="168"/>
      <c r="GXS35" s="168"/>
      <c r="GXT35" s="168"/>
      <c r="GXU35" s="168"/>
      <c r="GXV35" s="168"/>
      <c r="GXW35" s="168"/>
      <c r="GXX35" s="168"/>
      <c r="GXY35" s="168"/>
      <c r="GXZ35" s="168"/>
      <c r="GYA35" s="168"/>
      <c r="GYB35" s="168"/>
      <c r="GYC35" s="168"/>
      <c r="GYD35" s="168"/>
      <c r="GYE35" s="168"/>
      <c r="GYF35" s="168"/>
      <c r="GYG35" s="168"/>
      <c r="GYH35" s="168"/>
      <c r="GYI35" s="168"/>
      <c r="GYJ35" s="168"/>
      <c r="GYK35" s="168"/>
      <c r="GYL35" s="168"/>
      <c r="GYM35" s="168"/>
      <c r="GYN35" s="168"/>
      <c r="GYO35" s="168"/>
      <c r="GYP35" s="168"/>
      <c r="GYQ35" s="168"/>
      <c r="GYR35" s="168"/>
      <c r="GYS35" s="168"/>
      <c r="GYT35" s="168"/>
      <c r="GYU35" s="168"/>
      <c r="GYV35" s="168"/>
      <c r="GYW35" s="168"/>
      <c r="GYX35" s="168"/>
      <c r="GYY35" s="168"/>
      <c r="GYZ35" s="168"/>
      <c r="GZA35" s="168"/>
      <c r="GZB35" s="168"/>
      <c r="GZC35" s="168"/>
      <c r="GZD35" s="168"/>
      <c r="GZE35" s="168"/>
      <c r="GZF35" s="168"/>
      <c r="GZG35" s="168"/>
      <c r="GZH35" s="168"/>
      <c r="GZI35" s="168"/>
      <c r="GZJ35" s="168"/>
      <c r="GZK35" s="168"/>
      <c r="GZL35" s="168"/>
      <c r="GZM35" s="168"/>
      <c r="GZN35" s="168"/>
      <c r="GZO35" s="168"/>
      <c r="GZP35" s="168"/>
      <c r="GZQ35" s="168"/>
      <c r="GZR35" s="168"/>
      <c r="GZS35" s="168"/>
      <c r="GZT35" s="168"/>
      <c r="GZU35" s="168"/>
      <c r="GZV35" s="168"/>
      <c r="GZW35" s="168"/>
      <c r="GZX35" s="168"/>
      <c r="GZY35" s="168"/>
      <c r="GZZ35" s="168"/>
      <c r="HAA35" s="168"/>
      <c r="HAB35" s="168"/>
      <c r="HAC35" s="168"/>
      <c r="HAD35" s="168"/>
      <c r="HAE35" s="168"/>
      <c r="HAF35" s="168"/>
      <c r="HAG35" s="168"/>
      <c r="HAH35" s="168"/>
      <c r="HAI35" s="168"/>
      <c r="HAJ35" s="168"/>
      <c r="HAK35" s="168"/>
      <c r="HAL35" s="168"/>
      <c r="HAM35" s="168"/>
      <c r="HAN35" s="168"/>
      <c r="HAO35" s="168"/>
      <c r="HAP35" s="168"/>
      <c r="HAQ35" s="168"/>
      <c r="HAR35" s="168"/>
      <c r="HAS35" s="168"/>
      <c r="HAT35" s="168"/>
      <c r="HAU35" s="168"/>
      <c r="HAV35" s="168"/>
      <c r="HAW35" s="168"/>
      <c r="HAX35" s="168"/>
      <c r="HAY35" s="168"/>
      <c r="HAZ35" s="168"/>
      <c r="HBA35" s="168"/>
      <c r="HBB35" s="168"/>
      <c r="HBC35" s="168"/>
      <c r="HBD35" s="168"/>
      <c r="HBE35" s="168"/>
      <c r="HBF35" s="168"/>
      <c r="HBG35" s="168"/>
      <c r="HBH35" s="168"/>
      <c r="HBI35" s="168"/>
      <c r="HBJ35" s="168"/>
      <c r="HBK35" s="168"/>
      <c r="HBL35" s="168"/>
      <c r="HBM35" s="168"/>
      <c r="HBN35" s="168"/>
      <c r="HBO35" s="168"/>
      <c r="HBP35" s="168"/>
      <c r="HBQ35" s="168"/>
      <c r="HBR35" s="168"/>
      <c r="HBS35" s="168"/>
      <c r="HBT35" s="168"/>
      <c r="HBU35" s="168"/>
      <c r="HBV35" s="168"/>
      <c r="HBW35" s="168"/>
      <c r="HBX35" s="168"/>
      <c r="HBY35" s="168"/>
      <c r="HBZ35" s="168"/>
      <c r="HCA35" s="168"/>
      <c r="HCB35" s="168"/>
      <c r="HCC35" s="168"/>
      <c r="HCD35" s="168"/>
      <c r="HCE35" s="168"/>
      <c r="HCF35" s="168"/>
      <c r="HCG35" s="168"/>
      <c r="HCH35" s="168"/>
      <c r="HCI35" s="168"/>
      <c r="HCJ35" s="168"/>
      <c r="HCK35" s="168"/>
      <c r="HCL35" s="168"/>
      <c r="HCM35" s="168"/>
      <c r="HCN35" s="168"/>
      <c r="HCO35" s="168"/>
      <c r="HCP35" s="168"/>
      <c r="HCQ35" s="168"/>
      <c r="HCR35" s="168"/>
      <c r="HCS35" s="168"/>
      <c r="HCT35" s="168"/>
      <c r="HCU35" s="168"/>
      <c r="HCV35" s="168"/>
      <c r="HCW35" s="168"/>
      <c r="HCX35" s="168"/>
      <c r="HCY35" s="168"/>
      <c r="HCZ35" s="168"/>
      <c r="HDA35" s="168"/>
      <c r="HDB35" s="168"/>
      <c r="HDC35" s="168"/>
      <c r="HDD35" s="168"/>
      <c r="HDE35" s="168"/>
      <c r="HDF35" s="168"/>
      <c r="HDG35" s="168"/>
      <c r="HDH35" s="168"/>
      <c r="HDI35" s="168"/>
      <c r="HDJ35" s="168"/>
      <c r="HDK35" s="168"/>
      <c r="HDL35" s="168"/>
      <c r="HDM35" s="168"/>
      <c r="HDN35" s="168"/>
      <c r="HDO35" s="168"/>
      <c r="HDP35" s="168"/>
      <c r="HDQ35" s="168"/>
      <c r="HDR35" s="168"/>
      <c r="HDS35" s="168"/>
      <c r="HDT35" s="168"/>
      <c r="HDU35" s="168"/>
      <c r="HDV35" s="168"/>
      <c r="HDW35" s="168"/>
      <c r="HDX35" s="168"/>
      <c r="HDY35" s="168"/>
      <c r="HDZ35" s="168"/>
      <c r="HEA35" s="168"/>
      <c r="HEB35" s="168"/>
      <c r="HEC35" s="168"/>
      <c r="HED35" s="168"/>
      <c r="HEE35" s="168"/>
      <c r="HEF35" s="168"/>
      <c r="HEG35" s="168"/>
      <c r="HEH35" s="168"/>
      <c r="HEI35" s="168"/>
      <c r="HEJ35" s="168"/>
      <c r="HEK35" s="168"/>
      <c r="HEL35" s="168"/>
      <c r="HEM35" s="168"/>
      <c r="HEN35" s="168"/>
      <c r="HEO35" s="168"/>
      <c r="HEP35" s="168"/>
      <c r="HEQ35" s="168"/>
      <c r="HER35" s="168"/>
      <c r="HES35" s="168"/>
      <c r="HET35" s="168"/>
      <c r="HEU35" s="168"/>
      <c r="HEV35" s="168"/>
      <c r="HEW35" s="168"/>
      <c r="HEX35" s="168"/>
      <c r="HEY35" s="168"/>
      <c r="HEZ35" s="168"/>
      <c r="HFA35" s="168"/>
      <c r="HFB35" s="168"/>
      <c r="HFC35" s="168"/>
      <c r="HFD35" s="168"/>
      <c r="HFE35" s="168"/>
      <c r="HFF35" s="168"/>
      <c r="HFG35" s="168"/>
      <c r="HFH35" s="168"/>
      <c r="HFI35" s="168"/>
      <c r="HFJ35" s="168"/>
      <c r="HFK35" s="168"/>
      <c r="HFL35" s="168"/>
      <c r="HFM35" s="168"/>
      <c r="HFN35" s="168"/>
      <c r="HFO35" s="168"/>
      <c r="HFP35" s="168"/>
      <c r="HFQ35" s="168"/>
      <c r="HFR35" s="168"/>
      <c r="HFS35" s="168"/>
      <c r="HFT35" s="168"/>
      <c r="HFU35" s="168"/>
      <c r="HFV35" s="168"/>
      <c r="HFW35" s="168"/>
      <c r="HFX35" s="168"/>
      <c r="HFY35" s="168"/>
      <c r="HFZ35" s="168"/>
      <c r="HGA35" s="168"/>
      <c r="HGB35" s="168"/>
      <c r="HGC35" s="168"/>
      <c r="HGD35" s="168"/>
      <c r="HGE35" s="168"/>
      <c r="HGF35" s="168"/>
      <c r="HGG35" s="168"/>
      <c r="HGH35" s="168"/>
      <c r="HGI35" s="168"/>
      <c r="HGJ35" s="168"/>
      <c r="HGK35" s="168"/>
      <c r="HGL35" s="168"/>
      <c r="HGM35" s="168"/>
      <c r="HGN35" s="168"/>
      <c r="HGO35" s="168"/>
      <c r="HGP35" s="168"/>
      <c r="HGQ35" s="168"/>
      <c r="HGR35" s="168"/>
      <c r="HGS35" s="168"/>
      <c r="HGT35" s="168"/>
      <c r="HGU35" s="168"/>
      <c r="HGV35" s="168"/>
      <c r="HGW35" s="168"/>
      <c r="HGX35" s="168"/>
      <c r="HGY35" s="168"/>
      <c r="HGZ35" s="168"/>
      <c r="HHA35" s="168"/>
      <c r="HHB35" s="168"/>
      <c r="HHC35" s="168"/>
      <c r="HHD35" s="168"/>
      <c r="HHE35" s="168"/>
      <c r="HHF35" s="168"/>
      <c r="HHG35" s="168"/>
      <c r="HHH35" s="168"/>
      <c r="HHI35" s="168"/>
      <c r="HHJ35" s="168"/>
      <c r="HHK35" s="168"/>
      <c r="HHL35" s="168"/>
      <c r="HHM35" s="168"/>
      <c r="HHN35" s="168"/>
      <c r="HHO35" s="168"/>
      <c r="HHP35" s="168"/>
      <c r="HHQ35" s="168"/>
      <c r="HHR35" s="168"/>
      <c r="HHS35" s="168"/>
      <c r="HHT35" s="168"/>
      <c r="HHU35" s="168"/>
      <c r="HHV35" s="168"/>
      <c r="HHW35" s="168"/>
      <c r="HHX35" s="168"/>
      <c r="HHY35" s="168"/>
      <c r="HHZ35" s="168"/>
      <c r="HIA35" s="168"/>
      <c r="HIB35" s="168"/>
      <c r="HIC35" s="168"/>
      <c r="HID35" s="168"/>
      <c r="HIE35" s="168"/>
      <c r="HIF35" s="168"/>
      <c r="HIG35" s="168"/>
      <c r="HIH35" s="168"/>
      <c r="HII35" s="168"/>
      <c r="HIJ35" s="168"/>
      <c r="HIK35" s="168"/>
      <c r="HIL35" s="168"/>
      <c r="HIM35" s="168"/>
      <c r="HIN35" s="168"/>
      <c r="HIO35" s="168"/>
      <c r="HIP35" s="168"/>
      <c r="HIQ35" s="168"/>
      <c r="HIR35" s="168"/>
      <c r="HIS35" s="168"/>
      <c r="HIT35" s="168"/>
      <c r="HIU35" s="168"/>
      <c r="HIV35" s="168"/>
      <c r="HIW35" s="168"/>
      <c r="HIX35" s="168"/>
      <c r="HIY35" s="168"/>
      <c r="HIZ35" s="168"/>
      <c r="HJA35" s="168"/>
      <c r="HJB35" s="168"/>
      <c r="HJC35" s="168"/>
      <c r="HJD35" s="168"/>
      <c r="HJE35" s="168"/>
      <c r="HJF35" s="168"/>
      <c r="HJG35" s="168"/>
      <c r="HJH35" s="168"/>
      <c r="HJI35" s="168"/>
      <c r="HJJ35" s="168"/>
      <c r="HJK35" s="168"/>
      <c r="HJL35" s="168"/>
      <c r="HJM35" s="168"/>
      <c r="HJN35" s="168"/>
      <c r="HJO35" s="168"/>
      <c r="HJP35" s="168"/>
      <c r="HJQ35" s="168"/>
      <c r="HJR35" s="168"/>
      <c r="HJS35" s="168"/>
      <c r="HJT35" s="168"/>
      <c r="HJU35" s="168"/>
      <c r="HJV35" s="168"/>
      <c r="HJW35" s="168"/>
      <c r="HJX35" s="168"/>
      <c r="HJY35" s="168"/>
      <c r="HJZ35" s="168"/>
      <c r="HKA35" s="168"/>
      <c r="HKB35" s="168"/>
      <c r="HKC35" s="168"/>
      <c r="HKD35" s="168"/>
      <c r="HKE35" s="168"/>
      <c r="HKF35" s="168"/>
      <c r="HKG35" s="168"/>
      <c r="HKH35" s="168"/>
      <c r="HKI35" s="168"/>
      <c r="HKJ35" s="168"/>
      <c r="HKK35" s="168"/>
      <c r="HKL35" s="168"/>
      <c r="HKM35" s="168"/>
      <c r="HKN35" s="168"/>
      <c r="HKO35" s="168"/>
      <c r="HKP35" s="168"/>
      <c r="HKQ35" s="168"/>
      <c r="HKR35" s="168"/>
      <c r="HKS35" s="168"/>
      <c r="HKT35" s="168"/>
      <c r="HKU35" s="168"/>
      <c r="HKV35" s="168"/>
      <c r="HKW35" s="168"/>
      <c r="HKX35" s="168"/>
      <c r="HKY35" s="168"/>
      <c r="HKZ35" s="168"/>
      <c r="HLA35" s="168"/>
      <c r="HLB35" s="168"/>
      <c r="HLC35" s="168"/>
      <c r="HLD35" s="168"/>
      <c r="HLE35" s="168"/>
      <c r="HLF35" s="168"/>
      <c r="HLG35" s="168"/>
      <c r="HLH35" s="168"/>
      <c r="HLI35" s="168"/>
      <c r="HLJ35" s="168"/>
      <c r="HLK35" s="168"/>
      <c r="HLL35" s="168"/>
      <c r="HLM35" s="168"/>
      <c r="HLN35" s="168"/>
      <c r="HLO35" s="168"/>
      <c r="HLP35" s="168"/>
      <c r="HLQ35" s="168"/>
      <c r="HLR35" s="168"/>
      <c r="HLS35" s="168"/>
      <c r="HLT35" s="168"/>
      <c r="HLU35" s="168"/>
      <c r="HLV35" s="168"/>
      <c r="HLW35" s="168"/>
      <c r="HLX35" s="168"/>
      <c r="HLY35" s="168"/>
      <c r="HLZ35" s="168"/>
      <c r="HMA35" s="168"/>
      <c r="HMB35" s="168"/>
      <c r="HMC35" s="168"/>
      <c r="HMD35" s="168"/>
      <c r="HME35" s="168"/>
      <c r="HMF35" s="168"/>
      <c r="HMG35" s="168"/>
      <c r="HMH35" s="168"/>
      <c r="HMI35" s="168"/>
      <c r="HMJ35" s="168"/>
      <c r="HMK35" s="168"/>
      <c r="HML35" s="168"/>
      <c r="HMM35" s="168"/>
      <c r="HMN35" s="168"/>
      <c r="HMO35" s="168"/>
      <c r="HMP35" s="168"/>
      <c r="HMQ35" s="168"/>
      <c r="HMR35" s="168"/>
      <c r="HMS35" s="168"/>
      <c r="HMT35" s="168"/>
      <c r="HMU35" s="168"/>
      <c r="HMV35" s="168"/>
      <c r="HMW35" s="168"/>
      <c r="HMX35" s="168"/>
      <c r="HMY35" s="168"/>
      <c r="HMZ35" s="168"/>
      <c r="HNA35" s="168"/>
      <c r="HNB35" s="168"/>
      <c r="HNC35" s="168"/>
      <c r="HND35" s="168"/>
      <c r="HNE35" s="168"/>
      <c r="HNF35" s="168"/>
      <c r="HNG35" s="168"/>
      <c r="HNH35" s="168"/>
      <c r="HNI35" s="168"/>
      <c r="HNJ35" s="168"/>
      <c r="HNK35" s="168"/>
      <c r="HNL35" s="168"/>
      <c r="HNM35" s="168"/>
      <c r="HNN35" s="168"/>
      <c r="HNO35" s="168"/>
      <c r="HNP35" s="168"/>
      <c r="HNQ35" s="168"/>
      <c r="HNR35" s="168"/>
      <c r="HNS35" s="168"/>
      <c r="HNT35" s="168"/>
      <c r="HNU35" s="168"/>
      <c r="HNV35" s="168"/>
      <c r="HNW35" s="168"/>
      <c r="HNX35" s="168"/>
      <c r="HNY35" s="168"/>
      <c r="HNZ35" s="168"/>
      <c r="HOA35" s="168"/>
      <c r="HOB35" s="168"/>
      <c r="HOC35" s="168"/>
      <c r="HOD35" s="168"/>
      <c r="HOE35" s="168"/>
      <c r="HOF35" s="168"/>
      <c r="HOG35" s="168"/>
      <c r="HOH35" s="168"/>
      <c r="HOI35" s="168"/>
      <c r="HOJ35" s="168"/>
      <c r="HOK35" s="168"/>
      <c r="HOL35" s="168"/>
      <c r="HOM35" s="168"/>
      <c r="HON35" s="168"/>
      <c r="HOO35" s="168"/>
      <c r="HOP35" s="168"/>
      <c r="HOQ35" s="168"/>
      <c r="HOR35" s="168"/>
      <c r="HOS35" s="168"/>
      <c r="HOT35" s="168"/>
      <c r="HOU35" s="168"/>
      <c r="HOV35" s="168"/>
      <c r="HOW35" s="168"/>
      <c r="HOX35" s="168"/>
      <c r="HOY35" s="168"/>
      <c r="HOZ35" s="168"/>
      <c r="HPA35" s="168"/>
      <c r="HPB35" s="168"/>
      <c r="HPC35" s="168"/>
      <c r="HPD35" s="168"/>
      <c r="HPE35" s="168"/>
      <c r="HPF35" s="168"/>
      <c r="HPG35" s="168"/>
      <c r="HPH35" s="168"/>
      <c r="HPI35" s="168"/>
      <c r="HPJ35" s="168"/>
      <c r="HPK35" s="168"/>
      <c r="HPL35" s="168"/>
      <c r="HPM35" s="168"/>
      <c r="HPN35" s="168"/>
      <c r="HPO35" s="168"/>
      <c r="HPP35" s="168"/>
      <c r="HPQ35" s="168"/>
      <c r="HPR35" s="168"/>
      <c r="HPS35" s="168"/>
      <c r="HPT35" s="168"/>
      <c r="HPU35" s="168"/>
      <c r="HPV35" s="168"/>
      <c r="HPW35" s="168"/>
      <c r="HPX35" s="168"/>
      <c r="HPY35" s="168"/>
      <c r="HPZ35" s="168"/>
      <c r="HQA35" s="168"/>
      <c r="HQB35" s="168"/>
      <c r="HQC35" s="168"/>
      <c r="HQD35" s="168"/>
      <c r="HQE35" s="168"/>
      <c r="HQF35" s="168"/>
      <c r="HQG35" s="168"/>
      <c r="HQH35" s="168"/>
      <c r="HQI35" s="168"/>
      <c r="HQJ35" s="168"/>
      <c r="HQK35" s="168"/>
      <c r="HQL35" s="168"/>
      <c r="HQM35" s="168"/>
      <c r="HQN35" s="168"/>
      <c r="HQO35" s="168"/>
      <c r="HQP35" s="168"/>
      <c r="HQQ35" s="168"/>
      <c r="HQR35" s="168"/>
      <c r="HQS35" s="168"/>
      <c r="HQT35" s="168"/>
      <c r="HQU35" s="168"/>
      <c r="HQV35" s="168"/>
      <c r="HQW35" s="168"/>
      <c r="HQX35" s="168"/>
      <c r="HQY35" s="168"/>
      <c r="HQZ35" s="168"/>
      <c r="HRA35" s="168"/>
      <c r="HRB35" s="168"/>
      <c r="HRC35" s="168"/>
      <c r="HRD35" s="168"/>
      <c r="HRE35" s="168"/>
      <c r="HRF35" s="168"/>
      <c r="HRG35" s="168"/>
      <c r="HRH35" s="168"/>
      <c r="HRI35" s="168"/>
      <c r="HRJ35" s="168"/>
      <c r="HRK35" s="168"/>
      <c r="HRL35" s="168"/>
      <c r="HRM35" s="168"/>
      <c r="HRN35" s="168"/>
      <c r="HRO35" s="168"/>
      <c r="HRP35" s="168"/>
      <c r="HRQ35" s="168"/>
      <c r="HRR35" s="168"/>
      <c r="HRS35" s="168"/>
      <c r="HRT35" s="168"/>
      <c r="HRU35" s="168"/>
      <c r="HRV35" s="168"/>
      <c r="HRW35" s="168"/>
      <c r="HRX35" s="168"/>
      <c r="HRY35" s="168"/>
      <c r="HRZ35" s="168"/>
      <c r="HSA35" s="168"/>
      <c r="HSB35" s="168"/>
      <c r="HSC35" s="168"/>
      <c r="HSD35" s="168"/>
      <c r="HSE35" s="168"/>
      <c r="HSF35" s="168"/>
      <c r="HSG35" s="168"/>
      <c r="HSH35" s="168"/>
      <c r="HSI35" s="168"/>
      <c r="HSJ35" s="168"/>
      <c r="HSK35" s="168"/>
      <c r="HSL35" s="168"/>
      <c r="HSM35" s="168"/>
      <c r="HSN35" s="168"/>
      <c r="HSO35" s="168"/>
      <c r="HSP35" s="168"/>
      <c r="HSQ35" s="168"/>
      <c r="HSR35" s="168"/>
      <c r="HSS35" s="168"/>
      <c r="HST35" s="168"/>
      <c r="HSU35" s="168"/>
      <c r="HSV35" s="168"/>
      <c r="HSW35" s="168"/>
      <c r="HSX35" s="168"/>
      <c r="HSY35" s="168"/>
      <c r="HSZ35" s="168"/>
      <c r="HTA35" s="168"/>
      <c r="HTB35" s="168"/>
      <c r="HTC35" s="168"/>
      <c r="HTD35" s="168"/>
      <c r="HTE35" s="168"/>
      <c r="HTF35" s="168"/>
      <c r="HTG35" s="168"/>
      <c r="HTH35" s="168"/>
      <c r="HTI35" s="168"/>
      <c r="HTJ35" s="168"/>
      <c r="HTK35" s="168"/>
      <c r="HTL35" s="168"/>
      <c r="HTM35" s="168"/>
      <c r="HTN35" s="168"/>
      <c r="HTO35" s="168"/>
      <c r="HTP35" s="168"/>
      <c r="HTQ35" s="168"/>
      <c r="HTR35" s="168"/>
      <c r="HTS35" s="168"/>
      <c r="HTT35" s="168"/>
      <c r="HTU35" s="168"/>
      <c r="HTV35" s="168"/>
      <c r="HTW35" s="168"/>
      <c r="HTX35" s="168"/>
      <c r="HTY35" s="168"/>
      <c r="HTZ35" s="168"/>
      <c r="HUA35" s="168"/>
      <c r="HUB35" s="168"/>
      <c r="HUC35" s="168"/>
      <c r="HUD35" s="168"/>
      <c r="HUE35" s="168"/>
      <c r="HUF35" s="168"/>
      <c r="HUG35" s="168"/>
      <c r="HUH35" s="168"/>
      <c r="HUI35" s="168"/>
      <c r="HUJ35" s="168"/>
      <c r="HUK35" s="168"/>
      <c r="HUL35" s="168"/>
      <c r="HUM35" s="168"/>
      <c r="HUN35" s="168"/>
      <c r="HUO35" s="168"/>
      <c r="HUP35" s="168"/>
      <c r="HUQ35" s="168"/>
      <c r="HUR35" s="168"/>
      <c r="HUS35" s="168"/>
      <c r="HUT35" s="168"/>
      <c r="HUU35" s="168"/>
      <c r="HUV35" s="168"/>
      <c r="HUW35" s="168"/>
      <c r="HUX35" s="168"/>
      <c r="HUY35" s="168"/>
      <c r="HUZ35" s="168"/>
      <c r="HVA35" s="168"/>
      <c r="HVB35" s="168"/>
      <c r="HVC35" s="168"/>
      <c r="HVD35" s="168"/>
      <c r="HVE35" s="168"/>
      <c r="HVF35" s="168"/>
      <c r="HVG35" s="168"/>
      <c r="HVH35" s="168"/>
      <c r="HVI35" s="168"/>
      <c r="HVJ35" s="168"/>
      <c r="HVK35" s="168"/>
      <c r="HVL35" s="168"/>
      <c r="HVM35" s="168"/>
      <c r="HVN35" s="168"/>
      <c r="HVO35" s="168"/>
      <c r="HVP35" s="168"/>
      <c r="HVQ35" s="168"/>
      <c r="HVR35" s="168"/>
      <c r="HVS35" s="168"/>
      <c r="HVT35" s="168"/>
      <c r="HVU35" s="168"/>
      <c r="HVV35" s="168"/>
      <c r="HVW35" s="168"/>
      <c r="HVX35" s="168"/>
      <c r="HVY35" s="168"/>
      <c r="HVZ35" s="168"/>
      <c r="HWA35" s="168"/>
      <c r="HWB35" s="168"/>
      <c r="HWC35" s="168"/>
      <c r="HWD35" s="168"/>
      <c r="HWE35" s="168"/>
      <c r="HWF35" s="168"/>
      <c r="HWG35" s="168"/>
      <c r="HWH35" s="168"/>
      <c r="HWI35" s="168"/>
      <c r="HWJ35" s="168"/>
      <c r="HWK35" s="168"/>
      <c r="HWL35" s="168"/>
      <c r="HWM35" s="168"/>
      <c r="HWN35" s="168"/>
      <c r="HWO35" s="168"/>
      <c r="HWP35" s="168"/>
      <c r="HWQ35" s="168"/>
      <c r="HWR35" s="168"/>
      <c r="HWS35" s="168"/>
      <c r="HWT35" s="168"/>
      <c r="HWU35" s="168"/>
      <c r="HWV35" s="168"/>
      <c r="HWW35" s="168"/>
      <c r="HWX35" s="168"/>
      <c r="HWY35" s="168"/>
      <c r="HWZ35" s="168"/>
      <c r="HXA35" s="168"/>
      <c r="HXB35" s="168"/>
      <c r="HXC35" s="168"/>
      <c r="HXD35" s="168"/>
      <c r="HXE35" s="168"/>
      <c r="HXF35" s="168"/>
      <c r="HXG35" s="168"/>
      <c r="HXH35" s="168"/>
      <c r="HXI35" s="168"/>
      <c r="HXJ35" s="168"/>
      <c r="HXK35" s="168"/>
      <c r="HXL35" s="168"/>
      <c r="HXM35" s="168"/>
      <c r="HXN35" s="168"/>
      <c r="HXO35" s="168"/>
      <c r="HXP35" s="168"/>
      <c r="HXQ35" s="168"/>
      <c r="HXR35" s="168"/>
      <c r="HXS35" s="168"/>
      <c r="HXT35" s="168"/>
      <c r="HXU35" s="168"/>
      <c r="HXV35" s="168"/>
      <c r="HXW35" s="168"/>
      <c r="HXX35" s="168"/>
      <c r="HXY35" s="168"/>
      <c r="HXZ35" s="168"/>
      <c r="HYA35" s="168"/>
      <c r="HYB35" s="168"/>
      <c r="HYC35" s="168"/>
      <c r="HYD35" s="168"/>
      <c r="HYE35" s="168"/>
      <c r="HYF35" s="168"/>
      <c r="HYG35" s="168"/>
      <c r="HYH35" s="168"/>
      <c r="HYI35" s="168"/>
      <c r="HYJ35" s="168"/>
      <c r="HYK35" s="168"/>
      <c r="HYL35" s="168"/>
      <c r="HYM35" s="168"/>
      <c r="HYN35" s="168"/>
      <c r="HYO35" s="168"/>
      <c r="HYP35" s="168"/>
      <c r="HYQ35" s="168"/>
      <c r="HYR35" s="168"/>
      <c r="HYS35" s="168"/>
      <c r="HYT35" s="168"/>
      <c r="HYU35" s="168"/>
      <c r="HYV35" s="168"/>
      <c r="HYW35" s="168"/>
      <c r="HYX35" s="168"/>
      <c r="HYY35" s="168"/>
      <c r="HYZ35" s="168"/>
      <c r="HZA35" s="168"/>
      <c r="HZB35" s="168"/>
      <c r="HZC35" s="168"/>
      <c r="HZD35" s="168"/>
      <c r="HZE35" s="168"/>
      <c r="HZF35" s="168"/>
      <c r="HZG35" s="168"/>
      <c r="HZH35" s="168"/>
      <c r="HZI35" s="168"/>
      <c r="HZJ35" s="168"/>
      <c r="HZK35" s="168"/>
      <c r="HZL35" s="168"/>
      <c r="HZM35" s="168"/>
      <c r="HZN35" s="168"/>
      <c r="HZO35" s="168"/>
      <c r="HZP35" s="168"/>
      <c r="HZQ35" s="168"/>
      <c r="HZR35" s="168"/>
      <c r="HZS35" s="168"/>
      <c r="HZT35" s="168"/>
      <c r="HZU35" s="168"/>
      <c r="HZV35" s="168"/>
      <c r="HZW35" s="168"/>
      <c r="HZX35" s="168"/>
      <c r="HZY35" s="168"/>
      <c r="HZZ35" s="168"/>
      <c r="IAA35" s="168"/>
      <c r="IAB35" s="168"/>
      <c r="IAC35" s="168"/>
      <c r="IAD35" s="168"/>
      <c r="IAE35" s="168"/>
      <c r="IAF35" s="168"/>
      <c r="IAG35" s="168"/>
      <c r="IAH35" s="168"/>
      <c r="IAI35" s="168"/>
      <c r="IAJ35" s="168"/>
      <c r="IAK35" s="168"/>
      <c r="IAL35" s="168"/>
      <c r="IAM35" s="168"/>
      <c r="IAN35" s="168"/>
      <c r="IAO35" s="168"/>
      <c r="IAP35" s="168"/>
      <c r="IAQ35" s="168"/>
      <c r="IAR35" s="168"/>
      <c r="IAS35" s="168"/>
      <c r="IAT35" s="168"/>
      <c r="IAU35" s="168"/>
      <c r="IAV35" s="168"/>
      <c r="IAW35" s="168"/>
      <c r="IAX35" s="168"/>
      <c r="IAY35" s="168"/>
      <c r="IAZ35" s="168"/>
      <c r="IBA35" s="168"/>
      <c r="IBB35" s="168"/>
      <c r="IBC35" s="168"/>
      <c r="IBD35" s="168"/>
      <c r="IBE35" s="168"/>
      <c r="IBF35" s="168"/>
      <c r="IBG35" s="168"/>
      <c r="IBH35" s="168"/>
      <c r="IBI35" s="168"/>
      <c r="IBJ35" s="168"/>
      <c r="IBK35" s="168"/>
      <c r="IBL35" s="168"/>
      <c r="IBM35" s="168"/>
      <c r="IBN35" s="168"/>
      <c r="IBO35" s="168"/>
      <c r="IBP35" s="168"/>
      <c r="IBQ35" s="168"/>
      <c r="IBR35" s="168"/>
      <c r="IBS35" s="168"/>
      <c r="IBT35" s="168"/>
      <c r="IBU35" s="168"/>
      <c r="IBV35" s="168"/>
      <c r="IBW35" s="168"/>
      <c r="IBX35" s="168"/>
      <c r="IBY35" s="168"/>
      <c r="IBZ35" s="168"/>
      <c r="ICA35" s="168"/>
      <c r="ICB35" s="168"/>
      <c r="ICC35" s="168"/>
      <c r="ICD35" s="168"/>
      <c r="ICE35" s="168"/>
      <c r="ICF35" s="168"/>
      <c r="ICG35" s="168"/>
      <c r="ICH35" s="168"/>
      <c r="ICI35" s="168"/>
      <c r="ICJ35" s="168"/>
      <c r="ICK35" s="168"/>
      <c r="ICL35" s="168"/>
      <c r="ICM35" s="168"/>
      <c r="ICN35" s="168"/>
      <c r="ICO35" s="168"/>
      <c r="ICP35" s="168"/>
      <c r="ICQ35" s="168"/>
      <c r="ICR35" s="168"/>
      <c r="ICS35" s="168"/>
      <c r="ICT35" s="168"/>
      <c r="ICU35" s="168"/>
      <c r="ICV35" s="168"/>
      <c r="ICW35" s="168"/>
      <c r="ICX35" s="168"/>
      <c r="ICY35" s="168"/>
      <c r="ICZ35" s="168"/>
      <c r="IDA35" s="168"/>
      <c r="IDB35" s="168"/>
      <c r="IDC35" s="168"/>
      <c r="IDD35" s="168"/>
      <c r="IDE35" s="168"/>
      <c r="IDF35" s="168"/>
      <c r="IDG35" s="168"/>
      <c r="IDH35" s="168"/>
      <c r="IDI35" s="168"/>
      <c r="IDJ35" s="168"/>
      <c r="IDK35" s="168"/>
      <c r="IDL35" s="168"/>
      <c r="IDM35" s="168"/>
      <c r="IDN35" s="168"/>
      <c r="IDO35" s="168"/>
      <c r="IDP35" s="168"/>
      <c r="IDQ35" s="168"/>
      <c r="IDR35" s="168"/>
      <c r="IDS35" s="168"/>
      <c r="IDT35" s="168"/>
      <c r="IDU35" s="168"/>
      <c r="IDV35" s="168"/>
      <c r="IDW35" s="168"/>
      <c r="IDX35" s="168"/>
      <c r="IDY35" s="168"/>
      <c r="IDZ35" s="168"/>
      <c r="IEA35" s="168"/>
      <c r="IEB35" s="168"/>
      <c r="IEC35" s="168"/>
      <c r="IED35" s="168"/>
      <c r="IEE35" s="168"/>
      <c r="IEF35" s="168"/>
      <c r="IEG35" s="168"/>
      <c r="IEH35" s="168"/>
      <c r="IEI35" s="168"/>
      <c r="IEJ35" s="168"/>
      <c r="IEK35" s="168"/>
      <c r="IEL35" s="168"/>
      <c r="IEM35" s="168"/>
      <c r="IEN35" s="168"/>
      <c r="IEO35" s="168"/>
      <c r="IEP35" s="168"/>
      <c r="IEQ35" s="168"/>
      <c r="IER35" s="168"/>
      <c r="IES35" s="168"/>
      <c r="IET35" s="168"/>
      <c r="IEU35" s="168"/>
      <c r="IEV35" s="168"/>
      <c r="IEW35" s="168"/>
      <c r="IEX35" s="168"/>
      <c r="IEY35" s="168"/>
      <c r="IEZ35" s="168"/>
      <c r="IFA35" s="168"/>
      <c r="IFB35" s="168"/>
      <c r="IFC35" s="168"/>
      <c r="IFD35" s="168"/>
      <c r="IFE35" s="168"/>
      <c r="IFF35" s="168"/>
      <c r="IFG35" s="168"/>
      <c r="IFH35" s="168"/>
      <c r="IFI35" s="168"/>
      <c r="IFJ35" s="168"/>
      <c r="IFK35" s="168"/>
      <c r="IFL35" s="168"/>
      <c r="IFM35" s="168"/>
      <c r="IFN35" s="168"/>
      <c r="IFO35" s="168"/>
      <c r="IFP35" s="168"/>
      <c r="IFQ35" s="168"/>
      <c r="IFR35" s="168"/>
      <c r="IFS35" s="168"/>
      <c r="IFT35" s="168"/>
      <c r="IFU35" s="168"/>
      <c r="IFV35" s="168"/>
      <c r="IFW35" s="168"/>
      <c r="IFX35" s="168"/>
      <c r="IFY35" s="168"/>
      <c r="IFZ35" s="168"/>
      <c r="IGA35" s="168"/>
      <c r="IGB35" s="168"/>
      <c r="IGC35" s="168"/>
      <c r="IGD35" s="168"/>
      <c r="IGE35" s="168"/>
      <c r="IGF35" s="168"/>
      <c r="IGG35" s="168"/>
      <c r="IGH35" s="168"/>
      <c r="IGI35" s="168"/>
      <c r="IGJ35" s="168"/>
      <c r="IGK35" s="168"/>
      <c r="IGL35" s="168"/>
      <c r="IGM35" s="168"/>
      <c r="IGN35" s="168"/>
      <c r="IGO35" s="168"/>
      <c r="IGP35" s="168"/>
      <c r="IGQ35" s="168"/>
      <c r="IGR35" s="168"/>
      <c r="IGS35" s="168"/>
      <c r="IGT35" s="168"/>
      <c r="IGU35" s="168"/>
      <c r="IGV35" s="168"/>
      <c r="IGW35" s="168"/>
      <c r="IGX35" s="168"/>
      <c r="IGY35" s="168"/>
      <c r="IGZ35" s="168"/>
      <c r="IHA35" s="168"/>
      <c r="IHB35" s="168"/>
      <c r="IHC35" s="168"/>
      <c r="IHD35" s="168"/>
      <c r="IHE35" s="168"/>
      <c r="IHF35" s="168"/>
      <c r="IHG35" s="168"/>
      <c r="IHH35" s="168"/>
      <c r="IHI35" s="168"/>
      <c r="IHJ35" s="168"/>
      <c r="IHK35" s="168"/>
      <c r="IHL35" s="168"/>
      <c r="IHM35" s="168"/>
      <c r="IHN35" s="168"/>
      <c r="IHO35" s="168"/>
      <c r="IHP35" s="168"/>
      <c r="IHQ35" s="168"/>
      <c r="IHR35" s="168"/>
      <c r="IHS35" s="168"/>
      <c r="IHT35" s="168"/>
      <c r="IHU35" s="168"/>
      <c r="IHV35" s="168"/>
      <c r="IHW35" s="168"/>
      <c r="IHX35" s="168"/>
      <c r="IHY35" s="168"/>
      <c r="IHZ35" s="168"/>
      <c r="IIA35" s="168"/>
      <c r="IIB35" s="168"/>
      <c r="IIC35" s="168"/>
      <c r="IID35" s="168"/>
      <c r="IIE35" s="168"/>
      <c r="IIF35" s="168"/>
      <c r="IIG35" s="168"/>
      <c r="IIH35" s="168"/>
      <c r="III35" s="168"/>
      <c r="IIJ35" s="168"/>
      <c r="IIK35" s="168"/>
      <c r="IIL35" s="168"/>
      <c r="IIM35" s="168"/>
      <c r="IIN35" s="168"/>
      <c r="IIO35" s="168"/>
      <c r="IIP35" s="168"/>
      <c r="IIQ35" s="168"/>
      <c r="IIR35" s="168"/>
      <c r="IIS35" s="168"/>
      <c r="IIT35" s="168"/>
      <c r="IIU35" s="168"/>
      <c r="IIV35" s="168"/>
      <c r="IIW35" s="168"/>
      <c r="IIX35" s="168"/>
      <c r="IIY35" s="168"/>
      <c r="IIZ35" s="168"/>
      <c r="IJA35" s="168"/>
      <c r="IJB35" s="168"/>
      <c r="IJC35" s="168"/>
      <c r="IJD35" s="168"/>
      <c r="IJE35" s="168"/>
      <c r="IJF35" s="168"/>
      <c r="IJG35" s="168"/>
      <c r="IJH35" s="168"/>
      <c r="IJI35" s="168"/>
      <c r="IJJ35" s="168"/>
      <c r="IJK35" s="168"/>
      <c r="IJL35" s="168"/>
      <c r="IJM35" s="168"/>
      <c r="IJN35" s="168"/>
      <c r="IJO35" s="168"/>
      <c r="IJP35" s="168"/>
      <c r="IJQ35" s="168"/>
      <c r="IJR35" s="168"/>
      <c r="IJS35" s="168"/>
      <c r="IJT35" s="168"/>
      <c r="IJU35" s="168"/>
      <c r="IJV35" s="168"/>
      <c r="IJW35" s="168"/>
      <c r="IJX35" s="168"/>
      <c r="IJY35" s="168"/>
      <c r="IJZ35" s="168"/>
      <c r="IKA35" s="168"/>
      <c r="IKB35" s="168"/>
      <c r="IKC35" s="168"/>
      <c r="IKD35" s="168"/>
      <c r="IKE35" s="168"/>
      <c r="IKF35" s="168"/>
      <c r="IKG35" s="168"/>
      <c r="IKH35" s="168"/>
      <c r="IKI35" s="168"/>
      <c r="IKJ35" s="168"/>
      <c r="IKK35" s="168"/>
      <c r="IKL35" s="168"/>
      <c r="IKM35" s="168"/>
      <c r="IKN35" s="168"/>
      <c r="IKO35" s="168"/>
      <c r="IKP35" s="168"/>
      <c r="IKQ35" s="168"/>
      <c r="IKR35" s="168"/>
      <c r="IKS35" s="168"/>
      <c r="IKT35" s="168"/>
      <c r="IKU35" s="168"/>
      <c r="IKV35" s="168"/>
      <c r="IKW35" s="168"/>
      <c r="IKX35" s="168"/>
      <c r="IKY35" s="168"/>
      <c r="IKZ35" s="168"/>
      <c r="ILA35" s="168"/>
      <c r="ILB35" s="168"/>
      <c r="ILC35" s="168"/>
      <c r="ILD35" s="168"/>
      <c r="ILE35" s="168"/>
      <c r="ILF35" s="168"/>
      <c r="ILG35" s="168"/>
      <c r="ILH35" s="168"/>
      <c r="ILI35" s="168"/>
      <c r="ILJ35" s="168"/>
      <c r="ILK35" s="168"/>
      <c r="ILL35" s="168"/>
      <c r="ILM35" s="168"/>
      <c r="ILN35" s="168"/>
      <c r="ILO35" s="168"/>
      <c r="ILP35" s="168"/>
      <c r="ILQ35" s="168"/>
      <c r="ILR35" s="168"/>
      <c r="ILS35" s="168"/>
      <c r="ILT35" s="168"/>
      <c r="ILU35" s="168"/>
      <c r="ILV35" s="168"/>
      <c r="ILW35" s="168"/>
      <c r="ILX35" s="168"/>
      <c r="ILY35" s="168"/>
      <c r="ILZ35" s="168"/>
      <c r="IMA35" s="168"/>
      <c r="IMB35" s="168"/>
      <c r="IMC35" s="168"/>
      <c r="IMD35" s="168"/>
      <c r="IME35" s="168"/>
      <c r="IMF35" s="168"/>
      <c r="IMG35" s="168"/>
      <c r="IMH35" s="168"/>
      <c r="IMI35" s="168"/>
      <c r="IMJ35" s="168"/>
      <c r="IMK35" s="168"/>
      <c r="IML35" s="168"/>
      <c r="IMM35" s="168"/>
      <c r="IMN35" s="168"/>
      <c r="IMO35" s="168"/>
      <c r="IMP35" s="168"/>
      <c r="IMQ35" s="168"/>
      <c r="IMR35" s="168"/>
      <c r="IMS35" s="168"/>
      <c r="IMT35" s="168"/>
      <c r="IMU35" s="168"/>
      <c r="IMV35" s="168"/>
      <c r="IMW35" s="168"/>
      <c r="IMX35" s="168"/>
      <c r="IMY35" s="168"/>
      <c r="IMZ35" s="168"/>
      <c r="INA35" s="168"/>
      <c r="INB35" s="168"/>
      <c r="INC35" s="168"/>
      <c r="IND35" s="168"/>
      <c r="INE35" s="168"/>
      <c r="INF35" s="168"/>
      <c r="ING35" s="168"/>
      <c r="INH35" s="168"/>
      <c r="INI35" s="168"/>
      <c r="INJ35" s="168"/>
      <c r="INK35" s="168"/>
      <c r="INL35" s="168"/>
      <c r="INM35" s="168"/>
      <c r="INN35" s="168"/>
      <c r="INO35" s="168"/>
      <c r="INP35" s="168"/>
      <c r="INQ35" s="168"/>
      <c r="INR35" s="168"/>
      <c r="INS35" s="168"/>
      <c r="INT35" s="168"/>
      <c r="INU35" s="168"/>
      <c r="INV35" s="168"/>
      <c r="INW35" s="168"/>
      <c r="INX35" s="168"/>
      <c r="INY35" s="168"/>
      <c r="INZ35" s="168"/>
      <c r="IOA35" s="168"/>
      <c r="IOB35" s="168"/>
      <c r="IOC35" s="168"/>
      <c r="IOD35" s="168"/>
      <c r="IOE35" s="168"/>
      <c r="IOF35" s="168"/>
      <c r="IOG35" s="168"/>
      <c r="IOH35" s="168"/>
      <c r="IOI35" s="168"/>
      <c r="IOJ35" s="168"/>
      <c r="IOK35" s="168"/>
      <c r="IOL35" s="168"/>
      <c r="IOM35" s="168"/>
      <c r="ION35" s="168"/>
      <c r="IOO35" s="168"/>
      <c r="IOP35" s="168"/>
      <c r="IOQ35" s="168"/>
      <c r="IOR35" s="168"/>
      <c r="IOS35" s="168"/>
      <c r="IOT35" s="168"/>
      <c r="IOU35" s="168"/>
      <c r="IOV35" s="168"/>
      <c r="IOW35" s="168"/>
      <c r="IOX35" s="168"/>
      <c r="IOY35" s="168"/>
      <c r="IOZ35" s="168"/>
      <c r="IPA35" s="168"/>
      <c r="IPB35" s="168"/>
      <c r="IPC35" s="168"/>
      <c r="IPD35" s="168"/>
      <c r="IPE35" s="168"/>
      <c r="IPF35" s="168"/>
      <c r="IPG35" s="168"/>
      <c r="IPH35" s="168"/>
      <c r="IPI35" s="168"/>
      <c r="IPJ35" s="168"/>
      <c r="IPK35" s="168"/>
      <c r="IPL35" s="168"/>
      <c r="IPM35" s="168"/>
      <c r="IPN35" s="168"/>
      <c r="IPO35" s="168"/>
      <c r="IPP35" s="168"/>
      <c r="IPQ35" s="168"/>
      <c r="IPR35" s="168"/>
      <c r="IPS35" s="168"/>
      <c r="IPT35" s="168"/>
      <c r="IPU35" s="168"/>
      <c r="IPV35" s="168"/>
      <c r="IPW35" s="168"/>
      <c r="IPX35" s="168"/>
      <c r="IPY35" s="168"/>
      <c r="IPZ35" s="168"/>
      <c r="IQA35" s="168"/>
      <c r="IQB35" s="168"/>
      <c r="IQC35" s="168"/>
      <c r="IQD35" s="168"/>
      <c r="IQE35" s="168"/>
      <c r="IQF35" s="168"/>
      <c r="IQG35" s="168"/>
      <c r="IQH35" s="168"/>
      <c r="IQI35" s="168"/>
      <c r="IQJ35" s="168"/>
      <c r="IQK35" s="168"/>
      <c r="IQL35" s="168"/>
      <c r="IQM35" s="168"/>
      <c r="IQN35" s="168"/>
      <c r="IQO35" s="168"/>
      <c r="IQP35" s="168"/>
      <c r="IQQ35" s="168"/>
      <c r="IQR35" s="168"/>
      <c r="IQS35" s="168"/>
      <c r="IQT35" s="168"/>
      <c r="IQU35" s="168"/>
      <c r="IQV35" s="168"/>
      <c r="IQW35" s="168"/>
      <c r="IQX35" s="168"/>
      <c r="IQY35" s="168"/>
      <c r="IQZ35" s="168"/>
      <c r="IRA35" s="168"/>
      <c r="IRB35" s="168"/>
      <c r="IRC35" s="168"/>
      <c r="IRD35" s="168"/>
      <c r="IRE35" s="168"/>
      <c r="IRF35" s="168"/>
      <c r="IRG35" s="168"/>
      <c r="IRH35" s="168"/>
      <c r="IRI35" s="168"/>
      <c r="IRJ35" s="168"/>
      <c r="IRK35" s="168"/>
      <c r="IRL35" s="168"/>
      <c r="IRM35" s="168"/>
      <c r="IRN35" s="168"/>
      <c r="IRO35" s="168"/>
      <c r="IRP35" s="168"/>
      <c r="IRQ35" s="168"/>
      <c r="IRR35" s="168"/>
      <c r="IRS35" s="168"/>
      <c r="IRT35" s="168"/>
      <c r="IRU35" s="168"/>
      <c r="IRV35" s="168"/>
      <c r="IRW35" s="168"/>
      <c r="IRX35" s="168"/>
      <c r="IRY35" s="168"/>
      <c r="IRZ35" s="168"/>
      <c r="ISA35" s="168"/>
      <c r="ISB35" s="168"/>
      <c r="ISC35" s="168"/>
      <c r="ISD35" s="168"/>
      <c r="ISE35" s="168"/>
      <c r="ISF35" s="168"/>
      <c r="ISG35" s="168"/>
      <c r="ISH35" s="168"/>
      <c r="ISI35" s="168"/>
      <c r="ISJ35" s="168"/>
      <c r="ISK35" s="168"/>
      <c r="ISL35" s="168"/>
      <c r="ISM35" s="168"/>
      <c r="ISN35" s="168"/>
      <c r="ISO35" s="168"/>
      <c r="ISP35" s="168"/>
      <c r="ISQ35" s="168"/>
      <c r="ISR35" s="168"/>
      <c r="ISS35" s="168"/>
      <c r="IST35" s="168"/>
      <c r="ISU35" s="168"/>
      <c r="ISV35" s="168"/>
      <c r="ISW35" s="168"/>
      <c r="ISX35" s="168"/>
      <c r="ISY35" s="168"/>
      <c r="ISZ35" s="168"/>
      <c r="ITA35" s="168"/>
      <c r="ITB35" s="168"/>
      <c r="ITC35" s="168"/>
      <c r="ITD35" s="168"/>
      <c r="ITE35" s="168"/>
      <c r="ITF35" s="168"/>
      <c r="ITG35" s="168"/>
      <c r="ITH35" s="168"/>
      <c r="ITI35" s="168"/>
      <c r="ITJ35" s="168"/>
      <c r="ITK35" s="168"/>
      <c r="ITL35" s="168"/>
      <c r="ITM35" s="168"/>
      <c r="ITN35" s="168"/>
      <c r="ITO35" s="168"/>
      <c r="ITP35" s="168"/>
      <c r="ITQ35" s="168"/>
      <c r="ITR35" s="168"/>
      <c r="ITS35" s="168"/>
      <c r="ITT35" s="168"/>
      <c r="ITU35" s="168"/>
      <c r="ITV35" s="168"/>
      <c r="ITW35" s="168"/>
      <c r="ITX35" s="168"/>
      <c r="ITY35" s="168"/>
      <c r="ITZ35" s="168"/>
      <c r="IUA35" s="168"/>
      <c r="IUB35" s="168"/>
      <c r="IUC35" s="168"/>
      <c r="IUD35" s="168"/>
      <c r="IUE35" s="168"/>
      <c r="IUF35" s="168"/>
      <c r="IUG35" s="168"/>
      <c r="IUH35" s="168"/>
      <c r="IUI35" s="168"/>
      <c r="IUJ35" s="168"/>
      <c r="IUK35" s="168"/>
      <c r="IUL35" s="168"/>
      <c r="IUM35" s="168"/>
      <c r="IUN35" s="168"/>
      <c r="IUO35" s="168"/>
      <c r="IUP35" s="168"/>
      <c r="IUQ35" s="168"/>
      <c r="IUR35" s="168"/>
      <c r="IUS35" s="168"/>
      <c r="IUT35" s="168"/>
      <c r="IUU35" s="168"/>
      <c r="IUV35" s="168"/>
      <c r="IUW35" s="168"/>
      <c r="IUX35" s="168"/>
      <c r="IUY35" s="168"/>
      <c r="IUZ35" s="168"/>
      <c r="IVA35" s="168"/>
      <c r="IVB35" s="168"/>
      <c r="IVC35" s="168"/>
      <c r="IVD35" s="168"/>
      <c r="IVE35" s="168"/>
      <c r="IVF35" s="168"/>
      <c r="IVG35" s="168"/>
      <c r="IVH35" s="168"/>
      <c r="IVI35" s="168"/>
      <c r="IVJ35" s="168"/>
      <c r="IVK35" s="168"/>
      <c r="IVL35" s="168"/>
      <c r="IVM35" s="168"/>
      <c r="IVN35" s="168"/>
      <c r="IVO35" s="168"/>
      <c r="IVP35" s="168"/>
      <c r="IVQ35" s="168"/>
      <c r="IVR35" s="168"/>
      <c r="IVS35" s="168"/>
      <c r="IVT35" s="168"/>
      <c r="IVU35" s="168"/>
      <c r="IVV35" s="168"/>
      <c r="IVW35" s="168"/>
      <c r="IVX35" s="168"/>
      <c r="IVY35" s="168"/>
      <c r="IVZ35" s="168"/>
      <c r="IWA35" s="168"/>
      <c r="IWB35" s="168"/>
      <c r="IWC35" s="168"/>
      <c r="IWD35" s="168"/>
      <c r="IWE35" s="168"/>
      <c r="IWF35" s="168"/>
      <c r="IWG35" s="168"/>
      <c r="IWH35" s="168"/>
      <c r="IWI35" s="168"/>
      <c r="IWJ35" s="168"/>
      <c r="IWK35" s="168"/>
      <c r="IWL35" s="168"/>
      <c r="IWM35" s="168"/>
      <c r="IWN35" s="168"/>
      <c r="IWO35" s="168"/>
      <c r="IWP35" s="168"/>
      <c r="IWQ35" s="168"/>
      <c r="IWR35" s="168"/>
      <c r="IWS35" s="168"/>
      <c r="IWT35" s="168"/>
      <c r="IWU35" s="168"/>
      <c r="IWV35" s="168"/>
      <c r="IWW35" s="168"/>
      <c r="IWX35" s="168"/>
      <c r="IWY35" s="168"/>
      <c r="IWZ35" s="168"/>
      <c r="IXA35" s="168"/>
      <c r="IXB35" s="168"/>
      <c r="IXC35" s="168"/>
      <c r="IXD35" s="168"/>
      <c r="IXE35" s="168"/>
      <c r="IXF35" s="168"/>
      <c r="IXG35" s="168"/>
      <c r="IXH35" s="168"/>
      <c r="IXI35" s="168"/>
      <c r="IXJ35" s="168"/>
      <c r="IXK35" s="168"/>
      <c r="IXL35" s="168"/>
      <c r="IXM35" s="168"/>
      <c r="IXN35" s="168"/>
      <c r="IXO35" s="168"/>
      <c r="IXP35" s="168"/>
      <c r="IXQ35" s="168"/>
      <c r="IXR35" s="168"/>
      <c r="IXS35" s="168"/>
      <c r="IXT35" s="168"/>
      <c r="IXU35" s="168"/>
      <c r="IXV35" s="168"/>
      <c r="IXW35" s="168"/>
      <c r="IXX35" s="168"/>
      <c r="IXY35" s="168"/>
      <c r="IXZ35" s="168"/>
      <c r="IYA35" s="168"/>
      <c r="IYB35" s="168"/>
      <c r="IYC35" s="168"/>
      <c r="IYD35" s="168"/>
      <c r="IYE35" s="168"/>
      <c r="IYF35" s="168"/>
      <c r="IYG35" s="168"/>
      <c r="IYH35" s="168"/>
      <c r="IYI35" s="168"/>
      <c r="IYJ35" s="168"/>
      <c r="IYK35" s="168"/>
      <c r="IYL35" s="168"/>
      <c r="IYM35" s="168"/>
      <c r="IYN35" s="168"/>
      <c r="IYO35" s="168"/>
      <c r="IYP35" s="168"/>
      <c r="IYQ35" s="168"/>
      <c r="IYR35" s="168"/>
      <c r="IYS35" s="168"/>
      <c r="IYT35" s="168"/>
      <c r="IYU35" s="168"/>
      <c r="IYV35" s="168"/>
      <c r="IYW35" s="168"/>
      <c r="IYX35" s="168"/>
      <c r="IYY35" s="168"/>
      <c r="IYZ35" s="168"/>
      <c r="IZA35" s="168"/>
      <c r="IZB35" s="168"/>
      <c r="IZC35" s="168"/>
      <c r="IZD35" s="168"/>
      <c r="IZE35" s="168"/>
      <c r="IZF35" s="168"/>
      <c r="IZG35" s="168"/>
      <c r="IZH35" s="168"/>
      <c r="IZI35" s="168"/>
      <c r="IZJ35" s="168"/>
      <c r="IZK35" s="168"/>
      <c r="IZL35" s="168"/>
      <c r="IZM35" s="168"/>
      <c r="IZN35" s="168"/>
      <c r="IZO35" s="168"/>
      <c r="IZP35" s="168"/>
      <c r="IZQ35" s="168"/>
      <c r="IZR35" s="168"/>
      <c r="IZS35" s="168"/>
      <c r="IZT35" s="168"/>
      <c r="IZU35" s="168"/>
      <c r="IZV35" s="168"/>
      <c r="IZW35" s="168"/>
      <c r="IZX35" s="168"/>
      <c r="IZY35" s="168"/>
      <c r="IZZ35" s="168"/>
      <c r="JAA35" s="168"/>
      <c r="JAB35" s="168"/>
      <c r="JAC35" s="168"/>
      <c r="JAD35" s="168"/>
      <c r="JAE35" s="168"/>
      <c r="JAF35" s="168"/>
      <c r="JAG35" s="168"/>
      <c r="JAH35" s="168"/>
      <c r="JAI35" s="168"/>
      <c r="JAJ35" s="168"/>
      <c r="JAK35" s="168"/>
      <c r="JAL35" s="168"/>
      <c r="JAM35" s="168"/>
      <c r="JAN35" s="168"/>
      <c r="JAO35" s="168"/>
      <c r="JAP35" s="168"/>
      <c r="JAQ35" s="168"/>
      <c r="JAR35" s="168"/>
      <c r="JAS35" s="168"/>
      <c r="JAT35" s="168"/>
      <c r="JAU35" s="168"/>
      <c r="JAV35" s="168"/>
      <c r="JAW35" s="168"/>
      <c r="JAX35" s="168"/>
      <c r="JAY35" s="168"/>
      <c r="JAZ35" s="168"/>
      <c r="JBA35" s="168"/>
      <c r="JBB35" s="168"/>
      <c r="JBC35" s="168"/>
      <c r="JBD35" s="168"/>
      <c r="JBE35" s="168"/>
      <c r="JBF35" s="168"/>
      <c r="JBG35" s="168"/>
      <c r="JBH35" s="168"/>
      <c r="JBI35" s="168"/>
      <c r="JBJ35" s="168"/>
      <c r="JBK35" s="168"/>
      <c r="JBL35" s="168"/>
      <c r="JBM35" s="168"/>
      <c r="JBN35" s="168"/>
      <c r="JBO35" s="168"/>
      <c r="JBP35" s="168"/>
      <c r="JBQ35" s="168"/>
      <c r="JBR35" s="168"/>
      <c r="JBS35" s="168"/>
      <c r="JBT35" s="168"/>
      <c r="JBU35" s="168"/>
      <c r="JBV35" s="168"/>
      <c r="JBW35" s="168"/>
      <c r="JBX35" s="168"/>
      <c r="JBY35" s="168"/>
      <c r="JBZ35" s="168"/>
      <c r="JCA35" s="168"/>
      <c r="JCB35" s="168"/>
      <c r="JCC35" s="168"/>
      <c r="JCD35" s="168"/>
      <c r="JCE35" s="168"/>
      <c r="JCF35" s="168"/>
      <c r="JCG35" s="168"/>
      <c r="JCH35" s="168"/>
      <c r="JCI35" s="168"/>
      <c r="JCJ35" s="168"/>
      <c r="JCK35" s="168"/>
      <c r="JCL35" s="168"/>
      <c r="JCM35" s="168"/>
      <c r="JCN35" s="168"/>
      <c r="JCO35" s="168"/>
      <c r="JCP35" s="168"/>
      <c r="JCQ35" s="168"/>
      <c r="JCR35" s="168"/>
      <c r="JCS35" s="168"/>
      <c r="JCT35" s="168"/>
      <c r="JCU35" s="168"/>
      <c r="JCV35" s="168"/>
      <c r="JCW35" s="168"/>
      <c r="JCX35" s="168"/>
      <c r="JCY35" s="168"/>
      <c r="JCZ35" s="168"/>
      <c r="JDA35" s="168"/>
      <c r="JDB35" s="168"/>
      <c r="JDC35" s="168"/>
      <c r="JDD35" s="168"/>
      <c r="JDE35" s="168"/>
      <c r="JDF35" s="168"/>
      <c r="JDG35" s="168"/>
      <c r="JDH35" s="168"/>
      <c r="JDI35" s="168"/>
      <c r="JDJ35" s="168"/>
      <c r="JDK35" s="168"/>
      <c r="JDL35" s="168"/>
      <c r="JDM35" s="168"/>
      <c r="JDN35" s="168"/>
      <c r="JDO35" s="168"/>
      <c r="JDP35" s="168"/>
      <c r="JDQ35" s="168"/>
      <c r="JDR35" s="168"/>
      <c r="JDS35" s="168"/>
      <c r="JDT35" s="168"/>
      <c r="JDU35" s="168"/>
      <c r="JDV35" s="168"/>
      <c r="JDW35" s="168"/>
      <c r="JDX35" s="168"/>
      <c r="JDY35" s="168"/>
      <c r="JDZ35" s="168"/>
      <c r="JEA35" s="168"/>
      <c r="JEB35" s="168"/>
      <c r="JEC35" s="168"/>
      <c r="JED35" s="168"/>
      <c r="JEE35" s="168"/>
      <c r="JEF35" s="168"/>
      <c r="JEG35" s="168"/>
      <c r="JEH35" s="168"/>
      <c r="JEI35" s="168"/>
      <c r="JEJ35" s="168"/>
      <c r="JEK35" s="168"/>
      <c r="JEL35" s="168"/>
      <c r="JEM35" s="168"/>
      <c r="JEN35" s="168"/>
      <c r="JEO35" s="168"/>
      <c r="JEP35" s="168"/>
      <c r="JEQ35" s="168"/>
      <c r="JER35" s="168"/>
      <c r="JES35" s="168"/>
      <c r="JET35" s="168"/>
      <c r="JEU35" s="168"/>
      <c r="JEV35" s="168"/>
      <c r="JEW35" s="168"/>
      <c r="JEX35" s="168"/>
      <c r="JEY35" s="168"/>
      <c r="JEZ35" s="168"/>
      <c r="JFA35" s="168"/>
      <c r="JFB35" s="168"/>
      <c r="JFC35" s="168"/>
      <c r="JFD35" s="168"/>
      <c r="JFE35" s="168"/>
      <c r="JFF35" s="168"/>
      <c r="JFG35" s="168"/>
      <c r="JFH35" s="168"/>
      <c r="JFI35" s="168"/>
      <c r="JFJ35" s="168"/>
      <c r="JFK35" s="168"/>
      <c r="JFL35" s="168"/>
      <c r="JFM35" s="168"/>
      <c r="JFN35" s="168"/>
      <c r="JFO35" s="168"/>
      <c r="JFP35" s="168"/>
      <c r="JFQ35" s="168"/>
      <c r="JFR35" s="168"/>
      <c r="JFS35" s="168"/>
      <c r="JFT35" s="168"/>
      <c r="JFU35" s="168"/>
      <c r="JFV35" s="168"/>
      <c r="JFW35" s="168"/>
      <c r="JFX35" s="168"/>
      <c r="JFY35" s="168"/>
      <c r="JFZ35" s="168"/>
      <c r="JGA35" s="168"/>
      <c r="JGB35" s="168"/>
      <c r="JGC35" s="168"/>
      <c r="JGD35" s="168"/>
      <c r="JGE35" s="168"/>
      <c r="JGF35" s="168"/>
      <c r="JGG35" s="168"/>
      <c r="JGH35" s="168"/>
      <c r="JGI35" s="168"/>
      <c r="JGJ35" s="168"/>
      <c r="JGK35" s="168"/>
      <c r="JGL35" s="168"/>
      <c r="JGM35" s="168"/>
      <c r="JGN35" s="168"/>
      <c r="JGO35" s="168"/>
      <c r="JGP35" s="168"/>
      <c r="JGQ35" s="168"/>
      <c r="JGR35" s="168"/>
      <c r="JGS35" s="168"/>
      <c r="JGT35" s="168"/>
      <c r="JGU35" s="168"/>
      <c r="JGV35" s="168"/>
      <c r="JGW35" s="168"/>
      <c r="JGX35" s="168"/>
      <c r="JGY35" s="168"/>
      <c r="JGZ35" s="168"/>
      <c r="JHA35" s="168"/>
      <c r="JHB35" s="168"/>
      <c r="JHC35" s="168"/>
      <c r="JHD35" s="168"/>
      <c r="JHE35" s="168"/>
      <c r="JHF35" s="168"/>
      <c r="JHG35" s="168"/>
      <c r="JHH35" s="168"/>
      <c r="JHI35" s="168"/>
      <c r="JHJ35" s="168"/>
      <c r="JHK35" s="168"/>
      <c r="JHL35" s="168"/>
      <c r="JHM35" s="168"/>
      <c r="JHN35" s="168"/>
      <c r="JHO35" s="168"/>
      <c r="JHP35" s="168"/>
      <c r="JHQ35" s="168"/>
      <c r="JHR35" s="168"/>
      <c r="JHS35" s="168"/>
      <c r="JHT35" s="168"/>
      <c r="JHU35" s="168"/>
      <c r="JHV35" s="168"/>
      <c r="JHW35" s="168"/>
      <c r="JHX35" s="168"/>
      <c r="JHY35" s="168"/>
      <c r="JHZ35" s="168"/>
      <c r="JIA35" s="168"/>
      <c r="JIB35" s="168"/>
      <c r="JIC35" s="168"/>
      <c r="JID35" s="168"/>
      <c r="JIE35" s="168"/>
      <c r="JIF35" s="168"/>
      <c r="JIG35" s="168"/>
      <c r="JIH35" s="168"/>
      <c r="JII35" s="168"/>
      <c r="JIJ35" s="168"/>
      <c r="JIK35" s="168"/>
      <c r="JIL35" s="168"/>
      <c r="JIM35" s="168"/>
      <c r="JIN35" s="168"/>
      <c r="JIO35" s="168"/>
      <c r="JIP35" s="168"/>
      <c r="JIQ35" s="168"/>
      <c r="JIR35" s="168"/>
      <c r="JIS35" s="168"/>
      <c r="JIT35" s="168"/>
      <c r="JIU35" s="168"/>
      <c r="JIV35" s="168"/>
      <c r="JIW35" s="168"/>
      <c r="JIX35" s="168"/>
      <c r="JIY35" s="168"/>
      <c r="JIZ35" s="168"/>
      <c r="JJA35" s="168"/>
      <c r="JJB35" s="168"/>
      <c r="JJC35" s="168"/>
      <c r="JJD35" s="168"/>
      <c r="JJE35" s="168"/>
      <c r="JJF35" s="168"/>
      <c r="JJG35" s="168"/>
      <c r="JJH35" s="168"/>
      <c r="JJI35" s="168"/>
      <c r="JJJ35" s="168"/>
      <c r="JJK35" s="168"/>
      <c r="JJL35" s="168"/>
      <c r="JJM35" s="168"/>
      <c r="JJN35" s="168"/>
      <c r="JJO35" s="168"/>
      <c r="JJP35" s="168"/>
      <c r="JJQ35" s="168"/>
      <c r="JJR35" s="168"/>
      <c r="JJS35" s="168"/>
      <c r="JJT35" s="168"/>
      <c r="JJU35" s="168"/>
      <c r="JJV35" s="168"/>
      <c r="JJW35" s="168"/>
      <c r="JJX35" s="168"/>
      <c r="JJY35" s="168"/>
      <c r="JJZ35" s="168"/>
      <c r="JKA35" s="168"/>
      <c r="JKB35" s="168"/>
      <c r="JKC35" s="168"/>
      <c r="JKD35" s="168"/>
      <c r="JKE35" s="168"/>
      <c r="JKF35" s="168"/>
      <c r="JKG35" s="168"/>
      <c r="JKH35" s="168"/>
      <c r="JKI35" s="168"/>
      <c r="JKJ35" s="168"/>
      <c r="JKK35" s="168"/>
      <c r="JKL35" s="168"/>
      <c r="JKM35" s="168"/>
      <c r="JKN35" s="168"/>
      <c r="JKO35" s="168"/>
      <c r="JKP35" s="168"/>
      <c r="JKQ35" s="168"/>
      <c r="JKR35" s="168"/>
      <c r="JKS35" s="168"/>
      <c r="JKT35" s="168"/>
      <c r="JKU35" s="168"/>
      <c r="JKV35" s="168"/>
      <c r="JKW35" s="168"/>
      <c r="JKX35" s="168"/>
      <c r="JKY35" s="168"/>
      <c r="JKZ35" s="168"/>
      <c r="JLA35" s="168"/>
      <c r="JLB35" s="168"/>
      <c r="JLC35" s="168"/>
      <c r="JLD35" s="168"/>
      <c r="JLE35" s="168"/>
      <c r="JLF35" s="168"/>
      <c r="JLG35" s="168"/>
      <c r="JLH35" s="168"/>
      <c r="JLI35" s="168"/>
      <c r="JLJ35" s="168"/>
      <c r="JLK35" s="168"/>
      <c r="JLL35" s="168"/>
      <c r="JLM35" s="168"/>
      <c r="JLN35" s="168"/>
      <c r="JLO35" s="168"/>
      <c r="JLP35" s="168"/>
      <c r="JLQ35" s="168"/>
      <c r="JLR35" s="168"/>
      <c r="JLS35" s="168"/>
      <c r="JLT35" s="168"/>
      <c r="JLU35" s="168"/>
      <c r="JLV35" s="168"/>
      <c r="JLW35" s="168"/>
      <c r="JLX35" s="168"/>
      <c r="JLY35" s="168"/>
      <c r="JLZ35" s="168"/>
      <c r="JMA35" s="168"/>
      <c r="JMB35" s="168"/>
      <c r="JMC35" s="168"/>
      <c r="JMD35" s="168"/>
      <c r="JME35" s="168"/>
      <c r="JMF35" s="168"/>
      <c r="JMG35" s="168"/>
      <c r="JMH35" s="168"/>
      <c r="JMI35" s="168"/>
      <c r="JMJ35" s="168"/>
      <c r="JMK35" s="168"/>
      <c r="JML35" s="168"/>
      <c r="JMM35" s="168"/>
      <c r="JMN35" s="168"/>
      <c r="JMO35" s="168"/>
      <c r="JMP35" s="168"/>
      <c r="JMQ35" s="168"/>
      <c r="JMR35" s="168"/>
      <c r="JMS35" s="168"/>
      <c r="JMT35" s="168"/>
      <c r="JMU35" s="168"/>
      <c r="JMV35" s="168"/>
      <c r="JMW35" s="168"/>
      <c r="JMX35" s="168"/>
      <c r="JMY35" s="168"/>
      <c r="JMZ35" s="168"/>
      <c r="JNA35" s="168"/>
      <c r="JNB35" s="168"/>
      <c r="JNC35" s="168"/>
      <c r="JND35" s="168"/>
      <c r="JNE35" s="168"/>
      <c r="JNF35" s="168"/>
      <c r="JNG35" s="168"/>
      <c r="JNH35" s="168"/>
      <c r="JNI35" s="168"/>
      <c r="JNJ35" s="168"/>
      <c r="JNK35" s="168"/>
      <c r="JNL35" s="168"/>
      <c r="JNM35" s="168"/>
      <c r="JNN35" s="168"/>
      <c r="JNO35" s="168"/>
      <c r="JNP35" s="168"/>
      <c r="JNQ35" s="168"/>
      <c r="JNR35" s="168"/>
      <c r="JNS35" s="168"/>
      <c r="JNT35" s="168"/>
      <c r="JNU35" s="168"/>
      <c r="JNV35" s="168"/>
      <c r="JNW35" s="168"/>
      <c r="JNX35" s="168"/>
      <c r="JNY35" s="168"/>
      <c r="JNZ35" s="168"/>
      <c r="JOA35" s="168"/>
      <c r="JOB35" s="168"/>
      <c r="JOC35" s="168"/>
      <c r="JOD35" s="168"/>
      <c r="JOE35" s="168"/>
      <c r="JOF35" s="168"/>
      <c r="JOG35" s="168"/>
      <c r="JOH35" s="168"/>
      <c r="JOI35" s="168"/>
      <c r="JOJ35" s="168"/>
      <c r="JOK35" s="168"/>
      <c r="JOL35" s="168"/>
      <c r="JOM35" s="168"/>
      <c r="JON35" s="168"/>
      <c r="JOO35" s="168"/>
      <c r="JOP35" s="168"/>
      <c r="JOQ35" s="168"/>
      <c r="JOR35" s="168"/>
      <c r="JOS35" s="168"/>
      <c r="JOT35" s="168"/>
      <c r="JOU35" s="168"/>
      <c r="JOV35" s="168"/>
      <c r="JOW35" s="168"/>
      <c r="JOX35" s="168"/>
      <c r="JOY35" s="168"/>
      <c r="JOZ35" s="168"/>
      <c r="JPA35" s="168"/>
      <c r="JPB35" s="168"/>
      <c r="JPC35" s="168"/>
      <c r="JPD35" s="168"/>
      <c r="JPE35" s="168"/>
      <c r="JPF35" s="168"/>
      <c r="JPG35" s="168"/>
      <c r="JPH35" s="168"/>
      <c r="JPI35" s="168"/>
      <c r="JPJ35" s="168"/>
      <c r="JPK35" s="168"/>
      <c r="JPL35" s="168"/>
      <c r="JPM35" s="168"/>
      <c r="JPN35" s="168"/>
      <c r="JPO35" s="168"/>
      <c r="JPP35" s="168"/>
      <c r="JPQ35" s="168"/>
      <c r="JPR35" s="168"/>
      <c r="JPS35" s="168"/>
      <c r="JPT35" s="168"/>
      <c r="JPU35" s="168"/>
      <c r="JPV35" s="168"/>
      <c r="JPW35" s="168"/>
      <c r="JPX35" s="168"/>
      <c r="JPY35" s="168"/>
      <c r="JPZ35" s="168"/>
      <c r="JQA35" s="168"/>
      <c r="JQB35" s="168"/>
      <c r="JQC35" s="168"/>
      <c r="JQD35" s="168"/>
      <c r="JQE35" s="168"/>
      <c r="JQF35" s="168"/>
      <c r="JQG35" s="168"/>
      <c r="JQH35" s="168"/>
      <c r="JQI35" s="168"/>
      <c r="JQJ35" s="168"/>
      <c r="JQK35" s="168"/>
      <c r="JQL35" s="168"/>
      <c r="JQM35" s="168"/>
      <c r="JQN35" s="168"/>
      <c r="JQO35" s="168"/>
      <c r="JQP35" s="168"/>
      <c r="JQQ35" s="168"/>
      <c r="JQR35" s="168"/>
      <c r="JQS35" s="168"/>
      <c r="JQT35" s="168"/>
      <c r="JQU35" s="168"/>
      <c r="JQV35" s="168"/>
      <c r="JQW35" s="168"/>
      <c r="JQX35" s="168"/>
      <c r="JQY35" s="168"/>
      <c r="JQZ35" s="168"/>
      <c r="JRA35" s="168"/>
      <c r="JRB35" s="168"/>
      <c r="JRC35" s="168"/>
      <c r="JRD35" s="168"/>
      <c r="JRE35" s="168"/>
      <c r="JRF35" s="168"/>
      <c r="JRG35" s="168"/>
      <c r="JRH35" s="168"/>
      <c r="JRI35" s="168"/>
      <c r="JRJ35" s="168"/>
      <c r="JRK35" s="168"/>
      <c r="JRL35" s="168"/>
      <c r="JRM35" s="168"/>
      <c r="JRN35" s="168"/>
      <c r="JRO35" s="168"/>
      <c r="JRP35" s="168"/>
      <c r="JRQ35" s="168"/>
      <c r="JRR35" s="168"/>
      <c r="JRS35" s="168"/>
      <c r="JRT35" s="168"/>
      <c r="JRU35" s="168"/>
      <c r="JRV35" s="168"/>
      <c r="JRW35" s="168"/>
      <c r="JRX35" s="168"/>
      <c r="JRY35" s="168"/>
      <c r="JRZ35" s="168"/>
      <c r="JSA35" s="168"/>
      <c r="JSB35" s="168"/>
      <c r="JSC35" s="168"/>
      <c r="JSD35" s="168"/>
      <c r="JSE35" s="168"/>
      <c r="JSF35" s="168"/>
      <c r="JSG35" s="168"/>
      <c r="JSH35" s="168"/>
      <c r="JSI35" s="168"/>
      <c r="JSJ35" s="168"/>
      <c r="JSK35" s="168"/>
      <c r="JSL35" s="168"/>
      <c r="JSM35" s="168"/>
      <c r="JSN35" s="168"/>
      <c r="JSO35" s="168"/>
      <c r="JSP35" s="168"/>
      <c r="JSQ35" s="168"/>
      <c r="JSR35" s="168"/>
      <c r="JSS35" s="168"/>
      <c r="JST35" s="168"/>
      <c r="JSU35" s="168"/>
      <c r="JSV35" s="168"/>
      <c r="JSW35" s="168"/>
      <c r="JSX35" s="168"/>
      <c r="JSY35" s="168"/>
      <c r="JSZ35" s="168"/>
      <c r="JTA35" s="168"/>
      <c r="JTB35" s="168"/>
      <c r="JTC35" s="168"/>
      <c r="JTD35" s="168"/>
      <c r="JTE35" s="168"/>
      <c r="JTF35" s="168"/>
      <c r="JTG35" s="168"/>
      <c r="JTH35" s="168"/>
      <c r="JTI35" s="168"/>
      <c r="JTJ35" s="168"/>
      <c r="JTK35" s="168"/>
      <c r="JTL35" s="168"/>
      <c r="JTM35" s="168"/>
      <c r="JTN35" s="168"/>
      <c r="JTO35" s="168"/>
      <c r="JTP35" s="168"/>
      <c r="JTQ35" s="168"/>
      <c r="JTR35" s="168"/>
      <c r="JTS35" s="168"/>
      <c r="JTT35" s="168"/>
      <c r="JTU35" s="168"/>
      <c r="JTV35" s="168"/>
      <c r="JTW35" s="168"/>
      <c r="JTX35" s="168"/>
      <c r="JTY35" s="168"/>
      <c r="JTZ35" s="168"/>
      <c r="JUA35" s="168"/>
      <c r="JUB35" s="168"/>
      <c r="JUC35" s="168"/>
      <c r="JUD35" s="168"/>
      <c r="JUE35" s="168"/>
      <c r="JUF35" s="168"/>
      <c r="JUG35" s="168"/>
      <c r="JUH35" s="168"/>
      <c r="JUI35" s="168"/>
      <c r="JUJ35" s="168"/>
      <c r="JUK35" s="168"/>
      <c r="JUL35" s="168"/>
      <c r="JUM35" s="168"/>
      <c r="JUN35" s="168"/>
      <c r="JUO35" s="168"/>
      <c r="JUP35" s="168"/>
      <c r="JUQ35" s="168"/>
      <c r="JUR35" s="168"/>
      <c r="JUS35" s="168"/>
      <c r="JUT35" s="168"/>
      <c r="JUU35" s="168"/>
      <c r="JUV35" s="168"/>
      <c r="JUW35" s="168"/>
      <c r="JUX35" s="168"/>
      <c r="JUY35" s="168"/>
      <c r="JUZ35" s="168"/>
      <c r="JVA35" s="168"/>
      <c r="JVB35" s="168"/>
      <c r="JVC35" s="168"/>
      <c r="JVD35" s="168"/>
      <c r="JVE35" s="168"/>
      <c r="JVF35" s="168"/>
      <c r="JVG35" s="168"/>
      <c r="JVH35" s="168"/>
      <c r="JVI35" s="168"/>
      <c r="JVJ35" s="168"/>
      <c r="JVK35" s="168"/>
      <c r="JVL35" s="168"/>
      <c r="JVM35" s="168"/>
      <c r="JVN35" s="168"/>
      <c r="JVO35" s="168"/>
      <c r="JVP35" s="168"/>
      <c r="JVQ35" s="168"/>
      <c r="JVR35" s="168"/>
      <c r="JVS35" s="168"/>
      <c r="JVT35" s="168"/>
      <c r="JVU35" s="168"/>
      <c r="JVV35" s="168"/>
      <c r="JVW35" s="168"/>
      <c r="JVX35" s="168"/>
      <c r="JVY35" s="168"/>
      <c r="JVZ35" s="168"/>
      <c r="JWA35" s="168"/>
      <c r="JWB35" s="168"/>
      <c r="JWC35" s="168"/>
      <c r="JWD35" s="168"/>
      <c r="JWE35" s="168"/>
      <c r="JWF35" s="168"/>
      <c r="JWG35" s="168"/>
      <c r="JWH35" s="168"/>
      <c r="JWI35" s="168"/>
      <c r="JWJ35" s="168"/>
      <c r="JWK35" s="168"/>
      <c r="JWL35" s="168"/>
      <c r="JWM35" s="168"/>
      <c r="JWN35" s="168"/>
      <c r="JWO35" s="168"/>
      <c r="JWP35" s="168"/>
      <c r="JWQ35" s="168"/>
      <c r="JWR35" s="168"/>
      <c r="JWS35" s="168"/>
      <c r="JWT35" s="168"/>
      <c r="JWU35" s="168"/>
      <c r="JWV35" s="168"/>
      <c r="JWW35" s="168"/>
      <c r="JWX35" s="168"/>
      <c r="JWY35" s="168"/>
      <c r="JWZ35" s="168"/>
      <c r="JXA35" s="168"/>
      <c r="JXB35" s="168"/>
      <c r="JXC35" s="168"/>
      <c r="JXD35" s="168"/>
      <c r="JXE35" s="168"/>
      <c r="JXF35" s="168"/>
      <c r="JXG35" s="168"/>
      <c r="JXH35" s="168"/>
      <c r="JXI35" s="168"/>
      <c r="JXJ35" s="168"/>
      <c r="JXK35" s="168"/>
      <c r="JXL35" s="168"/>
      <c r="JXM35" s="168"/>
      <c r="JXN35" s="168"/>
      <c r="JXO35" s="168"/>
      <c r="JXP35" s="168"/>
      <c r="JXQ35" s="168"/>
      <c r="JXR35" s="168"/>
      <c r="JXS35" s="168"/>
      <c r="JXT35" s="168"/>
      <c r="JXU35" s="168"/>
      <c r="JXV35" s="168"/>
      <c r="JXW35" s="168"/>
      <c r="JXX35" s="168"/>
      <c r="JXY35" s="168"/>
      <c r="JXZ35" s="168"/>
      <c r="JYA35" s="168"/>
      <c r="JYB35" s="168"/>
      <c r="JYC35" s="168"/>
      <c r="JYD35" s="168"/>
      <c r="JYE35" s="168"/>
      <c r="JYF35" s="168"/>
      <c r="JYG35" s="168"/>
      <c r="JYH35" s="168"/>
      <c r="JYI35" s="168"/>
      <c r="JYJ35" s="168"/>
      <c r="JYK35" s="168"/>
      <c r="JYL35" s="168"/>
      <c r="JYM35" s="168"/>
      <c r="JYN35" s="168"/>
      <c r="JYO35" s="168"/>
      <c r="JYP35" s="168"/>
      <c r="JYQ35" s="168"/>
      <c r="JYR35" s="168"/>
      <c r="JYS35" s="168"/>
      <c r="JYT35" s="168"/>
      <c r="JYU35" s="168"/>
      <c r="JYV35" s="168"/>
      <c r="JYW35" s="168"/>
      <c r="JYX35" s="168"/>
      <c r="JYY35" s="168"/>
      <c r="JYZ35" s="168"/>
      <c r="JZA35" s="168"/>
      <c r="JZB35" s="168"/>
      <c r="JZC35" s="168"/>
      <c r="JZD35" s="168"/>
      <c r="JZE35" s="168"/>
      <c r="JZF35" s="168"/>
      <c r="JZG35" s="168"/>
      <c r="JZH35" s="168"/>
      <c r="JZI35" s="168"/>
      <c r="JZJ35" s="168"/>
      <c r="JZK35" s="168"/>
      <c r="JZL35" s="168"/>
      <c r="JZM35" s="168"/>
      <c r="JZN35" s="168"/>
      <c r="JZO35" s="168"/>
      <c r="JZP35" s="168"/>
      <c r="JZQ35" s="168"/>
      <c r="JZR35" s="168"/>
      <c r="JZS35" s="168"/>
      <c r="JZT35" s="168"/>
      <c r="JZU35" s="168"/>
      <c r="JZV35" s="168"/>
      <c r="JZW35" s="168"/>
      <c r="JZX35" s="168"/>
      <c r="JZY35" s="168"/>
      <c r="JZZ35" s="168"/>
      <c r="KAA35" s="168"/>
      <c r="KAB35" s="168"/>
      <c r="KAC35" s="168"/>
      <c r="KAD35" s="168"/>
      <c r="KAE35" s="168"/>
      <c r="KAF35" s="168"/>
      <c r="KAG35" s="168"/>
      <c r="KAH35" s="168"/>
      <c r="KAI35" s="168"/>
      <c r="KAJ35" s="168"/>
      <c r="KAK35" s="168"/>
      <c r="KAL35" s="168"/>
      <c r="KAM35" s="168"/>
      <c r="KAN35" s="168"/>
      <c r="KAO35" s="168"/>
      <c r="KAP35" s="168"/>
      <c r="KAQ35" s="168"/>
      <c r="KAR35" s="168"/>
      <c r="KAS35" s="168"/>
      <c r="KAT35" s="168"/>
      <c r="KAU35" s="168"/>
      <c r="KAV35" s="168"/>
      <c r="KAW35" s="168"/>
      <c r="KAX35" s="168"/>
      <c r="KAY35" s="168"/>
      <c r="KAZ35" s="168"/>
      <c r="KBA35" s="168"/>
      <c r="KBB35" s="168"/>
      <c r="KBC35" s="168"/>
      <c r="KBD35" s="168"/>
      <c r="KBE35" s="168"/>
      <c r="KBF35" s="168"/>
      <c r="KBG35" s="168"/>
      <c r="KBH35" s="168"/>
      <c r="KBI35" s="168"/>
      <c r="KBJ35" s="168"/>
      <c r="KBK35" s="168"/>
      <c r="KBL35" s="168"/>
      <c r="KBM35" s="168"/>
      <c r="KBN35" s="168"/>
      <c r="KBO35" s="168"/>
      <c r="KBP35" s="168"/>
      <c r="KBQ35" s="168"/>
      <c r="KBR35" s="168"/>
      <c r="KBS35" s="168"/>
      <c r="KBT35" s="168"/>
      <c r="KBU35" s="168"/>
      <c r="KBV35" s="168"/>
      <c r="KBW35" s="168"/>
      <c r="KBX35" s="168"/>
      <c r="KBY35" s="168"/>
      <c r="KBZ35" s="168"/>
      <c r="KCA35" s="168"/>
      <c r="KCB35" s="168"/>
      <c r="KCC35" s="168"/>
      <c r="KCD35" s="168"/>
      <c r="KCE35" s="168"/>
      <c r="KCF35" s="168"/>
      <c r="KCG35" s="168"/>
      <c r="KCH35" s="168"/>
      <c r="KCI35" s="168"/>
      <c r="KCJ35" s="168"/>
      <c r="KCK35" s="168"/>
      <c r="KCL35" s="168"/>
      <c r="KCM35" s="168"/>
      <c r="KCN35" s="168"/>
      <c r="KCO35" s="168"/>
      <c r="KCP35" s="168"/>
      <c r="KCQ35" s="168"/>
      <c r="KCR35" s="168"/>
      <c r="KCS35" s="168"/>
      <c r="KCT35" s="168"/>
      <c r="KCU35" s="168"/>
      <c r="KCV35" s="168"/>
      <c r="KCW35" s="168"/>
      <c r="KCX35" s="168"/>
      <c r="KCY35" s="168"/>
      <c r="KCZ35" s="168"/>
      <c r="KDA35" s="168"/>
      <c r="KDB35" s="168"/>
      <c r="KDC35" s="168"/>
      <c r="KDD35" s="168"/>
      <c r="KDE35" s="168"/>
      <c r="KDF35" s="168"/>
      <c r="KDG35" s="168"/>
      <c r="KDH35" s="168"/>
      <c r="KDI35" s="168"/>
      <c r="KDJ35" s="168"/>
      <c r="KDK35" s="168"/>
      <c r="KDL35" s="168"/>
      <c r="KDM35" s="168"/>
      <c r="KDN35" s="168"/>
      <c r="KDO35" s="168"/>
      <c r="KDP35" s="168"/>
      <c r="KDQ35" s="168"/>
      <c r="KDR35" s="168"/>
      <c r="KDS35" s="168"/>
      <c r="KDT35" s="168"/>
      <c r="KDU35" s="168"/>
      <c r="KDV35" s="168"/>
      <c r="KDW35" s="168"/>
      <c r="KDX35" s="168"/>
      <c r="KDY35" s="168"/>
      <c r="KDZ35" s="168"/>
      <c r="KEA35" s="168"/>
      <c r="KEB35" s="168"/>
      <c r="KEC35" s="168"/>
      <c r="KED35" s="168"/>
      <c r="KEE35" s="168"/>
      <c r="KEF35" s="168"/>
      <c r="KEG35" s="168"/>
      <c r="KEH35" s="168"/>
      <c r="KEI35" s="168"/>
      <c r="KEJ35" s="168"/>
      <c r="KEK35" s="168"/>
      <c r="KEL35" s="168"/>
      <c r="KEM35" s="168"/>
      <c r="KEN35" s="168"/>
      <c r="KEO35" s="168"/>
      <c r="KEP35" s="168"/>
      <c r="KEQ35" s="168"/>
      <c r="KER35" s="168"/>
      <c r="KES35" s="168"/>
      <c r="KET35" s="168"/>
      <c r="KEU35" s="168"/>
      <c r="KEV35" s="168"/>
      <c r="KEW35" s="168"/>
      <c r="KEX35" s="168"/>
      <c r="KEY35" s="168"/>
      <c r="KEZ35" s="168"/>
      <c r="KFA35" s="168"/>
      <c r="KFB35" s="168"/>
      <c r="KFC35" s="168"/>
      <c r="KFD35" s="168"/>
      <c r="KFE35" s="168"/>
      <c r="KFF35" s="168"/>
      <c r="KFG35" s="168"/>
      <c r="KFH35" s="168"/>
      <c r="KFI35" s="168"/>
      <c r="KFJ35" s="168"/>
      <c r="KFK35" s="168"/>
      <c r="KFL35" s="168"/>
      <c r="KFM35" s="168"/>
      <c r="KFN35" s="168"/>
      <c r="KFO35" s="168"/>
      <c r="KFP35" s="168"/>
      <c r="KFQ35" s="168"/>
      <c r="KFR35" s="168"/>
      <c r="KFS35" s="168"/>
      <c r="KFT35" s="168"/>
      <c r="KFU35" s="168"/>
      <c r="KFV35" s="168"/>
      <c r="KFW35" s="168"/>
      <c r="KFX35" s="168"/>
      <c r="KFY35" s="168"/>
      <c r="KFZ35" s="168"/>
      <c r="KGA35" s="168"/>
      <c r="KGB35" s="168"/>
      <c r="KGC35" s="168"/>
      <c r="KGD35" s="168"/>
      <c r="KGE35" s="168"/>
      <c r="KGF35" s="168"/>
      <c r="KGG35" s="168"/>
      <c r="KGH35" s="168"/>
      <c r="KGI35" s="168"/>
      <c r="KGJ35" s="168"/>
      <c r="KGK35" s="168"/>
      <c r="KGL35" s="168"/>
      <c r="KGM35" s="168"/>
      <c r="KGN35" s="168"/>
      <c r="KGO35" s="168"/>
      <c r="KGP35" s="168"/>
      <c r="KGQ35" s="168"/>
      <c r="KGR35" s="168"/>
      <c r="KGS35" s="168"/>
      <c r="KGT35" s="168"/>
      <c r="KGU35" s="168"/>
      <c r="KGV35" s="168"/>
      <c r="KGW35" s="168"/>
      <c r="KGX35" s="168"/>
      <c r="KGY35" s="168"/>
      <c r="KGZ35" s="168"/>
      <c r="KHA35" s="168"/>
      <c r="KHB35" s="168"/>
      <c r="KHC35" s="168"/>
      <c r="KHD35" s="168"/>
      <c r="KHE35" s="168"/>
      <c r="KHF35" s="168"/>
      <c r="KHG35" s="168"/>
      <c r="KHH35" s="168"/>
      <c r="KHI35" s="168"/>
      <c r="KHJ35" s="168"/>
      <c r="KHK35" s="168"/>
      <c r="KHL35" s="168"/>
      <c r="KHM35" s="168"/>
      <c r="KHN35" s="168"/>
      <c r="KHO35" s="168"/>
      <c r="KHP35" s="168"/>
      <c r="KHQ35" s="168"/>
      <c r="KHR35" s="168"/>
      <c r="KHS35" s="168"/>
      <c r="KHT35" s="168"/>
      <c r="KHU35" s="168"/>
      <c r="KHV35" s="168"/>
      <c r="KHW35" s="168"/>
      <c r="KHX35" s="168"/>
      <c r="KHY35" s="168"/>
      <c r="KHZ35" s="168"/>
      <c r="KIA35" s="168"/>
      <c r="KIB35" s="168"/>
      <c r="KIC35" s="168"/>
      <c r="KID35" s="168"/>
      <c r="KIE35" s="168"/>
      <c r="KIF35" s="168"/>
      <c r="KIG35" s="168"/>
      <c r="KIH35" s="168"/>
      <c r="KII35" s="168"/>
      <c r="KIJ35" s="168"/>
      <c r="KIK35" s="168"/>
      <c r="KIL35" s="168"/>
      <c r="KIM35" s="168"/>
      <c r="KIN35" s="168"/>
      <c r="KIO35" s="168"/>
      <c r="KIP35" s="168"/>
      <c r="KIQ35" s="168"/>
      <c r="KIR35" s="168"/>
      <c r="KIS35" s="168"/>
      <c r="KIT35" s="168"/>
      <c r="KIU35" s="168"/>
      <c r="KIV35" s="168"/>
      <c r="KIW35" s="168"/>
      <c r="KIX35" s="168"/>
      <c r="KIY35" s="168"/>
      <c r="KIZ35" s="168"/>
      <c r="KJA35" s="168"/>
      <c r="KJB35" s="168"/>
      <c r="KJC35" s="168"/>
      <c r="KJD35" s="168"/>
      <c r="KJE35" s="168"/>
      <c r="KJF35" s="168"/>
      <c r="KJG35" s="168"/>
      <c r="KJH35" s="168"/>
      <c r="KJI35" s="168"/>
      <c r="KJJ35" s="168"/>
      <c r="KJK35" s="168"/>
      <c r="KJL35" s="168"/>
      <c r="KJM35" s="168"/>
      <c r="KJN35" s="168"/>
      <c r="KJO35" s="168"/>
      <c r="KJP35" s="168"/>
      <c r="KJQ35" s="168"/>
      <c r="KJR35" s="168"/>
      <c r="KJS35" s="168"/>
      <c r="KJT35" s="168"/>
      <c r="KJU35" s="168"/>
      <c r="KJV35" s="168"/>
      <c r="KJW35" s="168"/>
      <c r="KJX35" s="168"/>
      <c r="KJY35" s="168"/>
      <c r="KJZ35" s="168"/>
      <c r="KKA35" s="168"/>
      <c r="KKB35" s="168"/>
      <c r="KKC35" s="168"/>
      <c r="KKD35" s="168"/>
      <c r="KKE35" s="168"/>
      <c r="KKF35" s="168"/>
      <c r="KKG35" s="168"/>
      <c r="KKH35" s="168"/>
      <c r="KKI35" s="168"/>
      <c r="KKJ35" s="168"/>
      <c r="KKK35" s="168"/>
      <c r="KKL35" s="168"/>
      <c r="KKM35" s="168"/>
      <c r="KKN35" s="168"/>
      <c r="KKO35" s="168"/>
      <c r="KKP35" s="168"/>
      <c r="KKQ35" s="168"/>
      <c r="KKR35" s="168"/>
      <c r="KKS35" s="168"/>
      <c r="KKT35" s="168"/>
      <c r="KKU35" s="168"/>
      <c r="KKV35" s="168"/>
      <c r="KKW35" s="168"/>
      <c r="KKX35" s="168"/>
      <c r="KKY35" s="168"/>
      <c r="KKZ35" s="168"/>
      <c r="KLA35" s="168"/>
      <c r="KLB35" s="168"/>
      <c r="KLC35" s="168"/>
      <c r="KLD35" s="168"/>
      <c r="KLE35" s="168"/>
      <c r="KLF35" s="168"/>
      <c r="KLG35" s="168"/>
      <c r="KLH35" s="168"/>
      <c r="KLI35" s="168"/>
      <c r="KLJ35" s="168"/>
      <c r="KLK35" s="168"/>
      <c r="KLL35" s="168"/>
      <c r="KLM35" s="168"/>
      <c r="KLN35" s="168"/>
      <c r="KLO35" s="168"/>
      <c r="KLP35" s="168"/>
      <c r="KLQ35" s="168"/>
      <c r="KLR35" s="168"/>
      <c r="KLS35" s="168"/>
      <c r="KLT35" s="168"/>
      <c r="KLU35" s="168"/>
      <c r="KLV35" s="168"/>
      <c r="KLW35" s="168"/>
      <c r="KLX35" s="168"/>
      <c r="KLY35" s="168"/>
      <c r="KLZ35" s="168"/>
      <c r="KMA35" s="168"/>
      <c r="KMB35" s="168"/>
      <c r="KMC35" s="168"/>
      <c r="KMD35" s="168"/>
      <c r="KME35" s="168"/>
      <c r="KMF35" s="168"/>
      <c r="KMG35" s="168"/>
      <c r="KMH35" s="168"/>
      <c r="KMI35" s="168"/>
      <c r="KMJ35" s="168"/>
      <c r="KMK35" s="168"/>
      <c r="KML35" s="168"/>
      <c r="KMM35" s="168"/>
      <c r="KMN35" s="168"/>
      <c r="KMO35" s="168"/>
      <c r="KMP35" s="168"/>
      <c r="KMQ35" s="168"/>
      <c r="KMR35" s="168"/>
      <c r="KMS35" s="168"/>
      <c r="KMT35" s="168"/>
      <c r="KMU35" s="168"/>
      <c r="KMV35" s="168"/>
      <c r="KMW35" s="168"/>
      <c r="KMX35" s="168"/>
      <c r="KMY35" s="168"/>
      <c r="KMZ35" s="168"/>
      <c r="KNA35" s="168"/>
      <c r="KNB35" s="168"/>
      <c r="KNC35" s="168"/>
      <c r="KND35" s="168"/>
      <c r="KNE35" s="168"/>
      <c r="KNF35" s="168"/>
      <c r="KNG35" s="168"/>
      <c r="KNH35" s="168"/>
      <c r="KNI35" s="168"/>
      <c r="KNJ35" s="168"/>
      <c r="KNK35" s="168"/>
      <c r="KNL35" s="168"/>
      <c r="KNM35" s="168"/>
      <c r="KNN35" s="168"/>
      <c r="KNO35" s="168"/>
      <c r="KNP35" s="168"/>
      <c r="KNQ35" s="168"/>
      <c r="KNR35" s="168"/>
      <c r="KNS35" s="168"/>
      <c r="KNT35" s="168"/>
      <c r="KNU35" s="168"/>
      <c r="KNV35" s="168"/>
      <c r="KNW35" s="168"/>
      <c r="KNX35" s="168"/>
      <c r="KNY35" s="168"/>
      <c r="KNZ35" s="168"/>
      <c r="KOA35" s="168"/>
      <c r="KOB35" s="168"/>
      <c r="KOC35" s="168"/>
      <c r="KOD35" s="168"/>
      <c r="KOE35" s="168"/>
      <c r="KOF35" s="168"/>
      <c r="KOG35" s="168"/>
      <c r="KOH35" s="168"/>
      <c r="KOI35" s="168"/>
      <c r="KOJ35" s="168"/>
      <c r="KOK35" s="168"/>
      <c r="KOL35" s="168"/>
      <c r="KOM35" s="168"/>
      <c r="KON35" s="168"/>
      <c r="KOO35" s="168"/>
      <c r="KOP35" s="168"/>
      <c r="KOQ35" s="168"/>
      <c r="KOR35" s="168"/>
      <c r="KOS35" s="168"/>
      <c r="KOT35" s="168"/>
      <c r="KOU35" s="168"/>
      <c r="KOV35" s="168"/>
      <c r="KOW35" s="168"/>
      <c r="KOX35" s="168"/>
      <c r="KOY35" s="168"/>
      <c r="KOZ35" s="168"/>
      <c r="KPA35" s="168"/>
      <c r="KPB35" s="168"/>
      <c r="KPC35" s="168"/>
      <c r="KPD35" s="168"/>
      <c r="KPE35" s="168"/>
      <c r="KPF35" s="168"/>
      <c r="KPG35" s="168"/>
      <c r="KPH35" s="168"/>
      <c r="KPI35" s="168"/>
      <c r="KPJ35" s="168"/>
      <c r="KPK35" s="168"/>
      <c r="KPL35" s="168"/>
      <c r="KPM35" s="168"/>
      <c r="KPN35" s="168"/>
      <c r="KPO35" s="168"/>
      <c r="KPP35" s="168"/>
      <c r="KPQ35" s="168"/>
      <c r="KPR35" s="168"/>
      <c r="KPS35" s="168"/>
      <c r="KPT35" s="168"/>
      <c r="KPU35" s="168"/>
      <c r="KPV35" s="168"/>
      <c r="KPW35" s="168"/>
      <c r="KPX35" s="168"/>
      <c r="KPY35" s="168"/>
      <c r="KPZ35" s="168"/>
      <c r="KQA35" s="168"/>
      <c r="KQB35" s="168"/>
      <c r="KQC35" s="168"/>
      <c r="KQD35" s="168"/>
      <c r="KQE35" s="168"/>
      <c r="KQF35" s="168"/>
      <c r="KQG35" s="168"/>
      <c r="KQH35" s="168"/>
      <c r="KQI35" s="168"/>
      <c r="KQJ35" s="168"/>
      <c r="KQK35" s="168"/>
      <c r="KQL35" s="168"/>
      <c r="KQM35" s="168"/>
      <c r="KQN35" s="168"/>
      <c r="KQO35" s="168"/>
      <c r="KQP35" s="168"/>
      <c r="KQQ35" s="168"/>
      <c r="KQR35" s="168"/>
      <c r="KQS35" s="168"/>
      <c r="KQT35" s="168"/>
      <c r="KQU35" s="168"/>
      <c r="KQV35" s="168"/>
      <c r="KQW35" s="168"/>
      <c r="KQX35" s="168"/>
      <c r="KQY35" s="168"/>
      <c r="KQZ35" s="168"/>
      <c r="KRA35" s="168"/>
      <c r="KRB35" s="168"/>
      <c r="KRC35" s="168"/>
      <c r="KRD35" s="168"/>
      <c r="KRE35" s="168"/>
      <c r="KRF35" s="168"/>
      <c r="KRG35" s="168"/>
      <c r="KRH35" s="168"/>
      <c r="KRI35" s="168"/>
      <c r="KRJ35" s="168"/>
      <c r="KRK35" s="168"/>
      <c r="KRL35" s="168"/>
      <c r="KRM35" s="168"/>
      <c r="KRN35" s="168"/>
      <c r="KRO35" s="168"/>
      <c r="KRP35" s="168"/>
      <c r="KRQ35" s="168"/>
      <c r="KRR35" s="168"/>
      <c r="KRS35" s="168"/>
      <c r="KRT35" s="168"/>
      <c r="KRU35" s="168"/>
      <c r="KRV35" s="168"/>
      <c r="KRW35" s="168"/>
      <c r="KRX35" s="168"/>
      <c r="KRY35" s="168"/>
      <c r="KRZ35" s="168"/>
      <c r="KSA35" s="168"/>
      <c r="KSB35" s="168"/>
      <c r="KSC35" s="168"/>
      <c r="KSD35" s="168"/>
      <c r="KSE35" s="168"/>
      <c r="KSF35" s="168"/>
      <c r="KSG35" s="168"/>
      <c r="KSH35" s="168"/>
      <c r="KSI35" s="168"/>
      <c r="KSJ35" s="168"/>
      <c r="KSK35" s="168"/>
      <c r="KSL35" s="168"/>
      <c r="KSM35" s="168"/>
      <c r="KSN35" s="168"/>
      <c r="KSO35" s="168"/>
      <c r="KSP35" s="168"/>
      <c r="KSQ35" s="168"/>
      <c r="KSR35" s="168"/>
      <c r="KSS35" s="168"/>
      <c r="KST35" s="168"/>
      <c r="KSU35" s="168"/>
      <c r="KSV35" s="168"/>
      <c r="KSW35" s="168"/>
      <c r="KSX35" s="168"/>
      <c r="KSY35" s="168"/>
      <c r="KSZ35" s="168"/>
      <c r="KTA35" s="168"/>
      <c r="KTB35" s="168"/>
      <c r="KTC35" s="168"/>
      <c r="KTD35" s="168"/>
      <c r="KTE35" s="168"/>
      <c r="KTF35" s="168"/>
      <c r="KTG35" s="168"/>
      <c r="KTH35" s="168"/>
      <c r="KTI35" s="168"/>
      <c r="KTJ35" s="168"/>
      <c r="KTK35" s="168"/>
      <c r="KTL35" s="168"/>
      <c r="KTM35" s="168"/>
      <c r="KTN35" s="168"/>
      <c r="KTO35" s="168"/>
      <c r="KTP35" s="168"/>
      <c r="KTQ35" s="168"/>
      <c r="KTR35" s="168"/>
      <c r="KTS35" s="168"/>
      <c r="KTT35" s="168"/>
      <c r="KTU35" s="168"/>
      <c r="KTV35" s="168"/>
      <c r="KTW35" s="168"/>
      <c r="KTX35" s="168"/>
      <c r="KTY35" s="168"/>
      <c r="KTZ35" s="168"/>
      <c r="KUA35" s="168"/>
      <c r="KUB35" s="168"/>
      <c r="KUC35" s="168"/>
      <c r="KUD35" s="168"/>
      <c r="KUE35" s="168"/>
      <c r="KUF35" s="168"/>
      <c r="KUG35" s="168"/>
      <c r="KUH35" s="168"/>
      <c r="KUI35" s="168"/>
      <c r="KUJ35" s="168"/>
      <c r="KUK35" s="168"/>
      <c r="KUL35" s="168"/>
      <c r="KUM35" s="168"/>
      <c r="KUN35" s="168"/>
      <c r="KUO35" s="168"/>
      <c r="KUP35" s="168"/>
      <c r="KUQ35" s="168"/>
      <c r="KUR35" s="168"/>
      <c r="KUS35" s="168"/>
      <c r="KUT35" s="168"/>
      <c r="KUU35" s="168"/>
      <c r="KUV35" s="168"/>
      <c r="KUW35" s="168"/>
      <c r="KUX35" s="168"/>
      <c r="KUY35" s="168"/>
      <c r="KUZ35" s="168"/>
      <c r="KVA35" s="168"/>
      <c r="KVB35" s="168"/>
      <c r="KVC35" s="168"/>
      <c r="KVD35" s="168"/>
      <c r="KVE35" s="168"/>
      <c r="KVF35" s="168"/>
      <c r="KVG35" s="168"/>
      <c r="KVH35" s="168"/>
      <c r="KVI35" s="168"/>
      <c r="KVJ35" s="168"/>
      <c r="KVK35" s="168"/>
      <c r="KVL35" s="168"/>
      <c r="KVM35" s="168"/>
      <c r="KVN35" s="168"/>
      <c r="KVO35" s="168"/>
      <c r="KVP35" s="168"/>
      <c r="KVQ35" s="168"/>
      <c r="KVR35" s="168"/>
      <c r="KVS35" s="168"/>
      <c r="KVT35" s="168"/>
      <c r="KVU35" s="168"/>
      <c r="KVV35" s="168"/>
      <c r="KVW35" s="168"/>
      <c r="KVX35" s="168"/>
      <c r="KVY35" s="168"/>
      <c r="KVZ35" s="168"/>
      <c r="KWA35" s="168"/>
      <c r="KWB35" s="168"/>
      <c r="KWC35" s="168"/>
      <c r="KWD35" s="168"/>
      <c r="KWE35" s="168"/>
      <c r="KWF35" s="168"/>
      <c r="KWG35" s="168"/>
      <c r="KWH35" s="168"/>
      <c r="KWI35" s="168"/>
      <c r="KWJ35" s="168"/>
      <c r="KWK35" s="168"/>
      <c r="KWL35" s="168"/>
      <c r="KWM35" s="168"/>
      <c r="KWN35" s="168"/>
      <c r="KWO35" s="168"/>
      <c r="KWP35" s="168"/>
      <c r="KWQ35" s="168"/>
      <c r="KWR35" s="168"/>
      <c r="KWS35" s="168"/>
      <c r="KWT35" s="168"/>
      <c r="KWU35" s="168"/>
      <c r="KWV35" s="168"/>
      <c r="KWW35" s="168"/>
      <c r="KWX35" s="168"/>
      <c r="KWY35" s="168"/>
      <c r="KWZ35" s="168"/>
      <c r="KXA35" s="168"/>
      <c r="KXB35" s="168"/>
      <c r="KXC35" s="168"/>
      <c r="KXD35" s="168"/>
      <c r="KXE35" s="168"/>
      <c r="KXF35" s="168"/>
      <c r="KXG35" s="168"/>
      <c r="KXH35" s="168"/>
      <c r="KXI35" s="168"/>
      <c r="KXJ35" s="168"/>
      <c r="KXK35" s="168"/>
      <c r="KXL35" s="168"/>
      <c r="KXM35" s="168"/>
      <c r="KXN35" s="168"/>
      <c r="KXO35" s="168"/>
      <c r="KXP35" s="168"/>
      <c r="KXQ35" s="168"/>
      <c r="KXR35" s="168"/>
      <c r="KXS35" s="168"/>
      <c r="KXT35" s="168"/>
      <c r="KXU35" s="168"/>
      <c r="KXV35" s="168"/>
      <c r="KXW35" s="168"/>
      <c r="KXX35" s="168"/>
      <c r="KXY35" s="168"/>
      <c r="KXZ35" s="168"/>
      <c r="KYA35" s="168"/>
      <c r="KYB35" s="168"/>
      <c r="KYC35" s="168"/>
      <c r="KYD35" s="168"/>
      <c r="KYE35" s="168"/>
      <c r="KYF35" s="168"/>
      <c r="KYG35" s="168"/>
      <c r="KYH35" s="168"/>
      <c r="KYI35" s="168"/>
      <c r="KYJ35" s="168"/>
      <c r="KYK35" s="168"/>
      <c r="KYL35" s="168"/>
      <c r="KYM35" s="168"/>
      <c r="KYN35" s="168"/>
      <c r="KYO35" s="168"/>
      <c r="KYP35" s="168"/>
      <c r="KYQ35" s="168"/>
      <c r="KYR35" s="168"/>
      <c r="KYS35" s="168"/>
      <c r="KYT35" s="168"/>
      <c r="KYU35" s="168"/>
      <c r="KYV35" s="168"/>
      <c r="KYW35" s="168"/>
      <c r="KYX35" s="168"/>
      <c r="KYY35" s="168"/>
      <c r="KYZ35" s="168"/>
      <c r="KZA35" s="168"/>
      <c r="KZB35" s="168"/>
      <c r="KZC35" s="168"/>
      <c r="KZD35" s="168"/>
      <c r="KZE35" s="168"/>
      <c r="KZF35" s="168"/>
      <c r="KZG35" s="168"/>
      <c r="KZH35" s="168"/>
      <c r="KZI35" s="168"/>
      <c r="KZJ35" s="168"/>
      <c r="KZK35" s="168"/>
      <c r="KZL35" s="168"/>
      <c r="KZM35" s="168"/>
      <c r="KZN35" s="168"/>
      <c r="KZO35" s="168"/>
      <c r="KZP35" s="168"/>
      <c r="KZQ35" s="168"/>
      <c r="KZR35" s="168"/>
      <c r="KZS35" s="168"/>
      <c r="KZT35" s="168"/>
      <c r="KZU35" s="168"/>
      <c r="KZV35" s="168"/>
      <c r="KZW35" s="168"/>
      <c r="KZX35" s="168"/>
      <c r="KZY35" s="168"/>
      <c r="KZZ35" s="168"/>
      <c r="LAA35" s="168"/>
      <c r="LAB35" s="168"/>
      <c r="LAC35" s="168"/>
      <c r="LAD35" s="168"/>
      <c r="LAE35" s="168"/>
      <c r="LAF35" s="168"/>
      <c r="LAG35" s="168"/>
      <c r="LAH35" s="168"/>
      <c r="LAI35" s="168"/>
      <c r="LAJ35" s="168"/>
      <c r="LAK35" s="168"/>
      <c r="LAL35" s="168"/>
      <c r="LAM35" s="168"/>
      <c r="LAN35" s="168"/>
      <c r="LAO35" s="168"/>
      <c r="LAP35" s="168"/>
      <c r="LAQ35" s="168"/>
      <c r="LAR35" s="168"/>
      <c r="LAS35" s="168"/>
      <c r="LAT35" s="168"/>
      <c r="LAU35" s="168"/>
      <c r="LAV35" s="168"/>
      <c r="LAW35" s="168"/>
      <c r="LAX35" s="168"/>
      <c r="LAY35" s="168"/>
      <c r="LAZ35" s="168"/>
      <c r="LBA35" s="168"/>
      <c r="LBB35" s="168"/>
      <c r="LBC35" s="168"/>
      <c r="LBD35" s="168"/>
      <c r="LBE35" s="168"/>
      <c r="LBF35" s="168"/>
      <c r="LBG35" s="168"/>
      <c r="LBH35" s="168"/>
      <c r="LBI35" s="168"/>
      <c r="LBJ35" s="168"/>
      <c r="LBK35" s="168"/>
      <c r="LBL35" s="168"/>
      <c r="LBM35" s="168"/>
      <c r="LBN35" s="168"/>
      <c r="LBO35" s="168"/>
      <c r="LBP35" s="168"/>
      <c r="LBQ35" s="168"/>
      <c r="LBR35" s="168"/>
      <c r="LBS35" s="168"/>
      <c r="LBT35" s="168"/>
      <c r="LBU35" s="168"/>
      <c r="LBV35" s="168"/>
      <c r="LBW35" s="168"/>
      <c r="LBX35" s="168"/>
      <c r="LBY35" s="168"/>
      <c r="LBZ35" s="168"/>
      <c r="LCA35" s="168"/>
      <c r="LCB35" s="168"/>
      <c r="LCC35" s="168"/>
      <c r="LCD35" s="168"/>
      <c r="LCE35" s="168"/>
      <c r="LCF35" s="168"/>
      <c r="LCG35" s="168"/>
      <c r="LCH35" s="168"/>
      <c r="LCI35" s="168"/>
      <c r="LCJ35" s="168"/>
      <c r="LCK35" s="168"/>
      <c r="LCL35" s="168"/>
      <c r="LCM35" s="168"/>
      <c r="LCN35" s="168"/>
      <c r="LCO35" s="168"/>
      <c r="LCP35" s="168"/>
      <c r="LCQ35" s="168"/>
      <c r="LCR35" s="168"/>
      <c r="LCS35" s="168"/>
      <c r="LCT35" s="168"/>
      <c r="LCU35" s="168"/>
      <c r="LCV35" s="168"/>
      <c r="LCW35" s="168"/>
      <c r="LCX35" s="168"/>
      <c r="LCY35" s="168"/>
      <c r="LCZ35" s="168"/>
      <c r="LDA35" s="168"/>
      <c r="LDB35" s="168"/>
      <c r="LDC35" s="168"/>
      <c r="LDD35" s="168"/>
      <c r="LDE35" s="168"/>
      <c r="LDF35" s="168"/>
      <c r="LDG35" s="168"/>
      <c r="LDH35" s="168"/>
      <c r="LDI35" s="168"/>
      <c r="LDJ35" s="168"/>
      <c r="LDK35" s="168"/>
      <c r="LDL35" s="168"/>
      <c r="LDM35" s="168"/>
      <c r="LDN35" s="168"/>
      <c r="LDO35" s="168"/>
      <c r="LDP35" s="168"/>
      <c r="LDQ35" s="168"/>
      <c r="LDR35" s="168"/>
      <c r="LDS35" s="168"/>
      <c r="LDT35" s="168"/>
      <c r="LDU35" s="168"/>
      <c r="LDV35" s="168"/>
      <c r="LDW35" s="168"/>
      <c r="LDX35" s="168"/>
      <c r="LDY35" s="168"/>
      <c r="LDZ35" s="168"/>
      <c r="LEA35" s="168"/>
      <c r="LEB35" s="168"/>
      <c r="LEC35" s="168"/>
      <c r="LED35" s="168"/>
      <c r="LEE35" s="168"/>
      <c r="LEF35" s="168"/>
      <c r="LEG35" s="168"/>
      <c r="LEH35" s="168"/>
      <c r="LEI35" s="168"/>
      <c r="LEJ35" s="168"/>
      <c r="LEK35" s="168"/>
      <c r="LEL35" s="168"/>
      <c r="LEM35" s="168"/>
      <c r="LEN35" s="168"/>
      <c r="LEO35" s="168"/>
      <c r="LEP35" s="168"/>
      <c r="LEQ35" s="168"/>
      <c r="LER35" s="168"/>
      <c r="LES35" s="168"/>
      <c r="LET35" s="168"/>
      <c r="LEU35" s="168"/>
      <c r="LEV35" s="168"/>
      <c r="LEW35" s="168"/>
      <c r="LEX35" s="168"/>
      <c r="LEY35" s="168"/>
      <c r="LEZ35" s="168"/>
      <c r="LFA35" s="168"/>
      <c r="LFB35" s="168"/>
      <c r="LFC35" s="168"/>
      <c r="LFD35" s="168"/>
      <c r="LFE35" s="168"/>
      <c r="LFF35" s="168"/>
      <c r="LFG35" s="168"/>
      <c r="LFH35" s="168"/>
      <c r="LFI35" s="168"/>
      <c r="LFJ35" s="168"/>
      <c r="LFK35" s="168"/>
      <c r="LFL35" s="168"/>
      <c r="LFM35" s="168"/>
      <c r="LFN35" s="168"/>
      <c r="LFO35" s="168"/>
      <c r="LFP35" s="168"/>
      <c r="LFQ35" s="168"/>
      <c r="LFR35" s="168"/>
      <c r="LFS35" s="168"/>
      <c r="LFT35" s="168"/>
      <c r="LFU35" s="168"/>
      <c r="LFV35" s="168"/>
      <c r="LFW35" s="168"/>
      <c r="LFX35" s="168"/>
      <c r="LFY35" s="168"/>
      <c r="LFZ35" s="168"/>
      <c r="LGA35" s="168"/>
      <c r="LGB35" s="168"/>
      <c r="LGC35" s="168"/>
      <c r="LGD35" s="168"/>
      <c r="LGE35" s="168"/>
      <c r="LGF35" s="168"/>
      <c r="LGG35" s="168"/>
      <c r="LGH35" s="168"/>
      <c r="LGI35" s="168"/>
      <c r="LGJ35" s="168"/>
      <c r="LGK35" s="168"/>
      <c r="LGL35" s="168"/>
      <c r="LGM35" s="168"/>
      <c r="LGN35" s="168"/>
      <c r="LGO35" s="168"/>
      <c r="LGP35" s="168"/>
      <c r="LGQ35" s="168"/>
      <c r="LGR35" s="168"/>
      <c r="LGS35" s="168"/>
      <c r="LGT35" s="168"/>
      <c r="LGU35" s="168"/>
      <c r="LGV35" s="168"/>
      <c r="LGW35" s="168"/>
      <c r="LGX35" s="168"/>
      <c r="LGY35" s="168"/>
      <c r="LGZ35" s="168"/>
      <c r="LHA35" s="168"/>
      <c r="LHB35" s="168"/>
      <c r="LHC35" s="168"/>
      <c r="LHD35" s="168"/>
      <c r="LHE35" s="168"/>
      <c r="LHF35" s="168"/>
      <c r="LHG35" s="168"/>
      <c r="LHH35" s="168"/>
      <c r="LHI35" s="168"/>
      <c r="LHJ35" s="168"/>
      <c r="LHK35" s="168"/>
      <c r="LHL35" s="168"/>
      <c r="LHM35" s="168"/>
      <c r="LHN35" s="168"/>
      <c r="LHO35" s="168"/>
      <c r="LHP35" s="168"/>
      <c r="LHQ35" s="168"/>
      <c r="LHR35" s="168"/>
      <c r="LHS35" s="168"/>
      <c r="LHT35" s="168"/>
      <c r="LHU35" s="168"/>
      <c r="LHV35" s="168"/>
      <c r="LHW35" s="168"/>
      <c r="LHX35" s="168"/>
      <c r="LHY35" s="168"/>
      <c r="LHZ35" s="168"/>
      <c r="LIA35" s="168"/>
      <c r="LIB35" s="168"/>
      <c r="LIC35" s="168"/>
      <c r="LID35" s="168"/>
      <c r="LIE35" s="168"/>
      <c r="LIF35" s="168"/>
      <c r="LIG35" s="168"/>
      <c r="LIH35" s="168"/>
      <c r="LII35" s="168"/>
      <c r="LIJ35" s="168"/>
      <c r="LIK35" s="168"/>
      <c r="LIL35" s="168"/>
      <c r="LIM35" s="168"/>
      <c r="LIN35" s="168"/>
      <c r="LIO35" s="168"/>
      <c r="LIP35" s="168"/>
      <c r="LIQ35" s="168"/>
      <c r="LIR35" s="168"/>
      <c r="LIS35" s="168"/>
      <c r="LIT35" s="168"/>
      <c r="LIU35" s="168"/>
      <c r="LIV35" s="168"/>
      <c r="LIW35" s="168"/>
      <c r="LIX35" s="168"/>
      <c r="LIY35" s="168"/>
      <c r="LIZ35" s="168"/>
      <c r="LJA35" s="168"/>
      <c r="LJB35" s="168"/>
      <c r="LJC35" s="168"/>
      <c r="LJD35" s="168"/>
      <c r="LJE35" s="168"/>
      <c r="LJF35" s="168"/>
      <c r="LJG35" s="168"/>
      <c r="LJH35" s="168"/>
      <c r="LJI35" s="168"/>
      <c r="LJJ35" s="168"/>
      <c r="LJK35" s="168"/>
      <c r="LJL35" s="168"/>
      <c r="LJM35" s="168"/>
      <c r="LJN35" s="168"/>
      <c r="LJO35" s="168"/>
      <c r="LJP35" s="168"/>
      <c r="LJQ35" s="168"/>
      <c r="LJR35" s="168"/>
      <c r="LJS35" s="168"/>
      <c r="LJT35" s="168"/>
      <c r="LJU35" s="168"/>
      <c r="LJV35" s="168"/>
      <c r="LJW35" s="168"/>
      <c r="LJX35" s="168"/>
      <c r="LJY35" s="168"/>
      <c r="LJZ35" s="168"/>
      <c r="LKA35" s="168"/>
      <c r="LKB35" s="168"/>
      <c r="LKC35" s="168"/>
      <c r="LKD35" s="168"/>
      <c r="LKE35" s="168"/>
      <c r="LKF35" s="168"/>
      <c r="LKG35" s="168"/>
      <c r="LKH35" s="168"/>
      <c r="LKI35" s="168"/>
      <c r="LKJ35" s="168"/>
      <c r="LKK35" s="168"/>
      <c r="LKL35" s="168"/>
      <c r="LKM35" s="168"/>
      <c r="LKN35" s="168"/>
      <c r="LKO35" s="168"/>
      <c r="LKP35" s="168"/>
      <c r="LKQ35" s="168"/>
      <c r="LKR35" s="168"/>
      <c r="LKS35" s="168"/>
      <c r="LKT35" s="168"/>
      <c r="LKU35" s="168"/>
      <c r="LKV35" s="168"/>
      <c r="LKW35" s="168"/>
      <c r="LKX35" s="168"/>
      <c r="LKY35" s="168"/>
      <c r="LKZ35" s="168"/>
      <c r="LLA35" s="168"/>
      <c r="LLB35" s="168"/>
      <c r="LLC35" s="168"/>
      <c r="LLD35" s="168"/>
      <c r="LLE35" s="168"/>
      <c r="LLF35" s="168"/>
      <c r="LLG35" s="168"/>
      <c r="LLH35" s="168"/>
      <c r="LLI35" s="168"/>
      <c r="LLJ35" s="168"/>
      <c r="LLK35" s="168"/>
      <c r="LLL35" s="168"/>
      <c r="LLM35" s="168"/>
      <c r="LLN35" s="168"/>
      <c r="LLO35" s="168"/>
      <c r="LLP35" s="168"/>
      <c r="LLQ35" s="168"/>
      <c r="LLR35" s="168"/>
      <c r="LLS35" s="168"/>
      <c r="LLT35" s="168"/>
      <c r="LLU35" s="168"/>
      <c r="LLV35" s="168"/>
      <c r="LLW35" s="168"/>
      <c r="LLX35" s="168"/>
      <c r="LLY35" s="168"/>
      <c r="LLZ35" s="168"/>
      <c r="LMA35" s="168"/>
      <c r="LMB35" s="168"/>
      <c r="LMC35" s="168"/>
      <c r="LMD35" s="168"/>
      <c r="LME35" s="168"/>
      <c r="LMF35" s="168"/>
      <c r="LMG35" s="168"/>
      <c r="LMH35" s="168"/>
      <c r="LMI35" s="168"/>
      <c r="LMJ35" s="168"/>
      <c r="LMK35" s="168"/>
      <c r="LML35" s="168"/>
      <c r="LMM35" s="168"/>
      <c r="LMN35" s="168"/>
      <c r="LMO35" s="168"/>
      <c r="LMP35" s="168"/>
      <c r="LMQ35" s="168"/>
      <c r="LMR35" s="168"/>
      <c r="LMS35" s="168"/>
      <c r="LMT35" s="168"/>
      <c r="LMU35" s="168"/>
      <c r="LMV35" s="168"/>
      <c r="LMW35" s="168"/>
      <c r="LMX35" s="168"/>
      <c r="LMY35" s="168"/>
      <c r="LMZ35" s="168"/>
      <c r="LNA35" s="168"/>
      <c r="LNB35" s="168"/>
      <c r="LNC35" s="168"/>
      <c r="LND35" s="168"/>
      <c r="LNE35" s="168"/>
      <c r="LNF35" s="168"/>
      <c r="LNG35" s="168"/>
      <c r="LNH35" s="168"/>
      <c r="LNI35" s="168"/>
      <c r="LNJ35" s="168"/>
      <c r="LNK35" s="168"/>
      <c r="LNL35" s="168"/>
      <c r="LNM35" s="168"/>
      <c r="LNN35" s="168"/>
      <c r="LNO35" s="168"/>
      <c r="LNP35" s="168"/>
      <c r="LNQ35" s="168"/>
      <c r="LNR35" s="168"/>
      <c r="LNS35" s="168"/>
      <c r="LNT35" s="168"/>
      <c r="LNU35" s="168"/>
      <c r="LNV35" s="168"/>
      <c r="LNW35" s="168"/>
      <c r="LNX35" s="168"/>
      <c r="LNY35" s="168"/>
      <c r="LNZ35" s="168"/>
      <c r="LOA35" s="168"/>
      <c r="LOB35" s="168"/>
      <c r="LOC35" s="168"/>
      <c r="LOD35" s="168"/>
      <c r="LOE35" s="168"/>
      <c r="LOF35" s="168"/>
      <c r="LOG35" s="168"/>
      <c r="LOH35" s="168"/>
      <c r="LOI35" s="168"/>
      <c r="LOJ35" s="168"/>
      <c r="LOK35" s="168"/>
      <c r="LOL35" s="168"/>
      <c r="LOM35" s="168"/>
      <c r="LON35" s="168"/>
      <c r="LOO35" s="168"/>
      <c r="LOP35" s="168"/>
      <c r="LOQ35" s="168"/>
      <c r="LOR35" s="168"/>
      <c r="LOS35" s="168"/>
      <c r="LOT35" s="168"/>
      <c r="LOU35" s="168"/>
      <c r="LOV35" s="168"/>
      <c r="LOW35" s="168"/>
      <c r="LOX35" s="168"/>
      <c r="LOY35" s="168"/>
      <c r="LOZ35" s="168"/>
      <c r="LPA35" s="168"/>
      <c r="LPB35" s="168"/>
      <c r="LPC35" s="168"/>
      <c r="LPD35" s="168"/>
      <c r="LPE35" s="168"/>
      <c r="LPF35" s="168"/>
      <c r="LPG35" s="168"/>
      <c r="LPH35" s="168"/>
      <c r="LPI35" s="168"/>
      <c r="LPJ35" s="168"/>
      <c r="LPK35" s="168"/>
      <c r="LPL35" s="168"/>
      <c r="LPM35" s="168"/>
      <c r="LPN35" s="168"/>
      <c r="LPO35" s="168"/>
      <c r="LPP35" s="168"/>
      <c r="LPQ35" s="168"/>
      <c r="LPR35" s="168"/>
      <c r="LPS35" s="168"/>
      <c r="LPT35" s="168"/>
      <c r="LPU35" s="168"/>
      <c r="LPV35" s="168"/>
      <c r="LPW35" s="168"/>
      <c r="LPX35" s="168"/>
      <c r="LPY35" s="168"/>
      <c r="LPZ35" s="168"/>
      <c r="LQA35" s="168"/>
      <c r="LQB35" s="168"/>
      <c r="LQC35" s="168"/>
      <c r="LQD35" s="168"/>
      <c r="LQE35" s="168"/>
      <c r="LQF35" s="168"/>
      <c r="LQG35" s="168"/>
      <c r="LQH35" s="168"/>
      <c r="LQI35" s="168"/>
      <c r="LQJ35" s="168"/>
      <c r="LQK35" s="168"/>
      <c r="LQL35" s="168"/>
      <c r="LQM35" s="168"/>
      <c r="LQN35" s="168"/>
      <c r="LQO35" s="168"/>
      <c r="LQP35" s="168"/>
      <c r="LQQ35" s="168"/>
      <c r="LQR35" s="168"/>
      <c r="LQS35" s="168"/>
      <c r="LQT35" s="168"/>
      <c r="LQU35" s="168"/>
      <c r="LQV35" s="168"/>
      <c r="LQW35" s="168"/>
      <c r="LQX35" s="168"/>
      <c r="LQY35" s="168"/>
      <c r="LQZ35" s="168"/>
      <c r="LRA35" s="168"/>
      <c r="LRB35" s="168"/>
      <c r="LRC35" s="168"/>
      <c r="LRD35" s="168"/>
      <c r="LRE35" s="168"/>
      <c r="LRF35" s="168"/>
      <c r="LRG35" s="168"/>
      <c r="LRH35" s="168"/>
      <c r="LRI35" s="168"/>
      <c r="LRJ35" s="168"/>
      <c r="LRK35" s="168"/>
      <c r="LRL35" s="168"/>
      <c r="LRM35" s="168"/>
      <c r="LRN35" s="168"/>
      <c r="LRO35" s="168"/>
      <c r="LRP35" s="168"/>
      <c r="LRQ35" s="168"/>
      <c r="LRR35" s="168"/>
      <c r="LRS35" s="168"/>
      <c r="LRT35" s="168"/>
      <c r="LRU35" s="168"/>
      <c r="LRV35" s="168"/>
      <c r="LRW35" s="168"/>
      <c r="LRX35" s="168"/>
      <c r="LRY35" s="168"/>
      <c r="LRZ35" s="168"/>
      <c r="LSA35" s="168"/>
      <c r="LSB35" s="168"/>
      <c r="LSC35" s="168"/>
      <c r="LSD35" s="168"/>
      <c r="LSE35" s="168"/>
      <c r="LSF35" s="168"/>
      <c r="LSG35" s="168"/>
      <c r="LSH35" s="168"/>
      <c r="LSI35" s="168"/>
      <c r="LSJ35" s="168"/>
      <c r="LSK35" s="168"/>
      <c r="LSL35" s="168"/>
      <c r="LSM35" s="168"/>
      <c r="LSN35" s="168"/>
      <c r="LSO35" s="168"/>
      <c r="LSP35" s="168"/>
      <c r="LSQ35" s="168"/>
      <c r="LSR35" s="168"/>
      <c r="LSS35" s="168"/>
      <c r="LST35" s="168"/>
      <c r="LSU35" s="168"/>
      <c r="LSV35" s="168"/>
      <c r="LSW35" s="168"/>
      <c r="LSX35" s="168"/>
      <c r="LSY35" s="168"/>
      <c r="LSZ35" s="168"/>
      <c r="LTA35" s="168"/>
      <c r="LTB35" s="168"/>
      <c r="LTC35" s="168"/>
      <c r="LTD35" s="168"/>
      <c r="LTE35" s="168"/>
      <c r="LTF35" s="168"/>
      <c r="LTG35" s="168"/>
      <c r="LTH35" s="168"/>
      <c r="LTI35" s="168"/>
      <c r="LTJ35" s="168"/>
      <c r="LTK35" s="168"/>
      <c r="LTL35" s="168"/>
      <c r="LTM35" s="168"/>
      <c r="LTN35" s="168"/>
      <c r="LTO35" s="168"/>
      <c r="LTP35" s="168"/>
      <c r="LTQ35" s="168"/>
      <c r="LTR35" s="168"/>
      <c r="LTS35" s="168"/>
      <c r="LTT35" s="168"/>
      <c r="LTU35" s="168"/>
      <c r="LTV35" s="168"/>
      <c r="LTW35" s="168"/>
      <c r="LTX35" s="168"/>
      <c r="LTY35" s="168"/>
      <c r="LTZ35" s="168"/>
      <c r="LUA35" s="168"/>
      <c r="LUB35" s="168"/>
      <c r="LUC35" s="168"/>
      <c r="LUD35" s="168"/>
      <c r="LUE35" s="168"/>
      <c r="LUF35" s="168"/>
      <c r="LUG35" s="168"/>
      <c r="LUH35" s="168"/>
      <c r="LUI35" s="168"/>
      <c r="LUJ35" s="168"/>
      <c r="LUK35" s="168"/>
      <c r="LUL35" s="168"/>
      <c r="LUM35" s="168"/>
      <c r="LUN35" s="168"/>
      <c r="LUO35" s="168"/>
      <c r="LUP35" s="168"/>
      <c r="LUQ35" s="168"/>
      <c r="LUR35" s="168"/>
      <c r="LUS35" s="168"/>
      <c r="LUT35" s="168"/>
      <c r="LUU35" s="168"/>
      <c r="LUV35" s="168"/>
      <c r="LUW35" s="168"/>
      <c r="LUX35" s="168"/>
      <c r="LUY35" s="168"/>
      <c r="LUZ35" s="168"/>
      <c r="LVA35" s="168"/>
      <c r="LVB35" s="168"/>
      <c r="LVC35" s="168"/>
      <c r="LVD35" s="168"/>
      <c r="LVE35" s="168"/>
      <c r="LVF35" s="168"/>
      <c r="LVG35" s="168"/>
      <c r="LVH35" s="168"/>
      <c r="LVI35" s="168"/>
      <c r="LVJ35" s="168"/>
      <c r="LVK35" s="168"/>
      <c r="LVL35" s="168"/>
      <c r="LVM35" s="168"/>
      <c r="LVN35" s="168"/>
      <c r="LVO35" s="168"/>
      <c r="LVP35" s="168"/>
      <c r="LVQ35" s="168"/>
      <c r="LVR35" s="168"/>
      <c r="LVS35" s="168"/>
      <c r="LVT35" s="168"/>
      <c r="LVU35" s="168"/>
      <c r="LVV35" s="168"/>
      <c r="LVW35" s="168"/>
      <c r="LVX35" s="168"/>
      <c r="LVY35" s="168"/>
      <c r="LVZ35" s="168"/>
      <c r="LWA35" s="168"/>
      <c r="LWB35" s="168"/>
      <c r="LWC35" s="168"/>
      <c r="LWD35" s="168"/>
      <c r="LWE35" s="168"/>
      <c r="LWF35" s="168"/>
      <c r="LWG35" s="168"/>
      <c r="LWH35" s="168"/>
      <c r="LWI35" s="168"/>
      <c r="LWJ35" s="168"/>
      <c r="LWK35" s="168"/>
      <c r="LWL35" s="168"/>
      <c r="LWM35" s="168"/>
      <c r="LWN35" s="168"/>
      <c r="LWO35" s="168"/>
      <c r="LWP35" s="168"/>
      <c r="LWQ35" s="168"/>
      <c r="LWR35" s="168"/>
      <c r="LWS35" s="168"/>
      <c r="LWT35" s="168"/>
      <c r="LWU35" s="168"/>
      <c r="LWV35" s="168"/>
      <c r="LWW35" s="168"/>
      <c r="LWX35" s="168"/>
      <c r="LWY35" s="168"/>
      <c r="LWZ35" s="168"/>
      <c r="LXA35" s="168"/>
      <c r="LXB35" s="168"/>
      <c r="LXC35" s="168"/>
      <c r="LXD35" s="168"/>
      <c r="LXE35" s="168"/>
      <c r="LXF35" s="168"/>
      <c r="LXG35" s="168"/>
      <c r="LXH35" s="168"/>
      <c r="LXI35" s="168"/>
      <c r="LXJ35" s="168"/>
      <c r="LXK35" s="168"/>
      <c r="LXL35" s="168"/>
      <c r="LXM35" s="168"/>
      <c r="LXN35" s="168"/>
      <c r="LXO35" s="168"/>
      <c r="LXP35" s="168"/>
      <c r="LXQ35" s="168"/>
      <c r="LXR35" s="168"/>
      <c r="LXS35" s="168"/>
      <c r="LXT35" s="168"/>
      <c r="LXU35" s="168"/>
      <c r="LXV35" s="168"/>
      <c r="LXW35" s="168"/>
      <c r="LXX35" s="168"/>
      <c r="LXY35" s="168"/>
      <c r="LXZ35" s="168"/>
      <c r="LYA35" s="168"/>
      <c r="LYB35" s="168"/>
      <c r="LYC35" s="168"/>
      <c r="LYD35" s="168"/>
      <c r="LYE35" s="168"/>
      <c r="LYF35" s="168"/>
      <c r="LYG35" s="168"/>
      <c r="LYH35" s="168"/>
      <c r="LYI35" s="168"/>
      <c r="LYJ35" s="168"/>
      <c r="LYK35" s="168"/>
      <c r="LYL35" s="168"/>
      <c r="LYM35" s="168"/>
      <c r="LYN35" s="168"/>
      <c r="LYO35" s="168"/>
      <c r="LYP35" s="168"/>
      <c r="LYQ35" s="168"/>
      <c r="LYR35" s="168"/>
      <c r="LYS35" s="168"/>
      <c r="LYT35" s="168"/>
      <c r="LYU35" s="168"/>
      <c r="LYV35" s="168"/>
      <c r="LYW35" s="168"/>
      <c r="LYX35" s="168"/>
      <c r="LYY35" s="168"/>
      <c r="LYZ35" s="168"/>
      <c r="LZA35" s="168"/>
      <c r="LZB35" s="168"/>
      <c r="LZC35" s="168"/>
      <c r="LZD35" s="168"/>
      <c r="LZE35" s="168"/>
      <c r="LZF35" s="168"/>
      <c r="LZG35" s="168"/>
      <c r="LZH35" s="168"/>
      <c r="LZI35" s="168"/>
      <c r="LZJ35" s="168"/>
      <c r="LZK35" s="168"/>
      <c r="LZL35" s="168"/>
      <c r="LZM35" s="168"/>
      <c r="LZN35" s="168"/>
      <c r="LZO35" s="168"/>
      <c r="LZP35" s="168"/>
      <c r="LZQ35" s="168"/>
      <c r="LZR35" s="168"/>
      <c r="LZS35" s="168"/>
      <c r="LZT35" s="168"/>
      <c r="LZU35" s="168"/>
      <c r="LZV35" s="168"/>
      <c r="LZW35" s="168"/>
      <c r="LZX35" s="168"/>
      <c r="LZY35" s="168"/>
      <c r="LZZ35" s="168"/>
      <c r="MAA35" s="168"/>
      <c r="MAB35" s="168"/>
      <c r="MAC35" s="168"/>
      <c r="MAD35" s="168"/>
      <c r="MAE35" s="168"/>
      <c r="MAF35" s="168"/>
      <c r="MAG35" s="168"/>
      <c r="MAH35" s="168"/>
      <c r="MAI35" s="168"/>
      <c r="MAJ35" s="168"/>
      <c r="MAK35" s="168"/>
      <c r="MAL35" s="168"/>
      <c r="MAM35" s="168"/>
      <c r="MAN35" s="168"/>
      <c r="MAO35" s="168"/>
      <c r="MAP35" s="168"/>
      <c r="MAQ35" s="168"/>
      <c r="MAR35" s="168"/>
      <c r="MAS35" s="168"/>
      <c r="MAT35" s="168"/>
      <c r="MAU35" s="168"/>
      <c r="MAV35" s="168"/>
      <c r="MAW35" s="168"/>
      <c r="MAX35" s="168"/>
      <c r="MAY35" s="168"/>
      <c r="MAZ35" s="168"/>
      <c r="MBA35" s="168"/>
      <c r="MBB35" s="168"/>
      <c r="MBC35" s="168"/>
      <c r="MBD35" s="168"/>
      <c r="MBE35" s="168"/>
      <c r="MBF35" s="168"/>
      <c r="MBG35" s="168"/>
      <c r="MBH35" s="168"/>
      <c r="MBI35" s="168"/>
      <c r="MBJ35" s="168"/>
      <c r="MBK35" s="168"/>
      <c r="MBL35" s="168"/>
      <c r="MBM35" s="168"/>
      <c r="MBN35" s="168"/>
      <c r="MBO35" s="168"/>
      <c r="MBP35" s="168"/>
      <c r="MBQ35" s="168"/>
      <c r="MBR35" s="168"/>
      <c r="MBS35" s="168"/>
      <c r="MBT35" s="168"/>
      <c r="MBU35" s="168"/>
      <c r="MBV35" s="168"/>
      <c r="MBW35" s="168"/>
      <c r="MBX35" s="168"/>
      <c r="MBY35" s="168"/>
      <c r="MBZ35" s="168"/>
      <c r="MCA35" s="168"/>
      <c r="MCB35" s="168"/>
      <c r="MCC35" s="168"/>
      <c r="MCD35" s="168"/>
      <c r="MCE35" s="168"/>
      <c r="MCF35" s="168"/>
      <c r="MCG35" s="168"/>
      <c r="MCH35" s="168"/>
      <c r="MCI35" s="168"/>
      <c r="MCJ35" s="168"/>
      <c r="MCK35" s="168"/>
      <c r="MCL35" s="168"/>
      <c r="MCM35" s="168"/>
      <c r="MCN35" s="168"/>
      <c r="MCO35" s="168"/>
      <c r="MCP35" s="168"/>
      <c r="MCQ35" s="168"/>
      <c r="MCR35" s="168"/>
      <c r="MCS35" s="168"/>
      <c r="MCT35" s="168"/>
      <c r="MCU35" s="168"/>
      <c r="MCV35" s="168"/>
      <c r="MCW35" s="168"/>
      <c r="MCX35" s="168"/>
      <c r="MCY35" s="168"/>
      <c r="MCZ35" s="168"/>
      <c r="MDA35" s="168"/>
      <c r="MDB35" s="168"/>
      <c r="MDC35" s="168"/>
      <c r="MDD35" s="168"/>
      <c r="MDE35" s="168"/>
      <c r="MDF35" s="168"/>
      <c r="MDG35" s="168"/>
      <c r="MDH35" s="168"/>
      <c r="MDI35" s="168"/>
      <c r="MDJ35" s="168"/>
      <c r="MDK35" s="168"/>
      <c r="MDL35" s="168"/>
      <c r="MDM35" s="168"/>
      <c r="MDN35" s="168"/>
      <c r="MDO35" s="168"/>
      <c r="MDP35" s="168"/>
      <c r="MDQ35" s="168"/>
      <c r="MDR35" s="168"/>
      <c r="MDS35" s="168"/>
      <c r="MDT35" s="168"/>
      <c r="MDU35" s="168"/>
      <c r="MDV35" s="168"/>
      <c r="MDW35" s="168"/>
      <c r="MDX35" s="168"/>
      <c r="MDY35" s="168"/>
      <c r="MDZ35" s="168"/>
      <c r="MEA35" s="168"/>
      <c r="MEB35" s="168"/>
      <c r="MEC35" s="168"/>
      <c r="MED35" s="168"/>
      <c r="MEE35" s="168"/>
      <c r="MEF35" s="168"/>
      <c r="MEG35" s="168"/>
      <c r="MEH35" s="168"/>
      <c r="MEI35" s="168"/>
      <c r="MEJ35" s="168"/>
      <c r="MEK35" s="168"/>
      <c r="MEL35" s="168"/>
      <c r="MEM35" s="168"/>
      <c r="MEN35" s="168"/>
      <c r="MEO35" s="168"/>
      <c r="MEP35" s="168"/>
      <c r="MEQ35" s="168"/>
      <c r="MER35" s="168"/>
      <c r="MES35" s="168"/>
      <c r="MET35" s="168"/>
      <c r="MEU35" s="168"/>
      <c r="MEV35" s="168"/>
      <c r="MEW35" s="168"/>
      <c r="MEX35" s="168"/>
      <c r="MEY35" s="168"/>
      <c r="MEZ35" s="168"/>
      <c r="MFA35" s="168"/>
      <c r="MFB35" s="168"/>
      <c r="MFC35" s="168"/>
      <c r="MFD35" s="168"/>
      <c r="MFE35" s="168"/>
      <c r="MFF35" s="168"/>
      <c r="MFG35" s="168"/>
      <c r="MFH35" s="168"/>
      <c r="MFI35" s="168"/>
      <c r="MFJ35" s="168"/>
      <c r="MFK35" s="168"/>
      <c r="MFL35" s="168"/>
      <c r="MFM35" s="168"/>
      <c r="MFN35" s="168"/>
      <c r="MFO35" s="168"/>
      <c r="MFP35" s="168"/>
      <c r="MFQ35" s="168"/>
      <c r="MFR35" s="168"/>
      <c r="MFS35" s="168"/>
      <c r="MFT35" s="168"/>
      <c r="MFU35" s="168"/>
      <c r="MFV35" s="168"/>
      <c r="MFW35" s="168"/>
      <c r="MFX35" s="168"/>
      <c r="MFY35" s="168"/>
      <c r="MFZ35" s="168"/>
      <c r="MGA35" s="168"/>
      <c r="MGB35" s="168"/>
      <c r="MGC35" s="168"/>
      <c r="MGD35" s="168"/>
      <c r="MGE35" s="168"/>
      <c r="MGF35" s="168"/>
      <c r="MGG35" s="168"/>
      <c r="MGH35" s="168"/>
      <c r="MGI35" s="168"/>
      <c r="MGJ35" s="168"/>
      <c r="MGK35" s="168"/>
      <c r="MGL35" s="168"/>
      <c r="MGM35" s="168"/>
      <c r="MGN35" s="168"/>
      <c r="MGO35" s="168"/>
      <c r="MGP35" s="168"/>
      <c r="MGQ35" s="168"/>
      <c r="MGR35" s="168"/>
      <c r="MGS35" s="168"/>
      <c r="MGT35" s="168"/>
      <c r="MGU35" s="168"/>
      <c r="MGV35" s="168"/>
      <c r="MGW35" s="168"/>
      <c r="MGX35" s="168"/>
      <c r="MGY35" s="168"/>
      <c r="MGZ35" s="168"/>
      <c r="MHA35" s="168"/>
      <c r="MHB35" s="168"/>
      <c r="MHC35" s="168"/>
      <c r="MHD35" s="168"/>
      <c r="MHE35" s="168"/>
      <c r="MHF35" s="168"/>
      <c r="MHG35" s="168"/>
      <c r="MHH35" s="168"/>
      <c r="MHI35" s="168"/>
      <c r="MHJ35" s="168"/>
      <c r="MHK35" s="168"/>
      <c r="MHL35" s="168"/>
      <c r="MHM35" s="168"/>
      <c r="MHN35" s="168"/>
      <c r="MHO35" s="168"/>
      <c r="MHP35" s="168"/>
      <c r="MHQ35" s="168"/>
      <c r="MHR35" s="168"/>
      <c r="MHS35" s="168"/>
      <c r="MHT35" s="168"/>
      <c r="MHU35" s="168"/>
      <c r="MHV35" s="168"/>
      <c r="MHW35" s="168"/>
      <c r="MHX35" s="168"/>
      <c r="MHY35" s="168"/>
      <c r="MHZ35" s="168"/>
      <c r="MIA35" s="168"/>
      <c r="MIB35" s="168"/>
      <c r="MIC35" s="168"/>
      <c r="MID35" s="168"/>
      <c r="MIE35" s="168"/>
      <c r="MIF35" s="168"/>
      <c r="MIG35" s="168"/>
      <c r="MIH35" s="168"/>
      <c r="MII35" s="168"/>
      <c r="MIJ35" s="168"/>
      <c r="MIK35" s="168"/>
      <c r="MIL35" s="168"/>
      <c r="MIM35" s="168"/>
      <c r="MIN35" s="168"/>
      <c r="MIO35" s="168"/>
      <c r="MIP35" s="168"/>
      <c r="MIQ35" s="168"/>
      <c r="MIR35" s="168"/>
      <c r="MIS35" s="168"/>
      <c r="MIT35" s="168"/>
      <c r="MIU35" s="168"/>
      <c r="MIV35" s="168"/>
      <c r="MIW35" s="168"/>
      <c r="MIX35" s="168"/>
      <c r="MIY35" s="168"/>
      <c r="MIZ35" s="168"/>
      <c r="MJA35" s="168"/>
      <c r="MJB35" s="168"/>
      <c r="MJC35" s="168"/>
      <c r="MJD35" s="168"/>
      <c r="MJE35" s="168"/>
      <c r="MJF35" s="168"/>
      <c r="MJG35" s="168"/>
      <c r="MJH35" s="168"/>
      <c r="MJI35" s="168"/>
      <c r="MJJ35" s="168"/>
      <c r="MJK35" s="168"/>
      <c r="MJL35" s="168"/>
      <c r="MJM35" s="168"/>
      <c r="MJN35" s="168"/>
      <c r="MJO35" s="168"/>
      <c r="MJP35" s="168"/>
      <c r="MJQ35" s="168"/>
      <c r="MJR35" s="168"/>
      <c r="MJS35" s="168"/>
      <c r="MJT35" s="168"/>
      <c r="MJU35" s="168"/>
      <c r="MJV35" s="168"/>
      <c r="MJW35" s="168"/>
      <c r="MJX35" s="168"/>
      <c r="MJY35" s="168"/>
      <c r="MJZ35" s="168"/>
      <c r="MKA35" s="168"/>
      <c r="MKB35" s="168"/>
      <c r="MKC35" s="168"/>
      <c r="MKD35" s="168"/>
      <c r="MKE35" s="168"/>
      <c r="MKF35" s="168"/>
      <c r="MKG35" s="168"/>
      <c r="MKH35" s="168"/>
      <c r="MKI35" s="168"/>
      <c r="MKJ35" s="168"/>
      <c r="MKK35" s="168"/>
      <c r="MKL35" s="168"/>
      <c r="MKM35" s="168"/>
      <c r="MKN35" s="168"/>
      <c r="MKO35" s="168"/>
      <c r="MKP35" s="168"/>
      <c r="MKQ35" s="168"/>
      <c r="MKR35" s="168"/>
      <c r="MKS35" s="168"/>
      <c r="MKT35" s="168"/>
      <c r="MKU35" s="168"/>
      <c r="MKV35" s="168"/>
      <c r="MKW35" s="168"/>
      <c r="MKX35" s="168"/>
      <c r="MKY35" s="168"/>
      <c r="MKZ35" s="168"/>
      <c r="MLA35" s="168"/>
      <c r="MLB35" s="168"/>
      <c r="MLC35" s="168"/>
      <c r="MLD35" s="168"/>
      <c r="MLE35" s="168"/>
      <c r="MLF35" s="168"/>
      <c r="MLG35" s="168"/>
      <c r="MLH35" s="168"/>
      <c r="MLI35" s="168"/>
      <c r="MLJ35" s="168"/>
      <c r="MLK35" s="168"/>
      <c r="MLL35" s="168"/>
      <c r="MLM35" s="168"/>
      <c r="MLN35" s="168"/>
      <c r="MLO35" s="168"/>
      <c r="MLP35" s="168"/>
      <c r="MLQ35" s="168"/>
      <c r="MLR35" s="168"/>
      <c r="MLS35" s="168"/>
      <c r="MLT35" s="168"/>
      <c r="MLU35" s="168"/>
      <c r="MLV35" s="168"/>
      <c r="MLW35" s="168"/>
      <c r="MLX35" s="168"/>
      <c r="MLY35" s="168"/>
      <c r="MLZ35" s="168"/>
      <c r="MMA35" s="168"/>
      <c r="MMB35" s="168"/>
      <c r="MMC35" s="168"/>
      <c r="MMD35" s="168"/>
      <c r="MME35" s="168"/>
      <c r="MMF35" s="168"/>
      <c r="MMG35" s="168"/>
      <c r="MMH35" s="168"/>
      <c r="MMI35" s="168"/>
      <c r="MMJ35" s="168"/>
      <c r="MMK35" s="168"/>
      <c r="MML35" s="168"/>
      <c r="MMM35" s="168"/>
      <c r="MMN35" s="168"/>
      <c r="MMO35" s="168"/>
      <c r="MMP35" s="168"/>
      <c r="MMQ35" s="168"/>
      <c r="MMR35" s="168"/>
      <c r="MMS35" s="168"/>
      <c r="MMT35" s="168"/>
      <c r="MMU35" s="168"/>
      <c r="MMV35" s="168"/>
      <c r="MMW35" s="168"/>
      <c r="MMX35" s="168"/>
      <c r="MMY35" s="168"/>
      <c r="MMZ35" s="168"/>
      <c r="MNA35" s="168"/>
      <c r="MNB35" s="168"/>
      <c r="MNC35" s="168"/>
      <c r="MND35" s="168"/>
      <c r="MNE35" s="168"/>
      <c r="MNF35" s="168"/>
      <c r="MNG35" s="168"/>
      <c r="MNH35" s="168"/>
      <c r="MNI35" s="168"/>
      <c r="MNJ35" s="168"/>
      <c r="MNK35" s="168"/>
      <c r="MNL35" s="168"/>
      <c r="MNM35" s="168"/>
      <c r="MNN35" s="168"/>
      <c r="MNO35" s="168"/>
      <c r="MNP35" s="168"/>
      <c r="MNQ35" s="168"/>
      <c r="MNR35" s="168"/>
      <c r="MNS35" s="168"/>
      <c r="MNT35" s="168"/>
      <c r="MNU35" s="168"/>
      <c r="MNV35" s="168"/>
      <c r="MNW35" s="168"/>
      <c r="MNX35" s="168"/>
      <c r="MNY35" s="168"/>
      <c r="MNZ35" s="168"/>
      <c r="MOA35" s="168"/>
      <c r="MOB35" s="168"/>
      <c r="MOC35" s="168"/>
      <c r="MOD35" s="168"/>
      <c r="MOE35" s="168"/>
      <c r="MOF35" s="168"/>
      <c r="MOG35" s="168"/>
      <c r="MOH35" s="168"/>
      <c r="MOI35" s="168"/>
      <c r="MOJ35" s="168"/>
      <c r="MOK35" s="168"/>
      <c r="MOL35" s="168"/>
      <c r="MOM35" s="168"/>
      <c r="MON35" s="168"/>
      <c r="MOO35" s="168"/>
      <c r="MOP35" s="168"/>
      <c r="MOQ35" s="168"/>
      <c r="MOR35" s="168"/>
      <c r="MOS35" s="168"/>
      <c r="MOT35" s="168"/>
      <c r="MOU35" s="168"/>
      <c r="MOV35" s="168"/>
      <c r="MOW35" s="168"/>
      <c r="MOX35" s="168"/>
      <c r="MOY35" s="168"/>
      <c r="MOZ35" s="168"/>
      <c r="MPA35" s="168"/>
      <c r="MPB35" s="168"/>
      <c r="MPC35" s="168"/>
      <c r="MPD35" s="168"/>
      <c r="MPE35" s="168"/>
      <c r="MPF35" s="168"/>
      <c r="MPG35" s="168"/>
      <c r="MPH35" s="168"/>
      <c r="MPI35" s="168"/>
      <c r="MPJ35" s="168"/>
      <c r="MPK35" s="168"/>
      <c r="MPL35" s="168"/>
      <c r="MPM35" s="168"/>
      <c r="MPN35" s="168"/>
      <c r="MPO35" s="168"/>
      <c r="MPP35" s="168"/>
      <c r="MPQ35" s="168"/>
      <c r="MPR35" s="168"/>
      <c r="MPS35" s="168"/>
      <c r="MPT35" s="168"/>
      <c r="MPU35" s="168"/>
      <c r="MPV35" s="168"/>
      <c r="MPW35" s="168"/>
      <c r="MPX35" s="168"/>
      <c r="MPY35" s="168"/>
      <c r="MPZ35" s="168"/>
      <c r="MQA35" s="168"/>
      <c r="MQB35" s="168"/>
      <c r="MQC35" s="168"/>
      <c r="MQD35" s="168"/>
      <c r="MQE35" s="168"/>
      <c r="MQF35" s="168"/>
      <c r="MQG35" s="168"/>
      <c r="MQH35" s="168"/>
      <c r="MQI35" s="168"/>
      <c r="MQJ35" s="168"/>
      <c r="MQK35" s="168"/>
      <c r="MQL35" s="168"/>
      <c r="MQM35" s="168"/>
      <c r="MQN35" s="168"/>
      <c r="MQO35" s="168"/>
      <c r="MQP35" s="168"/>
      <c r="MQQ35" s="168"/>
      <c r="MQR35" s="168"/>
      <c r="MQS35" s="168"/>
      <c r="MQT35" s="168"/>
      <c r="MQU35" s="168"/>
      <c r="MQV35" s="168"/>
      <c r="MQW35" s="168"/>
      <c r="MQX35" s="168"/>
      <c r="MQY35" s="168"/>
      <c r="MQZ35" s="168"/>
      <c r="MRA35" s="168"/>
      <c r="MRB35" s="168"/>
      <c r="MRC35" s="168"/>
      <c r="MRD35" s="168"/>
      <c r="MRE35" s="168"/>
      <c r="MRF35" s="168"/>
      <c r="MRG35" s="168"/>
      <c r="MRH35" s="168"/>
      <c r="MRI35" s="168"/>
      <c r="MRJ35" s="168"/>
      <c r="MRK35" s="168"/>
      <c r="MRL35" s="168"/>
      <c r="MRM35" s="168"/>
      <c r="MRN35" s="168"/>
      <c r="MRO35" s="168"/>
      <c r="MRP35" s="168"/>
      <c r="MRQ35" s="168"/>
      <c r="MRR35" s="168"/>
      <c r="MRS35" s="168"/>
      <c r="MRT35" s="168"/>
      <c r="MRU35" s="168"/>
      <c r="MRV35" s="168"/>
      <c r="MRW35" s="168"/>
      <c r="MRX35" s="168"/>
      <c r="MRY35" s="168"/>
      <c r="MRZ35" s="168"/>
      <c r="MSA35" s="168"/>
      <c r="MSB35" s="168"/>
      <c r="MSC35" s="168"/>
      <c r="MSD35" s="168"/>
      <c r="MSE35" s="168"/>
      <c r="MSF35" s="168"/>
      <c r="MSG35" s="168"/>
      <c r="MSH35" s="168"/>
      <c r="MSI35" s="168"/>
      <c r="MSJ35" s="168"/>
      <c r="MSK35" s="168"/>
      <c r="MSL35" s="168"/>
      <c r="MSM35" s="168"/>
      <c r="MSN35" s="168"/>
      <c r="MSO35" s="168"/>
      <c r="MSP35" s="168"/>
      <c r="MSQ35" s="168"/>
      <c r="MSR35" s="168"/>
      <c r="MSS35" s="168"/>
      <c r="MST35" s="168"/>
      <c r="MSU35" s="168"/>
      <c r="MSV35" s="168"/>
      <c r="MSW35" s="168"/>
      <c r="MSX35" s="168"/>
      <c r="MSY35" s="168"/>
      <c r="MSZ35" s="168"/>
      <c r="MTA35" s="168"/>
      <c r="MTB35" s="168"/>
      <c r="MTC35" s="168"/>
      <c r="MTD35" s="168"/>
      <c r="MTE35" s="168"/>
      <c r="MTF35" s="168"/>
      <c r="MTG35" s="168"/>
      <c r="MTH35" s="168"/>
      <c r="MTI35" s="168"/>
      <c r="MTJ35" s="168"/>
      <c r="MTK35" s="168"/>
      <c r="MTL35" s="168"/>
      <c r="MTM35" s="168"/>
      <c r="MTN35" s="168"/>
      <c r="MTO35" s="168"/>
      <c r="MTP35" s="168"/>
      <c r="MTQ35" s="168"/>
      <c r="MTR35" s="168"/>
      <c r="MTS35" s="168"/>
      <c r="MTT35" s="168"/>
      <c r="MTU35" s="168"/>
      <c r="MTV35" s="168"/>
      <c r="MTW35" s="168"/>
      <c r="MTX35" s="168"/>
      <c r="MTY35" s="168"/>
      <c r="MTZ35" s="168"/>
      <c r="MUA35" s="168"/>
      <c r="MUB35" s="168"/>
      <c r="MUC35" s="168"/>
      <c r="MUD35" s="168"/>
      <c r="MUE35" s="168"/>
      <c r="MUF35" s="168"/>
      <c r="MUG35" s="168"/>
      <c r="MUH35" s="168"/>
      <c r="MUI35" s="168"/>
      <c r="MUJ35" s="168"/>
      <c r="MUK35" s="168"/>
      <c r="MUL35" s="168"/>
      <c r="MUM35" s="168"/>
      <c r="MUN35" s="168"/>
      <c r="MUO35" s="168"/>
      <c r="MUP35" s="168"/>
      <c r="MUQ35" s="168"/>
      <c r="MUR35" s="168"/>
      <c r="MUS35" s="168"/>
      <c r="MUT35" s="168"/>
      <c r="MUU35" s="168"/>
      <c r="MUV35" s="168"/>
      <c r="MUW35" s="168"/>
      <c r="MUX35" s="168"/>
      <c r="MUY35" s="168"/>
      <c r="MUZ35" s="168"/>
      <c r="MVA35" s="168"/>
      <c r="MVB35" s="168"/>
      <c r="MVC35" s="168"/>
      <c r="MVD35" s="168"/>
      <c r="MVE35" s="168"/>
      <c r="MVF35" s="168"/>
      <c r="MVG35" s="168"/>
      <c r="MVH35" s="168"/>
      <c r="MVI35" s="168"/>
      <c r="MVJ35" s="168"/>
      <c r="MVK35" s="168"/>
      <c r="MVL35" s="168"/>
      <c r="MVM35" s="168"/>
      <c r="MVN35" s="168"/>
      <c r="MVO35" s="168"/>
      <c r="MVP35" s="168"/>
      <c r="MVQ35" s="168"/>
      <c r="MVR35" s="168"/>
      <c r="MVS35" s="168"/>
      <c r="MVT35" s="168"/>
      <c r="MVU35" s="168"/>
      <c r="MVV35" s="168"/>
      <c r="MVW35" s="168"/>
      <c r="MVX35" s="168"/>
      <c r="MVY35" s="168"/>
      <c r="MVZ35" s="168"/>
      <c r="MWA35" s="168"/>
      <c r="MWB35" s="168"/>
      <c r="MWC35" s="168"/>
      <c r="MWD35" s="168"/>
      <c r="MWE35" s="168"/>
      <c r="MWF35" s="168"/>
      <c r="MWG35" s="168"/>
      <c r="MWH35" s="168"/>
      <c r="MWI35" s="168"/>
      <c r="MWJ35" s="168"/>
      <c r="MWK35" s="168"/>
      <c r="MWL35" s="168"/>
      <c r="MWM35" s="168"/>
      <c r="MWN35" s="168"/>
      <c r="MWO35" s="168"/>
      <c r="MWP35" s="168"/>
      <c r="MWQ35" s="168"/>
      <c r="MWR35" s="168"/>
      <c r="MWS35" s="168"/>
      <c r="MWT35" s="168"/>
      <c r="MWU35" s="168"/>
      <c r="MWV35" s="168"/>
      <c r="MWW35" s="168"/>
      <c r="MWX35" s="168"/>
      <c r="MWY35" s="168"/>
      <c r="MWZ35" s="168"/>
      <c r="MXA35" s="168"/>
      <c r="MXB35" s="168"/>
      <c r="MXC35" s="168"/>
      <c r="MXD35" s="168"/>
      <c r="MXE35" s="168"/>
      <c r="MXF35" s="168"/>
      <c r="MXG35" s="168"/>
      <c r="MXH35" s="168"/>
      <c r="MXI35" s="168"/>
      <c r="MXJ35" s="168"/>
      <c r="MXK35" s="168"/>
      <c r="MXL35" s="168"/>
      <c r="MXM35" s="168"/>
      <c r="MXN35" s="168"/>
      <c r="MXO35" s="168"/>
      <c r="MXP35" s="168"/>
      <c r="MXQ35" s="168"/>
      <c r="MXR35" s="168"/>
      <c r="MXS35" s="168"/>
      <c r="MXT35" s="168"/>
      <c r="MXU35" s="168"/>
      <c r="MXV35" s="168"/>
      <c r="MXW35" s="168"/>
      <c r="MXX35" s="168"/>
      <c r="MXY35" s="168"/>
      <c r="MXZ35" s="168"/>
      <c r="MYA35" s="168"/>
      <c r="MYB35" s="168"/>
      <c r="MYC35" s="168"/>
      <c r="MYD35" s="168"/>
      <c r="MYE35" s="168"/>
      <c r="MYF35" s="168"/>
      <c r="MYG35" s="168"/>
      <c r="MYH35" s="168"/>
      <c r="MYI35" s="168"/>
      <c r="MYJ35" s="168"/>
      <c r="MYK35" s="168"/>
      <c r="MYL35" s="168"/>
      <c r="MYM35" s="168"/>
      <c r="MYN35" s="168"/>
      <c r="MYO35" s="168"/>
      <c r="MYP35" s="168"/>
      <c r="MYQ35" s="168"/>
      <c r="MYR35" s="168"/>
      <c r="MYS35" s="168"/>
      <c r="MYT35" s="168"/>
      <c r="MYU35" s="168"/>
      <c r="MYV35" s="168"/>
      <c r="MYW35" s="168"/>
      <c r="MYX35" s="168"/>
      <c r="MYY35" s="168"/>
      <c r="MYZ35" s="168"/>
      <c r="MZA35" s="168"/>
      <c r="MZB35" s="168"/>
      <c r="MZC35" s="168"/>
      <c r="MZD35" s="168"/>
      <c r="MZE35" s="168"/>
      <c r="MZF35" s="168"/>
      <c r="MZG35" s="168"/>
      <c r="MZH35" s="168"/>
      <c r="MZI35" s="168"/>
      <c r="MZJ35" s="168"/>
      <c r="MZK35" s="168"/>
      <c r="MZL35" s="168"/>
      <c r="MZM35" s="168"/>
      <c r="MZN35" s="168"/>
      <c r="MZO35" s="168"/>
      <c r="MZP35" s="168"/>
      <c r="MZQ35" s="168"/>
      <c r="MZR35" s="168"/>
      <c r="MZS35" s="168"/>
      <c r="MZT35" s="168"/>
      <c r="MZU35" s="168"/>
      <c r="MZV35" s="168"/>
      <c r="MZW35" s="168"/>
      <c r="MZX35" s="168"/>
      <c r="MZY35" s="168"/>
      <c r="MZZ35" s="168"/>
      <c r="NAA35" s="168"/>
      <c r="NAB35" s="168"/>
      <c r="NAC35" s="168"/>
      <c r="NAD35" s="168"/>
      <c r="NAE35" s="168"/>
      <c r="NAF35" s="168"/>
      <c r="NAG35" s="168"/>
      <c r="NAH35" s="168"/>
      <c r="NAI35" s="168"/>
      <c r="NAJ35" s="168"/>
      <c r="NAK35" s="168"/>
      <c r="NAL35" s="168"/>
      <c r="NAM35" s="168"/>
      <c r="NAN35" s="168"/>
      <c r="NAO35" s="168"/>
      <c r="NAP35" s="168"/>
      <c r="NAQ35" s="168"/>
      <c r="NAR35" s="168"/>
      <c r="NAS35" s="168"/>
      <c r="NAT35" s="168"/>
      <c r="NAU35" s="168"/>
      <c r="NAV35" s="168"/>
      <c r="NAW35" s="168"/>
      <c r="NAX35" s="168"/>
      <c r="NAY35" s="168"/>
      <c r="NAZ35" s="168"/>
      <c r="NBA35" s="168"/>
      <c r="NBB35" s="168"/>
      <c r="NBC35" s="168"/>
      <c r="NBD35" s="168"/>
      <c r="NBE35" s="168"/>
      <c r="NBF35" s="168"/>
      <c r="NBG35" s="168"/>
      <c r="NBH35" s="168"/>
      <c r="NBI35" s="168"/>
      <c r="NBJ35" s="168"/>
      <c r="NBK35" s="168"/>
      <c r="NBL35" s="168"/>
      <c r="NBM35" s="168"/>
      <c r="NBN35" s="168"/>
      <c r="NBO35" s="168"/>
      <c r="NBP35" s="168"/>
      <c r="NBQ35" s="168"/>
      <c r="NBR35" s="168"/>
      <c r="NBS35" s="168"/>
      <c r="NBT35" s="168"/>
      <c r="NBU35" s="168"/>
      <c r="NBV35" s="168"/>
      <c r="NBW35" s="168"/>
      <c r="NBX35" s="168"/>
      <c r="NBY35" s="168"/>
      <c r="NBZ35" s="168"/>
      <c r="NCA35" s="168"/>
      <c r="NCB35" s="168"/>
      <c r="NCC35" s="168"/>
      <c r="NCD35" s="168"/>
      <c r="NCE35" s="168"/>
      <c r="NCF35" s="168"/>
      <c r="NCG35" s="168"/>
      <c r="NCH35" s="168"/>
      <c r="NCI35" s="168"/>
      <c r="NCJ35" s="168"/>
      <c r="NCK35" s="168"/>
      <c r="NCL35" s="168"/>
      <c r="NCM35" s="168"/>
      <c r="NCN35" s="168"/>
      <c r="NCO35" s="168"/>
      <c r="NCP35" s="168"/>
      <c r="NCQ35" s="168"/>
      <c r="NCR35" s="168"/>
      <c r="NCS35" s="168"/>
      <c r="NCT35" s="168"/>
      <c r="NCU35" s="168"/>
      <c r="NCV35" s="168"/>
      <c r="NCW35" s="168"/>
      <c r="NCX35" s="168"/>
      <c r="NCY35" s="168"/>
      <c r="NCZ35" s="168"/>
      <c r="NDA35" s="168"/>
      <c r="NDB35" s="168"/>
      <c r="NDC35" s="168"/>
      <c r="NDD35" s="168"/>
      <c r="NDE35" s="168"/>
      <c r="NDF35" s="168"/>
      <c r="NDG35" s="168"/>
      <c r="NDH35" s="168"/>
      <c r="NDI35" s="168"/>
      <c r="NDJ35" s="168"/>
      <c r="NDK35" s="168"/>
      <c r="NDL35" s="168"/>
      <c r="NDM35" s="168"/>
      <c r="NDN35" s="168"/>
      <c r="NDO35" s="168"/>
      <c r="NDP35" s="168"/>
      <c r="NDQ35" s="168"/>
      <c r="NDR35" s="168"/>
      <c r="NDS35" s="168"/>
      <c r="NDT35" s="168"/>
      <c r="NDU35" s="168"/>
      <c r="NDV35" s="168"/>
      <c r="NDW35" s="168"/>
      <c r="NDX35" s="168"/>
      <c r="NDY35" s="168"/>
      <c r="NDZ35" s="168"/>
      <c r="NEA35" s="168"/>
      <c r="NEB35" s="168"/>
      <c r="NEC35" s="168"/>
      <c r="NED35" s="168"/>
      <c r="NEE35" s="168"/>
      <c r="NEF35" s="168"/>
      <c r="NEG35" s="168"/>
      <c r="NEH35" s="168"/>
      <c r="NEI35" s="168"/>
      <c r="NEJ35" s="168"/>
      <c r="NEK35" s="168"/>
      <c r="NEL35" s="168"/>
      <c r="NEM35" s="168"/>
      <c r="NEN35" s="168"/>
      <c r="NEO35" s="168"/>
      <c r="NEP35" s="168"/>
      <c r="NEQ35" s="168"/>
      <c r="NER35" s="168"/>
      <c r="NES35" s="168"/>
      <c r="NET35" s="168"/>
      <c r="NEU35" s="168"/>
      <c r="NEV35" s="168"/>
      <c r="NEW35" s="168"/>
      <c r="NEX35" s="168"/>
      <c r="NEY35" s="168"/>
      <c r="NEZ35" s="168"/>
      <c r="NFA35" s="168"/>
      <c r="NFB35" s="168"/>
      <c r="NFC35" s="168"/>
      <c r="NFD35" s="168"/>
      <c r="NFE35" s="168"/>
      <c r="NFF35" s="168"/>
      <c r="NFG35" s="168"/>
      <c r="NFH35" s="168"/>
      <c r="NFI35" s="168"/>
      <c r="NFJ35" s="168"/>
      <c r="NFK35" s="168"/>
      <c r="NFL35" s="168"/>
      <c r="NFM35" s="168"/>
      <c r="NFN35" s="168"/>
      <c r="NFO35" s="168"/>
      <c r="NFP35" s="168"/>
      <c r="NFQ35" s="168"/>
      <c r="NFR35" s="168"/>
      <c r="NFS35" s="168"/>
      <c r="NFT35" s="168"/>
      <c r="NFU35" s="168"/>
      <c r="NFV35" s="168"/>
      <c r="NFW35" s="168"/>
      <c r="NFX35" s="168"/>
      <c r="NFY35" s="168"/>
      <c r="NFZ35" s="168"/>
      <c r="NGA35" s="168"/>
      <c r="NGB35" s="168"/>
      <c r="NGC35" s="168"/>
      <c r="NGD35" s="168"/>
      <c r="NGE35" s="168"/>
      <c r="NGF35" s="168"/>
      <c r="NGG35" s="168"/>
      <c r="NGH35" s="168"/>
      <c r="NGI35" s="168"/>
      <c r="NGJ35" s="168"/>
      <c r="NGK35" s="168"/>
      <c r="NGL35" s="168"/>
      <c r="NGM35" s="168"/>
      <c r="NGN35" s="168"/>
      <c r="NGO35" s="168"/>
      <c r="NGP35" s="168"/>
      <c r="NGQ35" s="168"/>
      <c r="NGR35" s="168"/>
      <c r="NGS35" s="168"/>
      <c r="NGT35" s="168"/>
      <c r="NGU35" s="168"/>
      <c r="NGV35" s="168"/>
      <c r="NGW35" s="168"/>
      <c r="NGX35" s="168"/>
      <c r="NGY35" s="168"/>
      <c r="NGZ35" s="168"/>
      <c r="NHA35" s="168"/>
      <c r="NHB35" s="168"/>
      <c r="NHC35" s="168"/>
      <c r="NHD35" s="168"/>
      <c r="NHE35" s="168"/>
      <c r="NHF35" s="168"/>
      <c r="NHG35" s="168"/>
      <c r="NHH35" s="168"/>
      <c r="NHI35" s="168"/>
      <c r="NHJ35" s="168"/>
      <c r="NHK35" s="168"/>
      <c r="NHL35" s="168"/>
      <c r="NHM35" s="168"/>
      <c r="NHN35" s="168"/>
      <c r="NHO35" s="168"/>
      <c r="NHP35" s="168"/>
      <c r="NHQ35" s="168"/>
      <c r="NHR35" s="168"/>
      <c r="NHS35" s="168"/>
      <c r="NHT35" s="168"/>
      <c r="NHU35" s="168"/>
      <c r="NHV35" s="168"/>
      <c r="NHW35" s="168"/>
      <c r="NHX35" s="168"/>
      <c r="NHY35" s="168"/>
      <c r="NHZ35" s="168"/>
      <c r="NIA35" s="168"/>
      <c r="NIB35" s="168"/>
      <c r="NIC35" s="168"/>
      <c r="NID35" s="168"/>
      <c r="NIE35" s="168"/>
      <c r="NIF35" s="168"/>
      <c r="NIG35" s="168"/>
      <c r="NIH35" s="168"/>
      <c r="NII35" s="168"/>
      <c r="NIJ35" s="168"/>
      <c r="NIK35" s="168"/>
      <c r="NIL35" s="168"/>
      <c r="NIM35" s="168"/>
      <c r="NIN35" s="168"/>
      <c r="NIO35" s="168"/>
      <c r="NIP35" s="168"/>
      <c r="NIQ35" s="168"/>
      <c r="NIR35" s="168"/>
      <c r="NIS35" s="168"/>
      <c r="NIT35" s="168"/>
      <c r="NIU35" s="168"/>
      <c r="NIV35" s="168"/>
      <c r="NIW35" s="168"/>
      <c r="NIX35" s="168"/>
      <c r="NIY35" s="168"/>
      <c r="NIZ35" s="168"/>
      <c r="NJA35" s="168"/>
      <c r="NJB35" s="168"/>
      <c r="NJC35" s="168"/>
      <c r="NJD35" s="168"/>
      <c r="NJE35" s="168"/>
      <c r="NJF35" s="168"/>
      <c r="NJG35" s="168"/>
      <c r="NJH35" s="168"/>
      <c r="NJI35" s="168"/>
      <c r="NJJ35" s="168"/>
      <c r="NJK35" s="168"/>
      <c r="NJL35" s="168"/>
      <c r="NJM35" s="168"/>
      <c r="NJN35" s="168"/>
      <c r="NJO35" s="168"/>
      <c r="NJP35" s="168"/>
      <c r="NJQ35" s="168"/>
      <c r="NJR35" s="168"/>
      <c r="NJS35" s="168"/>
      <c r="NJT35" s="168"/>
      <c r="NJU35" s="168"/>
      <c r="NJV35" s="168"/>
      <c r="NJW35" s="168"/>
      <c r="NJX35" s="168"/>
      <c r="NJY35" s="168"/>
      <c r="NJZ35" s="168"/>
      <c r="NKA35" s="168"/>
      <c r="NKB35" s="168"/>
      <c r="NKC35" s="168"/>
      <c r="NKD35" s="168"/>
      <c r="NKE35" s="168"/>
      <c r="NKF35" s="168"/>
      <c r="NKG35" s="168"/>
      <c r="NKH35" s="168"/>
      <c r="NKI35" s="168"/>
      <c r="NKJ35" s="168"/>
      <c r="NKK35" s="168"/>
      <c r="NKL35" s="168"/>
      <c r="NKM35" s="168"/>
      <c r="NKN35" s="168"/>
      <c r="NKO35" s="168"/>
      <c r="NKP35" s="168"/>
      <c r="NKQ35" s="168"/>
      <c r="NKR35" s="168"/>
      <c r="NKS35" s="168"/>
      <c r="NKT35" s="168"/>
      <c r="NKU35" s="168"/>
      <c r="NKV35" s="168"/>
      <c r="NKW35" s="168"/>
      <c r="NKX35" s="168"/>
      <c r="NKY35" s="168"/>
      <c r="NKZ35" s="168"/>
      <c r="NLA35" s="168"/>
      <c r="NLB35" s="168"/>
      <c r="NLC35" s="168"/>
      <c r="NLD35" s="168"/>
      <c r="NLE35" s="168"/>
      <c r="NLF35" s="168"/>
      <c r="NLG35" s="168"/>
      <c r="NLH35" s="168"/>
      <c r="NLI35" s="168"/>
      <c r="NLJ35" s="168"/>
      <c r="NLK35" s="168"/>
      <c r="NLL35" s="168"/>
      <c r="NLM35" s="168"/>
      <c r="NLN35" s="168"/>
      <c r="NLO35" s="168"/>
      <c r="NLP35" s="168"/>
      <c r="NLQ35" s="168"/>
      <c r="NLR35" s="168"/>
      <c r="NLS35" s="168"/>
      <c r="NLT35" s="168"/>
      <c r="NLU35" s="168"/>
      <c r="NLV35" s="168"/>
      <c r="NLW35" s="168"/>
      <c r="NLX35" s="168"/>
      <c r="NLY35" s="168"/>
      <c r="NLZ35" s="168"/>
      <c r="NMA35" s="168"/>
      <c r="NMB35" s="168"/>
      <c r="NMC35" s="168"/>
      <c r="NMD35" s="168"/>
      <c r="NME35" s="168"/>
      <c r="NMF35" s="168"/>
      <c r="NMG35" s="168"/>
      <c r="NMH35" s="168"/>
      <c r="NMI35" s="168"/>
      <c r="NMJ35" s="168"/>
      <c r="NMK35" s="168"/>
      <c r="NML35" s="168"/>
      <c r="NMM35" s="168"/>
      <c r="NMN35" s="168"/>
      <c r="NMO35" s="168"/>
      <c r="NMP35" s="168"/>
      <c r="NMQ35" s="168"/>
      <c r="NMR35" s="168"/>
      <c r="NMS35" s="168"/>
      <c r="NMT35" s="168"/>
      <c r="NMU35" s="168"/>
      <c r="NMV35" s="168"/>
      <c r="NMW35" s="168"/>
      <c r="NMX35" s="168"/>
      <c r="NMY35" s="168"/>
      <c r="NMZ35" s="168"/>
      <c r="NNA35" s="168"/>
      <c r="NNB35" s="168"/>
      <c r="NNC35" s="168"/>
      <c r="NND35" s="168"/>
      <c r="NNE35" s="168"/>
      <c r="NNF35" s="168"/>
      <c r="NNG35" s="168"/>
      <c r="NNH35" s="168"/>
      <c r="NNI35" s="168"/>
      <c r="NNJ35" s="168"/>
      <c r="NNK35" s="168"/>
      <c r="NNL35" s="168"/>
      <c r="NNM35" s="168"/>
      <c r="NNN35" s="168"/>
      <c r="NNO35" s="168"/>
      <c r="NNP35" s="168"/>
      <c r="NNQ35" s="168"/>
      <c r="NNR35" s="168"/>
      <c r="NNS35" s="168"/>
      <c r="NNT35" s="168"/>
      <c r="NNU35" s="168"/>
      <c r="NNV35" s="168"/>
      <c r="NNW35" s="168"/>
      <c r="NNX35" s="168"/>
      <c r="NNY35" s="168"/>
      <c r="NNZ35" s="168"/>
      <c r="NOA35" s="168"/>
      <c r="NOB35" s="168"/>
      <c r="NOC35" s="168"/>
      <c r="NOD35" s="168"/>
      <c r="NOE35" s="168"/>
      <c r="NOF35" s="168"/>
      <c r="NOG35" s="168"/>
      <c r="NOH35" s="168"/>
      <c r="NOI35" s="168"/>
      <c r="NOJ35" s="168"/>
      <c r="NOK35" s="168"/>
      <c r="NOL35" s="168"/>
      <c r="NOM35" s="168"/>
      <c r="NON35" s="168"/>
      <c r="NOO35" s="168"/>
      <c r="NOP35" s="168"/>
      <c r="NOQ35" s="168"/>
      <c r="NOR35" s="168"/>
      <c r="NOS35" s="168"/>
      <c r="NOT35" s="168"/>
      <c r="NOU35" s="168"/>
      <c r="NOV35" s="168"/>
      <c r="NOW35" s="168"/>
      <c r="NOX35" s="168"/>
      <c r="NOY35" s="168"/>
      <c r="NOZ35" s="168"/>
      <c r="NPA35" s="168"/>
      <c r="NPB35" s="168"/>
      <c r="NPC35" s="168"/>
      <c r="NPD35" s="168"/>
      <c r="NPE35" s="168"/>
      <c r="NPF35" s="168"/>
      <c r="NPG35" s="168"/>
      <c r="NPH35" s="168"/>
      <c r="NPI35" s="168"/>
      <c r="NPJ35" s="168"/>
      <c r="NPK35" s="168"/>
      <c r="NPL35" s="168"/>
      <c r="NPM35" s="168"/>
      <c r="NPN35" s="168"/>
      <c r="NPO35" s="168"/>
      <c r="NPP35" s="168"/>
      <c r="NPQ35" s="168"/>
      <c r="NPR35" s="168"/>
      <c r="NPS35" s="168"/>
      <c r="NPT35" s="168"/>
      <c r="NPU35" s="168"/>
      <c r="NPV35" s="168"/>
      <c r="NPW35" s="168"/>
      <c r="NPX35" s="168"/>
      <c r="NPY35" s="168"/>
      <c r="NPZ35" s="168"/>
      <c r="NQA35" s="168"/>
      <c r="NQB35" s="168"/>
      <c r="NQC35" s="168"/>
      <c r="NQD35" s="168"/>
      <c r="NQE35" s="168"/>
      <c r="NQF35" s="168"/>
      <c r="NQG35" s="168"/>
      <c r="NQH35" s="168"/>
      <c r="NQI35" s="168"/>
      <c r="NQJ35" s="168"/>
      <c r="NQK35" s="168"/>
      <c r="NQL35" s="168"/>
      <c r="NQM35" s="168"/>
      <c r="NQN35" s="168"/>
      <c r="NQO35" s="168"/>
      <c r="NQP35" s="168"/>
      <c r="NQQ35" s="168"/>
      <c r="NQR35" s="168"/>
      <c r="NQS35" s="168"/>
      <c r="NQT35" s="168"/>
      <c r="NQU35" s="168"/>
      <c r="NQV35" s="168"/>
      <c r="NQW35" s="168"/>
      <c r="NQX35" s="168"/>
      <c r="NQY35" s="168"/>
      <c r="NQZ35" s="168"/>
      <c r="NRA35" s="168"/>
      <c r="NRB35" s="168"/>
      <c r="NRC35" s="168"/>
      <c r="NRD35" s="168"/>
      <c r="NRE35" s="168"/>
    </row>
    <row r="36" spans="1:9937" s="171" customFormat="1" ht="25" customHeight="1" thickBot="1" x14ac:dyDescent="0.5">
      <c r="A36" s="56" t="s">
        <v>454</v>
      </c>
      <c r="B36" s="56"/>
      <c r="C36" s="393">
        <f>MAX(0,C4-C18-C34)</f>
        <v>0</v>
      </c>
      <c r="D36" s="393">
        <f>IF(D4=0,0,D4-D18-D34)</f>
        <v>0</v>
      </c>
      <c r="E36" s="393">
        <f>MAX(0,IF(E4=0,0,E4-E18-E34))</f>
        <v>0</v>
      </c>
      <c r="F36" s="375">
        <f>MAX(0,IF(F4=0,0,F4-F18-F34))</f>
        <v>0</v>
      </c>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70"/>
      <c r="ES36" s="170"/>
      <c r="ET36" s="170"/>
      <c r="EU36" s="170"/>
      <c r="EV36" s="170"/>
      <c r="EW36" s="170"/>
      <c r="EX36" s="170"/>
      <c r="EY36" s="170"/>
      <c r="EZ36" s="170"/>
      <c r="FA36" s="170"/>
      <c r="FB36" s="170"/>
      <c r="FC36" s="170"/>
      <c r="FD36" s="170"/>
      <c r="FE36" s="170"/>
      <c r="FF36" s="170"/>
      <c r="FG36" s="170"/>
      <c r="FH36" s="170"/>
      <c r="FI36" s="170"/>
      <c r="FJ36" s="170"/>
      <c r="FK36" s="170"/>
      <c r="FL36" s="170"/>
      <c r="FM36" s="170"/>
      <c r="FN36" s="170"/>
      <c r="FO36" s="170"/>
      <c r="FP36" s="170"/>
      <c r="FQ36" s="170"/>
      <c r="FR36" s="170"/>
      <c r="FS36" s="170"/>
      <c r="FT36" s="170"/>
      <c r="FU36" s="170"/>
      <c r="FV36" s="170"/>
      <c r="FW36" s="170"/>
      <c r="FX36" s="170"/>
      <c r="FY36" s="170"/>
      <c r="FZ36" s="170"/>
      <c r="GA36" s="170"/>
      <c r="GB36" s="170"/>
      <c r="GC36" s="170"/>
      <c r="GD36" s="170"/>
      <c r="GE36" s="170"/>
      <c r="GF36" s="170"/>
      <c r="GG36" s="170"/>
      <c r="GH36" s="170"/>
      <c r="GI36" s="170"/>
      <c r="GJ36" s="170"/>
      <c r="GK36" s="170"/>
      <c r="GL36" s="170"/>
      <c r="GM36" s="170"/>
      <c r="GN36" s="170"/>
      <c r="GO36" s="170"/>
      <c r="GP36" s="170"/>
      <c r="GQ36" s="170"/>
      <c r="GR36" s="170"/>
      <c r="GS36" s="170"/>
      <c r="GT36" s="170"/>
      <c r="GU36" s="170"/>
      <c r="GV36" s="170"/>
      <c r="GW36" s="170"/>
      <c r="GX36" s="170"/>
      <c r="GY36" s="170"/>
      <c r="GZ36" s="170"/>
      <c r="HA36" s="170"/>
      <c r="HB36" s="170"/>
      <c r="HC36" s="170"/>
      <c r="HD36" s="170"/>
      <c r="HE36" s="170"/>
      <c r="HF36" s="170"/>
      <c r="HG36" s="170"/>
      <c r="HH36" s="170"/>
      <c r="HI36" s="170"/>
      <c r="HJ36" s="170"/>
      <c r="HK36" s="170"/>
      <c r="HL36" s="170"/>
      <c r="HM36" s="170"/>
      <c r="HN36" s="170"/>
      <c r="HO36" s="170"/>
      <c r="HP36" s="170"/>
      <c r="HQ36" s="170"/>
      <c r="HR36" s="170"/>
      <c r="HS36" s="170"/>
      <c r="HT36" s="170"/>
      <c r="HU36" s="170"/>
      <c r="HV36" s="170"/>
      <c r="HW36" s="170"/>
      <c r="HX36" s="170"/>
      <c r="HY36" s="170"/>
      <c r="HZ36" s="170"/>
      <c r="IA36" s="170"/>
      <c r="IB36" s="170"/>
      <c r="IC36" s="170"/>
      <c r="ID36" s="170"/>
      <c r="IE36" s="170"/>
      <c r="IF36" s="170"/>
      <c r="IG36" s="170"/>
      <c r="IH36" s="170"/>
      <c r="II36" s="170"/>
      <c r="IJ36" s="170"/>
      <c r="IK36" s="170"/>
      <c r="IL36" s="170"/>
      <c r="IM36" s="170"/>
      <c r="IN36" s="170"/>
      <c r="IO36" s="170"/>
      <c r="IP36" s="170"/>
      <c r="IQ36" s="170"/>
      <c r="IR36" s="170"/>
      <c r="IS36" s="170"/>
      <c r="IT36" s="170"/>
      <c r="IU36" s="170"/>
      <c r="IV36" s="170"/>
      <c r="IW36" s="170"/>
      <c r="IX36" s="170"/>
      <c r="IY36" s="170"/>
      <c r="IZ36" s="170"/>
      <c r="JA36" s="170"/>
      <c r="JB36" s="170"/>
      <c r="JC36" s="170"/>
      <c r="JD36" s="170"/>
      <c r="JE36" s="170"/>
      <c r="JF36" s="170"/>
      <c r="JG36" s="170"/>
      <c r="JH36" s="170"/>
      <c r="JI36" s="170"/>
      <c r="JJ36" s="170"/>
      <c r="JK36" s="170"/>
      <c r="JL36" s="170"/>
      <c r="JM36" s="170"/>
      <c r="JN36" s="170"/>
      <c r="JO36" s="170"/>
      <c r="JP36" s="170"/>
      <c r="JQ36" s="170"/>
      <c r="JR36" s="170"/>
      <c r="JS36" s="170"/>
      <c r="JT36" s="170"/>
      <c r="JU36" s="170"/>
      <c r="JV36" s="170"/>
      <c r="JW36" s="170"/>
      <c r="JX36" s="170"/>
      <c r="JY36" s="170"/>
      <c r="JZ36" s="170"/>
      <c r="KA36" s="170"/>
      <c r="KB36" s="170"/>
      <c r="KC36" s="170"/>
      <c r="KD36" s="170"/>
      <c r="KE36" s="170"/>
      <c r="KF36" s="170"/>
      <c r="KG36" s="170"/>
      <c r="KH36" s="170"/>
      <c r="KI36" s="170"/>
      <c r="KJ36" s="170"/>
      <c r="KK36" s="170"/>
      <c r="KL36" s="170"/>
      <c r="KM36" s="170"/>
      <c r="KN36" s="170"/>
      <c r="KO36" s="170"/>
      <c r="KP36" s="170"/>
      <c r="KQ36" s="170"/>
      <c r="KR36" s="170"/>
      <c r="KS36" s="170"/>
      <c r="KT36" s="170"/>
      <c r="KU36" s="170"/>
      <c r="KV36" s="170"/>
      <c r="KW36" s="170"/>
      <c r="KX36" s="170"/>
      <c r="KY36" s="170"/>
      <c r="KZ36" s="170"/>
      <c r="LA36" s="170"/>
      <c r="LB36" s="170"/>
      <c r="LC36" s="170"/>
      <c r="LD36" s="170"/>
      <c r="LE36" s="170"/>
      <c r="LF36" s="170"/>
      <c r="LG36" s="170"/>
      <c r="LH36" s="170"/>
      <c r="LI36" s="170"/>
      <c r="LJ36" s="170"/>
      <c r="LK36" s="170"/>
      <c r="LL36" s="170"/>
      <c r="LM36" s="170"/>
      <c r="LN36" s="170"/>
      <c r="LO36" s="170"/>
      <c r="LP36" s="170"/>
      <c r="LQ36" s="170"/>
      <c r="LR36" s="170"/>
      <c r="LS36" s="170"/>
      <c r="LT36" s="170"/>
      <c r="LU36" s="170"/>
      <c r="LV36" s="170"/>
      <c r="LW36" s="170"/>
      <c r="LX36" s="170"/>
      <c r="LY36" s="170"/>
      <c r="LZ36" s="170"/>
      <c r="MA36" s="170"/>
      <c r="MB36" s="170"/>
      <c r="MC36" s="170"/>
      <c r="MD36" s="170"/>
      <c r="ME36" s="170"/>
      <c r="MF36" s="170"/>
      <c r="MG36" s="170"/>
      <c r="MH36" s="170"/>
      <c r="MI36" s="170"/>
      <c r="MJ36" s="170"/>
      <c r="MK36" s="170"/>
      <c r="ML36" s="170"/>
      <c r="MM36" s="170"/>
      <c r="MN36" s="170"/>
      <c r="MO36" s="170"/>
      <c r="MP36" s="170"/>
      <c r="MQ36" s="170"/>
      <c r="MR36" s="170"/>
      <c r="MS36" s="170"/>
      <c r="MT36" s="170"/>
      <c r="MU36" s="170"/>
      <c r="MV36" s="170"/>
      <c r="MW36" s="170"/>
      <c r="MX36" s="170"/>
      <c r="MY36" s="170"/>
      <c r="MZ36" s="170"/>
      <c r="NA36" s="170"/>
      <c r="NB36" s="170"/>
      <c r="NC36" s="170"/>
      <c r="ND36" s="170"/>
      <c r="NE36" s="170"/>
      <c r="NF36" s="170"/>
      <c r="NG36" s="170"/>
      <c r="NH36" s="170"/>
      <c r="NI36" s="170"/>
      <c r="NJ36" s="170"/>
      <c r="NK36" s="170"/>
      <c r="NL36" s="170"/>
      <c r="NM36" s="170"/>
      <c r="NN36" s="170"/>
      <c r="NO36" s="170"/>
      <c r="NP36" s="170"/>
      <c r="NQ36" s="170"/>
      <c r="NR36" s="170"/>
      <c r="NS36" s="170"/>
      <c r="NT36" s="170"/>
      <c r="NU36" s="170"/>
      <c r="NV36" s="170"/>
      <c r="NW36" s="170"/>
      <c r="NX36" s="170"/>
      <c r="NY36" s="170"/>
      <c r="NZ36" s="170"/>
      <c r="OA36" s="170"/>
      <c r="OB36" s="170"/>
      <c r="OC36" s="170"/>
      <c r="OD36" s="170"/>
      <c r="OE36" s="170"/>
      <c r="OF36" s="170"/>
      <c r="OG36" s="170"/>
      <c r="OH36" s="170"/>
      <c r="OI36" s="170"/>
      <c r="OJ36" s="170"/>
      <c r="OK36" s="170"/>
      <c r="OL36" s="170"/>
      <c r="OM36" s="170"/>
      <c r="ON36" s="170"/>
      <c r="OO36" s="170"/>
      <c r="OP36" s="170"/>
      <c r="OQ36" s="170"/>
      <c r="OR36" s="170"/>
      <c r="OS36" s="170"/>
      <c r="OT36" s="170"/>
      <c r="OU36" s="170"/>
      <c r="OV36" s="170"/>
      <c r="OW36" s="170"/>
      <c r="OX36" s="170"/>
      <c r="OY36" s="170"/>
      <c r="OZ36" s="170"/>
      <c r="PA36" s="170"/>
      <c r="PB36" s="170"/>
      <c r="PC36" s="170"/>
      <c r="PD36" s="170"/>
      <c r="PE36" s="170"/>
      <c r="PF36" s="170"/>
      <c r="PG36" s="170"/>
      <c r="PH36" s="170"/>
      <c r="PI36" s="170"/>
      <c r="PJ36" s="170"/>
      <c r="PK36" s="170"/>
      <c r="PL36" s="170"/>
      <c r="PM36" s="170"/>
      <c r="PN36" s="170"/>
      <c r="PO36" s="170"/>
      <c r="PP36" s="170"/>
      <c r="PQ36" s="170"/>
      <c r="PR36" s="170"/>
      <c r="PS36" s="170"/>
      <c r="PT36" s="170"/>
      <c r="PU36" s="170"/>
      <c r="PV36" s="170"/>
      <c r="PW36" s="170"/>
      <c r="PX36" s="170"/>
      <c r="PY36" s="170"/>
      <c r="PZ36" s="170"/>
      <c r="QA36" s="170"/>
      <c r="QB36" s="170"/>
      <c r="QC36" s="170"/>
      <c r="QD36" s="170"/>
      <c r="QE36" s="170"/>
      <c r="QF36" s="170"/>
      <c r="QG36" s="170"/>
      <c r="QH36" s="170"/>
      <c r="QI36" s="170"/>
      <c r="QJ36" s="170"/>
      <c r="QK36" s="170"/>
      <c r="QL36" s="170"/>
      <c r="QM36" s="170"/>
      <c r="QN36" s="170"/>
      <c r="QO36" s="170"/>
      <c r="QP36" s="170"/>
      <c r="QQ36" s="170"/>
      <c r="QR36" s="170"/>
      <c r="QS36" s="170"/>
      <c r="QT36" s="170"/>
      <c r="QU36" s="170"/>
      <c r="QV36" s="170"/>
      <c r="QW36" s="170"/>
      <c r="QX36" s="170"/>
      <c r="QY36" s="170"/>
      <c r="QZ36" s="170"/>
      <c r="RA36" s="170"/>
      <c r="RB36" s="170"/>
      <c r="RC36" s="170"/>
      <c r="RD36" s="170"/>
      <c r="RE36" s="170"/>
      <c r="RF36" s="170"/>
      <c r="RG36" s="170"/>
      <c r="RH36" s="170"/>
      <c r="RI36" s="170"/>
      <c r="RJ36" s="170"/>
      <c r="RK36" s="170"/>
      <c r="RL36" s="170"/>
      <c r="RM36" s="170"/>
      <c r="RN36" s="170"/>
      <c r="RO36" s="170"/>
      <c r="RP36" s="170"/>
      <c r="RQ36" s="170"/>
      <c r="RR36" s="170"/>
      <c r="RS36" s="170"/>
      <c r="RT36" s="170"/>
      <c r="RU36" s="170"/>
      <c r="RV36" s="170"/>
      <c r="RW36" s="170"/>
      <c r="RX36" s="170"/>
      <c r="RY36" s="170"/>
      <c r="RZ36" s="170"/>
      <c r="SA36" s="170"/>
      <c r="SB36" s="170"/>
      <c r="SC36" s="170"/>
      <c r="SD36" s="170"/>
      <c r="SE36" s="170"/>
      <c r="SF36" s="170"/>
      <c r="SG36" s="170"/>
      <c r="SH36" s="170"/>
      <c r="SI36" s="170"/>
      <c r="SJ36" s="170"/>
      <c r="SK36" s="170"/>
      <c r="SL36" s="170"/>
      <c r="SM36" s="170"/>
      <c r="SN36" s="170"/>
      <c r="SO36" s="170"/>
      <c r="SP36" s="170"/>
      <c r="SQ36" s="170"/>
      <c r="SR36" s="170"/>
      <c r="SS36" s="170"/>
      <c r="ST36" s="170"/>
      <c r="SU36" s="170"/>
      <c r="SV36" s="170"/>
      <c r="SW36" s="170"/>
      <c r="SX36" s="170"/>
      <c r="SY36" s="170"/>
      <c r="SZ36" s="170"/>
      <c r="TA36" s="170"/>
      <c r="TB36" s="170"/>
      <c r="TC36" s="170"/>
      <c r="TD36" s="170"/>
      <c r="TE36" s="170"/>
      <c r="TF36" s="170"/>
      <c r="TG36" s="170"/>
      <c r="TH36" s="170"/>
      <c r="TI36" s="170"/>
      <c r="TJ36" s="170"/>
      <c r="TK36" s="170"/>
      <c r="TL36" s="170"/>
      <c r="TM36" s="170"/>
      <c r="TN36" s="170"/>
      <c r="TO36" s="170"/>
      <c r="TP36" s="170"/>
      <c r="TQ36" s="170"/>
      <c r="TR36" s="170"/>
      <c r="TS36" s="170"/>
      <c r="TT36" s="170"/>
      <c r="TU36" s="170"/>
      <c r="TV36" s="170"/>
      <c r="TW36" s="170"/>
      <c r="TX36" s="170"/>
      <c r="TY36" s="170"/>
      <c r="TZ36" s="170"/>
      <c r="UA36" s="170"/>
      <c r="UB36" s="170"/>
      <c r="UC36" s="170"/>
      <c r="UD36" s="170"/>
      <c r="UE36" s="170"/>
      <c r="UF36" s="170"/>
      <c r="UG36" s="170"/>
      <c r="UH36" s="170"/>
      <c r="UI36" s="170"/>
      <c r="UJ36" s="170"/>
      <c r="UK36" s="170"/>
      <c r="UL36" s="170"/>
      <c r="UM36" s="170"/>
      <c r="UN36" s="170"/>
      <c r="UO36" s="170"/>
      <c r="UP36" s="170"/>
      <c r="UQ36" s="170"/>
      <c r="UR36" s="170"/>
      <c r="US36" s="170"/>
      <c r="UT36" s="170"/>
      <c r="UU36" s="170"/>
      <c r="UV36" s="170"/>
      <c r="UW36" s="170"/>
      <c r="UX36" s="170"/>
      <c r="UY36" s="170"/>
      <c r="UZ36" s="170"/>
      <c r="VA36" s="170"/>
      <c r="VB36" s="170"/>
      <c r="VC36" s="170"/>
      <c r="VD36" s="170"/>
      <c r="VE36" s="170"/>
      <c r="VF36" s="170"/>
      <c r="VG36" s="170"/>
      <c r="VH36" s="170"/>
      <c r="VI36" s="170"/>
      <c r="VJ36" s="170"/>
      <c r="VK36" s="170"/>
      <c r="VL36" s="170"/>
      <c r="VM36" s="170"/>
      <c r="VN36" s="170"/>
      <c r="VO36" s="170"/>
      <c r="VP36" s="170"/>
      <c r="VQ36" s="170"/>
      <c r="VR36" s="170"/>
      <c r="VS36" s="170"/>
      <c r="VT36" s="170"/>
      <c r="VU36" s="170"/>
      <c r="VV36" s="170"/>
      <c r="VW36" s="170"/>
      <c r="VX36" s="170"/>
      <c r="VY36" s="170"/>
      <c r="VZ36" s="170"/>
      <c r="WA36" s="170"/>
      <c r="WB36" s="170"/>
      <c r="WC36" s="170"/>
      <c r="WD36" s="170"/>
      <c r="WE36" s="170"/>
      <c r="WF36" s="170"/>
      <c r="WG36" s="170"/>
      <c r="WH36" s="170"/>
      <c r="WI36" s="170"/>
      <c r="WJ36" s="170"/>
      <c r="WK36" s="170"/>
      <c r="WL36" s="170"/>
      <c r="WM36" s="170"/>
      <c r="WN36" s="170"/>
      <c r="WO36" s="170"/>
      <c r="WP36" s="170"/>
      <c r="WQ36" s="170"/>
      <c r="WR36" s="170"/>
      <c r="WS36" s="170"/>
      <c r="WT36" s="170"/>
      <c r="WU36" s="170"/>
      <c r="WV36" s="170"/>
      <c r="WW36" s="170"/>
      <c r="WX36" s="170"/>
      <c r="WY36" s="170"/>
      <c r="WZ36" s="170"/>
      <c r="XA36" s="170"/>
      <c r="XB36" s="170"/>
      <c r="XC36" s="170"/>
      <c r="XD36" s="170"/>
      <c r="XE36" s="170"/>
      <c r="XF36" s="170"/>
      <c r="XG36" s="170"/>
      <c r="XH36" s="170"/>
      <c r="XI36" s="170"/>
      <c r="XJ36" s="170"/>
      <c r="XK36" s="170"/>
      <c r="XL36" s="170"/>
      <c r="XM36" s="170"/>
      <c r="XN36" s="170"/>
      <c r="XO36" s="170"/>
      <c r="XP36" s="170"/>
      <c r="XQ36" s="170"/>
      <c r="XR36" s="170"/>
      <c r="XS36" s="170"/>
      <c r="XT36" s="170"/>
      <c r="XU36" s="170"/>
      <c r="XV36" s="170"/>
      <c r="XW36" s="170"/>
      <c r="XX36" s="170"/>
      <c r="XY36" s="170"/>
      <c r="XZ36" s="170"/>
      <c r="YA36" s="170"/>
      <c r="YB36" s="170"/>
      <c r="YC36" s="170"/>
      <c r="YD36" s="170"/>
      <c r="YE36" s="170"/>
      <c r="YF36" s="170"/>
      <c r="YG36" s="170"/>
      <c r="YH36" s="170"/>
      <c r="YI36" s="170"/>
      <c r="YJ36" s="170"/>
      <c r="YK36" s="170"/>
      <c r="YL36" s="170"/>
      <c r="YM36" s="170"/>
      <c r="YN36" s="170"/>
      <c r="YO36" s="170"/>
      <c r="YP36" s="170"/>
      <c r="YQ36" s="170"/>
      <c r="YR36" s="170"/>
      <c r="YS36" s="170"/>
      <c r="YT36" s="170"/>
      <c r="YU36" s="170"/>
      <c r="YV36" s="170"/>
      <c r="YW36" s="170"/>
      <c r="YX36" s="170"/>
      <c r="YY36" s="170"/>
      <c r="YZ36" s="170"/>
      <c r="ZA36" s="170"/>
      <c r="ZB36" s="170"/>
      <c r="ZC36" s="170"/>
      <c r="ZD36" s="170"/>
      <c r="ZE36" s="170"/>
      <c r="ZF36" s="170"/>
      <c r="ZG36" s="170"/>
      <c r="ZH36" s="170"/>
      <c r="ZI36" s="170"/>
      <c r="ZJ36" s="170"/>
      <c r="ZK36" s="170"/>
      <c r="ZL36" s="170"/>
      <c r="ZM36" s="170"/>
      <c r="ZN36" s="170"/>
      <c r="ZO36" s="170"/>
      <c r="ZP36" s="170"/>
      <c r="ZQ36" s="170"/>
      <c r="ZR36" s="170"/>
      <c r="ZS36" s="170"/>
      <c r="ZT36" s="170"/>
      <c r="ZU36" s="170"/>
      <c r="ZV36" s="170"/>
      <c r="ZW36" s="170"/>
      <c r="ZX36" s="170"/>
      <c r="ZY36" s="170"/>
      <c r="ZZ36" s="170"/>
      <c r="AAA36" s="170"/>
      <c r="AAB36" s="170"/>
      <c r="AAC36" s="170"/>
      <c r="AAD36" s="170"/>
      <c r="AAE36" s="170"/>
      <c r="AAF36" s="170"/>
      <c r="AAG36" s="170"/>
      <c r="AAH36" s="170"/>
      <c r="AAI36" s="170"/>
      <c r="AAJ36" s="170"/>
      <c r="AAK36" s="170"/>
      <c r="AAL36" s="170"/>
      <c r="AAM36" s="170"/>
      <c r="AAN36" s="170"/>
      <c r="AAO36" s="170"/>
      <c r="AAP36" s="170"/>
      <c r="AAQ36" s="170"/>
      <c r="AAR36" s="170"/>
      <c r="AAS36" s="170"/>
      <c r="AAT36" s="170"/>
      <c r="AAU36" s="170"/>
      <c r="AAV36" s="170"/>
      <c r="AAW36" s="170"/>
      <c r="AAX36" s="170"/>
      <c r="AAY36" s="170"/>
      <c r="AAZ36" s="170"/>
      <c r="ABA36" s="170"/>
      <c r="ABB36" s="170"/>
      <c r="ABC36" s="170"/>
      <c r="ABD36" s="170"/>
      <c r="ABE36" s="170"/>
      <c r="ABF36" s="170"/>
      <c r="ABG36" s="170"/>
      <c r="ABH36" s="170"/>
      <c r="ABI36" s="170"/>
      <c r="ABJ36" s="170"/>
      <c r="ABK36" s="170"/>
      <c r="ABL36" s="170"/>
      <c r="ABM36" s="170"/>
      <c r="ABN36" s="170"/>
      <c r="ABO36" s="170"/>
      <c r="ABP36" s="170"/>
      <c r="ABQ36" s="170"/>
      <c r="ABR36" s="170"/>
      <c r="ABS36" s="170"/>
      <c r="ABT36" s="170"/>
      <c r="ABU36" s="170"/>
      <c r="ABV36" s="170"/>
      <c r="ABW36" s="170"/>
      <c r="ABX36" s="170"/>
      <c r="ABY36" s="170"/>
      <c r="ABZ36" s="170"/>
      <c r="ACA36" s="170"/>
      <c r="ACB36" s="170"/>
      <c r="ACC36" s="170"/>
      <c r="ACD36" s="170"/>
      <c r="ACE36" s="170"/>
      <c r="ACF36" s="170"/>
      <c r="ACG36" s="170"/>
      <c r="ACH36" s="170"/>
      <c r="ACI36" s="170"/>
      <c r="ACJ36" s="170"/>
      <c r="ACK36" s="170"/>
      <c r="ACL36" s="170"/>
      <c r="ACM36" s="170"/>
      <c r="ACN36" s="170"/>
      <c r="ACO36" s="170"/>
      <c r="ACP36" s="170"/>
      <c r="ACQ36" s="170"/>
      <c r="ACR36" s="170"/>
      <c r="ACS36" s="170"/>
      <c r="ACT36" s="170"/>
      <c r="ACU36" s="170"/>
      <c r="ACV36" s="170"/>
      <c r="ACW36" s="170"/>
      <c r="ACX36" s="170"/>
      <c r="ACY36" s="170"/>
      <c r="ACZ36" s="170"/>
      <c r="ADA36" s="170"/>
      <c r="ADB36" s="170"/>
      <c r="ADC36" s="170"/>
      <c r="ADD36" s="170"/>
      <c r="ADE36" s="170"/>
      <c r="ADF36" s="170"/>
      <c r="ADG36" s="170"/>
      <c r="ADH36" s="170"/>
      <c r="ADI36" s="170"/>
      <c r="ADJ36" s="170"/>
      <c r="ADK36" s="170"/>
      <c r="ADL36" s="170"/>
      <c r="ADM36" s="170"/>
      <c r="ADN36" s="170"/>
      <c r="ADO36" s="170"/>
      <c r="ADP36" s="170"/>
      <c r="ADQ36" s="170"/>
      <c r="ADR36" s="170"/>
      <c r="ADS36" s="170"/>
      <c r="ADT36" s="170"/>
      <c r="ADU36" s="170"/>
      <c r="ADV36" s="170"/>
      <c r="ADW36" s="170"/>
      <c r="ADX36" s="170"/>
      <c r="ADY36" s="170"/>
      <c r="ADZ36" s="170"/>
      <c r="AEA36" s="170"/>
      <c r="AEB36" s="170"/>
      <c r="AEC36" s="170"/>
      <c r="AED36" s="170"/>
      <c r="AEE36" s="170"/>
      <c r="AEF36" s="170"/>
      <c r="AEG36" s="170"/>
      <c r="AEH36" s="170"/>
      <c r="AEI36" s="170"/>
      <c r="AEJ36" s="170"/>
      <c r="AEK36" s="170"/>
      <c r="AEL36" s="170"/>
      <c r="AEM36" s="170"/>
      <c r="AEN36" s="170"/>
      <c r="AEO36" s="170"/>
      <c r="AEP36" s="170"/>
      <c r="AEQ36" s="170"/>
      <c r="AER36" s="170"/>
      <c r="AES36" s="170"/>
      <c r="AET36" s="170"/>
      <c r="AEU36" s="170"/>
      <c r="AEV36" s="170"/>
      <c r="AEW36" s="170"/>
      <c r="AEX36" s="170"/>
      <c r="AEY36" s="170"/>
      <c r="AEZ36" s="170"/>
      <c r="AFA36" s="170"/>
      <c r="AFB36" s="170"/>
      <c r="AFC36" s="170"/>
      <c r="AFD36" s="170"/>
      <c r="AFE36" s="170"/>
      <c r="AFF36" s="170"/>
      <c r="AFG36" s="170"/>
      <c r="AFH36" s="170"/>
      <c r="AFI36" s="170"/>
      <c r="AFJ36" s="170"/>
      <c r="AFK36" s="170"/>
      <c r="AFL36" s="170"/>
      <c r="AFM36" s="170"/>
      <c r="AFN36" s="170"/>
      <c r="AFO36" s="170"/>
      <c r="AFP36" s="170"/>
      <c r="AFQ36" s="170"/>
      <c r="AFR36" s="170"/>
      <c r="AFS36" s="170"/>
      <c r="AFT36" s="170"/>
      <c r="AFU36" s="170"/>
      <c r="AFV36" s="170"/>
      <c r="AFW36" s="170"/>
      <c r="AFX36" s="170"/>
      <c r="AFY36" s="170"/>
      <c r="AFZ36" s="170"/>
      <c r="AGA36" s="170"/>
      <c r="AGB36" s="170"/>
      <c r="AGC36" s="170"/>
      <c r="AGD36" s="170"/>
      <c r="AGE36" s="170"/>
      <c r="AGF36" s="170"/>
      <c r="AGG36" s="170"/>
      <c r="AGH36" s="170"/>
      <c r="AGI36" s="170"/>
      <c r="AGJ36" s="170"/>
      <c r="AGK36" s="170"/>
      <c r="AGL36" s="170"/>
      <c r="AGM36" s="170"/>
      <c r="AGN36" s="170"/>
      <c r="AGO36" s="170"/>
      <c r="AGP36" s="170"/>
      <c r="AGQ36" s="170"/>
      <c r="AGR36" s="170"/>
      <c r="AGS36" s="170"/>
      <c r="AGT36" s="170"/>
      <c r="AGU36" s="170"/>
      <c r="AGV36" s="170"/>
      <c r="AGW36" s="170"/>
      <c r="AGX36" s="170"/>
      <c r="AGY36" s="170"/>
      <c r="AGZ36" s="170"/>
      <c r="AHA36" s="170"/>
      <c r="AHB36" s="170"/>
      <c r="AHC36" s="170"/>
      <c r="AHD36" s="170"/>
      <c r="AHE36" s="170"/>
      <c r="AHF36" s="170"/>
      <c r="AHG36" s="170"/>
      <c r="AHH36" s="170"/>
      <c r="AHI36" s="170"/>
      <c r="AHJ36" s="170"/>
      <c r="AHK36" s="170"/>
      <c r="AHL36" s="170"/>
      <c r="AHM36" s="170"/>
      <c r="AHN36" s="170"/>
      <c r="AHO36" s="170"/>
      <c r="AHP36" s="170"/>
      <c r="AHQ36" s="170"/>
      <c r="AHR36" s="170"/>
      <c r="AHS36" s="170"/>
      <c r="AHT36" s="170"/>
      <c r="AHU36" s="170"/>
      <c r="AHV36" s="170"/>
      <c r="AHW36" s="170"/>
      <c r="AHX36" s="170"/>
      <c r="AHY36" s="170"/>
      <c r="AHZ36" s="170"/>
      <c r="AIA36" s="170"/>
      <c r="AIB36" s="170"/>
      <c r="AIC36" s="170"/>
      <c r="AID36" s="170"/>
      <c r="AIE36" s="170"/>
      <c r="AIF36" s="170"/>
      <c r="AIG36" s="170"/>
      <c r="AIH36" s="170"/>
      <c r="AII36" s="170"/>
      <c r="AIJ36" s="170"/>
      <c r="AIK36" s="170"/>
      <c r="AIL36" s="170"/>
      <c r="AIM36" s="170"/>
      <c r="AIN36" s="170"/>
      <c r="AIO36" s="170"/>
      <c r="AIP36" s="170"/>
      <c r="AIQ36" s="170"/>
      <c r="AIR36" s="170"/>
      <c r="AIS36" s="170"/>
      <c r="AIT36" s="170"/>
      <c r="AIU36" s="170"/>
      <c r="AIV36" s="170"/>
      <c r="AIW36" s="170"/>
      <c r="AIX36" s="170"/>
      <c r="AIY36" s="170"/>
      <c r="AIZ36" s="170"/>
      <c r="AJA36" s="170"/>
      <c r="AJB36" s="170"/>
      <c r="AJC36" s="170"/>
      <c r="AJD36" s="170"/>
      <c r="AJE36" s="170"/>
      <c r="AJF36" s="170"/>
      <c r="AJG36" s="170"/>
      <c r="AJH36" s="170"/>
      <c r="AJI36" s="170"/>
      <c r="AJJ36" s="170"/>
      <c r="AJK36" s="170"/>
      <c r="AJL36" s="170"/>
      <c r="AJM36" s="170"/>
      <c r="AJN36" s="170"/>
      <c r="AJO36" s="170"/>
      <c r="AJP36" s="170"/>
      <c r="AJQ36" s="170"/>
      <c r="AJR36" s="170"/>
      <c r="AJS36" s="170"/>
      <c r="AJT36" s="170"/>
      <c r="AJU36" s="170"/>
      <c r="AJV36" s="170"/>
      <c r="AJW36" s="170"/>
      <c r="AJX36" s="170"/>
      <c r="AJY36" s="170"/>
      <c r="AJZ36" s="170"/>
      <c r="AKA36" s="170"/>
      <c r="AKB36" s="170"/>
      <c r="AKC36" s="170"/>
      <c r="AKD36" s="170"/>
      <c r="AKE36" s="170"/>
      <c r="AKF36" s="170"/>
      <c r="AKG36" s="170"/>
      <c r="AKH36" s="170"/>
      <c r="AKI36" s="170"/>
      <c r="AKJ36" s="170"/>
      <c r="AKK36" s="170"/>
      <c r="AKL36" s="170"/>
      <c r="AKM36" s="170"/>
      <c r="AKN36" s="170"/>
      <c r="AKO36" s="170"/>
      <c r="AKP36" s="170"/>
      <c r="AKQ36" s="170"/>
      <c r="AKR36" s="170"/>
      <c r="AKS36" s="170"/>
      <c r="AKT36" s="170"/>
      <c r="AKU36" s="170"/>
      <c r="AKV36" s="170"/>
      <c r="AKW36" s="170"/>
      <c r="AKX36" s="170"/>
      <c r="AKY36" s="170"/>
      <c r="AKZ36" s="170"/>
      <c r="ALA36" s="170"/>
      <c r="ALB36" s="170"/>
      <c r="ALC36" s="170"/>
      <c r="ALD36" s="170"/>
      <c r="ALE36" s="170"/>
      <c r="ALF36" s="170"/>
      <c r="ALG36" s="170"/>
      <c r="ALH36" s="170"/>
      <c r="ALI36" s="170"/>
      <c r="ALJ36" s="170"/>
      <c r="ALK36" s="170"/>
      <c r="ALL36" s="170"/>
      <c r="ALM36" s="170"/>
      <c r="ALN36" s="170"/>
      <c r="ALO36" s="170"/>
      <c r="ALP36" s="170"/>
      <c r="ALQ36" s="170"/>
      <c r="ALR36" s="170"/>
      <c r="ALS36" s="170"/>
      <c r="ALT36" s="170"/>
      <c r="ALU36" s="170"/>
      <c r="ALV36" s="170"/>
      <c r="ALW36" s="170"/>
      <c r="ALX36" s="170"/>
      <c r="ALY36" s="170"/>
      <c r="ALZ36" s="170"/>
      <c r="AMA36" s="170"/>
      <c r="AMB36" s="170"/>
      <c r="AMC36" s="170"/>
      <c r="AMD36" s="170"/>
      <c r="AME36" s="170"/>
      <c r="AMF36" s="170"/>
      <c r="AMG36" s="170"/>
      <c r="AMH36" s="170"/>
      <c r="AMI36" s="170"/>
      <c r="AMJ36" s="170"/>
      <c r="AMK36" s="170"/>
      <c r="AML36" s="170"/>
      <c r="AMM36" s="170"/>
      <c r="AMN36" s="170"/>
      <c r="AMO36" s="170"/>
      <c r="AMP36" s="170"/>
      <c r="AMQ36" s="170"/>
      <c r="AMR36" s="170"/>
      <c r="AMS36" s="170"/>
      <c r="AMT36" s="170"/>
      <c r="AMU36" s="170"/>
      <c r="AMV36" s="170"/>
      <c r="AMW36" s="170"/>
      <c r="AMX36" s="170"/>
      <c r="AMY36" s="170"/>
      <c r="AMZ36" s="170"/>
      <c r="ANA36" s="170"/>
      <c r="ANB36" s="170"/>
      <c r="ANC36" s="170"/>
      <c r="AND36" s="170"/>
      <c r="ANE36" s="170"/>
      <c r="ANF36" s="170"/>
      <c r="ANG36" s="170"/>
      <c r="ANH36" s="170"/>
      <c r="ANI36" s="170"/>
      <c r="ANJ36" s="170"/>
      <c r="ANK36" s="170"/>
      <c r="ANL36" s="170"/>
      <c r="ANM36" s="170"/>
      <c r="ANN36" s="170"/>
      <c r="ANO36" s="170"/>
      <c r="ANP36" s="170"/>
      <c r="ANQ36" s="170"/>
      <c r="ANR36" s="170"/>
      <c r="ANS36" s="170"/>
      <c r="ANT36" s="170"/>
      <c r="ANU36" s="170"/>
      <c r="ANV36" s="170"/>
      <c r="ANW36" s="170"/>
      <c r="ANX36" s="170"/>
      <c r="ANY36" s="170"/>
      <c r="ANZ36" s="170"/>
      <c r="AOA36" s="170"/>
      <c r="AOB36" s="170"/>
      <c r="AOC36" s="170"/>
      <c r="AOD36" s="170"/>
      <c r="AOE36" s="170"/>
      <c r="AOF36" s="170"/>
      <c r="AOG36" s="170"/>
      <c r="AOH36" s="170"/>
      <c r="AOI36" s="170"/>
      <c r="AOJ36" s="170"/>
      <c r="AOK36" s="170"/>
      <c r="AOL36" s="170"/>
      <c r="AOM36" s="170"/>
      <c r="AON36" s="170"/>
      <c r="AOO36" s="170"/>
      <c r="AOP36" s="170"/>
      <c r="AOQ36" s="170"/>
      <c r="AOR36" s="170"/>
      <c r="AOS36" s="170"/>
      <c r="AOT36" s="170"/>
      <c r="AOU36" s="170"/>
      <c r="AOV36" s="170"/>
      <c r="AOW36" s="170"/>
      <c r="AOX36" s="170"/>
      <c r="AOY36" s="170"/>
      <c r="AOZ36" s="170"/>
      <c r="APA36" s="170"/>
      <c r="APB36" s="170"/>
      <c r="APC36" s="170"/>
      <c r="APD36" s="170"/>
      <c r="APE36" s="170"/>
      <c r="APF36" s="170"/>
      <c r="APG36" s="170"/>
      <c r="APH36" s="170"/>
      <c r="API36" s="170"/>
      <c r="APJ36" s="170"/>
      <c r="APK36" s="170"/>
      <c r="APL36" s="170"/>
      <c r="APM36" s="170"/>
      <c r="APN36" s="170"/>
      <c r="APO36" s="170"/>
      <c r="APP36" s="170"/>
      <c r="APQ36" s="170"/>
      <c r="APR36" s="170"/>
      <c r="APS36" s="170"/>
      <c r="APT36" s="170"/>
      <c r="APU36" s="170"/>
      <c r="APV36" s="170"/>
      <c r="APW36" s="170"/>
      <c r="APX36" s="170"/>
      <c r="APY36" s="170"/>
      <c r="APZ36" s="170"/>
      <c r="AQA36" s="170"/>
      <c r="AQB36" s="170"/>
      <c r="AQC36" s="170"/>
      <c r="AQD36" s="170"/>
      <c r="AQE36" s="170"/>
      <c r="AQF36" s="170"/>
      <c r="AQG36" s="170"/>
      <c r="AQH36" s="170"/>
      <c r="AQI36" s="170"/>
      <c r="AQJ36" s="170"/>
      <c r="AQK36" s="170"/>
      <c r="AQL36" s="170"/>
      <c r="AQM36" s="170"/>
      <c r="AQN36" s="170"/>
      <c r="AQO36" s="170"/>
      <c r="AQP36" s="170"/>
      <c r="AQQ36" s="170"/>
      <c r="AQR36" s="170"/>
      <c r="AQS36" s="170"/>
      <c r="AQT36" s="170"/>
      <c r="AQU36" s="170"/>
      <c r="AQV36" s="170"/>
      <c r="AQW36" s="170"/>
      <c r="AQX36" s="170"/>
      <c r="AQY36" s="170"/>
      <c r="AQZ36" s="170"/>
      <c r="ARA36" s="170"/>
      <c r="ARB36" s="170"/>
      <c r="ARC36" s="170"/>
      <c r="ARD36" s="170"/>
      <c r="ARE36" s="170"/>
      <c r="ARF36" s="170"/>
      <c r="ARG36" s="170"/>
      <c r="ARH36" s="170"/>
      <c r="ARI36" s="170"/>
      <c r="ARJ36" s="170"/>
      <c r="ARK36" s="170"/>
      <c r="ARL36" s="170"/>
      <c r="ARM36" s="170"/>
      <c r="ARN36" s="170"/>
      <c r="ARO36" s="170"/>
      <c r="ARP36" s="170"/>
      <c r="ARQ36" s="170"/>
      <c r="ARR36" s="170"/>
      <c r="ARS36" s="170"/>
      <c r="ART36" s="170"/>
      <c r="ARU36" s="170"/>
      <c r="ARV36" s="170"/>
      <c r="ARW36" s="170"/>
      <c r="ARX36" s="170"/>
      <c r="ARY36" s="170"/>
      <c r="ARZ36" s="170"/>
      <c r="ASA36" s="170"/>
      <c r="ASB36" s="170"/>
      <c r="ASC36" s="170"/>
      <c r="ASD36" s="170"/>
      <c r="ASE36" s="170"/>
      <c r="ASF36" s="170"/>
      <c r="ASG36" s="170"/>
      <c r="ASH36" s="170"/>
      <c r="ASI36" s="170"/>
      <c r="ASJ36" s="170"/>
      <c r="ASK36" s="170"/>
      <c r="ASL36" s="170"/>
      <c r="ASM36" s="170"/>
      <c r="ASN36" s="170"/>
      <c r="ASO36" s="170"/>
      <c r="ASP36" s="170"/>
      <c r="ASQ36" s="170"/>
      <c r="ASR36" s="170"/>
      <c r="ASS36" s="170"/>
      <c r="AST36" s="170"/>
      <c r="ASU36" s="170"/>
      <c r="ASV36" s="170"/>
      <c r="ASW36" s="170"/>
      <c r="ASX36" s="170"/>
      <c r="ASY36" s="170"/>
      <c r="ASZ36" s="170"/>
      <c r="ATA36" s="170"/>
      <c r="ATB36" s="170"/>
      <c r="ATC36" s="170"/>
      <c r="ATD36" s="170"/>
      <c r="ATE36" s="170"/>
      <c r="ATF36" s="170"/>
      <c r="ATG36" s="170"/>
      <c r="ATH36" s="170"/>
      <c r="ATI36" s="170"/>
      <c r="ATJ36" s="170"/>
      <c r="ATK36" s="170"/>
      <c r="ATL36" s="170"/>
      <c r="ATM36" s="170"/>
      <c r="ATN36" s="170"/>
      <c r="ATO36" s="170"/>
      <c r="ATP36" s="170"/>
      <c r="ATQ36" s="170"/>
      <c r="ATR36" s="170"/>
      <c r="ATS36" s="170"/>
      <c r="ATT36" s="170"/>
      <c r="ATU36" s="170"/>
      <c r="ATV36" s="170"/>
      <c r="ATW36" s="170"/>
      <c r="ATX36" s="170"/>
      <c r="ATY36" s="170"/>
      <c r="ATZ36" s="170"/>
      <c r="AUA36" s="170"/>
      <c r="AUB36" s="170"/>
      <c r="AUC36" s="170"/>
      <c r="AUD36" s="170"/>
      <c r="AUE36" s="170"/>
      <c r="AUF36" s="170"/>
      <c r="AUG36" s="170"/>
      <c r="AUH36" s="170"/>
      <c r="AUI36" s="170"/>
      <c r="AUJ36" s="170"/>
      <c r="AUK36" s="170"/>
      <c r="AUL36" s="170"/>
      <c r="AUM36" s="170"/>
      <c r="AUN36" s="170"/>
      <c r="AUO36" s="170"/>
      <c r="AUP36" s="170"/>
      <c r="AUQ36" s="170"/>
      <c r="AUR36" s="170"/>
      <c r="AUS36" s="170"/>
      <c r="AUT36" s="170"/>
      <c r="AUU36" s="170"/>
      <c r="AUV36" s="170"/>
      <c r="AUW36" s="170"/>
      <c r="AUX36" s="170"/>
      <c r="AUY36" s="170"/>
      <c r="AUZ36" s="170"/>
      <c r="AVA36" s="170"/>
      <c r="AVB36" s="170"/>
      <c r="AVC36" s="170"/>
      <c r="AVD36" s="170"/>
      <c r="AVE36" s="170"/>
      <c r="AVF36" s="170"/>
      <c r="AVG36" s="170"/>
      <c r="AVH36" s="170"/>
      <c r="AVI36" s="170"/>
      <c r="AVJ36" s="170"/>
      <c r="AVK36" s="170"/>
      <c r="AVL36" s="170"/>
      <c r="AVM36" s="170"/>
      <c r="AVN36" s="170"/>
      <c r="AVO36" s="170"/>
      <c r="AVP36" s="170"/>
      <c r="AVQ36" s="170"/>
      <c r="AVR36" s="170"/>
      <c r="AVS36" s="170"/>
      <c r="AVT36" s="170"/>
      <c r="AVU36" s="170"/>
      <c r="AVV36" s="170"/>
      <c r="AVW36" s="170"/>
      <c r="AVX36" s="170"/>
      <c r="AVY36" s="170"/>
      <c r="AVZ36" s="170"/>
      <c r="AWA36" s="170"/>
      <c r="AWB36" s="170"/>
      <c r="AWC36" s="170"/>
      <c r="AWD36" s="170"/>
      <c r="AWE36" s="170"/>
      <c r="AWF36" s="170"/>
      <c r="AWG36" s="170"/>
      <c r="AWH36" s="170"/>
      <c r="AWI36" s="170"/>
      <c r="AWJ36" s="170"/>
      <c r="AWK36" s="170"/>
      <c r="AWL36" s="170"/>
      <c r="AWM36" s="170"/>
      <c r="AWN36" s="170"/>
      <c r="AWO36" s="170"/>
      <c r="AWP36" s="170"/>
      <c r="AWQ36" s="170"/>
      <c r="AWR36" s="170"/>
      <c r="AWS36" s="170"/>
      <c r="AWT36" s="170"/>
      <c r="AWU36" s="170"/>
      <c r="AWV36" s="170"/>
      <c r="AWW36" s="170"/>
      <c r="AWX36" s="170"/>
      <c r="AWY36" s="170"/>
      <c r="AWZ36" s="170"/>
      <c r="AXA36" s="170"/>
      <c r="AXB36" s="170"/>
      <c r="AXC36" s="170"/>
      <c r="AXD36" s="170"/>
      <c r="AXE36" s="170"/>
      <c r="AXF36" s="170"/>
      <c r="AXG36" s="170"/>
      <c r="AXH36" s="170"/>
      <c r="AXI36" s="170"/>
      <c r="AXJ36" s="170"/>
      <c r="AXK36" s="170"/>
      <c r="AXL36" s="170"/>
      <c r="AXM36" s="170"/>
      <c r="AXN36" s="170"/>
      <c r="AXO36" s="170"/>
      <c r="AXP36" s="170"/>
      <c r="AXQ36" s="170"/>
      <c r="AXR36" s="170"/>
      <c r="AXS36" s="170"/>
      <c r="AXT36" s="170"/>
      <c r="AXU36" s="170"/>
      <c r="AXV36" s="170"/>
      <c r="AXW36" s="170"/>
      <c r="AXX36" s="170"/>
      <c r="AXY36" s="170"/>
      <c r="AXZ36" s="170"/>
      <c r="AYA36" s="170"/>
      <c r="AYB36" s="170"/>
      <c r="AYC36" s="170"/>
      <c r="AYD36" s="170"/>
      <c r="AYE36" s="170"/>
      <c r="AYF36" s="170"/>
      <c r="AYG36" s="170"/>
      <c r="AYH36" s="170"/>
      <c r="AYI36" s="170"/>
      <c r="AYJ36" s="170"/>
      <c r="AYK36" s="170"/>
      <c r="AYL36" s="170"/>
      <c r="AYM36" s="170"/>
      <c r="AYN36" s="170"/>
      <c r="AYO36" s="170"/>
      <c r="AYP36" s="170"/>
      <c r="AYQ36" s="170"/>
      <c r="AYR36" s="170"/>
      <c r="AYS36" s="170"/>
      <c r="AYT36" s="170"/>
      <c r="AYU36" s="170"/>
      <c r="AYV36" s="170"/>
      <c r="AYW36" s="170"/>
      <c r="AYX36" s="170"/>
      <c r="AYY36" s="170"/>
      <c r="AYZ36" s="170"/>
      <c r="AZA36" s="170"/>
      <c r="AZB36" s="170"/>
      <c r="AZC36" s="170"/>
      <c r="AZD36" s="170"/>
      <c r="AZE36" s="170"/>
      <c r="AZF36" s="170"/>
      <c r="AZG36" s="170"/>
      <c r="AZH36" s="170"/>
      <c r="AZI36" s="170"/>
      <c r="AZJ36" s="170"/>
      <c r="AZK36" s="170"/>
      <c r="AZL36" s="170"/>
      <c r="AZM36" s="170"/>
      <c r="AZN36" s="170"/>
      <c r="AZO36" s="170"/>
      <c r="AZP36" s="170"/>
      <c r="AZQ36" s="170"/>
      <c r="AZR36" s="170"/>
      <c r="AZS36" s="170"/>
      <c r="AZT36" s="170"/>
      <c r="AZU36" s="170"/>
      <c r="AZV36" s="170"/>
      <c r="AZW36" s="170"/>
      <c r="AZX36" s="170"/>
      <c r="AZY36" s="170"/>
      <c r="AZZ36" s="170"/>
      <c r="BAA36" s="170"/>
      <c r="BAB36" s="170"/>
      <c r="BAC36" s="170"/>
      <c r="BAD36" s="170"/>
      <c r="BAE36" s="170"/>
      <c r="BAF36" s="170"/>
      <c r="BAG36" s="170"/>
      <c r="BAH36" s="170"/>
      <c r="BAI36" s="170"/>
      <c r="BAJ36" s="170"/>
      <c r="BAK36" s="170"/>
      <c r="BAL36" s="170"/>
      <c r="BAM36" s="170"/>
      <c r="BAN36" s="170"/>
      <c r="BAO36" s="170"/>
      <c r="BAP36" s="170"/>
      <c r="BAQ36" s="170"/>
      <c r="BAR36" s="170"/>
      <c r="BAS36" s="170"/>
      <c r="BAT36" s="170"/>
      <c r="BAU36" s="170"/>
      <c r="BAV36" s="170"/>
      <c r="BAW36" s="170"/>
      <c r="BAX36" s="170"/>
      <c r="BAY36" s="170"/>
      <c r="BAZ36" s="170"/>
      <c r="BBA36" s="170"/>
      <c r="BBB36" s="170"/>
      <c r="BBC36" s="170"/>
      <c r="BBD36" s="170"/>
      <c r="BBE36" s="170"/>
      <c r="BBF36" s="170"/>
      <c r="BBG36" s="170"/>
      <c r="BBH36" s="170"/>
      <c r="BBI36" s="170"/>
      <c r="BBJ36" s="170"/>
      <c r="BBK36" s="170"/>
      <c r="BBL36" s="170"/>
      <c r="BBM36" s="170"/>
      <c r="BBN36" s="170"/>
      <c r="BBO36" s="170"/>
      <c r="BBP36" s="170"/>
      <c r="BBQ36" s="170"/>
      <c r="BBR36" s="170"/>
      <c r="BBS36" s="170"/>
      <c r="BBT36" s="170"/>
      <c r="BBU36" s="170"/>
      <c r="BBV36" s="170"/>
      <c r="BBW36" s="170"/>
      <c r="BBX36" s="170"/>
      <c r="BBY36" s="170"/>
      <c r="BBZ36" s="170"/>
      <c r="BCA36" s="170"/>
      <c r="BCB36" s="170"/>
      <c r="BCC36" s="170"/>
      <c r="BCD36" s="170"/>
      <c r="BCE36" s="170"/>
      <c r="BCF36" s="170"/>
      <c r="BCG36" s="170"/>
      <c r="BCH36" s="170"/>
      <c r="BCI36" s="170"/>
      <c r="BCJ36" s="170"/>
      <c r="BCK36" s="170"/>
      <c r="BCL36" s="170"/>
      <c r="BCM36" s="170"/>
      <c r="BCN36" s="170"/>
      <c r="BCO36" s="170"/>
      <c r="BCP36" s="170"/>
      <c r="BCQ36" s="170"/>
      <c r="BCR36" s="170"/>
      <c r="BCS36" s="170"/>
      <c r="BCT36" s="170"/>
      <c r="BCU36" s="170"/>
      <c r="BCV36" s="170"/>
      <c r="BCW36" s="170"/>
      <c r="BCX36" s="170"/>
      <c r="BCY36" s="170"/>
      <c r="BCZ36" s="170"/>
      <c r="BDA36" s="170"/>
      <c r="BDB36" s="170"/>
      <c r="BDC36" s="170"/>
      <c r="BDD36" s="170"/>
      <c r="BDE36" s="170"/>
      <c r="BDF36" s="170"/>
      <c r="BDG36" s="170"/>
      <c r="BDH36" s="170"/>
      <c r="BDI36" s="170"/>
      <c r="BDJ36" s="170"/>
      <c r="BDK36" s="170"/>
      <c r="BDL36" s="170"/>
      <c r="BDM36" s="170"/>
      <c r="BDN36" s="170"/>
      <c r="BDO36" s="170"/>
      <c r="BDP36" s="170"/>
      <c r="BDQ36" s="170"/>
      <c r="BDR36" s="170"/>
      <c r="BDS36" s="170"/>
      <c r="BDT36" s="170"/>
      <c r="BDU36" s="170"/>
      <c r="BDV36" s="170"/>
      <c r="BDW36" s="170"/>
      <c r="BDX36" s="170"/>
      <c r="BDY36" s="170"/>
      <c r="BDZ36" s="170"/>
      <c r="BEA36" s="170"/>
      <c r="BEB36" s="170"/>
      <c r="BEC36" s="170"/>
      <c r="BED36" s="170"/>
      <c r="BEE36" s="170"/>
      <c r="BEF36" s="170"/>
      <c r="BEG36" s="170"/>
      <c r="BEH36" s="170"/>
      <c r="BEI36" s="170"/>
      <c r="BEJ36" s="170"/>
      <c r="BEK36" s="170"/>
      <c r="BEL36" s="170"/>
      <c r="BEM36" s="170"/>
      <c r="BEN36" s="170"/>
      <c r="BEO36" s="170"/>
      <c r="BEP36" s="170"/>
      <c r="BEQ36" s="170"/>
      <c r="BER36" s="170"/>
      <c r="BES36" s="170"/>
      <c r="BET36" s="170"/>
      <c r="BEU36" s="170"/>
      <c r="BEV36" s="170"/>
      <c r="BEW36" s="170"/>
      <c r="BEX36" s="170"/>
      <c r="BEY36" s="170"/>
      <c r="BEZ36" s="170"/>
      <c r="BFA36" s="170"/>
      <c r="BFB36" s="170"/>
      <c r="BFC36" s="170"/>
      <c r="BFD36" s="170"/>
      <c r="BFE36" s="170"/>
      <c r="BFF36" s="170"/>
      <c r="BFG36" s="170"/>
      <c r="BFH36" s="170"/>
      <c r="BFI36" s="170"/>
      <c r="BFJ36" s="170"/>
      <c r="BFK36" s="170"/>
      <c r="BFL36" s="170"/>
      <c r="BFM36" s="170"/>
      <c r="BFN36" s="170"/>
      <c r="BFO36" s="170"/>
      <c r="BFP36" s="170"/>
      <c r="BFQ36" s="170"/>
      <c r="BFR36" s="170"/>
      <c r="BFS36" s="170"/>
      <c r="BFT36" s="170"/>
      <c r="BFU36" s="170"/>
      <c r="BFV36" s="170"/>
      <c r="BFW36" s="170"/>
      <c r="BFX36" s="170"/>
      <c r="BFY36" s="170"/>
      <c r="BFZ36" s="170"/>
      <c r="BGA36" s="170"/>
      <c r="BGB36" s="170"/>
      <c r="BGC36" s="170"/>
      <c r="BGD36" s="170"/>
      <c r="BGE36" s="170"/>
      <c r="BGF36" s="170"/>
      <c r="BGG36" s="170"/>
      <c r="BGH36" s="170"/>
      <c r="BGI36" s="170"/>
      <c r="BGJ36" s="170"/>
      <c r="BGK36" s="170"/>
      <c r="BGL36" s="170"/>
      <c r="BGM36" s="170"/>
      <c r="BGN36" s="170"/>
      <c r="BGO36" s="170"/>
      <c r="BGP36" s="170"/>
      <c r="BGQ36" s="170"/>
      <c r="BGR36" s="170"/>
      <c r="BGS36" s="170"/>
      <c r="BGT36" s="170"/>
      <c r="BGU36" s="170"/>
      <c r="BGV36" s="170"/>
      <c r="BGW36" s="170"/>
      <c r="BGX36" s="170"/>
      <c r="BGY36" s="170"/>
      <c r="BGZ36" s="170"/>
      <c r="BHA36" s="170"/>
      <c r="BHB36" s="170"/>
      <c r="BHC36" s="170"/>
      <c r="BHD36" s="170"/>
      <c r="BHE36" s="170"/>
      <c r="BHF36" s="170"/>
      <c r="BHG36" s="170"/>
      <c r="BHH36" s="170"/>
      <c r="BHI36" s="170"/>
      <c r="BHJ36" s="170"/>
      <c r="BHK36" s="170"/>
      <c r="BHL36" s="170"/>
      <c r="BHM36" s="170"/>
      <c r="BHN36" s="170"/>
      <c r="BHO36" s="170"/>
      <c r="BHP36" s="170"/>
      <c r="BHQ36" s="170"/>
      <c r="BHR36" s="170"/>
      <c r="BHS36" s="170"/>
      <c r="BHT36" s="170"/>
      <c r="BHU36" s="170"/>
      <c r="BHV36" s="170"/>
      <c r="BHW36" s="170"/>
      <c r="BHX36" s="170"/>
      <c r="BHY36" s="170"/>
      <c r="BHZ36" s="170"/>
      <c r="BIA36" s="170"/>
      <c r="BIB36" s="170"/>
      <c r="BIC36" s="170"/>
      <c r="BID36" s="170"/>
      <c r="BIE36" s="170"/>
      <c r="BIF36" s="170"/>
      <c r="BIG36" s="170"/>
      <c r="BIH36" s="170"/>
      <c r="BII36" s="170"/>
      <c r="BIJ36" s="170"/>
      <c r="BIK36" s="170"/>
      <c r="BIL36" s="170"/>
      <c r="BIM36" s="170"/>
      <c r="BIN36" s="170"/>
      <c r="BIO36" s="170"/>
      <c r="BIP36" s="170"/>
      <c r="BIQ36" s="170"/>
      <c r="BIR36" s="170"/>
      <c r="BIS36" s="170"/>
      <c r="BIT36" s="170"/>
      <c r="BIU36" s="170"/>
      <c r="BIV36" s="170"/>
      <c r="BIW36" s="170"/>
      <c r="BIX36" s="170"/>
      <c r="BIY36" s="170"/>
      <c r="BIZ36" s="170"/>
      <c r="BJA36" s="170"/>
      <c r="BJB36" s="170"/>
      <c r="BJC36" s="170"/>
      <c r="BJD36" s="170"/>
      <c r="BJE36" s="170"/>
      <c r="BJF36" s="170"/>
      <c r="BJG36" s="170"/>
      <c r="BJH36" s="170"/>
      <c r="BJI36" s="170"/>
      <c r="BJJ36" s="170"/>
      <c r="BJK36" s="170"/>
      <c r="BJL36" s="170"/>
      <c r="BJM36" s="170"/>
      <c r="BJN36" s="170"/>
      <c r="BJO36" s="170"/>
      <c r="BJP36" s="170"/>
      <c r="BJQ36" s="170"/>
      <c r="BJR36" s="170"/>
      <c r="BJS36" s="170"/>
      <c r="BJT36" s="170"/>
      <c r="BJU36" s="170"/>
      <c r="BJV36" s="170"/>
      <c r="BJW36" s="170"/>
      <c r="BJX36" s="170"/>
      <c r="BJY36" s="170"/>
      <c r="BJZ36" s="170"/>
      <c r="BKA36" s="170"/>
      <c r="BKB36" s="170"/>
      <c r="BKC36" s="170"/>
      <c r="BKD36" s="170"/>
      <c r="BKE36" s="170"/>
      <c r="BKF36" s="170"/>
      <c r="BKG36" s="170"/>
      <c r="BKH36" s="170"/>
      <c r="BKI36" s="170"/>
      <c r="BKJ36" s="170"/>
      <c r="BKK36" s="170"/>
      <c r="BKL36" s="170"/>
      <c r="BKM36" s="170"/>
      <c r="BKN36" s="170"/>
      <c r="BKO36" s="170"/>
      <c r="BKP36" s="170"/>
      <c r="BKQ36" s="170"/>
      <c r="BKR36" s="170"/>
      <c r="BKS36" s="170"/>
      <c r="BKT36" s="170"/>
      <c r="BKU36" s="170"/>
      <c r="BKV36" s="170"/>
      <c r="BKW36" s="170"/>
      <c r="BKX36" s="170"/>
      <c r="BKY36" s="170"/>
      <c r="BKZ36" s="170"/>
      <c r="BLA36" s="170"/>
      <c r="BLB36" s="170"/>
      <c r="BLC36" s="170"/>
      <c r="BLD36" s="170"/>
      <c r="BLE36" s="170"/>
      <c r="BLF36" s="170"/>
      <c r="BLG36" s="170"/>
      <c r="BLH36" s="170"/>
      <c r="BLI36" s="170"/>
      <c r="BLJ36" s="170"/>
      <c r="BLK36" s="170"/>
      <c r="BLL36" s="170"/>
      <c r="BLM36" s="170"/>
      <c r="BLN36" s="170"/>
      <c r="BLO36" s="170"/>
      <c r="BLP36" s="170"/>
      <c r="BLQ36" s="170"/>
      <c r="BLR36" s="170"/>
      <c r="BLS36" s="170"/>
      <c r="BLT36" s="170"/>
      <c r="BLU36" s="170"/>
      <c r="BLV36" s="170"/>
      <c r="BLW36" s="170"/>
      <c r="BLX36" s="170"/>
      <c r="BLY36" s="170"/>
      <c r="BLZ36" s="170"/>
      <c r="BMA36" s="170"/>
      <c r="BMB36" s="170"/>
      <c r="BMC36" s="170"/>
      <c r="BMD36" s="170"/>
      <c r="BME36" s="170"/>
      <c r="BMF36" s="170"/>
      <c r="BMG36" s="170"/>
      <c r="BMH36" s="170"/>
      <c r="BMI36" s="170"/>
      <c r="BMJ36" s="170"/>
      <c r="BMK36" s="170"/>
      <c r="BML36" s="170"/>
      <c r="BMM36" s="170"/>
      <c r="BMN36" s="170"/>
      <c r="BMO36" s="170"/>
      <c r="BMP36" s="170"/>
      <c r="BMQ36" s="170"/>
      <c r="BMR36" s="170"/>
      <c r="BMS36" s="170"/>
      <c r="BMT36" s="170"/>
      <c r="BMU36" s="170"/>
      <c r="BMV36" s="170"/>
      <c r="BMW36" s="170"/>
      <c r="BMX36" s="170"/>
      <c r="BMY36" s="170"/>
      <c r="BMZ36" s="170"/>
      <c r="BNA36" s="170"/>
      <c r="BNB36" s="170"/>
      <c r="BNC36" s="170"/>
      <c r="BND36" s="170"/>
      <c r="BNE36" s="170"/>
      <c r="BNF36" s="170"/>
      <c r="BNG36" s="170"/>
      <c r="BNH36" s="170"/>
      <c r="BNI36" s="170"/>
      <c r="BNJ36" s="170"/>
      <c r="BNK36" s="170"/>
      <c r="BNL36" s="170"/>
      <c r="BNM36" s="170"/>
      <c r="BNN36" s="170"/>
      <c r="BNO36" s="170"/>
      <c r="BNP36" s="170"/>
      <c r="BNQ36" s="170"/>
      <c r="BNR36" s="170"/>
      <c r="BNS36" s="170"/>
      <c r="BNT36" s="170"/>
      <c r="BNU36" s="170"/>
      <c r="BNV36" s="170"/>
      <c r="BNW36" s="170"/>
      <c r="BNX36" s="170"/>
      <c r="BNY36" s="170"/>
      <c r="BNZ36" s="170"/>
      <c r="BOA36" s="170"/>
      <c r="BOB36" s="170"/>
      <c r="BOC36" s="170"/>
      <c r="BOD36" s="170"/>
      <c r="BOE36" s="170"/>
      <c r="BOF36" s="170"/>
      <c r="BOG36" s="170"/>
      <c r="BOH36" s="170"/>
      <c r="BOI36" s="170"/>
      <c r="BOJ36" s="170"/>
      <c r="BOK36" s="170"/>
      <c r="BOL36" s="170"/>
      <c r="BOM36" s="170"/>
      <c r="BON36" s="170"/>
      <c r="BOO36" s="170"/>
      <c r="BOP36" s="170"/>
      <c r="BOQ36" s="170"/>
      <c r="BOR36" s="170"/>
      <c r="BOS36" s="170"/>
      <c r="BOT36" s="170"/>
      <c r="BOU36" s="170"/>
      <c r="BOV36" s="170"/>
      <c r="BOW36" s="170"/>
      <c r="BOX36" s="170"/>
      <c r="BOY36" s="170"/>
      <c r="BOZ36" s="170"/>
      <c r="BPA36" s="170"/>
      <c r="BPB36" s="170"/>
      <c r="BPC36" s="170"/>
      <c r="BPD36" s="170"/>
      <c r="BPE36" s="170"/>
      <c r="BPF36" s="170"/>
      <c r="BPG36" s="170"/>
      <c r="BPH36" s="170"/>
      <c r="BPI36" s="170"/>
      <c r="BPJ36" s="170"/>
      <c r="BPK36" s="170"/>
      <c r="BPL36" s="170"/>
      <c r="BPM36" s="170"/>
      <c r="BPN36" s="170"/>
      <c r="BPO36" s="170"/>
      <c r="BPP36" s="170"/>
      <c r="BPQ36" s="170"/>
      <c r="BPR36" s="170"/>
      <c r="BPS36" s="170"/>
      <c r="BPT36" s="170"/>
      <c r="BPU36" s="170"/>
      <c r="BPV36" s="170"/>
      <c r="BPW36" s="170"/>
      <c r="BPX36" s="170"/>
      <c r="BPY36" s="170"/>
      <c r="BPZ36" s="170"/>
      <c r="BQA36" s="170"/>
      <c r="BQB36" s="170"/>
      <c r="BQC36" s="170"/>
      <c r="BQD36" s="170"/>
      <c r="BQE36" s="170"/>
      <c r="BQF36" s="170"/>
      <c r="BQG36" s="170"/>
      <c r="BQH36" s="170"/>
      <c r="BQI36" s="170"/>
      <c r="BQJ36" s="170"/>
      <c r="BQK36" s="170"/>
      <c r="BQL36" s="170"/>
      <c r="BQM36" s="170"/>
      <c r="BQN36" s="170"/>
      <c r="BQO36" s="170"/>
      <c r="BQP36" s="170"/>
      <c r="BQQ36" s="170"/>
      <c r="BQR36" s="170"/>
      <c r="BQS36" s="170"/>
      <c r="BQT36" s="170"/>
      <c r="BQU36" s="170"/>
      <c r="BQV36" s="170"/>
      <c r="BQW36" s="170"/>
      <c r="BQX36" s="170"/>
      <c r="BQY36" s="170"/>
      <c r="BQZ36" s="170"/>
      <c r="BRA36" s="170"/>
      <c r="BRB36" s="170"/>
      <c r="BRC36" s="170"/>
      <c r="BRD36" s="170"/>
      <c r="BRE36" s="170"/>
      <c r="BRF36" s="170"/>
      <c r="BRG36" s="170"/>
      <c r="BRH36" s="170"/>
      <c r="BRI36" s="170"/>
      <c r="BRJ36" s="170"/>
      <c r="BRK36" s="170"/>
      <c r="BRL36" s="170"/>
      <c r="BRM36" s="170"/>
      <c r="BRN36" s="170"/>
      <c r="BRO36" s="170"/>
      <c r="BRP36" s="170"/>
      <c r="BRQ36" s="170"/>
      <c r="BRR36" s="170"/>
      <c r="BRS36" s="170"/>
      <c r="BRT36" s="170"/>
      <c r="BRU36" s="170"/>
      <c r="BRV36" s="170"/>
      <c r="BRW36" s="170"/>
      <c r="BRX36" s="170"/>
      <c r="BRY36" s="170"/>
      <c r="BRZ36" s="170"/>
      <c r="BSA36" s="170"/>
      <c r="BSB36" s="170"/>
      <c r="BSC36" s="170"/>
      <c r="BSD36" s="170"/>
      <c r="BSE36" s="170"/>
      <c r="BSF36" s="170"/>
      <c r="BSG36" s="170"/>
      <c r="BSH36" s="170"/>
      <c r="BSI36" s="170"/>
      <c r="BSJ36" s="170"/>
      <c r="BSK36" s="170"/>
      <c r="BSL36" s="170"/>
      <c r="BSM36" s="170"/>
      <c r="BSN36" s="170"/>
      <c r="BSO36" s="170"/>
      <c r="BSP36" s="170"/>
      <c r="BSQ36" s="170"/>
      <c r="BSR36" s="170"/>
      <c r="BSS36" s="170"/>
      <c r="BST36" s="170"/>
      <c r="BSU36" s="170"/>
      <c r="BSV36" s="170"/>
      <c r="BSW36" s="170"/>
      <c r="BSX36" s="170"/>
      <c r="BSY36" s="170"/>
      <c r="BSZ36" s="170"/>
      <c r="BTA36" s="170"/>
      <c r="BTB36" s="170"/>
      <c r="BTC36" s="170"/>
      <c r="BTD36" s="170"/>
      <c r="BTE36" s="170"/>
      <c r="BTF36" s="170"/>
      <c r="BTG36" s="170"/>
      <c r="BTH36" s="170"/>
      <c r="BTI36" s="170"/>
      <c r="BTJ36" s="170"/>
      <c r="BTK36" s="170"/>
      <c r="BTL36" s="170"/>
      <c r="BTM36" s="170"/>
      <c r="BTN36" s="170"/>
      <c r="BTO36" s="170"/>
      <c r="BTP36" s="170"/>
      <c r="BTQ36" s="170"/>
      <c r="BTR36" s="170"/>
      <c r="BTS36" s="170"/>
      <c r="BTT36" s="170"/>
      <c r="BTU36" s="170"/>
      <c r="BTV36" s="170"/>
      <c r="BTW36" s="170"/>
      <c r="BTX36" s="170"/>
      <c r="BTY36" s="170"/>
      <c r="BTZ36" s="170"/>
      <c r="BUA36" s="170"/>
      <c r="BUB36" s="170"/>
      <c r="BUC36" s="170"/>
      <c r="BUD36" s="170"/>
      <c r="BUE36" s="170"/>
      <c r="BUF36" s="170"/>
      <c r="BUG36" s="170"/>
      <c r="BUH36" s="170"/>
      <c r="BUI36" s="170"/>
      <c r="BUJ36" s="170"/>
      <c r="BUK36" s="170"/>
      <c r="BUL36" s="170"/>
      <c r="BUM36" s="170"/>
      <c r="BUN36" s="170"/>
      <c r="BUO36" s="170"/>
      <c r="BUP36" s="170"/>
      <c r="BUQ36" s="170"/>
      <c r="BUR36" s="170"/>
      <c r="BUS36" s="170"/>
      <c r="BUT36" s="170"/>
      <c r="BUU36" s="170"/>
      <c r="BUV36" s="170"/>
      <c r="BUW36" s="170"/>
      <c r="BUX36" s="170"/>
      <c r="BUY36" s="170"/>
      <c r="BUZ36" s="170"/>
      <c r="BVA36" s="170"/>
      <c r="BVB36" s="170"/>
      <c r="BVC36" s="170"/>
      <c r="BVD36" s="170"/>
      <c r="BVE36" s="170"/>
      <c r="BVF36" s="170"/>
      <c r="BVG36" s="170"/>
      <c r="BVH36" s="170"/>
      <c r="BVI36" s="170"/>
      <c r="BVJ36" s="170"/>
      <c r="BVK36" s="170"/>
      <c r="BVL36" s="170"/>
      <c r="BVM36" s="170"/>
      <c r="BVN36" s="170"/>
      <c r="BVO36" s="170"/>
      <c r="BVP36" s="170"/>
      <c r="BVQ36" s="170"/>
      <c r="BVR36" s="170"/>
      <c r="BVS36" s="170"/>
      <c r="BVT36" s="170"/>
      <c r="BVU36" s="170"/>
      <c r="BVV36" s="170"/>
      <c r="BVW36" s="170"/>
      <c r="BVX36" s="170"/>
      <c r="BVY36" s="170"/>
      <c r="BVZ36" s="170"/>
      <c r="BWA36" s="170"/>
      <c r="BWB36" s="170"/>
      <c r="BWC36" s="170"/>
      <c r="BWD36" s="170"/>
      <c r="BWE36" s="170"/>
      <c r="BWF36" s="170"/>
      <c r="BWG36" s="170"/>
      <c r="BWH36" s="170"/>
      <c r="BWI36" s="170"/>
      <c r="BWJ36" s="170"/>
      <c r="BWK36" s="170"/>
      <c r="BWL36" s="170"/>
      <c r="BWM36" s="170"/>
      <c r="BWN36" s="170"/>
      <c r="BWO36" s="170"/>
      <c r="BWP36" s="170"/>
      <c r="BWQ36" s="170"/>
      <c r="BWR36" s="170"/>
      <c r="BWS36" s="170"/>
      <c r="BWT36" s="170"/>
      <c r="BWU36" s="170"/>
      <c r="BWV36" s="170"/>
      <c r="BWW36" s="170"/>
      <c r="BWX36" s="170"/>
      <c r="BWY36" s="170"/>
      <c r="BWZ36" s="170"/>
      <c r="BXA36" s="170"/>
      <c r="BXB36" s="170"/>
      <c r="BXC36" s="170"/>
      <c r="BXD36" s="170"/>
      <c r="BXE36" s="170"/>
      <c r="BXF36" s="170"/>
      <c r="BXG36" s="170"/>
      <c r="BXH36" s="170"/>
      <c r="BXI36" s="170"/>
      <c r="BXJ36" s="170"/>
      <c r="BXK36" s="170"/>
      <c r="BXL36" s="170"/>
      <c r="BXM36" s="170"/>
      <c r="BXN36" s="170"/>
      <c r="BXO36" s="170"/>
      <c r="BXP36" s="170"/>
      <c r="BXQ36" s="170"/>
      <c r="BXR36" s="170"/>
      <c r="BXS36" s="170"/>
      <c r="BXT36" s="170"/>
      <c r="BXU36" s="170"/>
      <c r="BXV36" s="170"/>
      <c r="BXW36" s="170"/>
      <c r="BXX36" s="170"/>
      <c r="BXY36" s="170"/>
      <c r="BXZ36" s="170"/>
      <c r="BYA36" s="170"/>
      <c r="BYB36" s="170"/>
      <c r="BYC36" s="170"/>
      <c r="BYD36" s="170"/>
      <c r="BYE36" s="170"/>
      <c r="BYF36" s="170"/>
      <c r="BYG36" s="170"/>
      <c r="BYH36" s="170"/>
      <c r="BYI36" s="170"/>
      <c r="BYJ36" s="170"/>
      <c r="BYK36" s="170"/>
      <c r="BYL36" s="170"/>
      <c r="BYM36" s="170"/>
      <c r="BYN36" s="170"/>
      <c r="BYO36" s="170"/>
      <c r="BYP36" s="170"/>
      <c r="BYQ36" s="170"/>
      <c r="BYR36" s="170"/>
      <c r="BYS36" s="170"/>
      <c r="BYT36" s="170"/>
      <c r="BYU36" s="170"/>
      <c r="BYV36" s="170"/>
      <c r="BYW36" s="170"/>
      <c r="BYX36" s="170"/>
      <c r="BYY36" s="170"/>
      <c r="BYZ36" s="170"/>
      <c r="BZA36" s="170"/>
      <c r="BZB36" s="170"/>
      <c r="BZC36" s="170"/>
      <c r="BZD36" s="170"/>
      <c r="BZE36" s="170"/>
      <c r="BZF36" s="170"/>
      <c r="BZG36" s="170"/>
      <c r="BZH36" s="170"/>
      <c r="BZI36" s="170"/>
      <c r="BZJ36" s="170"/>
      <c r="BZK36" s="170"/>
      <c r="BZL36" s="170"/>
      <c r="BZM36" s="170"/>
      <c r="BZN36" s="170"/>
      <c r="BZO36" s="170"/>
      <c r="BZP36" s="170"/>
      <c r="BZQ36" s="170"/>
      <c r="BZR36" s="170"/>
      <c r="BZS36" s="170"/>
      <c r="BZT36" s="170"/>
      <c r="BZU36" s="170"/>
      <c r="BZV36" s="170"/>
      <c r="BZW36" s="170"/>
      <c r="BZX36" s="170"/>
      <c r="BZY36" s="170"/>
      <c r="BZZ36" s="170"/>
      <c r="CAA36" s="170"/>
      <c r="CAB36" s="170"/>
      <c r="CAC36" s="170"/>
      <c r="CAD36" s="170"/>
      <c r="CAE36" s="170"/>
      <c r="CAF36" s="170"/>
      <c r="CAG36" s="170"/>
      <c r="CAH36" s="170"/>
      <c r="CAI36" s="170"/>
      <c r="CAJ36" s="170"/>
      <c r="CAK36" s="170"/>
      <c r="CAL36" s="170"/>
      <c r="CAM36" s="170"/>
      <c r="CAN36" s="170"/>
      <c r="CAO36" s="170"/>
      <c r="CAP36" s="170"/>
      <c r="CAQ36" s="170"/>
      <c r="CAR36" s="170"/>
      <c r="CAS36" s="170"/>
      <c r="CAT36" s="170"/>
      <c r="CAU36" s="170"/>
      <c r="CAV36" s="170"/>
      <c r="CAW36" s="170"/>
      <c r="CAX36" s="170"/>
      <c r="CAY36" s="170"/>
      <c r="CAZ36" s="170"/>
      <c r="CBA36" s="170"/>
      <c r="CBB36" s="170"/>
      <c r="CBC36" s="170"/>
      <c r="CBD36" s="170"/>
      <c r="CBE36" s="170"/>
      <c r="CBF36" s="170"/>
      <c r="CBG36" s="170"/>
      <c r="CBH36" s="170"/>
      <c r="CBI36" s="170"/>
      <c r="CBJ36" s="170"/>
      <c r="CBK36" s="170"/>
      <c r="CBL36" s="170"/>
      <c r="CBM36" s="170"/>
      <c r="CBN36" s="170"/>
      <c r="CBO36" s="170"/>
      <c r="CBP36" s="170"/>
      <c r="CBQ36" s="170"/>
      <c r="CBR36" s="170"/>
      <c r="CBS36" s="170"/>
      <c r="CBT36" s="170"/>
      <c r="CBU36" s="170"/>
      <c r="CBV36" s="170"/>
      <c r="CBW36" s="170"/>
      <c r="CBX36" s="170"/>
      <c r="CBY36" s="170"/>
      <c r="CBZ36" s="170"/>
      <c r="CCA36" s="170"/>
      <c r="CCB36" s="170"/>
      <c r="CCC36" s="170"/>
      <c r="CCD36" s="170"/>
      <c r="CCE36" s="170"/>
      <c r="CCF36" s="170"/>
      <c r="CCG36" s="170"/>
      <c r="CCH36" s="170"/>
      <c r="CCI36" s="170"/>
      <c r="CCJ36" s="170"/>
      <c r="CCK36" s="170"/>
      <c r="CCL36" s="170"/>
      <c r="CCM36" s="170"/>
      <c r="CCN36" s="170"/>
      <c r="CCO36" s="170"/>
      <c r="CCP36" s="170"/>
      <c r="CCQ36" s="170"/>
      <c r="CCR36" s="170"/>
      <c r="CCS36" s="170"/>
      <c r="CCT36" s="170"/>
      <c r="CCU36" s="170"/>
      <c r="CCV36" s="170"/>
      <c r="CCW36" s="170"/>
      <c r="CCX36" s="170"/>
      <c r="CCY36" s="170"/>
      <c r="CCZ36" s="170"/>
      <c r="CDA36" s="170"/>
      <c r="CDB36" s="170"/>
      <c r="CDC36" s="170"/>
      <c r="CDD36" s="170"/>
      <c r="CDE36" s="170"/>
      <c r="CDF36" s="170"/>
      <c r="CDG36" s="170"/>
      <c r="CDH36" s="170"/>
      <c r="CDI36" s="170"/>
      <c r="CDJ36" s="170"/>
      <c r="CDK36" s="170"/>
      <c r="CDL36" s="170"/>
      <c r="CDM36" s="170"/>
      <c r="CDN36" s="170"/>
      <c r="CDO36" s="170"/>
      <c r="CDP36" s="170"/>
      <c r="CDQ36" s="170"/>
      <c r="CDR36" s="170"/>
      <c r="CDS36" s="170"/>
      <c r="CDT36" s="170"/>
      <c r="CDU36" s="170"/>
      <c r="CDV36" s="170"/>
      <c r="CDW36" s="170"/>
      <c r="CDX36" s="170"/>
      <c r="CDY36" s="170"/>
      <c r="CDZ36" s="170"/>
      <c r="CEA36" s="170"/>
      <c r="CEB36" s="170"/>
      <c r="CEC36" s="170"/>
      <c r="CED36" s="170"/>
      <c r="CEE36" s="170"/>
      <c r="CEF36" s="170"/>
      <c r="CEG36" s="170"/>
      <c r="CEH36" s="170"/>
      <c r="CEI36" s="170"/>
      <c r="CEJ36" s="170"/>
      <c r="CEK36" s="170"/>
      <c r="CEL36" s="170"/>
      <c r="CEM36" s="170"/>
      <c r="CEN36" s="170"/>
      <c r="CEO36" s="170"/>
      <c r="CEP36" s="170"/>
      <c r="CEQ36" s="170"/>
      <c r="CER36" s="170"/>
      <c r="CES36" s="170"/>
      <c r="CET36" s="170"/>
      <c r="CEU36" s="170"/>
      <c r="CEV36" s="170"/>
      <c r="CEW36" s="170"/>
      <c r="CEX36" s="170"/>
      <c r="CEY36" s="170"/>
      <c r="CEZ36" s="170"/>
      <c r="CFA36" s="170"/>
      <c r="CFB36" s="170"/>
      <c r="CFC36" s="170"/>
      <c r="CFD36" s="170"/>
      <c r="CFE36" s="170"/>
      <c r="CFF36" s="170"/>
      <c r="CFG36" s="170"/>
      <c r="CFH36" s="170"/>
      <c r="CFI36" s="170"/>
      <c r="CFJ36" s="170"/>
      <c r="CFK36" s="170"/>
      <c r="CFL36" s="170"/>
      <c r="CFM36" s="170"/>
      <c r="CFN36" s="170"/>
      <c r="CFO36" s="170"/>
      <c r="CFP36" s="170"/>
      <c r="CFQ36" s="170"/>
      <c r="CFR36" s="170"/>
      <c r="CFS36" s="170"/>
      <c r="CFT36" s="170"/>
      <c r="CFU36" s="170"/>
      <c r="CFV36" s="170"/>
      <c r="CFW36" s="170"/>
      <c r="CFX36" s="170"/>
      <c r="CFY36" s="170"/>
      <c r="CFZ36" s="170"/>
      <c r="CGA36" s="170"/>
      <c r="CGB36" s="170"/>
      <c r="CGC36" s="170"/>
      <c r="CGD36" s="170"/>
      <c r="CGE36" s="170"/>
      <c r="CGF36" s="170"/>
      <c r="CGG36" s="170"/>
      <c r="CGH36" s="170"/>
      <c r="CGI36" s="170"/>
      <c r="CGJ36" s="170"/>
      <c r="CGK36" s="170"/>
      <c r="CGL36" s="170"/>
      <c r="CGM36" s="170"/>
      <c r="CGN36" s="170"/>
      <c r="CGO36" s="170"/>
      <c r="CGP36" s="170"/>
      <c r="CGQ36" s="170"/>
      <c r="CGR36" s="170"/>
      <c r="CGS36" s="170"/>
      <c r="CGT36" s="170"/>
      <c r="CGU36" s="170"/>
      <c r="CGV36" s="170"/>
      <c r="CGW36" s="170"/>
      <c r="CGX36" s="170"/>
      <c r="CGY36" s="170"/>
      <c r="CGZ36" s="170"/>
      <c r="CHA36" s="170"/>
      <c r="CHB36" s="170"/>
      <c r="CHC36" s="170"/>
      <c r="CHD36" s="170"/>
      <c r="CHE36" s="170"/>
      <c r="CHF36" s="170"/>
      <c r="CHG36" s="170"/>
      <c r="CHH36" s="170"/>
      <c r="CHI36" s="170"/>
      <c r="CHJ36" s="170"/>
      <c r="CHK36" s="170"/>
      <c r="CHL36" s="170"/>
      <c r="CHM36" s="170"/>
      <c r="CHN36" s="170"/>
      <c r="CHO36" s="170"/>
      <c r="CHP36" s="170"/>
      <c r="CHQ36" s="170"/>
      <c r="CHR36" s="170"/>
      <c r="CHS36" s="170"/>
      <c r="CHT36" s="170"/>
      <c r="CHU36" s="170"/>
      <c r="CHV36" s="170"/>
      <c r="CHW36" s="170"/>
      <c r="CHX36" s="170"/>
      <c r="CHY36" s="170"/>
      <c r="CHZ36" s="170"/>
      <c r="CIA36" s="170"/>
      <c r="CIB36" s="170"/>
      <c r="CIC36" s="170"/>
      <c r="CID36" s="170"/>
      <c r="CIE36" s="170"/>
      <c r="CIF36" s="170"/>
      <c r="CIG36" s="170"/>
      <c r="CIH36" s="170"/>
      <c r="CII36" s="170"/>
      <c r="CIJ36" s="170"/>
      <c r="CIK36" s="170"/>
      <c r="CIL36" s="170"/>
      <c r="CIM36" s="170"/>
      <c r="CIN36" s="170"/>
      <c r="CIO36" s="170"/>
      <c r="CIP36" s="170"/>
      <c r="CIQ36" s="170"/>
      <c r="CIR36" s="170"/>
      <c r="CIS36" s="170"/>
      <c r="CIT36" s="170"/>
      <c r="CIU36" s="170"/>
      <c r="CIV36" s="170"/>
      <c r="CIW36" s="170"/>
      <c r="CIX36" s="170"/>
      <c r="CIY36" s="170"/>
      <c r="CIZ36" s="170"/>
      <c r="CJA36" s="170"/>
      <c r="CJB36" s="170"/>
      <c r="CJC36" s="170"/>
      <c r="CJD36" s="170"/>
      <c r="CJE36" s="170"/>
      <c r="CJF36" s="170"/>
      <c r="CJG36" s="170"/>
      <c r="CJH36" s="170"/>
      <c r="CJI36" s="170"/>
      <c r="CJJ36" s="170"/>
      <c r="CJK36" s="170"/>
      <c r="CJL36" s="170"/>
      <c r="CJM36" s="170"/>
      <c r="CJN36" s="170"/>
      <c r="CJO36" s="170"/>
      <c r="CJP36" s="170"/>
      <c r="CJQ36" s="170"/>
      <c r="CJR36" s="170"/>
      <c r="CJS36" s="170"/>
      <c r="CJT36" s="170"/>
      <c r="CJU36" s="170"/>
      <c r="CJV36" s="170"/>
      <c r="CJW36" s="170"/>
      <c r="CJX36" s="170"/>
      <c r="CJY36" s="170"/>
      <c r="CJZ36" s="170"/>
      <c r="CKA36" s="170"/>
      <c r="CKB36" s="170"/>
      <c r="CKC36" s="170"/>
      <c r="CKD36" s="170"/>
      <c r="CKE36" s="170"/>
      <c r="CKF36" s="170"/>
      <c r="CKG36" s="170"/>
      <c r="CKH36" s="170"/>
      <c r="CKI36" s="170"/>
      <c r="CKJ36" s="170"/>
      <c r="CKK36" s="170"/>
      <c r="CKL36" s="170"/>
      <c r="CKM36" s="170"/>
      <c r="CKN36" s="170"/>
      <c r="CKO36" s="170"/>
      <c r="CKP36" s="170"/>
      <c r="CKQ36" s="170"/>
      <c r="CKR36" s="170"/>
      <c r="CKS36" s="170"/>
      <c r="CKT36" s="170"/>
      <c r="CKU36" s="170"/>
      <c r="CKV36" s="170"/>
      <c r="CKW36" s="170"/>
      <c r="CKX36" s="170"/>
      <c r="CKY36" s="170"/>
      <c r="CKZ36" s="170"/>
      <c r="CLA36" s="170"/>
      <c r="CLB36" s="170"/>
      <c r="CLC36" s="170"/>
      <c r="CLD36" s="170"/>
      <c r="CLE36" s="170"/>
      <c r="CLF36" s="170"/>
      <c r="CLG36" s="170"/>
      <c r="CLH36" s="170"/>
      <c r="CLI36" s="170"/>
      <c r="CLJ36" s="170"/>
      <c r="CLK36" s="170"/>
      <c r="CLL36" s="170"/>
      <c r="CLM36" s="170"/>
      <c r="CLN36" s="170"/>
      <c r="CLO36" s="170"/>
      <c r="CLP36" s="170"/>
      <c r="CLQ36" s="170"/>
      <c r="CLR36" s="170"/>
      <c r="CLS36" s="170"/>
      <c r="CLT36" s="170"/>
      <c r="CLU36" s="170"/>
      <c r="CLV36" s="170"/>
      <c r="CLW36" s="170"/>
      <c r="CLX36" s="170"/>
      <c r="CLY36" s="170"/>
      <c r="CLZ36" s="170"/>
      <c r="CMA36" s="170"/>
      <c r="CMB36" s="170"/>
      <c r="CMC36" s="170"/>
      <c r="CMD36" s="170"/>
      <c r="CME36" s="170"/>
      <c r="CMF36" s="170"/>
      <c r="CMG36" s="170"/>
      <c r="CMH36" s="170"/>
      <c r="CMI36" s="170"/>
      <c r="CMJ36" s="170"/>
      <c r="CMK36" s="170"/>
      <c r="CML36" s="170"/>
      <c r="CMM36" s="170"/>
      <c r="CMN36" s="170"/>
      <c r="CMO36" s="170"/>
      <c r="CMP36" s="170"/>
      <c r="CMQ36" s="170"/>
      <c r="CMR36" s="170"/>
      <c r="CMS36" s="170"/>
      <c r="CMT36" s="170"/>
      <c r="CMU36" s="170"/>
      <c r="CMV36" s="170"/>
      <c r="CMW36" s="170"/>
      <c r="CMX36" s="170"/>
      <c r="CMY36" s="170"/>
      <c r="CMZ36" s="170"/>
      <c r="CNA36" s="170"/>
      <c r="CNB36" s="170"/>
      <c r="CNC36" s="170"/>
      <c r="CND36" s="170"/>
      <c r="CNE36" s="170"/>
      <c r="CNF36" s="170"/>
      <c r="CNG36" s="170"/>
      <c r="CNH36" s="170"/>
      <c r="CNI36" s="170"/>
      <c r="CNJ36" s="170"/>
      <c r="CNK36" s="170"/>
      <c r="CNL36" s="170"/>
      <c r="CNM36" s="170"/>
      <c r="CNN36" s="170"/>
      <c r="CNO36" s="170"/>
      <c r="CNP36" s="170"/>
      <c r="CNQ36" s="170"/>
      <c r="CNR36" s="170"/>
      <c r="CNS36" s="170"/>
      <c r="CNT36" s="170"/>
      <c r="CNU36" s="170"/>
      <c r="CNV36" s="170"/>
      <c r="CNW36" s="170"/>
      <c r="CNX36" s="170"/>
      <c r="CNY36" s="170"/>
      <c r="CNZ36" s="170"/>
      <c r="COA36" s="170"/>
      <c r="COB36" s="170"/>
      <c r="COC36" s="170"/>
      <c r="COD36" s="170"/>
      <c r="COE36" s="170"/>
      <c r="COF36" s="170"/>
      <c r="COG36" s="170"/>
      <c r="COH36" s="170"/>
      <c r="COI36" s="170"/>
      <c r="COJ36" s="170"/>
      <c r="COK36" s="170"/>
      <c r="COL36" s="170"/>
      <c r="COM36" s="170"/>
      <c r="CON36" s="170"/>
      <c r="COO36" s="170"/>
      <c r="COP36" s="170"/>
      <c r="COQ36" s="170"/>
      <c r="COR36" s="170"/>
      <c r="COS36" s="170"/>
      <c r="COT36" s="170"/>
      <c r="COU36" s="170"/>
      <c r="COV36" s="170"/>
      <c r="COW36" s="170"/>
      <c r="COX36" s="170"/>
      <c r="COY36" s="170"/>
      <c r="COZ36" s="170"/>
      <c r="CPA36" s="170"/>
      <c r="CPB36" s="170"/>
      <c r="CPC36" s="170"/>
      <c r="CPD36" s="170"/>
      <c r="CPE36" s="170"/>
      <c r="CPF36" s="170"/>
      <c r="CPG36" s="170"/>
      <c r="CPH36" s="170"/>
      <c r="CPI36" s="170"/>
      <c r="CPJ36" s="170"/>
      <c r="CPK36" s="170"/>
      <c r="CPL36" s="170"/>
      <c r="CPM36" s="170"/>
      <c r="CPN36" s="170"/>
      <c r="CPO36" s="170"/>
      <c r="CPP36" s="170"/>
      <c r="CPQ36" s="170"/>
      <c r="CPR36" s="170"/>
      <c r="CPS36" s="170"/>
      <c r="CPT36" s="170"/>
      <c r="CPU36" s="170"/>
      <c r="CPV36" s="170"/>
      <c r="CPW36" s="170"/>
      <c r="CPX36" s="170"/>
      <c r="CPY36" s="170"/>
      <c r="CPZ36" s="170"/>
      <c r="CQA36" s="170"/>
      <c r="CQB36" s="170"/>
      <c r="CQC36" s="170"/>
      <c r="CQD36" s="170"/>
      <c r="CQE36" s="170"/>
      <c r="CQF36" s="170"/>
      <c r="CQG36" s="170"/>
      <c r="CQH36" s="170"/>
      <c r="CQI36" s="170"/>
      <c r="CQJ36" s="170"/>
      <c r="CQK36" s="170"/>
      <c r="CQL36" s="170"/>
      <c r="CQM36" s="170"/>
      <c r="CQN36" s="170"/>
      <c r="CQO36" s="170"/>
      <c r="CQP36" s="170"/>
      <c r="CQQ36" s="170"/>
      <c r="CQR36" s="170"/>
      <c r="CQS36" s="170"/>
      <c r="CQT36" s="170"/>
      <c r="CQU36" s="170"/>
      <c r="CQV36" s="170"/>
      <c r="CQW36" s="170"/>
      <c r="CQX36" s="170"/>
      <c r="CQY36" s="170"/>
      <c r="CQZ36" s="170"/>
      <c r="CRA36" s="170"/>
      <c r="CRB36" s="170"/>
      <c r="CRC36" s="170"/>
      <c r="CRD36" s="170"/>
      <c r="CRE36" s="170"/>
      <c r="CRF36" s="170"/>
      <c r="CRG36" s="170"/>
      <c r="CRH36" s="170"/>
      <c r="CRI36" s="170"/>
      <c r="CRJ36" s="170"/>
      <c r="CRK36" s="170"/>
      <c r="CRL36" s="170"/>
      <c r="CRM36" s="170"/>
      <c r="CRN36" s="170"/>
      <c r="CRO36" s="170"/>
      <c r="CRP36" s="170"/>
      <c r="CRQ36" s="170"/>
      <c r="CRR36" s="170"/>
      <c r="CRS36" s="170"/>
      <c r="CRT36" s="170"/>
      <c r="CRU36" s="170"/>
      <c r="CRV36" s="170"/>
      <c r="CRW36" s="170"/>
      <c r="CRX36" s="170"/>
      <c r="CRY36" s="170"/>
      <c r="CRZ36" s="170"/>
      <c r="CSA36" s="170"/>
      <c r="CSB36" s="170"/>
      <c r="CSC36" s="170"/>
      <c r="CSD36" s="170"/>
      <c r="CSE36" s="170"/>
      <c r="CSF36" s="170"/>
      <c r="CSG36" s="170"/>
      <c r="CSH36" s="170"/>
      <c r="CSI36" s="170"/>
      <c r="CSJ36" s="170"/>
      <c r="CSK36" s="170"/>
      <c r="CSL36" s="170"/>
      <c r="CSM36" s="170"/>
      <c r="CSN36" s="170"/>
      <c r="CSO36" s="170"/>
      <c r="CSP36" s="170"/>
      <c r="CSQ36" s="170"/>
      <c r="CSR36" s="170"/>
      <c r="CSS36" s="170"/>
      <c r="CST36" s="170"/>
      <c r="CSU36" s="170"/>
      <c r="CSV36" s="170"/>
      <c r="CSW36" s="170"/>
      <c r="CSX36" s="170"/>
      <c r="CSY36" s="170"/>
      <c r="CSZ36" s="170"/>
      <c r="CTA36" s="170"/>
      <c r="CTB36" s="170"/>
      <c r="CTC36" s="170"/>
      <c r="CTD36" s="170"/>
      <c r="CTE36" s="170"/>
      <c r="CTF36" s="170"/>
      <c r="CTG36" s="170"/>
      <c r="CTH36" s="170"/>
      <c r="CTI36" s="170"/>
      <c r="CTJ36" s="170"/>
      <c r="CTK36" s="170"/>
      <c r="CTL36" s="170"/>
      <c r="CTM36" s="170"/>
      <c r="CTN36" s="170"/>
      <c r="CTO36" s="170"/>
      <c r="CTP36" s="170"/>
      <c r="CTQ36" s="170"/>
      <c r="CTR36" s="170"/>
      <c r="CTS36" s="170"/>
      <c r="CTT36" s="170"/>
      <c r="CTU36" s="170"/>
      <c r="CTV36" s="170"/>
      <c r="CTW36" s="170"/>
      <c r="CTX36" s="170"/>
      <c r="CTY36" s="170"/>
      <c r="CTZ36" s="170"/>
      <c r="CUA36" s="170"/>
      <c r="CUB36" s="170"/>
      <c r="CUC36" s="170"/>
      <c r="CUD36" s="170"/>
      <c r="CUE36" s="170"/>
      <c r="CUF36" s="170"/>
      <c r="CUG36" s="170"/>
      <c r="CUH36" s="170"/>
      <c r="CUI36" s="170"/>
      <c r="CUJ36" s="170"/>
      <c r="CUK36" s="170"/>
      <c r="CUL36" s="170"/>
      <c r="CUM36" s="170"/>
      <c r="CUN36" s="170"/>
      <c r="CUO36" s="170"/>
      <c r="CUP36" s="170"/>
      <c r="CUQ36" s="170"/>
      <c r="CUR36" s="170"/>
      <c r="CUS36" s="170"/>
      <c r="CUT36" s="170"/>
      <c r="CUU36" s="170"/>
      <c r="CUV36" s="170"/>
      <c r="CUW36" s="170"/>
      <c r="CUX36" s="170"/>
      <c r="CUY36" s="170"/>
      <c r="CUZ36" s="170"/>
      <c r="CVA36" s="170"/>
      <c r="CVB36" s="170"/>
      <c r="CVC36" s="170"/>
      <c r="CVD36" s="170"/>
      <c r="CVE36" s="170"/>
      <c r="CVF36" s="170"/>
      <c r="CVG36" s="170"/>
      <c r="CVH36" s="170"/>
      <c r="CVI36" s="170"/>
      <c r="CVJ36" s="170"/>
      <c r="CVK36" s="170"/>
      <c r="CVL36" s="170"/>
      <c r="CVM36" s="170"/>
      <c r="CVN36" s="170"/>
      <c r="CVO36" s="170"/>
      <c r="CVP36" s="170"/>
      <c r="CVQ36" s="170"/>
      <c r="CVR36" s="170"/>
      <c r="CVS36" s="170"/>
      <c r="CVT36" s="170"/>
      <c r="CVU36" s="170"/>
      <c r="CVV36" s="170"/>
      <c r="CVW36" s="170"/>
      <c r="CVX36" s="170"/>
      <c r="CVY36" s="170"/>
      <c r="CVZ36" s="170"/>
      <c r="CWA36" s="170"/>
      <c r="CWB36" s="170"/>
      <c r="CWC36" s="170"/>
      <c r="CWD36" s="170"/>
      <c r="CWE36" s="170"/>
      <c r="CWF36" s="170"/>
      <c r="CWG36" s="170"/>
      <c r="CWH36" s="170"/>
      <c r="CWI36" s="170"/>
      <c r="CWJ36" s="170"/>
      <c r="CWK36" s="170"/>
      <c r="CWL36" s="170"/>
      <c r="CWM36" s="170"/>
      <c r="CWN36" s="170"/>
      <c r="CWO36" s="170"/>
      <c r="CWP36" s="170"/>
      <c r="CWQ36" s="170"/>
      <c r="CWR36" s="170"/>
      <c r="CWS36" s="170"/>
      <c r="CWT36" s="170"/>
      <c r="CWU36" s="170"/>
      <c r="CWV36" s="170"/>
      <c r="CWW36" s="170"/>
      <c r="CWX36" s="170"/>
      <c r="CWY36" s="170"/>
      <c r="CWZ36" s="170"/>
      <c r="CXA36" s="170"/>
      <c r="CXB36" s="170"/>
      <c r="CXC36" s="170"/>
      <c r="CXD36" s="170"/>
      <c r="CXE36" s="170"/>
      <c r="CXF36" s="170"/>
      <c r="CXG36" s="170"/>
      <c r="CXH36" s="170"/>
      <c r="CXI36" s="170"/>
      <c r="CXJ36" s="170"/>
      <c r="CXK36" s="170"/>
      <c r="CXL36" s="170"/>
      <c r="CXM36" s="170"/>
      <c r="CXN36" s="170"/>
      <c r="CXO36" s="170"/>
      <c r="CXP36" s="170"/>
      <c r="CXQ36" s="170"/>
      <c r="CXR36" s="170"/>
      <c r="CXS36" s="170"/>
      <c r="CXT36" s="170"/>
      <c r="CXU36" s="170"/>
      <c r="CXV36" s="170"/>
      <c r="CXW36" s="170"/>
      <c r="CXX36" s="170"/>
      <c r="CXY36" s="170"/>
      <c r="CXZ36" s="170"/>
      <c r="CYA36" s="170"/>
      <c r="CYB36" s="170"/>
      <c r="CYC36" s="170"/>
      <c r="CYD36" s="170"/>
      <c r="CYE36" s="170"/>
      <c r="CYF36" s="170"/>
      <c r="CYG36" s="170"/>
      <c r="CYH36" s="170"/>
      <c r="CYI36" s="170"/>
      <c r="CYJ36" s="170"/>
      <c r="CYK36" s="170"/>
      <c r="CYL36" s="170"/>
      <c r="CYM36" s="170"/>
      <c r="CYN36" s="170"/>
      <c r="CYO36" s="170"/>
      <c r="CYP36" s="170"/>
      <c r="CYQ36" s="170"/>
      <c r="CYR36" s="170"/>
      <c r="CYS36" s="170"/>
      <c r="CYT36" s="170"/>
      <c r="CYU36" s="170"/>
      <c r="CYV36" s="170"/>
      <c r="CYW36" s="170"/>
      <c r="CYX36" s="170"/>
      <c r="CYY36" s="170"/>
      <c r="CYZ36" s="170"/>
      <c r="CZA36" s="170"/>
      <c r="CZB36" s="170"/>
      <c r="CZC36" s="170"/>
      <c r="CZD36" s="170"/>
      <c r="CZE36" s="170"/>
      <c r="CZF36" s="170"/>
      <c r="CZG36" s="170"/>
      <c r="CZH36" s="170"/>
      <c r="CZI36" s="170"/>
      <c r="CZJ36" s="170"/>
      <c r="CZK36" s="170"/>
      <c r="CZL36" s="170"/>
      <c r="CZM36" s="170"/>
      <c r="CZN36" s="170"/>
      <c r="CZO36" s="170"/>
      <c r="CZP36" s="170"/>
      <c r="CZQ36" s="170"/>
      <c r="CZR36" s="170"/>
      <c r="CZS36" s="170"/>
      <c r="CZT36" s="170"/>
      <c r="CZU36" s="170"/>
      <c r="CZV36" s="170"/>
      <c r="CZW36" s="170"/>
      <c r="CZX36" s="170"/>
      <c r="CZY36" s="170"/>
      <c r="CZZ36" s="170"/>
      <c r="DAA36" s="170"/>
      <c r="DAB36" s="170"/>
      <c r="DAC36" s="170"/>
      <c r="DAD36" s="170"/>
      <c r="DAE36" s="170"/>
      <c r="DAF36" s="170"/>
      <c r="DAG36" s="170"/>
      <c r="DAH36" s="170"/>
      <c r="DAI36" s="170"/>
      <c r="DAJ36" s="170"/>
      <c r="DAK36" s="170"/>
      <c r="DAL36" s="170"/>
      <c r="DAM36" s="170"/>
      <c r="DAN36" s="170"/>
      <c r="DAO36" s="170"/>
      <c r="DAP36" s="170"/>
      <c r="DAQ36" s="170"/>
      <c r="DAR36" s="170"/>
      <c r="DAS36" s="170"/>
      <c r="DAT36" s="170"/>
      <c r="DAU36" s="170"/>
      <c r="DAV36" s="170"/>
      <c r="DAW36" s="170"/>
      <c r="DAX36" s="170"/>
      <c r="DAY36" s="170"/>
      <c r="DAZ36" s="170"/>
      <c r="DBA36" s="170"/>
      <c r="DBB36" s="170"/>
      <c r="DBC36" s="170"/>
      <c r="DBD36" s="170"/>
      <c r="DBE36" s="170"/>
      <c r="DBF36" s="170"/>
      <c r="DBG36" s="170"/>
      <c r="DBH36" s="170"/>
      <c r="DBI36" s="170"/>
      <c r="DBJ36" s="170"/>
      <c r="DBK36" s="170"/>
      <c r="DBL36" s="170"/>
      <c r="DBM36" s="170"/>
      <c r="DBN36" s="170"/>
      <c r="DBO36" s="170"/>
      <c r="DBP36" s="170"/>
      <c r="DBQ36" s="170"/>
      <c r="DBR36" s="170"/>
      <c r="DBS36" s="170"/>
      <c r="DBT36" s="170"/>
      <c r="DBU36" s="170"/>
      <c r="DBV36" s="170"/>
      <c r="DBW36" s="170"/>
      <c r="DBX36" s="170"/>
      <c r="DBY36" s="170"/>
      <c r="DBZ36" s="170"/>
      <c r="DCA36" s="170"/>
      <c r="DCB36" s="170"/>
      <c r="DCC36" s="170"/>
      <c r="DCD36" s="170"/>
      <c r="DCE36" s="170"/>
      <c r="DCF36" s="170"/>
      <c r="DCG36" s="170"/>
      <c r="DCH36" s="170"/>
      <c r="DCI36" s="170"/>
      <c r="DCJ36" s="170"/>
      <c r="DCK36" s="170"/>
      <c r="DCL36" s="170"/>
      <c r="DCM36" s="170"/>
      <c r="DCN36" s="170"/>
      <c r="DCO36" s="170"/>
      <c r="DCP36" s="170"/>
      <c r="DCQ36" s="170"/>
      <c r="DCR36" s="170"/>
      <c r="DCS36" s="170"/>
      <c r="DCT36" s="170"/>
      <c r="DCU36" s="170"/>
      <c r="DCV36" s="170"/>
      <c r="DCW36" s="170"/>
      <c r="DCX36" s="170"/>
      <c r="DCY36" s="170"/>
      <c r="DCZ36" s="170"/>
      <c r="DDA36" s="170"/>
      <c r="DDB36" s="170"/>
      <c r="DDC36" s="170"/>
      <c r="DDD36" s="170"/>
      <c r="DDE36" s="170"/>
      <c r="DDF36" s="170"/>
      <c r="DDG36" s="170"/>
      <c r="DDH36" s="170"/>
      <c r="DDI36" s="170"/>
      <c r="DDJ36" s="170"/>
      <c r="DDK36" s="170"/>
      <c r="DDL36" s="170"/>
      <c r="DDM36" s="170"/>
      <c r="DDN36" s="170"/>
      <c r="DDO36" s="170"/>
      <c r="DDP36" s="170"/>
      <c r="DDQ36" s="170"/>
      <c r="DDR36" s="170"/>
      <c r="DDS36" s="170"/>
      <c r="DDT36" s="170"/>
      <c r="DDU36" s="170"/>
      <c r="DDV36" s="170"/>
      <c r="DDW36" s="170"/>
      <c r="DDX36" s="170"/>
      <c r="DDY36" s="170"/>
      <c r="DDZ36" s="170"/>
      <c r="DEA36" s="170"/>
      <c r="DEB36" s="170"/>
      <c r="DEC36" s="170"/>
      <c r="DED36" s="170"/>
      <c r="DEE36" s="170"/>
      <c r="DEF36" s="170"/>
      <c r="DEG36" s="170"/>
      <c r="DEH36" s="170"/>
      <c r="DEI36" s="170"/>
      <c r="DEJ36" s="170"/>
      <c r="DEK36" s="170"/>
      <c r="DEL36" s="170"/>
      <c r="DEM36" s="170"/>
      <c r="DEN36" s="170"/>
      <c r="DEO36" s="170"/>
      <c r="DEP36" s="170"/>
      <c r="DEQ36" s="170"/>
      <c r="DER36" s="170"/>
      <c r="DES36" s="170"/>
      <c r="DET36" s="170"/>
      <c r="DEU36" s="170"/>
      <c r="DEV36" s="170"/>
      <c r="DEW36" s="170"/>
      <c r="DEX36" s="170"/>
      <c r="DEY36" s="170"/>
      <c r="DEZ36" s="170"/>
      <c r="DFA36" s="170"/>
      <c r="DFB36" s="170"/>
      <c r="DFC36" s="170"/>
      <c r="DFD36" s="170"/>
      <c r="DFE36" s="170"/>
      <c r="DFF36" s="170"/>
      <c r="DFG36" s="170"/>
      <c r="DFH36" s="170"/>
      <c r="DFI36" s="170"/>
      <c r="DFJ36" s="170"/>
      <c r="DFK36" s="170"/>
      <c r="DFL36" s="170"/>
      <c r="DFM36" s="170"/>
      <c r="DFN36" s="170"/>
      <c r="DFO36" s="170"/>
      <c r="DFP36" s="170"/>
      <c r="DFQ36" s="170"/>
      <c r="DFR36" s="170"/>
      <c r="DFS36" s="170"/>
      <c r="DFT36" s="170"/>
      <c r="DFU36" s="170"/>
      <c r="DFV36" s="170"/>
      <c r="DFW36" s="170"/>
      <c r="DFX36" s="170"/>
      <c r="DFY36" s="170"/>
      <c r="DFZ36" s="170"/>
      <c r="DGA36" s="170"/>
      <c r="DGB36" s="170"/>
      <c r="DGC36" s="170"/>
      <c r="DGD36" s="170"/>
      <c r="DGE36" s="170"/>
      <c r="DGF36" s="170"/>
      <c r="DGG36" s="170"/>
      <c r="DGH36" s="170"/>
      <c r="DGI36" s="170"/>
      <c r="DGJ36" s="170"/>
      <c r="DGK36" s="170"/>
      <c r="DGL36" s="170"/>
      <c r="DGM36" s="170"/>
      <c r="DGN36" s="170"/>
      <c r="DGO36" s="170"/>
      <c r="DGP36" s="170"/>
      <c r="DGQ36" s="170"/>
      <c r="DGR36" s="170"/>
      <c r="DGS36" s="170"/>
      <c r="DGT36" s="170"/>
      <c r="DGU36" s="170"/>
      <c r="DGV36" s="170"/>
      <c r="DGW36" s="170"/>
      <c r="DGX36" s="170"/>
      <c r="DGY36" s="170"/>
      <c r="DGZ36" s="170"/>
      <c r="DHA36" s="170"/>
      <c r="DHB36" s="170"/>
      <c r="DHC36" s="170"/>
      <c r="DHD36" s="170"/>
      <c r="DHE36" s="170"/>
      <c r="DHF36" s="170"/>
      <c r="DHG36" s="170"/>
      <c r="DHH36" s="170"/>
      <c r="DHI36" s="170"/>
      <c r="DHJ36" s="170"/>
      <c r="DHK36" s="170"/>
      <c r="DHL36" s="170"/>
      <c r="DHM36" s="170"/>
      <c r="DHN36" s="170"/>
      <c r="DHO36" s="170"/>
      <c r="DHP36" s="170"/>
      <c r="DHQ36" s="170"/>
      <c r="DHR36" s="170"/>
      <c r="DHS36" s="170"/>
      <c r="DHT36" s="170"/>
      <c r="DHU36" s="170"/>
      <c r="DHV36" s="170"/>
      <c r="DHW36" s="170"/>
      <c r="DHX36" s="170"/>
      <c r="DHY36" s="170"/>
      <c r="DHZ36" s="170"/>
      <c r="DIA36" s="170"/>
      <c r="DIB36" s="170"/>
      <c r="DIC36" s="170"/>
      <c r="DID36" s="170"/>
      <c r="DIE36" s="170"/>
      <c r="DIF36" s="170"/>
      <c r="DIG36" s="170"/>
      <c r="DIH36" s="170"/>
      <c r="DII36" s="170"/>
      <c r="DIJ36" s="170"/>
      <c r="DIK36" s="170"/>
      <c r="DIL36" s="170"/>
      <c r="DIM36" s="170"/>
      <c r="DIN36" s="170"/>
      <c r="DIO36" s="170"/>
      <c r="DIP36" s="170"/>
      <c r="DIQ36" s="170"/>
      <c r="DIR36" s="170"/>
      <c r="DIS36" s="170"/>
      <c r="DIT36" s="170"/>
      <c r="DIU36" s="170"/>
      <c r="DIV36" s="170"/>
      <c r="DIW36" s="170"/>
      <c r="DIX36" s="170"/>
      <c r="DIY36" s="170"/>
      <c r="DIZ36" s="170"/>
      <c r="DJA36" s="170"/>
      <c r="DJB36" s="170"/>
      <c r="DJC36" s="170"/>
      <c r="DJD36" s="170"/>
      <c r="DJE36" s="170"/>
      <c r="DJF36" s="170"/>
      <c r="DJG36" s="170"/>
      <c r="DJH36" s="170"/>
      <c r="DJI36" s="170"/>
      <c r="DJJ36" s="170"/>
      <c r="DJK36" s="170"/>
      <c r="DJL36" s="170"/>
      <c r="DJM36" s="170"/>
      <c r="DJN36" s="170"/>
      <c r="DJO36" s="170"/>
      <c r="DJP36" s="170"/>
      <c r="DJQ36" s="170"/>
      <c r="DJR36" s="170"/>
      <c r="DJS36" s="170"/>
      <c r="DJT36" s="170"/>
      <c r="DJU36" s="170"/>
      <c r="DJV36" s="170"/>
      <c r="DJW36" s="170"/>
      <c r="DJX36" s="170"/>
      <c r="DJY36" s="170"/>
      <c r="DJZ36" s="170"/>
      <c r="DKA36" s="170"/>
      <c r="DKB36" s="170"/>
      <c r="DKC36" s="170"/>
      <c r="DKD36" s="170"/>
      <c r="DKE36" s="170"/>
      <c r="DKF36" s="170"/>
      <c r="DKG36" s="170"/>
      <c r="DKH36" s="170"/>
      <c r="DKI36" s="170"/>
      <c r="DKJ36" s="170"/>
      <c r="DKK36" s="170"/>
      <c r="DKL36" s="170"/>
      <c r="DKM36" s="170"/>
      <c r="DKN36" s="170"/>
      <c r="DKO36" s="170"/>
      <c r="DKP36" s="170"/>
      <c r="DKQ36" s="170"/>
      <c r="DKR36" s="170"/>
      <c r="DKS36" s="170"/>
      <c r="DKT36" s="170"/>
      <c r="DKU36" s="170"/>
      <c r="DKV36" s="170"/>
      <c r="DKW36" s="170"/>
      <c r="DKX36" s="170"/>
      <c r="DKY36" s="170"/>
      <c r="DKZ36" s="170"/>
      <c r="DLA36" s="170"/>
      <c r="DLB36" s="170"/>
      <c r="DLC36" s="170"/>
      <c r="DLD36" s="170"/>
      <c r="DLE36" s="170"/>
      <c r="DLF36" s="170"/>
      <c r="DLG36" s="170"/>
      <c r="DLH36" s="170"/>
      <c r="DLI36" s="170"/>
      <c r="DLJ36" s="170"/>
      <c r="DLK36" s="170"/>
      <c r="DLL36" s="170"/>
      <c r="DLM36" s="170"/>
      <c r="DLN36" s="170"/>
      <c r="DLO36" s="170"/>
      <c r="DLP36" s="170"/>
      <c r="DLQ36" s="170"/>
      <c r="DLR36" s="170"/>
      <c r="DLS36" s="170"/>
      <c r="DLT36" s="170"/>
      <c r="DLU36" s="170"/>
      <c r="DLV36" s="170"/>
      <c r="DLW36" s="170"/>
      <c r="DLX36" s="170"/>
      <c r="DLY36" s="170"/>
      <c r="DLZ36" s="170"/>
      <c r="DMA36" s="170"/>
      <c r="DMB36" s="170"/>
      <c r="DMC36" s="170"/>
      <c r="DMD36" s="170"/>
      <c r="DME36" s="170"/>
      <c r="DMF36" s="170"/>
      <c r="DMG36" s="170"/>
      <c r="DMH36" s="170"/>
      <c r="DMI36" s="170"/>
      <c r="DMJ36" s="170"/>
      <c r="DMK36" s="170"/>
      <c r="DML36" s="170"/>
      <c r="DMM36" s="170"/>
      <c r="DMN36" s="170"/>
      <c r="DMO36" s="170"/>
      <c r="DMP36" s="170"/>
      <c r="DMQ36" s="170"/>
      <c r="DMR36" s="170"/>
      <c r="DMS36" s="170"/>
      <c r="DMT36" s="170"/>
      <c r="DMU36" s="170"/>
      <c r="DMV36" s="170"/>
      <c r="DMW36" s="170"/>
      <c r="DMX36" s="170"/>
      <c r="DMY36" s="170"/>
      <c r="DMZ36" s="170"/>
      <c r="DNA36" s="170"/>
      <c r="DNB36" s="170"/>
      <c r="DNC36" s="170"/>
      <c r="DND36" s="170"/>
      <c r="DNE36" s="170"/>
      <c r="DNF36" s="170"/>
      <c r="DNG36" s="170"/>
      <c r="DNH36" s="170"/>
      <c r="DNI36" s="170"/>
      <c r="DNJ36" s="170"/>
      <c r="DNK36" s="170"/>
      <c r="DNL36" s="170"/>
      <c r="DNM36" s="170"/>
      <c r="DNN36" s="170"/>
      <c r="DNO36" s="170"/>
      <c r="DNP36" s="170"/>
      <c r="DNQ36" s="170"/>
      <c r="DNR36" s="170"/>
      <c r="DNS36" s="170"/>
      <c r="DNT36" s="170"/>
      <c r="DNU36" s="170"/>
      <c r="DNV36" s="170"/>
      <c r="DNW36" s="170"/>
      <c r="DNX36" s="170"/>
      <c r="DNY36" s="170"/>
      <c r="DNZ36" s="170"/>
      <c r="DOA36" s="170"/>
      <c r="DOB36" s="170"/>
      <c r="DOC36" s="170"/>
      <c r="DOD36" s="170"/>
      <c r="DOE36" s="170"/>
      <c r="DOF36" s="170"/>
      <c r="DOG36" s="170"/>
      <c r="DOH36" s="170"/>
      <c r="DOI36" s="170"/>
      <c r="DOJ36" s="170"/>
      <c r="DOK36" s="170"/>
      <c r="DOL36" s="170"/>
      <c r="DOM36" s="170"/>
      <c r="DON36" s="170"/>
      <c r="DOO36" s="170"/>
      <c r="DOP36" s="170"/>
      <c r="DOQ36" s="170"/>
      <c r="DOR36" s="170"/>
      <c r="DOS36" s="170"/>
      <c r="DOT36" s="170"/>
      <c r="DOU36" s="170"/>
      <c r="DOV36" s="170"/>
      <c r="DOW36" s="170"/>
      <c r="DOX36" s="170"/>
      <c r="DOY36" s="170"/>
      <c r="DOZ36" s="170"/>
      <c r="DPA36" s="170"/>
      <c r="DPB36" s="170"/>
      <c r="DPC36" s="170"/>
      <c r="DPD36" s="170"/>
      <c r="DPE36" s="170"/>
      <c r="DPF36" s="170"/>
      <c r="DPG36" s="170"/>
      <c r="DPH36" s="170"/>
      <c r="DPI36" s="170"/>
      <c r="DPJ36" s="170"/>
      <c r="DPK36" s="170"/>
      <c r="DPL36" s="170"/>
      <c r="DPM36" s="170"/>
      <c r="DPN36" s="170"/>
      <c r="DPO36" s="170"/>
      <c r="DPP36" s="170"/>
      <c r="DPQ36" s="170"/>
      <c r="DPR36" s="170"/>
      <c r="DPS36" s="170"/>
      <c r="DPT36" s="170"/>
      <c r="DPU36" s="170"/>
      <c r="DPV36" s="170"/>
      <c r="DPW36" s="170"/>
      <c r="DPX36" s="170"/>
      <c r="DPY36" s="170"/>
      <c r="DPZ36" s="170"/>
      <c r="DQA36" s="170"/>
      <c r="DQB36" s="170"/>
      <c r="DQC36" s="170"/>
      <c r="DQD36" s="170"/>
      <c r="DQE36" s="170"/>
      <c r="DQF36" s="170"/>
      <c r="DQG36" s="170"/>
      <c r="DQH36" s="170"/>
      <c r="DQI36" s="170"/>
      <c r="DQJ36" s="170"/>
      <c r="DQK36" s="170"/>
      <c r="DQL36" s="170"/>
      <c r="DQM36" s="170"/>
      <c r="DQN36" s="170"/>
      <c r="DQO36" s="170"/>
      <c r="DQP36" s="170"/>
      <c r="DQQ36" s="170"/>
      <c r="DQR36" s="170"/>
      <c r="DQS36" s="170"/>
      <c r="DQT36" s="170"/>
      <c r="DQU36" s="170"/>
      <c r="DQV36" s="170"/>
      <c r="DQW36" s="170"/>
      <c r="DQX36" s="170"/>
      <c r="DQY36" s="170"/>
      <c r="DQZ36" s="170"/>
      <c r="DRA36" s="170"/>
      <c r="DRB36" s="170"/>
      <c r="DRC36" s="170"/>
      <c r="DRD36" s="170"/>
      <c r="DRE36" s="170"/>
      <c r="DRF36" s="170"/>
      <c r="DRG36" s="170"/>
      <c r="DRH36" s="170"/>
      <c r="DRI36" s="170"/>
      <c r="DRJ36" s="170"/>
      <c r="DRK36" s="170"/>
      <c r="DRL36" s="170"/>
      <c r="DRM36" s="170"/>
      <c r="DRN36" s="170"/>
      <c r="DRO36" s="170"/>
      <c r="DRP36" s="170"/>
      <c r="DRQ36" s="170"/>
      <c r="DRR36" s="170"/>
      <c r="DRS36" s="170"/>
      <c r="DRT36" s="170"/>
      <c r="DRU36" s="170"/>
      <c r="DRV36" s="170"/>
      <c r="DRW36" s="170"/>
      <c r="DRX36" s="170"/>
      <c r="DRY36" s="170"/>
      <c r="DRZ36" s="170"/>
      <c r="DSA36" s="170"/>
      <c r="DSB36" s="170"/>
      <c r="DSC36" s="170"/>
      <c r="DSD36" s="170"/>
      <c r="DSE36" s="170"/>
      <c r="DSF36" s="170"/>
      <c r="DSG36" s="170"/>
      <c r="DSH36" s="170"/>
      <c r="DSI36" s="170"/>
      <c r="DSJ36" s="170"/>
      <c r="DSK36" s="170"/>
      <c r="DSL36" s="170"/>
      <c r="DSM36" s="170"/>
      <c r="DSN36" s="170"/>
      <c r="DSO36" s="170"/>
      <c r="DSP36" s="170"/>
      <c r="DSQ36" s="170"/>
      <c r="DSR36" s="170"/>
      <c r="DSS36" s="170"/>
      <c r="DST36" s="170"/>
      <c r="DSU36" s="170"/>
      <c r="DSV36" s="170"/>
      <c r="DSW36" s="170"/>
      <c r="DSX36" s="170"/>
      <c r="DSY36" s="170"/>
      <c r="DSZ36" s="170"/>
      <c r="DTA36" s="170"/>
      <c r="DTB36" s="170"/>
      <c r="DTC36" s="170"/>
      <c r="DTD36" s="170"/>
      <c r="DTE36" s="170"/>
      <c r="DTF36" s="170"/>
      <c r="DTG36" s="170"/>
      <c r="DTH36" s="170"/>
      <c r="DTI36" s="170"/>
      <c r="DTJ36" s="170"/>
      <c r="DTK36" s="170"/>
      <c r="DTL36" s="170"/>
      <c r="DTM36" s="170"/>
      <c r="DTN36" s="170"/>
      <c r="DTO36" s="170"/>
      <c r="DTP36" s="170"/>
      <c r="DTQ36" s="170"/>
      <c r="DTR36" s="170"/>
      <c r="DTS36" s="170"/>
      <c r="DTT36" s="170"/>
      <c r="DTU36" s="170"/>
      <c r="DTV36" s="170"/>
      <c r="DTW36" s="170"/>
      <c r="DTX36" s="170"/>
      <c r="DTY36" s="170"/>
      <c r="DTZ36" s="170"/>
      <c r="DUA36" s="170"/>
      <c r="DUB36" s="170"/>
      <c r="DUC36" s="170"/>
      <c r="DUD36" s="170"/>
      <c r="DUE36" s="170"/>
      <c r="DUF36" s="170"/>
      <c r="DUG36" s="170"/>
      <c r="DUH36" s="170"/>
      <c r="DUI36" s="170"/>
      <c r="DUJ36" s="170"/>
      <c r="DUK36" s="170"/>
      <c r="DUL36" s="170"/>
      <c r="DUM36" s="170"/>
      <c r="DUN36" s="170"/>
      <c r="DUO36" s="170"/>
      <c r="DUP36" s="170"/>
      <c r="DUQ36" s="170"/>
      <c r="DUR36" s="170"/>
      <c r="DUS36" s="170"/>
      <c r="DUT36" s="170"/>
      <c r="DUU36" s="170"/>
      <c r="DUV36" s="170"/>
      <c r="DUW36" s="170"/>
      <c r="DUX36" s="170"/>
      <c r="DUY36" s="170"/>
      <c r="DUZ36" s="170"/>
      <c r="DVA36" s="170"/>
      <c r="DVB36" s="170"/>
      <c r="DVC36" s="170"/>
      <c r="DVD36" s="170"/>
      <c r="DVE36" s="170"/>
      <c r="DVF36" s="170"/>
      <c r="DVG36" s="170"/>
      <c r="DVH36" s="170"/>
      <c r="DVI36" s="170"/>
      <c r="DVJ36" s="170"/>
      <c r="DVK36" s="170"/>
      <c r="DVL36" s="170"/>
      <c r="DVM36" s="170"/>
      <c r="DVN36" s="170"/>
      <c r="DVO36" s="170"/>
      <c r="DVP36" s="170"/>
      <c r="DVQ36" s="170"/>
      <c r="DVR36" s="170"/>
      <c r="DVS36" s="170"/>
      <c r="DVT36" s="170"/>
      <c r="DVU36" s="170"/>
      <c r="DVV36" s="170"/>
      <c r="DVW36" s="170"/>
      <c r="DVX36" s="170"/>
      <c r="DVY36" s="170"/>
      <c r="DVZ36" s="170"/>
      <c r="DWA36" s="170"/>
      <c r="DWB36" s="170"/>
      <c r="DWC36" s="170"/>
      <c r="DWD36" s="170"/>
      <c r="DWE36" s="170"/>
      <c r="DWF36" s="170"/>
      <c r="DWG36" s="170"/>
      <c r="DWH36" s="170"/>
      <c r="DWI36" s="170"/>
      <c r="DWJ36" s="170"/>
      <c r="DWK36" s="170"/>
      <c r="DWL36" s="170"/>
      <c r="DWM36" s="170"/>
      <c r="DWN36" s="170"/>
      <c r="DWO36" s="170"/>
      <c r="DWP36" s="170"/>
      <c r="DWQ36" s="170"/>
      <c r="DWR36" s="170"/>
      <c r="DWS36" s="170"/>
      <c r="DWT36" s="170"/>
      <c r="DWU36" s="170"/>
      <c r="DWV36" s="170"/>
      <c r="DWW36" s="170"/>
      <c r="DWX36" s="170"/>
      <c r="DWY36" s="170"/>
      <c r="DWZ36" s="170"/>
      <c r="DXA36" s="170"/>
      <c r="DXB36" s="170"/>
      <c r="DXC36" s="170"/>
      <c r="DXD36" s="170"/>
      <c r="DXE36" s="170"/>
      <c r="DXF36" s="170"/>
      <c r="DXG36" s="170"/>
      <c r="DXH36" s="170"/>
      <c r="DXI36" s="170"/>
      <c r="DXJ36" s="170"/>
      <c r="DXK36" s="170"/>
      <c r="DXL36" s="170"/>
      <c r="DXM36" s="170"/>
      <c r="DXN36" s="170"/>
      <c r="DXO36" s="170"/>
      <c r="DXP36" s="170"/>
      <c r="DXQ36" s="170"/>
      <c r="DXR36" s="170"/>
      <c r="DXS36" s="170"/>
      <c r="DXT36" s="170"/>
      <c r="DXU36" s="170"/>
      <c r="DXV36" s="170"/>
      <c r="DXW36" s="170"/>
      <c r="DXX36" s="170"/>
      <c r="DXY36" s="170"/>
      <c r="DXZ36" s="170"/>
      <c r="DYA36" s="170"/>
      <c r="DYB36" s="170"/>
      <c r="DYC36" s="170"/>
      <c r="DYD36" s="170"/>
      <c r="DYE36" s="170"/>
      <c r="DYF36" s="170"/>
      <c r="DYG36" s="170"/>
      <c r="DYH36" s="170"/>
      <c r="DYI36" s="170"/>
      <c r="DYJ36" s="170"/>
      <c r="DYK36" s="170"/>
      <c r="DYL36" s="170"/>
      <c r="DYM36" s="170"/>
      <c r="DYN36" s="170"/>
      <c r="DYO36" s="170"/>
      <c r="DYP36" s="170"/>
      <c r="DYQ36" s="170"/>
      <c r="DYR36" s="170"/>
      <c r="DYS36" s="170"/>
      <c r="DYT36" s="170"/>
      <c r="DYU36" s="170"/>
      <c r="DYV36" s="170"/>
      <c r="DYW36" s="170"/>
      <c r="DYX36" s="170"/>
      <c r="DYY36" s="170"/>
      <c r="DYZ36" s="170"/>
      <c r="DZA36" s="170"/>
      <c r="DZB36" s="170"/>
      <c r="DZC36" s="170"/>
      <c r="DZD36" s="170"/>
      <c r="DZE36" s="170"/>
      <c r="DZF36" s="170"/>
      <c r="DZG36" s="170"/>
      <c r="DZH36" s="170"/>
      <c r="DZI36" s="170"/>
      <c r="DZJ36" s="170"/>
      <c r="DZK36" s="170"/>
      <c r="DZL36" s="170"/>
      <c r="DZM36" s="170"/>
      <c r="DZN36" s="170"/>
      <c r="DZO36" s="170"/>
      <c r="DZP36" s="170"/>
      <c r="DZQ36" s="170"/>
      <c r="DZR36" s="170"/>
      <c r="DZS36" s="170"/>
      <c r="DZT36" s="170"/>
      <c r="DZU36" s="170"/>
      <c r="DZV36" s="170"/>
      <c r="DZW36" s="170"/>
      <c r="DZX36" s="170"/>
      <c r="DZY36" s="170"/>
      <c r="DZZ36" s="170"/>
      <c r="EAA36" s="170"/>
      <c r="EAB36" s="170"/>
      <c r="EAC36" s="170"/>
      <c r="EAD36" s="170"/>
      <c r="EAE36" s="170"/>
      <c r="EAF36" s="170"/>
      <c r="EAG36" s="170"/>
      <c r="EAH36" s="170"/>
      <c r="EAI36" s="170"/>
      <c r="EAJ36" s="170"/>
      <c r="EAK36" s="170"/>
      <c r="EAL36" s="170"/>
      <c r="EAM36" s="170"/>
      <c r="EAN36" s="170"/>
      <c r="EAO36" s="170"/>
      <c r="EAP36" s="170"/>
      <c r="EAQ36" s="170"/>
      <c r="EAR36" s="170"/>
      <c r="EAS36" s="170"/>
      <c r="EAT36" s="170"/>
      <c r="EAU36" s="170"/>
      <c r="EAV36" s="170"/>
      <c r="EAW36" s="170"/>
      <c r="EAX36" s="170"/>
      <c r="EAY36" s="170"/>
      <c r="EAZ36" s="170"/>
      <c r="EBA36" s="170"/>
      <c r="EBB36" s="170"/>
      <c r="EBC36" s="170"/>
      <c r="EBD36" s="170"/>
      <c r="EBE36" s="170"/>
      <c r="EBF36" s="170"/>
      <c r="EBG36" s="170"/>
      <c r="EBH36" s="170"/>
      <c r="EBI36" s="170"/>
      <c r="EBJ36" s="170"/>
      <c r="EBK36" s="170"/>
      <c r="EBL36" s="170"/>
      <c r="EBM36" s="170"/>
      <c r="EBN36" s="170"/>
      <c r="EBO36" s="170"/>
      <c r="EBP36" s="170"/>
      <c r="EBQ36" s="170"/>
      <c r="EBR36" s="170"/>
      <c r="EBS36" s="170"/>
      <c r="EBT36" s="170"/>
      <c r="EBU36" s="170"/>
      <c r="EBV36" s="170"/>
      <c r="EBW36" s="170"/>
      <c r="EBX36" s="170"/>
      <c r="EBY36" s="170"/>
      <c r="EBZ36" s="170"/>
      <c r="ECA36" s="170"/>
      <c r="ECB36" s="170"/>
      <c r="ECC36" s="170"/>
      <c r="ECD36" s="170"/>
      <c r="ECE36" s="170"/>
      <c r="ECF36" s="170"/>
      <c r="ECG36" s="170"/>
      <c r="ECH36" s="170"/>
      <c r="ECI36" s="170"/>
      <c r="ECJ36" s="170"/>
      <c r="ECK36" s="170"/>
      <c r="ECL36" s="170"/>
      <c r="ECM36" s="170"/>
      <c r="ECN36" s="170"/>
      <c r="ECO36" s="170"/>
      <c r="ECP36" s="170"/>
      <c r="ECQ36" s="170"/>
      <c r="ECR36" s="170"/>
      <c r="ECS36" s="170"/>
      <c r="ECT36" s="170"/>
      <c r="ECU36" s="170"/>
      <c r="ECV36" s="170"/>
      <c r="ECW36" s="170"/>
      <c r="ECX36" s="170"/>
      <c r="ECY36" s="170"/>
      <c r="ECZ36" s="170"/>
      <c r="EDA36" s="170"/>
      <c r="EDB36" s="170"/>
      <c r="EDC36" s="170"/>
      <c r="EDD36" s="170"/>
      <c r="EDE36" s="170"/>
      <c r="EDF36" s="170"/>
      <c r="EDG36" s="170"/>
      <c r="EDH36" s="170"/>
      <c r="EDI36" s="170"/>
      <c r="EDJ36" s="170"/>
      <c r="EDK36" s="170"/>
      <c r="EDL36" s="170"/>
      <c r="EDM36" s="170"/>
      <c r="EDN36" s="170"/>
      <c r="EDO36" s="170"/>
      <c r="EDP36" s="170"/>
      <c r="EDQ36" s="170"/>
      <c r="EDR36" s="170"/>
      <c r="EDS36" s="170"/>
      <c r="EDT36" s="170"/>
      <c r="EDU36" s="170"/>
      <c r="EDV36" s="170"/>
      <c r="EDW36" s="170"/>
      <c r="EDX36" s="170"/>
      <c r="EDY36" s="170"/>
      <c r="EDZ36" s="170"/>
      <c r="EEA36" s="170"/>
      <c r="EEB36" s="170"/>
      <c r="EEC36" s="170"/>
      <c r="EED36" s="170"/>
      <c r="EEE36" s="170"/>
      <c r="EEF36" s="170"/>
      <c r="EEG36" s="170"/>
      <c r="EEH36" s="170"/>
      <c r="EEI36" s="170"/>
      <c r="EEJ36" s="170"/>
      <c r="EEK36" s="170"/>
      <c r="EEL36" s="170"/>
      <c r="EEM36" s="170"/>
      <c r="EEN36" s="170"/>
      <c r="EEO36" s="170"/>
      <c r="EEP36" s="170"/>
      <c r="EEQ36" s="170"/>
      <c r="EER36" s="170"/>
      <c r="EES36" s="170"/>
      <c r="EET36" s="170"/>
      <c r="EEU36" s="170"/>
      <c r="EEV36" s="170"/>
      <c r="EEW36" s="170"/>
      <c r="EEX36" s="170"/>
      <c r="EEY36" s="170"/>
      <c r="EEZ36" s="170"/>
      <c r="EFA36" s="170"/>
      <c r="EFB36" s="170"/>
      <c r="EFC36" s="170"/>
      <c r="EFD36" s="170"/>
      <c r="EFE36" s="170"/>
      <c r="EFF36" s="170"/>
      <c r="EFG36" s="170"/>
      <c r="EFH36" s="170"/>
      <c r="EFI36" s="170"/>
      <c r="EFJ36" s="170"/>
      <c r="EFK36" s="170"/>
      <c r="EFL36" s="170"/>
      <c r="EFM36" s="170"/>
      <c r="EFN36" s="170"/>
      <c r="EFO36" s="170"/>
      <c r="EFP36" s="170"/>
      <c r="EFQ36" s="170"/>
      <c r="EFR36" s="170"/>
      <c r="EFS36" s="170"/>
      <c r="EFT36" s="170"/>
      <c r="EFU36" s="170"/>
      <c r="EFV36" s="170"/>
      <c r="EFW36" s="170"/>
      <c r="EFX36" s="170"/>
      <c r="EFY36" s="170"/>
      <c r="EFZ36" s="170"/>
      <c r="EGA36" s="170"/>
      <c r="EGB36" s="170"/>
      <c r="EGC36" s="170"/>
      <c r="EGD36" s="170"/>
      <c r="EGE36" s="170"/>
      <c r="EGF36" s="170"/>
      <c r="EGG36" s="170"/>
      <c r="EGH36" s="170"/>
      <c r="EGI36" s="170"/>
      <c r="EGJ36" s="170"/>
      <c r="EGK36" s="170"/>
      <c r="EGL36" s="170"/>
      <c r="EGM36" s="170"/>
      <c r="EGN36" s="170"/>
      <c r="EGO36" s="170"/>
      <c r="EGP36" s="170"/>
      <c r="EGQ36" s="170"/>
      <c r="EGR36" s="170"/>
      <c r="EGS36" s="170"/>
      <c r="EGT36" s="170"/>
      <c r="EGU36" s="170"/>
      <c r="EGV36" s="170"/>
      <c r="EGW36" s="170"/>
      <c r="EGX36" s="170"/>
      <c r="EGY36" s="170"/>
      <c r="EGZ36" s="170"/>
      <c r="EHA36" s="170"/>
      <c r="EHB36" s="170"/>
      <c r="EHC36" s="170"/>
      <c r="EHD36" s="170"/>
      <c r="EHE36" s="170"/>
      <c r="EHF36" s="170"/>
      <c r="EHG36" s="170"/>
      <c r="EHH36" s="170"/>
      <c r="EHI36" s="170"/>
      <c r="EHJ36" s="170"/>
      <c r="EHK36" s="170"/>
      <c r="EHL36" s="170"/>
      <c r="EHM36" s="170"/>
      <c r="EHN36" s="170"/>
      <c r="EHO36" s="170"/>
      <c r="EHP36" s="170"/>
      <c r="EHQ36" s="170"/>
      <c r="EHR36" s="170"/>
      <c r="EHS36" s="170"/>
      <c r="EHT36" s="170"/>
      <c r="EHU36" s="170"/>
      <c r="EHV36" s="170"/>
      <c r="EHW36" s="170"/>
      <c r="EHX36" s="170"/>
      <c r="EHY36" s="170"/>
      <c r="EHZ36" s="170"/>
      <c r="EIA36" s="170"/>
      <c r="EIB36" s="170"/>
      <c r="EIC36" s="170"/>
      <c r="EID36" s="170"/>
      <c r="EIE36" s="170"/>
      <c r="EIF36" s="170"/>
      <c r="EIG36" s="170"/>
      <c r="EIH36" s="170"/>
      <c r="EII36" s="170"/>
      <c r="EIJ36" s="170"/>
      <c r="EIK36" s="170"/>
      <c r="EIL36" s="170"/>
      <c r="EIM36" s="170"/>
      <c r="EIN36" s="170"/>
      <c r="EIO36" s="170"/>
      <c r="EIP36" s="170"/>
      <c r="EIQ36" s="170"/>
      <c r="EIR36" s="170"/>
      <c r="EIS36" s="170"/>
      <c r="EIT36" s="170"/>
      <c r="EIU36" s="170"/>
      <c r="EIV36" s="170"/>
      <c r="EIW36" s="170"/>
      <c r="EIX36" s="170"/>
      <c r="EIY36" s="170"/>
      <c r="EIZ36" s="170"/>
      <c r="EJA36" s="170"/>
      <c r="EJB36" s="170"/>
      <c r="EJC36" s="170"/>
      <c r="EJD36" s="170"/>
      <c r="EJE36" s="170"/>
      <c r="EJF36" s="170"/>
      <c r="EJG36" s="170"/>
      <c r="EJH36" s="170"/>
      <c r="EJI36" s="170"/>
      <c r="EJJ36" s="170"/>
      <c r="EJK36" s="170"/>
      <c r="EJL36" s="170"/>
      <c r="EJM36" s="170"/>
      <c r="EJN36" s="170"/>
      <c r="EJO36" s="170"/>
      <c r="EJP36" s="170"/>
      <c r="EJQ36" s="170"/>
      <c r="EJR36" s="170"/>
      <c r="EJS36" s="170"/>
      <c r="EJT36" s="170"/>
      <c r="EJU36" s="170"/>
      <c r="EJV36" s="170"/>
      <c r="EJW36" s="170"/>
      <c r="EJX36" s="170"/>
      <c r="EJY36" s="170"/>
      <c r="EJZ36" s="170"/>
      <c r="EKA36" s="170"/>
      <c r="EKB36" s="170"/>
      <c r="EKC36" s="170"/>
      <c r="EKD36" s="170"/>
      <c r="EKE36" s="170"/>
      <c r="EKF36" s="170"/>
      <c r="EKG36" s="170"/>
      <c r="EKH36" s="170"/>
      <c r="EKI36" s="170"/>
      <c r="EKJ36" s="170"/>
      <c r="EKK36" s="170"/>
      <c r="EKL36" s="170"/>
      <c r="EKM36" s="170"/>
      <c r="EKN36" s="170"/>
      <c r="EKO36" s="170"/>
      <c r="EKP36" s="170"/>
      <c r="EKQ36" s="170"/>
      <c r="EKR36" s="170"/>
      <c r="EKS36" s="170"/>
      <c r="EKT36" s="170"/>
      <c r="EKU36" s="170"/>
      <c r="EKV36" s="170"/>
      <c r="EKW36" s="170"/>
      <c r="EKX36" s="170"/>
      <c r="EKY36" s="170"/>
      <c r="EKZ36" s="170"/>
      <c r="ELA36" s="170"/>
      <c r="ELB36" s="170"/>
      <c r="ELC36" s="170"/>
      <c r="ELD36" s="170"/>
      <c r="ELE36" s="170"/>
      <c r="ELF36" s="170"/>
      <c r="ELG36" s="170"/>
      <c r="ELH36" s="170"/>
      <c r="ELI36" s="170"/>
      <c r="ELJ36" s="170"/>
      <c r="ELK36" s="170"/>
      <c r="ELL36" s="170"/>
      <c r="ELM36" s="170"/>
      <c r="ELN36" s="170"/>
      <c r="ELO36" s="170"/>
      <c r="ELP36" s="170"/>
      <c r="ELQ36" s="170"/>
      <c r="ELR36" s="170"/>
      <c r="ELS36" s="170"/>
      <c r="ELT36" s="170"/>
      <c r="ELU36" s="170"/>
      <c r="ELV36" s="170"/>
      <c r="ELW36" s="170"/>
      <c r="ELX36" s="170"/>
      <c r="ELY36" s="170"/>
      <c r="ELZ36" s="170"/>
      <c r="EMA36" s="170"/>
      <c r="EMB36" s="170"/>
      <c r="EMC36" s="170"/>
      <c r="EMD36" s="170"/>
      <c r="EME36" s="170"/>
      <c r="EMF36" s="170"/>
      <c r="EMG36" s="170"/>
      <c r="EMH36" s="170"/>
      <c r="EMI36" s="170"/>
      <c r="EMJ36" s="170"/>
      <c r="EMK36" s="170"/>
      <c r="EML36" s="170"/>
      <c r="EMM36" s="170"/>
      <c r="EMN36" s="170"/>
      <c r="EMO36" s="170"/>
      <c r="EMP36" s="170"/>
      <c r="EMQ36" s="170"/>
      <c r="EMR36" s="170"/>
      <c r="EMS36" s="170"/>
      <c r="EMT36" s="170"/>
      <c r="EMU36" s="170"/>
      <c r="EMV36" s="170"/>
      <c r="EMW36" s="170"/>
      <c r="EMX36" s="170"/>
      <c r="EMY36" s="170"/>
      <c r="EMZ36" s="170"/>
      <c r="ENA36" s="170"/>
      <c r="ENB36" s="170"/>
      <c r="ENC36" s="170"/>
      <c r="END36" s="170"/>
      <c r="ENE36" s="170"/>
      <c r="ENF36" s="170"/>
      <c r="ENG36" s="170"/>
      <c r="ENH36" s="170"/>
      <c r="ENI36" s="170"/>
      <c r="ENJ36" s="170"/>
      <c r="ENK36" s="170"/>
      <c r="ENL36" s="170"/>
      <c r="ENM36" s="170"/>
      <c r="ENN36" s="170"/>
      <c r="ENO36" s="170"/>
      <c r="ENP36" s="170"/>
      <c r="ENQ36" s="170"/>
      <c r="ENR36" s="170"/>
      <c r="ENS36" s="170"/>
      <c r="ENT36" s="170"/>
      <c r="ENU36" s="170"/>
      <c r="ENV36" s="170"/>
      <c r="ENW36" s="170"/>
      <c r="ENX36" s="170"/>
      <c r="ENY36" s="170"/>
      <c r="ENZ36" s="170"/>
      <c r="EOA36" s="170"/>
      <c r="EOB36" s="170"/>
      <c r="EOC36" s="170"/>
      <c r="EOD36" s="170"/>
      <c r="EOE36" s="170"/>
      <c r="EOF36" s="170"/>
      <c r="EOG36" s="170"/>
      <c r="EOH36" s="170"/>
      <c r="EOI36" s="170"/>
      <c r="EOJ36" s="170"/>
      <c r="EOK36" s="170"/>
      <c r="EOL36" s="170"/>
      <c r="EOM36" s="170"/>
      <c r="EON36" s="170"/>
      <c r="EOO36" s="170"/>
      <c r="EOP36" s="170"/>
      <c r="EOQ36" s="170"/>
      <c r="EOR36" s="170"/>
      <c r="EOS36" s="170"/>
      <c r="EOT36" s="170"/>
      <c r="EOU36" s="170"/>
      <c r="EOV36" s="170"/>
      <c r="EOW36" s="170"/>
      <c r="EOX36" s="170"/>
      <c r="EOY36" s="170"/>
      <c r="EOZ36" s="170"/>
      <c r="EPA36" s="170"/>
      <c r="EPB36" s="170"/>
      <c r="EPC36" s="170"/>
      <c r="EPD36" s="170"/>
      <c r="EPE36" s="170"/>
      <c r="EPF36" s="170"/>
      <c r="EPG36" s="170"/>
      <c r="EPH36" s="170"/>
      <c r="EPI36" s="170"/>
      <c r="EPJ36" s="170"/>
      <c r="EPK36" s="170"/>
      <c r="EPL36" s="170"/>
      <c r="EPM36" s="170"/>
      <c r="EPN36" s="170"/>
      <c r="EPO36" s="170"/>
      <c r="EPP36" s="170"/>
      <c r="EPQ36" s="170"/>
      <c r="EPR36" s="170"/>
      <c r="EPS36" s="170"/>
      <c r="EPT36" s="170"/>
      <c r="EPU36" s="170"/>
      <c r="EPV36" s="170"/>
      <c r="EPW36" s="170"/>
      <c r="EPX36" s="170"/>
      <c r="EPY36" s="170"/>
      <c r="EPZ36" s="170"/>
      <c r="EQA36" s="170"/>
      <c r="EQB36" s="170"/>
      <c r="EQC36" s="170"/>
      <c r="EQD36" s="170"/>
      <c r="EQE36" s="170"/>
      <c r="EQF36" s="170"/>
      <c r="EQG36" s="170"/>
      <c r="EQH36" s="170"/>
      <c r="EQI36" s="170"/>
      <c r="EQJ36" s="170"/>
      <c r="EQK36" s="170"/>
      <c r="EQL36" s="170"/>
      <c r="EQM36" s="170"/>
      <c r="EQN36" s="170"/>
      <c r="EQO36" s="170"/>
      <c r="EQP36" s="170"/>
      <c r="EQQ36" s="170"/>
      <c r="EQR36" s="170"/>
      <c r="EQS36" s="170"/>
      <c r="EQT36" s="170"/>
      <c r="EQU36" s="170"/>
      <c r="EQV36" s="170"/>
      <c r="EQW36" s="170"/>
      <c r="EQX36" s="170"/>
      <c r="EQY36" s="170"/>
      <c r="EQZ36" s="170"/>
      <c r="ERA36" s="170"/>
      <c r="ERB36" s="170"/>
      <c r="ERC36" s="170"/>
      <c r="ERD36" s="170"/>
      <c r="ERE36" s="170"/>
      <c r="ERF36" s="170"/>
      <c r="ERG36" s="170"/>
      <c r="ERH36" s="170"/>
      <c r="ERI36" s="170"/>
      <c r="ERJ36" s="170"/>
      <c r="ERK36" s="170"/>
      <c r="ERL36" s="170"/>
      <c r="ERM36" s="170"/>
      <c r="ERN36" s="170"/>
      <c r="ERO36" s="170"/>
      <c r="ERP36" s="170"/>
      <c r="ERQ36" s="170"/>
      <c r="ERR36" s="170"/>
      <c r="ERS36" s="170"/>
      <c r="ERT36" s="170"/>
      <c r="ERU36" s="170"/>
      <c r="ERV36" s="170"/>
      <c r="ERW36" s="170"/>
      <c r="ERX36" s="170"/>
      <c r="ERY36" s="170"/>
      <c r="ERZ36" s="170"/>
      <c r="ESA36" s="170"/>
      <c r="ESB36" s="170"/>
      <c r="ESC36" s="170"/>
      <c r="ESD36" s="170"/>
      <c r="ESE36" s="170"/>
      <c r="ESF36" s="170"/>
      <c r="ESG36" s="170"/>
      <c r="ESH36" s="170"/>
      <c r="ESI36" s="170"/>
      <c r="ESJ36" s="170"/>
      <c r="ESK36" s="170"/>
      <c r="ESL36" s="170"/>
      <c r="ESM36" s="170"/>
      <c r="ESN36" s="170"/>
      <c r="ESO36" s="170"/>
      <c r="ESP36" s="170"/>
      <c r="ESQ36" s="170"/>
      <c r="ESR36" s="170"/>
      <c r="ESS36" s="170"/>
      <c r="EST36" s="170"/>
      <c r="ESU36" s="170"/>
      <c r="ESV36" s="170"/>
      <c r="ESW36" s="170"/>
      <c r="ESX36" s="170"/>
      <c r="ESY36" s="170"/>
      <c r="ESZ36" s="170"/>
      <c r="ETA36" s="170"/>
      <c r="ETB36" s="170"/>
      <c r="ETC36" s="170"/>
      <c r="ETD36" s="170"/>
      <c r="ETE36" s="170"/>
      <c r="ETF36" s="170"/>
      <c r="ETG36" s="170"/>
      <c r="ETH36" s="170"/>
      <c r="ETI36" s="170"/>
      <c r="ETJ36" s="170"/>
      <c r="ETK36" s="170"/>
      <c r="ETL36" s="170"/>
      <c r="ETM36" s="170"/>
      <c r="ETN36" s="170"/>
      <c r="ETO36" s="170"/>
      <c r="ETP36" s="170"/>
      <c r="ETQ36" s="170"/>
      <c r="ETR36" s="170"/>
      <c r="ETS36" s="170"/>
      <c r="ETT36" s="170"/>
      <c r="ETU36" s="170"/>
      <c r="ETV36" s="170"/>
      <c r="ETW36" s="170"/>
      <c r="ETX36" s="170"/>
      <c r="ETY36" s="170"/>
      <c r="ETZ36" s="170"/>
      <c r="EUA36" s="170"/>
      <c r="EUB36" s="170"/>
      <c r="EUC36" s="170"/>
      <c r="EUD36" s="170"/>
      <c r="EUE36" s="170"/>
      <c r="EUF36" s="170"/>
      <c r="EUG36" s="170"/>
      <c r="EUH36" s="170"/>
      <c r="EUI36" s="170"/>
      <c r="EUJ36" s="170"/>
      <c r="EUK36" s="170"/>
      <c r="EUL36" s="170"/>
      <c r="EUM36" s="170"/>
      <c r="EUN36" s="170"/>
      <c r="EUO36" s="170"/>
      <c r="EUP36" s="170"/>
      <c r="EUQ36" s="170"/>
      <c r="EUR36" s="170"/>
      <c r="EUS36" s="170"/>
      <c r="EUT36" s="170"/>
      <c r="EUU36" s="170"/>
      <c r="EUV36" s="170"/>
      <c r="EUW36" s="170"/>
      <c r="EUX36" s="170"/>
      <c r="EUY36" s="170"/>
      <c r="EUZ36" s="170"/>
      <c r="EVA36" s="170"/>
      <c r="EVB36" s="170"/>
      <c r="EVC36" s="170"/>
      <c r="EVD36" s="170"/>
      <c r="EVE36" s="170"/>
      <c r="EVF36" s="170"/>
      <c r="EVG36" s="170"/>
      <c r="EVH36" s="170"/>
      <c r="EVI36" s="170"/>
      <c r="EVJ36" s="170"/>
      <c r="EVK36" s="170"/>
      <c r="EVL36" s="170"/>
      <c r="EVM36" s="170"/>
      <c r="EVN36" s="170"/>
      <c r="EVO36" s="170"/>
      <c r="EVP36" s="170"/>
      <c r="EVQ36" s="170"/>
      <c r="EVR36" s="170"/>
      <c r="EVS36" s="170"/>
      <c r="EVT36" s="170"/>
      <c r="EVU36" s="170"/>
      <c r="EVV36" s="170"/>
      <c r="EVW36" s="170"/>
      <c r="EVX36" s="170"/>
      <c r="EVY36" s="170"/>
      <c r="EVZ36" s="170"/>
      <c r="EWA36" s="170"/>
      <c r="EWB36" s="170"/>
      <c r="EWC36" s="170"/>
      <c r="EWD36" s="170"/>
      <c r="EWE36" s="170"/>
      <c r="EWF36" s="170"/>
      <c r="EWG36" s="170"/>
      <c r="EWH36" s="170"/>
      <c r="EWI36" s="170"/>
      <c r="EWJ36" s="170"/>
      <c r="EWK36" s="170"/>
      <c r="EWL36" s="170"/>
      <c r="EWM36" s="170"/>
      <c r="EWN36" s="170"/>
      <c r="EWO36" s="170"/>
      <c r="EWP36" s="170"/>
      <c r="EWQ36" s="170"/>
      <c r="EWR36" s="170"/>
      <c r="EWS36" s="170"/>
      <c r="EWT36" s="170"/>
      <c r="EWU36" s="170"/>
      <c r="EWV36" s="170"/>
      <c r="EWW36" s="170"/>
      <c r="EWX36" s="170"/>
      <c r="EWY36" s="170"/>
      <c r="EWZ36" s="170"/>
      <c r="EXA36" s="170"/>
      <c r="EXB36" s="170"/>
      <c r="EXC36" s="170"/>
      <c r="EXD36" s="170"/>
      <c r="EXE36" s="170"/>
      <c r="EXF36" s="170"/>
      <c r="EXG36" s="170"/>
      <c r="EXH36" s="170"/>
      <c r="EXI36" s="170"/>
      <c r="EXJ36" s="170"/>
      <c r="EXK36" s="170"/>
      <c r="EXL36" s="170"/>
      <c r="EXM36" s="170"/>
      <c r="EXN36" s="170"/>
      <c r="EXO36" s="170"/>
      <c r="EXP36" s="170"/>
      <c r="EXQ36" s="170"/>
      <c r="EXR36" s="170"/>
      <c r="EXS36" s="170"/>
      <c r="EXT36" s="170"/>
      <c r="EXU36" s="170"/>
      <c r="EXV36" s="170"/>
      <c r="EXW36" s="170"/>
      <c r="EXX36" s="170"/>
      <c r="EXY36" s="170"/>
      <c r="EXZ36" s="170"/>
      <c r="EYA36" s="170"/>
      <c r="EYB36" s="170"/>
      <c r="EYC36" s="170"/>
      <c r="EYD36" s="170"/>
      <c r="EYE36" s="170"/>
      <c r="EYF36" s="170"/>
      <c r="EYG36" s="170"/>
      <c r="EYH36" s="170"/>
      <c r="EYI36" s="170"/>
      <c r="EYJ36" s="170"/>
      <c r="EYK36" s="170"/>
      <c r="EYL36" s="170"/>
      <c r="EYM36" s="170"/>
      <c r="EYN36" s="170"/>
      <c r="EYO36" s="170"/>
      <c r="EYP36" s="170"/>
      <c r="EYQ36" s="170"/>
      <c r="EYR36" s="170"/>
      <c r="EYS36" s="170"/>
      <c r="EYT36" s="170"/>
      <c r="EYU36" s="170"/>
      <c r="EYV36" s="170"/>
      <c r="EYW36" s="170"/>
      <c r="EYX36" s="170"/>
      <c r="EYY36" s="170"/>
      <c r="EYZ36" s="170"/>
      <c r="EZA36" s="170"/>
      <c r="EZB36" s="170"/>
      <c r="EZC36" s="170"/>
      <c r="EZD36" s="170"/>
      <c r="EZE36" s="170"/>
      <c r="EZF36" s="170"/>
      <c r="EZG36" s="170"/>
      <c r="EZH36" s="170"/>
      <c r="EZI36" s="170"/>
      <c r="EZJ36" s="170"/>
      <c r="EZK36" s="170"/>
      <c r="EZL36" s="170"/>
      <c r="EZM36" s="170"/>
      <c r="EZN36" s="170"/>
      <c r="EZO36" s="170"/>
      <c r="EZP36" s="170"/>
      <c r="EZQ36" s="170"/>
      <c r="EZR36" s="170"/>
      <c r="EZS36" s="170"/>
      <c r="EZT36" s="170"/>
      <c r="EZU36" s="170"/>
      <c r="EZV36" s="170"/>
      <c r="EZW36" s="170"/>
      <c r="EZX36" s="170"/>
      <c r="EZY36" s="170"/>
      <c r="EZZ36" s="170"/>
      <c r="FAA36" s="170"/>
      <c r="FAB36" s="170"/>
      <c r="FAC36" s="170"/>
      <c r="FAD36" s="170"/>
      <c r="FAE36" s="170"/>
      <c r="FAF36" s="170"/>
      <c r="FAG36" s="170"/>
      <c r="FAH36" s="170"/>
      <c r="FAI36" s="170"/>
      <c r="FAJ36" s="170"/>
      <c r="FAK36" s="170"/>
      <c r="FAL36" s="170"/>
      <c r="FAM36" s="170"/>
      <c r="FAN36" s="170"/>
      <c r="FAO36" s="170"/>
      <c r="FAP36" s="170"/>
      <c r="FAQ36" s="170"/>
      <c r="FAR36" s="170"/>
      <c r="FAS36" s="170"/>
      <c r="FAT36" s="170"/>
      <c r="FAU36" s="170"/>
      <c r="FAV36" s="170"/>
      <c r="FAW36" s="170"/>
      <c r="FAX36" s="170"/>
      <c r="FAY36" s="170"/>
      <c r="FAZ36" s="170"/>
      <c r="FBA36" s="170"/>
      <c r="FBB36" s="170"/>
      <c r="FBC36" s="170"/>
      <c r="FBD36" s="170"/>
      <c r="FBE36" s="170"/>
      <c r="FBF36" s="170"/>
      <c r="FBG36" s="170"/>
      <c r="FBH36" s="170"/>
      <c r="FBI36" s="170"/>
      <c r="FBJ36" s="170"/>
      <c r="FBK36" s="170"/>
      <c r="FBL36" s="170"/>
      <c r="FBM36" s="170"/>
      <c r="FBN36" s="170"/>
      <c r="FBO36" s="170"/>
      <c r="FBP36" s="170"/>
      <c r="FBQ36" s="170"/>
      <c r="FBR36" s="170"/>
      <c r="FBS36" s="170"/>
      <c r="FBT36" s="170"/>
      <c r="FBU36" s="170"/>
      <c r="FBV36" s="170"/>
      <c r="FBW36" s="170"/>
      <c r="FBX36" s="170"/>
      <c r="FBY36" s="170"/>
      <c r="FBZ36" s="170"/>
      <c r="FCA36" s="170"/>
      <c r="FCB36" s="170"/>
      <c r="FCC36" s="170"/>
      <c r="FCD36" s="170"/>
      <c r="FCE36" s="170"/>
      <c r="FCF36" s="170"/>
      <c r="FCG36" s="170"/>
      <c r="FCH36" s="170"/>
      <c r="FCI36" s="170"/>
      <c r="FCJ36" s="170"/>
      <c r="FCK36" s="170"/>
      <c r="FCL36" s="170"/>
      <c r="FCM36" s="170"/>
      <c r="FCN36" s="170"/>
      <c r="FCO36" s="170"/>
      <c r="FCP36" s="170"/>
      <c r="FCQ36" s="170"/>
      <c r="FCR36" s="170"/>
      <c r="FCS36" s="170"/>
      <c r="FCT36" s="170"/>
      <c r="FCU36" s="170"/>
      <c r="FCV36" s="170"/>
      <c r="FCW36" s="170"/>
      <c r="FCX36" s="170"/>
      <c r="FCY36" s="170"/>
      <c r="FCZ36" s="170"/>
      <c r="FDA36" s="170"/>
      <c r="FDB36" s="170"/>
      <c r="FDC36" s="170"/>
      <c r="FDD36" s="170"/>
      <c r="FDE36" s="170"/>
      <c r="FDF36" s="170"/>
      <c r="FDG36" s="170"/>
      <c r="FDH36" s="170"/>
      <c r="FDI36" s="170"/>
      <c r="FDJ36" s="170"/>
      <c r="FDK36" s="170"/>
      <c r="FDL36" s="170"/>
      <c r="FDM36" s="170"/>
      <c r="FDN36" s="170"/>
      <c r="FDO36" s="170"/>
      <c r="FDP36" s="170"/>
      <c r="FDQ36" s="170"/>
      <c r="FDR36" s="170"/>
      <c r="FDS36" s="170"/>
      <c r="FDT36" s="170"/>
      <c r="FDU36" s="170"/>
      <c r="FDV36" s="170"/>
      <c r="FDW36" s="170"/>
      <c r="FDX36" s="170"/>
      <c r="FDY36" s="170"/>
      <c r="FDZ36" s="170"/>
      <c r="FEA36" s="170"/>
      <c r="FEB36" s="170"/>
      <c r="FEC36" s="170"/>
      <c r="FED36" s="170"/>
      <c r="FEE36" s="170"/>
      <c r="FEF36" s="170"/>
      <c r="FEG36" s="170"/>
      <c r="FEH36" s="170"/>
      <c r="FEI36" s="170"/>
      <c r="FEJ36" s="170"/>
      <c r="FEK36" s="170"/>
      <c r="FEL36" s="170"/>
      <c r="FEM36" s="170"/>
      <c r="FEN36" s="170"/>
      <c r="FEO36" s="170"/>
      <c r="FEP36" s="170"/>
      <c r="FEQ36" s="170"/>
      <c r="FER36" s="170"/>
      <c r="FES36" s="170"/>
      <c r="FET36" s="170"/>
      <c r="FEU36" s="170"/>
      <c r="FEV36" s="170"/>
      <c r="FEW36" s="170"/>
      <c r="FEX36" s="170"/>
      <c r="FEY36" s="170"/>
      <c r="FEZ36" s="170"/>
      <c r="FFA36" s="170"/>
      <c r="FFB36" s="170"/>
      <c r="FFC36" s="170"/>
      <c r="FFD36" s="170"/>
      <c r="FFE36" s="170"/>
      <c r="FFF36" s="170"/>
      <c r="FFG36" s="170"/>
      <c r="FFH36" s="170"/>
      <c r="FFI36" s="170"/>
      <c r="FFJ36" s="170"/>
      <c r="FFK36" s="170"/>
      <c r="FFL36" s="170"/>
      <c r="FFM36" s="170"/>
      <c r="FFN36" s="170"/>
      <c r="FFO36" s="170"/>
      <c r="FFP36" s="170"/>
      <c r="FFQ36" s="170"/>
      <c r="FFR36" s="170"/>
      <c r="FFS36" s="170"/>
      <c r="FFT36" s="170"/>
      <c r="FFU36" s="170"/>
      <c r="FFV36" s="170"/>
      <c r="FFW36" s="170"/>
      <c r="FFX36" s="170"/>
      <c r="FFY36" s="170"/>
      <c r="FFZ36" s="170"/>
      <c r="FGA36" s="170"/>
      <c r="FGB36" s="170"/>
      <c r="FGC36" s="170"/>
      <c r="FGD36" s="170"/>
      <c r="FGE36" s="170"/>
      <c r="FGF36" s="170"/>
      <c r="FGG36" s="170"/>
      <c r="FGH36" s="170"/>
      <c r="FGI36" s="170"/>
      <c r="FGJ36" s="170"/>
      <c r="FGK36" s="170"/>
      <c r="FGL36" s="170"/>
      <c r="FGM36" s="170"/>
      <c r="FGN36" s="170"/>
      <c r="FGO36" s="170"/>
      <c r="FGP36" s="170"/>
      <c r="FGQ36" s="170"/>
      <c r="FGR36" s="170"/>
      <c r="FGS36" s="170"/>
      <c r="FGT36" s="170"/>
      <c r="FGU36" s="170"/>
      <c r="FGV36" s="170"/>
      <c r="FGW36" s="170"/>
      <c r="FGX36" s="170"/>
      <c r="FGY36" s="170"/>
      <c r="FGZ36" s="170"/>
      <c r="FHA36" s="170"/>
      <c r="FHB36" s="170"/>
      <c r="FHC36" s="170"/>
      <c r="FHD36" s="170"/>
      <c r="FHE36" s="170"/>
      <c r="FHF36" s="170"/>
      <c r="FHG36" s="170"/>
      <c r="FHH36" s="170"/>
      <c r="FHI36" s="170"/>
      <c r="FHJ36" s="170"/>
      <c r="FHK36" s="170"/>
      <c r="FHL36" s="170"/>
      <c r="FHM36" s="170"/>
      <c r="FHN36" s="170"/>
      <c r="FHO36" s="170"/>
      <c r="FHP36" s="170"/>
      <c r="FHQ36" s="170"/>
      <c r="FHR36" s="170"/>
      <c r="FHS36" s="170"/>
      <c r="FHT36" s="170"/>
      <c r="FHU36" s="170"/>
      <c r="FHV36" s="170"/>
      <c r="FHW36" s="170"/>
      <c r="FHX36" s="170"/>
      <c r="FHY36" s="170"/>
      <c r="FHZ36" s="170"/>
      <c r="FIA36" s="170"/>
      <c r="FIB36" s="170"/>
      <c r="FIC36" s="170"/>
      <c r="FID36" s="170"/>
      <c r="FIE36" s="170"/>
      <c r="FIF36" s="170"/>
      <c r="FIG36" s="170"/>
      <c r="FIH36" s="170"/>
      <c r="FII36" s="170"/>
      <c r="FIJ36" s="170"/>
      <c r="FIK36" s="170"/>
      <c r="FIL36" s="170"/>
      <c r="FIM36" s="170"/>
      <c r="FIN36" s="170"/>
      <c r="FIO36" s="170"/>
      <c r="FIP36" s="170"/>
      <c r="FIQ36" s="170"/>
      <c r="FIR36" s="170"/>
      <c r="FIS36" s="170"/>
      <c r="FIT36" s="170"/>
      <c r="FIU36" s="170"/>
      <c r="FIV36" s="170"/>
      <c r="FIW36" s="170"/>
      <c r="FIX36" s="170"/>
      <c r="FIY36" s="170"/>
      <c r="FIZ36" s="170"/>
      <c r="FJA36" s="170"/>
      <c r="FJB36" s="170"/>
      <c r="FJC36" s="170"/>
      <c r="FJD36" s="170"/>
      <c r="FJE36" s="170"/>
      <c r="FJF36" s="170"/>
      <c r="FJG36" s="170"/>
      <c r="FJH36" s="170"/>
      <c r="FJI36" s="170"/>
      <c r="FJJ36" s="170"/>
      <c r="FJK36" s="170"/>
      <c r="FJL36" s="170"/>
      <c r="FJM36" s="170"/>
      <c r="FJN36" s="170"/>
      <c r="FJO36" s="170"/>
      <c r="FJP36" s="170"/>
      <c r="FJQ36" s="170"/>
      <c r="FJR36" s="170"/>
      <c r="FJS36" s="170"/>
      <c r="FJT36" s="170"/>
      <c r="FJU36" s="170"/>
      <c r="FJV36" s="170"/>
      <c r="FJW36" s="170"/>
      <c r="FJX36" s="170"/>
      <c r="FJY36" s="170"/>
      <c r="FJZ36" s="170"/>
      <c r="FKA36" s="170"/>
      <c r="FKB36" s="170"/>
      <c r="FKC36" s="170"/>
      <c r="FKD36" s="170"/>
      <c r="FKE36" s="170"/>
      <c r="FKF36" s="170"/>
      <c r="FKG36" s="170"/>
      <c r="FKH36" s="170"/>
      <c r="FKI36" s="170"/>
      <c r="FKJ36" s="170"/>
      <c r="FKK36" s="170"/>
      <c r="FKL36" s="170"/>
      <c r="FKM36" s="170"/>
      <c r="FKN36" s="170"/>
      <c r="FKO36" s="170"/>
      <c r="FKP36" s="170"/>
      <c r="FKQ36" s="170"/>
      <c r="FKR36" s="170"/>
      <c r="FKS36" s="170"/>
      <c r="FKT36" s="170"/>
      <c r="FKU36" s="170"/>
      <c r="FKV36" s="170"/>
      <c r="FKW36" s="170"/>
      <c r="FKX36" s="170"/>
      <c r="FKY36" s="170"/>
      <c r="FKZ36" s="170"/>
      <c r="FLA36" s="170"/>
      <c r="FLB36" s="170"/>
      <c r="FLC36" s="170"/>
      <c r="FLD36" s="170"/>
      <c r="FLE36" s="170"/>
      <c r="FLF36" s="170"/>
      <c r="FLG36" s="170"/>
      <c r="FLH36" s="170"/>
      <c r="FLI36" s="170"/>
      <c r="FLJ36" s="170"/>
      <c r="FLK36" s="170"/>
      <c r="FLL36" s="170"/>
      <c r="FLM36" s="170"/>
      <c r="FLN36" s="170"/>
      <c r="FLO36" s="170"/>
      <c r="FLP36" s="170"/>
      <c r="FLQ36" s="170"/>
      <c r="FLR36" s="170"/>
      <c r="FLS36" s="170"/>
      <c r="FLT36" s="170"/>
      <c r="FLU36" s="170"/>
      <c r="FLV36" s="170"/>
      <c r="FLW36" s="170"/>
      <c r="FLX36" s="170"/>
      <c r="FLY36" s="170"/>
      <c r="FLZ36" s="170"/>
      <c r="FMA36" s="170"/>
      <c r="FMB36" s="170"/>
      <c r="FMC36" s="170"/>
      <c r="FMD36" s="170"/>
      <c r="FME36" s="170"/>
      <c r="FMF36" s="170"/>
      <c r="FMG36" s="170"/>
      <c r="FMH36" s="170"/>
      <c r="FMI36" s="170"/>
      <c r="FMJ36" s="170"/>
      <c r="FMK36" s="170"/>
      <c r="FML36" s="170"/>
      <c r="FMM36" s="170"/>
      <c r="FMN36" s="170"/>
      <c r="FMO36" s="170"/>
      <c r="FMP36" s="170"/>
      <c r="FMQ36" s="170"/>
      <c r="FMR36" s="170"/>
      <c r="FMS36" s="170"/>
      <c r="FMT36" s="170"/>
      <c r="FMU36" s="170"/>
      <c r="FMV36" s="170"/>
      <c r="FMW36" s="170"/>
      <c r="FMX36" s="170"/>
      <c r="FMY36" s="170"/>
      <c r="FMZ36" s="170"/>
      <c r="FNA36" s="170"/>
      <c r="FNB36" s="170"/>
      <c r="FNC36" s="170"/>
      <c r="FND36" s="170"/>
      <c r="FNE36" s="170"/>
      <c r="FNF36" s="170"/>
      <c r="FNG36" s="170"/>
      <c r="FNH36" s="170"/>
      <c r="FNI36" s="170"/>
      <c r="FNJ36" s="170"/>
      <c r="FNK36" s="170"/>
      <c r="FNL36" s="170"/>
      <c r="FNM36" s="170"/>
      <c r="FNN36" s="170"/>
      <c r="FNO36" s="170"/>
      <c r="FNP36" s="170"/>
      <c r="FNQ36" s="170"/>
      <c r="FNR36" s="170"/>
      <c r="FNS36" s="170"/>
      <c r="FNT36" s="170"/>
      <c r="FNU36" s="170"/>
      <c r="FNV36" s="170"/>
      <c r="FNW36" s="170"/>
      <c r="FNX36" s="170"/>
      <c r="FNY36" s="170"/>
      <c r="FNZ36" s="170"/>
      <c r="FOA36" s="170"/>
      <c r="FOB36" s="170"/>
      <c r="FOC36" s="170"/>
      <c r="FOD36" s="170"/>
      <c r="FOE36" s="170"/>
      <c r="FOF36" s="170"/>
      <c r="FOG36" s="170"/>
      <c r="FOH36" s="170"/>
      <c r="FOI36" s="170"/>
      <c r="FOJ36" s="170"/>
      <c r="FOK36" s="170"/>
      <c r="FOL36" s="170"/>
      <c r="FOM36" s="170"/>
      <c r="FON36" s="170"/>
      <c r="FOO36" s="170"/>
      <c r="FOP36" s="170"/>
      <c r="FOQ36" s="170"/>
      <c r="FOR36" s="170"/>
      <c r="FOS36" s="170"/>
      <c r="FOT36" s="170"/>
      <c r="FOU36" s="170"/>
      <c r="FOV36" s="170"/>
      <c r="FOW36" s="170"/>
      <c r="FOX36" s="170"/>
      <c r="FOY36" s="170"/>
      <c r="FOZ36" s="170"/>
      <c r="FPA36" s="170"/>
      <c r="FPB36" s="170"/>
      <c r="FPC36" s="170"/>
      <c r="FPD36" s="170"/>
      <c r="FPE36" s="170"/>
      <c r="FPF36" s="170"/>
      <c r="FPG36" s="170"/>
      <c r="FPH36" s="170"/>
      <c r="FPI36" s="170"/>
      <c r="FPJ36" s="170"/>
      <c r="FPK36" s="170"/>
      <c r="FPL36" s="170"/>
      <c r="FPM36" s="170"/>
      <c r="FPN36" s="170"/>
      <c r="FPO36" s="170"/>
      <c r="FPP36" s="170"/>
      <c r="FPQ36" s="170"/>
      <c r="FPR36" s="170"/>
      <c r="FPS36" s="170"/>
      <c r="FPT36" s="170"/>
      <c r="FPU36" s="170"/>
      <c r="FPV36" s="170"/>
      <c r="FPW36" s="170"/>
      <c r="FPX36" s="170"/>
      <c r="FPY36" s="170"/>
      <c r="FPZ36" s="170"/>
      <c r="FQA36" s="170"/>
      <c r="FQB36" s="170"/>
      <c r="FQC36" s="170"/>
      <c r="FQD36" s="170"/>
      <c r="FQE36" s="170"/>
      <c r="FQF36" s="170"/>
      <c r="FQG36" s="170"/>
      <c r="FQH36" s="170"/>
      <c r="FQI36" s="170"/>
      <c r="FQJ36" s="170"/>
      <c r="FQK36" s="170"/>
      <c r="FQL36" s="170"/>
      <c r="FQM36" s="170"/>
      <c r="FQN36" s="170"/>
      <c r="FQO36" s="170"/>
      <c r="FQP36" s="170"/>
      <c r="FQQ36" s="170"/>
      <c r="FQR36" s="170"/>
      <c r="FQS36" s="170"/>
      <c r="FQT36" s="170"/>
      <c r="FQU36" s="170"/>
      <c r="FQV36" s="170"/>
      <c r="FQW36" s="170"/>
      <c r="FQX36" s="170"/>
      <c r="FQY36" s="170"/>
      <c r="FQZ36" s="170"/>
      <c r="FRA36" s="170"/>
      <c r="FRB36" s="170"/>
      <c r="FRC36" s="170"/>
      <c r="FRD36" s="170"/>
      <c r="FRE36" s="170"/>
      <c r="FRF36" s="170"/>
      <c r="FRG36" s="170"/>
      <c r="FRH36" s="170"/>
      <c r="FRI36" s="170"/>
      <c r="FRJ36" s="170"/>
      <c r="FRK36" s="170"/>
      <c r="FRL36" s="170"/>
      <c r="FRM36" s="170"/>
      <c r="FRN36" s="170"/>
      <c r="FRO36" s="170"/>
      <c r="FRP36" s="170"/>
      <c r="FRQ36" s="170"/>
      <c r="FRR36" s="170"/>
      <c r="FRS36" s="170"/>
      <c r="FRT36" s="170"/>
      <c r="FRU36" s="170"/>
      <c r="FRV36" s="170"/>
      <c r="FRW36" s="170"/>
      <c r="FRX36" s="170"/>
      <c r="FRY36" s="170"/>
      <c r="FRZ36" s="170"/>
      <c r="FSA36" s="170"/>
      <c r="FSB36" s="170"/>
      <c r="FSC36" s="170"/>
      <c r="FSD36" s="170"/>
      <c r="FSE36" s="170"/>
      <c r="FSF36" s="170"/>
      <c r="FSG36" s="170"/>
      <c r="FSH36" s="170"/>
      <c r="FSI36" s="170"/>
      <c r="FSJ36" s="170"/>
      <c r="FSK36" s="170"/>
      <c r="FSL36" s="170"/>
      <c r="FSM36" s="170"/>
      <c r="FSN36" s="170"/>
      <c r="FSO36" s="170"/>
      <c r="FSP36" s="170"/>
      <c r="FSQ36" s="170"/>
      <c r="FSR36" s="170"/>
      <c r="FSS36" s="170"/>
      <c r="FST36" s="170"/>
      <c r="FSU36" s="170"/>
      <c r="FSV36" s="170"/>
      <c r="FSW36" s="170"/>
      <c r="FSX36" s="170"/>
      <c r="FSY36" s="170"/>
      <c r="FSZ36" s="170"/>
      <c r="FTA36" s="170"/>
      <c r="FTB36" s="170"/>
      <c r="FTC36" s="170"/>
      <c r="FTD36" s="170"/>
      <c r="FTE36" s="170"/>
      <c r="FTF36" s="170"/>
      <c r="FTG36" s="170"/>
      <c r="FTH36" s="170"/>
      <c r="FTI36" s="170"/>
      <c r="FTJ36" s="170"/>
      <c r="FTK36" s="170"/>
      <c r="FTL36" s="170"/>
      <c r="FTM36" s="170"/>
      <c r="FTN36" s="170"/>
      <c r="FTO36" s="170"/>
      <c r="FTP36" s="170"/>
      <c r="FTQ36" s="170"/>
      <c r="FTR36" s="170"/>
      <c r="FTS36" s="170"/>
      <c r="FTT36" s="170"/>
      <c r="FTU36" s="170"/>
      <c r="FTV36" s="170"/>
      <c r="FTW36" s="170"/>
      <c r="FTX36" s="170"/>
      <c r="FTY36" s="170"/>
      <c r="FTZ36" s="170"/>
      <c r="FUA36" s="170"/>
      <c r="FUB36" s="170"/>
      <c r="FUC36" s="170"/>
      <c r="FUD36" s="170"/>
      <c r="FUE36" s="170"/>
      <c r="FUF36" s="170"/>
      <c r="FUG36" s="170"/>
      <c r="FUH36" s="170"/>
      <c r="FUI36" s="170"/>
      <c r="FUJ36" s="170"/>
      <c r="FUK36" s="170"/>
      <c r="FUL36" s="170"/>
      <c r="FUM36" s="170"/>
      <c r="FUN36" s="170"/>
      <c r="FUO36" s="170"/>
      <c r="FUP36" s="170"/>
      <c r="FUQ36" s="170"/>
      <c r="FUR36" s="170"/>
      <c r="FUS36" s="170"/>
      <c r="FUT36" s="170"/>
      <c r="FUU36" s="170"/>
      <c r="FUV36" s="170"/>
      <c r="FUW36" s="170"/>
      <c r="FUX36" s="170"/>
      <c r="FUY36" s="170"/>
      <c r="FUZ36" s="170"/>
      <c r="FVA36" s="170"/>
      <c r="FVB36" s="170"/>
      <c r="FVC36" s="170"/>
      <c r="FVD36" s="170"/>
      <c r="FVE36" s="170"/>
      <c r="FVF36" s="170"/>
      <c r="FVG36" s="170"/>
      <c r="FVH36" s="170"/>
      <c r="FVI36" s="170"/>
      <c r="FVJ36" s="170"/>
      <c r="FVK36" s="170"/>
      <c r="FVL36" s="170"/>
      <c r="FVM36" s="170"/>
      <c r="FVN36" s="170"/>
      <c r="FVO36" s="170"/>
      <c r="FVP36" s="170"/>
      <c r="FVQ36" s="170"/>
      <c r="FVR36" s="170"/>
      <c r="FVS36" s="170"/>
      <c r="FVT36" s="170"/>
      <c r="FVU36" s="170"/>
      <c r="FVV36" s="170"/>
      <c r="FVW36" s="170"/>
      <c r="FVX36" s="170"/>
      <c r="FVY36" s="170"/>
      <c r="FVZ36" s="170"/>
      <c r="FWA36" s="170"/>
      <c r="FWB36" s="170"/>
      <c r="FWC36" s="170"/>
      <c r="FWD36" s="170"/>
      <c r="FWE36" s="170"/>
      <c r="FWF36" s="170"/>
      <c r="FWG36" s="170"/>
      <c r="FWH36" s="170"/>
      <c r="FWI36" s="170"/>
      <c r="FWJ36" s="170"/>
      <c r="FWK36" s="170"/>
      <c r="FWL36" s="170"/>
      <c r="FWM36" s="170"/>
      <c r="FWN36" s="170"/>
      <c r="FWO36" s="170"/>
      <c r="FWP36" s="170"/>
      <c r="FWQ36" s="170"/>
      <c r="FWR36" s="170"/>
      <c r="FWS36" s="170"/>
      <c r="FWT36" s="170"/>
      <c r="FWU36" s="170"/>
      <c r="FWV36" s="170"/>
      <c r="FWW36" s="170"/>
      <c r="FWX36" s="170"/>
      <c r="FWY36" s="170"/>
      <c r="FWZ36" s="170"/>
      <c r="FXA36" s="170"/>
      <c r="FXB36" s="170"/>
      <c r="FXC36" s="170"/>
      <c r="FXD36" s="170"/>
      <c r="FXE36" s="170"/>
      <c r="FXF36" s="170"/>
      <c r="FXG36" s="170"/>
      <c r="FXH36" s="170"/>
      <c r="FXI36" s="170"/>
      <c r="FXJ36" s="170"/>
      <c r="FXK36" s="170"/>
      <c r="FXL36" s="170"/>
      <c r="FXM36" s="170"/>
      <c r="FXN36" s="170"/>
      <c r="FXO36" s="170"/>
      <c r="FXP36" s="170"/>
      <c r="FXQ36" s="170"/>
      <c r="FXR36" s="170"/>
      <c r="FXS36" s="170"/>
      <c r="FXT36" s="170"/>
      <c r="FXU36" s="170"/>
      <c r="FXV36" s="170"/>
      <c r="FXW36" s="170"/>
      <c r="FXX36" s="170"/>
      <c r="FXY36" s="170"/>
      <c r="FXZ36" s="170"/>
      <c r="FYA36" s="170"/>
      <c r="FYB36" s="170"/>
      <c r="FYC36" s="170"/>
      <c r="FYD36" s="170"/>
      <c r="FYE36" s="170"/>
      <c r="FYF36" s="170"/>
      <c r="FYG36" s="170"/>
      <c r="FYH36" s="170"/>
      <c r="FYI36" s="170"/>
      <c r="FYJ36" s="170"/>
      <c r="FYK36" s="170"/>
      <c r="FYL36" s="170"/>
      <c r="FYM36" s="170"/>
      <c r="FYN36" s="170"/>
      <c r="FYO36" s="170"/>
      <c r="FYP36" s="170"/>
      <c r="FYQ36" s="170"/>
      <c r="FYR36" s="170"/>
      <c r="FYS36" s="170"/>
      <c r="FYT36" s="170"/>
      <c r="FYU36" s="170"/>
      <c r="FYV36" s="170"/>
      <c r="FYW36" s="170"/>
      <c r="FYX36" s="170"/>
      <c r="FYY36" s="170"/>
      <c r="FYZ36" s="170"/>
      <c r="FZA36" s="170"/>
      <c r="FZB36" s="170"/>
      <c r="FZC36" s="170"/>
      <c r="FZD36" s="170"/>
      <c r="FZE36" s="170"/>
      <c r="FZF36" s="170"/>
      <c r="FZG36" s="170"/>
      <c r="FZH36" s="170"/>
      <c r="FZI36" s="170"/>
      <c r="FZJ36" s="170"/>
      <c r="FZK36" s="170"/>
      <c r="FZL36" s="170"/>
      <c r="FZM36" s="170"/>
      <c r="FZN36" s="170"/>
      <c r="FZO36" s="170"/>
      <c r="FZP36" s="170"/>
      <c r="FZQ36" s="170"/>
      <c r="FZR36" s="170"/>
      <c r="FZS36" s="170"/>
      <c r="FZT36" s="170"/>
      <c r="FZU36" s="170"/>
      <c r="FZV36" s="170"/>
      <c r="FZW36" s="170"/>
      <c r="FZX36" s="170"/>
      <c r="FZY36" s="170"/>
      <c r="FZZ36" s="170"/>
      <c r="GAA36" s="170"/>
      <c r="GAB36" s="170"/>
      <c r="GAC36" s="170"/>
      <c r="GAD36" s="170"/>
      <c r="GAE36" s="170"/>
      <c r="GAF36" s="170"/>
      <c r="GAG36" s="170"/>
      <c r="GAH36" s="170"/>
      <c r="GAI36" s="170"/>
      <c r="GAJ36" s="170"/>
      <c r="GAK36" s="170"/>
      <c r="GAL36" s="170"/>
      <c r="GAM36" s="170"/>
      <c r="GAN36" s="170"/>
      <c r="GAO36" s="170"/>
      <c r="GAP36" s="170"/>
      <c r="GAQ36" s="170"/>
      <c r="GAR36" s="170"/>
      <c r="GAS36" s="170"/>
      <c r="GAT36" s="170"/>
      <c r="GAU36" s="170"/>
      <c r="GAV36" s="170"/>
      <c r="GAW36" s="170"/>
      <c r="GAX36" s="170"/>
      <c r="GAY36" s="170"/>
      <c r="GAZ36" s="170"/>
      <c r="GBA36" s="170"/>
      <c r="GBB36" s="170"/>
      <c r="GBC36" s="170"/>
      <c r="GBD36" s="170"/>
      <c r="GBE36" s="170"/>
      <c r="GBF36" s="170"/>
      <c r="GBG36" s="170"/>
      <c r="GBH36" s="170"/>
      <c r="GBI36" s="170"/>
      <c r="GBJ36" s="170"/>
      <c r="GBK36" s="170"/>
      <c r="GBL36" s="170"/>
      <c r="GBM36" s="170"/>
      <c r="GBN36" s="170"/>
      <c r="GBO36" s="170"/>
      <c r="GBP36" s="170"/>
      <c r="GBQ36" s="170"/>
      <c r="GBR36" s="170"/>
      <c r="GBS36" s="170"/>
      <c r="GBT36" s="170"/>
      <c r="GBU36" s="170"/>
      <c r="GBV36" s="170"/>
      <c r="GBW36" s="170"/>
      <c r="GBX36" s="170"/>
      <c r="GBY36" s="170"/>
      <c r="GBZ36" s="170"/>
      <c r="GCA36" s="170"/>
      <c r="GCB36" s="170"/>
      <c r="GCC36" s="170"/>
      <c r="GCD36" s="170"/>
      <c r="GCE36" s="170"/>
      <c r="GCF36" s="170"/>
      <c r="GCG36" s="170"/>
      <c r="GCH36" s="170"/>
      <c r="GCI36" s="170"/>
      <c r="GCJ36" s="170"/>
      <c r="GCK36" s="170"/>
      <c r="GCL36" s="170"/>
      <c r="GCM36" s="170"/>
      <c r="GCN36" s="170"/>
      <c r="GCO36" s="170"/>
      <c r="GCP36" s="170"/>
      <c r="GCQ36" s="170"/>
      <c r="GCR36" s="170"/>
      <c r="GCS36" s="170"/>
      <c r="GCT36" s="170"/>
      <c r="GCU36" s="170"/>
      <c r="GCV36" s="170"/>
      <c r="GCW36" s="170"/>
      <c r="GCX36" s="170"/>
      <c r="GCY36" s="170"/>
      <c r="GCZ36" s="170"/>
      <c r="GDA36" s="170"/>
      <c r="GDB36" s="170"/>
      <c r="GDC36" s="170"/>
      <c r="GDD36" s="170"/>
      <c r="GDE36" s="170"/>
      <c r="GDF36" s="170"/>
      <c r="GDG36" s="170"/>
      <c r="GDH36" s="170"/>
      <c r="GDI36" s="170"/>
      <c r="GDJ36" s="170"/>
      <c r="GDK36" s="170"/>
      <c r="GDL36" s="170"/>
      <c r="GDM36" s="170"/>
      <c r="GDN36" s="170"/>
      <c r="GDO36" s="170"/>
      <c r="GDP36" s="170"/>
      <c r="GDQ36" s="170"/>
      <c r="GDR36" s="170"/>
      <c r="GDS36" s="170"/>
      <c r="GDT36" s="170"/>
      <c r="GDU36" s="170"/>
      <c r="GDV36" s="170"/>
      <c r="GDW36" s="170"/>
      <c r="GDX36" s="170"/>
      <c r="GDY36" s="170"/>
      <c r="GDZ36" s="170"/>
      <c r="GEA36" s="170"/>
      <c r="GEB36" s="170"/>
      <c r="GEC36" s="170"/>
      <c r="GED36" s="170"/>
      <c r="GEE36" s="170"/>
      <c r="GEF36" s="170"/>
      <c r="GEG36" s="170"/>
      <c r="GEH36" s="170"/>
      <c r="GEI36" s="170"/>
      <c r="GEJ36" s="170"/>
      <c r="GEK36" s="170"/>
      <c r="GEL36" s="170"/>
      <c r="GEM36" s="170"/>
      <c r="GEN36" s="170"/>
      <c r="GEO36" s="170"/>
      <c r="GEP36" s="170"/>
      <c r="GEQ36" s="170"/>
      <c r="GER36" s="170"/>
      <c r="GES36" s="170"/>
      <c r="GET36" s="170"/>
      <c r="GEU36" s="170"/>
      <c r="GEV36" s="170"/>
      <c r="GEW36" s="170"/>
      <c r="GEX36" s="170"/>
      <c r="GEY36" s="170"/>
      <c r="GEZ36" s="170"/>
      <c r="GFA36" s="170"/>
      <c r="GFB36" s="170"/>
      <c r="GFC36" s="170"/>
      <c r="GFD36" s="170"/>
      <c r="GFE36" s="170"/>
      <c r="GFF36" s="170"/>
      <c r="GFG36" s="170"/>
      <c r="GFH36" s="170"/>
      <c r="GFI36" s="170"/>
      <c r="GFJ36" s="170"/>
      <c r="GFK36" s="170"/>
      <c r="GFL36" s="170"/>
      <c r="GFM36" s="170"/>
      <c r="GFN36" s="170"/>
      <c r="GFO36" s="170"/>
      <c r="GFP36" s="170"/>
      <c r="GFQ36" s="170"/>
      <c r="GFR36" s="170"/>
      <c r="GFS36" s="170"/>
      <c r="GFT36" s="170"/>
      <c r="GFU36" s="170"/>
      <c r="GFV36" s="170"/>
      <c r="GFW36" s="170"/>
      <c r="GFX36" s="170"/>
      <c r="GFY36" s="170"/>
      <c r="GFZ36" s="170"/>
      <c r="GGA36" s="170"/>
      <c r="GGB36" s="170"/>
      <c r="GGC36" s="170"/>
      <c r="GGD36" s="170"/>
      <c r="GGE36" s="170"/>
      <c r="GGF36" s="170"/>
      <c r="GGG36" s="170"/>
      <c r="GGH36" s="170"/>
      <c r="GGI36" s="170"/>
      <c r="GGJ36" s="170"/>
      <c r="GGK36" s="170"/>
      <c r="GGL36" s="170"/>
      <c r="GGM36" s="170"/>
      <c r="GGN36" s="170"/>
      <c r="GGO36" s="170"/>
      <c r="GGP36" s="170"/>
      <c r="GGQ36" s="170"/>
      <c r="GGR36" s="170"/>
      <c r="GGS36" s="170"/>
      <c r="GGT36" s="170"/>
      <c r="GGU36" s="170"/>
      <c r="GGV36" s="170"/>
      <c r="GGW36" s="170"/>
      <c r="GGX36" s="170"/>
      <c r="GGY36" s="170"/>
      <c r="GGZ36" s="170"/>
      <c r="GHA36" s="170"/>
      <c r="GHB36" s="170"/>
      <c r="GHC36" s="170"/>
      <c r="GHD36" s="170"/>
      <c r="GHE36" s="170"/>
      <c r="GHF36" s="170"/>
      <c r="GHG36" s="170"/>
      <c r="GHH36" s="170"/>
      <c r="GHI36" s="170"/>
      <c r="GHJ36" s="170"/>
      <c r="GHK36" s="170"/>
      <c r="GHL36" s="170"/>
      <c r="GHM36" s="170"/>
      <c r="GHN36" s="170"/>
      <c r="GHO36" s="170"/>
      <c r="GHP36" s="170"/>
      <c r="GHQ36" s="170"/>
      <c r="GHR36" s="170"/>
      <c r="GHS36" s="170"/>
      <c r="GHT36" s="170"/>
      <c r="GHU36" s="170"/>
      <c r="GHV36" s="170"/>
      <c r="GHW36" s="170"/>
      <c r="GHX36" s="170"/>
      <c r="GHY36" s="170"/>
      <c r="GHZ36" s="170"/>
      <c r="GIA36" s="170"/>
      <c r="GIB36" s="170"/>
      <c r="GIC36" s="170"/>
      <c r="GID36" s="170"/>
      <c r="GIE36" s="170"/>
      <c r="GIF36" s="170"/>
      <c r="GIG36" s="170"/>
      <c r="GIH36" s="170"/>
      <c r="GII36" s="170"/>
      <c r="GIJ36" s="170"/>
      <c r="GIK36" s="170"/>
      <c r="GIL36" s="170"/>
      <c r="GIM36" s="170"/>
      <c r="GIN36" s="170"/>
      <c r="GIO36" s="170"/>
      <c r="GIP36" s="170"/>
      <c r="GIQ36" s="170"/>
      <c r="GIR36" s="170"/>
      <c r="GIS36" s="170"/>
      <c r="GIT36" s="170"/>
      <c r="GIU36" s="170"/>
      <c r="GIV36" s="170"/>
      <c r="GIW36" s="170"/>
      <c r="GIX36" s="170"/>
      <c r="GIY36" s="170"/>
      <c r="GIZ36" s="170"/>
      <c r="GJA36" s="170"/>
      <c r="GJB36" s="170"/>
      <c r="GJC36" s="170"/>
      <c r="GJD36" s="170"/>
      <c r="GJE36" s="170"/>
      <c r="GJF36" s="170"/>
      <c r="GJG36" s="170"/>
      <c r="GJH36" s="170"/>
      <c r="GJI36" s="170"/>
      <c r="GJJ36" s="170"/>
      <c r="GJK36" s="170"/>
      <c r="GJL36" s="170"/>
      <c r="GJM36" s="170"/>
      <c r="GJN36" s="170"/>
      <c r="GJO36" s="170"/>
      <c r="GJP36" s="170"/>
      <c r="GJQ36" s="170"/>
      <c r="GJR36" s="170"/>
      <c r="GJS36" s="170"/>
      <c r="GJT36" s="170"/>
      <c r="GJU36" s="170"/>
      <c r="GJV36" s="170"/>
      <c r="GJW36" s="170"/>
      <c r="GJX36" s="170"/>
      <c r="GJY36" s="170"/>
      <c r="GJZ36" s="170"/>
      <c r="GKA36" s="170"/>
      <c r="GKB36" s="170"/>
      <c r="GKC36" s="170"/>
      <c r="GKD36" s="170"/>
      <c r="GKE36" s="170"/>
      <c r="GKF36" s="170"/>
      <c r="GKG36" s="170"/>
      <c r="GKH36" s="170"/>
      <c r="GKI36" s="170"/>
      <c r="GKJ36" s="170"/>
      <c r="GKK36" s="170"/>
      <c r="GKL36" s="170"/>
      <c r="GKM36" s="170"/>
      <c r="GKN36" s="170"/>
      <c r="GKO36" s="170"/>
      <c r="GKP36" s="170"/>
      <c r="GKQ36" s="170"/>
      <c r="GKR36" s="170"/>
      <c r="GKS36" s="170"/>
      <c r="GKT36" s="170"/>
      <c r="GKU36" s="170"/>
      <c r="GKV36" s="170"/>
      <c r="GKW36" s="170"/>
      <c r="GKX36" s="170"/>
      <c r="GKY36" s="170"/>
      <c r="GKZ36" s="170"/>
      <c r="GLA36" s="170"/>
      <c r="GLB36" s="170"/>
      <c r="GLC36" s="170"/>
      <c r="GLD36" s="170"/>
      <c r="GLE36" s="170"/>
      <c r="GLF36" s="170"/>
      <c r="GLG36" s="170"/>
      <c r="GLH36" s="170"/>
      <c r="GLI36" s="170"/>
      <c r="GLJ36" s="170"/>
      <c r="GLK36" s="170"/>
      <c r="GLL36" s="170"/>
      <c r="GLM36" s="170"/>
      <c r="GLN36" s="170"/>
      <c r="GLO36" s="170"/>
      <c r="GLP36" s="170"/>
      <c r="GLQ36" s="170"/>
      <c r="GLR36" s="170"/>
      <c r="GLS36" s="170"/>
      <c r="GLT36" s="170"/>
      <c r="GLU36" s="170"/>
      <c r="GLV36" s="170"/>
      <c r="GLW36" s="170"/>
      <c r="GLX36" s="170"/>
      <c r="GLY36" s="170"/>
      <c r="GLZ36" s="170"/>
      <c r="GMA36" s="170"/>
      <c r="GMB36" s="170"/>
      <c r="GMC36" s="170"/>
      <c r="GMD36" s="170"/>
      <c r="GME36" s="170"/>
      <c r="GMF36" s="170"/>
      <c r="GMG36" s="170"/>
      <c r="GMH36" s="170"/>
      <c r="GMI36" s="170"/>
      <c r="GMJ36" s="170"/>
      <c r="GMK36" s="170"/>
      <c r="GML36" s="170"/>
      <c r="GMM36" s="170"/>
      <c r="GMN36" s="170"/>
      <c r="GMO36" s="170"/>
      <c r="GMP36" s="170"/>
      <c r="GMQ36" s="170"/>
      <c r="GMR36" s="170"/>
      <c r="GMS36" s="170"/>
      <c r="GMT36" s="170"/>
      <c r="GMU36" s="170"/>
      <c r="GMV36" s="170"/>
      <c r="GMW36" s="170"/>
      <c r="GMX36" s="170"/>
      <c r="GMY36" s="170"/>
      <c r="GMZ36" s="170"/>
      <c r="GNA36" s="170"/>
      <c r="GNB36" s="170"/>
      <c r="GNC36" s="170"/>
      <c r="GND36" s="170"/>
      <c r="GNE36" s="170"/>
      <c r="GNF36" s="170"/>
      <c r="GNG36" s="170"/>
      <c r="GNH36" s="170"/>
      <c r="GNI36" s="170"/>
      <c r="GNJ36" s="170"/>
      <c r="GNK36" s="170"/>
      <c r="GNL36" s="170"/>
      <c r="GNM36" s="170"/>
      <c r="GNN36" s="170"/>
      <c r="GNO36" s="170"/>
      <c r="GNP36" s="170"/>
      <c r="GNQ36" s="170"/>
      <c r="GNR36" s="170"/>
      <c r="GNS36" s="170"/>
      <c r="GNT36" s="170"/>
      <c r="GNU36" s="170"/>
      <c r="GNV36" s="170"/>
      <c r="GNW36" s="170"/>
      <c r="GNX36" s="170"/>
      <c r="GNY36" s="170"/>
      <c r="GNZ36" s="170"/>
      <c r="GOA36" s="170"/>
      <c r="GOB36" s="170"/>
      <c r="GOC36" s="170"/>
      <c r="GOD36" s="170"/>
      <c r="GOE36" s="170"/>
      <c r="GOF36" s="170"/>
      <c r="GOG36" s="170"/>
      <c r="GOH36" s="170"/>
      <c r="GOI36" s="170"/>
      <c r="GOJ36" s="170"/>
      <c r="GOK36" s="170"/>
      <c r="GOL36" s="170"/>
      <c r="GOM36" s="170"/>
      <c r="GON36" s="170"/>
      <c r="GOO36" s="170"/>
      <c r="GOP36" s="170"/>
      <c r="GOQ36" s="170"/>
      <c r="GOR36" s="170"/>
      <c r="GOS36" s="170"/>
      <c r="GOT36" s="170"/>
      <c r="GOU36" s="170"/>
      <c r="GOV36" s="170"/>
      <c r="GOW36" s="170"/>
      <c r="GOX36" s="170"/>
      <c r="GOY36" s="170"/>
      <c r="GOZ36" s="170"/>
      <c r="GPA36" s="170"/>
      <c r="GPB36" s="170"/>
      <c r="GPC36" s="170"/>
      <c r="GPD36" s="170"/>
      <c r="GPE36" s="170"/>
      <c r="GPF36" s="170"/>
      <c r="GPG36" s="170"/>
      <c r="GPH36" s="170"/>
      <c r="GPI36" s="170"/>
      <c r="GPJ36" s="170"/>
      <c r="GPK36" s="170"/>
      <c r="GPL36" s="170"/>
      <c r="GPM36" s="170"/>
      <c r="GPN36" s="170"/>
      <c r="GPO36" s="170"/>
      <c r="GPP36" s="170"/>
      <c r="GPQ36" s="170"/>
      <c r="GPR36" s="170"/>
      <c r="GPS36" s="170"/>
      <c r="GPT36" s="170"/>
      <c r="GPU36" s="170"/>
      <c r="GPV36" s="170"/>
      <c r="GPW36" s="170"/>
      <c r="GPX36" s="170"/>
      <c r="GPY36" s="170"/>
      <c r="GPZ36" s="170"/>
      <c r="GQA36" s="170"/>
      <c r="GQB36" s="170"/>
      <c r="GQC36" s="170"/>
      <c r="GQD36" s="170"/>
      <c r="GQE36" s="170"/>
      <c r="GQF36" s="170"/>
      <c r="GQG36" s="170"/>
      <c r="GQH36" s="170"/>
      <c r="GQI36" s="170"/>
      <c r="GQJ36" s="170"/>
      <c r="GQK36" s="170"/>
      <c r="GQL36" s="170"/>
      <c r="GQM36" s="170"/>
      <c r="GQN36" s="170"/>
      <c r="GQO36" s="170"/>
      <c r="GQP36" s="170"/>
      <c r="GQQ36" s="170"/>
      <c r="GQR36" s="170"/>
      <c r="GQS36" s="170"/>
      <c r="GQT36" s="170"/>
      <c r="GQU36" s="170"/>
      <c r="GQV36" s="170"/>
      <c r="GQW36" s="170"/>
      <c r="GQX36" s="170"/>
      <c r="GQY36" s="170"/>
      <c r="GQZ36" s="170"/>
      <c r="GRA36" s="170"/>
      <c r="GRB36" s="170"/>
      <c r="GRC36" s="170"/>
      <c r="GRD36" s="170"/>
      <c r="GRE36" s="170"/>
      <c r="GRF36" s="170"/>
      <c r="GRG36" s="170"/>
      <c r="GRH36" s="170"/>
      <c r="GRI36" s="170"/>
      <c r="GRJ36" s="170"/>
      <c r="GRK36" s="170"/>
      <c r="GRL36" s="170"/>
      <c r="GRM36" s="170"/>
      <c r="GRN36" s="170"/>
      <c r="GRO36" s="170"/>
      <c r="GRP36" s="170"/>
      <c r="GRQ36" s="170"/>
      <c r="GRR36" s="170"/>
      <c r="GRS36" s="170"/>
      <c r="GRT36" s="170"/>
      <c r="GRU36" s="170"/>
      <c r="GRV36" s="170"/>
      <c r="GRW36" s="170"/>
      <c r="GRX36" s="170"/>
      <c r="GRY36" s="170"/>
      <c r="GRZ36" s="170"/>
      <c r="GSA36" s="170"/>
      <c r="GSB36" s="170"/>
      <c r="GSC36" s="170"/>
      <c r="GSD36" s="170"/>
      <c r="GSE36" s="170"/>
      <c r="GSF36" s="170"/>
      <c r="GSG36" s="170"/>
      <c r="GSH36" s="170"/>
      <c r="GSI36" s="170"/>
      <c r="GSJ36" s="170"/>
      <c r="GSK36" s="170"/>
      <c r="GSL36" s="170"/>
      <c r="GSM36" s="170"/>
      <c r="GSN36" s="170"/>
      <c r="GSO36" s="170"/>
      <c r="GSP36" s="170"/>
      <c r="GSQ36" s="170"/>
      <c r="GSR36" s="170"/>
      <c r="GSS36" s="170"/>
      <c r="GST36" s="170"/>
      <c r="GSU36" s="170"/>
      <c r="GSV36" s="170"/>
      <c r="GSW36" s="170"/>
      <c r="GSX36" s="170"/>
      <c r="GSY36" s="170"/>
      <c r="GSZ36" s="170"/>
      <c r="GTA36" s="170"/>
      <c r="GTB36" s="170"/>
      <c r="GTC36" s="170"/>
      <c r="GTD36" s="170"/>
      <c r="GTE36" s="170"/>
      <c r="GTF36" s="170"/>
      <c r="GTG36" s="170"/>
      <c r="GTH36" s="170"/>
      <c r="GTI36" s="170"/>
      <c r="GTJ36" s="170"/>
      <c r="GTK36" s="170"/>
      <c r="GTL36" s="170"/>
      <c r="GTM36" s="170"/>
      <c r="GTN36" s="170"/>
      <c r="GTO36" s="170"/>
      <c r="GTP36" s="170"/>
      <c r="GTQ36" s="170"/>
      <c r="GTR36" s="170"/>
      <c r="GTS36" s="170"/>
      <c r="GTT36" s="170"/>
      <c r="GTU36" s="170"/>
      <c r="GTV36" s="170"/>
      <c r="GTW36" s="170"/>
      <c r="GTX36" s="170"/>
      <c r="GTY36" s="170"/>
      <c r="GTZ36" s="170"/>
      <c r="GUA36" s="170"/>
      <c r="GUB36" s="170"/>
      <c r="GUC36" s="170"/>
      <c r="GUD36" s="170"/>
      <c r="GUE36" s="170"/>
      <c r="GUF36" s="170"/>
      <c r="GUG36" s="170"/>
      <c r="GUH36" s="170"/>
      <c r="GUI36" s="170"/>
      <c r="GUJ36" s="170"/>
      <c r="GUK36" s="170"/>
      <c r="GUL36" s="170"/>
      <c r="GUM36" s="170"/>
      <c r="GUN36" s="170"/>
      <c r="GUO36" s="170"/>
      <c r="GUP36" s="170"/>
      <c r="GUQ36" s="170"/>
      <c r="GUR36" s="170"/>
      <c r="GUS36" s="170"/>
      <c r="GUT36" s="170"/>
      <c r="GUU36" s="170"/>
      <c r="GUV36" s="170"/>
      <c r="GUW36" s="170"/>
      <c r="GUX36" s="170"/>
      <c r="GUY36" s="170"/>
      <c r="GUZ36" s="170"/>
      <c r="GVA36" s="170"/>
      <c r="GVB36" s="170"/>
      <c r="GVC36" s="170"/>
      <c r="GVD36" s="170"/>
      <c r="GVE36" s="170"/>
      <c r="GVF36" s="170"/>
      <c r="GVG36" s="170"/>
      <c r="GVH36" s="170"/>
      <c r="GVI36" s="170"/>
      <c r="GVJ36" s="170"/>
      <c r="GVK36" s="170"/>
      <c r="GVL36" s="170"/>
      <c r="GVM36" s="170"/>
      <c r="GVN36" s="170"/>
      <c r="GVO36" s="170"/>
      <c r="GVP36" s="170"/>
      <c r="GVQ36" s="170"/>
      <c r="GVR36" s="170"/>
      <c r="GVS36" s="170"/>
      <c r="GVT36" s="170"/>
      <c r="GVU36" s="170"/>
      <c r="GVV36" s="170"/>
      <c r="GVW36" s="170"/>
      <c r="GVX36" s="170"/>
      <c r="GVY36" s="170"/>
      <c r="GVZ36" s="170"/>
      <c r="GWA36" s="170"/>
      <c r="GWB36" s="170"/>
      <c r="GWC36" s="170"/>
      <c r="GWD36" s="170"/>
      <c r="GWE36" s="170"/>
      <c r="GWF36" s="170"/>
      <c r="GWG36" s="170"/>
      <c r="GWH36" s="170"/>
      <c r="GWI36" s="170"/>
      <c r="GWJ36" s="170"/>
      <c r="GWK36" s="170"/>
      <c r="GWL36" s="170"/>
      <c r="GWM36" s="170"/>
      <c r="GWN36" s="170"/>
      <c r="GWO36" s="170"/>
      <c r="GWP36" s="170"/>
      <c r="GWQ36" s="170"/>
      <c r="GWR36" s="170"/>
      <c r="GWS36" s="170"/>
      <c r="GWT36" s="170"/>
      <c r="GWU36" s="170"/>
      <c r="GWV36" s="170"/>
      <c r="GWW36" s="170"/>
      <c r="GWX36" s="170"/>
      <c r="GWY36" s="170"/>
      <c r="GWZ36" s="170"/>
      <c r="GXA36" s="170"/>
      <c r="GXB36" s="170"/>
      <c r="GXC36" s="170"/>
      <c r="GXD36" s="170"/>
      <c r="GXE36" s="170"/>
      <c r="GXF36" s="170"/>
      <c r="GXG36" s="170"/>
      <c r="GXH36" s="170"/>
      <c r="GXI36" s="170"/>
      <c r="GXJ36" s="170"/>
      <c r="GXK36" s="170"/>
      <c r="GXL36" s="170"/>
      <c r="GXM36" s="170"/>
      <c r="GXN36" s="170"/>
      <c r="GXO36" s="170"/>
      <c r="GXP36" s="170"/>
      <c r="GXQ36" s="170"/>
      <c r="GXR36" s="170"/>
      <c r="GXS36" s="170"/>
      <c r="GXT36" s="170"/>
      <c r="GXU36" s="170"/>
      <c r="GXV36" s="170"/>
      <c r="GXW36" s="170"/>
      <c r="GXX36" s="170"/>
      <c r="GXY36" s="170"/>
      <c r="GXZ36" s="170"/>
      <c r="GYA36" s="170"/>
      <c r="GYB36" s="170"/>
      <c r="GYC36" s="170"/>
      <c r="GYD36" s="170"/>
      <c r="GYE36" s="170"/>
      <c r="GYF36" s="170"/>
      <c r="GYG36" s="170"/>
      <c r="GYH36" s="170"/>
      <c r="GYI36" s="170"/>
      <c r="GYJ36" s="170"/>
      <c r="GYK36" s="170"/>
      <c r="GYL36" s="170"/>
      <c r="GYM36" s="170"/>
      <c r="GYN36" s="170"/>
      <c r="GYO36" s="170"/>
      <c r="GYP36" s="170"/>
      <c r="GYQ36" s="170"/>
      <c r="GYR36" s="170"/>
      <c r="GYS36" s="170"/>
      <c r="GYT36" s="170"/>
      <c r="GYU36" s="170"/>
      <c r="GYV36" s="170"/>
      <c r="GYW36" s="170"/>
      <c r="GYX36" s="170"/>
      <c r="GYY36" s="170"/>
      <c r="GYZ36" s="170"/>
      <c r="GZA36" s="170"/>
      <c r="GZB36" s="170"/>
      <c r="GZC36" s="170"/>
      <c r="GZD36" s="170"/>
      <c r="GZE36" s="170"/>
      <c r="GZF36" s="170"/>
      <c r="GZG36" s="170"/>
      <c r="GZH36" s="170"/>
      <c r="GZI36" s="170"/>
      <c r="GZJ36" s="170"/>
      <c r="GZK36" s="170"/>
      <c r="GZL36" s="170"/>
      <c r="GZM36" s="170"/>
      <c r="GZN36" s="170"/>
      <c r="GZO36" s="170"/>
      <c r="GZP36" s="170"/>
      <c r="GZQ36" s="170"/>
      <c r="GZR36" s="170"/>
      <c r="GZS36" s="170"/>
      <c r="GZT36" s="170"/>
      <c r="GZU36" s="170"/>
      <c r="GZV36" s="170"/>
      <c r="GZW36" s="170"/>
      <c r="GZX36" s="170"/>
      <c r="GZY36" s="170"/>
      <c r="GZZ36" s="170"/>
      <c r="HAA36" s="170"/>
      <c r="HAB36" s="170"/>
      <c r="HAC36" s="170"/>
      <c r="HAD36" s="170"/>
      <c r="HAE36" s="170"/>
      <c r="HAF36" s="170"/>
      <c r="HAG36" s="170"/>
      <c r="HAH36" s="170"/>
      <c r="HAI36" s="170"/>
      <c r="HAJ36" s="170"/>
      <c r="HAK36" s="170"/>
      <c r="HAL36" s="170"/>
      <c r="HAM36" s="170"/>
      <c r="HAN36" s="170"/>
      <c r="HAO36" s="170"/>
      <c r="HAP36" s="170"/>
      <c r="HAQ36" s="170"/>
      <c r="HAR36" s="170"/>
      <c r="HAS36" s="170"/>
      <c r="HAT36" s="170"/>
      <c r="HAU36" s="170"/>
      <c r="HAV36" s="170"/>
      <c r="HAW36" s="170"/>
      <c r="HAX36" s="170"/>
      <c r="HAY36" s="170"/>
      <c r="HAZ36" s="170"/>
      <c r="HBA36" s="170"/>
      <c r="HBB36" s="170"/>
      <c r="HBC36" s="170"/>
      <c r="HBD36" s="170"/>
      <c r="HBE36" s="170"/>
      <c r="HBF36" s="170"/>
      <c r="HBG36" s="170"/>
      <c r="HBH36" s="170"/>
      <c r="HBI36" s="170"/>
      <c r="HBJ36" s="170"/>
      <c r="HBK36" s="170"/>
      <c r="HBL36" s="170"/>
      <c r="HBM36" s="170"/>
      <c r="HBN36" s="170"/>
      <c r="HBO36" s="170"/>
      <c r="HBP36" s="170"/>
      <c r="HBQ36" s="170"/>
      <c r="HBR36" s="170"/>
      <c r="HBS36" s="170"/>
      <c r="HBT36" s="170"/>
      <c r="HBU36" s="170"/>
      <c r="HBV36" s="170"/>
      <c r="HBW36" s="170"/>
      <c r="HBX36" s="170"/>
      <c r="HBY36" s="170"/>
      <c r="HBZ36" s="170"/>
      <c r="HCA36" s="170"/>
      <c r="HCB36" s="170"/>
      <c r="HCC36" s="170"/>
      <c r="HCD36" s="170"/>
      <c r="HCE36" s="170"/>
      <c r="HCF36" s="170"/>
      <c r="HCG36" s="170"/>
      <c r="HCH36" s="170"/>
      <c r="HCI36" s="170"/>
      <c r="HCJ36" s="170"/>
      <c r="HCK36" s="170"/>
      <c r="HCL36" s="170"/>
      <c r="HCM36" s="170"/>
      <c r="HCN36" s="170"/>
      <c r="HCO36" s="170"/>
      <c r="HCP36" s="170"/>
      <c r="HCQ36" s="170"/>
      <c r="HCR36" s="170"/>
      <c r="HCS36" s="170"/>
      <c r="HCT36" s="170"/>
      <c r="HCU36" s="170"/>
      <c r="HCV36" s="170"/>
      <c r="HCW36" s="170"/>
      <c r="HCX36" s="170"/>
      <c r="HCY36" s="170"/>
      <c r="HCZ36" s="170"/>
      <c r="HDA36" s="170"/>
      <c r="HDB36" s="170"/>
      <c r="HDC36" s="170"/>
      <c r="HDD36" s="170"/>
      <c r="HDE36" s="170"/>
      <c r="HDF36" s="170"/>
      <c r="HDG36" s="170"/>
      <c r="HDH36" s="170"/>
      <c r="HDI36" s="170"/>
      <c r="HDJ36" s="170"/>
      <c r="HDK36" s="170"/>
      <c r="HDL36" s="170"/>
      <c r="HDM36" s="170"/>
      <c r="HDN36" s="170"/>
      <c r="HDO36" s="170"/>
      <c r="HDP36" s="170"/>
      <c r="HDQ36" s="170"/>
      <c r="HDR36" s="170"/>
      <c r="HDS36" s="170"/>
      <c r="HDT36" s="170"/>
      <c r="HDU36" s="170"/>
      <c r="HDV36" s="170"/>
      <c r="HDW36" s="170"/>
      <c r="HDX36" s="170"/>
      <c r="HDY36" s="170"/>
      <c r="HDZ36" s="170"/>
      <c r="HEA36" s="170"/>
      <c r="HEB36" s="170"/>
      <c r="HEC36" s="170"/>
      <c r="HED36" s="170"/>
      <c r="HEE36" s="170"/>
      <c r="HEF36" s="170"/>
      <c r="HEG36" s="170"/>
      <c r="HEH36" s="170"/>
      <c r="HEI36" s="170"/>
      <c r="HEJ36" s="170"/>
      <c r="HEK36" s="170"/>
      <c r="HEL36" s="170"/>
      <c r="HEM36" s="170"/>
      <c r="HEN36" s="170"/>
      <c r="HEO36" s="170"/>
      <c r="HEP36" s="170"/>
      <c r="HEQ36" s="170"/>
      <c r="HER36" s="170"/>
      <c r="HES36" s="170"/>
      <c r="HET36" s="170"/>
      <c r="HEU36" s="170"/>
      <c r="HEV36" s="170"/>
      <c r="HEW36" s="170"/>
      <c r="HEX36" s="170"/>
      <c r="HEY36" s="170"/>
      <c r="HEZ36" s="170"/>
      <c r="HFA36" s="170"/>
      <c r="HFB36" s="170"/>
      <c r="HFC36" s="170"/>
      <c r="HFD36" s="170"/>
      <c r="HFE36" s="170"/>
      <c r="HFF36" s="170"/>
      <c r="HFG36" s="170"/>
      <c r="HFH36" s="170"/>
      <c r="HFI36" s="170"/>
      <c r="HFJ36" s="170"/>
      <c r="HFK36" s="170"/>
      <c r="HFL36" s="170"/>
      <c r="HFM36" s="170"/>
      <c r="HFN36" s="170"/>
      <c r="HFO36" s="170"/>
      <c r="HFP36" s="170"/>
      <c r="HFQ36" s="170"/>
      <c r="HFR36" s="170"/>
      <c r="HFS36" s="170"/>
      <c r="HFT36" s="170"/>
      <c r="HFU36" s="170"/>
      <c r="HFV36" s="170"/>
      <c r="HFW36" s="170"/>
      <c r="HFX36" s="170"/>
      <c r="HFY36" s="170"/>
      <c r="HFZ36" s="170"/>
      <c r="HGA36" s="170"/>
      <c r="HGB36" s="170"/>
      <c r="HGC36" s="170"/>
      <c r="HGD36" s="170"/>
      <c r="HGE36" s="170"/>
      <c r="HGF36" s="170"/>
      <c r="HGG36" s="170"/>
      <c r="HGH36" s="170"/>
      <c r="HGI36" s="170"/>
      <c r="HGJ36" s="170"/>
      <c r="HGK36" s="170"/>
      <c r="HGL36" s="170"/>
      <c r="HGM36" s="170"/>
      <c r="HGN36" s="170"/>
      <c r="HGO36" s="170"/>
      <c r="HGP36" s="170"/>
      <c r="HGQ36" s="170"/>
      <c r="HGR36" s="170"/>
      <c r="HGS36" s="170"/>
      <c r="HGT36" s="170"/>
      <c r="HGU36" s="170"/>
      <c r="HGV36" s="170"/>
      <c r="HGW36" s="170"/>
      <c r="HGX36" s="170"/>
      <c r="HGY36" s="170"/>
      <c r="HGZ36" s="170"/>
      <c r="HHA36" s="170"/>
      <c r="HHB36" s="170"/>
      <c r="HHC36" s="170"/>
      <c r="HHD36" s="170"/>
      <c r="HHE36" s="170"/>
      <c r="HHF36" s="170"/>
      <c r="HHG36" s="170"/>
      <c r="HHH36" s="170"/>
      <c r="HHI36" s="170"/>
      <c r="HHJ36" s="170"/>
      <c r="HHK36" s="170"/>
      <c r="HHL36" s="170"/>
      <c r="HHM36" s="170"/>
      <c r="HHN36" s="170"/>
      <c r="HHO36" s="170"/>
      <c r="HHP36" s="170"/>
      <c r="HHQ36" s="170"/>
      <c r="HHR36" s="170"/>
      <c r="HHS36" s="170"/>
      <c r="HHT36" s="170"/>
      <c r="HHU36" s="170"/>
      <c r="HHV36" s="170"/>
      <c r="HHW36" s="170"/>
      <c r="HHX36" s="170"/>
      <c r="HHY36" s="170"/>
      <c r="HHZ36" s="170"/>
      <c r="HIA36" s="170"/>
      <c r="HIB36" s="170"/>
      <c r="HIC36" s="170"/>
      <c r="HID36" s="170"/>
      <c r="HIE36" s="170"/>
      <c r="HIF36" s="170"/>
      <c r="HIG36" s="170"/>
      <c r="HIH36" s="170"/>
      <c r="HII36" s="170"/>
      <c r="HIJ36" s="170"/>
      <c r="HIK36" s="170"/>
      <c r="HIL36" s="170"/>
      <c r="HIM36" s="170"/>
      <c r="HIN36" s="170"/>
      <c r="HIO36" s="170"/>
      <c r="HIP36" s="170"/>
      <c r="HIQ36" s="170"/>
      <c r="HIR36" s="170"/>
      <c r="HIS36" s="170"/>
      <c r="HIT36" s="170"/>
      <c r="HIU36" s="170"/>
      <c r="HIV36" s="170"/>
      <c r="HIW36" s="170"/>
      <c r="HIX36" s="170"/>
      <c r="HIY36" s="170"/>
      <c r="HIZ36" s="170"/>
      <c r="HJA36" s="170"/>
      <c r="HJB36" s="170"/>
      <c r="HJC36" s="170"/>
      <c r="HJD36" s="170"/>
      <c r="HJE36" s="170"/>
      <c r="HJF36" s="170"/>
      <c r="HJG36" s="170"/>
      <c r="HJH36" s="170"/>
      <c r="HJI36" s="170"/>
      <c r="HJJ36" s="170"/>
      <c r="HJK36" s="170"/>
      <c r="HJL36" s="170"/>
      <c r="HJM36" s="170"/>
      <c r="HJN36" s="170"/>
      <c r="HJO36" s="170"/>
      <c r="HJP36" s="170"/>
      <c r="HJQ36" s="170"/>
      <c r="HJR36" s="170"/>
      <c r="HJS36" s="170"/>
      <c r="HJT36" s="170"/>
      <c r="HJU36" s="170"/>
      <c r="HJV36" s="170"/>
      <c r="HJW36" s="170"/>
      <c r="HJX36" s="170"/>
      <c r="HJY36" s="170"/>
      <c r="HJZ36" s="170"/>
      <c r="HKA36" s="170"/>
      <c r="HKB36" s="170"/>
      <c r="HKC36" s="170"/>
      <c r="HKD36" s="170"/>
      <c r="HKE36" s="170"/>
      <c r="HKF36" s="170"/>
      <c r="HKG36" s="170"/>
      <c r="HKH36" s="170"/>
      <c r="HKI36" s="170"/>
      <c r="HKJ36" s="170"/>
      <c r="HKK36" s="170"/>
      <c r="HKL36" s="170"/>
      <c r="HKM36" s="170"/>
      <c r="HKN36" s="170"/>
      <c r="HKO36" s="170"/>
      <c r="HKP36" s="170"/>
      <c r="HKQ36" s="170"/>
      <c r="HKR36" s="170"/>
      <c r="HKS36" s="170"/>
      <c r="HKT36" s="170"/>
      <c r="HKU36" s="170"/>
      <c r="HKV36" s="170"/>
      <c r="HKW36" s="170"/>
      <c r="HKX36" s="170"/>
      <c r="HKY36" s="170"/>
      <c r="HKZ36" s="170"/>
      <c r="HLA36" s="170"/>
      <c r="HLB36" s="170"/>
      <c r="HLC36" s="170"/>
      <c r="HLD36" s="170"/>
      <c r="HLE36" s="170"/>
      <c r="HLF36" s="170"/>
      <c r="HLG36" s="170"/>
      <c r="HLH36" s="170"/>
      <c r="HLI36" s="170"/>
      <c r="HLJ36" s="170"/>
      <c r="HLK36" s="170"/>
      <c r="HLL36" s="170"/>
      <c r="HLM36" s="170"/>
      <c r="HLN36" s="170"/>
      <c r="HLO36" s="170"/>
      <c r="HLP36" s="170"/>
      <c r="HLQ36" s="170"/>
      <c r="HLR36" s="170"/>
      <c r="HLS36" s="170"/>
      <c r="HLT36" s="170"/>
      <c r="HLU36" s="170"/>
      <c r="HLV36" s="170"/>
      <c r="HLW36" s="170"/>
      <c r="HLX36" s="170"/>
      <c r="HLY36" s="170"/>
      <c r="HLZ36" s="170"/>
      <c r="HMA36" s="170"/>
      <c r="HMB36" s="170"/>
      <c r="HMC36" s="170"/>
      <c r="HMD36" s="170"/>
      <c r="HME36" s="170"/>
      <c r="HMF36" s="170"/>
      <c r="HMG36" s="170"/>
      <c r="HMH36" s="170"/>
      <c r="HMI36" s="170"/>
      <c r="HMJ36" s="170"/>
      <c r="HMK36" s="170"/>
      <c r="HML36" s="170"/>
      <c r="HMM36" s="170"/>
      <c r="HMN36" s="170"/>
      <c r="HMO36" s="170"/>
      <c r="HMP36" s="170"/>
      <c r="HMQ36" s="170"/>
      <c r="HMR36" s="170"/>
      <c r="HMS36" s="170"/>
      <c r="HMT36" s="170"/>
      <c r="HMU36" s="170"/>
      <c r="HMV36" s="170"/>
      <c r="HMW36" s="170"/>
      <c r="HMX36" s="170"/>
      <c r="HMY36" s="170"/>
      <c r="HMZ36" s="170"/>
      <c r="HNA36" s="170"/>
      <c r="HNB36" s="170"/>
      <c r="HNC36" s="170"/>
      <c r="HND36" s="170"/>
      <c r="HNE36" s="170"/>
      <c r="HNF36" s="170"/>
      <c r="HNG36" s="170"/>
      <c r="HNH36" s="170"/>
      <c r="HNI36" s="170"/>
      <c r="HNJ36" s="170"/>
      <c r="HNK36" s="170"/>
      <c r="HNL36" s="170"/>
      <c r="HNM36" s="170"/>
      <c r="HNN36" s="170"/>
      <c r="HNO36" s="170"/>
      <c r="HNP36" s="170"/>
      <c r="HNQ36" s="170"/>
      <c r="HNR36" s="170"/>
      <c r="HNS36" s="170"/>
      <c r="HNT36" s="170"/>
      <c r="HNU36" s="170"/>
      <c r="HNV36" s="170"/>
      <c r="HNW36" s="170"/>
      <c r="HNX36" s="170"/>
      <c r="HNY36" s="170"/>
      <c r="HNZ36" s="170"/>
      <c r="HOA36" s="170"/>
      <c r="HOB36" s="170"/>
      <c r="HOC36" s="170"/>
      <c r="HOD36" s="170"/>
      <c r="HOE36" s="170"/>
      <c r="HOF36" s="170"/>
      <c r="HOG36" s="170"/>
      <c r="HOH36" s="170"/>
      <c r="HOI36" s="170"/>
      <c r="HOJ36" s="170"/>
      <c r="HOK36" s="170"/>
      <c r="HOL36" s="170"/>
      <c r="HOM36" s="170"/>
      <c r="HON36" s="170"/>
      <c r="HOO36" s="170"/>
      <c r="HOP36" s="170"/>
      <c r="HOQ36" s="170"/>
      <c r="HOR36" s="170"/>
      <c r="HOS36" s="170"/>
      <c r="HOT36" s="170"/>
      <c r="HOU36" s="170"/>
      <c r="HOV36" s="170"/>
      <c r="HOW36" s="170"/>
      <c r="HOX36" s="170"/>
      <c r="HOY36" s="170"/>
      <c r="HOZ36" s="170"/>
      <c r="HPA36" s="170"/>
      <c r="HPB36" s="170"/>
      <c r="HPC36" s="170"/>
      <c r="HPD36" s="170"/>
      <c r="HPE36" s="170"/>
      <c r="HPF36" s="170"/>
      <c r="HPG36" s="170"/>
      <c r="HPH36" s="170"/>
      <c r="HPI36" s="170"/>
      <c r="HPJ36" s="170"/>
      <c r="HPK36" s="170"/>
      <c r="HPL36" s="170"/>
      <c r="HPM36" s="170"/>
      <c r="HPN36" s="170"/>
      <c r="HPO36" s="170"/>
      <c r="HPP36" s="170"/>
      <c r="HPQ36" s="170"/>
      <c r="HPR36" s="170"/>
      <c r="HPS36" s="170"/>
      <c r="HPT36" s="170"/>
      <c r="HPU36" s="170"/>
      <c r="HPV36" s="170"/>
      <c r="HPW36" s="170"/>
      <c r="HPX36" s="170"/>
      <c r="HPY36" s="170"/>
      <c r="HPZ36" s="170"/>
      <c r="HQA36" s="170"/>
      <c r="HQB36" s="170"/>
      <c r="HQC36" s="170"/>
      <c r="HQD36" s="170"/>
      <c r="HQE36" s="170"/>
      <c r="HQF36" s="170"/>
      <c r="HQG36" s="170"/>
      <c r="HQH36" s="170"/>
      <c r="HQI36" s="170"/>
      <c r="HQJ36" s="170"/>
      <c r="HQK36" s="170"/>
      <c r="HQL36" s="170"/>
      <c r="HQM36" s="170"/>
      <c r="HQN36" s="170"/>
      <c r="HQO36" s="170"/>
      <c r="HQP36" s="170"/>
      <c r="HQQ36" s="170"/>
      <c r="HQR36" s="170"/>
      <c r="HQS36" s="170"/>
      <c r="HQT36" s="170"/>
      <c r="HQU36" s="170"/>
      <c r="HQV36" s="170"/>
      <c r="HQW36" s="170"/>
      <c r="HQX36" s="170"/>
      <c r="HQY36" s="170"/>
      <c r="HQZ36" s="170"/>
      <c r="HRA36" s="170"/>
      <c r="HRB36" s="170"/>
      <c r="HRC36" s="170"/>
      <c r="HRD36" s="170"/>
      <c r="HRE36" s="170"/>
      <c r="HRF36" s="170"/>
      <c r="HRG36" s="170"/>
      <c r="HRH36" s="170"/>
      <c r="HRI36" s="170"/>
      <c r="HRJ36" s="170"/>
      <c r="HRK36" s="170"/>
      <c r="HRL36" s="170"/>
      <c r="HRM36" s="170"/>
      <c r="HRN36" s="170"/>
      <c r="HRO36" s="170"/>
      <c r="HRP36" s="170"/>
      <c r="HRQ36" s="170"/>
      <c r="HRR36" s="170"/>
      <c r="HRS36" s="170"/>
      <c r="HRT36" s="170"/>
      <c r="HRU36" s="170"/>
      <c r="HRV36" s="170"/>
      <c r="HRW36" s="170"/>
      <c r="HRX36" s="170"/>
      <c r="HRY36" s="170"/>
      <c r="HRZ36" s="170"/>
      <c r="HSA36" s="170"/>
      <c r="HSB36" s="170"/>
      <c r="HSC36" s="170"/>
      <c r="HSD36" s="170"/>
      <c r="HSE36" s="170"/>
      <c r="HSF36" s="170"/>
      <c r="HSG36" s="170"/>
      <c r="HSH36" s="170"/>
      <c r="HSI36" s="170"/>
      <c r="HSJ36" s="170"/>
      <c r="HSK36" s="170"/>
      <c r="HSL36" s="170"/>
      <c r="HSM36" s="170"/>
      <c r="HSN36" s="170"/>
      <c r="HSO36" s="170"/>
      <c r="HSP36" s="170"/>
      <c r="HSQ36" s="170"/>
      <c r="HSR36" s="170"/>
      <c r="HSS36" s="170"/>
      <c r="HST36" s="170"/>
      <c r="HSU36" s="170"/>
      <c r="HSV36" s="170"/>
      <c r="HSW36" s="170"/>
      <c r="HSX36" s="170"/>
      <c r="HSY36" s="170"/>
      <c r="HSZ36" s="170"/>
      <c r="HTA36" s="170"/>
      <c r="HTB36" s="170"/>
      <c r="HTC36" s="170"/>
      <c r="HTD36" s="170"/>
      <c r="HTE36" s="170"/>
      <c r="HTF36" s="170"/>
      <c r="HTG36" s="170"/>
      <c r="HTH36" s="170"/>
      <c r="HTI36" s="170"/>
      <c r="HTJ36" s="170"/>
      <c r="HTK36" s="170"/>
      <c r="HTL36" s="170"/>
      <c r="HTM36" s="170"/>
      <c r="HTN36" s="170"/>
      <c r="HTO36" s="170"/>
      <c r="HTP36" s="170"/>
      <c r="HTQ36" s="170"/>
      <c r="HTR36" s="170"/>
      <c r="HTS36" s="170"/>
      <c r="HTT36" s="170"/>
      <c r="HTU36" s="170"/>
      <c r="HTV36" s="170"/>
      <c r="HTW36" s="170"/>
      <c r="HTX36" s="170"/>
      <c r="HTY36" s="170"/>
      <c r="HTZ36" s="170"/>
      <c r="HUA36" s="170"/>
      <c r="HUB36" s="170"/>
      <c r="HUC36" s="170"/>
      <c r="HUD36" s="170"/>
      <c r="HUE36" s="170"/>
      <c r="HUF36" s="170"/>
      <c r="HUG36" s="170"/>
      <c r="HUH36" s="170"/>
      <c r="HUI36" s="170"/>
      <c r="HUJ36" s="170"/>
      <c r="HUK36" s="170"/>
      <c r="HUL36" s="170"/>
      <c r="HUM36" s="170"/>
      <c r="HUN36" s="170"/>
      <c r="HUO36" s="170"/>
      <c r="HUP36" s="170"/>
      <c r="HUQ36" s="170"/>
      <c r="HUR36" s="170"/>
      <c r="HUS36" s="170"/>
      <c r="HUT36" s="170"/>
      <c r="HUU36" s="170"/>
      <c r="HUV36" s="170"/>
      <c r="HUW36" s="170"/>
      <c r="HUX36" s="170"/>
      <c r="HUY36" s="170"/>
      <c r="HUZ36" s="170"/>
      <c r="HVA36" s="170"/>
      <c r="HVB36" s="170"/>
      <c r="HVC36" s="170"/>
      <c r="HVD36" s="170"/>
      <c r="HVE36" s="170"/>
      <c r="HVF36" s="170"/>
      <c r="HVG36" s="170"/>
      <c r="HVH36" s="170"/>
      <c r="HVI36" s="170"/>
      <c r="HVJ36" s="170"/>
      <c r="HVK36" s="170"/>
      <c r="HVL36" s="170"/>
      <c r="HVM36" s="170"/>
      <c r="HVN36" s="170"/>
      <c r="HVO36" s="170"/>
      <c r="HVP36" s="170"/>
      <c r="HVQ36" s="170"/>
      <c r="HVR36" s="170"/>
      <c r="HVS36" s="170"/>
      <c r="HVT36" s="170"/>
      <c r="HVU36" s="170"/>
      <c r="HVV36" s="170"/>
      <c r="HVW36" s="170"/>
      <c r="HVX36" s="170"/>
      <c r="HVY36" s="170"/>
      <c r="HVZ36" s="170"/>
      <c r="HWA36" s="170"/>
      <c r="HWB36" s="170"/>
      <c r="HWC36" s="170"/>
      <c r="HWD36" s="170"/>
      <c r="HWE36" s="170"/>
      <c r="HWF36" s="170"/>
      <c r="HWG36" s="170"/>
      <c r="HWH36" s="170"/>
      <c r="HWI36" s="170"/>
      <c r="HWJ36" s="170"/>
      <c r="HWK36" s="170"/>
      <c r="HWL36" s="170"/>
      <c r="HWM36" s="170"/>
      <c r="HWN36" s="170"/>
      <c r="HWO36" s="170"/>
      <c r="HWP36" s="170"/>
      <c r="HWQ36" s="170"/>
      <c r="HWR36" s="170"/>
      <c r="HWS36" s="170"/>
      <c r="HWT36" s="170"/>
      <c r="HWU36" s="170"/>
      <c r="HWV36" s="170"/>
      <c r="HWW36" s="170"/>
      <c r="HWX36" s="170"/>
      <c r="HWY36" s="170"/>
      <c r="HWZ36" s="170"/>
      <c r="HXA36" s="170"/>
      <c r="HXB36" s="170"/>
      <c r="HXC36" s="170"/>
      <c r="HXD36" s="170"/>
      <c r="HXE36" s="170"/>
      <c r="HXF36" s="170"/>
      <c r="HXG36" s="170"/>
      <c r="HXH36" s="170"/>
      <c r="HXI36" s="170"/>
      <c r="HXJ36" s="170"/>
      <c r="HXK36" s="170"/>
      <c r="HXL36" s="170"/>
      <c r="HXM36" s="170"/>
      <c r="HXN36" s="170"/>
      <c r="HXO36" s="170"/>
      <c r="HXP36" s="170"/>
      <c r="HXQ36" s="170"/>
      <c r="HXR36" s="170"/>
      <c r="HXS36" s="170"/>
      <c r="HXT36" s="170"/>
      <c r="HXU36" s="170"/>
      <c r="HXV36" s="170"/>
      <c r="HXW36" s="170"/>
      <c r="HXX36" s="170"/>
      <c r="HXY36" s="170"/>
      <c r="HXZ36" s="170"/>
      <c r="HYA36" s="170"/>
      <c r="HYB36" s="170"/>
      <c r="HYC36" s="170"/>
      <c r="HYD36" s="170"/>
      <c r="HYE36" s="170"/>
      <c r="HYF36" s="170"/>
      <c r="HYG36" s="170"/>
      <c r="HYH36" s="170"/>
      <c r="HYI36" s="170"/>
      <c r="HYJ36" s="170"/>
      <c r="HYK36" s="170"/>
      <c r="HYL36" s="170"/>
      <c r="HYM36" s="170"/>
      <c r="HYN36" s="170"/>
      <c r="HYO36" s="170"/>
      <c r="HYP36" s="170"/>
      <c r="HYQ36" s="170"/>
      <c r="HYR36" s="170"/>
      <c r="HYS36" s="170"/>
      <c r="HYT36" s="170"/>
      <c r="HYU36" s="170"/>
      <c r="HYV36" s="170"/>
      <c r="HYW36" s="170"/>
      <c r="HYX36" s="170"/>
      <c r="HYY36" s="170"/>
      <c r="HYZ36" s="170"/>
      <c r="HZA36" s="170"/>
      <c r="HZB36" s="170"/>
      <c r="HZC36" s="170"/>
      <c r="HZD36" s="170"/>
      <c r="HZE36" s="170"/>
      <c r="HZF36" s="170"/>
      <c r="HZG36" s="170"/>
      <c r="HZH36" s="170"/>
      <c r="HZI36" s="170"/>
      <c r="HZJ36" s="170"/>
      <c r="HZK36" s="170"/>
      <c r="HZL36" s="170"/>
      <c r="HZM36" s="170"/>
      <c r="HZN36" s="170"/>
      <c r="HZO36" s="170"/>
      <c r="HZP36" s="170"/>
      <c r="HZQ36" s="170"/>
      <c r="HZR36" s="170"/>
      <c r="HZS36" s="170"/>
      <c r="HZT36" s="170"/>
      <c r="HZU36" s="170"/>
      <c r="HZV36" s="170"/>
      <c r="HZW36" s="170"/>
      <c r="HZX36" s="170"/>
      <c r="HZY36" s="170"/>
      <c r="HZZ36" s="170"/>
      <c r="IAA36" s="170"/>
      <c r="IAB36" s="170"/>
      <c r="IAC36" s="170"/>
      <c r="IAD36" s="170"/>
      <c r="IAE36" s="170"/>
      <c r="IAF36" s="170"/>
      <c r="IAG36" s="170"/>
      <c r="IAH36" s="170"/>
      <c r="IAI36" s="170"/>
      <c r="IAJ36" s="170"/>
      <c r="IAK36" s="170"/>
      <c r="IAL36" s="170"/>
      <c r="IAM36" s="170"/>
      <c r="IAN36" s="170"/>
      <c r="IAO36" s="170"/>
      <c r="IAP36" s="170"/>
      <c r="IAQ36" s="170"/>
      <c r="IAR36" s="170"/>
      <c r="IAS36" s="170"/>
      <c r="IAT36" s="170"/>
      <c r="IAU36" s="170"/>
      <c r="IAV36" s="170"/>
      <c r="IAW36" s="170"/>
      <c r="IAX36" s="170"/>
      <c r="IAY36" s="170"/>
      <c r="IAZ36" s="170"/>
      <c r="IBA36" s="170"/>
      <c r="IBB36" s="170"/>
      <c r="IBC36" s="170"/>
      <c r="IBD36" s="170"/>
      <c r="IBE36" s="170"/>
      <c r="IBF36" s="170"/>
      <c r="IBG36" s="170"/>
      <c r="IBH36" s="170"/>
      <c r="IBI36" s="170"/>
      <c r="IBJ36" s="170"/>
      <c r="IBK36" s="170"/>
      <c r="IBL36" s="170"/>
      <c r="IBM36" s="170"/>
      <c r="IBN36" s="170"/>
      <c r="IBO36" s="170"/>
      <c r="IBP36" s="170"/>
      <c r="IBQ36" s="170"/>
      <c r="IBR36" s="170"/>
      <c r="IBS36" s="170"/>
      <c r="IBT36" s="170"/>
      <c r="IBU36" s="170"/>
      <c r="IBV36" s="170"/>
      <c r="IBW36" s="170"/>
      <c r="IBX36" s="170"/>
      <c r="IBY36" s="170"/>
      <c r="IBZ36" s="170"/>
      <c r="ICA36" s="170"/>
      <c r="ICB36" s="170"/>
      <c r="ICC36" s="170"/>
      <c r="ICD36" s="170"/>
      <c r="ICE36" s="170"/>
      <c r="ICF36" s="170"/>
      <c r="ICG36" s="170"/>
      <c r="ICH36" s="170"/>
      <c r="ICI36" s="170"/>
      <c r="ICJ36" s="170"/>
      <c r="ICK36" s="170"/>
      <c r="ICL36" s="170"/>
      <c r="ICM36" s="170"/>
      <c r="ICN36" s="170"/>
      <c r="ICO36" s="170"/>
      <c r="ICP36" s="170"/>
      <c r="ICQ36" s="170"/>
      <c r="ICR36" s="170"/>
      <c r="ICS36" s="170"/>
      <c r="ICT36" s="170"/>
      <c r="ICU36" s="170"/>
      <c r="ICV36" s="170"/>
      <c r="ICW36" s="170"/>
      <c r="ICX36" s="170"/>
      <c r="ICY36" s="170"/>
      <c r="ICZ36" s="170"/>
      <c r="IDA36" s="170"/>
      <c r="IDB36" s="170"/>
      <c r="IDC36" s="170"/>
      <c r="IDD36" s="170"/>
      <c r="IDE36" s="170"/>
      <c r="IDF36" s="170"/>
      <c r="IDG36" s="170"/>
      <c r="IDH36" s="170"/>
      <c r="IDI36" s="170"/>
      <c r="IDJ36" s="170"/>
      <c r="IDK36" s="170"/>
      <c r="IDL36" s="170"/>
      <c r="IDM36" s="170"/>
      <c r="IDN36" s="170"/>
      <c r="IDO36" s="170"/>
      <c r="IDP36" s="170"/>
      <c r="IDQ36" s="170"/>
      <c r="IDR36" s="170"/>
      <c r="IDS36" s="170"/>
      <c r="IDT36" s="170"/>
      <c r="IDU36" s="170"/>
      <c r="IDV36" s="170"/>
      <c r="IDW36" s="170"/>
      <c r="IDX36" s="170"/>
      <c r="IDY36" s="170"/>
      <c r="IDZ36" s="170"/>
      <c r="IEA36" s="170"/>
      <c r="IEB36" s="170"/>
      <c r="IEC36" s="170"/>
      <c r="IED36" s="170"/>
      <c r="IEE36" s="170"/>
      <c r="IEF36" s="170"/>
      <c r="IEG36" s="170"/>
      <c r="IEH36" s="170"/>
      <c r="IEI36" s="170"/>
      <c r="IEJ36" s="170"/>
      <c r="IEK36" s="170"/>
      <c r="IEL36" s="170"/>
      <c r="IEM36" s="170"/>
      <c r="IEN36" s="170"/>
      <c r="IEO36" s="170"/>
      <c r="IEP36" s="170"/>
      <c r="IEQ36" s="170"/>
      <c r="IER36" s="170"/>
      <c r="IES36" s="170"/>
      <c r="IET36" s="170"/>
      <c r="IEU36" s="170"/>
      <c r="IEV36" s="170"/>
      <c r="IEW36" s="170"/>
      <c r="IEX36" s="170"/>
      <c r="IEY36" s="170"/>
      <c r="IEZ36" s="170"/>
      <c r="IFA36" s="170"/>
      <c r="IFB36" s="170"/>
      <c r="IFC36" s="170"/>
      <c r="IFD36" s="170"/>
      <c r="IFE36" s="170"/>
      <c r="IFF36" s="170"/>
      <c r="IFG36" s="170"/>
      <c r="IFH36" s="170"/>
      <c r="IFI36" s="170"/>
      <c r="IFJ36" s="170"/>
      <c r="IFK36" s="170"/>
      <c r="IFL36" s="170"/>
      <c r="IFM36" s="170"/>
      <c r="IFN36" s="170"/>
      <c r="IFO36" s="170"/>
      <c r="IFP36" s="170"/>
      <c r="IFQ36" s="170"/>
      <c r="IFR36" s="170"/>
      <c r="IFS36" s="170"/>
      <c r="IFT36" s="170"/>
      <c r="IFU36" s="170"/>
      <c r="IFV36" s="170"/>
      <c r="IFW36" s="170"/>
      <c r="IFX36" s="170"/>
      <c r="IFY36" s="170"/>
      <c r="IFZ36" s="170"/>
      <c r="IGA36" s="170"/>
      <c r="IGB36" s="170"/>
      <c r="IGC36" s="170"/>
      <c r="IGD36" s="170"/>
      <c r="IGE36" s="170"/>
      <c r="IGF36" s="170"/>
      <c r="IGG36" s="170"/>
      <c r="IGH36" s="170"/>
      <c r="IGI36" s="170"/>
      <c r="IGJ36" s="170"/>
      <c r="IGK36" s="170"/>
      <c r="IGL36" s="170"/>
      <c r="IGM36" s="170"/>
      <c r="IGN36" s="170"/>
      <c r="IGO36" s="170"/>
      <c r="IGP36" s="170"/>
      <c r="IGQ36" s="170"/>
      <c r="IGR36" s="170"/>
      <c r="IGS36" s="170"/>
      <c r="IGT36" s="170"/>
      <c r="IGU36" s="170"/>
      <c r="IGV36" s="170"/>
      <c r="IGW36" s="170"/>
      <c r="IGX36" s="170"/>
      <c r="IGY36" s="170"/>
      <c r="IGZ36" s="170"/>
      <c r="IHA36" s="170"/>
      <c r="IHB36" s="170"/>
      <c r="IHC36" s="170"/>
      <c r="IHD36" s="170"/>
      <c r="IHE36" s="170"/>
      <c r="IHF36" s="170"/>
      <c r="IHG36" s="170"/>
      <c r="IHH36" s="170"/>
      <c r="IHI36" s="170"/>
      <c r="IHJ36" s="170"/>
      <c r="IHK36" s="170"/>
      <c r="IHL36" s="170"/>
      <c r="IHM36" s="170"/>
      <c r="IHN36" s="170"/>
      <c r="IHO36" s="170"/>
      <c r="IHP36" s="170"/>
      <c r="IHQ36" s="170"/>
      <c r="IHR36" s="170"/>
      <c r="IHS36" s="170"/>
      <c r="IHT36" s="170"/>
      <c r="IHU36" s="170"/>
      <c r="IHV36" s="170"/>
      <c r="IHW36" s="170"/>
      <c r="IHX36" s="170"/>
      <c r="IHY36" s="170"/>
      <c r="IHZ36" s="170"/>
      <c r="IIA36" s="170"/>
      <c r="IIB36" s="170"/>
      <c r="IIC36" s="170"/>
      <c r="IID36" s="170"/>
      <c r="IIE36" s="170"/>
      <c r="IIF36" s="170"/>
      <c r="IIG36" s="170"/>
      <c r="IIH36" s="170"/>
      <c r="III36" s="170"/>
      <c r="IIJ36" s="170"/>
      <c r="IIK36" s="170"/>
      <c r="IIL36" s="170"/>
      <c r="IIM36" s="170"/>
      <c r="IIN36" s="170"/>
      <c r="IIO36" s="170"/>
      <c r="IIP36" s="170"/>
      <c r="IIQ36" s="170"/>
      <c r="IIR36" s="170"/>
      <c r="IIS36" s="170"/>
      <c r="IIT36" s="170"/>
      <c r="IIU36" s="170"/>
      <c r="IIV36" s="170"/>
      <c r="IIW36" s="170"/>
      <c r="IIX36" s="170"/>
      <c r="IIY36" s="170"/>
      <c r="IIZ36" s="170"/>
      <c r="IJA36" s="170"/>
      <c r="IJB36" s="170"/>
      <c r="IJC36" s="170"/>
      <c r="IJD36" s="170"/>
      <c r="IJE36" s="170"/>
      <c r="IJF36" s="170"/>
      <c r="IJG36" s="170"/>
      <c r="IJH36" s="170"/>
      <c r="IJI36" s="170"/>
      <c r="IJJ36" s="170"/>
      <c r="IJK36" s="170"/>
      <c r="IJL36" s="170"/>
      <c r="IJM36" s="170"/>
      <c r="IJN36" s="170"/>
      <c r="IJO36" s="170"/>
      <c r="IJP36" s="170"/>
      <c r="IJQ36" s="170"/>
      <c r="IJR36" s="170"/>
      <c r="IJS36" s="170"/>
      <c r="IJT36" s="170"/>
      <c r="IJU36" s="170"/>
      <c r="IJV36" s="170"/>
      <c r="IJW36" s="170"/>
      <c r="IJX36" s="170"/>
      <c r="IJY36" s="170"/>
      <c r="IJZ36" s="170"/>
      <c r="IKA36" s="170"/>
      <c r="IKB36" s="170"/>
      <c r="IKC36" s="170"/>
      <c r="IKD36" s="170"/>
      <c r="IKE36" s="170"/>
      <c r="IKF36" s="170"/>
      <c r="IKG36" s="170"/>
      <c r="IKH36" s="170"/>
      <c r="IKI36" s="170"/>
      <c r="IKJ36" s="170"/>
      <c r="IKK36" s="170"/>
      <c r="IKL36" s="170"/>
      <c r="IKM36" s="170"/>
      <c r="IKN36" s="170"/>
      <c r="IKO36" s="170"/>
      <c r="IKP36" s="170"/>
      <c r="IKQ36" s="170"/>
      <c r="IKR36" s="170"/>
      <c r="IKS36" s="170"/>
      <c r="IKT36" s="170"/>
      <c r="IKU36" s="170"/>
      <c r="IKV36" s="170"/>
      <c r="IKW36" s="170"/>
      <c r="IKX36" s="170"/>
      <c r="IKY36" s="170"/>
      <c r="IKZ36" s="170"/>
      <c r="ILA36" s="170"/>
      <c r="ILB36" s="170"/>
      <c r="ILC36" s="170"/>
      <c r="ILD36" s="170"/>
      <c r="ILE36" s="170"/>
      <c r="ILF36" s="170"/>
      <c r="ILG36" s="170"/>
      <c r="ILH36" s="170"/>
      <c r="ILI36" s="170"/>
      <c r="ILJ36" s="170"/>
      <c r="ILK36" s="170"/>
      <c r="ILL36" s="170"/>
      <c r="ILM36" s="170"/>
      <c r="ILN36" s="170"/>
      <c r="ILO36" s="170"/>
      <c r="ILP36" s="170"/>
      <c r="ILQ36" s="170"/>
      <c r="ILR36" s="170"/>
      <c r="ILS36" s="170"/>
      <c r="ILT36" s="170"/>
      <c r="ILU36" s="170"/>
      <c r="ILV36" s="170"/>
      <c r="ILW36" s="170"/>
      <c r="ILX36" s="170"/>
      <c r="ILY36" s="170"/>
      <c r="ILZ36" s="170"/>
      <c r="IMA36" s="170"/>
      <c r="IMB36" s="170"/>
      <c r="IMC36" s="170"/>
      <c r="IMD36" s="170"/>
      <c r="IME36" s="170"/>
      <c r="IMF36" s="170"/>
      <c r="IMG36" s="170"/>
      <c r="IMH36" s="170"/>
      <c r="IMI36" s="170"/>
      <c r="IMJ36" s="170"/>
      <c r="IMK36" s="170"/>
      <c r="IML36" s="170"/>
      <c r="IMM36" s="170"/>
      <c r="IMN36" s="170"/>
      <c r="IMO36" s="170"/>
      <c r="IMP36" s="170"/>
      <c r="IMQ36" s="170"/>
      <c r="IMR36" s="170"/>
      <c r="IMS36" s="170"/>
      <c r="IMT36" s="170"/>
      <c r="IMU36" s="170"/>
      <c r="IMV36" s="170"/>
      <c r="IMW36" s="170"/>
      <c r="IMX36" s="170"/>
      <c r="IMY36" s="170"/>
      <c r="IMZ36" s="170"/>
      <c r="INA36" s="170"/>
      <c r="INB36" s="170"/>
      <c r="INC36" s="170"/>
      <c r="IND36" s="170"/>
      <c r="INE36" s="170"/>
      <c r="INF36" s="170"/>
      <c r="ING36" s="170"/>
      <c r="INH36" s="170"/>
      <c r="INI36" s="170"/>
      <c r="INJ36" s="170"/>
      <c r="INK36" s="170"/>
      <c r="INL36" s="170"/>
      <c r="INM36" s="170"/>
      <c r="INN36" s="170"/>
      <c r="INO36" s="170"/>
      <c r="INP36" s="170"/>
      <c r="INQ36" s="170"/>
      <c r="INR36" s="170"/>
      <c r="INS36" s="170"/>
      <c r="INT36" s="170"/>
      <c r="INU36" s="170"/>
      <c r="INV36" s="170"/>
      <c r="INW36" s="170"/>
      <c r="INX36" s="170"/>
      <c r="INY36" s="170"/>
      <c r="INZ36" s="170"/>
      <c r="IOA36" s="170"/>
      <c r="IOB36" s="170"/>
      <c r="IOC36" s="170"/>
      <c r="IOD36" s="170"/>
      <c r="IOE36" s="170"/>
      <c r="IOF36" s="170"/>
      <c r="IOG36" s="170"/>
      <c r="IOH36" s="170"/>
      <c r="IOI36" s="170"/>
      <c r="IOJ36" s="170"/>
      <c r="IOK36" s="170"/>
      <c r="IOL36" s="170"/>
      <c r="IOM36" s="170"/>
      <c r="ION36" s="170"/>
      <c r="IOO36" s="170"/>
      <c r="IOP36" s="170"/>
      <c r="IOQ36" s="170"/>
      <c r="IOR36" s="170"/>
      <c r="IOS36" s="170"/>
      <c r="IOT36" s="170"/>
      <c r="IOU36" s="170"/>
      <c r="IOV36" s="170"/>
      <c r="IOW36" s="170"/>
      <c r="IOX36" s="170"/>
      <c r="IOY36" s="170"/>
      <c r="IOZ36" s="170"/>
      <c r="IPA36" s="170"/>
      <c r="IPB36" s="170"/>
      <c r="IPC36" s="170"/>
      <c r="IPD36" s="170"/>
      <c r="IPE36" s="170"/>
      <c r="IPF36" s="170"/>
      <c r="IPG36" s="170"/>
      <c r="IPH36" s="170"/>
      <c r="IPI36" s="170"/>
      <c r="IPJ36" s="170"/>
      <c r="IPK36" s="170"/>
      <c r="IPL36" s="170"/>
      <c r="IPM36" s="170"/>
      <c r="IPN36" s="170"/>
      <c r="IPO36" s="170"/>
      <c r="IPP36" s="170"/>
      <c r="IPQ36" s="170"/>
      <c r="IPR36" s="170"/>
      <c r="IPS36" s="170"/>
      <c r="IPT36" s="170"/>
      <c r="IPU36" s="170"/>
      <c r="IPV36" s="170"/>
      <c r="IPW36" s="170"/>
      <c r="IPX36" s="170"/>
      <c r="IPY36" s="170"/>
      <c r="IPZ36" s="170"/>
      <c r="IQA36" s="170"/>
      <c r="IQB36" s="170"/>
      <c r="IQC36" s="170"/>
      <c r="IQD36" s="170"/>
      <c r="IQE36" s="170"/>
      <c r="IQF36" s="170"/>
      <c r="IQG36" s="170"/>
      <c r="IQH36" s="170"/>
      <c r="IQI36" s="170"/>
      <c r="IQJ36" s="170"/>
      <c r="IQK36" s="170"/>
      <c r="IQL36" s="170"/>
      <c r="IQM36" s="170"/>
      <c r="IQN36" s="170"/>
      <c r="IQO36" s="170"/>
      <c r="IQP36" s="170"/>
      <c r="IQQ36" s="170"/>
      <c r="IQR36" s="170"/>
      <c r="IQS36" s="170"/>
      <c r="IQT36" s="170"/>
      <c r="IQU36" s="170"/>
      <c r="IQV36" s="170"/>
      <c r="IQW36" s="170"/>
      <c r="IQX36" s="170"/>
      <c r="IQY36" s="170"/>
      <c r="IQZ36" s="170"/>
      <c r="IRA36" s="170"/>
      <c r="IRB36" s="170"/>
      <c r="IRC36" s="170"/>
      <c r="IRD36" s="170"/>
      <c r="IRE36" s="170"/>
      <c r="IRF36" s="170"/>
      <c r="IRG36" s="170"/>
      <c r="IRH36" s="170"/>
      <c r="IRI36" s="170"/>
      <c r="IRJ36" s="170"/>
      <c r="IRK36" s="170"/>
      <c r="IRL36" s="170"/>
      <c r="IRM36" s="170"/>
      <c r="IRN36" s="170"/>
      <c r="IRO36" s="170"/>
      <c r="IRP36" s="170"/>
      <c r="IRQ36" s="170"/>
      <c r="IRR36" s="170"/>
      <c r="IRS36" s="170"/>
      <c r="IRT36" s="170"/>
      <c r="IRU36" s="170"/>
      <c r="IRV36" s="170"/>
      <c r="IRW36" s="170"/>
      <c r="IRX36" s="170"/>
      <c r="IRY36" s="170"/>
      <c r="IRZ36" s="170"/>
      <c r="ISA36" s="170"/>
      <c r="ISB36" s="170"/>
      <c r="ISC36" s="170"/>
      <c r="ISD36" s="170"/>
      <c r="ISE36" s="170"/>
      <c r="ISF36" s="170"/>
      <c r="ISG36" s="170"/>
      <c r="ISH36" s="170"/>
      <c r="ISI36" s="170"/>
      <c r="ISJ36" s="170"/>
      <c r="ISK36" s="170"/>
      <c r="ISL36" s="170"/>
      <c r="ISM36" s="170"/>
      <c r="ISN36" s="170"/>
      <c r="ISO36" s="170"/>
      <c r="ISP36" s="170"/>
      <c r="ISQ36" s="170"/>
      <c r="ISR36" s="170"/>
      <c r="ISS36" s="170"/>
      <c r="IST36" s="170"/>
      <c r="ISU36" s="170"/>
      <c r="ISV36" s="170"/>
      <c r="ISW36" s="170"/>
      <c r="ISX36" s="170"/>
      <c r="ISY36" s="170"/>
      <c r="ISZ36" s="170"/>
      <c r="ITA36" s="170"/>
      <c r="ITB36" s="170"/>
      <c r="ITC36" s="170"/>
      <c r="ITD36" s="170"/>
      <c r="ITE36" s="170"/>
      <c r="ITF36" s="170"/>
      <c r="ITG36" s="170"/>
      <c r="ITH36" s="170"/>
      <c r="ITI36" s="170"/>
      <c r="ITJ36" s="170"/>
      <c r="ITK36" s="170"/>
      <c r="ITL36" s="170"/>
      <c r="ITM36" s="170"/>
      <c r="ITN36" s="170"/>
      <c r="ITO36" s="170"/>
      <c r="ITP36" s="170"/>
      <c r="ITQ36" s="170"/>
      <c r="ITR36" s="170"/>
      <c r="ITS36" s="170"/>
      <c r="ITT36" s="170"/>
      <c r="ITU36" s="170"/>
      <c r="ITV36" s="170"/>
      <c r="ITW36" s="170"/>
      <c r="ITX36" s="170"/>
      <c r="ITY36" s="170"/>
      <c r="ITZ36" s="170"/>
      <c r="IUA36" s="170"/>
      <c r="IUB36" s="170"/>
      <c r="IUC36" s="170"/>
      <c r="IUD36" s="170"/>
      <c r="IUE36" s="170"/>
      <c r="IUF36" s="170"/>
      <c r="IUG36" s="170"/>
      <c r="IUH36" s="170"/>
      <c r="IUI36" s="170"/>
      <c r="IUJ36" s="170"/>
      <c r="IUK36" s="170"/>
      <c r="IUL36" s="170"/>
      <c r="IUM36" s="170"/>
      <c r="IUN36" s="170"/>
      <c r="IUO36" s="170"/>
      <c r="IUP36" s="170"/>
      <c r="IUQ36" s="170"/>
      <c r="IUR36" s="170"/>
      <c r="IUS36" s="170"/>
      <c r="IUT36" s="170"/>
      <c r="IUU36" s="170"/>
      <c r="IUV36" s="170"/>
      <c r="IUW36" s="170"/>
      <c r="IUX36" s="170"/>
      <c r="IUY36" s="170"/>
      <c r="IUZ36" s="170"/>
      <c r="IVA36" s="170"/>
      <c r="IVB36" s="170"/>
      <c r="IVC36" s="170"/>
      <c r="IVD36" s="170"/>
      <c r="IVE36" s="170"/>
      <c r="IVF36" s="170"/>
      <c r="IVG36" s="170"/>
      <c r="IVH36" s="170"/>
      <c r="IVI36" s="170"/>
      <c r="IVJ36" s="170"/>
      <c r="IVK36" s="170"/>
      <c r="IVL36" s="170"/>
      <c r="IVM36" s="170"/>
      <c r="IVN36" s="170"/>
      <c r="IVO36" s="170"/>
      <c r="IVP36" s="170"/>
      <c r="IVQ36" s="170"/>
      <c r="IVR36" s="170"/>
      <c r="IVS36" s="170"/>
      <c r="IVT36" s="170"/>
      <c r="IVU36" s="170"/>
      <c r="IVV36" s="170"/>
      <c r="IVW36" s="170"/>
      <c r="IVX36" s="170"/>
      <c r="IVY36" s="170"/>
      <c r="IVZ36" s="170"/>
      <c r="IWA36" s="170"/>
      <c r="IWB36" s="170"/>
      <c r="IWC36" s="170"/>
      <c r="IWD36" s="170"/>
      <c r="IWE36" s="170"/>
      <c r="IWF36" s="170"/>
      <c r="IWG36" s="170"/>
      <c r="IWH36" s="170"/>
      <c r="IWI36" s="170"/>
      <c r="IWJ36" s="170"/>
      <c r="IWK36" s="170"/>
      <c r="IWL36" s="170"/>
      <c r="IWM36" s="170"/>
      <c r="IWN36" s="170"/>
      <c r="IWO36" s="170"/>
      <c r="IWP36" s="170"/>
      <c r="IWQ36" s="170"/>
      <c r="IWR36" s="170"/>
      <c r="IWS36" s="170"/>
      <c r="IWT36" s="170"/>
      <c r="IWU36" s="170"/>
      <c r="IWV36" s="170"/>
      <c r="IWW36" s="170"/>
      <c r="IWX36" s="170"/>
      <c r="IWY36" s="170"/>
      <c r="IWZ36" s="170"/>
      <c r="IXA36" s="170"/>
      <c r="IXB36" s="170"/>
      <c r="IXC36" s="170"/>
      <c r="IXD36" s="170"/>
      <c r="IXE36" s="170"/>
      <c r="IXF36" s="170"/>
      <c r="IXG36" s="170"/>
      <c r="IXH36" s="170"/>
      <c r="IXI36" s="170"/>
      <c r="IXJ36" s="170"/>
      <c r="IXK36" s="170"/>
      <c r="IXL36" s="170"/>
      <c r="IXM36" s="170"/>
      <c r="IXN36" s="170"/>
      <c r="IXO36" s="170"/>
      <c r="IXP36" s="170"/>
      <c r="IXQ36" s="170"/>
      <c r="IXR36" s="170"/>
      <c r="IXS36" s="170"/>
      <c r="IXT36" s="170"/>
      <c r="IXU36" s="170"/>
      <c r="IXV36" s="170"/>
      <c r="IXW36" s="170"/>
      <c r="IXX36" s="170"/>
      <c r="IXY36" s="170"/>
      <c r="IXZ36" s="170"/>
      <c r="IYA36" s="170"/>
      <c r="IYB36" s="170"/>
      <c r="IYC36" s="170"/>
      <c r="IYD36" s="170"/>
      <c r="IYE36" s="170"/>
      <c r="IYF36" s="170"/>
      <c r="IYG36" s="170"/>
      <c r="IYH36" s="170"/>
      <c r="IYI36" s="170"/>
      <c r="IYJ36" s="170"/>
      <c r="IYK36" s="170"/>
      <c r="IYL36" s="170"/>
      <c r="IYM36" s="170"/>
      <c r="IYN36" s="170"/>
      <c r="IYO36" s="170"/>
      <c r="IYP36" s="170"/>
      <c r="IYQ36" s="170"/>
      <c r="IYR36" s="170"/>
      <c r="IYS36" s="170"/>
      <c r="IYT36" s="170"/>
      <c r="IYU36" s="170"/>
      <c r="IYV36" s="170"/>
      <c r="IYW36" s="170"/>
      <c r="IYX36" s="170"/>
      <c r="IYY36" s="170"/>
      <c r="IYZ36" s="170"/>
      <c r="IZA36" s="170"/>
      <c r="IZB36" s="170"/>
      <c r="IZC36" s="170"/>
      <c r="IZD36" s="170"/>
      <c r="IZE36" s="170"/>
      <c r="IZF36" s="170"/>
      <c r="IZG36" s="170"/>
      <c r="IZH36" s="170"/>
      <c r="IZI36" s="170"/>
      <c r="IZJ36" s="170"/>
      <c r="IZK36" s="170"/>
      <c r="IZL36" s="170"/>
      <c r="IZM36" s="170"/>
      <c r="IZN36" s="170"/>
      <c r="IZO36" s="170"/>
      <c r="IZP36" s="170"/>
      <c r="IZQ36" s="170"/>
      <c r="IZR36" s="170"/>
      <c r="IZS36" s="170"/>
      <c r="IZT36" s="170"/>
      <c r="IZU36" s="170"/>
      <c r="IZV36" s="170"/>
      <c r="IZW36" s="170"/>
      <c r="IZX36" s="170"/>
      <c r="IZY36" s="170"/>
      <c r="IZZ36" s="170"/>
      <c r="JAA36" s="170"/>
      <c r="JAB36" s="170"/>
      <c r="JAC36" s="170"/>
      <c r="JAD36" s="170"/>
      <c r="JAE36" s="170"/>
      <c r="JAF36" s="170"/>
      <c r="JAG36" s="170"/>
      <c r="JAH36" s="170"/>
      <c r="JAI36" s="170"/>
      <c r="JAJ36" s="170"/>
      <c r="JAK36" s="170"/>
      <c r="JAL36" s="170"/>
      <c r="JAM36" s="170"/>
      <c r="JAN36" s="170"/>
      <c r="JAO36" s="170"/>
      <c r="JAP36" s="170"/>
      <c r="JAQ36" s="170"/>
      <c r="JAR36" s="170"/>
      <c r="JAS36" s="170"/>
      <c r="JAT36" s="170"/>
      <c r="JAU36" s="170"/>
      <c r="JAV36" s="170"/>
      <c r="JAW36" s="170"/>
      <c r="JAX36" s="170"/>
      <c r="JAY36" s="170"/>
      <c r="JAZ36" s="170"/>
      <c r="JBA36" s="170"/>
      <c r="JBB36" s="170"/>
      <c r="JBC36" s="170"/>
      <c r="JBD36" s="170"/>
      <c r="JBE36" s="170"/>
      <c r="JBF36" s="170"/>
      <c r="JBG36" s="170"/>
      <c r="JBH36" s="170"/>
      <c r="JBI36" s="170"/>
      <c r="JBJ36" s="170"/>
      <c r="JBK36" s="170"/>
      <c r="JBL36" s="170"/>
      <c r="JBM36" s="170"/>
      <c r="JBN36" s="170"/>
      <c r="JBO36" s="170"/>
      <c r="JBP36" s="170"/>
      <c r="JBQ36" s="170"/>
      <c r="JBR36" s="170"/>
      <c r="JBS36" s="170"/>
      <c r="JBT36" s="170"/>
      <c r="JBU36" s="170"/>
      <c r="JBV36" s="170"/>
      <c r="JBW36" s="170"/>
      <c r="JBX36" s="170"/>
      <c r="JBY36" s="170"/>
      <c r="JBZ36" s="170"/>
      <c r="JCA36" s="170"/>
      <c r="JCB36" s="170"/>
      <c r="JCC36" s="170"/>
      <c r="JCD36" s="170"/>
      <c r="JCE36" s="170"/>
      <c r="JCF36" s="170"/>
      <c r="JCG36" s="170"/>
      <c r="JCH36" s="170"/>
      <c r="JCI36" s="170"/>
      <c r="JCJ36" s="170"/>
      <c r="JCK36" s="170"/>
      <c r="JCL36" s="170"/>
      <c r="JCM36" s="170"/>
      <c r="JCN36" s="170"/>
      <c r="JCO36" s="170"/>
      <c r="JCP36" s="170"/>
      <c r="JCQ36" s="170"/>
      <c r="JCR36" s="170"/>
      <c r="JCS36" s="170"/>
      <c r="JCT36" s="170"/>
      <c r="JCU36" s="170"/>
      <c r="JCV36" s="170"/>
      <c r="JCW36" s="170"/>
      <c r="JCX36" s="170"/>
      <c r="JCY36" s="170"/>
      <c r="JCZ36" s="170"/>
      <c r="JDA36" s="170"/>
      <c r="JDB36" s="170"/>
      <c r="JDC36" s="170"/>
      <c r="JDD36" s="170"/>
      <c r="JDE36" s="170"/>
      <c r="JDF36" s="170"/>
      <c r="JDG36" s="170"/>
      <c r="JDH36" s="170"/>
      <c r="JDI36" s="170"/>
      <c r="JDJ36" s="170"/>
      <c r="JDK36" s="170"/>
      <c r="JDL36" s="170"/>
      <c r="JDM36" s="170"/>
      <c r="JDN36" s="170"/>
      <c r="JDO36" s="170"/>
      <c r="JDP36" s="170"/>
      <c r="JDQ36" s="170"/>
      <c r="JDR36" s="170"/>
      <c r="JDS36" s="170"/>
      <c r="JDT36" s="170"/>
      <c r="JDU36" s="170"/>
      <c r="JDV36" s="170"/>
      <c r="JDW36" s="170"/>
      <c r="JDX36" s="170"/>
      <c r="JDY36" s="170"/>
      <c r="JDZ36" s="170"/>
      <c r="JEA36" s="170"/>
      <c r="JEB36" s="170"/>
      <c r="JEC36" s="170"/>
      <c r="JED36" s="170"/>
      <c r="JEE36" s="170"/>
      <c r="JEF36" s="170"/>
      <c r="JEG36" s="170"/>
      <c r="JEH36" s="170"/>
      <c r="JEI36" s="170"/>
      <c r="JEJ36" s="170"/>
      <c r="JEK36" s="170"/>
      <c r="JEL36" s="170"/>
      <c r="JEM36" s="170"/>
      <c r="JEN36" s="170"/>
      <c r="JEO36" s="170"/>
      <c r="JEP36" s="170"/>
      <c r="JEQ36" s="170"/>
      <c r="JER36" s="170"/>
      <c r="JES36" s="170"/>
      <c r="JET36" s="170"/>
      <c r="JEU36" s="170"/>
      <c r="JEV36" s="170"/>
      <c r="JEW36" s="170"/>
      <c r="JEX36" s="170"/>
      <c r="JEY36" s="170"/>
      <c r="JEZ36" s="170"/>
      <c r="JFA36" s="170"/>
      <c r="JFB36" s="170"/>
      <c r="JFC36" s="170"/>
      <c r="JFD36" s="170"/>
      <c r="JFE36" s="170"/>
      <c r="JFF36" s="170"/>
      <c r="JFG36" s="170"/>
      <c r="JFH36" s="170"/>
      <c r="JFI36" s="170"/>
      <c r="JFJ36" s="170"/>
      <c r="JFK36" s="170"/>
      <c r="JFL36" s="170"/>
      <c r="JFM36" s="170"/>
      <c r="JFN36" s="170"/>
      <c r="JFO36" s="170"/>
      <c r="JFP36" s="170"/>
      <c r="JFQ36" s="170"/>
      <c r="JFR36" s="170"/>
      <c r="JFS36" s="170"/>
      <c r="JFT36" s="170"/>
      <c r="JFU36" s="170"/>
      <c r="JFV36" s="170"/>
      <c r="JFW36" s="170"/>
      <c r="JFX36" s="170"/>
      <c r="JFY36" s="170"/>
      <c r="JFZ36" s="170"/>
      <c r="JGA36" s="170"/>
      <c r="JGB36" s="170"/>
      <c r="JGC36" s="170"/>
      <c r="JGD36" s="170"/>
      <c r="JGE36" s="170"/>
      <c r="JGF36" s="170"/>
      <c r="JGG36" s="170"/>
      <c r="JGH36" s="170"/>
      <c r="JGI36" s="170"/>
      <c r="JGJ36" s="170"/>
      <c r="JGK36" s="170"/>
      <c r="JGL36" s="170"/>
      <c r="JGM36" s="170"/>
      <c r="JGN36" s="170"/>
      <c r="JGO36" s="170"/>
      <c r="JGP36" s="170"/>
      <c r="JGQ36" s="170"/>
      <c r="JGR36" s="170"/>
      <c r="JGS36" s="170"/>
      <c r="JGT36" s="170"/>
      <c r="JGU36" s="170"/>
      <c r="JGV36" s="170"/>
      <c r="JGW36" s="170"/>
      <c r="JGX36" s="170"/>
      <c r="JGY36" s="170"/>
      <c r="JGZ36" s="170"/>
      <c r="JHA36" s="170"/>
      <c r="JHB36" s="170"/>
      <c r="JHC36" s="170"/>
      <c r="JHD36" s="170"/>
      <c r="JHE36" s="170"/>
      <c r="JHF36" s="170"/>
      <c r="JHG36" s="170"/>
      <c r="JHH36" s="170"/>
      <c r="JHI36" s="170"/>
      <c r="JHJ36" s="170"/>
      <c r="JHK36" s="170"/>
      <c r="JHL36" s="170"/>
      <c r="JHM36" s="170"/>
      <c r="JHN36" s="170"/>
      <c r="JHO36" s="170"/>
      <c r="JHP36" s="170"/>
      <c r="JHQ36" s="170"/>
      <c r="JHR36" s="170"/>
      <c r="JHS36" s="170"/>
      <c r="JHT36" s="170"/>
      <c r="JHU36" s="170"/>
      <c r="JHV36" s="170"/>
      <c r="JHW36" s="170"/>
      <c r="JHX36" s="170"/>
      <c r="JHY36" s="170"/>
      <c r="JHZ36" s="170"/>
      <c r="JIA36" s="170"/>
      <c r="JIB36" s="170"/>
      <c r="JIC36" s="170"/>
      <c r="JID36" s="170"/>
      <c r="JIE36" s="170"/>
      <c r="JIF36" s="170"/>
      <c r="JIG36" s="170"/>
      <c r="JIH36" s="170"/>
      <c r="JII36" s="170"/>
      <c r="JIJ36" s="170"/>
      <c r="JIK36" s="170"/>
      <c r="JIL36" s="170"/>
      <c r="JIM36" s="170"/>
      <c r="JIN36" s="170"/>
      <c r="JIO36" s="170"/>
      <c r="JIP36" s="170"/>
      <c r="JIQ36" s="170"/>
      <c r="JIR36" s="170"/>
      <c r="JIS36" s="170"/>
      <c r="JIT36" s="170"/>
      <c r="JIU36" s="170"/>
      <c r="JIV36" s="170"/>
      <c r="JIW36" s="170"/>
      <c r="JIX36" s="170"/>
      <c r="JIY36" s="170"/>
      <c r="JIZ36" s="170"/>
      <c r="JJA36" s="170"/>
      <c r="JJB36" s="170"/>
      <c r="JJC36" s="170"/>
      <c r="JJD36" s="170"/>
      <c r="JJE36" s="170"/>
      <c r="JJF36" s="170"/>
      <c r="JJG36" s="170"/>
      <c r="JJH36" s="170"/>
      <c r="JJI36" s="170"/>
      <c r="JJJ36" s="170"/>
      <c r="JJK36" s="170"/>
      <c r="JJL36" s="170"/>
      <c r="JJM36" s="170"/>
      <c r="JJN36" s="170"/>
      <c r="JJO36" s="170"/>
      <c r="JJP36" s="170"/>
      <c r="JJQ36" s="170"/>
      <c r="JJR36" s="170"/>
      <c r="JJS36" s="170"/>
      <c r="JJT36" s="170"/>
      <c r="JJU36" s="170"/>
      <c r="JJV36" s="170"/>
      <c r="JJW36" s="170"/>
      <c r="JJX36" s="170"/>
      <c r="JJY36" s="170"/>
      <c r="JJZ36" s="170"/>
      <c r="JKA36" s="170"/>
      <c r="JKB36" s="170"/>
      <c r="JKC36" s="170"/>
      <c r="JKD36" s="170"/>
      <c r="JKE36" s="170"/>
      <c r="JKF36" s="170"/>
      <c r="JKG36" s="170"/>
      <c r="JKH36" s="170"/>
      <c r="JKI36" s="170"/>
      <c r="JKJ36" s="170"/>
      <c r="JKK36" s="170"/>
      <c r="JKL36" s="170"/>
      <c r="JKM36" s="170"/>
      <c r="JKN36" s="170"/>
      <c r="JKO36" s="170"/>
      <c r="JKP36" s="170"/>
      <c r="JKQ36" s="170"/>
      <c r="JKR36" s="170"/>
      <c r="JKS36" s="170"/>
      <c r="JKT36" s="170"/>
      <c r="JKU36" s="170"/>
      <c r="JKV36" s="170"/>
      <c r="JKW36" s="170"/>
      <c r="JKX36" s="170"/>
      <c r="JKY36" s="170"/>
      <c r="JKZ36" s="170"/>
      <c r="JLA36" s="170"/>
      <c r="JLB36" s="170"/>
      <c r="JLC36" s="170"/>
      <c r="JLD36" s="170"/>
      <c r="JLE36" s="170"/>
      <c r="JLF36" s="170"/>
      <c r="JLG36" s="170"/>
      <c r="JLH36" s="170"/>
      <c r="JLI36" s="170"/>
      <c r="JLJ36" s="170"/>
      <c r="JLK36" s="170"/>
      <c r="JLL36" s="170"/>
      <c r="JLM36" s="170"/>
      <c r="JLN36" s="170"/>
      <c r="JLO36" s="170"/>
      <c r="JLP36" s="170"/>
      <c r="JLQ36" s="170"/>
      <c r="JLR36" s="170"/>
      <c r="JLS36" s="170"/>
      <c r="JLT36" s="170"/>
      <c r="JLU36" s="170"/>
      <c r="JLV36" s="170"/>
      <c r="JLW36" s="170"/>
      <c r="JLX36" s="170"/>
      <c r="JLY36" s="170"/>
      <c r="JLZ36" s="170"/>
      <c r="JMA36" s="170"/>
      <c r="JMB36" s="170"/>
      <c r="JMC36" s="170"/>
      <c r="JMD36" s="170"/>
      <c r="JME36" s="170"/>
      <c r="JMF36" s="170"/>
      <c r="JMG36" s="170"/>
      <c r="JMH36" s="170"/>
      <c r="JMI36" s="170"/>
      <c r="JMJ36" s="170"/>
      <c r="JMK36" s="170"/>
      <c r="JML36" s="170"/>
      <c r="JMM36" s="170"/>
      <c r="JMN36" s="170"/>
      <c r="JMO36" s="170"/>
      <c r="JMP36" s="170"/>
      <c r="JMQ36" s="170"/>
      <c r="JMR36" s="170"/>
      <c r="JMS36" s="170"/>
      <c r="JMT36" s="170"/>
      <c r="JMU36" s="170"/>
      <c r="JMV36" s="170"/>
      <c r="JMW36" s="170"/>
      <c r="JMX36" s="170"/>
      <c r="JMY36" s="170"/>
      <c r="JMZ36" s="170"/>
      <c r="JNA36" s="170"/>
      <c r="JNB36" s="170"/>
      <c r="JNC36" s="170"/>
      <c r="JND36" s="170"/>
      <c r="JNE36" s="170"/>
      <c r="JNF36" s="170"/>
      <c r="JNG36" s="170"/>
      <c r="JNH36" s="170"/>
      <c r="JNI36" s="170"/>
      <c r="JNJ36" s="170"/>
      <c r="JNK36" s="170"/>
      <c r="JNL36" s="170"/>
      <c r="JNM36" s="170"/>
      <c r="JNN36" s="170"/>
      <c r="JNO36" s="170"/>
      <c r="JNP36" s="170"/>
      <c r="JNQ36" s="170"/>
      <c r="JNR36" s="170"/>
      <c r="JNS36" s="170"/>
      <c r="JNT36" s="170"/>
      <c r="JNU36" s="170"/>
      <c r="JNV36" s="170"/>
      <c r="JNW36" s="170"/>
      <c r="JNX36" s="170"/>
      <c r="JNY36" s="170"/>
      <c r="JNZ36" s="170"/>
      <c r="JOA36" s="170"/>
      <c r="JOB36" s="170"/>
      <c r="JOC36" s="170"/>
      <c r="JOD36" s="170"/>
      <c r="JOE36" s="170"/>
      <c r="JOF36" s="170"/>
      <c r="JOG36" s="170"/>
      <c r="JOH36" s="170"/>
      <c r="JOI36" s="170"/>
      <c r="JOJ36" s="170"/>
      <c r="JOK36" s="170"/>
      <c r="JOL36" s="170"/>
      <c r="JOM36" s="170"/>
      <c r="JON36" s="170"/>
      <c r="JOO36" s="170"/>
      <c r="JOP36" s="170"/>
      <c r="JOQ36" s="170"/>
      <c r="JOR36" s="170"/>
      <c r="JOS36" s="170"/>
      <c r="JOT36" s="170"/>
      <c r="JOU36" s="170"/>
      <c r="JOV36" s="170"/>
      <c r="JOW36" s="170"/>
      <c r="JOX36" s="170"/>
      <c r="JOY36" s="170"/>
      <c r="JOZ36" s="170"/>
      <c r="JPA36" s="170"/>
      <c r="JPB36" s="170"/>
      <c r="JPC36" s="170"/>
      <c r="JPD36" s="170"/>
      <c r="JPE36" s="170"/>
      <c r="JPF36" s="170"/>
      <c r="JPG36" s="170"/>
      <c r="JPH36" s="170"/>
      <c r="JPI36" s="170"/>
      <c r="JPJ36" s="170"/>
      <c r="JPK36" s="170"/>
      <c r="JPL36" s="170"/>
      <c r="JPM36" s="170"/>
      <c r="JPN36" s="170"/>
      <c r="JPO36" s="170"/>
      <c r="JPP36" s="170"/>
      <c r="JPQ36" s="170"/>
      <c r="JPR36" s="170"/>
      <c r="JPS36" s="170"/>
      <c r="JPT36" s="170"/>
      <c r="JPU36" s="170"/>
      <c r="JPV36" s="170"/>
      <c r="JPW36" s="170"/>
      <c r="JPX36" s="170"/>
      <c r="JPY36" s="170"/>
      <c r="JPZ36" s="170"/>
      <c r="JQA36" s="170"/>
      <c r="JQB36" s="170"/>
      <c r="JQC36" s="170"/>
      <c r="JQD36" s="170"/>
      <c r="JQE36" s="170"/>
      <c r="JQF36" s="170"/>
      <c r="JQG36" s="170"/>
      <c r="JQH36" s="170"/>
      <c r="JQI36" s="170"/>
      <c r="JQJ36" s="170"/>
      <c r="JQK36" s="170"/>
      <c r="JQL36" s="170"/>
      <c r="JQM36" s="170"/>
      <c r="JQN36" s="170"/>
      <c r="JQO36" s="170"/>
      <c r="JQP36" s="170"/>
      <c r="JQQ36" s="170"/>
      <c r="JQR36" s="170"/>
      <c r="JQS36" s="170"/>
      <c r="JQT36" s="170"/>
      <c r="JQU36" s="170"/>
      <c r="JQV36" s="170"/>
      <c r="JQW36" s="170"/>
      <c r="JQX36" s="170"/>
      <c r="JQY36" s="170"/>
      <c r="JQZ36" s="170"/>
      <c r="JRA36" s="170"/>
      <c r="JRB36" s="170"/>
      <c r="JRC36" s="170"/>
      <c r="JRD36" s="170"/>
      <c r="JRE36" s="170"/>
      <c r="JRF36" s="170"/>
      <c r="JRG36" s="170"/>
      <c r="JRH36" s="170"/>
      <c r="JRI36" s="170"/>
      <c r="JRJ36" s="170"/>
      <c r="JRK36" s="170"/>
      <c r="JRL36" s="170"/>
      <c r="JRM36" s="170"/>
      <c r="JRN36" s="170"/>
      <c r="JRO36" s="170"/>
      <c r="JRP36" s="170"/>
      <c r="JRQ36" s="170"/>
      <c r="JRR36" s="170"/>
      <c r="JRS36" s="170"/>
      <c r="JRT36" s="170"/>
      <c r="JRU36" s="170"/>
      <c r="JRV36" s="170"/>
      <c r="JRW36" s="170"/>
      <c r="JRX36" s="170"/>
      <c r="JRY36" s="170"/>
      <c r="JRZ36" s="170"/>
      <c r="JSA36" s="170"/>
      <c r="JSB36" s="170"/>
      <c r="JSC36" s="170"/>
      <c r="JSD36" s="170"/>
      <c r="JSE36" s="170"/>
      <c r="JSF36" s="170"/>
      <c r="JSG36" s="170"/>
      <c r="JSH36" s="170"/>
      <c r="JSI36" s="170"/>
      <c r="JSJ36" s="170"/>
      <c r="JSK36" s="170"/>
      <c r="JSL36" s="170"/>
      <c r="JSM36" s="170"/>
      <c r="JSN36" s="170"/>
      <c r="JSO36" s="170"/>
      <c r="JSP36" s="170"/>
      <c r="JSQ36" s="170"/>
      <c r="JSR36" s="170"/>
      <c r="JSS36" s="170"/>
      <c r="JST36" s="170"/>
      <c r="JSU36" s="170"/>
      <c r="JSV36" s="170"/>
      <c r="JSW36" s="170"/>
      <c r="JSX36" s="170"/>
      <c r="JSY36" s="170"/>
      <c r="JSZ36" s="170"/>
      <c r="JTA36" s="170"/>
      <c r="JTB36" s="170"/>
      <c r="JTC36" s="170"/>
      <c r="JTD36" s="170"/>
      <c r="JTE36" s="170"/>
      <c r="JTF36" s="170"/>
      <c r="JTG36" s="170"/>
      <c r="JTH36" s="170"/>
      <c r="JTI36" s="170"/>
      <c r="JTJ36" s="170"/>
      <c r="JTK36" s="170"/>
      <c r="JTL36" s="170"/>
      <c r="JTM36" s="170"/>
      <c r="JTN36" s="170"/>
      <c r="JTO36" s="170"/>
      <c r="JTP36" s="170"/>
      <c r="JTQ36" s="170"/>
      <c r="JTR36" s="170"/>
      <c r="JTS36" s="170"/>
      <c r="JTT36" s="170"/>
      <c r="JTU36" s="170"/>
      <c r="JTV36" s="170"/>
      <c r="JTW36" s="170"/>
      <c r="JTX36" s="170"/>
      <c r="JTY36" s="170"/>
      <c r="JTZ36" s="170"/>
      <c r="JUA36" s="170"/>
      <c r="JUB36" s="170"/>
      <c r="JUC36" s="170"/>
      <c r="JUD36" s="170"/>
      <c r="JUE36" s="170"/>
      <c r="JUF36" s="170"/>
      <c r="JUG36" s="170"/>
      <c r="JUH36" s="170"/>
      <c r="JUI36" s="170"/>
      <c r="JUJ36" s="170"/>
      <c r="JUK36" s="170"/>
      <c r="JUL36" s="170"/>
      <c r="JUM36" s="170"/>
      <c r="JUN36" s="170"/>
      <c r="JUO36" s="170"/>
      <c r="JUP36" s="170"/>
      <c r="JUQ36" s="170"/>
      <c r="JUR36" s="170"/>
      <c r="JUS36" s="170"/>
      <c r="JUT36" s="170"/>
      <c r="JUU36" s="170"/>
      <c r="JUV36" s="170"/>
      <c r="JUW36" s="170"/>
      <c r="JUX36" s="170"/>
      <c r="JUY36" s="170"/>
      <c r="JUZ36" s="170"/>
      <c r="JVA36" s="170"/>
      <c r="JVB36" s="170"/>
      <c r="JVC36" s="170"/>
      <c r="JVD36" s="170"/>
      <c r="JVE36" s="170"/>
      <c r="JVF36" s="170"/>
      <c r="JVG36" s="170"/>
      <c r="JVH36" s="170"/>
      <c r="JVI36" s="170"/>
      <c r="JVJ36" s="170"/>
      <c r="JVK36" s="170"/>
      <c r="JVL36" s="170"/>
      <c r="JVM36" s="170"/>
      <c r="JVN36" s="170"/>
      <c r="JVO36" s="170"/>
      <c r="JVP36" s="170"/>
      <c r="JVQ36" s="170"/>
      <c r="JVR36" s="170"/>
      <c r="JVS36" s="170"/>
      <c r="JVT36" s="170"/>
      <c r="JVU36" s="170"/>
      <c r="JVV36" s="170"/>
      <c r="JVW36" s="170"/>
      <c r="JVX36" s="170"/>
      <c r="JVY36" s="170"/>
      <c r="JVZ36" s="170"/>
      <c r="JWA36" s="170"/>
      <c r="JWB36" s="170"/>
      <c r="JWC36" s="170"/>
      <c r="JWD36" s="170"/>
      <c r="JWE36" s="170"/>
      <c r="JWF36" s="170"/>
      <c r="JWG36" s="170"/>
      <c r="JWH36" s="170"/>
      <c r="JWI36" s="170"/>
      <c r="JWJ36" s="170"/>
      <c r="JWK36" s="170"/>
      <c r="JWL36" s="170"/>
      <c r="JWM36" s="170"/>
      <c r="JWN36" s="170"/>
      <c r="JWO36" s="170"/>
      <c r="JWP36" s="170"/>
      <c r="JWQ36" s="170"/>
      <c r="JWR36" s="170"/>
      <c r="JWS36" s="170"/>
      <c r="JWT36" s="170"/>
      <c r="JWU36" s="170"/>
      <c r="JWV36" s="170"/>
      <c r="JWW36" s="170"/>
      <c r="JWX36" s="170"/>
      <c r="JWY36" s="170"/>
      <c r="JWZ36" s="170"/>
      <c r="JXA36" s="170"/>
      <c r="JXB36" s="170"/>
      <c r="JXC36" s="170"/>
      <c r="JXD36" s="170"/>
      <c r="JXE36" s="170"/>
      <c r="JXF36" s="170"/>
      <c r="JXG36" s="170"/>
      <c r="JXH36" s="170"/>
      <c r="JXI36" s="170"/>
      <c r="JXJ36" s="170"/>
      <c r="JXK36" s="170"/>
      <c r="JXL36" s="170"/>
      <c r="JXM36" s="170"/>
      <c r="JXN36" s="170"/>
      <c r="JXO36" s="170"/>
      <c r="JXP36" s="170"/>
      <c r="JXQ36" s="170"/>
      <c r="JXR36" s="170"/>
      <c r="JXS36" s="170"/>
      <c r="JXT36" s="170"/>
      <c r="JXU36" s="170"/>
      <c r="JXV36" s="170"/>
      <c r="JXW36" s="170"/>
      <c r="JXX36" s="170"/>
      <c r="JXY36" s="170"/>
      <c r="JXZ36" s="170"/>
      <c r="JYA36" s="170"/>
      <c r="JYB36" s="170"/>
      <c r="JYC36" s="170"/>
      <c r="JYD36" s="170"/>
      <c r="JYE36" s="170"/>
      <c r="JYF36" s="170"/>
      <c r="JYG36" s="170"/>
      <c r="JYH36" s="170"/>
      <c r="JYI36" s="170"/>
      <c r="JYJ36" s="170"/>
      <c r="JYK36" s="170"/>
      <c r="JYL36" s="170"/>
      <c r="JYM36" s="170"/>
      <c r="JYN36" s="170"/>
      <c r="JYO36" s="170"/>
      <c r="JYP36" s="170"/>
      <c r="JYQ36" s="170"/>
      <c r="JYR36" s="170"/>
      <c r="JYS36" s="170"/>
      <c r="JYT36" s="170"/>
      <c r="JYU36" s="170"/>
      <c r="JYV36" s="170"/>
      <c r="JYW36" s="170"/>
      <c r="JYX36" s="170"/>
      <c r="JYY36" s="170"/>
      <c r="JYZ36" s="170"/>
      <c r="JZA36" s="170"/>
      <c r="JZB36" s="170"/>
      <c r="JZC36" s="170"/>
      <c r="JZD36" s="170"/>
      <c r="JZE36" s="170"/>
      <c r="JZF36" s="170"/>
      <c r="JZG36" s="170"/>
      <c r="JZH36" s="170"/>
      <c r="JZI36" s="170"/>
      <c r="JZJ36" s="170"/>
      <c r="JZK36" s="170"/>
      <c r="JZL36" s="170"/>
      <c r="JZM36" s="170"/>
      <c r="JZN36" s="170"/>
      <c r="JZO36" s="170"/>
      <c r="JZP36" s="170"/>
      <c r="JZQ36" s="170"/>
      <c r="JZR36" s="170"/>
      <c r="JZS36" s="170"/>
      <c r="JZT36" s="170"/>
      <c r="JZU36" s="170"/>
      <c r="JZV36" s="170"/>
      <c r="JZW36" s="170"/>
      <c r="JZX36" s="170"/>
      <c r="JZY36" s="170"/>
      <c r="JZZ36" s="170"/>
      <c r="KAA36" s="170"/>
      <c r="KAB36" s="170"/>
      <c r="KAC36" s="170"/>
      <c r="KAD36" s="170"/>
      <c r="KAE36" s="170"/>
      <c r="KAF36" s="170"/>
      <c r="KAG36" s="170"/>
      <c r="KAH36" s="170"/>
      <c r="KAI36" s="170"/>
      <c r="KAJ36" s="170"/>
      <c r="KAK36" s="170"/>
      <c r="KAL36" s="170"/>
      <c r="KAM36" s="170"/>
      <c r="KAN36" s="170"/>
      <c r="KAO36" s="170"/>
      <c r="KAP36" s="170"/>
      <c r="KAQ36" s="170"/>
      <c r="KAR36" s="170"/>
      <c r="KAS36" s="170"/>
      <c r="KAT36" s="170"/>
      <c r="KAU36" s="170"/>
      <c r="KAV36" s="170"/>
      <c r="KAW36" s="170"/>
      <c r="KAX36" s="170"/>
      <c r="KAY36" s="170"/>
      <c r="KAZ36" s="170"/>
      <c r="KBA36" s="170"/>
      <c r="KBB36" s="170"/>
      <c r="KBC36" s="170"/>
      <c r="KBD36" s="170"/>
      <c r="KBE36" s="170"/>
      <c r="KBF36" s="170"/>
      <c r="KBG36" s="170"/>
      <c r="KBH36" s="170"/>
      <c r="KBI36" s="170"/>
      <c r="KBJ36" s="170"/>
      <c r="KBK36" s="170"/>
      <c r="KBL36" s="170"/>
      <c r="KBM36" s="170"/>
      <c r="KBN36" s="170"/>
      <c r="KBO36" s="170"/>
      <c r="KBP36" s="170"/>
      <c r="KBQ36" s="170"/>
      <c r="KBR36" s="170"/>
      <c r="KBS36" s="170"/>
      <c r="KBT36" s="170"/>
      <c r="KBU36" s="170"/>
      <c r="KBV36" s="170"/>
      <c r="KBW36" s="170"/>
      <c r="KBX36" s="170"/>
      <c r="KBY36" s="170"/>
      <c r="KBZ36" s="170"/>
      <c r="KCA36" s="170"/>
      <c r="KCB36" s="170"/>
      <c r="KCC36" s="170"/>
      <c r="KCD36" s="170"/>
      <c r="KCE36" s="170"/>
      <c r="KCF36" s="170"/>
      <c r="KCG36" s="170"/>
      <c r="KCH36" s="170"/>
      <c r="KCI36" s="170"/>
      <c r="KCJ36" s="170"/>
      <c r="KCK36" s="170"/>
      <c r="KCL36" s="170"/>
      <c r="KCM36" s="170"/>
      <c r="KCN36" s="170"/>
      <c r="KCO36" s="170"/>
      <c r="KCP36" s="170"/>
      <c r="KCQ36" s="170"/>
      <c r="KCR36" s="170"/>
      <c r="KCS36" s="170"/>
      <c r="KCT36" s="170"/>
      <c r="KCU36" s="170"/>
      <c r="KCV36" s="170"/>
      <c r="KCW36" s="170"/>
      <c r="KCX36" s="170"/>
      <c r="KCY36" s="170"/>
      <c r="KCZ36" s="170"/>
      <c r="KDA36" s="170"/>
      <c r="KDB36" s="170"/>
      <c r="KDC36" s="170"/>
      <c r="KDD36" s="170"/>
      <c r="KDE36" s="170"/>
      <c r="KDF36" s="170"/>
      <c r="KDG36" s="170"/>
      <c r="KDH36" s="170"/>
      <c r="KDI36" s="170"/>
      <c r="KDJ36" s="170"/>
      <c r="KDK36" s="170"/>
      <c r="KDL36" s="170"/>
      <c r="KDM36" s="170"/>
      <c r="KDN36" s="170"/>
      <c r="KDO36" s="170"/>
      <c r="KDP36" s="170"/>
      <c r="KDQ36" s="170"/>
      <c r="KDR36" s="170"/>
      <c r="KDS36" s="170"/>
      <c r="KDT36" s="170"/>
      <c r="KDU36" s="170"/>
      <c r="KDV36" s="170"/>
      <c r="KDW36" s="170"/>
      <c r="KDX36" s="170"/>
      <c r="KDY36" s="170"/>
      <c r="KDZ36" s="170"/>
      <c r="KEA36" s="170"/>
      <c r="KEB36" s="170"/>
      <c r="KEC36" s="170"/>
      <c r="KED36" s="170"/>
      <c r="KEE36" s="170"/>
      <c r="KEF36" s="170"/>
      <c r="KEG36" s="170"/>
      <c r="KEH36" s="170"/>
      <c r="KEI36" s="170"/>
      <c r="KEJ36" s="170"/>
      <c r="KEK36" s="170"/>
      <c r="KEL36" s="170"/>
      <c r="KEM36" s="170"/>
      <c r="KEN36" s="170"/>
      <c r="KEO36" s="170"/>
      <c r="KEP36" s="170"/>
      <c r="KEQ36" s="170"/>
      <c r="KER36" s="170"/>
      <c r="KES36" s="170"/>
      <c r="KET36" s="170"/>
      <c r="KEU36" s="170"/>
      <c r="KEV36" s="170"/>
      <c r="KEW36" s="170"/>
      <c r="KEX36" s="170"/>
      <c r="KEY36" s="170"/>
      <c r="KEZ36" s="170"/>
      <c r="KFA36" s="170"/>
      <c r="KFB36" s="170"/>
      <c r="KFC36" s="170"/>
      <c r="KFD36" s="170"/>
      <c r="KFE36" s="170"/>
      <c r="KFF36" s="170"/>
      <c r="KFG36" s="170"/>
      <c r="KFH36" s="170"/>
      <c r="KFI36" s="170"/>
      <c r="KFJ36" s="170"/>
      <c r="KFK36" s="170"/>
      <c r="KFL36" s="170"/>
      <c r="KFM36" s="170"/>
      <c r="KFN36" s="170"/>
      <c r="KFO36" s="170"/>
      <c r="KFP36" s="170"/>
      <c r="KFQ36" s="170"/>
      <c r="KFR36" s="170"/>
      <c r="KFS36" s="170"/>
      <c r="KFT36" s="170"/>
      <c r="KFU36" s="170"/>
      <c r="KFV36" s="170"/>
      <c r="KFW36" s="170"/>
      <c r="KFX36" s="170"/>
      <c r="KFY36" s="170"/>
      <c r="KFZ36" s="170"/>
      <c r="KGA36" s="170"/>
      <c r="KGB36" s="170"/>
      <c r="KGC36" s="170"/>
      <c r="KGD36" s="170"/>
      <c r="KGE36" s="170"/>
      <c r="KGF36" s="170"/>
      <c r="KGG36" s="170"/>
      <c r="KGH36" s="170"/>
      <c r="KGI36" s="170"/>
      <c r="KGJ36" s="170"/>
      <c r="KGK36" s="170"/>
      <c r="KGL36" s="170"/>
      <c r="KGM36" s="170"/>
      <c r="KGN36" s="170"/>
      <c r="KGO36" s="170"/>
      <c r="KGP36" s="170"/>
      <c r="KGQ36" s="170"/>
      <c r="KGR36" s="170"/>
      <c r="KGS36" s="170"/>
      <c r="KGT36" s="170"/>
      <c r="KGU36" s="170"/>
      <c r="KGV36" s="170"/>
      <c r="KGW36" s="170"/>
      <c r="KGX36" s="170"/>
      <c r="KGY36" s="170"/>
      <c r="KGZ36" s="170"/>
      <c r="KHA36" s="170"/>
      <c r="KHB36" s="170"/>
      <c r="KHC36" s="170"/>
      <c r="KHD36" s="170"/>
      <c r="KHE36" s="170"/>
      <c r="KHF36" s="170"/>
      <c r="KHG36" s="170"/>
      <c r="KHH36" s="170"/>
      <c r="KHI36" s="170"/>
      <c r="KHJ36" s="170"/>
      <c r="KHK36" s="170"/>
      <c r="KHL36" s="170"/>
      <c r="KHM36" s="170"/>
      <c r="KHN36" s="170"/>
      <c r="KHO36" s="170"/>
      <c r="KHP36" s="170"/>
      <c r="KHQ36" s="170"/>
      <c r="KHR36" s="170"/>
      <c r="KHS36" s="170"/>
      <c r="KHT36" s="170"/>
      <c r="KHU36" s="170"/>
      <c r="KHV36" s="170"/>
      <c r="KHW36" s="170"/>
      <c r="KHX36" s="170"/>
      <c r="KHY36" s="170"/>
      <c r="KHZ36" s="170"/>
      <c r="KIA36" s="170"/>
      <c r="KIB36" s="170"/>
      <c r="KIC36" s="170"/>
      <c r="KID36" s="170"/>
      <c r="KIE36" s="170"/>
      <c r="KIF36" s="170"/>
      <c r="KIG36" s="170"/>
      <c r="KIH36" s="170"/>
      <c r="KII36" s="170"/>
      <c r="KIJ36" s="170"/>
      <c r="KIK36" s="170"/>
      <c r="KIL36" s="170"/>
      <c r="KIM36" s="170"/>
      <c r="KIN36" s="170"/>
      <c r="KIO36" s="170"/>
      <c r="KIP36" s="170"/>
      <c r="KIQ36" s="170"/>
      <c r="KIR36" s="170"/>
      <c r="KIS36" s="170"/>
      <c r="KIT36" s="170"/>
      <c r="KIU36" s="170"/>
      <c r="KIV36" s="170"/>
      <c r="KIW36" s="170"/>
      <c r="KIX36" s="170"/>
      <c r="KIY36" s="170"/>
      <c r="KIZ36" s="170"/>
      <c r="KJA36" s="170"/>
      <c r="KJB36" s="170"/>
      <c r="KJC36" s="170"/>
      <c r="KJD36" s="170"/>
      <c r="KJE36" s="170"/>
      <c r="KJF36" s="170"/>
      <c r="KJG36" s="170"/>
      <c r="KJH36" s="170"/>
      <c r="KJI36" s="170"/>
      <c r="KJJ36" s="170"/>
      <c r="KJK36" s="170"/>
      <c r="KJL36" s="170"/>
      <c r="KJM36" s="170"/>
      <c r="KJN36" s="170"/>
      <c r="KJO36" s="170"/>
      <c r="KJP36" s="170"/>
      <c r="KJQ36" s="170"/>
      <c r="KJR36" s="170"/>
      <c r="KJS36" s="170"/>
      <c r="KJT36" s="170"/>
      <c r="KJU36" s="170"/>
      <c r="KJV36" s="170"/>
      <c r="KJW36" s="170"/>
      <c r="KJX36" s="170"/>
      <c r="KJY36" s="170"/>
      <c r="KJZ36" s="170"/>
      <c r="KKA36" s="170"/>
      <c r="KKB36" s="170"/>
      <c r="KKC36" s="170"/>
      <c r="KKD36" s="170"/>
      <c r="KKE36" s="170"/>
      <c r="KKF36" s="170"/>
      <c r="KKG36" s="170"/>
      <c r="KKH36" s="170"/>
      <c r="KKI36" s="170"/>
      <c r="KKJ36" s="170"/>
      <c r="KKK36" s="170"/>
      <c r="KKL36" s="170"/>
      <c r="KKM36" s="170"/>
      <c r="KKN36" s="170"/>
      <c r="KKO36" s="170"/>
      <c r="KKP36" s="170"/>
      <c r="KKQ36" s="170"/>
      <c r="KKR36" s="170"/>
      <c r="KKS36" s="170"/>
      <c r="KKT36" s="170"/>
      <c r="KKU36" s="170"/>
      <c r="KKV36" s="170"/>
      <c r="KKW36" s="170"/>
      <c r="KKX36" s="170"/>
      <c r="KKY36" s="170"/>
      <c r="KKZ36" s="170"/>
      <c r="KLA36" s="170"/>
      <c r="KLB36" s="170"/>
      <c r="KLC36" s="170"/>
      <c r="KLD36" s="170"/>
      <c r="KLE36" s="170"/>
      <c r="KLF36" s="170"/>
      <c r="KLG36" s="170"/>
      <c r="KLH36" s="170"/>
      <c r="KLI36" s="170"/>
      <c r="KLJ36" s="170"/>
      <c r="KLK36" s="170"/>
      <c r="KLL36" s="170"/>
      <c r="KLM36" s="170"/>
      <c r="KLN36" s="170"/>
      <c r="KLO36" s="170"/>
      <c r="KLP36" s="170"/>
      <c r="KLQ36" s="170"/>
      <c r="KLR36" s="170"/>
      <c r="KLS36" s="170"/>
      <c r="KLT36" s="170"/>
      <c r="KLU36" s="170"/>
      <c r="KLV36" s="170"/>
      <c r="KLW36" s="170"/>
      <c r="KLX36" s="170"/>
      <c r="KLY36" s="170"/>
      <c r="KLZ36" s="170"/>
      <c r="KMA36" s="170"/>
      <c r="KMB36" s="170"/>
      <c r="KMC36" s="170"/>
      <c r="KMD36" s="170"/>
      <c r="KME36" s="170"/>
      <c r="KMF36" s="170"/>
      <c r="KMG36" s="170"/>
      <c r="KMH36" s="170"/>
      <c r="KMI36" s="170"/>
      <c r="KMJ36" s="170"/>
      <c r="KMK36" s="170"/>
      <c r="KML36" s="170"/>
      <c r="KMM36" s="170"/>
      <c r="KMN36" s="170"/>
      <c r="KMO36" s="170"/>
      <c r="KMP36" s="170"/>
      <c r="KMQ36" s="170"/>
      <c r="KMR36" s="170"/>
      <c r="KMS36" s="170"/>
      <c r="KMT36" s="170"/>
      <c r="KMU36" s="170"/>
      <c r="KMV36" s="170"/>
      <c r="KMW36" s="170"/>
      <c r="KMX36" s="170"/>
      <c r="KMY36" s="170"/>
      <c r="KMZ36" s="170"/>
      <c r="KNA36" s="170"/>
      <c r="KNB36" s="170"/>
      <c r="KNC36" s="170"/>
      <c r="KND36" s="170"/>
      <c r="KNE36" s="170"/>
      <c r="KNF36" s="170"/>
      <c r="KNG36" s="170"/>
      <c r="KNH36" s="170"/>
      <c r="KNI36" s="170"/>
      <c r="KNJ36" s="170"/>
      <c r="KNK36" s="170"/>
      <c r="KNL36" s="170"/>
      <c r="KNM36" s="170"/>
      <c r="KNN36" s="170"/>
      <c r="KNO36" s="170"/>
      <c r="KNP36" s="170"/>
      <c r="KNQ36" s="170"/>
      <c r="KNR36" s="170"/>
      <c r="KNS36" s="170"/>
      <c r="KNT36" s="170"/>
      <c r="KNU36" s="170"/>
      <c r="KNV36" s="170"/>
      <c r="KNW36" s="170"/>
      <c r="KNX36" s="170"/>
      <c r="KNY36" s="170"/>
      <c r="KNZ36" s="170"/>
      <c r="KOA36" s="170"/>
      <c r="KOB36" s="170"/>
      <c r="KOC36" s="170"/>
      <c r="KOD36" s="170"/>
      <c r="KOE36" s="170"/>
      <c r="KOF36" s="170"/>
      <c r="KOG36" s="170"/>
      <c r="KOH36" s="170"/>
      <c r="KOI36" s="170"/>
      <c r="KOJ36" s="170"/>
      <c r="KOK36" s="170"/>
      <c r="KOL36" s="170"/>
      <c r="KOM36" s="170"/>
      <c r="KON36" s="170"/>
      <c r="KOO36" s="170"/>
      <c r="KOP36" s="170"/>
      <c r="KOQ36" s="170"/>
      <c r="KOR36" s="170"/>
      <c r="KOS36" s="170"/>
      <c r="KOT36" s="170"/>
      <c r="KOU36" s="170"/>
      <c r="KOV36" s="170"/>
      <c r="KOW36" s="170"/>
      <c r="KOX36" s="170"/>
      <c r="KOY36" s="170"/>
      <c r="KOZ36" s="170"/>
      <c r="KPA36" s="170"/>
      <c r="KPB36" s="170"/>
      <c r="KPC36" s="170"/>
      <c r="KPD36" s="170"/>
      <c r="KPE36" s="170"/>
      <c r="KPF36" s="170"/>
      <c r="KPG36" s="170"/>
      <c r="KPH36" s="170"/>
      <c r="KPI36" s="170"/>
      <c r="KPJ36" s="170"/>
      <c r="KPK36" s="170"/>
      <c r="KPL36" s="170"/>
      <c r="KPM36" s="170"/>
      <c r="KPN36" s="170"/>
      <c r="KPO36" s="170"/>
      <c r="KPP36" s="170"/>
      <c r="KPQ36" s="170"/>
      <c r="KPR36" s="170"/>
      <c r="KPS36" s="170"/>
      <c r="KPT36" s="170"/>
      <c r="KPU36" s="170"/>
      <c r="KPV36" s="170"/>
      <c r="KPW36" s="170"/>
      <c r="KPX36" s="170"/>
      <c r="KPY36" s="170"/>
      <c r="KPZ36" s="170"/>
      <c r="KQA36" s="170"/>
      <c r="KQB36" s="170"/>
      <c r="KQC36" s="170"/>
      <c r="KQD36" s="170"/>
      <c r="KQE36" s="170"/>
      <c r="KQF36" s="170"/>
      <c r="KQG36" s="170"/>
      <c r="KQH36" s="170"/>
      <c r="KQI36" s="170"/>
      <c r="KQJ36" s="170"/>
      <c r="KQK36" s="170"/>
      <c r="KQL36" s="170"/>
      <c r="KQM36" s="170"/>
      <c r="KQN36" s="170"/>
      <c r="KQO36" s="170"/>
      <c r="KQP36" s="170"/>
      <c r="KQQ36" s="170"/>
      <c r="KQR36" s="170"/>
      <c r="KQS36" s="170"/>
      <c r="KQT36" s="170"/>
      <c r="KQU36" s="170"/>
      <c r="KQV36" s="170"/>
      <c r="KQW36" s="170"/>
      <c r="KQX36" s="170"/>
      <c r="KQY36" s="170"/>
      <c r="KQZ36" s="170"/>
      <c r="KRA36" s="170"/>
      <c r="KRB36" s="170"/>
      <c r="KRC36" s="170"/>
      <c r="KRD36" s="170"/>
      <c r="KRE36" s="170"/>
      <c r="KRF36" s="170"/>
      <c r="KRG36" s="170"/>
      <c r="KRH36" s="170"/>
      <c r="KRI36" s="170"/>
      <c r="KRJ36" s="170"/>
      <c r="KRK36" s="170"/>
      <c r="KRL36" s="170"/>
      <c r="KRM36" s="170"/>
      <c r="KRN36" s="170"/>
      <c r="KRO36" s="170"/>
      <c r="KRP36" s="170"/>
      <c r="KRQ36" s="170"/>
      <c r="KRR36" s="170"/>
      <c r="KRS36" s="170"/>
      <c r="KRT36" s="170"/>
      <c r="KRU36" s="170"/>
      <c r="KRV36" s="170"/>
      <c r="KRW36" s="170"/>
      <c r="KRX36" s="170"/>
      <c r="KRY36" s="170"/>
      <c r="KRZ36" s="170"/>
      <c r="KSA36" s="170"/>
      <c r="KSB36" s="170"/>
      <c r="KSC36" s="170"/>
      <c r="KSD36" s="170"/>
      <c r="KSE36" s="170"/>
      <c r="KSF36" s="170"/>
      <c r="KSG36" s="170"/>
      <c r="KSH36" s="170"/>
      <c r="KSI36" s="170"/>
      <c r="KSJ36" s="170"/>
      <c r="KSK36" s="170"/>
      <c r="KSL36" s="170"/>
      <c r="KSM36" s="170"/>
      <c r="KSN36" s="170"/>
      <c r="KSO36" s="170"/>
      <c r="KSP36" s="170"/>
      <c r="KSQ36" s="170"/>
      <c r="KSR36" s="170"/>
      <c r="KSS36" s="170"/>
      <c r="KST36" s="170"/>
      <c r="KSU36" s="170"/>
      <c r="KSV36" s="170"/>
      <c r="KSW36" s="170"/>
      <c r="KSX36" s="170"/>
      <c r="KSY36" s="170"/>
      <c r="KSZ36" s="170"/>
      <c r="KTA36" s="170"/>
      <c r="KTB36" s="170"/>
      <c r="KTC36" s="170"/>
      <c r="KTD36" s="170"/>
      <c r="KTE36" s="170"/>
      <c r="KTF36" s="170"/>
      <c r="KTG36" s="170"/>
      <c r="KTH36" s="170"/>
      <c r="KTI36" s="170"/>
      <c r="KTJ36" s="170"/>
      <c r="KTK36" s="170"/>
      <c r="KTL36" s="170"/>
      <c r="KTM36" s="170"/>
      <c r="KTN36" s="170"/>
      <c r="KTO36" s="170"/>
      <c r="KTP36" s="170"/>
      <c r="KTQ36" s="170"/>
      <c r="KTR36" s="170"/>
      <c r="KTS36" s="170"/>
      <c r="KTT36" s="170"/>
      <c r="KTU36" s="170"/>
      <c r="KTV36" s="170"/>
      <c r="KTW36" s="170"/>
      <c r="KTX36" s="170"/>
      <c r="KTY36" s="170"/>
      <c r="KTZ36" s="170"/>
      <c r="KUA36" s="170"/>
      <c r="KUB36" s="170"/>
      <c r="KUC36" s="170"/>
      <c r="KUD36" s="170"/>
      <c r="KUE36" s="170"/>
      <c r="KUF36" s="170"/>
      <c r="KUG36" s="170"/>
      <c r="KUH36" s="170"/>
      <c r="KUI36" s="170"/>
      <c r="KUJ36" s="170"/>
      <c r="KUK36" s="170"/>
      <c r="KUL36" s="170"/>
      <c r="KUM36" s="170"/>
      <c r="KUN36" s="170"/>
      <c r="KUO36" s="170"/>
      <c r="KUP36" s="170"/>
      <c r="KUQ36" s="170"/>
      <c r="KUR36" s="170"/>
      <c r="KUS36" s="170"/>
      <c r="KUT36" s="170"/>
      <c r="KUU36" s="170"/>
      <c r="KUV36" s="170"/>
      <c r="KUW36" s="170"/>
      <c r="KUX36" s="170"/>
      <c r="KUY36" s="170"/>
      <c r="KUZ36" s="170"/>
      <c r="KVA36" s="170"/>
      <c r="KVB36" s="170"/>
      <c r="KVC36" s="170"/>
      <c r="KVD36" s="170"/>
      <c r="KVE36" s="170"/>
      <c r="KVF36" s="170"/>
      <c r="KVG36" s="170"/>
      <c r="KVH36" s="170"/>
      <c r="KVI36" s="170"/>
      <c r="KVJ36" s="170"/>
      <c r="KVK36" s="170"/>
      <c r="KVL36" s="170"/>
      <c r="KVM36" s="170"/>
      <c r="KVN36" s="170"/>
      <c r="KVO36" s="170"/>
      <c r="KVP36" s="170"/>
      <c r="KVQ36" s="170"/>
      <c r="KVR36" s="170"/>
      <c r="KVS36" s="170"/>
      <c r="KVT36" s="170"/>
      <c r="KVU36" s="170"/>
      <c r="KVV36" s="170"/>
      <c r="KVW36" s="170"/>
      <c r="KVX36" s="170"/>
      <c r="KVY36" s="170"/>
      <c r="KVZ36" s="170"/>
      <c r="KWA36" s="170"/>
      <c r="KWB36" s="170"/>
      <c r="KWC36" s="170"/>
      <c r="KWD36" s="170"/>
      <c r="KWE36" s="170"/>
      <c r="KWF36" s="170"/>
      <c r="KWG36" s="170"/>
      <c r="KWH36" s="170"/>
      <c r="KWI36" s="170"/>
      <c r="KWJ36" s="170"/>
      <c r="KWK36" s="170"/>
      <c r="KWL36" s="170"/>
      <c r="KWM36" s="170"/>
      <c r="KWN36" s="170"/>
      <c r="KWO36" s="170"/>
      <c r="KWP36" s="170"/>
      <c r="KWQ36" s="170"/>
      <c r="KWR36" s="170"/>
      <c r="KWS36" s="170"/>
      <c r="KWT36" s="170"/>
      <c r="KWU36" s="170"/>
      <c r="KWV36" s="170"/>
      <c r="KWW36" s="170"/>
      <c r="KWX36" s="170"/>
      <c r="KWY36" s="170"/>
      <c r="KWZ36" s="170"/>
      <c r="KXA36" s="170"/>
      <c r="KXB36" s="170"/>
      <c r="KXC36" s="170"/>
      <c r="KXD36" s="170"/>
      <c r="KXE36" s="170"/>
      <c r="KXF36" s="170"/>
      <c r="KXG36" s="170"/>
      <c r="KXH36" s="170"/>
      <c r="KXI36" s="170"/>
      <c r="KXJ36" s="170"/>
      <c r="KXK36" s="170"/>
      <c r="KXL36" s="170"/>
      <c r="KXM36" s="170"/>
      <c r="KXN36" s="170"/>
      <c r="KXO36" s="170"/>
      <c r="KXP36" s="170"/>
      <c r="KXQ36" s="170"/>
      <c r="KXR36" s="170"/>
      <c r="KXS36" s="170"/>
      <c r="KXT36" s="170"/>
      <c r="KXU36" s="170"/>
      <c r="KXV36" s="170"/>
      <c r="KXW36" s="170"/>
      <c r="KXX36" s="170"/>
      <c r="KXY36" s="170"/>
      <c r="KXZ36" s="170"/>
      <c r="KYA36" s="170"/>
      <c r="KYB36" s="170"/>
      <c r="KYC36" s="170"/>
      <c r="KYD36" s="170"/>
      <c r="KYE36" s="170"/>
      <c r="KYF36" s="170"/>
      <c r="KYG36" s="170"/>
      <c r="KYH36" s="170"/>
      <c r="KYI36" s="170"/>
      <c r="KYJ36" s="170"/>
      <c r="KYK36" s="170"/>
      <c r="KYL36" s="170"/>
      <c r="KYM36" s="170"/>
      <c r="KYN36" s="170"/>
      <c r="KYO36" s="170"/>
      <c r="KYP36" s="170"/>
      <c r="KYQ36" s="170"/>
      <c r="KYR36" s="170"/>
      <c r="KYS36" s="170"/>
      <c r="KYT36" s="170"/>
      <c r="KYU36" s="170"/>
      <c r="KYV36" s="170"/>
      <c r="KYW36" s="170"/>
      <c r="KYX36" s="170"/>
      <c r="KYY36" s="170"/>
      <c r="KYZ36" s="170"/>
      <c r="KZA36" s="170"/>
      <c r="KZB36" s="170"/>
      <c r="KZC36" s="170"/>
      <c r="KZD36" s="170"/>
      <c r="KZE36" s="170"/>
      <c r="KZF36" s="170"/>
      <c r="KZG36" s="170"/>
      <c r="KZH36" s="170"/>
      <c r="KZI36" s="170"/>
      <c r="KZJ36" s="170"/>
      <c r="KZK36" s="170"/>
      <c r="KZL36" s="170"/>
      <c r="KZM36" s="170"/>
      <c r="KZN36" s="170"/>
      <c r="KZO36" s="170"/>
      <c r="KZP36" s="170"/>
      <c r="KZQ36" s="170"/>
      <c r="KZR36" s="170"/>
      <c r="KZS36" s="170"/>
      <c r="KZT36" s="170"/>
      <c r="KZU36" s="170"/>
      <c r="KZV36" s="170"/>
      <c r="KZW36" s="170"/>
      <c r="KZX36" s="170"/>
      <c r="KZY36" s="170"/>
      <c r="KZZ36" s="170"/>
      <c r="LAA36" s="170"/>
      <c r="LAB36" s="170"/>
      <c r="LAC36" s="170"/>
      <c r="LAD36" s="170"/>
      <c r="LAE36" s="170"/>
      <c r="LAF36" s="170"/>
      <c r="LAG36" s="170"/>
      <c r="LAH36" s="170"/>
      <c r="LAI36" s="170"/>
      <c r="LAJ36" s="170"/>
      <c r="LAK36" s="170"/>
      <c r="LAL36" s="170"/>
      <c r="LAM36" s="170"/>
      <c r="LAN36" s="170"/>
      <c r="LAO36" s="170"/>
      <c r="LAP36" s="170"/>
      <c r="LAQ36" s="170"/>
      <c r="LAR36" s="170"/>
      <c r="LAS36" s="170"/>
      <c r="LAT36" s="170"/>
      <c r="LAU36" s="170"/>
      <c r="LAV36" s="170"/>
      <c r="LAW36" s="170"/>
      <c r="LAX36" s="170"/>
      <c r="LAY36" s="170"/>
      <c r="LAZ36" s="170"/>
      <c r="LBA36" s="170"/>
      <c r="LBB36" s="170"/>
      <c r="LBC36" s="170"/>
      <c r="LBD36" s="170"/>
      <c r="LBE36" s="170"/>
      <c r="LBF36" s="170"/>
      <c r="LBG36" s="170"/>
      <c r="LBH36" s="170"/>
      <c r="LBI36" s="170"/>
      <c r="LBJ36" s="170"/>
      <c r="LBK36" s="170"/>
      <c r="LBL36" s="170"/>
      <c r="LBM36" s="170"/>
      <c r="LBN36" s="170"/>
      <c r="LBO36" s="170"/>
      <c r="LBP36" s="170"/>
      <c r="LBQ36" s="170"/>
      <c r="LBR36" s="170"/>
      <c r="LBS36" s="170"/>
      <c r="LBT36" s="170"/>
      <c r="LBU36" s="170"/>
      <c r="LBV36" s="170"/>
      <c r="LBW36" s="170"/>
      <c r="LBX36" s="170"/>
      <c r="LBY36" s="170"/>
      <c r="LBZ36" s="170"/>
      <c r="LCA36" s="170"/>
      <c r="LCB36" s="170"/>
      <c r="LCC36" s="170"/>
      <c r="LCD36" s="170"/>
      <c r="LCE36" s="170"/>
      <c r="LCF36" s="170"/>
      <c r="LCG36" s="170"/>
      <c r="LCH36" s="170"/>
      <c r="LCI36" s="170"/>
      <c r="LCJ36" s="170"/>
      <c r="LCK36" s="170"/>
      <c r="LCL36" s="170"/>
      <c r="LCM36" s="170"/>
      <c r="LCN36" s="170"/>
      <c r="LCO36" s="170"/>
      <c r="LCP36" s="170"/>
      <c r="LCQ36" s="170"/>
      <c r="LCR36" s="170"/>
      <c r="LCS36" s="170"/>
      <c r="LCT36" s="170"/>
      <c r="LCU36" s="170"/>
      <c r="LCV36" s="170"/>
      <c r="LCW36" s="170"/>
      <c r="LCX36" s="170"/>
      <c r="LCY36" s="170"/>
      <c r="LCZ36" s="170"/>
      <c r="LDA36" s="170"/>
      <c r="LDB36" s="170"/>
      <c r="LDC36" s="170"/>
      <c r="LDD36" s="170"/>
      <c r="LDE36" s="170"/>
      <c r="LDF36" s="170"/>
      <c r="LDG36" s="170"/>
      <c r="LDH36" s="170"/>
      <c r="LDI36" s="170"/>
      <c r="LDJ36" s="170"/>
      <c r="LDK36" s="170"/>
      <c r="LDL36" s="170"/>
      <c r="LDM36" s="170"/>
      <c r="LDN36" s="170"/>
      <c r="LDO36" s="170"/>
      <c r="LDP36" s="170"/>
      <c r="LDQ36" s="170"/>
      <c r="LDR36" s="170"/>
      <c r="LDS36" s="170"/>
      <c r="LDT36" s="170"/>
      <c r="LDU36" s="170"/>
      <c r="LDV36" s="170"/>
      <c r="LDW36" s="170"/>
      <c r="LDX36" s="170"/>
      <c r="LDY36" s="170"/>
      <c r="LDZ36" s="170"/>
      <c r="LEA36" s="170"/>
      <c r="LEB36" s="170"/>
      <c r="LEC36" s="170"/>
      <c r="LED36" s="170"/>
      <c r="LEE36" s="170"/>
      <c r="LEF36" s="170"/>
      <c r="LEG36" s="170"/>
      <c r="LEH36" s="170"/>
      <c r="LEI36" s="170"/>
      <c r="LEJ36" s="170"/>
      <c r="LEK36" s="170"/>
      <c r="LEL36" s="170"/>
      <c r="LEM36" s="170"/>
      <c r="LEN36" s="170"/>
      <c r="LEO36" s="170"/>
      <c r="LEP36" s="170"/>
      <c r="LEQ36" s="170"/>
      <c r="LER36" s="170"/>
      <c r="LES36" s="170"/>
      <c r="LET36" s="170"/>
      <c r="LEU36" s="170"/>
      <c r="LEV36" s="170"/>
      <c r="LEW36" s="170"/>
      <c r="LEX36" s="170"/>
      <c r="LEY36" s="170"/>
      <c r="LEZ36" s="170"/>
      <c r="LFA36" s="170"/>
      <c r="LFB36" s="170"/>
      <c r="LFC36" s="170"/>
      <c r="LFD36" s="170"/>
      <c r="LFE36" s="170"/>
      <c r="LFF36" s="170"/>
      <c r="LFG36" s="170"/>
      <c r="LFH36" s="170"/>
      <c r="LFI36" s="170"/>
      <c r="LFJ36" s="170"/>
      <c r="LFK36" s="170"/>
      <c r="LFL36" s="170"/>
      <c r="LFM36" s="170"/>
      <c r="LFN36" s="170"/>
      <c r="LFO36" s="170"/>
      <c r="LFP36" s="170"/>
      <c r="LFQ36" s="170"/>
      <c r="LFR36" s="170"/>
      <c r="LFS36" s="170"/>
      <c r="LFT36" s="170"/>
      <c r="LFU36" s="170"/>
      <c r="LFV36" s="170"/>
      <c r="LFW36" s="170"/>
      <c r="LFX36" s="170"/>
      <c r="LFY36" s="170"/>
      <c r="LFZ36" s="170"/>
      <c r="LGA36" s="170"/>
      <c r="LGB36" s="170"/>
      <c r="LGC36" s="170"/>
      <c r="LGD36" s="170"/>
      <c r="LGE36" s="170"/>
      <c r="LGF36" s="170"/>
      <c r="LGG36" s="170"/>
      <c r="LGH36" s="170"/>
      <c r="LGI36" s="170"/>
      <c r="LGJ36" s="170"/>
      <c r="LGK36" s="170"/>
      <c r="LGL36" s="170"/>
      <c r="LGM36" s="170"/>
      <c r="LGN36" s="170"/>
      <c r="LGO36" s="170"/>
      <c r="LGP36" s="170"/>
      <c r="LGQ36" s="170"/>
      <c r="LGR36" s="170"/>
      <c r="LGS36" s="170"/>
      <c r="LGT36" s="170"/>
      <c r="LGU36" s="170"/>
      <c r="LGV36" s="170"/>
      <c r="LGW36" s="170"/>
      <c r="LGX36" s="170"/>
      <c r="LGY36" s="170"/>
      <c r="LGZ36" s="170"/>
      <c r="LHA36" s="170"/>
      <c r="LHB36" s="170"/>
      <c r="LHC36" s="170"/>
      <c r="LHD36" s="170"/>
      <c r="LHE36" s="170"/>
      <c r="LHF36" s="170"/>
      <c r="LHG36" s="170"/>
      <c r="LHH36" s="170"/>
      <c r="LHI36" s="170"/>
      <c r="LHJ36" s="170"/>
      <c r="LHK36" s="170"/>
      <c r="LHL36" s="170"/>
      <c r="LHM36" s="170"/>
      <c r="LHN36" s="170"/>
      <c r="LHO36" s="170"/>
      <c r="LHP36" s="170"/>
      <c r="LHQ36" s="170"/>
      <c r="LHR36" s="170"/>
      <c r="LHS36" s="170"/>
      <c r="LHT36" s="170"/>
      <c r="LHU36" s="170"/>
      <c r="LHV36" s="170"/>
      <c r="LHW36" s="170"/>
      <c r="LHX36" s="170"/>
      <c r="LHY36" s="170"/>
      <c r="LHZ36" s="170"/>
      <c r="LIA36" s="170"/>
      <c r="LIB36" s="170"/>
      <c r="LIC36" s="170"/>
      <c r="LID36" s="170"/>
      <c r="LIE36" s="170"/>
      <c r="LIF36" s="170"/>
      <c r="LIG36" s="170"/>
      <c r="LIH36" s="170"/>
      <c r="LII36" s="170"/>
      <c r="LIJ36" s="170"/>
      <c r="LIK36" s="170"/>
      <c r="LIL36" s="170"/>
      <c r="LIM36" s="170"/>
      <c r="LIN36" s="170"/>
      <c r="LIO36" s="170"/>
      <c r="LIP36" s="170"/>
      <c r="LIQ36" s="170"/>
      <c r="LIR36" s="170"/>
      <c r="LIS36" s="170"/>
      <c r="LIT36" s="170"/>
      <c r="LIU36" s="170"/>
      <c r="LIV36" s="170"/>
      <c r="LIW36" s="170"/>
      <c r="LIX36" s="170"/>
      <c r="LIY36" s="170"/>
      <c r="LIZ36" s="170"/>
      <c r="LJA36" s="170"/>
      <c r="LJB36" s="170"/>
      <c r="LJC36" s="170"/>
      <c r="LJD36" s="170"/>
      <c r="LJE36" s="170"/>
      <c r="LJF36" s="170"/>
      <c r="LJG36" s="170"/>
      <c r="LJH36" s="170"/>
      <c r="LJI36" s="170"/>
      <c r="LJJ36" s="170"/>
      <c r="LJK36" s="170"/>
      <c r="LJL36" s="170"/>
      <c r="LJM36" s="170"/>
      <c r="LJN36" s="170"/>
      <c r="LJO36" s="170"/>
      <c r="LJP36" s="170"/>
      <c r="LJQ36" s="170"/>
      <c r="LJR36" s="170"/>
      <c r="LJS36" s="170"/>
      <c r="LJT36" s="170"/>
      <c r="LJU36" s="170"/>
      <c r="LJV36" s="170"/>
      <c r="LJW36" s="170"/>
      <c r="LJX36" s="170"/>
      <c r="LJY36" s="170"/>
      <c r="LJZ36" s="170"/>
      <c r="LKA36" s="170"/>
      <c r="LKB36" s="170"/>
      <c r="LKC36" s="170"/>
      <c r="LKD36" s="170"/>
      <c r="LKE36" s="170"/>
      <c r="LKF36" s="170"/>
      <c r="LKG36" s="170"/>
      <c r="LKH36" s="170"/>
      <c r="LKI36" s="170"/>
      <c r="LKJ36" s="170"/>
      <c r="LKK36" s="170"/>
      <c r="LKL36" s="170"/>
      <c r="LKM36" s="170"/>
      <c r="LKN36" s="170"/>
      <c r="LKO36" s="170"/>
      <c r="LKP36" s="170"/>
      <c r="LKQ36" s="170"/>
      <c r="LKR36" s="170"/>
      <c r="LKS36" s="170"/>
      <c r="LKT36" s="170"/>
      <c r="LKU36" s="170"/>
      <c r="LKV36" s="170"/>
      <c r="LKW36" s="170"/>
      <c r="LKX36" s="170"/>
      <c r="LKY36" s="170"/>
      <c r="LKZ36" s="170"/>
      <c r="LLA36" s="170"/>
      <c r="LLB36" s="170"/>
      <c r="LLC36" s="170"/>
      <c r="LLD36" s="170"/>
      <c r="LLE36" s="170"/>
      <c r="LLF36" s="170"/>
      <c r="LLG36" s="170"/>
      <c r="LLH36" s="170"/>
      <c r="LLI36" s="170"/>
      <c r="LLJ36" s="170"/>
      <c r="LLK36" s="170"/>
      <c r="LLL36" s="170"/>
      <c r="LLM36" s="170"/>
      <c r="LLN36" s="170"/>
      <c r="LLO36" s="170"/>
      <c r="LLP36" s="170"/>
      <c r="LLQ36" s="170"/>
      <c r="LLR36" s="170"/>
      <c r="LLS36" s="170"/>
      <c r="LLT36" s="170"/>
      <c r="LLU36" s="170"/>
      <c r="LLV36" s="170"/>
      <c r="LLW36" s="170"/>
      <c r="LLX36" s="170"/>
      <c r="LLY36" s="170"/>
      <c r="LLZ36" s="170"/>
      <c r="LMA36" s="170"/>
      <c r="LMB36" s="170"/>
      <c r="LMC36" s="170"/>
      <c r="LMD36" s="170"/>
      <c r="LME36" s="170"/>
      <c r="LMF36" s="170"/>
      <c r="LMG36" s="170"/>
      <c r="LMH36" s="170"/>
      <c r="LMI36" s="170"/>
      <c r="LMJ36" s="170"/>
      <c r="LMK36" s="170"/>
      <c r="LML36" s="170"/>
      <c r="LMM36" s="170"/>
      <c r="LMN36" s="170"/>
      <c r="LMO36" s="170"/>
      <c r="LMP36" s="170"/>
      <c r="LMQ36" s="170"/>
      <c r="LMR36" s="170"/>
      <c r="LMS36" s="170"/>
      <c r="LMT36" s="170"/>
      <c r="LMU36" s="170"/>
      <c r="LMV36" s="170"/>
      <c r="LMW36" s="170"/>
      <c r="LMX36" s="170"/>
      <c r="LMY36" s="170"/>
      <c r="LMZ36" s="170"/>
      <c r="LNA36" s="170"/>
      <c r="LNB36" s="170"/>
      <c r="LNC36" s="170"/>
      <c r="LND36" s="170"/>
      <c r="LNE36" s="170"/>
      <c r="LNF36" s="170"/>
      <c r="LNG36" s="170"/>
      <c r="LNH36" s="170"/>
      <c r="LNI36" s="170"/>
      <c r="LNJ36" s="170"/>
      <c r="LNK36" s="170"/>
      <c r="LNL36" s="170"/>
      <c r="LNM36" s="170"/>
      <c r="LNN36" s="170"/>
      <c r="LNO36" s="170"/>
      <c r="LNP36" s="170"/>
      <c r="LNQ36" s="170"/>
      <c r="LNR36" s="170"/>
      <c r="LNS36" s="170"/>
      <c r="LNT36" s="170"/>
      <c r="LNU36" s="170"/>
      <c r="LNV36" s="170"/>
      <c r="LNW36" s="170"/>
      <c r="LNX36" s="170"/>
      <c r="LNY36" s="170"/>
      <c r="LNZ36" s="170"/>
      <c r="LOA36" s="170"/>
      <c r="LOB36" s="170"/>
      <c r="LOC36" s="170"/>
      <c r="LOD36" s="170"/>
      <c r="LOE36" s="170"/>
      <c r="LOF36" s="170"/>
      <c r="LOG36" s="170"/>
      <c r="LOH36" s="170"/>
      <c r="LOI36" s="170"/>
      <c r="LOJ36" s="170"/>
      <c r="LOK36" s="170"/>
      <c r="LOL36" s="170"/>
      <c r="LOM36" s="170"/>
      <c r="LON36" s="170"/>
      <c r="LOO36" s="170"/>
      <c r="LOP36" s="170"/>
      <c r="LOQ36" s="170"/>
      <c r="LOR36" s="170"/>
      <c r="LOS36" s="170"/>
      <c r="LOT36" s="170"/>
      <c r="LOU36" s="170"/>
      <c r="LOV36" s="170"/>
      <c r="LOW36" s="170"/>
      <c r="LOX36" s="170"/>
      <c r="LOY36" s="170"/>
      <c r="LOZ36" s="170"/>
      <c r="LPA36" s="170"/>
      <c r="LPB36" s="170"/>
      <c r="LPC36" s="170"/>
      <c r="LPD36" s="170"/>
      <c r="LPE36" s="170"/>
      <c r="LPF36" s="170"/>
      <c r="LPG36" s="170"/>
      <c r="LPH36" s="170"/>
      <c r="LPI36" s="170"/>
      <c r="LPJ36" s="170"/>
      <c r="LPK36" s="170"/>
      <c r="LPL36" s="170"/>
      <c r="LPM36" s="170"/>
      <c r="LPN36" s="170"/>
      <c r="LPO36" s="170"/>
      <c r="LPP36" s="170"/>
      <c r="LPQ36" s="170"/>
      <c r="LPR36" s="170"/>
      <c r="LPS36" s="170"/>
      <c r="LPT36" s="170"/>
      <c r="LPU36" s="170"/>
      <c r="LPV36" s="170"/>
      <c r="LPW36" s="170"/>
      <c r="LPX36" s="170"/>
      <c r="LPY36" s="170"/>
      <c r="LPZ36" s="170"/>
      <c r="LQA36" s="170"/>
      <c r="LQB36" s="170"/>
      <c r="LQC36" s="170"/>
      <c r="LQD36" s="170"/>
      <c r="LQE36" s="170"/>
      <c r="LQF36" s="170"/>
      <c r="LQG36" s="170"/>
      <c r="LQH36" s="170"/>
      <c r="LQI36" s="170"/>
      <c r="LQJ36" s="170"/>
      <c r="LQK36" s="170"/>
      <c r="LQL36" s="170"/>
      <c r="LQM36" s="170"/>
      <c r="LQN36" s="170"/>
      <c r="LQO36" s="170"/>
      <c r="LQP36" s="170"/>
      <c r="LQQ36" s="170"/>
      <c r="LQR36" s="170"/>
      <c r="LQS36" s="170"/>
      <c r="LQT36" s="170"/>
      <c r="LQU36" s="170"/>
      <c r="LQV36" s="170"/>
      <c r="LQW36" s="170"/>
      <c r="LQX36" s="170"/>
      <c r="LQY36" s="170"/>
      <c r="LQZ36" s="170"/>
      <c r="LRA36" s="170"/>
      <c r="LRB36" s="170"/>
      <c r="LRC36" s="170"/>
      <c r="LRD36" s="170"/>
      <c r="LRE36" s="170"/>
      <c r="LRF36" s="170"/>
      <c r="LRG36" s="170"/>
      <c r="LRH36" s="170"/>
      <c r="LRI36" s="170"/>
      <c r="LRJ36" s="170"/>
      <c r="LRK36" s="170"/>
      <c r="LRL36" s="170"/>
      <c r="LRM36" s="170"/>
      <c r="LRN36" s="170"/>
      <c r="LRO36" s="170"/>
      <c r="LRP36" s="170"/>
      <c r="LRQ36" s="170"/>
      <c r="LRR36" s="170"/>
      <c r="LRS36" s="170"/>
      <c r="LRT36" s="170"/>
      <c r="LRU36" s="170"/>
      <c r="LRV36" s="170"/>
      <c r="LRW36" s="170"/>
      <c r="LRX36" s="170"/>
      <c r="LRY36" s="170"/>
      <c r="LRZ36" s="170"/>
      <c r="LSA36" s="170"/>
      <c r="LSB36" s="170"/>
      <c r="LSC36" s="170"/>
      <c r="LSD36" s="170"/>
      <c r="LSE36" s="170"/>
      <c r="LSF36" s="170"/>
      <c r="LSG36" s="170"/>
      <c r="LSH36" s="170"/>
      <c r="LSI36" s="170"/>
      <c r="LSJ36" s="170"/>
      <c r="LSK36" s="170"/>
      <c r="LSL36" s="170"/>
      <c r="LSM36" s="170"/>
      <c r="LSN36" s="170"/>
      <c r="LSO36" s="170"/>
      <c r="LSP36" s="170"/>
      <c r="LSQ36" s="170"/>
      <c r="LSR36" s="170"/>
      <c r="LSS36" s="170"/>
      <c r="LST36" s="170"/>
      <c r="LSU36" s="170"/>
      <c r="LSV36" s="170"/>
      <c r="LSW36" s="170"/>
      <c r="LSX36" s="170"/>
      <c r="LSY36" s="170"/>
      <c r="LSZ36" s="170"/>
      <c r="LTA36" s="170"/>
      <c r="LTB36" s="170"/>
      <c r="LTC36" s="170"/>
      <c r="LTD36" s="170"/>
      <c r="LTE36" s="170"/>
      <c r="LTF36" s="170"/>
      <c r="LTG36" s="170"/>
      <c r="LTH36" s="170"/>
      <c r="LTI36" s="170"/>
      <c r="LTJ36" s="170"/>
      <c r="LTK36" s="170"/>
      <c r="LTL36" s="170"/>
      <c r="LTM36" s="170"/>
      <c r="LTN36" s="170"/>
      <c r="LTO36" s="170"/>
      <c r="LTP36" s="170"/>
      <c r="LTQ36" s="170"/>
      <c r="LTR36" s="170"/>
      <c r="LTS36" s="170"/>
      <c r="LTT36" s="170"/>
      <c r="LTU36" s="170"/>
      <c r="LTV36" s="170"/>
      <c r="LTW36" s="170"/>
      <c r="LTX36" s="170"/>
      <c r="LTY36" s="170"/>
      <c r="LTZ36" s="170"/>
      <c r="LUA36" s="170"/>
      <c r="LUB36" s="170"/>
      <c r="LUC36" s="170"/>
      <c r="LUD36" s="170"/>
      <c r="LUE36" s="170"/>
      <c r="LUF36" s="170"/>
      <c r="LUG36" s="170"/>
      <c r="LUH36" s="170"/>
      <c r="LUI36" s="170"/>
      <c r="LUJ36" s="170"/>
      <c r="LUK36" s="170"/>
      <c r="LUL36" s="170"/>
      <c r="LUM36" s="170"/>
      <c r="LUN36" s="170"/>
      <c r="LUO36" s="170"/>
      <c r="LUP36" s="170"/>
      <c r="LUQ36" s="170"/>
      <c r="LUR36" s="170"/>
      <c r="LUS36" s="170"/>
      <c r="LUT36" s="170"/>
      <c r="LUU36" s="170"/>
      <c r="LUV36" s="170"/>
      <c r="LUW36" s="170"/>
      <c r="LUX36" s="170"/>
      <c r="LUY36" s="170"/>
      <c r="LUZ36" s="170"/>
      <c r="LVA36" s="170"/>
      <c r="LVB36" s="170"/>
      <c r="LVC36" s="170"/>
      <c r="LVD36" s="170"/>
      <c r="LVE36" s="170"/>
      <c r="LVF36" s="170"/>
      <c r="LVG36" s="170"/>
      <c r="LVH36" s="170"/>
      <c r="LVI36" s="170"/>
      <c r="LVJ36" s="170"/>
      <c r="LVK36" s="170"/>
      <c r="LVL36" s="170"/>
      <c r="LVM36" s="170"/>
      <c r="LVN36" s="170"/>
      <c r="LVO36" s="170"/>
      <c r="LVP36" s="170"/>
      <c r="LVQ36" s="170"/>
      <c r="LVR36" s="170"/>
      <c r="LVS36" s="170"/>
      <c r="LVT36" s="170"/>
      <c r="LVU36" s="170"/>
      <c r="LVV36" s="170"/>
      <c r="LVW36" s="170"/>
      <c r="LVX36" s="170"/>
      <c r="LVY36" s="170"/>
      <c r="LVZ36" s="170"/>
      <c r="LWA36" s="170"/>
      <c r="LWB36" s="170"/>
      <c r="LWC36" s="170"/>
      <c r="LWD36" s="170"/>
      <c r="LWE36" s="170"/>
      <c r="LWF36" s="170"/>
      <c r="LWG36" s="170"/>
      <c r="LWH36" s="170"/>
      <c r="LWI36" s="170"/>
      <c r="LWJ36" s="170"/>
      <c r="LWK36" s="170"/>
      <c r="LWL36" s="170"/>
      <c r="LWM36" s="170"/>
      <c r="LWN36" s="170"/>
      <c r="LWO36" s="170"/>
      <c r="LWP36" s="170"/>
      <c r="LWQ36" s="170"/>
      <c r="LWR36" s="170"/>
      <c r="LWS36" s="170"/>
      <c r="LWT36" s="170"/>
      <c r="LWU36" s="170"/>
      <c r="LWV36" s="170"/>
      <c r="LWW36" s="170"/>
      <c r="LWX36" s="170"/>
      <c r="LWY36" s="170"/>
      <c r="LWZ36" s="170"/>
      <c r="LXA36" s="170"/>
      <c r="LXB36" s="170"/>
      <c r="LXC36" s="170"/>
      <c r="LXD36" s="170"/>
      <c r="LXE36" s="170"/>
      <c r="LXF36" s="170"/>
      <c r="LXG36" s="170"/>
      <c r="LXH36" s="170"/>
      <c r="LXI36" s="170"/>
      <c r="LXJ36" s="170"/>
      <c r="LXK36" s="170"/>
      <c r="LXL36" s="170"/>
      <c r="LXM36" s="170"/>
      <c r="LXN36" s="170"/>
      <c r="LXO36" s="170"/>
      <c r="LXP36" s="170"/>
      <c r="LXQ36" s="170"/>
      <c r="LXR36" s="170"/>
      <c r="LXS36" s="170"/>
      <c r="LXT36" s="170"/>
      <c r="LXU36" s="170"/>
      <c r="LXV36" s="170"/>
      <c r="LXW36" s="170"/>
      <c r="LXX36" s="170"/>
      <c r="LXY36" s="170"/>
      <c r="LXZ36" s="170"/>
      <c r="LYA36" s="170"/>
      <c r="LYB36" s="170"/>
      <c r="LYC36" s="170"/>
      <c r="LYD36" s="170"/>
      <c r="LYE36" s="170"/>
      <c r="LYF36" s="170"/>
      <c r="LYG36" s="170"/>
      <c r="LYH36" s="170"/>
      <c r="LYI36" s="170"/>
      <c r="LYJ36" s="170"/>
      <c r="LYK36" s="170"/>
      <c r="LYL36" s="170"/>
      <c r="LYM36" s="170"/>
      <c r="LYN36" s="170"/>
      <c r="LYO36" s="170"/>
      <c r="LYP36" s="170"/>
      <c r="LYQ36" s="170"/>
      <c r="LYR36" s="170"/>
      <c r="LYS36" s="170"/>
      <c r="LYT36" s="170"/>
      <c r="LYU36" s="170"/>
      <c r="LYV36" s="170"/>
      <c r="LYW36" s="170"/>
      <c r="LYX36" s="170"/>
      <c r="LYY36" s="170"/>
      <c r="LYZ36" s="170"/>
      <c r="LZA36" s="170"/>
      <c r="LZB36" s="170"/>
      <c r="LZC36" s="170"/>
      <c r="LZD36" s="170"/>
      <c r="LZE36" s="170"/>
      <c r="LZF36" s="170"/>
      <c r="LZG36" s="170"/>
      <c r="LZH36" s="170"/>
      <c r="LZI36" s="170"/>
      <c r="LZJ36" s="170"/>
      <c r="LZK36" s="170"/>
      <c r="LZL36" s="170"/>
      <c r="LZM36" s="170"/>
      <c r="LZN36" s="170"/>
      <c r="LZO36" s="170"/>
      <c r="LZP36" s="170"/>
      <c r="LZQ36" s="170"/>
      <c r="LZR36" s="170"/>
      <c r="LZS36" s="170"/>
      <c r="LZT36" s="170"/>
      <c r="LZU36" s="170"/>
      <c r="LZV36" s="170"/>
      <c r="LZW36" s="170"/>
      <c r="LZX36" s="170"/>
      <c r="LZY36" s="170"/>
      <c r="LZZ36" s="170"/>
      <c r="MAA36" s="170"/>
      <c r="MAB36" s="170"/>
      <c r="MAC36" s="170"/>
      <c r="MAD36" s="170"/>
      <c r="MAE36" s="170"/>
      <c r="MAF36" s="170"/>
      <c r="MAG36" s="170"/>
      <c r="MAH36" s="170"/>
      <c r="MAI36" s="170"/>
      <c r="MAJ36" s="170"/>
      <c r="MAK36" s="170"/>
      <c r="MAL36" s="170"/>
      <c r="MAM36" s="170"/>
      <c r="MAN36" s="170"/>
      <c r="MAO36" s="170"/>
      <c r="MAP36" s="170"/>
      <c r="MAQ36" s="170"/>
      <c r="MAR36" s="170"/>
      <c r="MAS36" s="170"/>
      <c r="MAT36" s="170"/>
      <c r="MAU36" s="170"/>
      <c r="MAV36" s="170"/>
      <c r="MAW36" s="170"/>
      <c r="MAX36" s="170"/>
      <c r="MAY36" s="170"/>
      <c r="MAZ36" s="170"/>
      <c r="MBA36" s="170"/>
      <c r="MBB36" s="170"/>
      <c r="MBC36" s="170"/>
      <c r="MBD36" s="170"/>
      <c r="MBE36" s="170"/>
      <c r="MBF36" s="170"/>
      <c r="MBG36" s="170"/>
      <c r="MBH36" s="170"/>
      <c r="MBI36" s="170"/>
      <c r="MBJ36" s="170"/>
      <c r="MBK36" s="170"/>
      <c r="MBL36" s="170"/>
      <c r="MBM36" s="170"/>
      <c r="MBN36" s="170"/>
      <c r="MBO36" s="170"/>
      <c r="MBP36" s="170"/>
      <c r="MBQ36" s="170"/>
      <c r="MBR36" s="170"/>
      <c r="MBS36" s="170"/>
      <c r="MBT36" s="170"/>
      <c r="MBU36" s="170"/>
      <c r="MBV36" s="170"/>
      <c r="MBW36" s="170"/>
      <c r="MBX36" s="170"/>
      <c r="MBY36" s="170"/>
      <c r="MBZ36" s="170"/>
      <c r="MCA36" s="170"/>
      <c r="MCB36" s="170"/>
      <c r="MCC36" s="170"/>
      <c r="MCD36" s="170"/>
      <c r="MCE36" s="170"/>
      <c r="MCF36" s="170"/>
      <c r="MCG36" s="170"/>
      <c r="MCH36" s="170"/>
      <c r="MCI36" s="170"/>
      <c r="MCJ36" s="170"/>
      <c r="MCK36" s="170"/>
      <c r="MCL36" s="170"/>
      <c r="MCM36" s="170"/>
      <c r="MCN36" s="170"/>
      <c r="MCO36" s="170"/>
      <c r="MCP36" s="170"/>
      <c r="MCQ36" s="170"/>
      <c r="MCR36" s="170"/>
      <c r="MCS36" s="170"/>
      <c r="MCT36" s="170"/>
      <c r="MCU36" s="170"/>
      <c r="MCV36" s="170"/>
      <c r="MCW36" s="170"/>
      <c r="MCX36" s="170"/>
      <c r="MCY36" s="170"/>
      <c r="MCZ36" s="170"/>
      <c r="MDA36" s="170"/>
      <c r="MDB36" s="170"/>
      <c r="MDC36" s="170"/>
      <c r="MDD36" s="170"/>
      <c r="MDE36" s="170"/>
      <c r="MDF36" s="170"/>
      <c r="MDG36" s="170"/>
      <c r="MDH36" s="170"/>
      <c r="MDI36" s="170"/>
      <c r="MDJ36" s="170"/>
      <c r="MDK36" s="170"/>
      <c r="MDL36" s="170"/>
      <c r="MDM36" s="170"/>
      <c r="MDN36" s="170"/>
      <c r="MDO36" s="170"/>
      <c r="MDP36" s="170"/>
      <c r="MDQ36" s="170"/>
      <c r="MDR36" s="170"/>
      <c r="MDS36" s="170"/>
      <c r="MDT36" s="170"/>
      <c r="MDU36" s="170"/>
      <c r="MDV36" s="170"/>
      <c r="MDW36" s="170"/>
      <c r="MDX36" s="170"/>
      <c r="MDY36" s="170"/>
      <c r="MDZ36" s="170"/>
      <c r="MEA36" s="170"/>
      <c r="MEB36" s="170"/>
      <c r="MEC36" s="170"/>
      <c r="MED36" s="170"/>
      <c r="MEE36" s="170"/>
      <c r="MEF36" s="170"/>
      <c r="MEG36" s="170"/>
      <c r="MEH36" s="170"/>
      <c r="MEI36" s="170"/>
      <c r="MEJ36" s="170"/>
      <c r="MEK36" s="170"/>
      <c r="MEL36" s="170"/>
      <c r="MEM36" s="170"/>
      <c r="MEN36" s="170"/>
      <c r="MEO36" s="170"/>
      <c r="MEP36" s="170"/>
      <c r="MEQ36" s="170"/>
      <c r="MER36" s="170"/>
      <c r="MES36" s="170"/>
      <c r="MET36" s="170"/>
      <c r="MEU36" s="170"/>
      <c r="MEV36" s="170"/>
      <c r="MEW36" s="170"/>
      <c r="MEX36" s="170"/>
      <c r="MEY36" s="170"/>
      <c r="MEZ36" s="170"/>
      <c r="MFA36" s="170"/>
      <c r="MFB36" s="170"/>
      <c r="MFC36" s="170"/>
      <c r="MFD36" s="170"/>
      <c r="MFE36" s="170"/>
      <c r="MFF36" s="170"/>
      <c r="MFG36" s="170"/>
      <c r="MFH36" s="170"/>
      <c r="MFI36" s="170"/>
      <c r="MFJ36" s="170"/>
      <c r="MFK36" s="170"/>
      <c r="MFL36" s="170"/>
      <c r="MFM36" s="170"/>
      <c r="MFN36" s="170"/>
      <c r="MFO36" s="170"/>
      <c r="MFP36" s="170"/>
      <c r="MFQ36" s="170"/>
      <c r="MFR36" s="170"/>
      <c r="MFS36" s="170"/>
      <c r="MFT36" s="170"/>
      <c r="MFU36" s="170"/>
      <c r="MFV36" s="170"/>
      <c r="MFW36" s="170"/>
      <c r="MFX36" s="170"/>
      <c r="MFY36" s="170"/>
      <c r="MFZ36" s="170"/>
      <c r="MGA36" s="170"/>
      <c r="MGB36" s="170"/>
      <c r="MGC36" s="170"/>
      <c r="MGD36" s="170"/>
      <c r="MGE36" s="170"/>
      <c r="MGF36" s="170"/>
      <c r="MGG36" s="170"/>
      <c r="MGH36" s="170"/>
      <c r="MGI36" s="170"/>
      <c r="MGJ36" s="170"/>
      <c r="MGK36" s="170"/>
      <c r="MGL36" s="170"/>
      <c r="MGM36" s="170"/>
      <c r="MGN36" s="170"/>
      <c r="MGO36" s="170"/>
      <c r="MGP36" s="170"/>
      <c r="MGQ36" s="170"/>
      <c r="MGR36" s="170"/>
      <c r="MGS36" s="170"/>
      <c r="MGT36" s="170"/>
      <c r="MGU36" s="170"/>
      <c r="MGV36" s="170"/>
      <c r="MGW36" s="170"/>
      <c r="MGX36" s="170"/>
      <c r="MGY36" s="170"/>
      <c r="MGZ36" s="170"/>
      <c r="MHA36" s="170"/>
      <c r="MHB36" s="170"/>
      <c r="MHC36" s="170"/>
      <c r="MHD36" s="170"/>
      <c r="MHE36" s="170"/>
      <c r="MHF36" s="170"/>
      <c r="MHG36" s="170"/>
      <c r="MHH36" s="170"/>
      <c r="MHI36" s="170"/>
      <c r="MHJ36" s="170"/>
      <c r="MHK36" s="170"/>
      <c r="MHL36" s="170"/>
      <c r="MHM36" s="170"/>
      <c r="MHN36" s="170"/>
      <c r="MHO36" s="170"/>
      <c r="MHP36" s="170"/>
      <c r="MHQ36" s="170"/>
      <c r="MHR36" s="170"/>
      <c r="MHS36" s="170"/>
      <c r="MHT36" s="170"/>
      <c r="MHU36" s="170"/>
      <c r="MHV36" s="170"/>
      <c r="MHW36" s="170"/>
      <c r="MHX36" s="170"/>
      <c r="MHY36" s="170"/>
      <c r="MHZ36" s="170"/>
      <c r="MIA36" s="170"/>
      <c r="MIB36" s="170"/>
      <c r="MIC36" s="170"/>
      <c r="MID36" s="170"/>
      <c r="MIE36" s="170"/>
      <c r="MIF36" s="170"/>
      <c r="MIG36" s="170"/>
      <c r="MIH36" s="170"/>
      <c r="MII36" s="170"/>
      <c r="MIJ36" s="170"/>
      <c r="MIK36" s="170"/>
      <c r="MIL36" s="170"/>
      <c r="MIM36" s="170"/>
      <c r="MIN36" s="170"/>
      <c r="MIO36" s="170"/>
      <c r="MIP36" s="170"/>
      <c r="MIQ36" s="170"/>
      <c r="MIR36" s="170"/>
      <c r="MIS36" s="170"/>
      <c r="MIT36" s="170"/>
      <c r="MIU36" s="170"/>
      <c r="MIV36" s="170"/>
      <c r="MIW36" s="170"/>
      <c r="MIX36" s="170"/>
      <c r="MIY36" s="170"/>
      <c r="MIZ36" s="170"/>
      <c r="MJA36" s="170"/>
      <c r="MJB36" s="170"/>
      <c r="MJC36" s="170"/>
      <c r="MJD36" s="170"/>
      <c r="MJE36" s="170"/>
      <c r="MJF36" s="170"/>
      <c r="MJG36" s="170"/>
      <c r="MJH36" s="170"/>
      <c r="MJI36" s="170"/>
      <c r="MJJ36" s="170"/>
      <c r="MJK36" s="170"/>
      <c r="MJL36" s="170"/>
      <c r="MJM36" s="170"/>
      <c r="MJN36" s="170"/>
      <c r="MJO36" s="170"/>
      <c r="MJP36" s="170"/>
      <c r="MJQ36" s="170"/>
      <c r="MJR36" s="170"/>
      <c r="MJS36" s="170"/>
      <c r="MJT36" s="170"/>
      <c r="MJU36" s="170"/>
      <c r="MJV36" s="170"/>
      <c r="MJW36" s="170"/>
      <c r="MJX36" s="170"/>
      <c r="MJY36" s="170"/>
      <c r="MJZ36" s="170"/>
      <c r="MKA36" s="170"/>
      <c r="MKB36" s="170"/>
      <c r="MKC36" s="170"/>
      <c r="MKD36" s="170"/>
      <c r="MKE36" s="170"/>
      <c r="MKF36" s="170"/>
      <c r="MKG36" s="170"/>
      <c r="MKH36" s="170"/>
      <c r="MKI36" s="170"/>
      <c r="MKJ36" s="170"/>
      <c r="MKK36" s="170"/>
      <c r="MKL36" s="170"/>
      <c r="MKM36" s="170"/>
      <c r="MKN36" s="170"/>
      <c r="MKO36" s="170"/>
      <c r="MKP36" s="170"/>
      <c r="MKQ36" s="170"/>
      <c r="MKR36" s="170"/>
      <c r="MKS36" s="170"/>
      <c r="MKT36" s="170"/>
      <c r="MKU36" s="170"/>
      <c r="MKV36" s="170"/>
      <c r="MKW36" s="170"/>
      <c r="MKX36" s="170"/>
      <c r="MKY36" s="170"/>
      <c r="MKZ36" s="170"/>
      <c r="MLA36" s="170"/>
      <c r="MLB36" s="170"/>
      <c r="MLC36" s="170"/>
      <c r="MLD36" s="170"/>
      <c r="MLE36" s="170"/>
      <c r="MLF36" s="170"/>
      <c r="MLG36" s="170"/>
      <c r="MLH36" s="170"/>
      <c r="MLI36" s="170"/>
      <c r="MLJ36" s="170"/>
      <c r="MLK36" s="170"/>
      <c r="MLL36" s="170"/>
      <c r="MLM36" s="170"/>
      <c r="MLN36" s="170"/>
      <c r="MLO36" s="170"/>
      <c r="MLP36" s="170"/>
      <c r="MLQ36" s="170"/>
      <c r="MLR36" s="170"/>
      <c r="MLS36" s="170"/>
      <c r="MLT36" s="170"/>
      <c r="MLU36" s="170"/>
      <c r="MLV36" s="170"/>
      <c r="MLW36" s="170"/>
      <c r="MLX36" s="170"/>
      <c r="MLY36" s="170"/>
      <c r="MLZ36" s="170"/>
      <c r="MMA36" s="170"/>
      <c r="MMB36" s="170"/>
      <c r="MMC36" s="170"/>
      <c r="MMD36" s="170"/>
      <c r="MME36" s="170"/>
      <c r="MMF36" s="170"/>
      <c r="MMG36" s="170"/>
      <c r="MMH36" s="170"/>
      <c r="MMI36" s="170"/>
      <c r="MMJ36" s="170"/>
      <c r="MMK36" s="170"/>
      <c r="MML36" s="170"/>
      <c r="MMM36" s="170"/>
      <c r="MMN36" s="170"/>
      <c r="MMO36" s="170"/>
      <c r="MMP36" s="170"/>
      <c r="MMQ36" s="170"/>
      <c r="MMR36" s="170"/>
      <c r="MMS36" s="170"/>
      <c r="MMT36" s="170"/>
      <c r="MMU36" s="170"/>
      <c r="MMV36" s="170"/>
      <c r="MMW36" s="170"/>
      <c r="MMX36" s="170"/>
      <c r="MMY36" s="170"/>
      <c r="MMZ36" s="170"/>
      <c r="MNA36" s="170"/>
      <c r="MNB36" s="170"/>
      <c r="MNC36" s="170"/>
      <c r="MND36" s="170"/>
      <c r="MNE36" s="170"/>
      <c r="MNF36" s="170"/>
      <c r="MNG36" s="170"/>
      <c r="MNH36" s="170"/>
      <c r="MNI36" s="170"/>
      <c r="MNJ36" s="170"/>
      <c r="MNK36" s="170"/>
      <c r="MNL36" s="170"/>
      <c r="MNM36" s="170"/>
      <c r="MNN36" s="170"/>
      <c r="MNO36" s="170"/>
      <c r="MNP36" s="170"/>
      <c r="MNQ36" s="170"/>
      <c r="MNR36" s="170"/>
      <c r="MNS36" s="170"/>
      <c r="MNT36" s="170"/>
      <c r="MNU36" s="170"/>
      <c r="MNV36" s="170"/>
      <c r="MNW36" s="170"/>
      <c r="MNX36" s="170"/>
      <c r="MNY36" s="170"/>
      <c r="MNZ36" s="170"/>
      <c r="MOA36" s="170"/>
      <c r="MOB36" s="170"/>
      <c r="MOC36" s="170"/>
      <c r="MOD36" s="170"/>
      <c r="MOE36" s="170"/>
      <c r="MOF36" s="170"/>
      <c r="MOG36" s="170"/>
      <c r="MOH36" s="170"/>
      <c r="MOI36" s="170"/>
      <c r="MOJ36" s="170"/>
      <c r="MOK36" s="170"/>
      <c r="MOL36" s="170"/>
      <c r="MOM36" s="170"/>
      <c r="MON36" s="170"/>
      <c r="MOO36" s="170"/>
      <c r="MOP36" s="170"/>
      <c r="MOQ36" s="170"/>
      <c r="MOR36" s="170"/>
      <c r="MOS36" s="170"/>
      <c r="MOT36" s="170"/>
      <c r="MOU36" s="170"/>
      <c r="MOV36" s="170"/>
      <c r="MOW36" s="170"/>
      <c r="MOX36" s="170"/>
      <c r="MOY36" s="170"/>
      <c r="MOZ36" s="170"/>
      <c r="MPA36" s="170"/>
      <c r="MPB36" s="170"/>
      <c r="MPC36" s="170"/>
      <c r="MPD36" s="170"/>
      <c r="MPE36" s="170"/>
      <c r="MPF36" s="170"/>
      <c r="MPG36" s="170"/>
      <c r="MPH36" s="170"/>
      <c r="MPI36" s="170"/>
      <c r="MPJ36" s="170"/>
      <c r="MPK36" s="170"/>
      <c r="MPL36" s="170"/>
      <c r="MPM36" s="170"/>
      <c r="MPN36" s="170"/>
      <c r="MPO36" s="170"/>
      <c r="MPP36" s="170"/>
      <c r="MPQ36" s="170"/>
      <c r="MPR36" s="170"/>
      <c r="MPS36" s="170"/>
      <c r="MPT36" s="170"/>
      <c r="MPU36" s="170"/>
      <c r="MPV36" s="170"/>
      <c r="MPW36" s="170"/>
      <c r="MPX36" s="170"/>
      <c r="MPY36" s="170"/>
      <c r="MPZ36" s="170"/>
      <c r="MQA36" s="170"/>
      <c r="MQB36" s="170"/>
      <c r="MQC36" s="170"/>
      <c r="MQD36" s="170"/>
      <c r="MQE36" s="170"/>
      <c r="MQF36" s="170"/>
      <c r="MQG36" s="170"/>
      <c r="MQH36" s="170"/>
      <c r="MQI36" s="170"/>
      <c r="MQJ36" s="170"/>
      <c r="MQK36" s="170"/>
      <c r="MQL36" s="170"/>
      <c r="MQM36" s="170"/>
      <c r="MQN36" s="170"/>
      <c r="MQO36" s="170"/>
      <c r="MQP36" s="170"/>
      <c r="MQQ36" s="170"/>
      <c r="MQR36" s="170"/>
      <c r="MQS36" s="170"/>
      <c r="MQT36" s="170"/>
      <c r="MQU36" s="170"/>
      <c r="MQV36" s="170"/>
      <c r="MQW36" s="170"/>
      <c r="MQX36" s="170"/>
      <c r="MQY36" s="170"/>
      <c r="MQZ36" s="170"/>
      <c r="MRA36" s="170"/>
      <c r="MRB36" s="170"/>
      <c r="MRC36" s="170"/>
      <c r="MRD36" s="170"/>
      <c r="MRE36" s="170"/>
      <c r="MRF36" s="170"/>
      <c r="MRG36" s="170"/>
      <c r="MRH36" s="170"/>
      <c r="MRI36" s="170"/>
      <c r="MRJ36" s="170"/>
      <c r="MRK36" s="170"/>
      <c r="MRL36" s="170"/>
      <c r="MRM36" s="170"/>
      <c r="MRN36" s="170"/>
      <c r="MRO36" s="170"/>
      <c r="MRP36" s="170"/>
      <c r="MRQ36" s="170"/>
      <c r="MRR36" s="170"/>
      <c r="MRS36" s="170"/>
      <c r="MRT36" s="170"/>
      <c r="MRU36" s="170"/>
      <c r="MRV36" s="170"/>
      <c r="MRW36" s="170"/>
      <c r="MRX36" s="170"/>
      <c r="MRY36" s="170"/>
      <c r="MRZ36" s="170"/>
      <c r="MSA36" s="170"/>
      <c r="MSB36" s="170"/>
      <c r="MSC36" s="170"/>
      <c r="MSD36" s="170"/>
      <c r="MSE36" s="170"/>
      <c r="MSF36" s="170"/>
      <c r="MSG36" s="170"/>
      <c r="MSH36" s="170"/>
      <c r="MSI36" s="170"/>
      <c r="MSJ36" s="170"/>
      <c r="MSK36" s="170"/>
      <c r="MSL36" s="170"/>
      <c r="MSM36" s="170"/>
      <c r="MSN36" s="170"/>
      <c r="MSO36" s="170"/>
      <c r="MSP36" s="170"/>
      <c r="MSQ36" s="170"/>
      <c r="MSR36" s="170"/>
      <c r="MSS36" s="170"/>
      <c r="MST36" s="170"/>
      <c r="MSU36" s="170"/>
      <c r="MSV36" s="170"/>
      <c r="MSW36" s="170"/>
      <c r="MSX36" s="170"/>
      <c r="MSY36" s="170"/>
      <c r="MSZ36" s="170"/>
      <c r="MTA36" s="170"/>
      <c r="MTB36" s="170"/>
      <c r="MTC36" s="170"/>
      <c r="MTD36" s="170"/>
      <c r="MTE36" s="170"/>
      <c r="MTF36" s="170"/>
      <c r="MTG36" s="170"/>
      <c r="MTH36" s="170"/>
      <c r="MTI36" s="170"/>
      <c r="MTJ36" s="170"/>
      <c r="MTK36" s="170"/>
      <c r="MTL36" s="170"/>
      <c r="MTM36" s="170"/>
      <c r="MTN36" s="170"/>
      <c r="MTO36" s="170"/>
      <c r="MTP36" s="170"/>
      <c r="MTQ36" s="170"/>
      <c r="MTR36" s="170"/>
      <c r="MTS36" s="170"/>
      <c r="MTT36" s="170"/>
      <c r="MTU36" s="170"/>
      <c r="MTV36" s="170"/>
      <c r="MTW36" s="170"/>
      <c r="MTX36" s="170"/>
      <c r="MTY36" s="170"/>
      <c r="MTZ36" s="170"/>
      <c r="MUA36" s="170"/>
      <c r="MUB36" s="170"/>
      <c r="MUC36" s="170"/>
      <c r="MUD36" s="170"/>
      <c r="MUE36" s="170"/>
      <c r="MUF36" s="170"/>
      <c r="MUG36" s="170"/>
      <c r="MUH36" s="170"/>
      <c r="MUI36" s="170"/>
      <c r="MUJ36" s="170"/>
      <c r="MUK36" s="170"/>
      <c r="MUL36" s="170"/>
      <c r="MUM36" s="170"/>
      <c r="MUN36" s="170"/>
      <c r="MUO36" s="170"/>
      <c r="MUP36" s="170"/>
      <c r="MUQ36" s="170"/>
      <c r="MUR36" s="170"/>
      <c r="MUS36" s="170"/>
      <c r="MUT36" s="170"/>
      <c r="MUU36" s="170"/>
      <c r="MUV36" s="170"/>
      <c r="MUW36" s="170"/>
      <c r="MUX36" s="170"/>
      <c r="MUY36" s="170"/>
      <c r="MUZ36" s="170"/>
      <c r="MVA36" s="170"/>
      <c r="MVB36" s="170"/>
      <c r="MVC36" s="170"/>
      <c r="MVD36" s="170"/>
      <c r="MVE36" s="170"/>
      <c r="MVF36" s="170"/>
      <c r="MVG36" s="170"/>
      <c r="MVH36" s="170"/>
      <c r="MVI36" s="170"/>
      <c r="MVJ36" s="170"/>
      <c r="MVK36" s="170"/>
      <c r="MVL36" s="170"/>
      <c r="MVM36" s="170"/>
      <c r="MVN36" s="170"/>
      <c r="MVO36" s="170"/>
      <c r="MVP36" s="170"/>
      <c r="MVQ36" s="170"/>
      <c r="MVR36" s="170"/>
      <c r="MVS36" s="170"/>
      <c r="MVT36" s="170"/>
      <c r="MVU36" s="170"/>
      <c r="MVV36" s="170"/>
      <c r="MVW36" s="170"/>
      <c r="MVX36" s="170"/>
      <c r="MVY36" s="170"/>
      <c r="MVZ36" s="170"/>
      <c r="MWA36" s="170"/>
      <c r="MWB36" s="170"/>
      <c r="MWC36" s="170"/>
      <c r="MWD36" s="170"/>
      <c r="MWE36" s="170"/>
      <c r="MWF36" s="170"/>
      <c r="MWG36" s="170"/>
      <c r="MWH36" s="170"/>
      <c r="MWI36" s="170"/>
      <c r="MWJ36" s="170"/>
      <c r="MWK36" s="170"/>
      <c r="MWL36" s="170"/>
      <c r="MWM36" s="170"/>
      <c r="MWN36" s="170"/>
      <c r="MWO36" s="170"/>
      <c r="MWP36" s="170"/>
      <c r="MWQ36" s="170"/>
      <c r="MWR36" s="170"/>
      <c r="MWS36" s="170"/>
      <c r="MWT36" s="170"/>
      <c r="MWU36" s="170"/>
      <c r="MWV36" s="170"/>
      <c r="MWW36" s="170"/>
      <c r="MWX36" s="170"/>
      <c r="MWY36" s="170"/>
      <c r="MWZ36" s="170"/>
      <c r="MXA36" s="170"/>
      <c r="MXB36" s="170"/>
      <c r="MXC36" s="170"/>
      <c r="MXD36" s="170"/>
      <c r="MXE36" s="170"/>
      <c r="MXF36" s="170"/>
      <c r="MXG36" s="170"/>
      <c r="MXH36" s="170"/>
      <c r="MXI36" s="170"/>
      <c r="MXJ36" s="170"/>
      <c r="MXK36" s="170"/>
      <c r="MXL36" s="170"/>
      <c r="MXM36" s="170"/>
      <c r="MXN36" s="170"/>
      <c r="MXO36" s="170"/>
      <c r="MXP36" s="170"/>
      <c r="MXQ36" s="170"/>
      <c r="MXR36" s="170"/>
      <c r="MXS36" s="170"/>
      <c r="MXT36" s="170"/>
      <c r="MXU36" s="170"/>
      <c r="MXV36" s="170"/>
      <c r="MXW36" s="170"/>
      <c r="MXX36" s="170"/>
      <c r="MXY36" s="170"/>
      <c r="MXZ36" s="170"/>
      <c r="MYA36" s="170"/>
      <c r="MYB36" s="170"/>
      <c r="MYC36" s="170"/>
      <c r="MYD36" s="170"/>
      <c r="MYE36" s="170"/>
      <c r="MYF36" s="170"/>
      <c r="MYG36" s="170"/>
      <c r="MYH36" s="170"/>
      <c r="MYI36" s="170"/>
      <c r="MYJ36" s="170"/>
      <c r="MYK36" s="170"/>
      <c r="MYL36" s="170"/>
      <c r="MYM36" s="170"/>
      <c r="MYN36" s="170"/>
      <c r="MYO36" s="170"/>
      <c r="MYP36" s="170"/>
      <c r="MYQ36" s="170"/>
      <c r="MYR36" s="170"/>
      <c r="MYS36" s="170"/>
      <c r="MYT36" s="170"/>
      <c r="MYU36" s="170"/>
      <c r="MYV36" s="170"/>
      <c r="MYW36" s="170"/>
      <c r="MYX36" s="170"/>
      <c r="MYY36" s="170"/>
      <c r="MYZ36" s="170"/>
      <c r="MZA36" s="170"/>
      <c r="MZB36" s="170"/>
      <c r="MZC36" s="170"/>
      <c r="MZD36" s="170"/>
      <c r="MZE36" s="170"/>
      <c r="MZF36" s="170"/>
      <c r="MZG36" s="170"/>
      <c r="MZH36" s="170"/>
      <c r="MZI36" s="170"/>
      <c r="MZJ36" s="170"/>
      <c r="MZK36" s="170"/>
      <c r="MZL36" s="170"/>
      <c r="MZM36" s="170"/>
      <c r="MZN36" s="170"/>
      <c r="MZO36" s="170"/>
      <c r="MZP36" s="170"/>
      <c r="MZQ36" s="170"/>
      <c r="MZR36" s="170"/>
      <c r="MZS36" s="170"/>
      <c r="MZT36" s="170"/>
      <c r="MZU36" s="170"/>
      <c r="MZV36" s="170"/>
      <c r="MZW36" s="170"/>
      <c r="MZX36" s="170"/>
      <c r="MZY36" s="170"/>
      <c r="MZZ36" s="170"/>
      <c r="NAA36" s="170"/>
      <c r="NAB36" s="170"/>
      <c r="NAC36" s="170"/>
      <c r="NAD36" s="170"/>
      <c r="NAE36" s="170"/>
      <c r="NAF36" s="170"/>
      <c r="NAG36" s="170"/>
      <c r="NAH36" s="170"/>
      <c r="NAI36" s="170"/>
      <c r="NAJ36" s="170"/>
      <c r="NAK36" s="170"/>
      <c r="NAL36" s="170"/>
      <c r="NAM36" s="170"/>
      <c r="NAN36" s="170"/>
      <c r="NAO36" s="170"/>
      <c r="NAP36" s="170"/>
      <c r="NAQ36" s="170"/>
      <c r="NAR36" s="170"/>
      <c r="NAS36" s="170"/>
      <c r="NAT36" s="170"/>
      <c r="NAU36" s="170"/>
      <c r="NAV36" s="170"/>
      <c r="NAW36" s="170"/>
      <c r="NAX36" s="170"/>
      <c r="NAY36" s="170"/>
      <c r="NAZ36" s="170"/>
      <c r="NBA36" s="170"/>
      <c r="NBB36" s="170"/>
      <c r="NBC36" s="170"/>
      <c r="NBD36" s="170"/>
      <c r="NBE36" s="170"/>
      <c r="NBF36" s="170"/>
      <c r="NBG36" s="170"/>
      <c r="NBH36" s="170"/>
      <c r="NBI36" s="170"/>
      <c r="NBJ36" s="170"/>
      <c r="NBK36" s="170"/>
      <c r="NBL36" s="170"/>
      <c r="NBM36" s="170"/>
      <c r="NBN36" s="170"/>
      <c r="NBO36" s="170"/>
      <c r="NBP36" s="170"/>
      <c r="NBQ36" s="170"/>
      <c r="NBR36" s="170"/>
      <c r="NBS36" s="170"/>
      <c r="NBT36" s="170"/>
      <c r="NBU36" s="170"/>
      <c r="NBV36" s="170"/>
      <c r="NBW36" s="170"/>
      <c r="NBX36" s="170"/>
      <c r="NBY36" s="170"/>
      <c r="NBZ36" s="170"/>
      <c r="NCA36" s="170"/>
      <c r="NCB36" s="170"/>
      <c r="NCC36" s="170"/>
      <c r="NCD36" s="170"/>
      <c r="NCE36" s="170"/>
      <c r="NCF36" s="170"/>
      <c r="NCG36" s="170"/>
      <c r="NCH36" s="170"/>
      <c r="NCI36" s="170"/>
      <c r="NCJ36" s="170"/>
      <c r="NCK36" s="170"/>
      <c r="NCL36" s="170"/>
      <c r="NCM36" s="170"/>
      <c r="NCN36" s="170"/>
      <c r="NCO36" s="170"/>
      <c r="NCP36" s="170"/>
      <c r="NCQ36" s="170"/>
      <c r="NCR36" s="170"/>
      <c r="NCS36" s="170"/>
      <c r="NCT36" s="170"/>
      <c r="NCU36" s="170"/>
      <c r="NCV36" s="170"/>
      <c r="NCW36" s="170"/>
      <c r="NCX36" s="170"/>
      <c r="NCY36" s="170"/>
      <c r="NCZ36" s="170"/>
      <c r="NDA36" s="170"/>
      <c r="NDB36" s="170"/>
      <c r="NDC36" s="170"/>
      <c r="NDD36" s="170"/>
      <c r="NDE36" s="170"/>
      <c r="NDF36" s="170"/>
      <c r="NDG36" s="170"/>
      <c r="NDH36" s="170"/>
      <c r="NDI36" s="170"/>
      <c r="NDJ36" s="170"/>
      <c r="NDK36" s="170"/>
      <c r="NDL36" s="170"/>
      <c r="NDM36" s="170"/>
      <c r="NDN36" s="170"/>
      <c r="NDO36" s="170"/>
      <c r="NDP36" s="170"/>
      <c r="NDQ36" s="170"/>
      <c r="NDR36" s="170"/>
      <c r="NDS36" s="170"/>
      <c r="NDT36" s="170"/>
      <c r="NDU36" s="170"/>
      <c r="NDV36" s="170"/>
      <c r="NDW36" s="170"/>
      <c r="NDX36" s="170"/>
      <c r="NDY36" s="170"/>
      <c r="NDZ36" s="170"/>
      <c r="NEA36" s="170"/>
      <c r="NEB36" s="170"/>
      <c r="NEC36" s="170"/>
      <c r="NED36" s="170"/>
      <c r="NEE36" s="170"/>
      <c r="NEF36" s="170"/>
      <c r="NEG36" s="170"/>
      <c r="NEH36" s="170"/>
      <c r="NEI36" s="170"/>
      <c r="NEJ36" s="170"/>
      <c r="NEK36" s="170"/>
      <c r="NEL36" s="170"/>
      <c r="NEM36" s="170"/>
      <c r="NEN36" s="170"/>
      <c r="NEO36" s="170"/>
      <c r="NEP36" s="170"/>
      <c r="NEQ36" s="170"/>
      <c r="NER36" s="170"/>
      <c r="NES36" s="170"/>
      <c r="NET36" s="170"/>
      <c r="NEU36" s="170"/>
      <c r="NEV36" s="170"/>
      <c r="NEW36" s="170"/>
      <c r="NEX36" s="170"/>
      <c r="NEY36" s="170"/>
      <c r="NEZ36" s="170"/>
      <c r="NFA36" s="170"/>
      <c r="NFB36" s="170"/>
      <c r="NFC36" s="170"/>
      <c r="NFD36" s="170"/>
      <c r="NFE36" s="170"/>
      <c r="NFF36" s="170"/>
      <c r="NFG36" s="170"/>
      <c r="NFH36" s="170"/>
      <c r="NFI36" s="170"/>
      <c r="NFJ36" s="170"/>
      <c r="NFK36" s="170"/>
      <c r="NFL36" s="170"/>
      <c r="NFM36" s="170"/>
      <c r="NFN36" s="170"/>
      <c r="NFO36" s="170"/>
      <c r="NFP36" s="170"/>
      <c r="NFQ36" s="170"/>
      <c r="NFR36" s="170"/>
      <c r="NFS36" s="170"/>
      <c r="NFT36" s="170"/>
      <c r="NFU36" s="170"/>
      <c r="NFV36" s="170"/>
      <c r="NFW36" s="170"/>
      <c r="NFX36" s="170"/>
      <c r="NFY36" s="170"/>
      <c r="NFZ36" s="170"/>
      <c r="NGA36" s="170"/>
      <c r="NGB36" s="170"/>
      <c r="NGC36" s="170"/>
      <c r="NGD36" s="170"/>
      <c r="NGE36" s="170"/>
      <c r="NGF36" s="170"/>
      <c r="NGG36" s="170"/>
      <c r="NGH36" s="170"/>
      <c r="NGI36" s="170"/>
      <c r="NGJ36" s="170"/>
      <c r="NGK36" s="170"/>
      <c r="NGL36" s="170"/>
      <c r="NGM36" s="170"/>
      <c r="NGN36" s="170"/>
      <c r="NGO36" s="170"/>
      <c r="NGP36" s="170"/>
      <c r="NGQ36" s="170"/>
      <c r="NGR36" s="170"/>
      <c r="NGS36" s="170"/>
      <c r="NGT36" s="170"/>
      <c r="NGU36" s="170"/>
      <c r="NGV36" s="170"/>
      <c r="NGW36" s="170"/>
      <c r="NGX36" s="170"/>
      <c r="NGY36" s="170"/>
      <c r="NGZ36" s="170"/>
      <c r="NHA36" s="170"/>
      <c r="NHB36" s="170"/>
      <c r="NHC36" s="170"/>
      <c r="NHD36" s="170"/>
      <c r="NHE36" s="170"/>
      <c r="NHF36" s="170"/>
      <c r="NHG36" s="170"/>
      <c r="NHH36" s="170"/>
      <c r="NHI36" s="170"/>
      <c r="NHJ36" s="170"/>
      <c r="NHK36" s="170"/>
      <c r="NHL36" s="170"/>
      <c r="NHM36" s="170"/>
      <c r="NHN36" s="170"/>
      <c r="NHO36" s="170"/>
      <c r="NHP36" s="170"/>
      <c r="NHQ36" s="170"/>
      <c r="NHR36" s="170"/>
      <c r="NHS36" s="170"/>
      <c r="NHT36" s="170"/>
      <c r="NHU36" s="170"/>
      <c r="NHV36" s="170"/>
      <c r="NHW36" s="170"/>
      <c r="NHX36" s="170"/>
      <c r="NHY36" s="170"/>
      <c r="NHZ36" s="170"/>
      <c r="NIA36" s="170"/>
      <c r="NIB36" s="170"/>
      <c r="NIC36" s="170"/>
      <c r="NID36" s="170"/>
      <c r="NIE36" s="170"/>
      <c r="NIF36" s="170"/>
      <c r="NIG36" s="170"/>
      <c r="NIH36" s="170"/>
      <c r="NII36" s="170"/>
      <c r="NIJ36" s="170"/>
      <c r="NIK36" s="170"/>
      <c r="NIL36" s="170"/>
      <c r="NIM36" s="170"/>
      <c r="NIN36" s="170"/>
      <c r="NIO36" s="170"/>
      <c r="NIP36" s="170"/>
      <c r="NIQ36" s="170"/>
      <c r="NIR36" s="170"/>
      <c r="NIS36" s="170"/>
      <c r="NIT36" s="170"/>
      <c r="NIU36" s="170"/>
      <c r="NIV36" s="170"/>
      <c r="NIW36" s="170"/>
      <c r="NIX36" s="170"/>
      <c r="NIY36" s="170"/>
      <c r="NIZ36" s="170"/>
      <c r="NJA36" s="170"/>
      <c r="NJB36" s="170"/>
      <c r="NJC36" s="170"/>
      <c r="NJD36" s="170"/>
      <c r="NJE36" s="170"/>
      <c r="NJF36" s="170"/>
      <c r="NJG36" s="170"/>
      <c r="NJH36" s="170"/>
      <c r="NJI36" s="170"/>
      <c r="NJJ36" s="170"/>
      <c r="NJK36" s="170"/>
      <c r="NJL36" s="170"/>
      <c r="NJM36" s="170"/>
      <c r="NJN36" s="170"/>
      <c r="NJO36" s="170"/>
      <c r="NJP36" s="170"/>
      <c r="NJQ36" s="170"/>
      <c r="NJR36" s="170"/>
      <c r="NJS36" s="170"/>
      <c r="NJT36" s="170"/>
      <c r="NJU36" s="170"/>
      <c r="NJV36" s="170"/>
      <c r="NJW36" s="170"/>
      <c r="NJX36" s="170"/>
      <c r="NJY36" s="170"/>
      <c r="NJZ36" s="170"/>
      <c r="NKA36" s="170"/>
      <c r="NKB36" s="170"/>
      <c r="NKC36" s="170"/>
      <c r="NKD36" s="170"/>
      <c r="NKE36" s="170"/>
      <c r="NKF36" s="170"/>
      <c r="NKG36" s="170"/>
      <c r="NKH36" s="170"/>
      <c r="NKI36" s="170"/>
      <c r="NKJ36" s="170"/>
      <c r="NKK36" s="170"/>
      <c r="NKL36" s="170"/>
      <c r="NKM36" s="170"/>
      <c r="NKN36" s="170"/>
      <c r="NKO36" s="170"/>
      <c r="NKP36" s="170"/>
      <c r="NKQ36" s="170"/>
      <c r="NKR36" s="170"/>
      <c r="NKS36" s="170"/>
      <c r="NKT36" s="170"/>
      <c r="NKU36" s="170"/>
      <c r="NKV36" s="170"/>
      <c r="NKW36" s="170"/>
      <c r="NKX36" s="170"/>
      <c r="NKY36" s="170"/>
      <c r="NKZ36" s="170"/>
      <c r="NLA36" s="170"/>
      <c r="NLB36" s="170"/>
      <c r="NLC36" s="170"/>
      <c r="NLD36" s="170"/>
      <c r="NLE36" s="170"/>
      <c r="NLF36" s="170"/>
      <c r="NLG36" s="170"/>
      <c r="NLH36" s="170"/>
      <c r="NLI36" s="170"/>
      <c r="NLJ36" s="170"/>
      <c r="NLK36" s="170"/>
      <c r="NLL36" s="170"/>
      <c r="NLM36" s="170"/>
      <c r="NLN36" s="170"/>
      <c r="NLO36" s="170"/>
      <c r="NLP36" s="170"/>
      <c r="NLQ36" s="170"/>
      <c r="NLR36" s="170"/>
      <c r="NLS36" s="170"/>
      <c r="NLT36" s="170"/>
      <c r="NLU36" s="170"/>
      <c r="NLV36" s="170"/>
      <c r="NLW36" s="170"/>
      <c r="NLX36" s="170"/>
      <c r="NLY36" s="170"/>
      <c r="NLZ36" s="170"/>
      <c r="NMA36" s="170"/>
      <c r="NMB36" s="170"/>
      <c r="NMC36" s="170"/>
      <c r="NMD36" s="170"/>
      <c r="NME36" s="170"/>
      <c r="NMF36" s="170"/>
      <c r="NMG36" s="170"/>
      <c r="NMH36" s="170"/>
      <c r="NMI36" s="170"/>
      <c r="NMJ36" s="170"/>
      <c r="NMK36" s="170"/>
      <c r="NML36" s="170"/>
      <c r="NMM36" s="170"/>
      <c r="NMN36" s="170"/>
      <c r="NMO36" s="170"/>
      <c r="NMP36" s="170"/>
      <c r="NMQ36" s="170"/>
      <c r="NMR36" s="170"/>
      <c r="NMS36" s="170"/>
      <c r="NMT36" s="170"/>
      <c r="NMU36" s="170"/>
      <c r="NMV36" s="170"/>
      <c r="NMW36" s="170"/>
      <c r="NMX36" s="170"/>
      <c r="NMY36" s="170"/>
      <c r="NMZ36" s="170"/>
      <c r="NNA36" s="170"/>
      <c r="NNB36" s="170"/>
      <c r="NNC36" s="170"/>
      <c r="NND36" s="170"/>
      <c r="NNE36" s="170"/>
      <c r="NNF36" s="170"/>
      <c r="NNG36" s="170"/>
      <c r="NNH36" s="170"/>
      <c r="NNI36" s="170"/>
      <c r="NNJ36" s="170"/>
      <c r="NNK36" s="170"/>
      <c r="NNL36" s="170"/>
      <c r="NNM36" s="170"/>
      <c r="NNN36" s="170"/>
      <c r="NNO36" s="170"/>
      <c r="NNP36" s="170"/>
      <c r="NNQ36" s="170"/>
      <c r="NNR36" s="170"/>
      <c r="NNS36" s="170"/>
      <c r="NNT36" s="170"/>
      <c r="NNU36" s="170"/>
      <c r="NNV36" s="170"/>
      <c r="NNW36" s="170"/>
      <c r="NNX36" s="170"/>
      <c r="NNY36" s="170"/>
      <c r="NNZ36" s="170"/>
      <c r="NOA36" s="170"/>
      <c r="NOB36" s="170"/>
      <c r="NOC36" s="170"/>
      <c r="NOD36" s="170"/>
      <c r="NOE36" s="170"/>
      <c r="NOF36" s="170"/>
      <c r="NOG36" s="170"/>
      <c r="NOH36" s="170"/>
      <c r="NOI36" s="170"/>
      <c r="NOJ36" s="170"/>
      <c r="NOK36" s="170"/>
      <c r="NOL36" s="170"/>
      <c r="NOM36" s="170"/>
      <c r="NON36" s="170"/>
      <c r="NOO36" s="170"/>
      <c r="NOP36" s="170"/>
      <c r="NOQ36" s="170"/>
      <c r="NOR36" s="170"/>
      <c r="NOS36" s="170"/>
      <c r="NOT36" s="170"/>
      <c r="NOU36" s="170"/>
      <c r="NOV36" s="170"/>
      <c r="NOW36" s="170"/>
      <c r="NOX36" s="170"/>
      <c r="NOY36" s="170"/>
      <c r="NOZ36" s="170"/>
      <c r="NPA36" s="170"/>
      <c r="NPB36" s="170"/>
      <c r="NPC36" s="170"/>
      <c r="NPD36" s="170"/>
      <c r="NPE36" s="170"/>
      <c r="NPF36" s="170"/>
      <c r="NPG36" s="170"/>
      <c r="NPH36" s="170"/>
      <c r="NPI36" s="170"/>
      <c r="NPJ36" s="170"/>
      <c r="NPK36" s="170"/>
      <c r="NPL36" s="170"/>
      <c r="NPM36" s="170"/>
      <c r="NPN36" s="170"/>
      <c r="NPO36" s="170"/>
      <c r="NPP36" s="170"/>
      <c r="NPQ36" s="170"/>
      <c r="NPR36" s="170"/>
      <c r="NPS36" s="170"/>
      <c r="NPT36" s="170"/>
      <c r="NPU36" s="170"/>
      <c r="NPV36" s="170"/>
      <c r="NPW36" s="170"/>
      <c r="NPX36" s="170"/>
      <c r="NPY36" s="170"/>
      <c r="NPZ36" s="170"/>
      <c r="NQA36" s="170"/>
      <c r="NQB36" s="170"/>
      <c r="NQC36" s="170"/>
      <c r="NQD36" s="170"/>
      <c r="NQE36" s="170"/>
      <c r="NQF36" s="170"/>
      <c r="NQG36" s="170"/>
      <c r="NQH36" s="170"/>
      <c r="NQI36" s="170"/>
      <c r="NQJ36" s="170"/>
      <c r="NQK36" s="170"/>
      <c r="NQL36" s="170"/>
      <c r="NQM36" s="170"/>
      <c r="NQN36" s="170"/>
      <c r="NQO36" s="170"/>
      <c r="NQP36" s="170"/>
      <c r="NQQ36" s="170"/>
      <c r="NQR36" s="170"/>
      <c r="NQS36" s="170"/>
      <c r="NQT36" s="170"/>
      <c r="NQU36" s="170"/>
      <c r="NQV36" s="170"/>
      <c r="NQW36" s="170"/>
      <c r="NQX36" s="170"/>
      <c r="NQY36" s="170"/>
      <c r="NQZ36" s="170"/>
      <c r="NRA36" s="170"/>
      <c r="NRB36" s="170"/>
      <c r="NRC36" s="170"/>
      <c r="NRD36" s="170"/>
      <c r="NRE36" s="170"/>
    </row>
    <row r="37" spans="1:9937" s="169" customFormat="1" ht="25" customHeight="1" thickTop="1" x14ac:dyDescent="0.45">
      <c r="A37" s="105" t="s">
        <v>619</v>
      </c>
      <c r="B37" s="173">
        <v>0.12</v>
      </c>
      <c r="C37" s="361">
        <f>VLOOKUP($A$3,INITIAL_EST_PY,56,FALSE)</f>
        <v>0</v>
      </c>
      <c r="D37" s="361">
        <f t="shared" ref="D37:F40" si="10">C37</f>
        <v>0</v>
      </c>
      <c r="E37" s="389">
        <f t="shared" si="10"/>
        <v>0</v>
      </c>
      <c r="F37" s="376">
        <f t="shared" si="10"/>
        <v>0</v>
      </c>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c r="IP37" s="168"/>
      <c r="IQ37" s="168"/>
      <c r="IR37" s="168"/>
      <c r="IS37" s="168"/>
      <c r="IT37" s="168"/>
      <c r="IU37" s="168"/>
      <c r="IV37" s="168"/>
      <c r="IW37" s="168"/>
      <c r="IX37" s="168"/>
      <c r="IY37" s="168"/>
      <c r="IZ37" s="168"/>
      <c r="JA37" s="168"/>
      <c r="JB37" s="168"/>
      <c r="JC37" s="168"/>
      <c r="JD37" s="168"/>
      <c r="JE37" s="168"/>
      <c r="JF37" s="168"/>
      <c r="JG37" s="168"/>
      <c r="JH37" s="168"/>
      <c r="JI37" s="168"/>
      <c r="JJ37" s="168"/>
      <c r="JK37" s="168"/>
      <c r="JL37" s="168"/>
      <c r="JM37" s="168"/>
      <c r="JN37" s="168"/>
      <c r="JO37" s="168"/>
      <c r="JP37" s="168"/>
      <c r="JQ37" s="168"/>
      <c r="JR37" s="168"/>
      <c r="JS37" s="168"/>
      <c r="JT37" s="168"/>
      <c r="JU37" s="168"/>
      <c r="JV37" s="168"/>
      <c r="JW37" s="168"/>
      <c r="JX37" s="168"/>
      <c r="JY37" s="168"/>
      <c r="JZ37" s="168"/>
      <c r="KA37" s="168"/>
      <c r="KB37" s="168"/>
      <c r="KC37" s="168"/>
      <c r="KD37" s="168"/>
      <c r="KE37" s="168"/>
      <c r="KF37" s="168"/>
      <c r="KG37" s="168"/>
      <c r="KH37" s="168"/>
      <c r="KI37" s="168"/>
      <c r="KJ37" s="168"/>
      <c r="KK37" s="168"/>
      <c r="KL37" s="168"/>
      <c r="KM37" s="168"/>
      <c r="KN37" s="168"/>
      <c r="KO37" s="168"/>
      <c r="KP37" s="168"/>
      <c r="KQ37" s="168"/>
      <c r="KR37" s="168"/>
      <c r="KS37" s="168"/>
      <c r="KT37" s="168"/>
      <c r="KU37" s="168"/>
      <c r="KV37" s="168"/>
      <c r="KW37" s="168"/>
      <c r="KX37" s="168"/>
      <c r="KY37" s="168"/>
      <c r="KZ37" s="168"/>
      <c r="LA37" s="168"/>
      <c r="LB37" s="168"/>
      <c r="LC37" s="168"/>
      <c r="LD37" s="168"/>
      <c r="LE37" s="168"/>
      <c r="LF37" s="168"/>
      <c r="LG37" s="168"/>
      <c r="LH37" s="168"/>
      <c r="LI37" s="168"/>
      <c r="LJ37" s="168"/>
      <c r="LK37" s="168"/>
      <c r="LL37" s="168"/>
      <c r="LM37" s="168"/>
      <c r="LN37" s="168"/>
      <c r="LO37" s="168"/>
      <c r="LP37" s="168"/>
      <c r="LQ37" s="168"/>
      <c r="LR37" s="168"/>
      <c r="LS37" s="168"/>
      <c r="LT37" s="168"/>
      <c r="LU37" s="168"/>
      <c r="LV37" s="168"/>
      <c r="LW37" s="168"/>
      <c r="LX37" s="168"/>
      <c r="LY37" s="168"/>
      <c r="LZ37" s="168"/>
      <c r="MA37" s="168"/>
      <c r="MB37" s="168"/>
      <c r="MC37" s="168"/>
      <c r="MD37" s="168"/>
      <c r="ME37" s="168"/>
      <c r="MF37" s="168"/>
      <c r="MG37" s="168"/>
      <c r="MH37" s="168"/>
      <c r="MI37" s="168"/>
      <c r="MJ37" s="168"/>
      <c r="MK37" s="168"/>
      <c r="ML37" s="168"/>
      <c r="MM37" s="168"/>
      <c r="MN37" s="168"/>
      <c r="MO37" s="168"/>
      <c r="MP37" s="168"/>
      <c r="MQ37" s="168"/>
      <c r="MR37" s="168"/>
      <c r="MS37" s="168"/>
      <c r="MT37" s="168"/>
      <c r="MU37" s="168"/>
      <c r="MV37" s="168"/>
      <c r="MW37" s="168"/>
      <c r="MX37" s="168"/>
      <c r="MY37" s="168"/>
      <c r="MZ37" s="168"/>
      <c r="NA37" s="168"/>
      <c r="NB37" s="168"/>
      <c r="NC37" s="168"/>
      <c r="ND37" s="168"/>
      <c r="NE37" s="168"/>
      <c r="NF37" s="168"/>
      <c r="NG37" s="168"/>
      <c r="NH37" s="168"/>
      <c r="NI37" s="168"/>
      <c r="NJ37" s="168"/>
      <c r="NK37" s="168"/>
      <c r="NL37" s="168"/>
      <c r="NM37" s="168"/>
      <c r="NN37" s="168"/>
      <c r="NO37" s="168"/>
      <c r="NP37" s="168"/>
      <c r="NQ37" s="168"/>
      <c r="NR37" s="168"/>
      <c r="NS37" s="168"/>
      <c r="NT37" s="168"/>
      <c r="NU37" s="168"/>
      <c r="NV37" s="168"/>
      <c r="NW37" s="168"/>
      <c r="NX37" s="168"/>
      <c r="NY37" s="168"/>
      <c r="NZ37" s="168"/>
      <c r="OA37" s="168"/>
      <c r="OB37" s="168"/>
      <c r="OC37" s="168"/>
      <c r="OD37" s="168"/>
      <c r="OE37" s="168"/>
      <c r="OF37" s="168"/>
      <c r="OG37" s="168"/>
      <c r="OH37" s="168"/>
      <c r="OI37" s="168"/>
      <c r="OJ37" s="168"/>
      <c r="OK37" s="168"/>
      <c r="OL37" s="168"/>
      <c r="OM37" s="168"/>
      <c r="ON37" s="168"/>
      <c r="OO37" s="168"/>
      <c r="OP37" s="168"/>
      <c r="OQ37" s="168"/>
      <c r="OR37" s="168"/>
      <c r="OS37" s="168"/>
      <c r="OT37" s="168"/>
      <c r="OU37" s="168"/>
      <c r="OV37" s="168"/>
      <c r="OW37" s="168"/>
      <c r="OX37" s="168"/>
      <c r="OY37" s="168"/>
      <c r="OZ37" s="168"/>
      <c r="PA37" s="168"/>
      <c r="PB37" s="168"/>
      <c r="PC37" s="168"/>
      <c r="PD37" s="168"/>
      <c r="PE37" s="168"/>
      <c r="PF37" s="168"/>
      <c r="PG37" s="168"/>
      <c r="PH37" s="168"/>
      <c r="PI37" s="168"/>
      <c r="PJ37" s="168"/>
      <c r="PK37" s="168"/>
      <c r="PL37" s="168"/>
      <c r="PM37" s="168"/>
      <c r="PN37" s="168"/>
      <c r="PO37" s="168"/>
      <c r="PP37" s="168"/>
      <c r="PQ37" s="168"/>
      <c r="PR37" s="168"/>
      <c r="PS37" s="168"/>
      <c r="PT37" s="168"/>
      <c r="PU37" s="168"/>
      <c r="PV37" s="168"/>
      <c r="PW37" s="168"/>
      <c r="PX37" s="168"/>
      <c r="PY37" s="168"/>
      <c r="PZ37" s="168"/>
      <c r="QA37" s="168"/>
      <c r="QB37" s="168"/>
      <c r="QC37" s="168"/>
      <c r="QD37" s="168"/>
      <c r="QE37" s="168"/>
      <c r="QF37" s="168"/>
      <c r="QG37" s="168"/>
      <c r="QH37" s="168"/>
      <c r="QI37" s="168"/>
      <c r="QJ37" s="168"/>
      <c r="QK37" s="168"/>
      <c r="QL37" s="168"/>
      <c r="QM37" s="168"/>
      <c r="QN37" s="168"/>
      <c r="QO37" s="168"/>
      <c r="QP37" s="168"/>
      <c r="QQ37" s="168"/>
      <c r="QR37" s="168"/>
      <c r="QS37" s="168"/>
      <c r="QT37" s="168"/>
      <c r="QU37" s="168"/>
      <c r="QV37" s="168"/>
      <c r="QW37" s="168"/>
      <c r="QX37" s="168"/>
      <c r="QY37" s="168"/>
      <c r="QZ37" s="168"/>
      <c r="RA37" s="168"/>
      <c r="RB37" s="168"/>
      <c r="RC37" s="168"/>
      <c r="RD37" s="168"/>
      <c r="RE37" s="168"/>
      <c r="RF37" s="168"/>
      <c r="RG37" s="168"/>
      <c r="RH37" s="168"/>
      <c r="RI37" s="168"/>
      <c r="RJ37" s="168"/>
      <c r="RK37" s="168"/>
      <c r="RL37" s="168"/>
      <c r="RM37" s="168"/>
      <c r="RN37" s="168"/>
      <c r="RO37" s="168"/>
      <c r="RP37" s="168"/>
      <c r="RQ37" s="168"/>
      <c r="RR37" s="168"/>
      <c r="RS37" s="168"/>
      <c r="RT37" s="168"/>
      <c r="RU37" s="168"/>
      <c r="RV37" s="168"/>
      <c r="RW37" s="168"/>
      <c r="RX37" s="168"/>
      <c r="RY37" s="168"/>
      <c r="RZ37" s="168"/>
      <c r="SA37" s="168"/>
      <c r="SB37" s="168"/>
      <c r="SC37" s="168"/>
      <c r="SD37" s="168"/>
      <c r="SE37" s="168"/>
      <c r="SF37" s="168"/>
      <c r="SG37" s="168"/>
      <c r="SH37" s="168"/>
      <c r="SI37" s="168"/>
      <c r="SJ37" s="168"/>
      <c r="SK37" s="168"/>
      <c r="SL37" s="168"/>
      <c r="SM37" s="168"/>
      <c r="SN37" s="168"/>
      <c r="SO37" s="168"/>
      <c r="SP37" s="168"/>
      <c r="SQ37" s="168"/>
      <c r="SR37" s="168"/>
      <c r="SS37" s="168"/>
      <c r="ST37" s="168"/>
      <c r="SU37" s="168"/>
      <c r="SV37" s="168"/>
      <c r="SW37" s="168"/>
      <c r="SX37" s="168"/>
      <c r="SY37" s="168"/>
      <c r="SZ37" s="168"/>
      <c r="TA37" s="168"/>
      <c r="TB37" s="168"/>
      <c r="TC37" s="168"/>
      <c r="TD37" s="168"/>
      <c r="TE37" s="168"/>
      <c r="TF37" s="168"/>
      <c r="TG37" s="168"/>
      <c r="TH37" s="168"/>
      <c r="TI37" s="168"/>
      <c r="TJ37" s="168"/>
      <c r="TK37" s="168"/>
      <c r="TL37" s="168"/>
      <c r="TM37" s="168"/>
      <c r="TN37" s="168"/>
      <c r="TO37" s="168"/>
      <c r="TP37" s="168"/>
      <c r="TQ37" s="168"/>
      <c r="TR37" s="168"/>
      <c r="TS37" s="168"/>
      <c r="TT37" s="168"/>
      <c r="TU37" s="168"/>
      <c r="TV37" s="168"/>
      <c r="TW37" s="168"/>
      <c r="TX37" s="168"/>
      <c r="TY37" s="168"/>
      <c r="TZ37" s="168"/>
      <c r="UA37" s="168"/>
      <c r="UB37" s="168"/>
      <c r="UC37" s="168"/>
      <c r="UD37" s="168"/>
      <c r="UE37" s="168"/>
      <c r="UF37" s="168"/>
      <c r="UG37" s="168"/>
      <c r="UH37" s="168"/>
      <c r="UI37" s="168"/>
      <c r="UJ37" s="168"/>
      <c r="UK37" s="168"/>
      <c r="UL37" s="168"/>
      <c r="UM37" s="168"/>
      <c r="UN37" s="168"/>
      <c r="UO37" s="168"/>
      <c r="UP37" s="168"/>
      <c r="UQ37" s="168"/>
      <c r="UR37" s="168"/>
      <c r="US37" s="168"/>
      <c r="UT37" s="168"/>
      <c r="UU37" s="168"/>
      <c r="UV37" s="168"/>
      <c r="UW37" s="168"/>
      <c r="UX37" s="168"/>
      <c r="UY37" s="168"/>
      <c r="UZ37" s="168"/>
      <c r="VA37" s="168"/>
      <c r="VB37" s="168"/>
      <c r="VC37" s="168"/>
      <c r="VD37" s="168"/>
      <c r="VE37" s="168"/>
      <c r="VF37" s="168"/>
      <c r="VG37" s="168"/>
      <c r="VH37" s="168"/>
      <c r="VI37" s="168"/>
      <c r="VJ37" s="168"/>
      <c r="VK37" s="168"/>
      <c r="VL37" s="168"/>
      <c r="VM37" s="168"/>
      <c r="VN37" s="168"/>
      <c r="VO37" s="168"/>
      <c r="VP37" s="168"/>
      <c r="VQ37" s="168"/>
      <c r="VR37" s="168"/>
      <c r="VS37" s="168"/>
      <c r="VT37" s="168"/>
      <c r="VU37" s="168"/>
      <c r="VV37" s="168"/>
      <c r="VW37" s="168"/>
      <c r="VX37" s="168"/>
      <c r="VY37" s="168"/>
      <c r="VZ37" s="168"/>
      <c r="WA37" s="168"/>
      <c r="WB37" s="168"/>
      <c r="WC37" s="168"/>
      <c r="WD37" s="168"/>
      <c r="WE37" s="168"/>
      <c r="WF37" s="168"/>
      <c r="WG37" s="168"/>
      <c r="WH37" s="168"/>
      <c r="WI37" s="168"/>
      <c r="WJ37" s="168"/>
      <c r="WK37" s="168"/>
      <c r="WL37" s="168"/>
      <c r="WM37" s="168"/>
      <c r="WN37" s="168"/>
      <c r="WO37" s="168"/>
      <c r="WP37" s="168"/>
      <c r="WQ37" s="168"/>
      <c r="WR37" s="168"/>
      <c r="WS37" s="168"/>
      <c r="WT37" s="168"/>
      <c r="WU37" s="168"/>
      <c r="WV37" s="168"/>
      <c r="WW37" s="168"/>
      <c r="WX37" s="168"/>
      <c r="WY37" s="168"/>
      <c r="WZ37" s="168"/>
      <c r="XA37" s="168"/>
      <c r="XB37" s="168"/>
      <c r="XC37" s="168"/>
      <c r="XD37" s="168"/>
      <c r="XE37" s="168"/>
      <c r="XF37" s="168"/>
      <c r="XG37" s="168"/>
      <c r="XH37" s="168"/>
      <c r="XI37" s="168"/>
      <c r="XJ37" s="168"/>
      <c r="XK37" s="168"/>
      <c r="XL37" s="168"/>
      <c r="XM37" s="168"/>
      <c r="XN37" s="168"/>
      <c r="XO37" s="168"/>
      <c r="XP37" s="168"/>
      <c r="XQ37" s="168"/>
      <c r="XR37" s="168"/>
      <c r="XS37" s="168"/>
      <c r="XT37" s="168"/>
      <c r="XU37" s="168"/>
      <c r="XV37" s="168"/>
      <c r="XW37" s="168"/>
      <c r="XX37" s="168"/>
      <c r="XY37" s="168"/>
      <c r="XZ37" s="168"/>
      <c r="YA37" s="168"/>
      <c r="YB37" s="168"/>
      <c r="YC37" s="168"/>
      <c r="YD37" s="168"/>
      <c r="YE37" s="168"/>
      <c r="YF37" s="168"/>
      <c r="YG37" s="168"/>
      <c r="YH37" s="168"/>
      <c r="YI37" s="168"/>
      <c r="YJ37" s="168"/>
      <c r="YK37" s="168"/>
      <c r="YL37" s="168"/>
      <c r="YM37" s="168"/>
      <c r="YN37" s="168"/>
      <c r="YO37" s="168"/>
      <c r="YP37" s="168"/>
      <c r="YQ37" s="168"/>
      <c r="YR37" s="168"/>
      <c r="YS37" s="168"/>
      <c r="YT37" s="168"/>
      <c r="YU37" s="168"/>
      <c r="YV37" s="168"/>
      <c r="YW37" s="168"/>
      <c r="YX37" s="168"/>
      <c r="YY37" s="168"/>
      <c r="YZ37" s="168"/>
      <c r="ZA37" s="168"/>
      <c r="ZB37" s="168"/>
      <c r="ZC37" s="168"/>
      <c r="ZD37" s="168"/>
      <c r="ZE37" s="168"/>
      <c r="ZF37" s="168"/>
      <c r="ZG37" s="168"/>
      <c r="ZH37" s="168"/>
      <c r="ZI37" s="168"/>
      <c r="ZJ37" s="168"/>
      <c r="ZK37" s="168"/>
      <c r="ZL37" s="168"/>
      <c r="ZM37" s="168"/>
      <c r="ZN37" s="168"/>
      <c r="ZO37" s="168"/>
      <c r="ZP37" s="168"/>
      <c r="ZQ37" s="168"/>
      <c r="ZR37" s="168"/>
      <c r="ZS37" s="168"/>
      <c r="ZT37" s="168"/>
      <c r="ZU37" s="168"/>
      <c r="ZV37" s="168"/>
      <c r="ZW37" s="168"/>
      <c r="ZX37" s="168"/>
      <c r="ZY37" s="168"/>
      <c r="ZZ37" s="168"/>
      <c r="AAA37" s="168"/>
      <c r="AAB37" s="168"/>
      <c r="AAC37" s="168"/>
      <c r="AAD37" s="168"/>
      <c r="AAE37" s="168"/>
      <c r="AAF37" s="168"/>
      <c r="AAG37" s="168"/>
      <c r="AAH37" s="168"/>
      <c r="AAI37" s="168"/>
      <c r="AAJ37" s="168"/>
      <c r="AAK37" s="168"/>
      <c r="AAL37" s="168"/>
      <c r="AAM37" s="168"/>
      <c r="AAN37" s="168"/>
      <c r="AAO37" s="168"/>
      <c r="AAP37" s="168"/>
      <c r="AAQ37" s="168"/>
      <c r="AAR37" s="168"/>
      <c r="AAS37" s="168"/>
      <c r="AAT37" s="168"/>
      <c r="AAU37" s="168"/>
      <c r="AAV37" s="168"/>
      <c r="AAW37" s="168"/>
      <c r="AAX37" s="168"/>
      <c r="AAY37" s="168"/>
      <c r="AAZ37" s="168"/>
      <c r="ABA37" s="168"/>
      <c r="ABB37" s="168"/>
      <c r="ABC37" s="168"/>
      <c r="ABD37" s="168"/>
      <c r="ABE37" s="168"/>
      <c r="ABF37" s="168"/>
      <c r="ABG37" s="168"/>
      <c r="ABH37" s="168"/>
      <c r="ABI37" s="168"/>
      <c r="ABJ37" s="168"/>
      <c r="ABK37" s="168"/>
      <c r="ABL37" s="168"/>
      <c r="ABM37" s="168"/>
      <c r="ABN37" s="168"/>
      <c r="ABO37" s="168"/>
      <c r="ABP37" s="168"/>
      <c r="ABQ37" s="168"/>
      <c r="ABR37" s="168"/>
      <c r="ABS37" s="168"/>
      <c r="ABT37" s="168"/>
      <c r="ABU37" s="168"/>
      <c r="ABV37" s="168"/>
      <c r="ABW37" s="168"/>
      <c r="ABX37" s="168"/>
      <c r="ABY37" s="168"/>
      <c r="ABZ37" s="168"/>
      <c r="ACA37" s="168"/>
      <c r="ACB37" s="168"/>
      <c r="ACC37" s="168"/>
      <c r="ACD37" s="168"/>
      <c r="ACE37" s="168"/>
      <c r="ACF37" s="168"/>
      <c r="ACG37" s="168"/>
      <c r="ACH37" s="168"/>
      <c r="ACI37" s="168"/>
      <c r="ACJ37" s="168"/>
      <c r="ACK37" s="168"/>
      <c r="ACL37" s="168"/>
      <c r="ACM37" s="168"/>
      <c r="ACN37" s="168"/>
      <c r="ACO37" s="168"/>
      <c r="ACP37" s="168"/>
      <c r="ACQ37" s="168"/>
      <c r="ACR37" s="168"/>
      <c r="ACS37" s="168"/>
      <c r="ACT37" s="168"/>
      <c r="ACU37" s="168"/>
      <c r="ACV37" s="168"/>
      <c r="ACW37" s="168"/>
      <c r="ACX37" s="168"/>
      <c r="ACY37" s="168"/>
      <c r="ACZ37" s="168"/>
      <c r="ADA37" s="168"/>
      <c r="ADB37" s="168"/>
      <c r="ADC37" s="168"/>
      <c r="ADD37" s="168"/>
      <c r="ADE37" s="168"/>
      <c r="ADF37" s="168"/>
      <c r="ADG37" s="168"/>
      <c r="ADH37" s="168"/>
      <c r="ADI37" s="168"/>
      <c r="ADJ37" s="168"/>
      <c r="ADK37" s="168"/>
      <c r="ADL37" s="168"/>
      <c r="ADM37" s="168"/>
      <c r="ADN37" s="168"/>
      <c r="ADO37" s="168"/>
      <c r="ADP37" s="168"/>
      <c r="ADQ37" s="168"/>
      <c r="ADR37" s="168"/>
      <c r="ADS37" s="168"/>
      <c r="ADT37" s="168"/>
      <c r="ADU37" s="168"/>
      <c r="ADV37" s="168"/>
      <c r="ADW37" s="168"/>
      <c r="ADX37" s="168"/>
      <c r="ADY37" s="168"/>
      <c r="ADZ37" s="168"/>
      <c r="AEA37" s="168"/>
      <c r="AEB37" s="168"/>
      <c r="AEC37" s="168"/>
      <c r="AED37" s="168"/>
      <c r="AEE37" s="168"/>
      <c r="AEF37" s="168"/>
      <c r="AEG37" s="168"/>
      <c r="AEH37" s="168"/>
      <c r="AEI37" s="168"/>
      <c r="AEJ37" s="168"/>
      <c r="AEK37" s="168"/>
      <c r="AEL37" s="168"/>
      <c r="AEM37" s="168"/>
      <c r="AEN37" s="168"/>
      <c r="AEO37" s="168"/>
      <c r="AEP37" s="168"/>
      <c r="AEQ37" s="168"/>
      <c r="AER37" s="168"/>
      <c r="AES37" s="168"/>
      <c r="AET37" s="168"/>
      <c r="AEU37" s="168"/>
      <c r="AEV37" s="168"/>
      <c r="AEW37" s="168"/>
      <c r="AEX37" s="168"/>
      <c r="AEY37" s="168"/>
      <c r="AEZ37" s="168"/>
      <c r="AFA37" s="168"/>
      <c r="AFB37" s="168"/>
      <c r="AFC37" s="168"/>
      <c r="AFD37" s="168"/>
      <c r="AFE37" s="168"/>
      <c r="AFF37" s="168"/>
      <c r="AFG37" s="168"/>
      <c r="AFH37" s="168"/>
      <c r="AFI37" s="168"/>
      <c r="AFJ37" s="168"/>
      <c r="AFK37" s="168"/>
      <c r="AFL37" s="168"/>
      <c r="AFM37" s="168"/>
      <c r="AFN37" s="168"/>
      <c r="AFO37" s="168"/>
      <c r="AFP37" s="168"/>
      <c r="AFQ37" s="168"/>
      <c r="AFR37" s="168"/>
      <c r="AFS37" s="168"/>
      <c r="AFT37" s="168"/>
      <c r="AFU37" s="168"/>
      <c r="AFV37" s="168"/>
      <c r="AFW37" s="168"/>
      <c r="AFX37" s="168"/>
      <c r="AFY37" s="168"/>
      <c r="AFZ37" s="168"/>
      <c r="AGA37" s="168"/>
      <c r="AGB37" s="168"/>
      <c r="AGC37" s="168"/>
      <c r="AGD37" s="168"/>
      <c r="AGE37" s="168"/>
      <c r="AGF37" s="168"/>
      <c r="AGG37" s="168"/>
      <c r="AGH37" s="168"/>
      <c r="AGI37" s="168"/>
      <c r="AGJ37" s="168"/>
      <c r="AGK37" s="168"/>
      <c r="AGL37" s="168"/>
      <c r="AGM37" s="168"/>
      <c r="AGN37" s="168"/>
      <c r="AGO37" s="168"/>
      <c r="AGP37" s="168"/>
      <c r="AGQ37" s="168"/>
      <c r="AGR37" s="168"/>
      <c r="AGS37" s="168"/>
      <c r="AGT37" s="168"/>
      <c r="AGU37" s="168"/>
      <c r="AGV37" s="168"/>
      <c r="AGW37" s="168"/>
      <c r="AGX37" s="168"/>
      <c r="AGY37" s="168"/>
      <c r="AGZ37" s="168"/>
      <c r="AHA37" s="168"/>
      <c r="AHB37" s="168"/>
      <c r="AHC37" s="168"/>
      <c r="AHD37" s="168"/>
      <c r="AHE37" s="168"/>
      <c r="AHF37" s="168"/>
      <c r="AHG37" s="168"/>
      <c r="AHH37" s="168"/>
      <c r="AHI37" s="168"/>
      <c r="AHJ37" s="168"/>
      <c r="AHK37" s="168"/>
      <c r="AHL37" s="168"/>
      <c r="AHM37" s="168"/>
      <c r="AHN37" s="168"/>
      <c r="AHO37" s="168"/>
      <c r="AHP37" s="168"/>
      <c r="AHQ37" s="168"/>
      <c r="AHR37" s="168"/>
      <c r="AHS37" s="168"/>
      <c r="AHT37" s="168"/>
      <c r="AHU37" s="168"/>
      <c r="AHV37" s="168"/>
      <c r="AHW37" s="168"/>
      <c r="AHX37" s="168"/>
      <c r="AHY37" s="168"/>
      <c r="AHZ37" s="168"/>
      <c r="AIA37" s="168"/>
      <c r="AIB37" s="168"/>
      <c r="AIC37" s="168"/>
      <c r="AID37" s="168"/>
      <c r="AIE37" s="168"/>
      <c r="AIF37" s="168"/>
      <c r="AIG37" s="168"/>
      <c r="AIH37" s="168"/>
      <c r="AII37" s="168"/>
      <c r="AIJ37" s="168"/>
      <c r="AIK37" s="168"/>
      <c r="AIL37" s="168"/>
      <c r="AIM37" s="168"/>
      <c r="AIN37" s="168"/>
      <c r="AIO37" s="168"/>
      <c r="AIP37" s="168"/>
      <c r="AIQ37" s="168"/>
      <c r="AIR37" s="168"/>
      <c r="AIS37" s="168"/>
      <c r="AIT37" s="168"/>
      <c r="AIU37" s="168"/>
      <c r="AIV37" s="168"/>
      <c r="AIW37" s="168"/>
      <c r="AIX37" s="168"/>
      <c r="AIY37" s="168"/>
      <c r="AIZ37" s="168"/>
      <c r="AJA37" s="168"/>
      <c r="AJB37" s="168"/>
      <c r="AJC37" s="168"/>
      <c r="AJD37" s="168"/>
      <c r="AJE37" s="168"/>
      <c r="AJF37" s="168"/>
      <c r="AJG37" s="168"/>
      <c r="AJH37" s="168"/>
      <c r="AJI37" s="168"/>
      <c r="AJJ37" s="168"/>
      <c r="AJK37" s="168"/>
      <c r="AJL37" s="168"/>
      <c r="AJM37" s="168"/>
      <c r="AJN37" s="168"/>
      <c r="AJO37" s="168"/>
      <c r="AJP37" s="168"/>
      <c r="AJQ37" s="168"/>
      <c r="AJR37" s="168"/>
      <c r="AJS37" s="168"/>
      <c r="AJT37" s="168"/>
      <c r="AJU37" s="168"/>
      <c r="AJV37" s="168"/>
      <c r="AJW37" s="168"/>
      <c r="AJX37" s="168"/>
      <c r="AJY37" s="168"/>
      <c r="AJZ37" s="168"/>
      <c r="AKA37" s="168"/>
      <c r="AKB37" s="168"/>
      <c r="AKC37" s="168"/>
      <c r="AKD37" s="168"/>
      <c r="AKE37" s="168"/>
      <c r="AKF37" s="168"/>
      <c r="AKG37" s="168"/>
      <c r="AKH37" s="168"/>
      <c r="AKI37" s="168"/>
      <c r="AKJ37" s="168"/>
      <c r="AKK37" s="168"/>
      <c r="AKL37" s="168"/>
      <c r="AKM37" s="168"/>
      <c r="AKN37" s="168"/>
      <c r="AKO37" s="168"/>
      <c r="AKP37" s="168"/>
      <c r="AKQ37" s="168"/>
      <c r="AKR37" s="168"/>
      <c r="AKS37" s="168"/>
      <c r="AKT37" s="168"/>
      <c r="AKU37" s="168"/>
      <c r="AKV37" s="168"/>
      <c r="AKW37" s="168"/>
      <c r="AKX37" s="168"/>
      <c r="AKY37" s="168"/>
      <c r="AKZ37" s="168"/>
      <c r="ALA37" s="168"/>
      <c r="ALB37" s="168"/>
      <c r="ALC37" s="168"/>
      <c r="ALD37" s="168"/>
      <c r="ALE37" s="168"/>
      <c r="ALF37" s="168"/>
      <c r="ALG37" s="168"/>
      <c r="ALH37" s="168"/>
      <c r="ALI37" s="168"/>
      <c r="ALJ37" s="168"/>
      <c r="ALK37" s="168"/>
      <c r="ALL37" s="168"/>
      <c r="ALM37" s="168"/>
      <c r="ALN37" s="168"/>
      <c r="ALO37" s="168"/>
      <c r="ALP37" s="168"/>
      <c r="ALQ37" s="168"/>
      <c r="ALR37" s="168"/>
      <c r="ALS37" s="168"/>
      <c r="ALT37" s="168"/>
      <c r="ALU37" s="168"/>
      <c r="ALV37" s="168"/>
      <c r="ALW37" s="168"/>
      <c r="ALX37" s="168"/>
      <c r="ALY37" s="168"/>
      <c r="ALZ37" s="168"/>
      <c r="AMA37" s="168"/>
      <c r="AMB37" s="168"/>
      <c r="AMC37" s="168"/>
      <c r="AMD37" s="168"/>
      <c r="AME37" s="168"/>
      <c r="AMF37" s="168"/>
      <c r="AMG37" s="168"/>
      <c r="AMH37" s="168"/>
      <c r="AMI37" s="168"/>
      <c r="AMJ37" s="168"/>
      <c r="AMK37" s="168"/>
      <c r="AML37" s="168"/>
      <c r="AMM37" s="168"/>
      <c r="AMN37" s="168"/>
      <c r="AMO37" s="168"/>
      <c r="AMP37" s="168"/>
      <c r="AMQ37" s="168"/>
      <c r="AMR37" s="168"/>
      <c r="AMS37" s="168"/>
      <c r="AMT37" s="168"/>
      <c r="AMU37" s="168"/>
      <c r="AMV37" s="168"/>
      <c r="AMW37" s="168"/>
      <c r="AMX37" s="168"/>
      <c r="AMY37" s="168"/>
      <c r="AMZ37" s="168"/>
      <c r="ANA37" s="168"/>
      <c r="ANB37" s="168"/>
      <c r="ANC37" s="168"/>
      <c r="AND37" s="168"/>
      <c r="ANE37" s="168"/>
      <c r="ANF37" s="168"/>
      <c r="ANG37" s="168"/>
      <c r="ANH37" s="168"/>
      <c r="ANI37" s="168"/>
      <c r="ANJ37" s="168"/>
      <c r="ANK37" s="168"/>
      <c r="ANL37" s="168"/>
      <c r="ANM37" s="168"/>
      <c r="ANN37" s="168"/>
      <c r="ANO37" s="168"/>
      <c r="ANP37" s="168"/>
      <c r="ANQ37" s="168"/>
      <c r="ANR37" s="168"/>
      <c r="ANS37" s="168"/>
      <c r="ANT37" s="168"/>
      <c r="ANU37" s="168"/>
      <c r="ANV37" s="168"/>
      <c r="ANW37" s="168"/>
      <c r="ANX37" s="168"/>
      <c r="ANY37" s="168"/>
      <c r="ANZ37" s="168"/>
      <c r="AOA37" s="168"/>
      <c r="AOB37" s="168"/>
      <c r="AOC37" s="168"/>
      <c r="AOD37" s="168"/>
      <c r="AOE37" s="168"/>
      <c r="AOF37" s="168"/>
      <c r="AOG37" s="168"/>
      <c r="AOH37" s="168"/>
      <c r="AOI37" s="168"/>
      <c r="AOJ37" s="168"/>
      <c r="AOK37" s="168"/>
      <c r="AOL37" s="168"/>
      <c r="AOM37" s="168"/>
      <c r="AON37" s="168"/>
      <c r="AOO37" s="168"/>
      <c r="AOP37" s="168"/>
      <c r="AOQ37" s="168"/>
      <c r="AOR37" s="168"/>
      <c r="AOS37" s="168"/>
      <c r="AOT37" s="168"/>
      <c r="AOU37" s="168"/>
      <c r="AOV37" s="168"/>
      <c r="AOW37" s="168"/>
      <c r="AOX37" s="168"/>
      <c r="AOY37" s="168"/>
      <c r="AOZ37" s="168"/>
      <c r="APA37" s="168"/>
      <c r="APB37" s="168"/>
      <c r="APC37" s="168"/>
      <c r="APD37" s="168"/>
      <c r="APE37" s="168"/>
      <c r="APF37" s="168"/>
      <c r="APG37" s="168"/>
      <c r="APH37" s="168"/>
      <c r="API37" s="168"/>
      <c r="APJ37" s="168"/>
      <c r="APK37" s="168"/>
      <c r="APL37" s="168"/>
      <c r="APM37" s="168"/>
      <c r="APN37" s="168"/>
      <c r="APO37" s="168"/>
      <c r="APP37" s="168"/>
      <c r="APQ37" s="168"/>
      <c r="APR37" s="168"/>
      <c r="APS37" s="168"/>
      <c r="APT37" s="168"/>
      <c r="APU37" s="168"/>
      <c r="APV37" s="168"/>
      <c r="APW37" s="168"/>
      <c r="APX37" s="168"/>
      <c r="APY37" s="168"/>
      <c r="APZ37" s="168"/>
      <c r="AQA37" s="168"/>
      <c r="AQB37" s="168"/>
      <c r="AQC37" s="168"/>
      <c r="AQD37" s="168"/>
      <c r="AQE37" s="168"/>
      <c r="AQF37" s="168"/>
      <c r="AQG37" s="168"/>
      <c r="AQH37" s="168"/>
      <c r="AQI37" s="168"/>
      <c r="AQJ37" s="168"/>
      <c r="AQK37" s="168"/>
      <c r="AQL37" s="168"/>
      <c r="AQM37" s="168"/>
      <c r="AQN37" s="168"/>
      <c r="AQO37" s="168"/>
      <c r="AQP37" s="168"/>
      <c r="AQQ37" s="168"/>
      <c r="AQR37" s="168"/>
      <c r="AQS37" s="168"/>
      <c r="AQT37" s="168"/>
      <c r="AQU37" s="168"/>
      <c r="AQV37" s="168"/>
      <c r="AQW37" s="168"/>
      <c r="AQX37" s="168"/>
      <c r="AQY37" s="168"/>
      <c r="AQZ37" s="168"/>
      <c r="ARA37" s="168"/>
      <c r="ARB37" s="168"/>
      <c r="ARC37" s="168"/>
      <c r="ARD37" s="168"/>
      <c r="ARE37" s="168"/>
      <c r="ARF37" s="168"/>
      <c r="ARG37" s="168"/>
      <c r="ARH37" s="168"/>
      <c r="ARI37" s="168"/>
      <c r="ARJ37" s="168"/>
      <c r="ARK37" s="168"/>
      <c r="ARL37" s="168"/>
      <c r="ARM37" s="168"/>
      <c r="ARN37" s="168"/>
      <c r="ARO37" s="168"/>
      <c r="ARP37" s="168"/>
      <c r="ARQ37" s="168"/>
      <c r="ARR37" s="168"/>
      <c r="ARS37" s="168"/>
      <c r="ART37" s="168"/>
      <c r="ARU37" s="168"/>
      <c r="ARV37" s="168"/>
      <c r="ARW37" s="168"/>
      <c r="ARX37" s="168"/>
      <c r="ARY37" s="168"/>
      <c r="ARZ37" s="168"/>
      <c r="ASA37" s="168"/>
      <c r="ASB37" s="168"/>
      <c r="ASC37" s="168"/>
      <c r="ASD37" s="168"/>
      <c r="ASE37" s="168"/>
      <c r="ASF37" s="168"/>
      <c r="ASG37" s="168"/>
      <c r="ASH37" s="168"/>
      <c r="ASI37" s="168"/>
      <c r="ASJ37" s="168"/>
      <c r="ASK37" s="168"/>
      <c r="ASL37" s="168"/>
      <c r="ASM37" s="168"/>
      <c r="ASN37" s="168"/>
      <c r="ASO37" s="168"/>
      <c r="ASP37" s="168"/>
      <c r="ASQ37" s="168"/>
      <c r="ASR37" s="168"/>
      <c r="ASS37" s="168"/>
      <c r="AST37" s="168"/>
      <c r="ASU37" s="168"/>
      <c r="ASV37" s="168"/>
      <c r="ASW37" s="168"/>
      <c r="ASX37" s="168"/>
      <c r="ASY37" s="168"/>
      <c r="ASZ37" s="168"/>
      <c r="ATA37" s="168"/>
      <c r="ATB37" s="168"/>
      <c r="ATC37" s="168"/>
      <c r="ATD37" s="168"/>
      <c r="ATE37" s="168"/>
      <c r="ATF37" s="168"/>
      <c r="ATG37" s="168"/>
      <c r="ATH37" s="168"/>
      <c r="ATI37" s="168"/>
      <c r="ATJ37" s="168"/>
      <c r="ATK37" s="168"/>
      <c r="ATL37" s="168"/>
      <c r="ATM37" s="168"/>
      <c r="ATN37" s="168"/>
      <c r="ATO37" s="168"/>
      <c r="ATP37" s="168"/>
      <c r="ATQ37" s="168"/>
      <c r="ATR37" s="168"/>
      <c r="ATS37" s="168"/>
      <c r="ATT37" s="168"/>
      <c r="ATU37" s="168"/>
      <c r="ATV37" s="168"/>
      <c r="ATW37" s="168"/>
      <c r="ATX37" s="168"/>
      <c r="ATY37" s="168"/>
      <c r="ATZ37" s="168"/>
      <c r="AUA37" s="168"/>
      <c r="AUB37" s="168"/>
      <c r="AUC37" s="168"/>
      <c r="AUD37" s="168"/>
      <c r="AUE37" s="168"/>
      <c r="AUF37" s="168"/>
      <c r="AUG37" s="168"/>
      <c r="AUH37" s="168"/>
      <c r="AUI37" s="168"/>
      <c r="AUJ37" s="168"/>
      <c r="AUK37" s="168"/>
      <c r="AUL37" s="168"/>
      <c r="AUM37" s="168"/>
      <c r="AUN37" s="168"/>
      <c r="AUO37" s="168"/>
      <c r="AUP37" s="168"/>
      <c r="AUQ37" s="168"/>
      <c r="AUR37" s="168"/>
      <c r="AUS37" s="168"/>
      <c r="AUT37" s="168"/>
      <c r="AUU37" s="168"/>
      <c r="AUV37" s="168"/>
      <c r="AUW37" s="168"/>
      <c r="AUX37" s="168"/>
      <c r="AUY37" s="168"/>
      <c r="AUZ37" s="168"/>
      <c r="AVA37" s="168"/>
      <c r="AVB37" s="168"/>
      <c r="AVC37" s="168"/>
      <c r="AVD37" s="168"/>
      <c r="AVE37" s="168"/>
      <c r="AVF37" s="168"/>
      <c r="AVG37" s="168"/>
      <c r="AVH37" s="168"/>
      <c r="AVI37" s="168"/>
      <c r="AVJ37" s="168"/>
      <c r="AVK37" s="168"/>
      <c r="AVL37" s="168"/>
      <c r="AVM37" s="168"/>
      <c r="AVN37" s="168"/>
      <c r="AVO37" s="168"/>
      <c r="AVP37" s="168"/>
      <c r="AVQ37" s="168"/>
      <c r="AVR37" s="168"/>
      <c r="AVS37" s="168"/>
      <c r="AVT37" s="168"/>
      <c r="AVU37" s="168"/>
      <c r="AVV37" s="168"/>
      <c r="AVW37" s="168"/>
      <c r="AVX37" s="168"/>
      <c r="AVY37" s="168"/>
      <c r="AVZ37" s="168"/>
      <c r="AWA37" s="168"/>
      <c r="AWB37" s="168"/>
      <c r="AWC37" s="168"/>
      <c r="AWD37" s="168"/>
      <c r="AWE37" s="168"/>
      <c r="AWF37" s="168"/>
      <c r="AWG37" s="168"/>
      <c r="AWH37" s="168"/>
      <c r="AWI37" s="168"/>
      <c r="AWJ37" s="168"/>
      <c r="AWK37" s="168"/>
      <c r="AWL37" s="168"/>
      <c r="AWM37" s="168"/>
      <c r="AWN37" s="168"/>
      <c r="AWO37" s="168"/>
      <c r="AWP37" s="168"/>
      <c r="AWQ37" s="168"/>
      <c r="AWR37" s="168"/>
      <c r="AWS37" s="168"/>
      <c r="AWT37" s="168"/>
      <c r="AWU37" s="168"/>
      <c r="AWV37" s="168"/>
      <c r="AWW37" s="168"/>
      <c r="AWX37" s="168"/>
      <c r="AWY37" s="168"/>
      <c r="AWZ37" s="168"/>
      <c r="AXA37" s="168"/>
      <c r="AXB37" s="168"/>
      <c r="AXC37" s="168"/>
      <c r="AXD37" s="168"/>
      <c r="AXE37" s="168"/>
      <c r="AXF37" s="168"/>
      <c r="AXG37" s="168"/>
      <c r="AXH37" s="168"/>
      <c r="AXI37" s="168"/>
      <c r="AXJ37" s="168"/>
      <c r="AXK37" s="168"/>
      <c r="AXL37" s="168"/>
      <c r="AXM37" s="168"/>
      <c r="AXN37" s="168"/>
      <c r="AXO37" s="168"/>
      <c r="AXP37" s="168"/>
      <c r="AXQ37" s="168"/>
      <c r="AXR37" s="168"/>
      <c r="AXS37" s="168"/>
      <c r="AXT37" s="168"/>
      <c r="AXU37" s="168"/>
      <c r="AXV37" s="168"/>
      <c r="AXW37" s="168"/>
      <c r="AXX37" s="168"/>
      <c r="AXY37" s="168"/>
      <c r="AXZ37" s="168"/>
      <c r="AYA37" s="168"/>
      <c r="AYB37" s="168"/>
      <c r="AYC37" s="168"/>
      <c r="AYD37" s="168"/>
      <c r="AYE37" s="168"/>
      <c r="AYF37" s="168"/>
      <c r="AYG37" s="168"/>
      <c r="AYH37" s="168"/>
      <c r="AYI37" s="168"/>
      <c r="AYJ37" s="168"/>
      <c r="AYK37" s="168"/>
      <c r="AYL37" s="168"/>
      <c r="AYM37" s="168"/>
      <c r="AYN37" s="168"/>
      <c r="AYO37" s="168"/>
      <c r="AYP37" s="168"/>
      <c r="AYQ37" s="168"/>
      <c r="AYR37" s="168"/>
      <c r="AYS37" s="168"/>
      <c r="AYT37" s="168"/>
      <c r="AYU37" s="168"/>
      <c r="AYV37" s="168"/>
      <c r="AYW37" s="168"/>
      <c r="AYX37" s="168"/>
      <c r="AYY37" s="168"/>
      <c r="AYZ37" s="168"/>
      <c r="AZA37" s="168"/>
      <c r="AZB37" s="168"/>
      <c r="AZC37" s="168"/>
      <c r="AZD37" s="168"/>
      <c r="AZE37" s="168"/>
      <c r="AZF37" s="168"/>
      <c r="AZG37" s="168"/>
      <c r="AZH37" s="168"/>
      <c r="AZI37" s="168"/>
      <c r="AZJ37" s="168"/>
      <c r="AZK37" s="168"/>
      <c r="AZL37" s="168"/>
      <c r="AZM37" s="168"/>
      <c r="AZN37" s="168"/>
      <c r="AZO37" s="168"/>
      <c r="AZP37" s="168"/>
      <c r="AZQ37" s="168"/>
      <c r="AZR37" s="168"/>
      <c r="AZS37" s="168"/>
      <c r="AZT37" s="168"/>
      <c r="AZU37" s="168"/>
      <c r="AZV37" s="168"/>
      <c r="AZW37" s="168"/>
      <c r="AZX37" s="168"/>
      <c r="AZY37" s="168"/>
      <c r="AZZ37" s="168"/>
      <c r="BAA37" s="168"/>
      <c r="BAB37" s="168"/>
      <c r="BAC37" s="168"/>
      <c r="BAD37" s="168"/>
      <c r="BAE37" s="168"/>
      <c r="BAF37" s="168"/>
      <c r="BAG37" s="168"/>
      <c r="BAH37" s="168"/>
      <c r="BAI37" s="168"/>
      <c r="BAJ37" s="168"/>
      <c r="BAK37" s="168"/>
      <c r="BAL37" s="168"/>
      <c r="BAM37" s="168"/>
      <c r="BAN37" s="168"/>
      <c r="BAO37" s="168"/>
      <c r="BAP37" s="168"/>
      <c r="BAQ37" s="168"/>
      <c r="BAR37" s="168"/>
      <c r="BAS37" s="168"/>
      <c r="BAT37" s="168"/>
      <c r="BAU37" s="168"/>
      <c r="BAV37" s="168"/>
      <c r="BAW37" s="168"/>
      <c r="BAX37" s="168"/>
      <c r="BAY37" s="168"/>
      <c r="BAZ37" s="168"/>
      <c r="BBA37" s="168"/>
      <c r="BBB37" s="168"/>
      <c r="BBC37" s="168"/>
      <c r="BBD37" s="168"/>
      <c r="BBE37" s="168"/>
      <c r="BBF37" s="168"/>
      <c r="BBG37" s="168"/>
      <c r="BBH37" s="168"/>
      <c r="BBI37" s="168"/>
      <c r="BBJ37" s="168"/>
      <c r="BBK37" s="168"/>
      <c r="BBL37" s="168"/>
      <c r="BBM37" s="168"/>
      <c r="BBN37" s="168"/>
      <c r="BBO37" s="168"/>
      <c r="BBP37" s="168"/>
      <c r="BBQ37" s="168"/>
      <c r="BBR37" s="168"/>
      <c r="BBS37" s="168"/>
      <c r="BBT37" s="168"/>
      <c r="BBU37" s="168"/>
      <c r="BBV37" s="168"/>
      <c r="BBW37" s="168"/>
      <c r="BBX37" s="168"/>
      <c r="BBY37" s="168"/>
      <c r="BBZ37" s="168"/>
      <c r="BCA37" s="168"/>
      <c r="BCB37" s="168"/>
      <c r="BCC37" s="168"/>
      <c r="BCD37" s="168"/>
      <c r="BCE37" s="168"/>
      <c r="BCF37" s="168"/>
      <c r="BCG37" s="168"/>
      <c r="BCH37" s="168"/>
      <c r="BCI37" s="168"/>
      <c r="BCJ37" s="168"/>
      <c r="BCK37" s="168"/>
      <c r="BCL37" s="168"/>
      <c r="BCM37" s="168"/>
      <c r="BCN37" s="168"/>
      <c r="BCO37" s="168"/>
      <c r="BCP37" s="168"/>
      <c r="BCQ37" s="168"/>
      <c r="BCR37" s="168"/>
      <c r="BCS37" s="168"/>
      <c r="BCT37" s="168"/>
      <c r="BCU37" s="168"/>
      <c r="BCV37" s="168"/>
      <c r="BCW37" s="168"/>
      <c r="BCX37" s="168"/>
      <c r="BCY37" s="168"/>
      <c r="BCZ37" s="168"/>
      <c r="BDA37" s="168"/>
      <c r="BDB37" s="168"/>
      <c r="BDC37" s="168"/>
      <c r="BDD37" s="168"/>
      <c r="BDE37" s="168"/>
      <c r="BDF37" s="168"/>
      <c r="BDG37" s="168"/>
      <c r="BDH37" s="168"/>
      <c r="BDI37" s="168"/>
      <c r="BDJ37" s="168"/>
      <c r="BDK37" s="168"/>
      <c r="BDL37" s="168"/>
      <c r="BDM37" s="168"/>
      <c r="BDN37" s="168"/>
      <c r="BDO37" s="168"/>
      <c r="BDP37" s="168"/>
      <c r="BDQ37" s="168"/>
      <c r="BDR37" s="168"/>
      <c r="BDS37" s="168"/>
      <c r="BDT37" s="168"/>
      <c r="BDU37" s="168"/>
      <c r="BDV37" s="168"/>
      <c r="BDW37" s="168"/>
      <c r="BDX37" s="168"/>
      <c r="BDY37" s="168"/>
      <c r="BDZ37" s="168"/>
      <c r="BEA37" s="168"/>
      <c r="BEB37" s="168"/>
      <c r="BEC37" s="168"/>
      <c r="BED37" s="168"/>
      <c r="BEE37" s="168"/>
      <c r="BEF37" s="168"/>
      <c r="BEG37" s="168"/>
      <c r="BEH37" s="168"/>
      <c r="BEI37" s="168"/>
      <c r="BEJ37" s="168"/>
      <c r="BEK37" s="168"/>
      <c r="BEL37" s="168"/>
      <c r="BEM37" s="168"/>
      <c r="BEN37" s="168"/>
      <c r="BEO37" s="168"/>
      <c r="BEP37" s="168"/>
      <c r="BEQ37" s="168"/>
      <c r="BER37" s="168"/>
      <c r="BES37" s="168"/>
      <c r="BET37" s="168"/>
      <c r="BEU37" s="168"/>
      <c r="BEV37" s="168"/>
      <c r="BEW37" s="168"/>
      <c r="BEX37" s="168"/>
      <c r="BEY37" s="168"/>
      <c r="BEZ37" s="168"/>
      <c r="BFA37" s="168"/>
      <c r="BFB37" s="168"/>
      <c r="BFC37" s="168"/>
      <c r="BFD37" s="168"/>
      <c r="BFE37" s="168"/>
      <c r="BFF37" s="168"/>
      <c r="BFG37" s="168"/>
      <c r="BFH37" s="168"/>
      <c r="BFI37" s="168"/>
      <c r="BFJ37" s="168"/>
      <c r="BFK37" s="168"/>
      <c r="BFL37" s="168"/>
      <c r="BFM37" s="168"/>
      <c r="BFN37" s="168"/>
      <c r="BFO37" s="168"/>
      <c r="BFP37" s="168"/>
      <c r="BFQ37" s="168"/>
      <c r="BFR37" s="168"/>
      <c r="BFS37" s="168"/>
      <c r="BFT37" s="168"/>
      <c r="BFU37" s="168"/>
      <c r="BFV37" s="168"/>
      <c r="BFW37" s="168"/>
      <c r="BFX37" s="168"/>
      <c r="BFY37" s="168"/>
      <c r="BFZ37" s="168"/>
      <c r="BGA37" s="168"/>
      <c r="BGB37" s="168"/>
      <c r="BGC37" s="168"/>
      <c r="BGD37" s="168"/>
      <c r="BGE37" s="168"/>
      <c r="BGF37" s="168"/>
      <c r="BGG37" s="168"/>
      <c r="BGH37" s="168"/>
      <c r="BGI37" s="168"/>
      <c r="BGJ37" s="168"/>
      <c r="BGK37" s="168"/>
      <c r="BGL37" s="168"/>
      <c r="BGM37" s="168"/>
      <c r="BGN37" s="168"/>
      <c r="BGO37" s="168"/>
      <c r="BGP37" s="168"/>
      <c r="BGQ37" s="168"/>
      <c r="BGR37" s="168"/>
      <c r="BGS37" s="168"/>
      <c r="BGT37" s="168"/>
      <c r="BGU37" s="168"/>
      <c r="BGV37" s="168"/>
      <c r="BGW37" s="168"/>
      <c r="BGX37" s="168"/>
      <c r="BGY37" s="168"/>
      <c r="BGZ37" s="168"/>
      <c r="BHA37" s="168"/>
      <c r="BHB37" s="168"/>
      <c r="BHC37" s="168"/>
      <c r="BHD37" s="168"/>
      <c r="BHE37" s="168"/>
      <c r="BHF37" s="168"/>
      <c r="BHG37" s="168"/>
      <c r="BHH37" s="168"/>
      <c r="BHI37" s="168"/>
      <c r="BHJ37" s="168"/>
      <c r="BHK37" s="168"/>
      <c r="BHL37" s="168"/>
      <c r="BHM37" s="168"/>
      <c r="BHN37" s="168"/>
      <c r="BHO37" s="168"/>
      <c r="BHP37" s="168"/>
      <c r="BHQ37" s="168"/>
      <c r="BHR37" s="168"/>
      <c r="BHS37" s="168"/>
      <c r="BHT37" s="168"/>
      <c r="BHU37" s="168"/>
      <c r="BHV37" s="168"/>
      <c r="BHW37" s="168"/>
      <c r="BHX37" s="168"/>
      <c r="BHY37" s="168"/>
      <c r="BHZ37" s="168"/>
      <c r="BIA37" s="168"/>
      <c r="BIB37" s="168"/>
      <c r="BIC37" s="168"/>
      <c r="BID37" s="168"/>
      <c r="BIE37" s="168"/>
      <c r="BIF37" s="168"/>
      <c r="BIG37" s="168"/>
      <c r="BIH37" s="168"/>
      <c r="BII37" s="168"/>
      <c r="BIJ37" s="168"/>
      <c r="BIK37" s="168"/>
      <c r="BIL37" s="168"/>
      <c r="BIM37" s="168"/>
      <c r="BIN37" s="168"/>
      <c r="BIO37" s="168"/>
      <c r="BIP37" s="168"/>
      <c r="BIQ37" s="168"/>
      <c r="BIR37" s="168"/>
      <c r="BIS37" s="168"/>
      <c r="BIT37" s="168"/>
      <c r="BIU37" s="168"/>
      <c r="BIV37" s="168"/>
      <c r="BIW37" s="168"/>
      <c r="BIX37" s="168"/>
      <c r="BIY37" s="168"/>
      <c r="BIZ37" s="168"/>
      <c r="BJA37" s="168"/>
      <c r="BJB37" s="168"/>
      <c r="BJC37" s="168"/>
      <c r="BJD37" s="168"/>
      <c r="BJE37" s="168"/>
      <c r="BJF37" s="168"/>
      <c r="BJG37" s="168"/>
      <c r="BJH37" s="168"/>
      <c r="BJI37" s="168"/>
      <c r="BJJ37" s="168"/>
      <c r="BJK37" s="168"/>
      <c r="BJL37" s="168"/>
      <c r="BJM37" s="168"/>
      <c r="BJN37" s="168"/>
      <c r="BJO37" s="168"/>
      <c r="BJP37" s="168"/>
      <c r="BJQ37" s="168"/>
      <c r="BJR37" s="168"/>
      <c r="BJS37" s="168"/>
      <c r="BJT37" s="168"/>
      <c r="BJU37" s="168"/>
      <c r="BJV37" s="168"/>
      <c r="BJW37" s="168"/>
      <c r="BJX37" s="168"/>
      <c r="BJY37" s="168"/>
      <c r="BJZ37" s="168"/>
      <c r="BKA37" s="168"/>
      <c r="BKB37" s="168"/>
      <c r="BKC37" s="168"/>
      <c r="BKD37" s="168"/>
      <c r="BKE37" s="168"/>
      <c r="BKF37" s="168"/>
      <c r="BKG37" s="168"/>
      <c r="BKH37" s="168"/>
      <c r="BKI37" s="168"/>
      <c r="BKJ37" s="168"/>
      <c r="BKK37" s="168"/>
      <c r="BKL37" s="168"/>
      <c r="BKM37" s="168"/>
      <c r="BKN37" s="168"/>
      <c r="BKO37" s="168"/>
      <c r="BKP37" s="168"/>
      <c r="BKQ37" s="168"/>
      <c r="BKR37" s="168"/>
      <c r="BKS37" s="168"/>
      <c r="BKT37" s="168"/>
      <c r="BKU37" s="168"/>
      <c r="BKV37" s="168"/>
      <c r="BKW37" s="168"/>
      <c r="BKX37" s="168"/>
      <c r="BKY37" s="168"/>
      <c r="BKZ37" s="168"/>
      <c r="BLA37" s="168"/>
      <c r="BLB37" s="168"/>
      <c r="BLC37" s="168"/>
      <c r="BLD37" s="168"/>
      <c r="BLE37" s="168"/>
      <c r="BLF37" s="168"/>
      <c r="BLG37" s="168"/>
      <c r="BLH37" s="168"/>
      <c r="BLI37" s="168"/>
      <c r="BLJ37" s="168"/>
      <c r="BLK37" s="168"/>
      <c r="BLL37" s="168"/>
      <c r="BLM37" s="168"/>
      <c r="BLN37" s="168"/>
      <c r="BLO37" s="168"/>
      <c r="BLP37" s="168"/>
      <c r="BLQ37" s="168"/>
      <c r="BLR37" s="168"/>
      <c r="BLS37" s="168"/>
      <c r="BLT37" s="168"/>
      <c r="BLU37" s="168"/>
      <c r="BLV37" s="168"/>
      <c r="BLW37" s="168"/>
      <c r="BLX37" s="168"/>
      <c r="BLY37" s="168"/>
      <c r="BLZ37" s="168"/>
      <c r="BMA37" s="168"/>
      <c r="BMB37" s="168"/>
      <c r="BMC37" s="168"/>
      <c r="BMD37" s="168"/>
      <c r="BME37" s="168"/>
      <c r="BMF37" s="168"/>
      <c r="BMG37" s="168"/>
      <c r="BMH37" s="168"/>
      <c r="BMI37" s="168"/>
      <c r="BMJ37" s="168"/>
      <c r="BMK37" s="168"/>
      <c r="BML37" s="168"/>
      <c r="BMM37" s="168"/>
      <c r="BMN37" s="168"/>
      <c r="BMO37" s="168"/>
      <c r="BMP37" s="168"/>
      <c r="BMQ37" s="168"/>
      <c r="BMR37" s="168"/>
      <c r="BMS37" s="168"/>
      <c r="BMT37" s="168"/>
      <c r="BMU37" s="168"/>
      <c r="BMV37" s="168"/>
      <c r="BMW37" s="168"/>
      <c r="BMX37" s="168"/>
      <c r="BMY37" s="168"/>
      <c r="BMZ37" s="168"/>
      <c r="BNA37" s="168"/>
      <c r="BNB37" s="168"/>
      <c r="BNC37" s="168"/>
      <c r="BND37" s="168"/>
      <c r="BNE37" s="168"/>
      <c r="BNF37" s="168"/>
      <c r="BNG37" s="168"/>
      <c r="BNH37" s="168"/>
      <c r="BNI37" s="168"/>
      <c r="BNJ37" s="168"/>
      <c r="BNK37" s="168"/>
      <c r="BNL37" s="168"/>
      <c r="BNM37" s="168"/>
      <c r="BNN37" s="168"/>
      <c r="BNO37" s="168"/>
      <c r="BNP37" s="168"/>
      <c r="BNQ37" s="168"/>
      <c r="BNR37" s="168"/>
      <c r="BNS37" s="168"/>
      <c r="BNT37" s="168"/>
      <c r="BNU37" s="168"/>
      <c r="BNV37" s="168"/>
      <c r="BNW37" s="168"/>
      <c r="BNX37" s="168"/>
      <c r="BNY37" s="168"/>
      <c r="BNZ37" s="168"/>
      <c r="BOA37" s="168"/>
      <c r="BOB37" s="168"/>
      <c r="BOC37" s="168"/>
      <c r="BOD37" s="168"/>
      <c r="BOE37" s="168"/>
      <c r="BOF37" s="168"/>
      <c r="BOG37" s="168"/>
      <c r="BOH37" s="168"/>
      <c r="BOI37" s="168"/>
      <c r="BOJ37" s="168"/>
      <c r="BOK37" s="168"/>
      <c r="BOL37" s="168"/>
      <c r="BOM37" s="168"/>
      <c r="BON37" s="168"/>
      <c r="BOO37" s="168"/>
      <c r="BOP37" s="168"/>
      <c r="BOQ37" s="168"/>
      <c r="BOR37" s="168"/>
      <c r="BOS37" s="168"/>
      <c r="BOT37" s="168"/>
      <c r="BOU37" s="168"/>
      <c r="BOV37" s="168"/>
      <c r="BOW37" s="168"/>
      <c r="BOX37" s="168"/>
      <c r="BOY37" s="168"/>
      <c r="BOZ37" s="168"/>
      <c r="BPA37" s="168"/>
      <c r="BPB37" s="168"/>
      <c r="BPC37" s="168"/>
      <c r="BPD37" s="168"/>
      <c r="BPE37" s="168"/>
      <c r="BPF37" s="168"/>
      <c r="BPG37" s="168"/>
      <c r="BPH37" s="168"/>
      <c r="BPI37" s="168"/>
      <c r="BPJ37" s="168"/>
      <c r="BPK37" s="168"/>
      <c r="BPL37" s="168"/>
      <c r="BPM37" s="168"/>
      <c r="BPN37" s="168"/>
      <c r="BPO37" s="168"/>
      <c r="BPP37" s="168"/>
      <c r="BPQ37" s="168"/>
      <c r="BPR37" s="168"/>
      <c r="BPS37" s="168"/>
      <c r="BPT37" s="168"/>
      <c r="BPU37" s="168"/>
      <c r="BPV37" s="168"/>
      <c r="BPW37" s="168"/>
      <c r="BPX37" s="168"/>
      <c r="BPY37" s="168"/>
      <c r="BPZ37" s="168"/>
      <c r="BQA37" s="168"/>
      <c r="BQB37" s="168"/>
      <c r="BQC37" s="168"/>
      <c r="BQD37" s="168"/>
      <c r="BQE37" s="168"/>
      <c r="BQF37" s="168"/>
      <c r="BQG37" s="168"/>
      <c r="BQH37" s="168"/>
      <c r="BQI37" s="168"/>
      <c r="BQJ37" s="168"/>
      <c r="BQK37" s="168"/>
      <c r="BQL37" s="168"/>
      <c r="BQM37" s="168"/>
      <c r="BQN37" s="168"/>
      <c r="BQO37" s="168"/>
      <c r="BQP37" s="168"/>
      <c r="BQQ37" s="168"/>
      <c r="BQR37" s="168"/>
      <c r="BQS37" s="168"/>
      <c r="BQT37" s="168"/>
      <c r="BQU37" s="168"/>
      <c r="BQV37" s="168"/>
      <c r="BQW37" s="168"/>
      <c r="BQX37" s="168"/>
      <c r="BQY37" s="168"/>
      <c r="BQZ37" s="168"/>
      <c r="BRA37" s="168"/>
      <c r="BRB37" s="168"/>
      <c r="BRC37" s="168"/>
      <c r="BRD37" s="168"/>
      <c r="BRE37" s="168"/>
      <c r="BRF37" s="168"/>
      <c r="BRG37" s="168"/>
      <c r="BRH37" s="168"/>
      <c r="BRI37" s="168"/>
      <c r="BRJ37" s="168"/>
      <c r="BRK37" s="168"/>
      <c r="BRL37" s="168"/>
      <c r="BRM37" s="168"/>
      <c r="BRN37" s="168"/>
      <c r="BRO37" s="168"/>
      <c r="BRP37" s="168"/>
      <c r="BRQ37" s="168"/>
      <c r="BRR37" s="168"/>
      <c r="BRS37" s="168"/>
      <c r="BRT37" s="168"/>
      <c r="BRU37" s="168"/>
      <c r="BRV37" s="168"/>
      <c r="BRW37" s="168"/>
      <c r="BRX37" s="168"/>
      <c r="BRY37" s="168"/>
      <c r="BRZ37" s="168"/>
      <c r="BSA37" s="168"/>
      <c r="BSB37" s="168"/>
      <c r="BSC37" s="168"/>
      <c r="BSD37" s="168"/>
      <c r="BSE37" s="168"/>
      <c r="BSF37" s="168"/>
      <c r="BSG37" s="168"/>
      <c r="BSH37" s="168"/>
      <c r="BSI37" s="168"/>
      <c r="BSJ37" s="168"/>
      <c r="BSK37" s="168"/>
      <c r="BSL37" s="168"/>
      <c r="BSM37" s="168"/>
      <c r="BSN37" s="168"/>
      <c r="BSO37" s="168"/>
      <c r="BSP37" s="168"/>
      <c r="BSQ37" s="168"/>
      <c r="BSR37" s="168"/>
      <c r="BSS37" s="168"/>
      <c r="BST37" s="168"/>
      <c r="BSU37" s="168"/>
      <c r="BSV37" s="168"/>
      <c r="BSW37" s="168"/>
      <c r="BSX37" s="168"/>
      <c r="BSY37" s="168"/>
      <c r="BSZ37" s="168"/>
      <c r="BTA37" s="168"/>
      <c r="BTB37" s="168"/>
      <c r="BTC37" s="168"/>
      <c r="BTD37" s="168"/>
      <c r="BTE37" s="168"/>
      <c r="BTF37" s="168"/>
      <c r="BTG37" s="168"/>
      <c r="BTH37" s="168"/>
      <c r="BTI37" s="168"/>
      <c r="BTJ37" s="168"/>
      <c r="BTK37" s="168"/>
      <c r="BTL37" s="168"/>
      <c r="BTM37" s="168"/>
      <c r="BTN37" s="168"/>
      <c r="BTO37" s="168"/>
      <c r="BTP37" s="168"/>
      <c r="BTQ37" s="168"/>
      <c r="BTR37" s="168"/>
      <c r="BTS37" s="168"/>
      <c r="BTT37" s="168"/>
      <c r="BTU37" s="168"/>
      <c r="BTV37" s="168"/>
      <c r="BTW37" s="168"/>
      <c r="BTX37" s="168"/>
      <c r="BTY37" s="168"/>
      <c r="BTZ37" s="168"/>
      <c r="BUA37" s="168"/>
      <c r="BUB37" s="168"/>
      <c r="BUC37" s="168"/>
      <c r="BUD37" s="168"/>
      <c r="BUE37" s="168"/>
      <c r="BUF37" s="168"/>
      <c r="BUG37" s="168"/>
      <c r="BUH37" s="168"/>
      <c r="BUI37" s="168"/>
      <c r="BUJ37" s="168"/>
      <c r="BUK37" s="168"/>
      <c r="BUL37" s="168"/>
      <c r="BUM37" s="168"/>
      <c r="BUN37" s="168"/>
      <c r="BUO37" s="168"/>
      <c r="BUP37" s="168"/>
      <c r="BUQ37" s="168"/>
      <c r="BUR37" s="168"/>
      <c r="BUS37" s="168"/>
      <c r="BUT37" s="168"/>
      <c r="BUU37" s="168"/>
      <c r="BUV37" s="168"/>
      <c r="BUW37" s="168"/>
      <c r="BUX37" s="168"/>
      <c r="BUY37" s="168"/>
      <c r="BUZ37" s="168"/>
      <c r="BVA37" s="168"/>
      <c r="BVB37" s="168"/>
      <c r="BVC37" s="168"/>
      <c r="BVD37" s="168"/>
      <c r="BVE37" s="168"/>
      <c r="BVF37" s="168"/>
      <c r="BVG37" s="168"/>
      <c r="BVH37" s="168"/>
      <c r="BVI37" s="168"/>
      <c r="BVJ37" s="168"/>
      <c r="BVK37" s="168"/>
      <c r="BVL37" s="168"/>
      <c r="BVM37" s="168"/>
      <c r="BVN37" s="168"/>
      <c r="BVO37" s="168"/>
      <c r="BVP37" s="168"/>
      <c r="BVQ37" s="168"/>
      <c r="BVR37" s="168"/>
      <c r="BVS37" s="168"/>
      <c r="BVT37" s="168"/>
      <c r="BVU37" s="168"/>
      <c r="BVV37" s="168"/>
      <c r="BVW37" s="168"/>
      <c r="BVX37" s="168"/>
      <c r="BVY37" s="168"/>
      <c r="BVZ37" s="168"/>
      <c r="BWA37" s="168"/>
      <c r="BWB37" s="168"/>
      <c r="BWC37" s="168"/>
      <c r="BWD37" s="168"/>
      <c r="BWE37" s="168"/>
      <c r="BWF37" s="168"/>
      <c r="BWG37" s="168"/>
      <c r="BWH37" s="168"/>
      <c r="BWI37" s="168"/>
      <c r="BWJ37" s="168"/>
      <c r="BWK37" s="168"/>
      <c r="BWL37" s="168"/>
      <c r="BWM37" s="168"/>
      <c r="BWN37" s="168"/>
      <c r="BWO37" s="168"/>
      <c r="BWP37" s="168"/>
      <c r="BWQ37" s="168"/>
      <c r="BWR37" s="168"/>
      <c r="BWS37" s="168"/>
      <c r="BWT37" s="168"/>
      <c r="BWU37" s="168"/>
      <c r="BWV37" s="168"/>
      <c r="BWW37" s="168"/>
      <c r="BWX37" s="168"/>
      <c r="BWY37" s="168"/>
      <c r="BWZ37" s="168"/>
      <c r="BXA37" s="168"/>
      <c r="BXB37" s="168"/>
      <c r="BXC37" s="168"/>
      <c r="BXD37" s="168"/>
      <c r="BXE37" s="168"/>
      <c r="BXF37" s="168"/>
      <c r="BXG37" s="168"/>
      <c r="BXH37" s="168"/>
      <c r="BXI37" s="168"/>
      <c r="BXJ37" s="168"/>
      <c r="BXK37" s="168"/>
      <c r="BXL37" s="168"/>
      <c r="BXM37" s="168"/>
      <c r="BXN37" s="168"/>
      <c r="BXO37" s="168"/>
      <c r="BXP37" s="168"/>
      <c r="BXQ37" s="168"/>
      <c r="BXR37" s="168"/>
      <c r="BXS37" s="168"/>
      <c r="BXT37" s="168"/>
      <c r="BXU37" s="168"/>
      <c r="BXV37" s="168"/>
      <c r="BXW37" s="168"/>
      <c r="BXX37" s="168"/>
      <c r="BXY37" s="168"/>
      <c r="BXZ37" s="168"/>
      <c r="BYA37" s="168"/>
      <c r="BYB37" s="168"/>
      <c r="BYC37" s="168"/>
      <c r="BYD37" s="168"/>
      <c r="BYE37" s="168"/>
      <c r="BYF37" s="168"/>
      <c r="BYG37" s="168"/>
      <c r="BYH37" s="168"/>
      <c r="BYI37" s="168"/>
      <c r="BYJ37" s="168"/>
      <c r="BYK37" s="168"/>
      <c r="BYL37" s="168"/>
      <c r="BYM37" s="168"/>
      <c r="BYN37" s="168"/>
      <c r="BYO37" s="168"/>
      <c r="BYP37" s="168"/>
      <c r="BYQ37" s="168"/>
      <c r="BYR37" s="168"/>
      <c r="BYS37" s="168"/>
      <c r="BYT37" s="168"/>
      <c r="BYU37" s="168"/>
      <c r="BYV37" s="168"/>
      <c r="BYW37" s="168"/>
      <c r="BYX37" s="168"/>
      <c r="BYY37" s="168"/>
      <c r="BYZ37" s="168"/>
      <c r="BZA37" s="168"/>
      <c r="BZB37" s="168"/>
      <c r="BZC37" s="168"/>
      <c r="BZD37" s="168"/>
      <c r="BZE37" s="168"/>
      <c r="BZF37" s="168"/>
      <c r="BZG37" s="168"/>
      <c r="BZH37" s="168"/>
      <c r="BZI37" s="168"/>
      <c r="BZJ37" s="168"/>
      <c r="BZK37" s="168"/>
      <c r="BZL37" s="168"/>
      <c r="BZM37" s="168"/>
      <c r="BZN37" s="168"/>
      <c r="BZO37" s="168"/>
      <c r="BZP37" s="168"/>
      <c r="BZQ37" s="168"/>
      <c r="BZR37" s="168"/>
      <c r="BZS37" s="168"/>
      <c r="BZT37" s="168"/>
      <c r="BZU37" s="168"/>
      <c r="BZV37" s="168"/>
      <c r="BZW37" s="168"/>
      <c r="BZX37" s="168"/>
      <c r="BZY37" s="168"/>
      <c r="BZZ37" s="168"/>
      <c r="CAA37" s="168"/>
      <c r="CAB37" s="168"/>
      <c r="CAC37" s="168"/>
      <c r="CAD37" s="168"/>
      <c r="CAE37" s="168"/>
      <c r="CAF37" s="168"/>
      <c r="CAG37" s="168"/>
      <c r="CAH37" s="168"/>
      <c r="CAI37" s="168"/>
      <c r="CAJ37" s="168"/>
      <c r="CAK37" s="168"/>
      <c r="CAL37" s="168"/>
      <c r="CAM37" s="168"/>
      <c r="CAN37" s="168"/>
      <c r="CAO37" s="168"/>
      <c r="CAP37" s="168"/>
      <c r="CAQ37" s="168"/>
      <c r="CAR37" s="168"/>
      <c r="CAS37" s="168"/>
      <c r="CAT37" s="168"/>
      <c r="CAU37" s="168"/>
      <c r="CAV37" s="168"/>
      <c r="CAW37" s="168"/>
      <c r="CAX37" s="168"/>
      <c r="CAY37" s="168"/>
      <c r="CAZ37" s="168"/>
      <c r="CBA37" s="168"/>
      <c r="CBB37" s="168"/>
      <c r="CBC37" s="168"/>
      <c r="CBD37" s="168"/>
      <c r="CBE37" s="168"/>
      <c r="CBF37" s="168"/>
      <c r="CBG37" s="168"/>
      <c r="CBH37" s="168"/>
      <c r="CBI37" s="168"/>
      <c r="CBJ37" s="168"/>
      <c r="CBK37" s="168"/>
      <c r="CBL37" s="168"/>
      <c r="CBM37" s="168"/>
      <c r="CBN37" s="168"/>
      <c r="CBO37" s="168"/>
      <c r="CBP37" s="168"/>
      <c r="CBQ37" s="168"/>
      <c r="CBR37" s="168"/>
      <c r="CBS37" s="168"/>
      <c r="CBT37" s="168"/>
      <c r="CBU37" s="168"/>
      <c r="CBV37" s="168"/>
      <c r="CBW37" s="168"/>
      <c r="CBX37" s="168"/>
      <c r="CBY37" s="168"/>
      <c r="CBZ37" s="168"/>
      <c r="CCA37" s="168"/>
      <c r="CCB37" s="168"/>
      <c r="CCC37" s="168"/>
      <c r="CCD37" s="168"/>
      <c r="CCE37" s="168"/>
      <c r="CCF37" s="168"/>
      <c r="CCG37" s="168"/>
      <c r="CCH37" s="168"/>
      <c r="CCI37" s="168"/>
      <c r="CCJ37" s="168"/>
      <c r="CCK37" s="168"/>
      <c r="CCL37" s="168"/>
      <c r="CCM37" s="168"/>
      <c r="CCN37" s="168"/>
      <c r="CCO37" s="168"/>
      <c r="CCP37" s="168"/>
      <c r="CCQ37" s="168"/>
      <c r="CCR37" s="168"/>
      <c r="CCS37" s="168"/>
      <c r="CCT37" s="168"/>
      <c r="CCU37" s="168"/>
      <c r="CCV37" s="168"/>
      <c r="CCW37" s="168"/>
      <c r="CCX37" s="168"/>
      <c r="CCY37" s="168"/>
      <c r="CCZ37" s="168"/>
      <c r="CDA37" s="168"/>
      <c r="CDB37" s="168"/>
      <c r="CDC37" s="168"/>
      <c r="CDD37" s="168"/>
      <c r="CDE37" s="168"/>
      <c r="CDF37" s="168"/>
      <c r="CDG37" s="168"/>
      <c r="CDH37" s="168"/>
      <c r="CDI37" s="168"/>
      <c r="CDJ37" s="168"/>
      <c r="CDK37" s="168"/>
      <c r="CDL37" s="168"/>
      <c r="CDM37" s="168"/>
      <c r="CDN37" s="168"/>
      <c r="CDO37" s="168"/>
      <c r="CDP37" s="168"/>
      <c r="CDQ37" s="168"/>
      <c r="CDR37" s="168"/>
      <c r="CDS37" s="168"/>
      <c r="CDT37" s="168"/>
      <c r="CDU37" s="168"/>
      <c r="CDV37" s="168"/>
      <c r="CDW37" s="168"/>
      <c r="CDX37" s="168"/>
      <c r="CDY37" s="168"/>
      <c r="CDZ37" s="168"/>
      <c r="CEA37" s="168"/>
      <c r="CEB37" s="168"/>
      <c r="CEC37" s="168"/>
      <c r="CED37" s="168"/>
      <c r="CEE37" s="168"/>
      <c r="CEF37" s="168"/>
      <c r="CEG37" s="168"/>
      <c r="CEH37" s="168"/>
      <c r="CEI37" s="168"/>
      <c r="CEJ37" s="168"/>
      <c r="CEK37" s="168"/>
      <c r="CEL37" s="168"/>
      <c r="CEM37" s="168"/>
      <c r="CEN37" s="168"/>
      <c r="CEO37" s="168"/>
      <c r="CEP37" s="168"/>
      <c r="CEQ37" s="168"/>
      <c r="CER37" s="168"/>
      <c r="CES37" s="168"/>
      <c r="CET37" s="168"/>
      <c r="CEU37" s="168"/>
      <c r="CEV37" s="168"/>
      <c r="CEW37" s="168"/>
      <c r="CEX37" s="168"/>
      <c r="CEY37" s="168"/>
      <c r="CEZ37" s="168"/>
      <c r="CFA37" s="168"/>
      <c r="CFB37" s="168"/>
      <c r="CFC37" s="168"/>
      <c r="CFD37" s="168"/>
      <c r="CFE37" s="168"/>
      <c r="CFF37" s="168"/>
      <c r="CFG37" s="168"/>
      <c r="CFH37" s="168"/>
      <c r="CFI37" s="168"/>
      <c r="CFJ37" s="168"/>
      <c r="CFK37" s="168"/>
      <c r="CFL37" s="168"/>
      <c r="CFM37" s="168"/>
      <c r="CFN37" s="168"/>
      <c r="CFO37" s="168"/>
      <c r="CFP37" s="168"/>
      <c r="CFQ37" s="168"/>
      <c r="CFR37" s="168"/>
      <c r="CFS37" s="168"/>
      <c r="CFT37" s="168"/>
      <c r="CFU37" s="168"/>
      <c r="CFV37" s="168"/>
      <c r="CFW37" s="168"/>
      <c r="CFX37" s="168"/>
      <c r="CFY37" s="168"/>
      <c r="CFZ37" s="168"/>
      <c r="CGA37" s="168"/>
      <c r="CGB37" s="168"/>
      <c r="CGC37" s="168"/>
      <c r="CGD37" s="168"/>
      <c r="CGE37" s="168"/>
      <c r="CGF37" s="168"/>
      <c r="CGG37" s="168"/>
      <c r="CGH37" s="168"/>
      <c r="CGI37" s="168"/>
      <c r="CGJ37" s="168"/>
      <c r="CGK37" s="168"/>
      <c r="CGL37" s="168"/>
      <c r="CGM37" s="168"/>
      <c r="CGN37" s="168"/>
      <c r="CGO37" s="168"/>
      <c r="CGP37" s="168"/>
      <c r="CGQ37" s="168"/>
      <c r="CGR37" s="168"/>
      <c r="CGS37" s="168"/>
      <c r="CGT37" s="168"/>
      <c r="CGU37" s="168"/>
      <c r="CGV37" s="168"/>
      <c r="CGW37" s="168"/>
      <c r="CGX37" s="168"/>
      <c r="CGY37" s="168"/>
      <c r="CGZ37" s="168"/>
      <c r="CHA37" s="168"/>
      <c r="CHB37" s="168"/>
      <c r="CHC37" s="168"/>
      <c r="CHD37" s="168"/>
      <c r="CHE37" s="168"/>
      <c r="CHF37" s="168"/>
      <c r="CHG37" s="168"/>
      <c r="CHH37" s="168"/>
      <c r="CHI37" s="168"/>
      <c r="CHJ37" s="168"/>
      <c r="CHK37" s="168"/>
      <c r="CHL37" s="168"/>
      <c r="CHM37" s="168"/>
      <c r="CHN37" s="168"/>
      <c r="CHO37" s="168"/>
      <c r="CHP37" s="168"/>
      <c r="CHQ37" s="168"/>
      <c r="CHR37" s="168"/>
      <c r="CHS37" s="168"/>
      <c r="CHT37" s="168"/>
      <c r="CHU37" s="168"/>
      <c r="CHV37" s="168"/>
      <c r="CHW37" s="168"/>
      <c r="CHX37" s="168"/>
      <c r="CHY37" s="168"/>
      <c r="CHZ37" s="168"/>
      <c r="CIA37" s="168"/>
      <c r="CIB37" s="168"/>
      <c r="CIC37" s="168"/>
      <c r="CID37" s="168"/>
      <c r="CIE37" s="168"/>
      <c r="CIF37" s="168"/>
      <c r="CIG37" s="168"/>
      <c r="CIH37" s="168"/>
      <c r="CII37" s="168"/>
      <c r="CIJ37" s="168"/>
      <c r="CIK37" s="168"/>
      <c r="CIL37" s="168"/>
      <c r="CIM37" s="168"/>
      <c r="CIN37" s="168"/>
      <c r="CIO37" s="168"/>
      <c r="CIP37" s="168"/>
      <c r="CIQ37" s="168"/>
      <c r="CIR37" s="168"/>
      <c r="CIS37" s="168"/>
      <c r="CIT37" s="168"/>
      <c r="CIU37" s="168"/>
      <c r="CIV37" s="168"/>
      <c r="CIW37" s="168"/>
      <c r="CIX37" s="168"/>
      <c r="CIY37" s="168"/>
      <c r="CIZ37" s="168"/>
      <c r="CJA37" s="168"/>
      <c r="CJB37" s="168"/>
      <c r="CJC37" s="168"/>
      <c r="CJD37" s="168"/>
      <c r="CJE37" s="168"/>
      <c r="CJF37" s="168"/>
      <c r="CJG37" s="168"/>
      <c r="CJH37" s="168"/>
      <c r="CJI37" s="168"/>
      <c r="CJJ37" s="168"/>
      <c r="CJK37" s="168"/>
      <c r="CJL37" s="168"/>
      <c r="CJM37" s="168"/>
      <c r="CJN37" s="168"/>
      <c r="CJO37" s="168"/>
      <c r="CJP37" s="168"/>
      <c r="CJQ37" s="168"/>
      <c r="CJR37" s="168"/>
      <c r="CJS37" s="168"/>
      <c r="CJT37" s="168"/>
      <c r="CJU37" s="168"/>
      <c r="CJV37" s="168"/>
      <c r="CJW37" s="168"/>
      <c r="CJX37" s="168"/>
      <c r="CJY37" s="168"/>
      <c r="CJZ37" s="168"/>
      <c r="CKA37" s="168"/>
      <c r="CKB37" s="168"/>
      <c r="CKC37" s="168"/>
      <c r="CKD37" s="168"/>
      <c r="CKE37" s="168"/>
      <c r="CKF37" s="168"/>
      <c r="CKG37" s="168"/>
      <c r="CKH37" s="168"/>
      <c r="CKI37" s="168"/>
      <c r="CKJ37" s="168"/>
      <c r="CKK37" s="168"/>
      <c r="CKL37" s="168"/>
      <c r="CKM37" s="168"/>
      <c r="CKN37" s="168"/>
      <c r="CKO37" s="168"/>
      <c r="CKP37" s="168"/>
      <c r="CKQ37" s="168"/>
      <c r="CKR37" s="168"/>
      <c r="CKS37" s="168"/>
      <c r="CKT37" s="168"/>
      <c r="CKU37" s="168"/>
      <c r="CKV37" s="168"/>
      <c r="CKW37" s="168"/>
      <c r="CKX37" s="168"/>
      <c r="CKY37" s="168"/>
      <c r="CKZ37" s="168"/>
      <c r="CLA37" s="168"/>
      <c r="CLB37" s="168"/>
      <c r="CLC37" s="168"/>
      <c r="CLD37" s="168"/>
      <c r="CLE37" s="168"/>
      <c r="CLF37" s="168"/>
      <c r="CLG37" s="168"/>
      <c r="CLH37" s="168"/>
      <c r="CLI37" s="168"/>
      <c r="CLJ37" s="168"/>
      <c r="CLK37" s="168"/>
      <c r="CLL37" s="168"/>
      <c r="CLM37" s="168"/>
      <c r="CLN37" s="168"/>
      <c r="CLO37" s="168"/>
      <c r="CLP37" s="168"/>
      <c r="CLQ37" s="168"/>
      <c r="CLR37" s="168"/>
      <c r="CLS37" s="168"/>
      <c r="CLT37" s="168"/>
      <c r="CLU37" s="168"/>
      <c r="CLV37" s="168"/>
      <c r="CLW37" s="168"/>
      <c r="CLX37" s="168"/>
      <c r="CLY37" s="168"/>
      <c r="CLZ37" s="168"/>
      <c r="CMA37" s="168"/>
      <c r="CMB37" s="168"/>
      <c r="CMC37" s="168"/>
      <c r="CMD37" s="168"/>
      <c r="CME37" s="168"/>
      <c r="CMF37" s="168"/>
      <c r="CMG37" s="168"/>
      <c r="CMH37" s="168"/>
      <c r="CMI37" s="168"/>
      <c r="CMJ37" s="168"/>
      <c r="CMK37" s="168"/>
      <c r="CML37" s="168"/>
      <c r="CMM37" s="168"/>
      <c r="CMN37" s="168"/>
      <c r="CMO37" s="168"/>
      <c r="CMP37" s="168"/>
      <c r="CMQ37" s="168"/>
      <c r="CMR37" s="168"/>
      <c r="CMS37" s="168"/>
      <c r="CMT37" s="168"/>
      <c r="CMU37" s="168"/>
      <c r="CMV37" s="168"/>
      <c r="CMW37" s="168"/>
      <c r="CMX37" s="168"/>
      <c r="CMY37" s="168"/>
      <c r="CMZ37" s="168"/>
      <c r="CNA37" s="168"/>
      <c r="CNB37" s="168"/>
      <c r="CNC37" s="168"/>
      <c r="CND37" s="168"/>
      <c r="CNE37" s="168"/>
      <c r="CNF37" s="168"/>
      <c r="CNG37" s="168"/>
      <c r="CNH37" s="168"/>
      <c r="CNI37" s="168"/>
      <c r="CNJ37" s="168"/>
      <c r="CNK37" s="168"/>
      <c r="CNL37" s="168"/>
      <c r="CNM37" s="168"/>
      <c r="CNN37" s="168"/>
      <c r="CNO37" s="168"/>
      <c r="CNP37" s="168"/>
      <c r="CNQ37" s="168"/>
      <c r="CNR37" s="168"/>
      <c r="CNS37" s="168"/>
      <c r="CNT37" s="168"/>
      <c r="CNU37" s="168"/>
      <c r="CNV37" s="168"/>
      <c r="CNW37" s="168"/>
      <c r="CNX37" s="168"/>
      <c r="CNY37" s="168"/>
      <c r="CNZ37" s="168"/>
      <c r="COA37" s="168"/>
      <c r="COB37" s="168"/>
      <c r="COC37" s="168"/>
      <c r="COD37" s="168"/>
      <c r="COE37" s="168"/>
      <c r="COF37" s="168"/>
      <c r="COG37" s="168"/>
      <c r="COH37" s="168"/>
      <c r="COI37" s="168"/>
      <c r="COJ37" s="168"/>
      <c r="COK37" s="168"/>
      <c r="COL37" s="168"/>
      <c r="COM37" s="168"/>
      <c r="CON37" s="168"/>
      <c r="COO37" s="168"/>
      <c r="COP37" s="168"/>
      <c r="COQ37" s="168"/>
      <c r="COR37" s="168"/>
      <c r="COS37" s="168"/>
      <c r="COT37" s="168"/>
      <c r="COU37" s="168"/>
      <c r="COV37" s="168"/>
      <c r="COW37" s="168"/>
      <c r="COX37" s="168"/>
      <c r="COY37" s="168"/>
      <c r="COZ37" s="168"/>
      <c r="CPA37" s="168"/>
      <c r="CPB37" s="168"/>
      <c r="CPC37" s="168"/>
      <c r="CPD37" s="168"/>
      <c r="CPE37" s="168"/>
      <c r="CPF37" s="168"/>
      <c r="CPG37" s="168"/>
      <c r="CPH37" s="168"/>
      <c r="CPI37" s="168"/>
      <c r="CPJ37" s="168"/>
      <c r="CPK37" s="168"/>
      <c r="CPL37" s="168"/>
      <c r="CPM37" s="168"/>
      <c r="CPN37" s="168"/>
      <c r="CPO37" s="168"/>
      <c r="CPP37" s="168"/>
      <c r="CPQ37" s="168"/>
      <c r="CPR37" s="168"/>
      <c r="CPS37" s="168"/>
      <c r="CPT37" s="168"/>
      <c r="CPU37" s="168"/>
      <c r="CPV37" s="168"/>
      <c r="CPW37" s="168"/>
      <c r="CPX37" s="168"/>
      <c r="CPY37" s="168"/>
      <c r="CPZ37" s="168"/>
      <c r="CQA37" s="168"/>
      <c r="CQB37" s="168"/>
      <c r="CQC37" s="168"/>
      <c r="CQD37" s="168"/>
      <c r="CQE37" s="168"/>
      <c r="CQF37" s="168"/>
      <c r="CQG37" s="168"/>
      <c r="CQH37" s="168"/>
      <c r="CQI37" s="168"/>
      <c r="CQJ37" s="168"/>
      <c r="CQK37" s="168"/>
      <c r="CQL37" s="168"/>
      <c r="CQM37" s="168"/>
      <c r="CQN37" s="168"/>
      <c r="CQO37" s="168"/>
      <c r="CQP37" s="168"/>
      <c r="CQQ37" s="168"/>
      <c r="CQR37" s="168"/>
      <c r="CQS37" s="168"/>
      <c r="CQT37" s="168"/>
      <c r="CQU37" s="168"/>
      <c r="CQV37" s="168"/>
      <c r="CQW37" s="168"/>
      <c r="CQX37" s="168"/>
      <c r="CQY37" s="168"/>
      <c r="CQZ37" s="168"/>
      <c r="CRA37" s="168"/>
      <c r="CRB37" s="168"/>
      <c r="CRC37" s="168"/>
      <c r="CRD37" s="168"/>
      <c r="CRE37" s="168"/>
      <c r="CRF37" s="168"/>
      <c r="CRG37" s="168"/>
      <c r="CRH37" s="168"/>
      <c r="CRI37" s="168"/>
      <c r="CRJ37" s="168"/>
      <c r="CRK37" s="168"/>
      <c r="CRL37" s="168"/>
      <c r="CRM37" s="168"/>
      <c r="CRN37" s="168"/>
      <c r="CRO37" s="168"/>
      <c r="CRP37" s="168"/>
      <c r="CRQ37" s="168"/>
      <c r="CRR37" s="168"/>
      <c r="CRS37" s="168"/>
      <c r="CRT37" s="168"/>
      <c r="CRU37" s="168"/>
      <c r="CRV37" s="168"/>
      <c r="CRW37" s="168"/>
      <c r="CRX37" s="168"/>
      <c r="CRY37" s="168"/>
      <c r="CRZ37" s="168"/>
      <c r="CSA37" s="168"/>
      <c r="CSB37" s="168"/>
      <c r="CSC37" s="168"/>
      <c r="CSD37" s="168"/>
      <c r="CSE37" s="168"/>
      <c r="CSF37" s="168"/>
      <c r="CSG37" s="168"/>
      <c r="CSH37" s="168"/>
      <c r="CSI37" s="168"/>
      <c r="CSJ37" s="168"/>
      <c r="CSK37" s="168"/>
      <c r="CSL37" s="168"/>
      <c r="CSM37" s="168"/>
      <c r="CSN37" s="168"/>
      <c r="CSO37" s="168"/>
      <c r="CSP37" s="168"/>
      <c r="CSQ37" s="168"/>
      <c r="CSR37" s="168"/>
      <c r="CSS37" s="168"/>
      <c r="CST37" s="168"/>
      <c r="CSU37" s="168"/>
      <c r="CSV37" s="168"/>
      <c r="CSW37" s="168"/>
      <c r="CSX37" s="168"/>
      <c r="CSY37" s="168"/>
      <c r="CSZ37" s="168"/>
      <c r="CTA37" s="168"/>
      <c r="CTB37" s="168"/>
      <c r="CTC37" s="168"/>
      <c r="CTD37" s="168"/>
      <c r="CTE37" s="168"/>
      <c r="CTF37" s="168"/>
      <c r="CTG37" s="168"/>
      <c r="CTH37" s="168"/>
      <c r="CTI37" s="168"/>
      <c r="CTJ37" s="168"/>
      <c r="CTK37" s="168"/>
      <c r="CTL37" s="168"/>
      <c r="CTM37" s="168"/>
      <c r="CTN37" s="168"/>
      <c r="CTO37" s="168"/>
      <c r="CTP37" s="168"/>
      <c r="CTQ37" s="168"/>
      <c r="CTR37" s="168"/>
      <c r="CTS37" s="168"/>
      <c r="CTT37" s="168"/>
      <c r="CTU37" s="168"/>
      <c r="CTV37" s="168"/>
      <c r="CTW37" s="168"/>
      <c r="CTX37" s="168"/>
      <c r="CTY37" s="168"/>
      <c r="CTZ37" s="168"/>
      <c r="CUA37" s="168"/>
      <c r="CUB37" s="168"/>
      <c r="CUC37" s="168"/>
      <c r="CUD37" s="168"/>
      <c r="CUE37" s="168"/>
      <c r="CUF37" s="168"/>
      <c r="CUG37" s="168"/>
      <c r="CUH37" s="168"/>
      <c r="CUI37" s="168"/>
      <c r="CUJ37" s="168"/>
      <c r="CUK37" s="168"/>
      <c r="CUL37" s="168"/>
      <c r="CUM37" s="168"/>
      <c r="CUN37" s="168"/>
      <c r="CUO37" s="168"/>
      <c r="CUP37" s="168"/>
      <c r="CUQ37" s="168"/>
      <c r="CUR37" s="168"/>
      <c r="CUS37" s="168"/>
      <c r="CUT37" s="168"/>
      <c r="CUU37" s="168"/>
      <c r="CUV37" s="168"/>
      <c r="CUW37" s="168"/>
      <c r="CUX37" s="168"/>
      <c r="CUY37" s="168"/>
      <c r="CUZ37" s="168"/>
      <c r="CVA37" s="168"/>
      <c r="CVB37" s="168"/>
      <c r="CVC37" s="168"/>
      <c r="CVD37" s="168"/>
      <c r="CVE37" s="168"/>
      <c r="CVF37" s="168"/>
      <c r="CVG37" s="168"/>
      <c r="CVH37" s="168"/>
      <c r="CVI37" s="168"/>
      <c r="CVJ37" s="168"/>
      <c r="CVK37" s="168"/>
      <c r="CVL37" s="168"/>
      <c r="CVM37" s="168"/>
      <c r="CVN37" s="168"/>
      <c r="CVO37" s="168"/>
      <c r="CVP37" s="168"/>
      <c r="CVQ37" s="168"/>
      <c r="CVR37" s="168"/>
      <c r="CVS37" s="168"/>
      <c r="CVT37" s="168"/>
      <c r="CVU37" s="168"/>
      <c r="CVV37" s="168"/>
      <c r="CVW37" s="168"/>
      <c r="CVX37" s="168"/>
      <c r="CVY37" s="168"/>
      <c r="CVZ37" s="168"/>
      <c r="CWA37" s="168"/>
      <c r="CWB37" s="168"/>
      <c r="CWC37" s="168"/>
      <c r="CWD37" s="168"/>
      <c r="CWE37" s="168"/>
      <c r="CWF37" s="168"/>
      <c r="CWG37" s="168"/>
      <c r="CWH37" s="168"/>
      <c r="CWI37" s="168"/>
      <c r="CWJ37" s="168"/>
      <c r="CWK37" s="168"/>
      <c r="CWL37" s="168"/>
      <c r="CWM37" s="168"/>
      <c r="CWN37" s="168"/>
      <c r="CWO37" s="168"/>
      <c r="CWP37" s="168"/>
      <c r="CWQ37" s="168"/>
      <c r="CWR37" s="168"/>
      <c r="CWS37" s="168"/>
      <c r="CWT37" s="168"/>
      <c r="CWU37" s="168"/>
      <c r="CWV37" s="168"/>
      <c r="CWW37" s="168"/>
      <c r="CWX37" s="168"/>
      <c r="CWY37" s="168"/>
      <c r="CWZ37" s="168"/>
      <c r="CXA37" s="168"/>
      <c r="CXB37" s="168"/>
      <c r="CXC37" s="168"/>
      <c r="CXD37" s="168"/>
      <c r="CXE37" s="168"/>
      <c r="CXF37" s="168"/>
      <c r="CXG37" s="168"/>
      <c r="CXH37" s="168"/>
      <c r="CXI37" s="168"/>
      <c r="CXJ37" s="168"/>
      <c r="CXK37" s="168"/>
      <c r="CXL37" s="168"/>
      <c r="CXM37" s="168"/>
      <c r="CXN37" s="168"/>
      <c r="CXO37" s="168"/>
      <c r="CXP37" s="168"/>
      <c r="CXQ37" s="168"/>
      <c r="CXR37" s="168"/>
      <c r="CXS37" s="168"/>
      <c r="CXT37" s="168"/>
      <c r="CXU37" s="168"/>
      <c r="CXV37" s="168"/>
      <c r="CXW37" s="168"/>
      <c r="CXX37" s="168"/>
      <c r="CXY37" s="168"/>
      <c r="CXZ37" s="168"/>
      <c r="CYA37" s="168"/>
      <c r="CYB37" s="168"/>
      <c r="CYC37" s="168"/>
      <c r="CYD37" s="168"/>
      <c r="CYE37" s="168"/>
      <c r="CYF37" s="168"/>
      <c r="CYG37" s="168"/>
      <c r="CYH37" s="168"/>
      <c r="CYI37" s="168"/>
      <c r="CYJ37" s="168"/>
      <c r="CYK37" s="168"/>
      <c r="CYL37" s="168"/>
      <c r="CYM37" s="168"/>
      <c r="CYN37" s="168"/>
      <c r="CYO37" s="168"/>
      <c r="CYP37" s="168"/>
      <c r="CYQ37" s="168"/>
      <c r="CYR37" s="168"/>
      <c r="CYS37" s="168"/>
      <c r="CYT37" s="168"/>
      <c r="CYU37" s="168"/>
      <c r="CYV37" s="168"/>
      <c r="CYW37" s="168"/>
      <c r="CYX37" s="168"/>
      <c r="CYY37" s="168"/>
      <c r="CYZ37" s="168"/>
      <c r="CZA37" s="168"/>
      <c r="CZB37" s="168"/>
      <c r="CZC37" s="168"/>
      <c r="CZD37" s="168"/>
      <c r="CZE37" s="168"/>
      <c r="CZF37" s="168"/>
      <c r="CZG37" s="168"/>
      <c r="CZH37" s="168"/>
      <c r="CZI37" s="168"/>
      <c r="CZJ37" s="168"/>
      <c r="CZK37" s="168"/>
      <c r="CZL37" s="168"/>
      <c r="CZM37" s="168"/>
      <c r="CZN37" s="168"/>
      <c r="CZO37" s="168"/>
      <c r="CZP37" s="168"/>
      <c r="CZQ37" s="168"/>
      <c r="CZR37" s="168"/>
      <c r="CZS37" s="168"/>
      <c r="CZT37" s="168"/>
      <c r="CZU37" s="168"/>
      <c r="CZV37" s="168"/>
      <c r="CZW37" s="168"/>
      <c r="CZX37" s="168"/>
      <c r="CZY37" s="168"/>
      <c r="CZZ37" s="168"/>
      <c r="DAA37" s="168"/>
      <c r="DAB37" s="168"/>
      <c r="DAC37" s="168"/>
      <c r="DAD37" s="168"/>
      <c r="DAE37" s="168"/>
      <c r="DAF37" s="168"/>
      <c r="DAG37" s="168"/>
      <c r="DAH37" s="168"/>
      <c r="DAI37" s="168"/>
      <c r="DAJ37" s="168"/>
      <c r="DAK37" s="168"/>
      <c r="DAL37" s="168"/>
      <c r="DAM37" s="168"/>
      <c r="DAN37" s="168"/>
      <c r="DAO37" s="168"/>
      <c r="DAP37" s="168"/>
      <c r="DAQ37" s="168"/>
      <c r="DAR37" s="168"/>
      <c r="DAS37" s="168"/>
      <c r="DAT37" s="168"/>
      <c r="DAU37" s="168"/>
      <c r="DAV37" s="168"/>
      <c r="DAW37" s="168"/>
      <c r="DAX37" s="168"/>
      <c r="DAY37" s="168"/>
      <c r="DAZ37" s="168"/>
      <c r="DBA37" s="168"/>
      <c r="DBB37" s="168"/>
      <c r="DBC37" s="168"/>
      <c r="DBD37" s="168"/>
      <c r="DBE37" s="168"/>
      <c r="DBF37" s="168"/>
      <c r="DBG37" s="168"/>
      <c r="DBH37" s="168"/>
      <c r="DBI37" s="168"/>
      <c r="DBJ37" s="168"/>
      <c r="DBK37" s="168"/>
      <c r="DBL37" s="168"/>
      <c r="DBM37" s="168"/>
      <c r="DBN37" s="168"/>
      <c r="DBO37" s="168"/>
      <c r="DBP37" s="168"/>
      <c r="DBQ37" s="168"/>
      <c r="DBR37" s="168"/>
      <c r="DBS37" s="168"/>
      <c r="DBT37" s="168"/>
      <c r="DBU37" s="168"/>
      <c r="DBV37" s="168"/>
      <c r="DBW37" s="168"/>
      <c r="DBX37" s="168"/>
      <c r="DBY37" s="168"/>
      <c r="DBZ37" s="168"/>
      <c r="DCA37" s="168"/>
      <c r="DCB37" s="168"/>
      <c r="DCC37" s="168"/>
      <c r="DCD37" s="168"/>
      <c r="DCE37" s="168"/>
      <c r="DCF37" s="168"/>
      <c r="DCG37" s="168"/>
      <c r="DCH37" s="168"/>
      <c r="DCI37" s="168"/>
      <c r="DCJ37" s="168"/>
      <c r="DCK37" s="168"/>
      <c r="DCL37" s="168"/>
      <c r="DCM37" s="168"/>
      <c r="DCN37" s="168"/>
      <c r="DCO37" s="168"/>
      <c r="DCP37" s="168"/>
      <c r="DCQ37" s="168"/>
      <c r="DCR37" s="168"/>
      <c r="DCS37" s="168"/>
      <c r="DCT37" s="168"/>
      <c r="DCU37" s="168"/>
      <c r="DCV37" s="168"/>
      <c r="DCW37" s="168"/>
      <c r="DCX37" s="168"/>
      <c r="DCY37" s="168"/>
      <c r="DCZ37" s="168"/>
      <c r="DDA37" s="168"/>
      <c r="DDB37" s="168"/>
      <c r="DDC37" s="168"/>
      <c r="DDD37" s="168"/>
      <c r="DDE37" s="168"/>
      <c r="DDF37" s="168"/>
      <c r="DDG37" s="168"/>
      <c r="DDH37" s="168"/>
      <c r="DDI37" s="168"/>
      <c r="DDJ37" s="168"/>
      <c r="DDK37" s="168"/>
      <c r="DDL37" s="168"/>
      <c r="DDM37" s="168"/>
      <c r="DDN37" s="168"/>
      <c r="DDO37" s="168"/>
      <c r="DDP37" s="168"/>
      <c r="DDQ37" s="168"/>
      <c r="DDR37" s="168"/>
      <c r="DDS37" s="168"/>
      <c r="DDT37" s="168"/>
      <c r="DDU37" s="168"/>
      <c r="DDV37" s="168"/>
      <c r="DDW37" s="168"/>
      <c r="DDX37" s="168"/>
      <c r="DDY37" s="168"/>
      <c r="DDZ37" s="168"/>
      <c r="DEA37" s="168"/>
      <c r="DEB37" s="168"/>
      <c r="DEC37" s="168"/>
      <c r="DED37" s="168"/>
      <c r="DEE37" s="168"/>
      <c r="DEF37" s="168"/>
      <c r="DEG37" s="168"/>
      <c r="DEH37" s="168"/>
      <c r="DEI37" s="168"/>
      <c r="DEJ37" s="168"/>
      <c r="DEK37" s="168"/>
      <c r="DEL37" s="168"/>
      <c r="DEM37" s="168"/>
      <c r="DEN37" s="168"/>
      <c r="DEO37" s="168"/>
      <c r="DEP37" s="168"/>
      <c r="DEQ37" s="168"/>
      <c r="DER37" s="168"/>
      <c r="DES37" s="168"/>
      <c r="DET37" s="168"/>
      <c r="DEU37" s="168"/>
      <c r="DEV37" s="168"/>
      <c r="DEW37" s="168"/>
      <c r="DEX37" s="168"/>
      <c r="DEY37" s="168"/>
      <c r="DEZ37" s="168"/>
      <c r="DFA37" s="168"/>
      <c r="DFB37" s="168"/>
      <c r="DFC37" s="168"/>
      <c r="DFD37" s="168"/>
      <c r="DFE37" s="168"/>
      <c r="DFF37" s="168"/>
      <c r="DFG37" s="168"/>
      <c r="DFH37" s="168"/>
      <c r="DFI37" s="168"/>
      <c r="DFJ37" s="168"/>
      <c r="DFK37" s="168"/>
      <c r="DFL37" s="168"/>
      <c r="DFM37" s="168"/>
      <c r="DFN37" s="168"/>
      <c r="DFO37" s="168"/>
      <c r="DFP37" s="168"/>
      <c r="DFQ37" s="168"/>
      <c r="DFR37" s="168"/>
      <c r="DFS37" s="168"/>
      <c r="DFT37" s="168"/>
      <c r="DFU37" s="168"/>
      <c r="DFV37" s="168"/>
      <c r="DFW37" s="168"/>
      <c r="DFX37" s="168"/>
      <c r="DFY37" s="168"/>
      <c r="DFZ37" s="168"/>
      <c r="DGA37" s="168"/>
      <c r="DGB37" s="168"/>
      <c r="DGC37" s="168"/>
      <c r="DGD37" s="168"/>
      <c r="DGE37" s="168"/>
      <c r="DGF37" s="168"/>
      <c r="DGG37" s="168"/>
      <c r="DGH37" s="168"/>
      <c r="DGI37" s="168"/>
      <c r="DGJ37" s="168"/>
      <c r="DGK37" s="168"/>
      <c r="DGL37" s="168"/>
      <c r="DGM37" s="168"/>
      <c r="DGN37" s="168"/>
      <c r="DGO37" s="168"/>
      <c r="DGP37" s="168"/>
      <c r="DGQ37" s="168"/>
      <c r="DGR37" s="168"/>
      <c r="DGS37" s="168"/>
      <c r="DGT37" s="168"/>
      <c r="DGU37" s="168"/>
      <c r="DGV37" s="168"/>
      <c r="DGW37" s="168"/>
      <c r="DGX37" s="168"/>
      <c r="DGY37" s="168"/>
      <c r="DGZ37" s="168"/>
      <c r="DHA37" s="168"/>
      <c r="DHB37" s="168"/>
      <c r="DHC37" s="168"/>
      <c r="DHD37" s="168"/>
      <c r="DHE37" s="168"/>
      <c r="DHF37" s="168"/>
      <c r="DHG37" s="168"/>
      <c r="DHH37" s="168"/>
      <c r="DHI37" s="168"/>
      <c r="DHJ37" s="168"/>
      <c r="DHK37" s="168"/>
      <c r="DHL37" s="168"/>
      <c r="DHM37" s="168"/>
      <c r="DHN37" s="168"/>
      <c r="DHO37" s="168"/>
      <c r="DHP37" s="168"/>
      <c r="DHQ37" s="168"/>
      <c r="DHR37" s="168"/>
      <c r="DHS37" s="168"/>
      <c r="DHT37" s="168"/>
      <c r="DHU37" s="168"/>
      <c r="DHV37" s="168"/>
      <c r="DHW37" s="168"/>
      <c r="DHX37" s="168"/>
      <c r="DHY37" s="168"/>
      <c r="DHZ37" s="168"/>
      <c r="DIA37" s="168"/>
      <c r="DIB37" s="168"/>
      <c r="DIC37" s="168"/>
      <c r="DID37" s="168"/>
      <c r="DIE37" s="168"/>
      <c r="DIF37" s="168"/>
      <c r="DIG37" s="168"/>
      <c r="DIH37" s="168"/>
      <c r="DII37" s="168"/>
      <c r="DIJ37" s="168"/>
      <c r="DIK37" s="168"/>
      <c r="DIL37" s="168"/>
      <c r="DIM37" s="168"/>
      <c r="DIN37" s="168"/>
      <c r="DIO37" s="168"/>
      <c r="DIP37" s="168"/>
      <c r="DIQ37" s="168"/>
      <c r="DIR37" s="168"/>
      <c r="DIS37" s="168"/>
      <c r="DIT37" s="168"/>
      <c r="DIU37" s="168"/>
      <c r="DIV37" s="168"/>
      <c r="DIW37" s="168"/>
      <c r="DIX37" s="168"/>
      <c r="DIY37" s="168"/>
      <c r="DIZ37" s="168"/>
      <c r="DJA37" s="168"/>
      <c r="DJB37" s="168"/>
      <c r="DJC37" s="168"/>
      <c r="DJD37" s="168"/>
      <c r="DJE37" s="168"/>
      <c r="DJF37" s="168"/>
      <c r="DJG37" s="168"/>
      <c r="DJH37" s="168"/>
      <c r="DJI37" s="168"/>
      <c r="DJJ37" s="168"/>
      <c r="DJK37" s="168"/>
      <c r="DJL37" s="168"/>
      <c r="DJM37" s="168"/>
      <c r="DJN37" s="168"/>
      <c r="DJO37" s="168"/>
      <c r="DJP37" s="168"/>
      <c r="DJQ37" s="168"/>
      <c r="DJR37" s="168"/>
      <c r="DJS37" s="168"/>
      <c r="DJT37" s="168"/>
      <c r="DJU37" s="168"/>
      <c r="DJV37" s="168"/>
      <c r="DJW37" s="168"/>
      <c r="DJX37" s="168"/>
      <c r="DJY37" s="168"/>
      <c r="DJZ37" s="168"/>
      <c r="DKA37" s="168"/>
      <c r="DKB37" s="168"/>
      <c r="DKC37" s="168"/>
      <c r="DKD37" s="168"/>
      <c r="DKE37" s="168"/>
      <c r="DKF37" s="168"/>
      <c r="DKG37" s="168"/>
      <c r="DKH37" s="168"/>
      <c r="DKI37" s="168"/>
      <c r="DKJ37" s="168"/>
      <c r="DKK37" s="168"/>
      <c r="DKL37" s="168"/>
      <c r="DKM37" s="168"/>
      <c r="DKN37" s="168"/>
      <c r="DKO37" s="168"/>
      <c r="DKP37" s="168"/>
      <c r="DKQ37" s="168"/>
      <c r="DKR37" s="168"/>
      <c r="DKS37" s="168"/>
      <c r="DKT37" s="168"/>
      <c r="DKU37" s="168"/>
      <c r="DKV37" s="168"/>
      <c r="DKW37" s="168"/>
      <c r="DKX37" s="168"/>
      <c r="DKY37" s="168"/>
      <c r="DKZ37" s="168"/>
      <c r="DLA37" s="168"/>
      <c r="DLB37" s="168"/>
      <c r="DLC37" s="168"/>
      <c r="DLD37" s="168"/>
      <c r="DLE37" s="168"/>
      <c r="DLF37" s="168"/>
      <c r="DLG37" s="168"/>
      <c r="DLH37" s="168"/>
      <c r="DLI37" s="168"/>
      <c r="DLJ37" s="168"/>
      <c r="DLK37" s="168"/>
      <c r="DLL37" s="168"/>
      <c r="DLM37" s="168"/>
      <c r="DLN37" s="168"/>
      <c r="DLO37" s="168"/>
      <c r="DLP37" s="168"/>
      <c r="DLQ37" s="168"/>
      <c r="DLR37" s="168"/>
      <c r="DLS37" s="168"/>
      <c r="DLT37" s="168"/>
      <c r="DLU37" s="168"/>
      <c r="DLV37" s="168"/>
      <c r="DLW37" s="168"/>
      <c r="DLX37" s="168"/>
      <c r="DLY37" s="168"/>
      <c r="DLZ37" s="168"/>
      <c r="DMA37" s="168"/>
      <c r="DMB37" s="168"/>
      <c r="DMC37" s="168"/>
      <c r="DMD37" s="168"/>
      <c r="DME37" s="168"/>
      <c r="DMF37" s="168"/>
      <c r="DMG37" s="168"/>
      <c r="DMH37" s="168"/>
      <c r="DMI37" s="168"/>
      <c r="DMJ37" s="168"/>
      <c r="DMK37" s="168"/>
      <c r="DML37" s="168"/>
      <c r="DMM37" s="168"/>
      <c r="DMN37" s="168"/>
      <c r="DMO37" s="168"/>
      <c r="DMP37" s="168"/>
      <c r="DMQ37" s="168"/>
      <c r="DMR37" s="168"/>
      <c r="DMS37" s="168"/>
      <c r="DMT37" s="168"/>
      <c r="DMU37" s="168"/>
      <c r="DMV37" s="168"/>
      <c r="DMW37" s="168"/>
      <c r="DMX37" s="168"/>
      <c r="DMY37" s="168"/>
      <c r="DMZ37" s="168"/>
      <c r="DNA37" s="168"/>
      <c r="DNB37" s="168"/>
      <c r="DNC37" s="168"/>
      <c r="DND37" s="168"/>
      <c r="DNE37" s="168"/>
      <c r="DNF37" s="168"/>
      <c r="DNG37" s="168"/>
      <c r="DNH37" s="168"/>
      <c r="DNI37" s="168"/>
      <c r="DNJ37" s="168"/>
      <c r="DNK37" s="168"/>
      <c r="DNL37" s="168"/>
      <c r="DNM37" s="168"/>
      <c r="DNN37" s="168"/>
      <c r="DNO37" s="168"/>
      <c r="DNP37" s="168"/>
      <c r="DNQ37" s="168"/>
      <c r="DNR37" s="168"/>
      <c r="DNS37" s="168"/>
      <c r="DNT37" s="168"/>
      <c r="DNU37" s="168"/>
      <c r="DNV37" s="168"/>
      <c r="DNW37" s="168"/>
      <c r="DNX37" s="168"/>
      <c r="DNY37" s="168"/>
      <c r="DNZ37" s="168"/>
      <c r="DOA37" s="168"/>
      <c r="DOB37" s="168"/>
      <c r="DOC37" s="168"/>
      <c r="DOD37" s="168"/>
      <c r="DOE37" s="168"/>
      <c r="DOF37" s="168"/>
      <c r="DOG37" s="168"/>
      <c r="DOH37" s="168"/>
      <c r="DOI37" s="168"/>
      <c r="DOJ37" s="168"/>
      <c r="DOK37" s="168"/>
      <c r="DOL37" s="168"/>
      <c r="DOM37" s="168"/>
      <c r="DON37" s="168"/>
      <c r="DOO37" s="168"/>
      <c r="DOP37" s="168"/>
      <c r="DOQ37" s="168"/>
      <c r="DOR37" s="168"/>
      <c r="DOS37" s="168"/>
      <c r="DOT37" s="168"/>
      <c r="DOU37" s="168"/>
      <c r="DOV37" s="168"/>
      <c r="DOW37" s="168"/>
      <c r="DOX37" s="168"/>
      <c r="DOY37" s="168"/>
      <c r="DOZ37" s="168"/>
      <c r="DPA37" s="168"/>
      <c r="DPB37" s="168"/>
      <c r="DPC37" s="168"/>
      <c r="DPD37" s="168"/>
      <c r="DPE37" s="168"/>
      <c r="DPF37" s="168"/>
      <c r="DPG37" s="168"/>
      <c r="DPH37" s="168"/>
      <c r="DPI37" s="168"/>
      <c r="DPJ37" s="168"/>
      <c r="DPK37" s="168"/>
      <c r="DPL37" s="168"/>
      <c r="DPM37" s="168"/>
      <c r="DPN37" s="168"/>
      <c r="DPO37" s="168"/>
      <c r="DPP37" s="168"/>
      <c r="DPQ37" s="168"/>
      <c r="DPR37" s="168"/>
      <c r="DPS37" s="168"/>
      <c r="DPT37" s="168"/>
      <c r="DPU37" s="168"/>
      <c r="DPV37" s="168"/>
      <c r="DPW37" s="168"/>
      <c r="DPX37" s="168"/>
      <c r="DPY37" s="168"/>
      <c r="DPZ37" s="168"/>
      <c r="DQA37" s="168"/>
      <c r="DQB37" s="168"/>
      <c r="DQC37" s="168"/>
      <c r="DQD37" s="168"/>
      <c r="DQE37" s="168"/>
      <c r="DQF37" s="168"/>
      <c r="DQG37" s="168"/>
      <c r="DQH37" s="168"/>
      <c r="DQI37" s="168"/>
      <c r="DQJ37" s="168"/>
      <c r="DQK37" s="168"/>
      <c r="DQL37" s="168"/>
      <c r="DQM37" s="168"/>
      <c r="DQN37" s="168"/>
      <c r="DQO37" s="168"/>
      <c r="DQP37" s="168"/>
      <c r="DQQ37" s="168"/>
      <c r="DQR37" s="168"/>
      <c r="DQS37" s="168"/>
      <c r="DQT37" s="168"/>
      <c r="DQU37" s="168"/>
      <c r="DQV37" s="168"/>
      <c r="DQW37" s="168"/>
      <c r="DQX37" s="168"/>
      <c r="DQY37" s="168"/>
      <c r="DQZ37" s="168"/>
      <c r="DRA37" s="168"/>
      <c r="DRB37" s="168"/>
      <c r="DRC37" s="168"/>
      <c r="DRD37" s="168"/>
      <c r="DRE37" s="168"/>
      <c r="DRF37" s="168"/>
      <c r="DRG37" s="168"/>
      <c r="DRH37" s="168"/>
      <c r="DRI37" s="168"/>
      <c r="DRJ37" s="168"/>
      <c r="DRK37" s="168"/>
      <c r="DRL37" s="168"/>
      <c r="DRM37" s="168"/>
      <c r="DRN37" s="168"/>
      <c r="DRO37" s="168"/>
      <c r="DRP37" s="168"/>
      <c r="DRQ37" s="168"/>
      <c r="DRR37" s="168"/>
      <c r="DRS37" s="168"/>
      <c r="DRT37" s="168"/>
      <c r="DRU37" s="168"/>
      <c r="DRV37" s="168"/>
      <c r="DRW37" s="168"/>
      <c r="DRX37" s="168"/>
      <c r="DRY37" s="168"/>
      <c r="DRZ37" s="168"/>
      <c r="DSA37" s="168"/>
      <c r="DSB37" s="168"/>
      <c r="DSC37" s="168"/>
      <c r="DSD37" s="168"/>
      <c r="DSE37" s="168"/>
      <c r="DSF37" s="168"/>
      <c r="DSG37" s="168"/>
      <c r="DSH37" s="168"/>
      <c r="DSI37" s="168"/>
      <c r="DSJ37" s="168"/>
      <c r="DSK37" s="168"/>
      <c r="DSL37" s="168"/>
      <c r="DSM37" s="168"/>
      <c r="DSN37" s="168"/>
      <c r="DSO37" s="168"/>
      <c r="DSP37" s="168"/>
      <c r="DSQ37" s="168"/>
      <c r="DSR37" s="168"/>
      <c r="DSS37" s="168"/>
      <c r="DST37" s="168"/>
      <c r="DSU37" s="168"/>
      <c r="DSV37" s="168"/>
      <c r="DSW37" s="168"/>
      <c r="DSX37" s="168"/>
      <c r="DSY37" s="168"/>
      <c r="DSZ37" s="168"/>
      <c r="DTA37" s="168"/>
      <c r="DTB37" s="168"/>
      <c r="DTC37" s="168"/>
      <c r="DTD37" s="168"/>
      <c r="DTE37" s="168"/>
      <c r="DTF37" s="168"/>
      <c r="DTG37" s="168"/>
      <c r="DTH37" s="168"/>
      <c r="DTI37" s="168"/>
      <c r="DTJ37" s="168"/>
      <c r="DTK37" s="168"/>
      <c r="DTL37" s="168"/>
      <c r="DTM37" s="168"/>
      <c r="DTN37" s="168"/>
      <c r="DTO37" s="168"/>
      <c r="DTP37" s="168"/>
      <c r="DTQ37" s="168"/>
      <c r="DTR37" s="168"/>
      <c r="DTS37" s="168"/>
      <c r="DTT37" s="168"/>
      <c r="DTU37" s="168"/>
      <c r="DTV37" s="168"/>
      <c r="DTW37" s="168"/>
      <c r="DTX37" s="168"/>
      <c r="DTY37" s="168"/>
      <c r="DTZ37" s="168"/>
      <c r="DUA37" s="168"/>
      <c r="DUB37" s="168"/>
      <c r="DUC37" s="168"/>
      <c r="DUD37" s="168"/>
      <c r="DUE37" s="168"/>
      <c r="DUF37" s="168"/>
      <c r="DUG37" s="168"/>
      <c r="DUH37" s="168"/>
      <c r="DUI37" s="168"/>
      <c r="DUJ37" s="168"/>
      <c r="DUK37" s="168"/>
      <c r="DUL37" s="168"/>
      <c r="DUM37" s="168"/>
      <c r="DUN37" s="168"/>
      <c r="DUO37" s="168"/>
      <c r="DUP37" s="168"/>
      <c r="DUQ37" s="168"/>
      <c r="DUR37" s="168"/>
      <c r="DUS37" s="168"/>
      <c r="DUT37" s="168"/>
      <c r="DUU37" s="168"/>
      <c r="DUV37" s="168"/>
      <c r="DUW37" s="168"/>
      <c r="DUX37" s="168"/>
      <c r="DUY37" s="168"/>
      <c r="DUZ37" s="168"/>
      <c r="DVA37" s="168"/>
      <c r="DVB37" s="168"/>
      <c r="DVC37" s="168"/>
      <c r="DVD37" s="168"/>
      <c r="DVE37" s="168"/>
      <c r="DVF37" s="168"/>
      <c r="DVG37" s="168"/>
      <c r="DVH37" s="168"/>
      <c r="DVI37" s="168"/>
      <c r="DVJ37" s="168"/>
      <c r="DVK37" s="168"/>
      <c r="DVL37" s="168"/>
      <c r="DVM37" s="168"/>
      <c r="DVN37" s="168"/>
      <c r="DVO37" s="168"/>
      <c r="DVP37" s="168"/>
      <c r="DVQ37" s="168"/>
      <c r="DVR37" s="168"/>
      <c r="DVS37" s="168"/>
      <c r="DVT37" s="168"/>
      <c r="DVU37" s="168"/>
      <c r="DVV37" s="168"/>
      <c r="DVW37" s="168"/>
      <c r="DVX37" s="168"/>
      <c r="DVY37" s="168"/>
      <c r="DVZ37" s="168"/>
      <c r="DWA37" s="168"/>
      <c r="DWB37" s="168"/>
      <c r="DWC37" s="168"/>
      <c r="DWD37" s="168"/>
      <c r="DWE37" s="168"/>
      <c r="DWF37" s="168"/>
      <c r="DWG37" s="168"/>
      <c r="DWH37" s="168"/>
      <c r="DWI37" s="168"/>
      <c r="DWJ37" s="168"/>
      <c r="DWK37" s="168"/>
      <c r="DWL37" s="168"/>
      <c r="DWM37" s="168"/>
      <c r="DWN37" s="168"/>
      <c r="DWO37" s="168"/>
      <c r="DWP37" s="168"/>
      <c r="DWQ37" s="168"/>
      <c r="DWR37" s="168"/>
      <c r="DWS37" s="168"/>
      <c r="DWT37" s="168"/>
      <c r="DWU37" s="168"/>
      <c r="DWV37" s="168"/>
      <c r="DWW37" s="168"/>
      <c r="DWX37" s="168"/>
      <c r="DWY37" s="168"/>
      <c r="DWZ37" s="168"/>
      <c r="DXA37" s="168"/>
      <c r="DXB37" s="168"/>
      <c r="DXC37" s="168"/>
      <c r="DXD37" s="168"/>
      <c r="DXE37" s="168"/>
      <c r="DXF37" s="168"/>
      <c r="DXG37" s="168"/>
      <c r="DXH37" s="168"/>
      <c r="DXI37" s="168"/>
      <c r="DXJ37" s="168"/>
      <c r="DXK37" s="168"/>
      <c r="DXL37" s="168"/>
      <c r="DXM37" s="168"/>
      <c r="DXN37" s="168"/>
      <c r="DXO37" s="168"/>
      <c r="DXP37" s="168"/>
      <c r="DXQ37" s="168"/>
      <c r="DXR37" s="168"/>
      <c r="DXS37" s="168"/>
      <c r="DXT37" s="168"/>
      <c r="DXU37" s="168"/>
      <c r="DXV37" s="168"/>
      <c r="DXW37" s="168"/>
      <c r="DXX37" s="168"/>
      <c r="DXY37" s="168"/>
      <c r="DXZ37" s="168"/>
      <c r="DYA37" s="168"/>
      <c r="DYB37" s="168"/>
      <c r="DYC37" s="168"/>
      <c r="DYD37" s="168"/>
      <c r="DYE37" s="168"/>
      <c r="DYF37" s="168"/>
      <c r="DYG37" s="168"/>
      <c r="DYH37" s="168"/>
      <c r="DYI37" s="168"/>
      <c r="DYJ37" s="168"/>
      <c r="DYK37" s="168"/>
      <c r="DYL37" s="168"/>
      <c r="DYM37" s="168"/>
      <c r="DYN37" s="168"/>
      <c r="DYO37" s="168"/>
      <c r="DYP37" s="168"/>
      <c r="DYQ37" s="168"/>
      <c r="DYR37" s="168"/>
      <c r="DYS37" s="168"/>
      <c r="DYT37" s="168"/>
      <c r="DYU37" s="168"/>
      <c r="DYV37" s="168"/>
      <c r="DYW37" s="168"/>
      <c r="DYX37" s="168"/>
      <c r="DYY37" s="168"/>
      <c r="DYZ37" s="168"/>
      <c r="DZA37" s="168"/>
      <c r="DZB37" s="168"/>
      <c r="DZC37" s="168"/>
      <c r="DZD37" s="168"/>
      <c r="DZE37" s="168"/>
      <c r="DZF37" s="168"/>
      <c r="DZG37" s="168"/>
      <c r="DZH37" s="168"/>
      <c r="DZI37" s="168"/>
      <c r="DZJ37" s="168"/>
      <c r="DZK37" s="168"/>
      <c r="DZL37" s="168"/>
      <c r="DZM37" s="168"/>
      <c r="DZN37" s="168"/>
      <c r="DZO37" s="168"/>
      <c r="DZP37" s="168"/>
      <c r="DZQ37" s="168"/>
      <c r="DZR37" s="168"/>
      <c r="DZS37" s="168"/>
      <c r="DZT37" s="168"/>
      <c r="DZU37" s="168"/>
      <c r="DZV37" s="168"/>
      <c r="DZW37" s="168"/>
      <c r="DZX37" s="168"/>
      <c r="DZY37" s="168"/>
      <c r="DZZ37" s="168"/>
      <c r="EAA37" s="168"/>
      <c r="EAB37" s="168"/>
      <c r="EAC37" s="168"/>
      <c r="EAD37" s="168"/>
      <c r="EAE37" s="168"/>
      <c r="EAF37" s="168"/>
      <c r="EAG37" s="168"/>
      <c r="EAH37" s="168"/>
      <c r="EAI37" s="168"/>
      <c r="EAJ37" s="168"/>
      <c r="EAK37" s="168"/>
      <c r="EAL37" s="168"/>
      <c r="EAM37" s="168"/>
      <c r="EAN37" s="168"/>
      <c r="EAO37" s="168"/>
      <c r="EAP37" s="168"/>
      <c r="EAQ37" s="168"/>
      <c r="EAR37" s="168"/>
      <c r="EAS37" s="168"/>
      <c r="EAT37" s="168"/>
      <c r="EAU37" s="168"/>
      <c r="EAV37" s="168"/>
      <c r="EAW37" s="168"/>
      <c r="EAX37" s="168"/>
      <c r="EAY37" s="168"/>
      <c r="EAZ37" s="168"/>
      <c r="EBA37" s="168"/>
      <c r="EBB37" s="168"/>
      <c r="EBC37" s="168"/>
      <c r="EBD37" s="168"/>
      <c r="EBE37" s="168"/>
      <c r="EBF37" s="168"/>
      <c r="EBG37" s="168"/>
      <c r="EBH37" s="168"/>
      <c r="EBI37" s="168"/>
      <c r="EBJ37" s="168"/>
      <c r="EBK37" s="168"/>
      <c r="EBL37" s="168"/>
      <c r="EBM37" s="168"/>
      <c r="EBN37" s="168"/>
      <c r="EBO37" s="168"/>
      <c r="EBP37" s="168"/>
      <c r="EBQ37" s="168"/>
      <c r="EBR37" s="168"/>
      <c r="EBS37" s="168"/>
      <c r="EBT37" s="168"/>
      <c r="EBU37" s="168"/>
      <c r="EBV37" s="168"/>
      <c r="EBW37" s="168"/>
      <c r="EBX37" s="168"/>
      <c r="EBY37" s="168"/>
      <c r="EBZ37" s="168"/>
      <c r="ECA37" s="168"/>
      <c r="ECB37" s="168"/>
      <c r="ECC37" s="168"/>
      <c r="ECD37" s="168"/>
      <c r="ECE37" s="168"/>
      <c r="ECF37" s="168"/>
      <c r="ECG37" s="168"/>
      <c r="ECH37" s="168"/>
      <c r="ECI37" s="168"/>
      <c r="ECJ37" s="168"/>
      <c r="ECK37" s="168"/>
      <c r="ECL37" s="168"/>
      <c r="ECM37" s="168"/>
      <c r="ECN37" s="168"/>
      <c r="ECO37" s="168"/>
      <c r="ECP37" s="168"/>
      <c r="ECQ37" s="168"/>
      <c r="ECR37" s="168"/>
      <c r="ECS37" s="168"/>
      <c r="ECT37" s="168"/>
      <c r="ECU37" s="168"/>
      <c r="ECV37" s="168"/>
      <c r="ECW37" s="168"/>
      <c r="ECX37" s="168"/>
      <c r="ECY37" s="168"/>
      <c r="ECZ37" s="168"/>
      <c r="EDA37" s="168"/>
      <c r="EDB37" s="168"/>
      <c r="EDC37" s="168"/>
      <c r="EDD37" s="168"/>
      <c r="EDE37" s="168"/>
      <c r="EDF37" s="168"/>
      <c r="EDG37" s="168"/>
      <c r="EDH37" s="168"/>
      <c r="EDI37" s="168"/>
      <c r="EDJ37" s="168"/>
      <c r="EDK37" s="168"/>
      <c r="EDL37" s="168"/>
      <c r="EDM37" s="168"/>
      <c r="EDN37" s="168"/>
      <c r="EDO37" s="168"/>
      <c r="EDP37" s="168"/>
      <c r="EDQ37" s="168"/>
      <c r="EDR37" s="168"/>
      <c r="EDS37" s="168"/>
      <c r="EDT37" s="168"/>
      <c r="EDU37" s="168"/>
      <c r="EDV37" s="168"/>
      <c r="EDW37" s="168"/>
      <c r="EDX37" s="168"/>
      <c r="EDY37" s="168"/>
      <c r="EDZ37" s="168"/>
      <c r="EEA37" s="168"/>
      <c r="EEB37" s="168"/>
      <c r="EEC37" s="168"/>
      <c r="EED37" s="168"/>
      <c r="EEE37" s="168"/>
      <c r="EEF37" s="168"/>
      <c r="EEG37" s="168"/>
      <c r="EEH37" s="168"/>
      <c r="EEI37" s="168"/>
      <c r="EEJ37" s="168"/>
      <c r="EEK37" s="168"/>
      <c r="EEL37" s="168"/>
      <c r="EEM37" s="168"/>
      <c r="EEN37" s="168"/>
      <c r="EEO37" s="168"/>
      <c r="EEP37" s="168"/>
      <c r="EEQ37" s="168"/>
      <c r="EER37" s="168"/>
      <c r="EES37" s="168"/>
      <c r="EET37" s="168"/>
      <c r="EEU37" s="168"/>
      <c r="EEV37" s="168"/>
      <c r="EEW37" s="168"/>
      <c r="EEX37" s="168"/>
      <c r="EEY37" s="168"/>
      <c r="EEZ37" s="168"/>
      <c r="EFA37" s="168"/>
      <c r="EFB37" s="168"/>
      <c r="EFC37" s="168"/>
      <c r="EFD37" s="168"/>
      <c r="EFE37" s="168"/>
      <c r="EFF37" s="168"/>
      <c r="EFG37" s="168"/>
      <c r="EFH37" s="168"/>
      <c r="EFI37" s="168"/>
      <c r="EFJ37" s="168"/>
      <c r="EFK37" s="168"/>
      <c r="EFL37" s="168"/>
      <c r="EFM37" s="168"/>
      <c r="EFN37" s="168"/>
      <c r="EFO37" s="168"/>
      <c r="EFP37" s="168"/>
      <c r="EFQ37" s="168"/>
      <c r="EFR37" s="168"/>
      <c r="EFS37" s="168"/>
      <c r="EFT37" s="168"/>
      <c r="EFU37" s="168"/>
      <c r="EFV37" s="168"/>
      <c r="EFW37" s="168"/>
      <c r="EFX37" s="168"/>
      <c r="EFY37" s="168"/>
      <c r="EFZ37" s="168"/>
      <c r="EGA37" s="168"/>
      <c r="EGB37" s="168"/>
      <c r="EGC37" s="168"/>
      <c r="EGD37" s="168"/>
      <c r="EGE37" s="168"/>
      <c r="EGF37" s="168"/>
      <c r="EGG37" s="168"/>
      <c r="EGH37" s="168"/>
      <c r="EGI37" s="168"/>
      <c r="EGJ37" s="168"/>
      <c r="EGK37" s="168"/>
      <c r="EGL37" s="168"/>
      <c r="EGM37" s="168"/>
      <c r="EGN37" s="168"/>
      <c r="EGO37" s="168"/>
      <c r="EGP37" s="168"/>
      <c r="EGQ37" s="168"/>
      <c r="EGR37" s="168"/>
      <c r="EGS37" s="168"/>
      <c r="EGT37" s="168"/>
      <c r="EGU37" s="168"/>
      <c r="EGV37" s="168"/>
      <c r="EGW37" s="168"/>
      <c r="EGX37" s="168"/>
      <c r="EGY37" s="168"/>
      <c r="EGZ37" s="168"/>
      <c r="EHA37" s="168"/>
      <c r="EHB37" s="168"/>
      <c r="EHC37" s="168"/>
      <c r="EHD37" s="168"/>
      <c r="EHE37" s="168"/>
      <c r="EHF37" s="168"/>
      <c r="EHG37" s="168"/>
      <c r="EHH37" s="168"/>
      <c r="EHI37" s="168"/>
      <c r="EHJ37" s="168"/>
      <c r="EHK37" s="168"/>
      <c r="EHL37" s="168"/>
      <c r="EHM37" s="168"/>
      <c r="EHN37" s="168"/>
      <c r="EHO37" s="168"/>
      <c r="EHP37" s="168"/>
      <c r="EHQ37" s="168"/>
      <c r="EHR37" s="168"/>
      <c r="EHS37" s="168"/>
      <c r="EHT37" s="168"/>
      <c r="EHU37" s="168"/>
      <c r="EHV37" s="168"/>
      <c r="EHW37" s="168"/>
      <c r="EHX37" s="168"/>
      <c r="EHY37" s="168"/>
      <c r="EHZ37" s="168"/>
      <c r="EIA37" s="168"/>
      <c r="EIB37" s="168"/>
      <c r="EIC37" s="168"/>
      <c r="EID37" s="168"/>
      <c r="EIE37" s="168"/>
      <c r="EIF37" s="168"/>
      <c r="EIG37" s="168"/>
      <c r="EIH37" s="168"/>
      <c r="EII37" s="168"/>
      <c r="EIJ37" s="168"/>
      <c r="EIK37" s="168"/>
      <c r="EIL37" s="168"/>
      <c r="EIM37" s="168"/>
      <c r="EIN37" s="168"/>
      <c r="EIO37" s="168"/>
      <c r="EIP37" s="168"/>
      <c r="EIQ37" s="168"/>
      <c r="EIR37" s="168"/>
      <c r="EIS37" s="168"/>
      <c r="EIT37" s="168"/>
      <c r="EIU37" s="168"/>
      <c r="EIV37" s="168"/>
      <c r="EIW37" s="168"/>
      <c r="EIX37" s="168"/>
      <c r="EIY37" s="168"/>
      <c r="EIZ37" s="168"/>
      <c r="EJA37" s="168"/>
      <c r="EJB37" s="168"/>
      <c r="EJC37" s="168"/>
      <c r="EJD37" s="168"/>
      <c r="EJE37" s="168"/>
      <c r="EJF37" s="168"/>
      <c r="EJG37" s="168"/>
      <c r="EJH37" s="168"/>
      <c r="EJI37" s="168"/>
      <c r="EJJ37" s="168"/>
      <c r="EJK37" s="168"/>
      <c r="EJL37" s="168"/>
      <c r="EJM37" s="168"/>
      <c r="EJN37" s="168"/>
      <c r="EJO37" s="168"/>
      <c r="EJP37" s="168"/>
      <c r="EJQ37" s="168"/>
      <c r="EJR37" s="168"/>
      <c r="EJS37" s="168"/>
      <c r="EJT37" s="168"/>
      <c r="EJU37" s="168"/>
      <c r="EJV37" s="168"/>
      <c r="EJW37" s="168"/>
      <c r="EJX37" s="168"/>
      <c r="EJY37" s="168"/>
      <c r="EJZ37" s="168"/>
      <c r="EKA37" s="168"/>
      <c r="EKB37" s="168"/>
      <c r="EKC37" s="168"/>
      <c r="EKD37" s="168"/>
      <c r="EKE37" s="168"/>
      <c r="EKF37" s="168"/>
      <c r="EKG37" s="168"/>
      <c r="EKH37" s="168"/>
      <c r="EKI37" s="168"/>
      <c r="EKJ37" s="168"/>
      <c r="EKK37" s="168"/>
      <c r="EKL37" s="168"/>
      <c r="EKM37" s="168"/>
      <c r="EKN37" s="168"/>
      <c r="EKO37" s="168"/>
      <c r="EKP37" s="168"/>
      <c r="EKQ37" s="168"/>
      <c r="EKR37" s="168"/>
      <c r="EKS37" s="168"/>
      <c r="EKT37" s="168"/>
      <c r="EKU37" s="168"/>
      <c r="EKV37" s="168"/>
      <c r="EKW37" s="168"/>
      <c r="EKX37" s="168"/>
      <c r="EKY37" s="168"/>
      <c r="EKZ37" s="168"/>
      <c r="ELA37" s="168"/>
      <c r="ELB37" s="168"/>
      <c r="ELC37" s="168"/>
      <c r="ELD37" s="168"/>
      <c r="ELE37" s="168"/>
      <c r="ELF37" s="168"/>
      <c r="ELG37" s="168"/>
      <c r="ELH37" s="168"/>
      <c r="ELI37" s="168"/>
      <c r="ELJ37" s="168"/>
      <c r="ELK37" s="168"/>
      <c r="ELL37" s="168"/>
      <c r="ELM37" s="168"/>
      <c r="ELN37" s="168"/>
      <c r="ELO37" s="168"/>
      <c r="ELP37" s="168"/>
      <c r="ELQ37" s="168"/>
      <c r="ELR37" s="168"/>
      <c r="ELS37" s="168"/>
      <c r="ELT37" s="168"/>
      <c r="ELU37" s="168"/>
      <c r="ELV37" s="168"/>
      <c r="ELW37" s="168"/>
      <c r="ELX37" s="168"/>
      <c r="ELY37" s="168"/>
      <c r="ELZ37" s="168"/>
      <c r="EMA37" s="168"/>
      <c r="EMB37" s="168"/>
      <c r="EMC37" s="168"/>
      <c r="EMD37" s="168"/>
      <c r="EME37" s="168"/>
      <c r="EMF37" s="168"/>
      <c r="EMG37" s="168"/>
      <c r="EMH37" s="168"/>
      <c r="EMI37" s="168"/>
      <c r="EMJ37" s="168"/>
      <c r="EMK37" s="168"/>
      <c r="EML37" s="168"/>
      <c r="EMM37" s="168"/>
      <c r="EMN37" s="168"/>
      <c r="EMO37" s="168"/>
      <c r="EMP37" s="168"/>
      <c r="EMQ37" s="168"/>
      <c r="EMR37" s="168"/>
      <c r="EMS37" s="168"/>
      <c r="EMT37" s="168"/>
      <c r="EMU37" s="168"/>
      <c r="EMV37" s="168"/>
      <c r="EMW37" s="168"/>
      <c r="EMX37" s="168"/>
      <c r="EMY37" s="168"/>
      <c r="EMZ37" s="168"/>
      <c r="ENA37" s="168"/>
      <c r="ENB37" s="168"/>
      <c r="ENC37" s="168"/>
      <c r="END37" s="168"/>
      <c r="ENE37" s="168"/>
      <c r="ENF37" s="168"/>
      <c r="ENG37" s="168"/>
      <c r="ENH37" s="168"/>
      <c r="ENI37" s="168"/>
      <c r="ENJ37" s="168"/>
      <c r="ENK37" s="168"/>
      <c r="ENL37" s="168"/>
      <c r="ENM37" s="168"/>
      <c r="ENN37" s="168"/>
      <c r="ENO37" s="168"/>
      <c r="ENP37" s="168"/>
      <c r="ENQ37" s="168"/>
      <c r="ENR37" s="168"/>
      <c r="ENS37" s="168"/>
      <c r="ENT37" s="168"/>
      <c r="ENU37" s="168"/>
      <c r="ENV37" s="168"/>
      <c r="ENW37" s="168"/>
      <c r="ENX37" s="168"/>
      <c r="ENY37" s="168"/>
      <c r="ENZ37" s="168"/>
      <c r="EOA37" s="168"/>
      <c r="EOB37" s="168"/>
      <c r="EOC37" s="168"/>
      <c r="EOD37" s="168"/>
      <c r="EOE37" s="168"/>
      <c r="EOF37" s="168"/>
      <c r="EOG37" s="168"/>
      <c r="EOH37" s="168"/>
      <c r="EOI37" s="168"/>
      <c r="EOJ37" s="168"/>
      <c r="EOK37" s="168"/>
      <c r="EOL37" s="168"/>
      <c r="EOM37" s="168"/>
      <c r="EON37" s="168"/>
      <c r="EOO37" s="168"/>
      <c r="EOP37" s="168"/>
      <c r="EOQ37" s="168"/>
      <c r="EOR37" s="168"/>
      <c r="EOS37" s="168"/>
      <c r="EOT37" s="168"/>
      <c r="EOU37" s="168"/>
      <c r="EOV37" s="168"/>
      <c r="EOW37" s="168"/>
      <c r="EOX37" s="168"/>
      <c r="EOY37" s="168"/>
      <c r="EOZ37" s="168"/>
      <c r="EPA37" s="168"/>
      <c r="EPB37" s="168"/>
      <c r="EPC37" s="168"/>
      <c r="EPD37" s="168"/>
      <c r="EPE37" s="168"/>
      <c r="EPF37" s="168"/>
      <c r="EPG37" s="168"/>
      <c r="EPH37" s="168"/>
      <c r="EPI37" s="168"/>
      <c r="EPJ37" s="168"/>
      <c r="EPK37" s="168"/>
      <c r="EPL37" s="168"/>
      <c r="EPM37" s="168"/>
      <c r="EPN37" s="168"/>
      <c r="EPO37" s="168"/>
      <c r="EPP37" s="168"/>
      <c r="EPQ37" s="168"/>
      <c r="EPR37" s="168"/>
      <c r="EPS37" s="168"/>
      <c r="EPT37" s="168"/>
      <c r="EPU37" s="168"/>
      <c r="EPV37" s="168"/>
      <c r="EPW37" s="168"/>
      <c r="EPX37" s="168"/>
      <c r="EPY37" s="168"/>
      <c r="EPZ37" s="168"/>
      <c r="EQA37" s="168"/>
      <c r="EQB37" s="168"/>
      <c r="EQC37" s="168"/>
      <c r="EQD37" s="168"/>
      <c r="EQE37" s="168"/>
      <c r="EQF37" s="168"/>
      <c r="EQG37" s="168"/>
      <c r="EQH37" s="168"/>
      <c r="EQI37" s="168"/>
      <c r="EQJ37" s="168"/>
      <c r="EQK37" s="168"/>
      <c r="EQL37" s="168"/>
      <c r="EQM37" s="168"/>
      <c r="EQN37" s="168"/>
      <c r="EQO37" s="168"/>
      <c r="EQP37" s="168"/>
      <c r="EQQ37" s="168"/>
      <c r="EQR37" s="168"/>
      <c r="EQS37" s="168"/>
      <c r="EQT37" s="168"/>
      <c r="EQU37" s="168"/>
      <c r="EQV37" s="168"/>
      <c r="EQW37" s="168"/>
      <c r="EQX37" s="168"/>
      <c r="EQY37" s="168"/>
      <c r="EQZ37" s="168"/>
      <c r="ERA37" s="168"/>
      <c r="ERB37" s="168"/>
      <c r="ERC37" s="168"/>
      <c r="ERD37" s="168"/>
      <c r="ERE37" s="168"/>
      <c r="ERF37" s="168"/>
      <c r="ERG37" s="168"/>
      <c r="ERH37" s="168"/>
      <c r="ERI37" s="168"/>
      <c r="ERJ37" s="168"/>
      <c r="ERK37" s="168"/>
      <c r="ERL37" s="168"/>
      <c r="ERM37" s="168"/>
      <c r="ERN37" s="168"/>
      <c r="ERO37" s="168"/>
      <c r="ERP37" s="168"/>
      <c r="ERQ37" s="168"/>
      <c r="ERR37" s="168"/>
      <c r="ERS37" s="168"/>
      <c r="ERT37" s="168"/>
      <c r="ERU37" s="168"/>
      <c r="ERV37" s="168"/>
      <c r="ERW37" s="168"/>
      <c r="ERX37" s="168"/>
      <c r="ERY37" s="168"/>
      <c r="ERZ37" s="168"/>
      <c r="ESA37" s="168"/>
      <c r="ESB37" s="168"/>
      <c r="ESC37" s="168"/>
      <c r="ESD37" s="168"/>
      <c r="ESE37" s="168"/>
      <c r="ESF37" s="168"/>
      <c r="ESG37" s="168"/>
      <c r="ESH37" s="168"/>
      <c r="ESI37" s="168"/>
      <c r="ESJ37" s="168"/>
      <c r="ESK37" s="168"/>
      <c r="ESL37" s="168"/>
      <c r="ESM37" s="168"/>
      <c r="ESN37" s="168"/>
      <c r="ESO37" s="168"/>
      <c r="ESP37" s="168"/>
      <c r="ESQ37" s="168"/>
      <c r="ESR37" s="168"/>
      <c r="ESS37" s="168"/>
      <c r="EST37" s="168"/>
      <c r="ESU37" s="168"/>
      <c r="ESV37" s="168"/>
      <c r="ESW37" s="168"/>
      <c r="ESX37" s="168"/>
      <c r="ESY37" s="168"/>
      <c r="ESZ37" s="168"/>
      <c r="ETA37" s="168"/>
      <c r="ETB37" s="168"/>
      <c r="ETC37" s="168"/>
      <c r="ETD37" s="168"/>
      <c r="ETE37" s="168"/>
      <c r="ETF37" s="168"/>
      <c r="ETG37" s="168"/>
      <c r="ETH37" s="168"/>
      <c r="ETI37" s="168"/>
      <c r="ETJ37" s="168"/>
      <c r="ETK37" s="168"/>
      <c r="ETL37" s="168"/>
      <c r="ETM37" s="168"/>
      <c r="ETN37" s="168"/>
      <c r="ETO37" s="168"/>
      <c r="ETP37" s="168"/>
      <c r="ETQ37" s="168"/>
      <c r="ETR37" s="168"/>
      <c r="ETS37" s="168"/>
      <c r="ETT37" s="168"/>
      <c r="ETU37" s="168"/>
      <c r="ETV37" s="168"/>
      <c r="ETW37" s="168"/>
      <c r="ETX37" s="168"/>
      <c r="ETY37" s="168"/>
      <c r="ETZ37" s="168"/>
      <c r="EUA37" s="168"/>
      <c r="EUB37" s="168"/>
      <c r="EUC37" s="168"/>
      <c r="EUD37" s="168"/>
      <c r="EUE37" s="168"/>
      <c r="EUF37" s="168"/>
      <c r="EUG37" s="168"/>
      <c r="EUH37" s="168"/>
      <c r="EUI37" s="168"/>
      <c r="EUJ37" s="168"/>
      <c r="EUK37" s="168"/>
      <c r="EUL37" s="168"/>
      <c r="EUM37" s="168"/>
      <c r="EUN37" s="168"/>
      <c r="EUO37" s="168"/>
      <c r="EUP37" s="168"/>
      <c r="EUQ37" s="168"/>
      <c r="EUR37" s="168"/>
      <c r="EUS37" s="168"/>
      <c r="EUT37" s="168"/>
      <c r="EUU37" s="168"/>
      <c r="EUV37" s="168"/>
      <c r="EUW37" s="168"/>
      <c r="EUX37" s="168"/>
      <c r="EUY37" s="168"/>
      <c r="EUZ37" s="168"/>
      <c r="EVA37" s="168"/>
      <c r="EVB37" s="168"/>
      <c r="EVC37" s="168"/>
      <c r="EVD37" s="168"/>
      <c r="EVE37" s="168"/>
      <c r="EVF37" s="168"/>
      <c r="EVG37" s="168"/>
      <c r="EVH37" s="168"/>
      <c r="EVI37" s="168"/>
      <c r="EVJ37" s="168"/>
      <c r="EVK37" s="168"/>
      <c r="EVL37" s="168"/>
      <c r="EVM37" s="168"/>
      <c r="EVN37" s="168"/>
      <c r="EVO37" s="168"/>
      <c r="EVP37" s="168"/>
      <c r="EVQ37" s="168"/>
      <c r="EVR37" s="168"/>
      <c r="EVS37" s="168"/>
      <c r="EVT37" s="168"/>
      <c r="EVU37" s="168"/>
      <c r="EVV37" s="168"/>
      <c r="EVW37" s="168"/>
      <c r="EVX37" s="168"/>
      <c r="EVY37" s="168"/>
      <c r="EVZ37" s="168"/>
      <c r="EWA37" s="168"/>
      <c r="EWB37" s="168"/>
      <c r="EWC37" s="168"/>
      <c r="EWD37" s="168"/>
      <c r="EWE37" s="168"/>
      <c r="EWF37" s="168"/>
      <c r="EWG37" s="168"/>
      <c r="EWH37" s="168"/>
      <c r="EWI37" s="168"/>
      <c r="EWJ37" s="168"/>
      <c r="EWK37" s="168"/>
      <c r="EWL37" s="168"/>
      <c r="EWM37" s="168"/>
      <c r="EWN37" s="168"/>
      <c r="EWO37" s="168"/>
      <c r="EWP37" s="168"/>
      <c r="EWQ37" s="168"/>
      <c r="EWR37" s="168"/>
      <c r="EWS37" s="168"/>
      <c r="EWT37" s="168"/>
      <c r="EWU37" s="168"/>
      <c r="EWV37" s="168"/>
      <c r="EWW37" s="168"/>
      <c r="EWX37" s="168"/>
      <c r="EWY37" s="168"/>
      <c r="EWZ37" s="168"/>
      <c r="EXA37" s="168"/>
      <c r="EXB37" s="168"/>
      <c r="EXC37" s="168"/>
      <c r="EXD37" s="168"/>
      <c r="EXE37" s="168"/>
      <c r="EXF37" s="168"/>
      <c r="EXG37" s="168"/>
      <c r="EXH37" s="168"/>
      <c r="EXI37" s="168"/>
      <c r="EXJ37" s="168"/>
      <c r="EXK37" s="168"/>
      <c r="EXL37" s="168"/>
      <c r="EXM37" s="168"/>
      <c r="EXN37" s="168"/>
      <c r="EXO37" s="168"/>
      <c r="EXP37" s="168"/>
      <c r="EXQ37" s="168"/>
      <c r="EXR37" s="168"/>
      <c r="EXS37" s="168"/>
      <c r="EXT37" s="168"/>
      <c r="EXU37" s="168"/>
      <c r="EXV37" s="168"/>
      <c r="EXW37" s="168"/>
      <c r="EXX37" s="168"/>
      <c r="EXY37" s="168"/>
      <c r="EXZ37" s="168"/>
      <c r="EYA37" s="168"/>
      <c r="EYB37" s="168"/>
      <c r="EYC37" s="168"/>
      <c r="EYD37" s="168"/>
      <c r="EYE37" s="168"/>
      <c r="EYF37" s="168"/>
      <c r="EYG37" s="168"/>
      <c r="EYH37" s="168"/>
      <c r="EYI37" s="168"/>
      <c r="EYJ37" s="168"/>
      <c r="EYK37" s="168"/>
      <c r="EYL37" s="168"/>
      <c r="EYM37" s="168"/>
      <c r="EYN37" s="168"/>
      <c r="EYO37" s="168"/>
      <c r="EYP37" s="168"/>
      <c r="EYQ37" s="168"/>
      <c r="EYR37" s="168"/>
      <c r="EYS37" s="168"/>
      <c r="EYT37" s="168"/>
      <c r="EYU37" s="168"/>
      <c r="EYV37" s="168"/>
      <c r="EYW37" s="168"/>
      <c r="EYX37" s="168"/>
      <c r="EYY37" s="168"/>
      <c r="EYZ37" s="168"/>
      <c r="EZA37" s="168"/>
      <c r="EZB37" s="168"/>
      <c r="EZC37" s="168"/>
      <c r="EZD37" s="168"/>
      <c r="EZE37" s="168"/>
      <c r="EZF37" s="168"/>
      <c r="EZG37" s="168"/>
      <c r="EZH37" s="168"/>
      <c r="EZI37" s="168"/>
      <c r="EZJ37" s="168"/>
      <c r="EZK37" s="168"/>
      <c r="EZL37" s="168"/>
      <c r="EZM37" s="168"/>
      <c r="EZN37" s="168"/>
      <c r="EZO37" s="168"/>
      <c r="EZP37" s="168"/>
      <c r="EZQ37" s="168"/>
      <c r="EZR37" s="168"/>
      <c r="EZS37" s="168"/>
      <c r="EZT37" s="168"/>
      <c r="EZU37" s="168"/>
      <c r="EZV37" s="168"/>
      <c r="EZW37" s="168"/>
      <c r="EZX37" s="168"/>
      <c r="EZY37" s="168"/>
      <c r="EZZ37" s="168"/>
      <c r="FAA37" s="168"/>
      <c r="FAB37" s="168"/>
      <c r="FAC37" s="168"/>
      <c r="FAD37" s="168"/>
      <c r="FAE37" s="168"/>
      <c r="FAF37" s="168"/>
      <c r="FAG37" s="168"/>
      <c r="FAH37" s="168"/>
      <c r="FAI37" s="168"/>
      <c r="FAJ37" s="168"/>
      <c r="FAK37" s="168"/>
      <c r="FAL37" s="168"/>
      <c r="FAM37" s="168"/>
      <c r="FAN37" s="168"/>
      <c r="FAO37" s="168"/>
      <c r="FAP37" s="168"/>
      <c r="FAQ37" s="168"/>
      <c r="FAR37" s="168"/>
      <c r="FAS37" s="168"/>
      <c r="FAT37" s="168"/>
      <c r="FAU37" s="168"/>
      <c r="FAV37" s="168"/>
      <c r="FAW37" s="168"/>
      <c r="FAX37" s="168"/>
      <c r="FAY37" s="168"/>
      <c r="FAZ37" s="168"/>
      <c r="FBA37" s="168"/>
      <c r="FBB37" s="168"/>
      <c r="FBC37" s="168"/>
      <c r="FBD37" s="168"/>
      <c r="FBE37" s="168"/>
      <c r="FBF37" s="168"/>
      <c r="FBG37" s="168"/>
      <c r="FBH37" s="168"/>
      <c r="FBI37" s="168"/>
      <c r="FBJ37" s="168"/>
      <c r="FBK37" s="168"/>
      <c r="FBL37" s="168"/>
      <c r="FBM37" s="168"/>
      <c r="FBN37" s="168"/>
      <c r="FBO37" s="168"/>
      <c r="FBP37" s="168"/>
      <c r="FBQ37" s="168"/>
      <c r="FBR37" s="168"/>
      <c r="FBS37" s="168"/>
      <c r="FBT37" s="168"/>
      <c r="FBU37" s="168"/>
      <c r="FBV37" s="168"/>
      <c r="FBW37" s="168"/>
      <c r="FBX37" s="168"/>
      <c r="FBY37" s="168"/>
      <c r="FBZ37" s="168"/>
      <c r="FCA37" s="168"/>
      <c r="FCB37" s="168"/>
      <c r="FCC37" s="168"/>
      <c r="FCD37" s="168"/>
      <c r="FCE37" s="168"/>
      <c r="FCF37" s="168"/>
      <c r="FCG37" s="168"/>
      <c r="FCH37" s="168"/>
      <c r="FCI37" s="168"/>
      <c r="FCJ37" s="168"/>
      <c r="FCK37" s="168"/>
      <c r="FCL37" s="168"/>
      <c r="FCM37" s="168"/>
      <c r="FCN37" s="168"/>
      <c r="FCO37" s="168"/>
      <c r="FCP37" s="168"/>
      <c r="FCQ37" s="168"/>
      <c r="FCR37" s="168"/>
      <c r="FCS37" s="168"/>
      <c r="FCT37" s="168"/>
      <c r="FCU37" s="168"/>
      <c r="FCV37" s="168"/>
      <c r="FCW37" s="168"/>
      <c r="FCX37" s="168"/>
      <c r="FCY37" s="168"/>
      <c r="FCZ37" s="168"/>
      <c r="FDA37" s="168"/>
      <c r="FDB37" s="168"/>
      <c r="FDC37" s="168"/>
      <c r="FDD37" s="168"/>
      <c r="FDE37" s="168"/>
      <c r="FDF37" s="168"/>
      <c r="FDG37" s="168"/>
      <c r="FDH37" s="168"/>
      <c r="FDI37" s="168"/>
      <c r="FDJ37" s="168"/>
      <c r="FDK37" s="168"/>
      <c r="FDL37" s="168"/>
      <c r="FDM37" s="168"/>
      <c r="FDN37" s="168"/>
      <c r="FDO37" s="168"/>
      <c r="FDP37" s="168"/>
      <c r="FDQ37" s="168"/>
      <c r="FDR37" s="168"/>
      <c r="FDS37" s="168"/>
      <c r="FDT37" s="168"/>
      <c r="FDU37" s="168"/>
      <c r="FDV37" s="168"/>
      <c r="FDW37" s="168"/>
      <c r="FDX37" s="168"/>
      <c r="FDY37" s="168"/>
      <c r="FDZ37" s="168"/>
      <c r="FEA37" s="168"/>
      <c r="FEB37" s="168"/>
      <c r="FEC37" s="168"/>
      <c r="FED37" s="168"/>
      <c r="FEE37" s="168"/>
      <c r="FEF37" s="168"/>
      <c r="FEG37" s="168"/>
      <c r="FEH37" s="168"/>
      <c r="FEI37" s="168"/>
      <c r="FEJ37" s="168"/>
      <c r="FEK37" s="168"/>
      <c r="FEL37" s="168"/>
      <c r="FEM37" s="168"/>
      <c r="FEN37" s="168"/>
      <c r="FEO37" s="168"/>
      <c r="FEP37" s="168"/>
      <c r="FEQ37" s="168"/>
      <c r="FER37" s="168"/>
      <c r="FES37" s="168"/>
      <c r="FET37" s="168"/>
      <c r="FEU37" s="168"/>
      <c r="FEV37" s="168"/>
      <c r="FEW37" s="168"/>
      <c r="FEX37" s="168"/>
      <c r="FEY37" s="168"/>
      <c r="FEZ37" s="168"/>
      <c r="FFA37" s="168"/>
      <c r="FFB37" s="168"/>
      <c r="FFC37" s="168"/>
      <c r="FFD37" s="168"/>
      <c r="FFE37" s="168"/>
      <c r="FFF37" s="168"/>
      <c r="FFG37" s="168"/>
      <c r="FFH37" s="168"/>
      <c r="FFI37" s="168"/>
      <c r="FFJ37" s="168"/>
      <c r="FFK37" s="168"/>
      <c r="FFL37" s="168"/>
      <c r="FFM37" s="168"/>
      <c r="FFN37" s="168"/>
      <c r="FFO37" s="168"/>
      <c r="FFP37" s="168"/>
      <c r="FFQ37" s="168"/>
      <c r="FFR37" s="168"/>
      <c r="FFS37" s="168"/>
      <c r="FFT37" s="168"/>
      <c r="FFU37" s="168"/>
      <c r="FFV37" s="168"/>
      <c r="FFW37" s="168"/>
      <c r="FFX37" s="168"/>
      <c r="FFY37" s="168"/>
      <c r="FFZ37" s="168"/>
      <c r="FGA37" s="168"/>
      <c r="FGB37" s="168"/>
      <c r="FGC37" s="168"/>
      <c r="FGD37" s="168"/>
      <c r="FGE37" s="168"/>
      <c r="FGF37" s="168"/>
      <c r="FGG37" s="168"/>
      <c r="FGH37" s="168"/>
      <c r="FGI37" s="168"/>
      <c r="FGJ37" s="168"/>
      <c r="FGK37" s="168"/>
      <c r="FGL37" s="168"/>
      <c r="FGM37" s="168"/>
      <c r="FGN37" s="168"/>
      <c r="FGO37" s="168"/>
      <c r="FGP37" s="168"/>
      <c r="FGQ37" s="168"/>
      <c r="FGR37" s="168"/>
      <c r="FGS37" s="168"/>
      <c r="FGT37" s="168"/>
      <c r="FGU37" s="168"/>
      <c r="FGV37" s="168"/>
      <c r="FGW37" s="168"/>
      <c r="FGX37" s="168"/>
      <c r="FGY37" s="168"/>
      <c r="FGZ37" s="168"/>
      <c r="FHA37" s="168"/>
      <c r="FHB37" s="168"/>
      <c r="FHC37" s="168"/>
      <c r="FHD37" s="168"/>
      <c r="FHE37" s="168"/>
      <c r="FHF37" s="168"/>
      <c r="FHG37" s="168"/>
      <c r="FHH37" s="168"/>
      <c r="FHI37" s="168"/>
      <c r="FHJ37" s="168"/>
      <c r="FHK37" s="168"/>
      <c r="FHL37" s="168"/>
      <c r="FHM37" s="168"/>
      <c r="FHN37" s="168"/>
      <c r="FHO37" s="168"/>
      <c r="FHP37" s="168"/>
      <c r="FHQ37" s="168"/>
      <c r="FHR37" s="168"/>
      <c r="FHS37" s="168"/>
      <c r="FHT37" s="168"/>
      <c r="FHU37" s="168"/>
      <c r="FHV37" s="168"/>
      <c r="FHW37" s="168"/>
      <c r="FHX37" s="168"/>
      <c r="FHY37" s="168"/>
      <c r="FHZ37" s="168"/>
      <c r="FIA37" s="168"/>
      <c r="FIB37" s="168"/>
      <c r="FIC37" s="168"/>
      <c r="FID37" s="168"/>
      <c r="FIE37" s="168"/>
      <c r="FIF37" s="168"/>
      <c r="FIG37" s="168"/>
      <c r="FIH37" s="168"/>
      <c r="FII37" s="168"/>
      <c r="FIJ37" s="168"/>
      <c r="FIK37" s="168"/>
      <c r="FIL37" s="168"/>
      <c r="FIM37" s="168"/>
      <c r="FIN37" s="168"/>
      <c r="FIO37" s="168"/>
      <c r="FIP37" s="168"/>
      <c r="FIQ37" s="168"/>
      <c r="FIR37" s="168"/>
      <c r="FIS37" s="168"/>
      <c r="FIT37" s="168"/>
      <c r="FIU37" s="168"/>
      <c r="FIV37" s="168"/>
      <c r="FIW37" s="168"/>
      <c r="FIX37" s="168"/>
      <c r="FIY37" s="168"/>
      <c r="FIZ37" s="168"/>
      <c r="FJA37" s="168"/>
      <c r="FJB37" s="168"/>
      <c r="FJC37" s="168"/>
      <c r="FJD37" s="168"/>
      <c r="FJE37" s="168"/>
      <c r="FJF37" s="168"/>
      <c r="FJG37" s="168"/>
      <c r="FJH37" s="168"/>
      <c r="FJI37" s="168"/>
      <c r="FJJ37" s="168"/>
      <c r="FJK37" s="168"/>
      <c r="FJL37" s="168"/>
      <c r="FJM37" s="168"/>
      <c r="FJN37" s="168"/>
      <c r="FJO37" s="168"/>
      <c r="FJP37" s="168"/>
      <c r="FJQ37" s="168"/>
      <c r="FJR37" s="168"/>
      <c r="FJS37" s="168"/>
      <c r="FJT37" s="168"/>
      <c r="FJU37" s="168"/>
      <c r="FJV37" s="168"/>
      <c r="FJW37" s="168"/>
      <c r="FJX37" s="168"/>
      <c r="FJY37" s="168"/>
      <c r="FJZ37" s="168"/>
      <c r="FKA37" s="168"/>
      <c r="FKB37" s="168"/>
      <c r="FKC37" s="168"/>
      <c r="FKD37" s="168"/>
      <c r="FKE37" s="168"/>
      <c r="FKF37" s="168"/>
      <c r="FKG37" s="168"/>
      <c r="FKH37" s="168"/>
      <c r="FKI37" s="168"/>
      <c r="FKJ37" s="168"/>
      <c r="FKK37" s="168"/>
      <c r="FKL37" s="168"/>
      <c r="FKM37" s="168"/>
      <c r="FKN37" s="168"/>
      <c r="FKO37" s="168"/>
      <c r="FKP37" s="168"/>
      <c r="FKQ37" s="168"/>
      <c r="FKR37" s="168"/>
      <c r="FKS37" s="168"/>
      <c r="FKT37" s="168"/>
      <c r="FKU37" s="168"/>
      <c r="FKV37" s="168"/>
      <c r="FKW37" s="168"/>
      <c r="FKX37" s="168"/>
      <c r="FKY37" s="168"/>
      <c r="FKZ37" s="168"/>
      <c r="FLA37" s="168"/>
      <c r="FLB37" s="168"/>
      <c r="FLC37" s="168"/>
      <c r="FLD37" s="168"/>
      <c r="FLE37" s="168"/>
      <c r="FLF37" s="168"/>
      <c r="FLG37" s="168"/>
      <c r="FLH37" s="168"/>
      <c r="FLI37" s="168"/>
      <c r="FLJ37" s="168"/>
      <c r="FLK37" s="168"/>
      <c r="FLL37" s="168"/>
      <c r="FLM37" s="168"/>
      <c r="FLN37" s="168"/>
      <c r="FLO37" s="168"/>
      <c r="FLP37" s="168"/>
      <c r="FLQ37" s="168"/>
      <c r="FLR37" s="168"/>
      <c r="FLS37" s="168"/>
      <c r="FLT37" s="168"/>
      <c r="FLU37" s="168"/>
      <c r="FLV37" s="168"/>
      <c r="FLW37" s="168"/>
      <c r="FLX37" s="168"/>
      <c r="FLY37" s="168"/>
      <c r="FLZ37" s="168"/>
      <c r="FMA37" s="168"/>
      <c r="FMB37" s="168"/>
      <c r="FMC37" s="168"/>
      <c r="FMD37" s="168"/>
      <c r="FME37" s="168"/>
      <c r="FMF37" s="168"/>
      <c r="FMG37" s="168"/>
      <c r="FMH37" s="168"/>
      <c r="FMI37" s="168"/>
      <c r="FMJ37" s="168"/>
      <c r="FMK37" s="168"/>
      <c r="FML37" s="168"/>
      <c r="FMM37" s="168"/>
      <c r="FMN37" s="168"/>
      <c r="FMO37" s="168"/>
      <c r="FMP37" s="168"/>
      <c r="FMQ37" s="168"/>
      <c r="FMR37" s="168"/>
      <c r="FMS37" s="168"/>
      <c r="FMT37" s="168"/>
      <c r="FMU37" s="168"/>
      <c r="FMV37" s="168"/>
      <c r="FMW37" s="168"/>
      <c r="FMX37" s="168"/>
      <c r="FMY37" s="168"/>
      <c r="FMZ37" s="168"/>
      <c r="FNA37" s="168"/>
      <c r="FNB37" s="168"/>
      <c r="FNC37" s="168"/>
      <c r="FND37" s="168"/>
      <c r="FNE37" s="168"/>
      <c r="FNF37" s="168"/>
      <c r="FNG37" s="168"/>
      <c r="FNH37" s="168"/>
      <c r="FNI37" s="168"/>
      <c r="FNJ37" s="168"/>
      <c r="FNK37" s="168"/>
      <c r="FNL37" s="168"/>
      <c r="FNM37" s="168"/>
      <c r="FNN37" s="168"/>
      <c r="FNO37" s="168"/>
      <c r="FNP37" s="168"/>
      <c r="FNQ37" s="168"/>
      <c r="FNR37" s="168"/>
      <c r="FNS37" s="168"/>
      <c r="FNT37" s="168"/>
      <c r="FNU37" s="168"/>
      <c r="FNV37" s="168"/>
      <c r="FNW37" s="168"/>
      <c r="FNX37" s="168"/>
      <c r="FNY37" s="168"/>
      <c r="FNZ37" s="168"/>
      <c r="FOA37" s="168"/>
      <c r="FOB37" s="168"/>
      <c r="FOC37" s="168"/>
      <c r="FOD37" s="168"/>
      <c r="FOE37" s="168"/>
      <c r="FOF37" s="168"/>
      <c r="FOG37" s="168"/>
      <c r="FOH37" s="168"/>
      <c r="FOI37" s="168"/>
      <c r="FOJ37" s="168"/>
      <c r="FOK37" s="168"/>
      <c r="FOL37" s="168"/>
      <c r="FOM37" s="168"/>
      <c r="FON37" s="168"/>
      <c r="FOO37" s="168"/>
      <c r="FOP37" s="168"/>
      <c r="FOQ37" s="168"/>
      <c r="FOR37" s="168"/>
      <c r="FOS37" s="168"/>
      <c r="FOT37" s="168"/>
      <c r="FOU37" s="168"/>
      <c r="FOV37" s="168"/>
      <c r="FOW37" s="168"/>
      <c r="FOX37" s="168"/>
      <c r="FOY37" s="168"/>
      <c r="FOZ37" s="168"/>
      <c r="FPA37" s="168"/>
      <c r="FPB37" s="168"/>
      <c r="FPC37" s="168"/>
      <c r="FPD37" s="168"/>
      <c r="FPE37" s="168"/>
      <c r="FPF37" s="168"/>
      <c r="FPG37" s="168"/>
      <c r="FPH37" s="168"/>
      <c r="FPI37" s="168"/>
      <c r="FPJ37" s="168"/>
      <c r="FPK37" s="168"/>
      <c r="FPL37" s="168"/>
      <c r="FPM37" s="168"/>
      <c r="FPN37" s="168"/>
      <c r="FPO37" s="168"/>
      <c r="FPP37" s="168"/>
      <c r="FPQ37" s="168"/>
      <c r="FPR37" s="168"/>
      <c r="FPS37" s="168"/>
      <c r="FPT37" s="168"/>
      <c r="FPU37" s="168"/>
      <c r="FPV37" s="168"/>
      <c r="FPW37" s="168"/>
      <c r="FPX37" s="168"/>
      <c r="FPY37" s="168"/>
      <c r="FPZ37" s="168"/>
      <c r="FQA37" s="168"/>
      <c r="FQB37" s="168"/>
      <c r="FQC37" s="168"/>
      <c r="FQD37" s="168"/>
      <c r="FQE37" s="168"/>
      <c r="FQF37" s="168"/>
      <c r="FQG37" s="168"/>
      <c r="FQH37" s="168"/>
      <c r="FQI37" s="168"/>
      <c r="FQJ37" s="168"/>
      <c r="FQK37" s="168"/>
      <c r="FQL37" s="168"/>
      <c r="FQM37" s="168"/>
      <c r="FQN37" s="168"/>
      <c r="FQO37" s="168"/>
      <c r="FQP37" s="168"/>
      <c r="FQQ37" s="168"/>
      <c r="FQR37" s="168"/>
      <c r="FQS37" s="168"/>
      <c r="FQT37" s="168"/>
      <c r="FQU37" s="168"/>
      <c r="FQV37" s="168"/>
      <c r="FQW37" s="168"/>
      <c r="FQX37" s="168"/>
      <c r="FQY37" s="168"/>
      <c r="FQZ37" s="168"/>
      <c r="FRA37" s="168"/>
      <c r="FRB37" s="168"/>
      <c r="FRC37" s="168"/>
      <c r="FRD37" s="168"/>
      <c r="FRE37" s="168"/>
      <c r="FRF37" s="168"/>
      <c r="FRG37" s="168"/>
      <c r="FRH37" s="168"/>
      <c r="FRI37" s="168"/>
      <c r="FRJ37" s="168"/>
      <c r="FRK37" s="168"/>
      <c r="FRL37" s="168"/>
      <c r="FRM37" s="168"/>
      <c r="FRN37" s="168"/>
      <c r="FRO37" s="168"/>
      <c r="FRP37" s="168"/>
      <c r="FRQ37" s="168"/>
      <c r="FRR37" s="168"/>
      <c r="FRS37" s="168"/>
      <c r="FRT37" s="168"/>
      <c r="FRU37" s="168"/>
      <c r="FRV37" s="168"/>
      <c r="FRW37" s="168"/>
      <c r="FRX37" s="168"/>
      <c r="FRY37" s="168"/>
      <c r="FRZ37" s="168"/>
      <c r="FSA37" s="168"/>
      <c r="FSB37" s="168"/>
      <c r="FSC37" s="168"/>
      <c r="FSD37" s="168"/>
      <c r="FSE37" s="168"/>
      <c r="FSF37" s="168"/>
      <c r="FSG37" s="168"/>
      <c r="FSH37" s="168"/>
      <c r="FSI37" s="168"/>
      <c r="FSJ37" s="168"/>
      <c r="FSK37" s="168"/>
      <c r="FSL37" s="168"/>
      <c r="FSM37" s="168"/>
      <c r="FSN37" s="168"/>
      <c r="FSO37" s="168"/>
      <c r="FSP37" s="168"/>
      <c r="FSQ37" s="168"/>
      <c r="FSR37" s="168"/>
      <c r="FSS37" s="168"/>
      <c r="FST37" s="168"/>
      <c r="FSU37" s="168"/>
      <c r="FSV37" s="168"/>
      <c r="FSW37" s="168"/>
      <c r="FSX37" s="168"/>
      <c r="FSY37" s="168"/>
      <c r="FSZ37" s="168"/>
      <c r="FTA37" s="168"/>
      <c r="FTB37" s="168"/>
      <c r="FTC37" s="168"/>
      <c r="FTD37" s="168"/>
      <c r="FTE37" s="168"/>
      <c r="FTF37" s="168"/>
      <c r="FTG37" s="168"/>
      <c r="FTH37" s="168"/>
      <c r="FTI37" s="168"/>
      <c r="FTJ37" s="168"/>
      <c r="FTK37" s="168"/>
      <c r="FTL37" s="168"/>
      <c r="FTM37" s="168"/>
      <c r="FTN37" s="168"/>
      <c r="FTO37" s="168"/>
      <c r="FTP37" s="168"/>
      <c r="FTQ37" s="168"/>
      <c r="FTR37" s="168"/>
      <c r="FTS37" s="168"/>
      <c r="FTT37" s="168"/>
      <c r="FTU37" s="168"/>
      <c r="FTV37" s="168"/>
      <c r="FTW37" s="168"/>
      <c r="FTX37" s="168"/>
      <c r="FTY37" s="168"/>
      <c r="FTZ37" s="168"/>
      <c r="FUA37" s="168"/>
      <c r="FUB37" s="168"/>
      <c r="FUC37" s="168"/>
      <c r="FUD37" s="168"/>
      <c r="FUE37" s="168"/>
      <c r="FUF37" s="168"/>
      <c r="FUG37" s="168"/>
      <c r="FUH37" s="168"/>
      <c r="FUI37" s="168"/>
      <c r="FUJ37" s="168"/>
      <c r="FUK37" s="168"/>
      <c r="FUL37" s="168"/>
      <c r="FUM37" s="168"/>
      <c r="FUN37" s="168"/>
      <c r="FUO37" s="168"/>
      <c r="FUP37" s="168"/>
      <c r="FUQ37" s="168"/>
      <c r="FUR37" s="168"/>
      <c r="FUS37" s="168"/>
      <c r="FUT37" s="168"/>
      <c r="FUU37" s="168"/>
      <c r="FUV37" s="168"/>
      <c r="FUW37" s="168"/>
      <c r="FUX37" s="168"/>
      <c r="FUY37" s="168"/>
      <c r="FUZ37" s="168"/>
      <c r="FVA37" s="168"/>
      <c r="FVB37" s="168"/>
      <c r="FVC37" s="168"/>
      <c r="FVD37" s="168"/>
      <c r="FVE37" s="168"/>
      <c r="FVF37" s="168"/>
      <c r="FVG37" s="168"/>
      <c r="FVH37" s="168"/>
      <c r="FVI37" s="168"/>
      <c r="FVJ37" s="168"/>
      <c r="FVK37" s="168"/>
      <c r="FVL37" s="168"/>
      <c r="FVM37" s="168"/>
      <c r="FVN37" s="168"/>
      <c r="FVO37" s="168"/>
      <c r="FVP37" s="168"/>
      <c r="FVQ37" s="168"/>
      <c r="FVR37" s="168"/>
      <c r="FVS37" s="168"/>
      <c r="FVT37" s="168"/>
      <c r="FVU37" s="168"/>
      <c r="FVV37" s="168"/>
      <c r="FVW37" s="168"/>
      <c r="FVX37" s="168"/>
      <c r="FVY37" s="168"/>
      <c r="FVZ37" s="168"/>
      <c r="FWA37" s="168"/>
      <c r="FWB37" s="168"/>
      <c r="FWC37" s="168"/>
      <c r="FWD37" s="168"/>
      <c r="FWE37" s="168"/>
      <c r="FWF37" s="168"/>
      <c r="FWG37" s="168"/>
      <c r="FWH37" s="168"/>
      <c r="FWI37" s="168"/>
      <c r="FWJ37" s="168"/>
      <c r="FWK37" s="168"/>
      <c r="FWL37" s="168"/>
      <c r="FWM37" s="168"/>
      <c r="FWN37" s="168"/>
      <c r="FWO37" s="168"/>
      <c r="FWP37" s="168"/>
      <c r="FWQ37" s="168"/>
      <c r="FWR37" s="168"/>
      <c r="FWS37" s="168"/>
      <c r="FWT37" s="168"/>
      <c r="FWU37" s="168"/>
      <c r="FWV37" s="168"/>
      <c r="FWW37" s="168"/>
      <c r="FWX37" s="168"/>
      <c r="FWY37" s="168"/>
      <c r="FWZ37" s="168"/>
      <c r="FXA37" s="168"/>
      <c r="FXB37" s="168"/>
      <c r="FXC37" s="168"/>
      <c r="FXD37" s="168"/>
      <c r="FXE37" s="168"/>
      <c r="FXF37" s="168"/>
      <c r="FXG37" s="168"/>
      <c r="FXH37" s="168"/>
      <c r="FXI37" s="168"/>
      <c r="FXJ37" s="168"/>
      <c r="FXK37" s="168"/>
      <c r="FXL37" s="168"/>
      <c r="FXM37" s="168"/>
      <c r="FXN37" s="168"/>
      <c r="FXO37" s="168"/>
      <c r="FXP37" s="168"/>
      <c r="FXQ37" s="168"/>
      <c r="FXR37" s="168"/>
      <c r="FXS37" s="168"/>
      <c r="FXT37" s="168"/>
      <c r="FXU37" s="168"/>
      <c r="FXV37" s="168"/>
      <c r="FXW37" s="168"/>
      <c r="FXX37" s="168"/>
      <c r="FXY37" s="168"/>
      <c r="FXZ37" s="168"/>
      <c r="FYA37" s="168"/>
      <c r="FYB37" s="168"/>
      <c r="FYC37" s="168"/>
      <c r="FYD37" s="168"/>
      <c r="FYE37" s="168"/>
      <c r="FYF37" s="168"/>
      <c r="FYG37" s="168"/>
      <c r="FYH37" s="168"/>
      <c r="FYI37" s="168"/>
      <c r="FYJ37" s="168"/>
      <c r="FYK37" s="168"/>
      <c r="FYL37" s="168"/>
      <c r="FYM37" s="168"/>
      <c r="FYN37" s="168"/>
      <c r="FYO37" s="168"/>
      <c r="FYP37" s="168"/>
      <c r="FYQ37" s="168"/>
      <c r="FYR37" s="168"/>
      <c r="FYS37" s="168"/>
      <c r="FYT37" s="168"/>
      <c r="FYU37" s="168"/>
      <c r="FYV37" s="168"/>
      <c r="FYW37" s="168"/>
      <c r="FYX37" s="168"/>
      <c r="FYY37" s="168"/>
      <c r="FYZ37" s="168"/>
      <c r="FZA37" s="168"/>
      <c r="FZB37" s="168"/>
      <c r="FZC37" s="168"/>
      <c r="FZD37" s="168"/>
      <c r="FZE37" s="168"/>
      <c r="FZF37" s="168"/>
      <c r="FZG37" s="168"/>
      <c r="FZH37" s="168"/>
      <c r="FZI37" s="168"/>
      <c r="FZJ37" s="168"/>
      <c r="FZK37" s="168"/>
      <c r="FZL37" s="168"/>
      <c r="FZM37" s="168"/>
      <c r="FZN37" s="168"/>
      <c r="FZO37" s="168"/>
      <c r="FZP37" s="168"/>
      <c r="FZQ37" s="168"/>
      <c r="FZR37" s="168"/>
      <c r="FZS37" s="168"/>
      <c r="FZT37" s="168"/>
      <c r="FZU37" s="168"/>
      <c r="FZV37" s="168"/>
      <c r="FZW37" s="168"/>
      <c r="FZX37" s="168"/>
      <c r="FZY37" s="168"/>
      <c r="FZZ37" s="168"/>
      <c r="GAA37" s="168"/>
      <c r="GAB37" s="168"/>
      <c r="GAC37" s="168"/>
      <c r="GAD37" s="168"/>
      <c r="GAE37" s="168"/>
      <c r="GAF37" s="168"/>
      <c r="GAG37" s="168"/>
      <c r="GAH37" s="168"/>
      <c r="GAI37" s="168"/>
      <c r="GAJ37" s="168"/>
      <c r="GAK37" s="168"/>
      <c r="GAL37" s="168"/>
      <c r="GAM37" s="168"/>
      <c r="GAN37" s="168"/>
      <c r="GAO37" s="168"/>
      <c r="GAP37" s="168"/>
      <c r="GAQ37" s="168"/>
      <c r="GAR37" s="168"/>
      <c r="GAS37" s="168"/>
      <c r="GAT37" s="168"/>
      <c r="GAU37" s="168"/>
      <c r="GAV37" s="168"/>
      <c r="GAW37" s="168"/>
      <c r="GAX37" s="168"/>
      <c r="GAY37" s="168"/>
      <c r="GAZ37" s="168"/>
      <c r="GBA37" s="168"/>
      <c r="GBB37" s="168"/>
      <c r="GBC37" s="168"/>
      <c r="GBD37" s="168"/>
      <c r="GBE37" s="168"/>
      <c r="GBF37" s="168"/>
      <c r="GBG37" s="168"/>
      <c r="GBH37" s="168"/>
      <c r="GBI37" s="168"/>
      <c r="GBJ37" s="168"/>
      <c r="GBK37" s="168"/>
      <c r="GBL37" s="168"/>
      <c r="GBM37" s="168"/>
      <c r="GBN37" s="168"/>
      <c r="GBO37" s="168"/>
      <c r="GBP37" s="168"/>
      <c r="GBQ37" s="168"/>
      <c r="GBR37" s="168"/>
      <c r="GBS37" s="168"/>
      <c r="GBT37" s="168"/>
      <c r="GBU37" s="168"/>
      <c r="GBV37" s="168"/>
      <c r="GBW37" s="168"/>
      <c r="GBX37" s="168"/>
      <c r="GBY37" s="168"/>
      <c r="GBZ37" s="168"/>
      <c r="GCA37" s="168"/>
      <c r="GCB37" s="168"/>
      <c r="GCC37" s="168"/>
      <c r="GCD37" s="168"/>
      <c r="GCE37" s="168"/>
      <c r="GCF37" s="168"/>
      <c r="GCG37" s="168"/>
      <c r="GCH37" s="168"/>
      <c r="GCI37" s="168"/>
      <c r="GCJ37" s="168"/>
      <c r="GCK37" s="168"/>
      <c r="GCL37" s="168"/>
      <c r="GCM37" s="168"/>
      <c r="GCN37" s="168"/>
      <c r="GCO37" s="168"/>
      <c r="GCP37" s="168"/>
      <c r="GCQ37" s="168"/>
      <c r="GCR37" s="168"/>
      <c r="GCS37" s="168"/>
      <c r="GCT37" s="168"/>
      <c r="GCU37" s="168"/>
      <c r="GCV37" s="168"/>
      <c r="GCW37" s="168"/>
      <c r="GCX37" s="168"/>
      <c r="GCY37" s="168"/>
      <c r="GCZ37" s="168"/>
      <c r="GDA37" s="168"/>
      <c r="GDB37" s="168"/>
      <c r="GDC37" s="168"/>
      <c r="GDD37" s="168"/>
      <c r="GDE37" s="168"/>
      <c r="GDF37" s="168"/>
      <c r="GDG37" s="168"/>
      <c r="GDH37" s="168"/>
      <c r="GDI37" s="168"/>
      <c r="GDJ37" s="168"/>
      <c r="GDK37" s="168"/>
      <c r="GDL37" s="168"/>
      <c r="GDM37" s="168"/>
      <c r="GDN37" s="168"/>
      <c r="GDO37" s="168"/>
      <c r="GDP37" s="168"/>
      <c r="GDQ37" s="168"/>
      <c r="GDR37" s="168"/>
      <c r="GDS37" s="168"/>
      <c r="GDT37" s="168"/>
      <c r="GDU37" s="168"/>
      <c r="GDV37" s="168"/>
      <c r="GDW37" s="168"/>
      <c r="GDX37" s="168"/>
      <c r="GDY37" s="168"/>
      <c r="GDZ37" s="168"/>
      <c r="GEA37" s="168"/>
      <c r="GEB37" s="168"/>
      <c r="GEC37" s="168"/>
      <c r="GED37" s="168"/>
      <c r="GEE37" s="168"/>
      <c r="GEF37" s="168"/>
      <c r="GEG37" s="168"/>
      <c r="GEH37" s="168"/>
      <c r="GEI37" s="168"/>
      <c r="GEJ37" s="168"/>
      <c r="GEK37" s="168"/>
      <c r="GEL37" s="168"/>
      <c r="GEM37" s="168"/>
      <c r="GEN37" s="168"/>
      <c r="GEO37" s="168"/>
      <c r="GEP37" s="168"/>
      <c r="GEQ37" s="168"/>
      <c r="GER37" s="168"/>
      <c r="GES37" s="168"/>
      <c r="GET37" s="168"/>
      <c r="GEU37" s="168"/>
      <c r="GEV37" s="168"/>
      <c r="GEW37" s="168"/>
      <c r="GEX37" s="168"/>
      <c r="GEY37" s="168"/>
      <c r="GEZ37" s="168"/>
      <c r="GFA37" s="168"/>
      <c r="GFB37" s="168"/>
      <c r="GFC37" s="168"/>
      <c r="GFD37" s="168"/>
      <c r="GFE37" s="168"/>
      <c r="GFF37" s="168"/>
      <c r="GFG37" s="168"/>
      <c r="GFH37" s="168"/>
      <c r="GFI37" s="168"/>
      <c r="GFJ37" s="168"/>
      <c r="GFK37" s="168"/>
      <c r="GFL37" s="168"/>
      <c r="GFM37" s="168"/>
      <c r="GFN37" s="168"/>
      <c r="GFO37" s="168"/>
      <c r="GFP37" s="168"/>
      <c r="GFQ37" s="168"/>
      <c r="GFR37" s="168"/>
      <c r="GFS37" s="168"/>
      <c r="GFT37" s="168"/>
      <c r="GFU37" s="168"/>
      <c r="GFV37" s="168"/>
      <c r="GFW37" s="168"/>
      <c r="GFX37" s="168"/>
      <c r="GFY37" s="168"/>
      <c r="GFZ37" s="168"/>
      <c r="GGA37" s="168"/>
      <c r="GGB37" s="168"/>
      <c r="GGC37" s="168"/>
      <c r="GGD37" s="168"/>
      <c r="GGE37" s="168"/>
      <c r="GGF37" s="168"/>
      <c r="GGG37" s="168"/>
      <c r="GGH37" s="168"/>
      <c r="GGI37" s="168"/>
      <c r="GGJ37" s="168"/>
      <c r="GGK37" s="168"/>
      <c r="GGL37" s="168"/>
      <c r="GGM37" s="168"/>
      <c r="GGN37" s="168"/>
      <c r="GGO37" s="168"/>
      <c r="GGP37" s="168"/>
      <c r="GGQ37" s="168"/>
      <c r="GGR37" s="168"/>
      <c r="GGS37" s="168"/>
      <c r="GGT37" s="168"/>
      <c r="GGU37" s="168"/>
      <c r="GGV37" s="168"/>
      <c r="GGW37" s="168"/>
      <c r="GGX37" s="168"/>
      <c r="GGY37" s="168"/>
      <c r="GGZ37" s="168"/>
      <c r="GHA37" s="168"/>
      <c r="GHB37" s="168"/>
      <c r="GHC37" s="168"/>
      <c r="GHD37" s="168"/>
      <c r="GHE37" s="168"/>
      <c r="GHF37" s="168"/>
      <c r="GHG37" s="168"/>
      <c r="GHH37" s="168"/>
      <c r="GHI37" s="168"/>
      <c r="GHJ37" s="168"/>
      <c r="GHK37" s="168"/>
      <c r="GHL37" s="168"/>
      <c r="GHM37" s="168"/>
      <c r="GHN37" s="168"/>
      <c r="GHO37" s="168"/>
      <c r="GHP37" s="168"/>
      <c r="GHQ37" s="168"/>
      <c r="GHR37" s="168"/>
      <c r="GHS37" s="168"/>
      <c r="GHT37" s="168"/>
      <c r="GHU37" s="168"/>
      <c r="GHV37" s="168"/>
      <c r="GHW37" s="168"/>
      <c r="GHX37" s="168"/>
      <c r="GHY37" s="168"/>
      <c r="GHZ37" s="168"/>
      <c r="GIA37" s="168"/>
      <c r="GIB37" s="168"/>
      <c r="GIC37" s="168"/>
      <c r="GID37" s="168"/>
      <c r="GIE37" s="168"/>
      <c r="GIF37" s="168"/>
      <c r="GIG37" s="168"/>
      <c r="GIH37" s="168"/>
      <c r="GII37" s="168"/>
      <c r="GIJ37" s="168"/>
      <c r="GIK37" s="168"/>
      <c r="GIL37" s="168"/>
      <c r="GIM37" s="168"/>
      <c r="GIN37" s="168"/>
      <c r="GIO37" s="168"/>
      <c r="GIP37" s="168"/>
      <c r="GIQ37" s="168"/>
      <c r="GIR37" s="168"/>
      <c r="GIS37" s="168"/>
      <c r="GIT37" s="168"/>
      <c r="GIU37" s="168"/>
      <c r="GIV37" s="168"/>
      <c r="GIW37" s="168"/>
      <c r="GIX37" s="168"/>
      <c r="GIY37" s="168"/>
      <c r="GIZ37" s="168"/>
      <c r="GJA37" s="168"/>
      <c r="GJB37" s="168"/>
      <c r="GJC37" s="168"/>
      <c r="GJD37" s="168"/>
      <c r="GJE37" s="168"/>
      <c r="GJF37" s="168"/>
      <c r="GJG37" s="168"/>
      <c r="GJH37" s="168"/>
      <c r="GJI37" s="168"/>
      <c r="GJJ37" s="168"/>
      <c r="GJK37" s="168"/>
      <c r="GJL37" s="168"/>
      <c r="GJM37" s="168"/>
      <c r="GJN37" s="168"/>
      <c r="GJO37" s="168"/>
      <c r="GJP37" s="168"/>
      <c r="GJQ37" s="168"/>
      <c r="GJR37" s="168"/>
      <c r="GJS37" s="168"/>
      <c r="GJT37" s="168"/>
      <c r="GJU37" s="168"/>
      <c r="GJV37" s="168"/>
      <c r="GJW37" s="168"/>
      <c r="GJX37" s="168"/>
      <c r="GJY37" s="168"/>
      <c r="GJZ37" s="168"/>
      <c r="GKA37" s="168"/>
      <c r="GKB37" s="168"/>
      <c r="GKC37" s="168"/>
      <c r="GKD37" s="168"/>
      <c r="GKE37" s="168"/>
      <c r="GKF37" s="168"/>
      <c r="GKG37" s="168"/>
      <c r="GKH37" s="168"/>
      <c r="GKI37" s="168"/>
      <c r="GKJ37" s="168"/>
      <c r="GKK37" s="168"/>
      <c r="GKL37" s="168"/>
      <c r="GKM37" s="168"/>
      <c r="GKN37" s="168"/>
      <c r="GKO37" s="168"/>
      <c r="GKP37" s="168"/>
      <c r="GKQ37" s="168"/>
      <c r="GKR37" s="168"/>
      <c r="GKS37" s="168"/>
      <c r="GKT37" s="168"/>
      <c r="GKU37" s="168"/>
      <c r="GKV37" s="168"/>
      <c r="GKW37" s="168"/>
      <c r="GKX37" s="168"/>
      <c r="GKY37" s="168"/>
      <c r="GKZ37" s="168"/>
      <c r="GLA37" s="168"/>
      <c r="GLB37" s="168"/>
      <c r="GLC37" s="168"/>
      <c r="GLD37" s="168"/>
      <c r="GLE37" s="168"/>
      <c r="GLF37" s="168"/>
      <c r="GLG37" s="168"/>
      <c r="GLH37" s="168"/>
      <c r="GLI37" s="168"/>
      <c r="GLJ37" s="168"/>
      <c r="GLK37" s="168"/>
      <c r="GLL37" s="168"/>
      <c r="GLM37" s="168"/>
      <c r="GLN37" s="168"/>
      <c r="GLO37" s="168"/>
      <c r="GLP37" s="168"/>
      <c r="GLQ37" s="168"/>
      <c r="GLR37" s="168"/>
      <c r="GLS37" s="168"/>
      <c r="GLT37" s="168"/>
      <c r="GLU37" s="168"/>
      <c r="GLV37" s="168"/>
      <c r="GLW37" s="168"/>
      <c r="GLX37" s="168"/>
      <c r="GLY37" s="168"/>
      <c r="GLZ37" s="168"/>
      <c r="GMA37" s="168"/>
      <c r="GMB37" s="168"/>
      <c r="GMC37" s="168"/>
      <c r="GMD37" s="168"/>
      <c r="GME37" s="168"/>
      <c r="GMF37" s="168"/>
      <c r="GMG37" s="168"/>
      <c r="GMH37" s="168"/>
      <c r="GMI37" s="168"/>
      <c r="GMJ37" s="168"/>
      <c r="GMK37" s="168"/>
      <c r="GML37" s="168"/>
      <c r="GMM37" s="168"/>
      <c r="GMN37" s="168"/>
      <c r="GMO37" s="168"/>
      <c r="GMP37" s="168"/>
      <c r="GMQ37" s="168"/>
      <c r="GMR37" s="168"/>
      <c r="GMS37" s="168"/>
      <c r="GMT37" s="168"/>
      <c r="GMU37" s="168"/>
      <c r="GMV37" s="168"/>
      <c r="GMW37" s="168"/>
      <c r="GMX37" s="168"/>
      <c r="GMY37" s="168"/>
      <c r="GMZ37" s="168"/>
      <c r="GNA37" s="168"/>
      <c r="GNB37" s="168"/>
      <c r="GNC37" s="168"/>
      <c r="GND37" s="168"/>
      <c r="GNE37" s="168"/>
      <c r="GNF37" s="168"/>
      <c r="GNG37" s="168"/>
      <c r="GNH37" s="168"/>
      <c r="GNI37" s="168"/>
      <c r="GNJ37" s="168"/>
      <c r="GNK37" s="168"/>
      <c r="GNL37" s="168"/>
      <c r="GNM37" s="168"/>
      <c r="GNN37" s="168"/>
      <c r="GNO37" s="168"/>
      <c r="GNP37" s="168"/>
      <c r="GNQ37" s="168"/>
      <c r="GNR37" s="168"/>
      <c r="GNS37" s="168"/>
      <c r="GNT37" s="168"/>
      <c r="GNU37" s="168"/>
      <c r="GNV37" s="168"/>
      <c r="GNW37" s="168"/>
      <c r="GNX37" s="168"/>
      <c r="GNY37" s="168"/>
      <c r="GNZ37" s="168"/>
      <c r="GOA37" s="168"/>
      <c r="GOB37" s="168"/>
      <c r="GOC37" s="168"/>
      <c r="GOD37" s="168"/>
      <c r="GOE37" s="168"/>
      <c r="GOF37" s="168"/>
      <c r="GOG37" s="168"/>
      <c r="GOH37" s="168"/>
      <c r="GOI37" s="168"/>
      <c r="GOJ37" s="168"/>
      <c r="GOK37" s="168"/>
      <c r="GOL37" s="168"/>
      <c r="GOM37" s="168"/>
      <c r="GON37" s="168"/>
      <c r="GOO37" s="168"/>
      <c r="GOP37" s="168"/>
      <c r="GOQ37" s="168"/>
      <c r="GOR37" s="168"/>
      <c r="GOS37" s="168"/>
      <c r="GOT37" s="168"/>
      <c r="GOU37" s="168"/>
      <c r="GOV37" s="168"/>
      <c r="GOW37" s="168"/>
      <c r="GOX37" s="168"/>
      <c r="GOY37" s="168"/>
      <c r="GOZ37" s="168"/>
      <c r="GPA37" s="168"/>
      <c r="GPB37" s="168"/>
      <c r="GPC37" s="168"/>
      <c r="GPD37" s="168"/>
      <c r="GPE37" s="168"/>
      <c r="GPF37" s="168"/>
      <c r="GPG37" s="168"/>
      <c r="GPH37" s="168"/>
      <c r="GPI37" s="168"/>
      <c r="GPJ37" s="168"/>
      <c r="GPK37" s="168"/>
      <c r="GPL37" s="168"/>
      <c r="GPM37" s="168"/>
      <c r="GPN37" s="168"/>
      <c r="GPO37" s="168"/>
      <c r="GPP37" s="168"/>
      <c r="GPQ37" s="168"/>
      <c r="GPR37" s="168"/>
      <c r="GPS37" s="168"/>
      <c r="GPT37" s="168"/>
      <c r="GPU37" s="168"/>
      <c r="GPV37" s="168"/>
      <c r="GPW37" s="168"/>
      <c r="GPX37" s="168"/>
      <c r="GPY37" s="168"/>
      <c r="GPZ37" s="168"/>
      <c r="GQA37" s="168"/>
      <c r="GQB37" s="168"/>
      <c r="GQC37" s="168"/>
      <c r="GQD37" s="168"/>
      <c r="GQE37" s="168"/>
      <c r="GQF37" s="168"/>
      <c r="GQG37" s="168"/>
      <c r="GQH37" s="168"/>
      <c r="GQI37" s="168"/>
      <c r="GQJ37" s="168"/>
      <c r="GQK37" s="168"/>
      <c r="GQL37" s="168"/>
      <c r="GQM37" s="168"/>
      <c r="GQN37" s="168"/>
      <c r="GQO37" s="168"/>
      <c r="GQP37" s="168"/>
      <c r="GQQ37" s="168"/>
      <c r="GQR37" s="168"/>
      <c r="GQS37" s="168"/>
      <c r="GQT37" s="168"/>
      <c r="GQU37" s="168"/>
      <c r="GQV37" s="168"/>
      <c r="GQW37" s="168"/>
      <c r="GQX37" s="168"/>
      <c r="GQY37" s="168"/>
      <c r="GQZ37" s="168"/>
      <c r="GRA37" s="168"/>
      <c r="GRB37" s="168"/>
      <c r="GRC37" s="168"/>
      <c r="GRD37" s="168"/>
      <c r="GRE37" s="168"/>
      <c r="GRF37" s="168"/>
      <c r="GRG37" s="168"/>
      <c r="GRH37" s="168"/>
      <c r="GRI37" s="168"/>
      <c r="GRJ37" s="168"/>
      <c r="GRK37" s="168"/>
      <c r="GRL37" s="168"/>
      <c r="GRM37" s="168"/>
      <c r="GRN37" s="168"/>
      <c r="GRO37" s="168"/>
      <c r="GRP37" s="168"/>
      <c r="GRQ37" s="168"/>
      <c r="GRR37" s="168"/>
      <c r="GRS37" s="168"/>
      <c r="GRT37" s="168"/>
      <c r="GRU37" s="168"/>
      <c r="GRV37" s="168"/>
      <c r="GRW37" s="168"/>
      <c r="GRX37" s="168"/>
      <c r="GRY37" s="168"/>
      <c r="GRZ37" s="168"/>
      <c r="GSA37" s="168"/>
      <c r="GSB37" s="168"/>
      <c r="GSC37" s="168"/>
      <c r="GSD37" s="168"/>
      <c r="GSE37" s="168"/>
      <c r="GSF37" s="168"/>
      <c r="GSG37" s="168"/>
      <c r="GSH37" s="168"/>
      <c r="GSI37" s="168"/>
      <c r="GSJ37" s="168"/>
      <c r="GSK37" s="168"/>
      <c r="GSL37" s="168"/>
      <c r="GSM37" s="168"/>
      <c r="GSN37" s="168"/>
      <c r="GSO37" s="168"/>
      <c r="GSP37" s="168"/>
      <c r="GSQ37" s="168"/>
      <c r="GSR37" s="168"/>
      <c r="GSS37" s="168"/>
      <c r="GST37" s="168"/>
      <c r="GSU37" s="168"/>
      <c r="GSV37" s="168"/>
      <c r="GSW37" s="168"/>
      <c r="GSX37" s="168"/>
      <c r="GSY37" s="168"/>
      <c r="GSZ37" s="168"/>
      <c r="GTA37" s="168"/>
      <c r="GTB37" s="168"/>
      <c r="GTC37" s="168"/>
      <c r="GTD37" s="168"/>
      <c r="GTE37" s="168"/>
      <c r="GTF37" s="168"/>
      <c r="GTG37" s="168"/>
      <c r="GTH37" s="168"/>
      <c r="GTI37" s="168"/>
      <c r="GTJ37" s="168"/>
      <c r="GTK37" s="168"/>
      <c r="GTL37" s="168"/>
      <c r="GTM37" s="168"/>
      <c r="GTN37" s="168"/>
      <c r="GTO37" s="168"/>
      <c r="GTP37" s="168"/>
      <c r="GTQ37" s="168"/>
      <c r="GTR37" s="168"/>
      <c r="GTS37" s="168"/>
      <c r="GTT37" s="168"/>
      <c r="GTU37" s="168"/>
      <c r="GTV37" s="168"/>
      <c r="GTW37" s="168"/>
      <c r="GTX37" s="168"/>
      <c r="GTY37" s="168"/>
      <c r="GTZ37" s="168"/>
      <c r="GUA37" s="168"/>
      <c r="GUB37" s="168"/>
      <c r="GUC37" s="168"/>
      <c r="GUD37" s="168"/>
      <c r="GUE37" s="168"/>
      <c r="GUF37" s="168"/>
      <c r="GUG37" s="168"/>
      <c r="GUH37" s="168"/>
      <c r="GUI37" s="168"/>
      <c r="GUJ37" s="168"/>
      <c r="GUK37" s="168"/>
      <c r="GUL37" s="168"/>
      <c r="GUM37" s="168"/>
      <c r="GUN37" s="168"/>
      <c r="GUO37" s="168"/>
      <c r="GUP37" s="168"/>
      <c r="GUQ37" s="168"/>
      <c r="GUR37" s="168"/>
      <c r="GUS37" s="168"/>
      <c r="GUT37" s="168"/>
      <c r="GUU37" s="168"/>
      <c r="GUV37" s="168"/>
      <c r="GUW37" s="168"/>
      <c r="GUX37" s="168"/>
      <c r="GUY37" s="168"/>
      <c r="GUZ37" s="168"/>
      <c r="GVA37" s="168"/>
      <c r="GVB37" s="168"/>
      <c r="GVC37" s="168"/>
      <c r="GVD37" s="168"/>
      <c r="GVE37" s="168"/>
      <c r="GVF37" s="168"/>
      <c r="GVG37" s="168"/>
      <c r="GVH37" s="168"/>
      <c r="GVI37" s="168"/>
      <c r="GVJ37" s="168"/>
      <c r="GVK37" s="168"/>
      <c r="GVL37" s="168"/>
      <c r="GVM37" s="168"/>
      <c r="GVN37" s="168"/>
      <c r="GVO37" s="168"/>
      <c r="GVP37" s="168"/>
      <c r="GVQ37" s="168"/>
      <c r="GVR37" s="168"/>
      <c r="GVS37" s="168"/>
      <c r="GVT37" s="168"/>
      <c r="GVU37" s="168"/>
      <c r="GVV37" s="168"/>
      <c r="GVW37" s="168"/>
      <c r="GVX37" s="168"/>
      <c r="GVY37" s="168"/>
      <c r="GVZ37" s="168"/>
      <c r="GWA37" s="168"/>
      <c r="GWB37" s="168"/>
      <c r="GWC37" s="168"/>
      <c r="GWD37" s="168"/>
      <c r="GWE37" s="168"/>
      <c r="GWF37" s="168"/>
      <c r="GWG37" s="168"/>
      <c r="GWH37" s="168"/>
      <c r="GWI37" s="168"/>
      <c r="GWJ37" s="168"/>
      <c r="GWK37" s="168"/>
      <c r="GWL37" s="168"/>
      <c r="GWM37" s="168"/>
      <c r="GWN37" s="168"/>
      <c r="GWO37" s="168"/>
      <c r="GWP37" s="168"/>
      <c r="GWQ37" s="168"/>
      <c r="GWR37" s="168"/>
      <c r="GWS37" s="168"/>
      <c r="GWT37" s="168"/>
      <c r="GWU37" s="168"/>
      <c r="GWV37" s="168"/>
      <c r="GWW37" s="168"/>
      <c r="GWX37" s="168"/>
      <c r="GWY37" s="168"/>
      <c r="GWZ37" s="168"/>
      <c r="GXA37" s="168"/>
      <c r="GXB37" s="168"/>
      <c r="GXC37" s="168"/>
      <c r="GXD37" s="168"/>
      <c r="GXE37" s="168"/>
      <c r="GXF37" s="168"/>
      <c r="GXG37" s="168"/>
      <c r="GXH37" s="168"/>
      <c r="GXI37" s="168"/>
      <c r="GXJ37" s="168"/>
      <c r="GXK37" s="168"/>
      <c r="GXL37" s="168"/>
      <c r="GXM37" s="168"/>
      <c r="GXN37" s="168"/>
      <c r="GXO37" s="168"/>
      <c r="GXP37" s="168"/>
      <c r="GXQ37" s="168"/>
      <c r="GXR37" s="168"/>
      <c r="GXS37" s="168"/>
      <c r="GXT37" s="168"/>
      <c r="GXU37" s="168"/>
      <c r="GXV37" s="168"/>
      <c r="GXW37" s="168"/>
      <c r="GXX37" s="168"/>
      <c r="GXY37" s="168"/>
      <c r="GXZ37" s="168"/>
      <c r="GYA37" s="168"/>
      <c r="GYB37" s="168"/>
      <c r="GYC37" s="168"/>
      <c r="GYD37" s="168"/>
      <c r="GYE37" s="168"/>
      <c r="GYF37" s="168"/>
      <c r="GYG37" s="168"/>
      <c r="GYH37" s="168"/>
      <c r="GYI37" s="168"/>
      <c r="GYJ37" s="168"/>
      <c r="GYK37" s="168"/>
      <c r="GYL37" s="168"/>
      <c r="GYM37" s="168"/>
      <c r="GYN37" s="168"/>
      <c r="GYO37" s="168"/>
      <c r="GYP37" s="168"/>
      <c r="GYQ37" s="168"/>
      <c r="GYR37" s="168"/>
      <c r="GYS37" s="168"/>
      <c r="GYT37" s="168"/>
      <c r="GYU37" s="168"/>
      <c r="GYV37" s="168"/>
      <c r="GYW37" s="168"/>
      <c r="GYX37" s="168"/>
      <c r="GYY37" s="168"/>
      <c r="GYZ37" s="168"/>
      <c r="GZA37" s="168"/>
      <c r="GZB37" s="168"/>
      <c r="GZC37" s="168"/>
      <c r="GZD37" s="168"/>
      <c r="GZE37" s="168"/>
      <c r="GZF37" s="168"/>
      <c r="GZG37" s="168"/>
      <c r="GZH37" s="168"/>
      <c r="GZI37" s="168"/>
      <c r="GZJ37" s="168"/>
      <c r="GZK37" s="168"/>
      <c r="GZL37" s="168"/>
      <c r="GZM37" s="168"/>
      <c r="GZN37" s="168"/>
      <c r="GZO37" s="168"/>
      <c r="GZP37" s="168"/>
      <c r="GZQ37" s="168"/>
      <c r="GZR37" s="168"/>
      <c r="GZS37" s="168"/>
      <c r="GZT37" s="168"/>
      <c r="GZU37" s="168"/>
      <c r="GZV37" s="168"/>
      <c r="GZW37" s="168"/>
      <c r="GZX37" s="168"/>
      <c r="GZY37" s="168"/>
      <c r="GZZ37" s="168"/>
      <c r="HAA37" s="168"/>
      <c r="HAB37" s="168"/>
      <c r="HAC37" s="168"/>
      <c r="HAD37" s="168"/>
      <c r="HAE37" s="168"/>
      <c r="HAF37" s="168"/>
      <c r="HAG37" s="168"/>
      <c r="HAH37" s="168"/>
      <c r="HAI37" s="168"/>
      <c r="HAJ37" s="168"/>
      <c r="HAK37" s="168"/>
      <c r="HAL37" s="168"/>
      <c r="HAM37" s="168"/>
      <c r="HAN37" s="168"/>
      <c r="HAO37" s="168"/>
      <c r="HAP37" s="168"/>
      <c r="HAQ37" s="168"/>
      <c r="HAR37" s="168"/>
      <c r="HAS37" s="168"/>
      <c r="HAT37" s="168"/>
      <c r="HAU37" s="168"/>
      <c r="HAV37" s="168"/>
      <c r="HAW37" s="168"/>
      <c r="HAX37" s="168"/>
      <c r="HAY37" s="168"/>
      <c r="HAZ37" s="168"/>
      <c r="HBA37" s="168"/>
      <c r="HBB37" s="168"/>
      <c r="HBC37" s="168"/>
      <c r="HBD37" s="168"/>
      <c r="HBE37" s="168"/>
      <c r="HBF37" s="168"/>
      <c r="HBG37" s="168"/>
      <c r="HBH37" s="168"/>
      <c r="HBI37" s="168"/>
      <c r="HBJ37" s="168"/>
      <c r="HBK37" s="168"/>
      <c r="HBL37" s="168"/>
      <c r="HBM37" s="168"/>
      <c r="HBN37" s="168"/>
      <c r="HBO37" s="168"/>
      <c r="HBP37" s="168"/>
      <c r="HBQ37" s="168"/>
      <c r="HBR37" s="168"/>
      <c r="HBS37" s="168"/>
      <c r="HBT37" s="168"/>
      <c r="HBU37" s="168"/>
      <c r="HBV37" s="168"/>
      <c r="HBW37" s="168"/>
      <c r="HBX37" s="168"/>
      <c r="HBY37" s="168"/>
      <c r="HBZ37" s="168"/>
      <c r="HCA37" s="168"/>
      <c r="HCB37" s="168"/>
      <c r="HCC37" s="168"/>
      <c r="HCD37" s="168"/>
      <c r="HCE37" s="168"/>
      <c r="HCF37" s="168"/>
      <c r="HCG37" s="168"/>
      <c r="HCH37" s="168"/>
      <c r="HCI37" s="168"/>
      <c r="HCJ37" s="168"/>
      <c r="HCK37" s="168"/>
      <c r="HCL37" s="168"/>
      <c r="HCM37" s="168"/>
      <c r="HCN37" s="168"/>
      <c r="HCO37" s="168"/>
      <c r="HCP37" s="168"/>
      <c r="HCQ37" s="168"/>
      <c r="HCR37" s="168"/>
      <c r="HCS37" s="168"/>
      <c r="HCT37" s="168"/>
      <c r="HCU37" s="168"/>
      <c r="HCV37" s="168"/>
      <c r="HCW37" s="168"/>
      <c r="HCX37" s="168"/>
      <c r="HCY37" s="168"/>
      <c r="HCZ37" s="168"/>
      <c r="HDA37" s="168"/>
      <c r="HDB37" s="168"/>
      <c r="HDC37" s="168"/>
      <c r="HDD37" s="168"/>
      <c r="HDE37" s="168"/>
      <c r="HDF37" s="168"/>
      <c r="HDG37" s="168"/>
      <c r="HDH37" s="168"/>
      <c r="HDI37" s="168"/>
      <c r="HDJ37" s="168"/>
      <c r="HDK37" s="168"/>
      <c r="HDL37" s="168"/>
      <c r="HDM37" s="168"/>
      <c r="HDN37" s="168"/>
      <c r="HDO37" s="168"/>
      <c r="HDP37" s="168"/>
      <c r="HDQ37" s="168"/>
      <c r="HDR37" s="168"/>
      <c r="HDS37" s="168"/>
      <c r="HDT37" s="168"/>
      <c r="HDU37" s="168"/>
      <c r="HDV37" s="168"/>
      <c r="HDW37" s="168"/>
      <c r="HDX37" s="168"/>
      <c r="HDY37" s="168"/>
      <c r="HDZ37" s="168"/>
      <c r="HEA37" s="168"/>
      <c r="HEB37" s="168"/>
      <c r="HEC37" s="168"/>
      <c r="HED37" s="168"/>
      <c r="HEE37" s="168"/>
      <c r="HEF37" s="168"/>
      <c r="HEG37" s="168"/>
      <c r="HEH37" s="168"/>
      <c r="HEI37" s="168"/>
      <c r="HEJ37" s="168"/>
      <c r="HEK37" s="168"/>
      <c r="HEL37" s="168"/>
      <c r="HEM37" s="168"/>
      <c r="HEN37" s="168"/>
      <c r="HEO37" s="168"/>
      <c r="HEP37" s="168"/>
      <c r="HEQ37" s="168"/>
      <c r="HER37" s="168"/>
      <c r="HES37" s="168"/>
      <c r="HET37" s="168"/>
      <c r="HEU37" s="168"/>
      <c r="HEV37" s="168"/>
      <c r="HEW37" s="168"/>
      <c r="HEX37" s="168"/>
      <c r="HEY37" s="168"/>
      <c r="HEZ37" s="168"/>
      <c r="HFA37" s="168"/>
      <c r="HFB37" s="168"/>
      <c r="HFC37" s="168"/>
      <c r="HFD37" s="168"/>
      <c r="HFE37" s="168"/>
      <c r="HFF37" s="168"/>
      <c r="HFG37" s="168"/>
      <c r="HFH37" s="168"/>
      <c r="HFI37" s="168"/>
      <c r="HFJ37" s="168"/>
      <c r="HFK37" s="168"/>
      <c r="HFL37" s="168"/>
      <c r="HFM37" s="168"/>
      <c r="HFN37" s="168"/>
      <c r="HFO37" s="168"/>
      <c r="HFP37" s="168"/>
      <c r="HFQ37" s="168"/>
      <c r="HFR37" s="168"/>
      <c r="HFS37" s="168"/>
      <c r="HFT37" s="168"/>
      <c r="HFU37" s="168"/>
      <c r="HFV37" s="168"/>
      <c r="HFW37" s="168"/>
      <c r="HFX37" s="168"/>
      <c r="HFY37" s="168"/>
      <c r="HFZ37" s="168"/>
      <c r="HGA37" s="168"/>
      <c r="HGB37" s="168"/>
      <c r="HGC37" s="168"/>
      <c r="HGD37" s="168"/>
      <c r="HGE37" s="168"/>
      <c r="HGF37" s="168"/>
      <c r="HGG37" s="168"/>
      <c r="HGH37" s="168"/>
      <c r="HGI37" s="168"/>
      <c r="HGJ37" s="168"/>
      <c r="HGK37" s="168"/>
      <c r="HGL37" s="168"/>
      <c r="HGM37" s="168"/>
      <c r="HGN37" s="168"/>
      <c r="HGO37" s="168"/>
      <c r="HGP37" s="168"/>
      <c r="HGQ37" s="168"/>
      <c r="HGR37" s="168"/>
      <c r="HGS37" s="168"/>
      <c r="HGT37" s="168"/>
      <c r="HGU37" s="168"/>
      <c r="HGV37" s="168"/>
      <c r="HGW37" s="168"/>
      <c r="HGX37" s="168"/>
      <c r="HGY37" s="168"/>
      <c r="HGZ37" s="168"/>
      <c r="HHA37" s="168"/>
      <c r="HHB37" s="168"/>
      <c r="HHC37" s="168"/>
      <c r="HHD37" s="168"/>
      <c r="HHE37" s="168"/>
      <c r="HHF37" s="168"/>
      <c r="HHG37" s="168"/>
      <c r="HHH37" s="168"/>
      <c r="HHI37" s="168"/>
      <c r="HHJ37" s="168"/>
      <c r="HHK37" s="168"/>
      <c r="HHL37" s="168"/>
      <c r="HHM37" s="168"/>
      <c r="HHN37" s="168"/>
      <c r="HHO37" s="168"/>
      <c r="HHP37" s="168"/>
      <c r="HHQ37" s="168"/>
      <c r="HHR37" s="168"/>
      <c r="HHS37" s="168"/>
      <c r="HHT37" s="168"/>
      <c r="HHU37" s="168"/>
      <c r="HHV37" s="168"/>
      <c r="HHW37" s="168"/>
      <c r="HHX37" s="168"/>
      <c r="HHY37" s="168"/>
      <c r="HHZ37" s="168"/>
      <c r="HIA37" s="168"/>
      <c r="HIB37" s="168"/>
      <c r="HIC37" s="168"/>
      <c r="HID37" s="168"/>
      <c r="HIE37" s="168"/>
      <c r="HIF37" s="168"/>
      <c r="HIG37" s="168"/>
      <c r="HIH37" s="168"/>
      <c r="HII37" s="168"/>
      <c r="HIJ37" s="168"/>
      <c r="HIK37" s="168"/>
      <c r="HIL37" s="168"/>
      <c r="HIM37" s="168"/>
      <c r="HIN37" s="168"/>
      <c r="HIO37" s="168"/>
      <c r="HIP37" s="168"/>
      <c r="HIQ37" s="168"/>
      <c r="HIR37" s="168"/>
      <c r="HIS37" s="168"/>
      <c r="HIT37" s="168"/>
      <c r="HIU37" s="168"/>
      <c r="HIV37" s="168"/>
      <c r="HIW37" s="168"/>
      <c r="HIX37" s="168"/>
      <c r="HIY37" s="168"/>
      <c r="HIZ37" s="168"/>
      <c r="HJA37" s="168"/>
      <c r="HJB37" s="168"/>
      <c r="HJC37" s="168"/>
      <c r="HJD37" s="168"/>
      <c r="HJE37" s="168"/>
      <c r="HJF37" s="168"/>
      <c r="HJG37" s="168"/>
      <c r="HJH37" s="168"/>
      <c r="HJI37" s="168"/>
      <c r="HJJ37" s="168"/>
      <c r="HJK37" s="168"/>
      <c r="HJL37" s="168"/>
      <c r="HJM37" s="168"/>
      <c r="HJN37" s="168"/>
      <c r="HJO37" s="168"/>
      <c r="HJP37" s="168"/>
      <c r="HJQ37" s="168"/>
      <c r="HJR37" s="168"/>
      <c r="HJS37" s="168"/>
      <c r="HJT37" s="168"/>
      <c r="HJU37" s="168"/>
      <c r="HJV37" s="168"/>
      <c r="HJW37" s="168"/>
      <c r="HJX37" s="168"/>
      <c r="HJY37" s="168"/>
      <c r="HJZ37" s="168"/>
      <c r="HKA37" s="168"/>
      <c r="HKB37" s="168"/>
      <c r="HKC37" s="168"/>
      <c r="HKD37" s="168"/>
      <c r="HKE37" s="168"/>
      <c r="HKF37" s="168"/>
      <c r="HKG37" s="168"/>
      <c r="HKH37" s="168"/>
      <c r="HKI37" s="168"/>
      <c r="HKJ37" s="168"/>
      <c r="HKK37" s="168"/>
      <c r="HKL37" s="168"/>
      <c r="HKM37" s="168"/>
      <c r="HKN37" s="168"/>
      <c r="HKO37" s="168"/>
      <c r="HKP37" s="168"/>
      <c r="HKQ37" s="168"/>
      <c r="HKR37" s="168"/>
      <c r="HKS37" s="168"/>
      <c r="HKT37" s="168"/>
      <c r="HKU37" s="168"/>
      <c r="HKV37" s="168"/>
      <c r="HKW37" s="168"/>
      <c r="HKX37" s="168"/>
      <c r="HKY37" s="168"/>
      <c r="HKZ37" s="168"/>
      <c r="HLA37" s="168"/>
      <c r="HLB37" s="168"/>
      <c r="HLC37" s="168"/>
      <c r="HLD37" s="168"/>
      <c r="HLE37" s="168"/>
      <c r="HLF37" s="168"/>
      <c r="HLG37" s="168"/>
      <c r="HLH37" s="168"/>
      <c r="HLI37" s="168"/>
      <c r="HLJ37" s="168"/>
      <c r="HLK37" s="168"/>
      <c r="HLL37" s="168"/>
      <c r="HLM37" s="168"/>
      <c r="HLN37" s="168"/>
      <c r="HLO37" s="168"/>
      <c r="HLP37" s="168"/>
      <c r="HLQ37" s="168"/>
      <c r="HLR37" s="168"/>
      <c r="HLS37" s="168"/>
      <c r="HLT37" s="168"/>
      <c r="HLU37" s="168"/>
      <c r="HLV37" s="168"/>
      <c r="HLW37" s="168"/>
      <c r="HLX37" s="168"/>
      <c r="HLY37" s="168"/>
      <c r="HLZ37" s="168"/>
      <c r="HMA37" s="168"/>
      <c r="HMB37" s="168"/>
      <c r="HMC37" s="168"/>
      <c r="HMD37" s="168"/>
      <c r="HME37" s="168"/>
      <c r="HMF37" s="168"/>
      <c r="HMG37" s="168"/>
      <c r="HMH37" s="168"/>
      <c r="HMI37" s="168"/>
      <c r="HMJ37" s="168"/>
      <c r="HMK37" s="168"/>
      <c r="HML37" s="168"/>
      <c r="HMM37" s="168"/>
      <c r="HMN37" s="168"/>
      <c r="HMO37" s="168"/>
      <c r="HMP37" s="168"/>
      <c r="HMQ37" s="168"/>
      <c r="HMR37" s="168"/>
      <c r="HMS37" s="168"/>
      <c r="HMT37" s="168"/>
      <c r="HMU37" s="168"/>
      <c r="HMV37" s="168"/>
      <c r="HMW37" s="168"/>
      <c r="HMX37" s="168"/>
      <c r="HMY37" s="168"/>
      <c r="HMZ37" s="168"/>
      <c r="HNA37" s="168"/>
      <c r="HNB37" s="168"/>
      <c r="HNC37" s="168"/>
      <c r="HND37" s="168"/>
      <c r="HNE37" s="168"/>
      <c r="HNF37" s="168"/>
      <c r="HNG37" s="168"/>
      <c r="HNH37" s="168"/>
      <c r="HNI37" s="168"/>
      <c r="HNJ37" s="168"/>
      <c r="HNK37" s="168"/>
      <c r="HNL37" s="168"/>
      <c r="HNM37" s="168"/>
      <c r="HNN37" s="168"/>
      <c r="HNO37" s="168"/>
      <c r="HNP37" s="168"/>
      <c r="HNQ37" s="168"/>
      <c r="HNR37" s="168"/>
      <c r="HNS37" s="168"/>
      <c r="HNT37" s="168"/>
      <c r="HNU37" s="168"/>
      <c r="HNV37" s="168"/>
      <c r="HNW37" s="168"/>
      <c r="HNX37" s="168"/>
      <c r="HNY37" s="168"/>
      <c r="HNZ37" s="168"/>
      <c r="HOA37" s="168"/>
      <c r="HOB37" s="168"/>
      <c r="HOC37" s="168"/>
      <c r="HOD37" s="168"/>
      <c r="HOE37" s="168"/>
      <c r="HOF37" s="168"/>
      <c r="HOG37" s="168"/>
      <c r="HOH37" s="168"/>
      <c r="HOI37" s="168"/>
      <c r="HOJ37" s="168"/>
      <c r="HOK37" s="168"/>
      <c r="HOL37" s="168"/>
      <c r="HOM37" s="168"/>
      <c r="HON37" s="168"/>
      <c r="HOO37" s="168"/>
      <c r="HOP37" s="168"/>
      <c r="HOQ37" s="168"/>
      <c r="HOR37" s="168"/>
      <c r="HOS37" s="168"/>
      <c r="HOT37" s="168"/>
      <c r="HOU37" s="168"/>
      <c r="HOV37" s="168"/>
      <c r="HOW37" s="168"/>
      <c r="HOX37" s="168"/>
      <c r="HOY37" s="168"/>
      <c r="HOZ37" s="168"/>
      <c r="HPA37" s="168"/>
      <c r="HPB37" s="168"/>
      <c r="HPC37" s="168"/>
      <c r="HPD37" s="168"/>
      <c r="HPE37" s="168"/>
      <c r="HPF37" s="168"/>
      <c r="HPG37" s="168"/>
      <c r="HPH37" s="168"/>
      <c r="HPI37" s="168"/>
      <c r="HPJ37" s="168"/>
      <c r="HPK37" s="168"/>
      <c r="HPL37" s="168"/>
      <c r="HPM37" s="168"/>
      <c r="HPN37" s="168"/>
      <c r="HPO37" s="168"/>
      <c r="HPP37" s="168"/>
      <c r="HPQ37" s="168"/>
      <c r="HPR37" s="168"/>
      <c r="HPS37" s="168"/>
      <c r="HPT37" s="168"/>
      <c r="HPU37" s="168"/>
      <c r="HPV37" s="168"/>
      <c r="HPW37" s="168"/>
      <c r="HPX37" s="168"/>
      <c r="HPY37" s="168"/>
      <c r="HPZ37" s="168"/>
      <c r="HQA37" s="168"/>
      <c r="HQB37" s="168"/>
      <c r="HQC37" s="168"/>
      <c r="HQD37" s="168"/>
      <c r="HQE37" s="168"/>
      <c r="HQF37" s="168"/>
      <c r="HQG37" s="168"/>
      <c r="HQH37" s="168"/>
      <c r="HQI37" s="168"/>
      <c r="HQJ37" s="168"/>
      <c r="HQK37" s="168"/>
      <c r="HQL37" s="168"/>
      <c r="HQM37" s="168"/>
      <c r="HQN37" s="168"/>
      <c r="HQO37" s="168"/>
      <c r="HQP37" s="168"/>
      <c r="HQQ37" s="168"/>
      <c r="HQR37" s="168"/>
      <c r="HQS37" s="168"/>
      <c r="HQT37" s="168"/>
      <c r="HQU37" s="168"/>
      <c r="HQV37" s="168"/>
      <c r="HQW37" s="168"/>
      <c r="HQX37" s="168"/>
      <c r="HQY37" s="168"/>
      <c r="HQZ37" s="168"/>
      <c r="HRA37" s="168"/>
      <c r="HRB37" s="168"/>
      <c r="HRC37" s="168"/>
      <c r="HRD37" s="168"/>
      <c r="HRE37" s="168"/>
      <c r="HRF37" s="168"/>
      <c r="HRG37" s="168"/>
      <c r="HRH37" s="168"/>
      <c r="HRI37" s="168"/>
      <c r="HRJ37" s="168"/>
      <c r="HRK37" s="168"/>
      <c r="HRL37" s="168"/>
      <c r="HRM37" s="168"/>
      <c r="HRN37" s="168"/>
      <c r="HRO37" s="168"/>
      <c r="HRP37" s="168"/>
      <c r="HRQ37" s="168"/>
      <c r="HRR37" s="168"/>
      <c r="HRS37" s="168"/>
      <c r="HRT37" s="168"/>
      <c r="HRU37" s="168"/>
      <c r="HRV37" s="168"/>
      <c r="HRW37" s="168"/>
      <c r="HRX37" s="168"/>
      <c r="HRY37" s="168"/>
      <c r="HRZ37" s="168"/>
      <c r="HSA37" s="168"/>
      <c r="HSB37" s="168"/>
      <c r="HSC37" s="168"/>
      <c r="HSD37" s="168"/>
      <c r="HSE37" s="168"/>
      <c r="HSF37" s="168"/>
      <c r="HSG37" s="168"/>
      <c r="HSH37" s="168"/>
      <c r="HSI37" s="168"/>
      <c r="HSJ37" s="168"/>
      <c r="HSK37" s="168"/>
      <c r="HSL37" s="168"/>
      <c r="HSM37" s="168"/>
      <c r="HSN37" s="168"/>
      <c r="HSO37" s="168"/>
      <c r="HSP37" s="168"/>
      <c r="HSQ37" s="168"/>
      <c r="HSR37" s="168"/>
      <c r="HSS37" s="168"/>
      <c r="HST37" s="168"/>
      <c r="HSU37" s="168"/>
      <c r="HSV37" s="168"/>
      <c r="HSW37" s="168"/>
      <c r="HSX37" s="168"/>
      <c r="HSY37" s="168"/>
      <c r="HSZ37" s="168"/>
      <c r="HTA37" s="168"/>
      <c r="HTB37" s="168"/>
      <c r="HTC37" s="168"/>
      <c r="HTD37" s="168"/>
      <c r="HTE37" s="168"/>
      <c r="HTF37" s="168"/>
      <c r="HTG37" s="168"/>
      <c r="HTH37" s="168"/>
      <c r="HTI37" s="168"/>
      <c r="HTJ37" s="168"/>
      <c r="HTK37" s="168"/>
      <c r="HTL37" s="168"/>
      <c r="HTM37" s="168"/>
      <c r="HTN37" s="168"/>
      <c r="HTO37" s="168"/>
      <c r="HTP37" s="168"/>
      <c r="HTQ37" s="168"/>
      <c r="HTR37" s="168"/>
      <c r="HTS37" s="168"/>
      <c r="HTT37" s="168"/>
      <c r="HTU37" s="168"/>
      <c r="HTV37" s="168"/>
      <c r="HTW37" s="168"/>
      <c r="HTX37" s="168"/>
      <c r="HTY37" s="168"/>
      <c r="HTZ37" s="168"/>
      <c r="HUA37" s="168"/>
      <c r="HUB37" s="168"/>
      <c r="HUC37" s="168"/>
      <c r="HUD37" s="168"/>
      <c r="HUE37" s="168"/>
      <c r="HUF37" s="168"/>
      <c r="HUG37" s="168"/>
      <c r="HUH37" s="168"/>
      <c r="HUI37" s="168"/>
      <c r="HUJ37" s="168"/>
      <c r="HUK37" s="168"/>
      <c r="HUL37" s="168"/>
      <c r="HUM37" s="168"/>
      <c r="HUN37" s="168"/>
      <c r="HUO37" s="168"/>
      <c r="HUP37" s="168"/>
      <c r="HUQ37" s="168"/>
      <c r="HUR37" s="168"/>
      <c r="HUS37" s="168"/>
      <c r="HUT37" s="168"/>
      <c r="HUU37" s="168"/>
      <c r="HUV37" s="168"/>
      <c r="HUW37" s="168"/>
      <c r="HUX37" s="168"/>
      <c r="HUY37" s="168"/>
      <c r="HUZ37" s="168"/>
      <c r="HVA37" s="168"/>
      <c r="HVB37" s="168"/>
      <c r="HVC37" s="168"/>
      <c r="HVD37" s="168"/>
      <c r="HVE37" s="168"/>
      <c r="HVF37" s="168"/>
      <c r="HVG37" s="168"/>
      <c r="HVH37" s="168"/>
      <c r="HVI37" s="168"/>
      <c r="HVJ37" s="168"/>
      <c r="HVK37" s="168"/>
      <c r="HVL37" s="168"/>
      <c r="HVM37" s="168"/>
      <c r="HVN37" s="168"/>
      <c r="HVO37" s="168"/>
      <c r="HVP37" s="168"/>
      <c r="HVQ37" s="168"/>
      <c r="HVR37" s="168"/>
      <c r="HVS37" s="168"/>
      <c r="HVT37" s="168"/>
      <c r="HVU37" s="168"/>
      <c r="HVV37" s="168"/>
      <c r="HVW37" s="168"/>
      <c r="HVX37" s="168"/>
      <c r="HVY37" s="168"/>
      <c r="HVZ37" s="168"/>
      <c r="HWA37" s="168"/>
      <c r="HWB37" s="168"/>
      <c r="HWC37" s="168"/>
      <c r="HWD37" s="168"/>
      <c r="HWE37" s="168"/>
      <c r="HWF37" s="168"/>
      <c r="HWG37" s="168"/>
      <c r="HWH37" s="168"/>
      <c r="HWI37" s="168"/>
      <c r="HWJ37" s="168"/>
      <c r="HWK37" s="168"/>
      <c r="HWL37" s="168"/>
      <c r="HWM37" s="168"/>
      <c r="HWN37" s="168"/>
      <c r="HWO37" s="168"/>
      <c r="HWP37" s="168"/>
      <c r="HWQ37" s="168"/>
      <c r="HWR37" s="168"/>
      <c r="HWS37" s="168"/>
      <c r="HWT37" s="168"/>
      <c r="HWU37" s="168"/>
      <c r="HWV37" s="168"/>
      <c r="HWW37" s="168"/>
      <c r="HWX37" s="168"/>
      <c r="HWY37" s="168"/>
      <c r="HWZ37" s="168"/>
      <c r="HXA37" s="168"/>
      <c r="HXB37" s="168"/>
      <c r="HXC37" s="168"/>
      <c r="HXD37" s="168"/>
      <c r="HXE37" s="168"/>
      <c r="HXF37" s="168"/>
      <c r="HXG37" s="168"/>
      <c r="HXH37" s="168"/>
      <c r="HXI37" s="168"/>
      <c r="HXJ37" s="168"/>
      <c r="HXK37" s="168"/>
      <c r="HXL37" s="168"/>
      <c r="HXM37" s="168"/>
      <c r="HXN37" s="168"/>
      <c r="HXO37" s="168"/>
      <c r="HXP37" s="168"/>
      <c r="HXQ37" s="168"/>
      <c r="HXR37" s="168"/>
      <c r="HXS37" s="168"/>
      <c r="HXT37" s="168"/>
      <c r="HXU37" s="168"/>
      <c r="HXV37" s="168"/>
      <c r="HXW37" s="168"/>
      <c r="HXX37" s="168"/>
      <c r="HXY37" s="168"/>
      <c r="HXZ37" s="168"/>
      <c r="HYA37" s="168"/>
      <c r="HYB37" s="168"/>
      <c r="HYC37" s="168"/>
      <c r="HYD37" s="168"/>
      <c r="HYE37" s="168"/>
      <c r="HYF37" s="168"/>
      <c r="HYG37" s="168"/>
      <c r="HYH37" s="168"/>
      <c r="HYI37" s="168"/>
      <c r="HYJ37" s="168"/>
      <c r="HYK37" s="168"/>
      <c r="HYL37" s="168"/>
      <c r="HYM37" s="168"/>
      <c r="HYN37" s="168"/>
      <c r="HYO37" s="168"/>
      <c r="HYP37" s="168"/>
      <c r="HYQ37" s="168"/>
      <c r="HYR37" s="168"/>
      <c r="HYS37" s="168"/>
      <c r="HYT37" s="168"/>
      <c r="HYU37" s="168"/>
      <c r="HYV37" s="168"/>
      <c r="HYW37" s="168"/>
      <c r="HYX37" s="168"/>
      <c r="HYY37" s="168"/>
      <c r="HYZ37" s="168"/>
      <c r="HZA37" s="168"/>
      <c r="HZB37" s="168"/>
      <c r="HZC37" s="168"/>
      <c r="HZD37" s="168"/>
      <c r="HZE37" s="168"/>
      <c r="HZF37" s="168"/>
      <c r="HZG37" s="168"/>
      <c r="HZH37" s="168"/>
      <c r="HZI37" s="168"/>
      <c r="HZJ37" s="168"/>
      <c r="HZK37" s="168"/>
      <c r="HZL37" s="168"/>
      <c r="HZM37" s="168"/>
      <c r="HZN37" s="168"/>
      <c r="HZO37" s="168"/>
      <c r="HZP37" s="168"/>
      <c r="HZQ37" s="168"/>
      <c r="HZR37" s="168"/>
      <c r="HZS37" s="168"/>
      <c r="HZT37" s="168"/>
      <c r="HZU37" s="168"/>
      <c r="HZV37" s="168"/>
      <c r="HZW37" s="168"/>
      <c r="HZX37" s="168"/>
      <c r="HZY37" s="168"/>
      <c r="HZZ37" s="168"/>
      <c r="IAA37" s="168"/>
      <c r="IAB37" s="168"/>
      <c r="IAC37" s="168"/>
      <c r="IAD37" s="168"/>
      <c r="IAE37" s="168"/>
      <c r="IAF37" s="168"/>
      <c r="IAG37" s="168"/>
      <c r="IAH37" s="168"/>
      <c r="IAI37" s="168"/>
      <c r="IAJ37" s="168"/>
      <c r="IAK37" s="168"/>
      <c r="IAL37" s="168"/>
      <c r="IAM37" s="168"/>
      <c r="IAN37" s="168"/>
      <c r="IAO37" s="168"/>
      <c r="IAP37" s="168"/>
      <c r="IAQ37" s="168"/>
      <c r="IAR37" s="168"/>
      <c r="IAS37" s="168"/>
      <c r="IAT37" s="168"/>
      <c r="IAU37" s="168"/>
      <c r="IAV37" s="168"/>
      <c r="IAW37" s="168"/>
      <c r="IAX37" s="168"/>
      <c r="IAY37" s="168"/>
      <c r="IAZ37" s="168"/>
      <c r="IBA37" s="168"/>
      <c r="IBB37" s="168"/>
      <c r="IBC37" s="168"/>
      <c r="IBD37" s="168"/>
      <c r="IBE37" s="168"/>
      <c r="IBF37" s="168"/>
      <c r="IBG37" s="168"/>
      <c r="IBH37" s="168"/>
      <c r="IBI37" s="168"/>
      <c r="IBJ37" s="168"/>
      <c r="IBK37" s="168"/>
      <c r="IBL37" s="168"/>
      <c r="IBM37" s="168"/>
      <c r="IBN37" s="168"/>
      <c r="IBO37" s="168"/>
      <c r="IBP37" s="168"/>
      <c r="IBQ37" s="168"/>
      <c r="IBR37" s="168"/>
      <c r="IBS37" s="168"/>
      <c r="IBT37" s="168"/>
      <c r="IBU37" s="168"/>
      <c r="IBV37" s="168"/>
      <c r="IBW37" s="168"/>
      <c r="IBX37" s="168"/>
      <c r="IBY37" s="168"/>
      <c r="IBZ37" s="168"/>
      <c r="ICA37" s="168"/>
      <c r="ICB37" s="168"/>
      <c r="ICC37" s="168"/>
      <c r="ICD37" s="168"/>
      <c r="ICE37" s="168"/>
      <c r="ICF37" s="168"/>
      <c r="ICG37" s="168"/>
      <c r="ICH37" s="168"/>
      <c r="ICI37" s="168"/>
      <c r="ICJ37" s="168"/>
      <c r="ICK37" s="168"/>
      <c r="ICL37" s="168"/>
      <c r="ICM37" s="168"/>
      <c r="ICN37" s="168"/>
      <c r="ICO37" s="168"/>
      <c r="ICP37" s="168"/>
      <c r="ICQ37" s="168"/>
      <c r="ICR37" s="168"/>
      <c r="ICS37" s="168"/>
      <c r="ICT37" s="168"/>
      <c r="ICU37" s="168"/>
      <c r="ICV37" s="168"/>
      <c r="ICW37" s="168"/>
      <c r="ICX37" s="168"/>
      <c r="ICY37" s="168"/>
      <c r="ICZ37" s="168"/>
      <c r="IDA37" s="168"/>
      <c r="IDB37" s="168"/>
      <c r="IDC37" s="168"/>
      <c r="IDD37" s="168"/>
      <c r="IDE37" s="168"/>
      <c r="IDF37" s="168"/>
      <c r="IDG37" s="168"/>
      <c r="IDH37" s="168"/>
      <c r="IDI37" s="168"/>
      <c r="IDJ37" s="168"/>
      <c r="IDK37" s="168"/>
      <c r="IDL37" s="168"/>
      <c r="IDM37" s="168"/>
      <c r="IDN37" s="168"/>
      <c r="IDO37" s="168"/>
      <c r="IDP37" s="168"/>
      <c r="IDQ37" s="168"/>
      <c r="IDR37" s="168"/>
      <c r="IDS37" s="168"/>
      <c r="IDT37" s="168"/>
      <c r="IDU37" s="168"/>
      <c r="IDV37" s="168"/>
      <c r="IDW37" s="168"/>
      <c r="IDX37" s="168"/>
      <c r="IDY37" s="168"/>
      <c r="IDZ37" s="168"/>
      <c r="IEA37" s="168"/>
      <c r="IEB37" s="168"/>
      <c r="IEC37" s="168"/>
      <c r="IED37" s="168"/>
      <c r="IEE37" s="168"/>
      <c r="IEF37" s="168"/>
      <c r="IEG37" s="168"/>
      <c r="IEH37" s="168"/>
      <c r="IEI37" s="168"/>
      <c r="IEJ37" s="168"/>
      <c r="IEK37" s="168"/>
      <c r="IEL37" s="168"/>
      <c r="IEM37" s="168"/>
      <c r="IEN37" s="168"/>
      <c r="IEO37" s="168"/>
      <c r="IEP37" s="168"/>
      <c r="IEQ37" s="168"/>
      <c r="IER37" s="168"/>
      <c r="IES37" s="168"/>
      <c r="IET37" s="168"/>
      <c r="IEU37" s="168"/>
      <c r="IEV37" s="168"/>
      <c r="IEW37" s="168"/>
      <c r="IEX37" s="168"/>
      <c r="IEY37" s="168"/>
      <c r="IEZ37" s="168"/>
      <c r="IFA37" s="168"/>
      <c r="IFB37" s="168"/>
      <c r="IFC37" s="168"/>
      <c r="IFD37" s="168"/>
      <c r="IFE37" s="168"/>
      <c r="IFF37" s="168"/>
      <c r="IFG37" s="168"/>
      <c r="IFH37" s="168"/>
      <c r="IFI37" s="168"/>
      <c r="IFJ37" s="168"/>
      <c r="IFK37" s="168"/>
      <c r="IFL37" s="168"/>
      <c r="IFM37" s="168"/>
      <c r="IFN37" s="168"/>
      <c r="IFO37" s="168"/>
      <c r="IFP37" s="168"/>
      <c r="IFQ37" s="168"/>
      <c r="IFR37" s="168"/>
      <c r="IFS37" s="168"/>
      <c r="IFT37" s="168"/>
      <c r="IFU37" s="168"/>
      <c r="IFV37" s="168"/>
      <c r="IFW37" s="168"/>
      <c r="IFX37" s="168"/>
      <c r="IFY37" s="168"/>
      <c r="IFZ37" s="168"/>
      <c r="IGA37" s="168"/>
      <c r="IGB37" s="168"/>
      <c r="IGC37" s="168"/>
      <c r="IGD37" s="168"/>
      <c r="IGE37" s="168"/>
      <c r="IGF37" s="168"/>
      <c r="IGG37" s="168"/>
      <c r="IGH37" s="168"/>
      <c r="IGI37" s="168"/>
      <c r="IGJ37" s="168"/>
      <c r="IGK37" s="168"/>
      <c r="IGL37" s="168"/>
      <c r="IGM37" s="168"/>
      <c r="IGN37" s="168"/>
      <c r="IGO37" s="168"/>
      <c r="IGP37" s="168"/>
      <c r="IGQ37" s="168"/>
      <c r="IGR37" s="168"/>
      <c r="IGS37" s="168"/>
      <c r="IGT37" s="168"/>
      <c r="IGU37" s="168"/>
      <c r="IGV37" s="168"/>
      <c r="IGW37" s="168"/>
      <c r="IGX37" s="168"/>
      <c r="IGY37" s="168"/>
      <c r="IGZ37" s="168"/>
      <c r="IHA37" s="168"/>
      <c r="IHB37" s="168"/>
      <c r="IHC37" s="168"/>
      <c r="IHD37" s="168"/>
      <c r="IHE37" s="168"/>
      <c r="IHF37" s="168"/>
      <c r="IHG37" s="168"/>
      <c r="IHH37" s="168"/>
      <c r="IHI37" s="168"/>
      <c r="IHJ37" s="168"/>
      <c r="IHK37" s="168"/>
      <c r="IHL37" s="168"/>
      <c r="IHM37" s="168"/>
      <c r="IHN37" s="168"/>
      <c r="IHO37" s="168"/>
      <c r="IHP37" s="168"/>
      <c r="IHQ37" s="168"/>
      <c r="IHR37" s="168"/>
      <c r="IHS37" s="168"/>
      <c r="IHT37" s="168"/>
      <c r="IHU37" s="168"/>
      <c r="IHV37" s="168"/>
      <c r="IHW37" s="168"/>
      <c r="IHX37" s="168"/>
      <c r="IHY37" s="168"/>
      <c r="IHZ37" s="168"/>
      <c r="IIA37" s="168"/>
      <c r="IIB37" s="168"/>
      <c r="IIC37" s="168"/>
      <c r="IID37" s="168"/>
      <c r="IIE37" s="168"/>
      <c r="IIF37" s="168"/>
      <c r="IIG37" s="168"/>
      <c r="IIH37" s="168"/>
      <c r="III37" s="168"/>
      <c r="IIJ37" s="168"/>
      <c r="IIK37" s="168"/>
      <c r="IIL37" s="168"/>
      <c r="IIM37" s="168"/>
      <c r="IIN37" s="168"/>
      <c r="IIO37" s="168"/>
      <c r="IIP37" s="168"/>
      <c r="IIQ37" s="168"/>
      <c r="IIR37" s="168"/>
      <c r="IIS37" s="168"/>
      <c r="IIT37" s="168"/>
      <c r="IIU37" s="168"/>
      <c r="IIV37" s="168"/>
      <c r="IIW37" s="168"/>
      <c r="IIX37" s="168"/>
      <c r="IIY37" s="168"/>
      <c r="IIZ37" s="168"/>
      <c r="IJA37" s="168"/>
      <c r="IJB37" s="168"/>
      <c r="IJC37" s="168"/>
      <c r="IJD37" s="168"/>
      <c r="IJE37" s="168"/>
      <c r="IJF37" s="168"/>
      <c r="IJG37" s="168"/>
      <c r="IJH37" s="168"/>
      <c r="IJI37" s="168"/>
      <c r="IJJ37" s="168"/>
      <c r="IJK37" s="168"/>
      <c r="IJL37" s="168"/>
      <c r="IJM37" s="168"/>
      <c r="IJN37" s="168"/>
      <c r="IJO37" s="168"/>
      <c r="IJP37" s="168"/>
      <c r="IJQ37" s="168"/>
      <c r="IJR37" s="168"/>
      <c r="IJS37" s="168"/>
      <c r="IJT37" s="168"/>
      <c r="IJU37" s="168"/>
      <c r="IJV37" s="168"/>
      <c r="IJW37" s="168"/>
      <c r="IJX37" s="168"/>
      <c r="IJY37" s="168"/>
      <c r="IJZ37" s="168"/>
      <c r="IKA37" s="168"/>
      <c r="IKB37" s="168"/>
      <c r="IKC37" s="168"/>
      <c r="IKD37" s="168"/>
      <c r="IKE37" s="168"/>
      <c r="IKF37" s="168"/>
      <c r="IKG37" s="168"/>
      <c r="IKH37" s="168"/>
      <c r="IKI37" s="168"/>
      <c r="IKJ37" s="168"/>
      <c r="IKK37" s="168"/>
      <c r="IKL37" s="168"/>
      <c r="IKM37" s="168"/>
      <c r="IKN37" s="168"/>
      <c r="IKO37" s="168"/>
      <c r="IKP37" s="168"/>
      <c r="IKQ37" s="168"/>
      <c r="IKR37" s="168"/>
      <c r="IKS37" s="168"/>
      <c r="IKT37" s="168"/>
      <c r="IKU37" s="168"/>
      <c r="IKV37" s="168"/>
      <c r="IKW37" s="168"/>
      <c r="IKX37" s="168"/>
      <c r="IKY37" s="168"/>
      <c r="IKZ37" s="168"/>
      <c r="ILA37" s="168"/>
      <c r="ILB37" s="168"/>
      <c r="ILC37" s="168"/>
      <c r="ILD37" s="168"/>
      <c r="ILE37" s="168"/>
      <c r="ILF37" s="168"/>
      <c r="ILG37" s="168"/>
      <c r="ILH37" s="168"/>
      <c r="ILI37" s="168"/>
      <c r="ILJ37" s="168"/>
      <c r="ILK37" s="168"/>
      <c r="ILL37" s="168"/>
      <c r="ILM37" s="168"/>
      <c r="ILN37" s="168"/>
      <c r="ILO37" s="168"/>
      <c r="ILP37" s="168"/>
      <c r="ILQ37" s="168"/>
      <c r="ILR37" s="168"/>
      <c r="ILS37" s="168"/>
      <c r="ILT37" s="168"/>
      <c r="ILU37" s="168"/>
      <c r="ILV37" s="168"/>
      <c r="ILW37" s="168"/>
      <c r="ILX37" s="168"/>
      <c r="ILY37" s="168"/>
      <c r="ILZ37" s="168"/>
      <c r="IMA37" s="168"/>
      <c r="IMB37" s="168"/>
      <c r="IMC37" s="168"/>
      <c r="IMD37" s="168"/>
      <c r="IME37" s="168"/>
      <c r="IMF37" s="168"/>
      <c r="IMG37" s="168"/>
      <c r="IMH37" s="168"/>
      <c r="IMI37" s="168"/>
      <c r="IMJ37" s="168"/>
      <c r="IMK37" s="168"/>
      <c r="IML37" s="168"/>
      <c r="IMM37" s="168"/>
      <c r="IMN37" s="168"/>
      <c r="IMO37" s="168"/>
      <c r="IMP37" s="168"/>
      <c r="IMQ37" s="168"/>
      <c r="IMR37" s="168"/>
      <c r="IMS37" s="168"/>
      <c r="IMT37" s="168"/>
      <c r="IMU37" s="168"/>
      <c r="IMV37" s="168"/>
      <c r="IMW37" s="168"/>
      <c r="IMX37" s="168"/>
      <c r="IMY37" s="168"/>
      <c r="IMZ37" s="168"/>
      <c r="INA37" s="168"/>
      <c r="INB37" s="168"/>
      <c r="INC37" s="168"/>
      <c r="IND37" s="168"/>
      <c r="INE37" s="168"/>
      <c r="INF37" s="168"/>
      <c r="ING37" s="168"/>
      <c r="INH37" s="168"/>
      <c r="INI37" s="168"/>
      <c r="INJ37" s="168"/>
      <c r="INK37" s="168"/>
      <c r="INL37" s="168"/>
      <c r="INM37" s="168"/>
      <c r="INN37" s="168"/>
      <c r="INO37" s="168"/>
      <c r="INP37" s="168"/>
      <c r="INQ37" s="168"/>
      <c r="INR37" s="168"/>
      <c r="INS37" s="168"/>
      <c r="INT37" s="168"/>
      <c r="INU37" s="168"/>
      <c r="INV37" s="168"/>
      <c r="INW37" s="168"/>
      <c r="INX37" s="168"/>
      <c r="INY37" s="168"/>
      <c r="INZ37" s="168"/>
      <c r="IOA37" s="168"/>
      <c r="IOB37" s="168"/>
      <c r="IOC37" s="168"/>
      <c r="IOD37" s="168"/>
      <c r="IOE37" s="168"/>
      <c r="IOF37" s="168"/>
      <c r="IOG37" s="168"/>
      <c r="IOH37" s="168"/>
      <c r="IOI37" s="168"/>
      <c r="IOJ37" s="168"/>
      <c r="IOK37" s="168"/>
      <c r="IOL37" s="168"/>
      <c r="IOM37" s="168"/>
      <c r="ION37" s="168"/>
      <c r="IOO37" s="168"/>
      <c r="IOP37" s="168"/>
      <c r="IOQ37" s="168"/>
      <c r="IOR37" s="168"/>
      <c r="IOS37" s="168"/>
      <c r="IOT37" s="168"/>
      <c r="IOU37" s="168"/>
      <c r="IOV37" s="168"/>
      <c r="IOW37" s="168"/>
      <c r="IOX37" s="168"/>
      <c r="IOY37" s="168"/>
      <c r="IOZ37" s="168"/>
      <c r="IPA37" s="168"/>
      <c r="IPB37" s="168"/>
      <c r="IPC37" s="168"/>
      <c r="IPD37" s="168"/>
      <c r="IPE37" s="168"/>
      <c r="IPF37" s="168"/>
      <c r="IPG37" s="168"/>
      <c r="IPH37" s="168"/>
      <c r="IPI37" s="168"/>
      <c r="IPJ37" s="168"/>
      <c r="IPK37" s="168"/>
      <c r="IPL37" s="168"/>
      <c r="IPM37" s="168"/>
      <c r="IPN37" s="168"/>
      <c r="IPO37" s="168"/>
      <c r="IPP37" s="168"/>
      <c r="IPQ37" s="168"/>
      <c r="IPR37" s="168"/>
      <c r="IPS37" s="168"/>
      <c r="IPT37" s="168"/>
      <c r="IPU37" s="168"/>
      <c r="IPV37" s="168"/>
      <c r="IPW37" s="168"/>
      <c r="IPX37" s="168"/>
      <c r="IPY37" s="168"/>
      <c r="IPZ37" s="168"/>
      <c r="IQA37" s="168"/>
      <c r="IQB37" s="168"/>
      <c r="IQC37" s="168"/>
      <c r="IQD37" s="168"/>
      <c r="IQE37" s="168"/>
      <c r="IQF37" s="168"/>
      <c r="IQG37" s="168"/>
      <c r="IQH37" s="168"/>
      <c r="IQI37" s="168"/>
      <c r="IQJ37" s="168"/>
      <c r="IQK37" s="168"/>
      <c r="IQL37" s="168"/>
      <c r="IQM37" s="168"/>
      <c r="IQN37" s="168"/>
      <c r="IQO37" s="168"/>
      <c r="IQP37" s="168"/>
      <c r="IQQ37" s="168"/>
      <c r="IQR37" s="168"/>
      <c r="IQS37" s="168"/>
      <c r="IQT37" s="168"/>
      <c r="IQU37" s="168"/>
      <c r="IQV37" s="168"/>
      <c r="IQW37" s="168"/>
      <c r="IQX37" s="168"/>
      <c r="IQY37" s="168"/>
      <c r="IQZ37" s="168"/>
      <c r="IRA37" s="168"/>
      <c r="IRB37" s="168"/>
      <c r="IRC37" s="168"/>
      <c r="IRD37" s="168"/>
      <c r="IRE37" s="168"/>
      <c r="IRF37" s="168"/>
      <c r="IRG37" s="168"/>
      <c r="IRH37" s="168"/>
      <c r="IRI37" s="168"/>
      <c r="IRJ37" s="168"/>
      <c r="IRK37" s="168"/>
      <c r="IRL37" s="168"/>
      <c r="IRM37" s="168"/>
      <c r="IRN37" s="168"/>
      <c r="IRO37" s="168"/>
      <c r="IRP37" s="168"/>
      <c r="IRQ37" s="168"/>
      <c r="IRR37" s="168"/>
      <c r="IRS37" s="168"/>
      <c r="IRT37" s="168"/>
      <c r="IRU37" s="168"/>
      <c r="IRV37" s="168"/>
      <c r="IRW37" s="168"/>
      <c r="IRX37" s="168"/>
      <c r="IRY37" s="168"/>
      <c r="IRZ37" s="168"/>
      <c r="ISA37" s="168"/>
      <c r="ISB37" s="168"/>
      <c r="ISC37" s="168"/>
      <c r="ISD37" s="168"/>
      <c r="ISE37" s="168"/>
      <c r="ISF37" s="168"/>
      <c r="ISG37" s="168"/>
      <c r="ISH37" s="168"/>
      <c r="ISI37" s="168"/>
      <c r="ISJ37" s="168"/>
      <c r="ISK37" s="168"/>
      <c r="ISL37" s="168"/>
      <c r="ISM37" s="168"/>
      <c r="ISN37" s="168"/>
      <c r="ISO37" s="168"/>
      <c r="ISP37" s="168"/>
      <c r="ISQ37" s="168"/>
      <c r="ISR37" s="168"/>
      <c r="ISS37" s="168"/>
      <c r="IST37" s="168"/>
      <c r="ISU37" s="168"/>
      <c r="ISV37" s="168"/>
      <c r="ISW37" s="168"/>
      <c r="ISX37" s="168"/>
      <c r="ISY37" s="168"/>
      <c r="ISZ37" s="168"/>
      <c r="ITA37" s="168"/>
      <c r="ITB37" s="168"/>
      <c r="ITC37" s="168"/>
      <c r="ITD37" s="168"/>
      <c r="ITE37" s="168"/>
      <c r="ITF37" s="168"/>
      <c r="ITG37" s="168"/>
      <c r="ITH37" s="168"/>
      <c r="ITI37" s="168"/>
      <c r="ITJ37" s="168"/>
      <c r="ITK37" s="168"/>
      <c r="ITL37" s="168"/>
      <c r="ITM37" s="168"/>
      <c r="ITN37" s="168"/>
      <c r="ITO37" s="168"/>
      <c r="ITP37" s="168"/>
      <c r="ITQ37" s="168"/>
      <c r="ITR37" s="168"/>
      <c r="ITS37" s="168"/>
      <c r="ITT37" s="168"/>
      <c r="ITU37" s="168"/>
      <c r="ITV37" s="168"/>
      <c r="ITW37" s="168"/>
      <c r="ITX37" s="168"/>
      <c r="ITY37" s="168"/>
      <c r="ITZ37" s="168"/>
      <c r="IUA37" s="168"/>
      <c r="IUB37" s="168"/>
      <c r="IUC37" s="168"/>
      <c r="IUD37" s="168"/>
      <c r="IUE37" s="168"/>
      <c r="IUF37" s="168"/>
      <c r="IUG37" s="168"/>
      <c r="IUH37" s="168"/>
      <c r="IUI37" s="168"/>
      <c r="IUJ37" s="168"/>
      <c r="IUK37" s="168"/>
      <c r="IUL37" s="168"/>
      <c r="IUM37" s="168"/>
      <c r="IUN37" s="168"/>
      <c r="IUO37" s="168"/>
      <c r="IUP37" s="168"/>
      <c r="IUQ37" s="168"/>
      <c r="IUR37" s="168"/>
      <c r="IUS37" s="168"/>
      <c r="IUT37" s="168"/>
      <c r="IUU37" s="168"/>
      <c r="IUV37" s="168"/>
      <c r="IUW37" s="168"/>
      <c r="IUX37" s="168"/>
      <c r="IUY37" s="168"/>
      <c r="IUZ37" s="168"/>
      <c r="IVA37" s="168"/>
      <c r="IVB37" s="168"/>
      <c r="IVC37" s="168"/>
      <c r="IVD37" s="168"/>
      <c r="IVE37" s="168"/>
      <c r="IVF37" s="168"/>
      <c r="IVG37" s="168"/>
      <c r="IVH37" s="168"/>
      <c r="IVI37" s="168"/>
      <c r="IVJ37" s="168"/>
      <c r="IVK37" s="168"/>
      <c r="IVL37" s="168"/>
      <c r="IVM37" s="168"/>
      <c r="IVN37" s="168"/>
      <c r="IVO37" s="168"/>
      <c r="IVP37" s="168"/>
      <c r="IVQ37" s="168"/>
      <c r="IVR37" s="168"/>
      <c r="IVS37" s="168"/>
      <c r="IVT37" s="168"/>
      <c r="IVU37" s="168"/>
      <c r="IVV37" s="168"/>
      <c r="IVW37" s="168"/>
      <c r="IVX37" s="168"/>
      <c r="IVY37" s="168"/>
      <c r="IVZ37" s="168"/>
      <c r="IWA37" s="168"/>
      <c r="IWB37" s="168"/>
      <c r="IWC37" s="168"/>
      <c r="IWD37" s="168"/>
      <c r="IWE37" s="168"/>
      <c r="IWF37" s="168"/>
      <c r="IWG37" s="168"/>
      <c r="IWH37" s="168"/>
      <c r="IWI37" s="168"/>
      <c r="IWJ37" s="168"/>
      <c r="IWK37" s="168"/>
      <c r="IWL37" s="168"/>
      <c r="IWM37" s="168"/>
      <c r="IWN37" s="168"/>
      <c r="IWO37" s="168"/>
      <c r="IWP37" s="168"/>
      <c r="IWQ37" s="168"/>
      <c r="IWR37" s="168"/>
      <c r="IWS37" s="168"/>
      <c r="IWT37" s="168"/>
      <c r="IWU37" s="168"/>
      <c r="IWV37" s="168"/>
      <c r="IWW37" s="168"/>
      <c r="IWX37" s="168"/>
      <c r="IWY37" s="168"/>
      <c r="IWZ37" s="168"/>
      <c r="IXA37" s="168"/>
      <c r="IXB37" s="168"/>
      <c r="IXC37" s="168"/>
      <c r="IXD37" s="168"/>
      <c r="IXE37" s="168"/>
      <c r="IXF37" s="168"/>
      <c r="IXG37" s="168"/>
      <c r="IXH37" s="168"/>
      <c r="IXI37" s="168"/>
      <c r="IXJ37" s="168"/>
      <c r="IXK37" s="168"/>
      <c r="IXL37" s="168"/>
      <c r="IXM37" s="168"/>
      <c r="IXN37" s="168"/>
      <c r="IXO37" s="168"/>
      <c r="IXP37" s="168"/>
      <c r="IXQ37" s="168"/>
      <c r="IXR37" s="168"/>
      <c r="IXS37" s="168"/>
      <c r="IXT37" s="168"/>
      <c r="IXU37" s="168"/>
      <c r="IXV37" s="168"/>
      <c r="IXW37" s="168"/>
      <c r="IXX37" s="168"/>
      <c r="IXY37" s="168"/>
      <c r="IXZ37" s="168"/>
      <c r="IYA37" s="168"/>
      <c r="IYB37" s="168"/>
      <c r="IYC37" s="168"/>
      <c r="IYD37" s="168"/>
      <c r="IYE37" s="168"/>
      <c r="IYF37" s="168"/>
      <c r="IYG37" s="168"/>
      <c r="IYH37" s="168"/>
      <c r="IYI37" s="168"/>
      <c r="IYJ37" s="168"/>
      <c r="IYK37" s="168"/>
      <c r="IYL37" s="168"/>
      <c r="IYM37" s="168"/>
      <c r="IYN37" s="168"/>
      <c r="IYO37" s="168"/>
      <c r="IYP37" s="168"/>
      <c r="IYQ37" s="168"/>
      <c r="IYR37" s="168"/>
      <c r="IYS37" s="168"/>
      <c r="IYT37" s="168"/>
      <c r="IYU37" s="168"/>
      <c r="IYV37" s="168"/>
      <c r="IYW37" s="168"/>
      <c r="IYX37" s="168"/>
      <c r="IYY37" s="168"/>
      <c r="IYZ37" s="168"/>
      <c r="IZA37" s="168"/>
      <c r="IZB37" s="168"/>
      <c r="IZC37" s="168"/>
      <c r="IZD37" s="168"/>
      <c r="IZE37" s="168"/>
      <c r="IZF37" s="168"/>
      <c r="IZG37" s="168"/>
      <c r="IZH37" s="168"/>
      <c r="IZI37" s="168"/>
      <c r="IZJ37" s="168"/>
      <c r="IZK37" s="168"/>
      <c r="IZL37" s="168"/>
      <c r="IZM37" s="168"/>
      <c r="IZN37" s="168"/>
      <c r="IZO37" s="168"/>
      <c r="IZP37" s="168"/>
      <c r="IZQ37" s="168"/>
      <c r="IZR37" s="168"/>
      <c r="IZS37" s="168"/>
      <c r="IZT37" s="168"/>
      <c r="IZU37" s="168"/>
      <c r="IZV37" s="168"/>
      <c r="IZW37" s="168"/>
      <c r="IZX37" s="168"/>
      <c r="IZY37" s="168"/>
      <c r="IZZ37" s="168"/>
      <c r="JAA37" s="168"/>
      <c r="JAB37" s="168"/>
      <c r="JAC37" s="168"/>
      <c r="JAD37" s="168"/>
      <c r="JAE37" s="168"/>
      <c r="JAF37" s="168"/>
      <c r="JAG37" s="168"/>
      <c r="JAH37" s="168"/>
      <c r="JAI37" s="168"/>
      <c r="JAJ37" s="168"/>
      <c r="JAK37" s="168"/>
      <c r="JAL37" s="168"/>
      <c r="JAM37" s="168"/>
      <c r="JAN37" s="168"/>
      <c r="JAO37" s="168"/>
      <c r="JAP37" s="168"/>
      <c r="JAQ37" s="168"/>
      <c r="JAR37" s="168"/>
      <c r="JAS37" s="168"/>
      <c r="JAT37" s="168"/>
      <c r="JAU37" s="168"/>
      <c r="JAV37" s="168"/>
      <c r="JAW37" s="168"/>
      <c r="JAX37" s="168"/>
      <c r="JAY37" s="168"/>
      <c r="JAZ37" s="168"/>
      <c r="JBA37" s="168"/>
      <c r="JBB37" s="168"/>
      <c r="JBC37" s="168"/>
      <c r="JBD37" s="168"/>
      <c r="JBE37" s="168"/>
      <c r="JBF37" s="168"/>
      <c r="JBG37" s="168"/>
      <c r="JBH37" s="168"/>
      <c r="JBI37" s="168"/>
      <c r="JBJ37" s="168"/>
      <c r="JBK37" s="168"/>
      <c r="JBL37" s="168"/>
      <c r="JBM37" s="168"/>
      <c r="JBN37" s="168"/>
      <c r="JBO37" s="168"/>
      <c r="JBP37" s="168"/>
      <c r="JBQ37" s="168"/>
      <c r="JBR37" s="168"/>
      <c r="JBS37" s="168"/>
      <c r="JBT37" s="168"/>
      <c r="JBU37" s="168"/>
      <c r="JBV37" s="168"/>
      <c r="JBW37" s="168"/>
      <c r="JBX37" s="168"/>
      <c r="JBY37" s="168"/>
      <c r="JBZ37" s="168"/>
      <c r="JCA37" s="168"/>
      <c r="JCB37" s="168"/>
      <c r="JCC37" s="168"/>
      <c r="JCD37" s="168"/>
      <c r="JCE37" s="168"/>
      <c r="JCF37" s="168"/>
      <c r="JCG37" s="168"/>
      <c r="JCH37" s="168"/>
      <c r="JCI37" s="168"/>
      <c r="JCJ37" s="168"/>
      <c r="JCK37" s="168"/>
      <c r="JCL37" s="168"/>
      <c r="JCM37" s="168"/>
      <c r="JCN37" s="168"/>
      <c r="JCO37" s="168"/>
      <c r="JCP37" s="168"/>
      <c r="JCQ37" s="168"/>
      <c r="JCR37" s="168"/>
      <c r="JCS37" s="168"/>
      <c r="JCT37" s="168"/>
      <c r="JCU37" s="168"/>
      <c r="JCV37" s="168"/>
      <c r="JCW37" s="168"/>
      <c r="JCX37" s="168"/>
      <c r="JCY37" s="168"/>
      <c r="JCZ37" s="168"/>
      <c r="JDA37" s="168"/>
      <c r="JDB37" s="168"/>
      <c r="JDC37" s="168"/>
      <c r="JDD37" s="168"/>
      <c r="JDE37" s="168"/>
      <c r="JDF37" s="168"/>
      <c r="JDG37" s="168"/>
      <c r="JDH37" s="168"/>
      <c r="JDI37" s="168"/>
      <c r="JDJ37" s="168"/>
      <c r="JDK37" s="168"/>
      <c r="JDL37" s="168"/>
      <c r="JDM37" s="168"/>
      <c r="JDN37" s="168"/>
      <c r="JDO37" s="168"/>
      <c r="JDP37" s="168"/>
      <c r="JDQ37" s="168"/>
      <c r="JDR37" s="168"/>
      <c r="JDS37" s="168"/>
      <c r="JDT37" s="168"/>
      <c r="JDU37" s="168"/>
      <c r="JDV37" s="168"/>
      <c r="JDW37" s="168"/>
      <c r="JDX37" s="168"/>
      <c r="JDY37" s="168"/>
      <c r="JDZ37" s="168"/>
      <c r="JEA37" s="168"/>
      <c r="JEB37" s="168"/>
      <c r="JEC37" s="168"/>
      <c r="JED37" s="168"/>
      <c r="JEE37" s="168"/>
      <c r="JEF37" s="168"/>
      <c r="JEG37" s="168"/>
      <c r="JEH37" s="168"/>
      <c r="JEI37" s="168"/>
      <c r="JEJ37" s="168"/>
      <c r="JEK37" s="168"/>
      <c r="JEL37" s="168"/>
      <c r="JEM37" s="168"/>
      <c r="JEN37" s="168"/>
      <c r="JEO37" s="168"/>
      <c r="JEP37" s="168"/>
      <c r="JEQ37" s="168"/>
      <c r="JER37" s="168"/>
      <c r="JES37" s="168"/>
      <c r="JET37" s="168"/>
      <c r="JEU37" s="168"/>
      <c r="JEV37" s="168"/>
      <c r="JEW37" s="168"/>
      <c r="JEX37" s="168"/>
      <c r="JEY37" s="168"/>
      <c r="JEZ37" s="168"/>
      <c r="JFA37" s="168"/>
      <c r="JFB37" s="168"/>
      <c r="JFC37" s="168"/>
      <c r="JFD37" s="168"/>
      <c r="JFE37" s="168"/>
      <c r="JFF37" s="168"/>
      <c r="JFG37" s="168"/>
      <c r="JFH37" s="168"/>
      <c r="JFI37" s="168"/>
      <c r="JFJ37" s="168"/>
      <c r="JFK37" s="168"/>
      <c r="JFL37" s="168"/>
      <c r="JFM37" s="168"/>
      <c r="JFN37" s="168"/>
      <c r="JFO37" s="168"/>
      <c r="JFP37" s="168"/>
      <c r="JFQ37" s="168"/>
      <c r="JFR37" s="168"/>
      <c r="JFS37" s="168"/>
      <c r="JFT37" s="168"/>
      <c r="JFU37" s="168"/>
      <c r="JFV37" s="168"/>
      <c r="JFW37" s="168"/>
      <c r="JFX37" s="168"/>
      <c r="JFY37" s="168"/>
      <c r="JFZ37" s="168"/>
      <c r="JGA37" s="168"/>
      <c r="JGB37" s="168"/>
      <c r="JGC37" s="168"/>
      <c r="JGD37" s="168"/>
      <c r="JGE37" s="168"/>
      <c r="JGF37" s="168"/>
      <c r="JGG37" s="168"/>
      <c r="JGH37" s="168"/>
      <c r="JGI37" s="168"/>
      <c r="JGJ37" s="168"/>
      <c r="JGK37" s="168"/>
      <c r="JGL37" s="168"/>
      <c r="JGM37" s="168"/>
      <c r="JGN37" s="168"/>
      <c r="JGO37" s="168"/>
      <c r="JGP37" s="168"/>
      <c r="JGQ37" s="168"/>
      <c r="JGR37" s="168"/>
      <c r="JGS37" s="168"/>
      <c r="JGT37" s="168"/>
      <c r="JGU37" s="168"/>
      <c r="JGV37" s="168"/>
      <c r="JGW37" s="168"/>
      <c r="JGX37" s="168"/>
      <c r="JGY37" s="168"/>
      <c r="JGZ37" s="168"/>
      <c r="JHA37" s="168"/>
      <c r="JHB37" s="168"/>
      <c r="JHC37" s="168"/>
      <c r="JHD37" s="168"/>
      <c r="JHE37" s="168"/>
      <c r="JHF37" s="168"/>
      <c r="JHG37" s="168"/>
      <c r="JHH37" s="168"/>
      <c r="JHI37" s="168"/>
      <c r="JHJ37" s="168"/>
      <c r="JHK37" s="168"/>
      <c r="JHL37" s="168"/>
      <c r="JHM37" s="168"/>
      <c r="JHN37" s="168"/>
      <c r="JHO37" s="168"/>
      <c r="JHP37" s="168"/>
      <c r="JHQ37" s="168"/>
      <c r="JHR37" s="168"/>
      <c r="JHS37" s="168"/>
      <c r="JHT37" s="168"/>
      <c r="JHU37" s="168"/>
      <c r="JHV37" s="168"/>
      <c r="JHW37" s="168"/>
      <c r="JHX37" s="168"/>
      <c r="JHY37" s="168"/>
      <c r="JHZ37" s="168"/>
      <c r="JIA37" s="168"/>
      <c r="JIB37" s="168"/>
      <c r="JIC37" s="168"/>
      <c r="JID37" s="168"/>
      <c r="JIE37" s="168"/>
      <c r="JIF37" s="168"/>
      <c r="JIG37" s="168"/>
      <c r="JIH37" s="168"/>
      <c r="JII37" s="168"/>
      <c r="JIJ37" s="168"/>
      <c r="JIK37" s="168"/>
      <c r="JIL37" s="168"/>
      <c r="JIM37" s="168"/>
      <c r="JIN37" s="168"/>
      <c r="JIO37" s="168"/>
      <c r="JIP37" s="168"/>
      <c r="JIQ37" s="168"/>
      <c r="JIR37" s="168"/>
      <c r="JIS37" s="168"/>
      <c r="JIT37" s="168"/>
      <c r="JIU37" s="168"/>
      <c r="JIV37" s="168"/>
      <c r="JIW37" s="168"/>
      <c r="JIX37" s="168"/>
      <c r="JIY37" s="168"/>
      <c r="JIZ37" s="168"/>
      <c r="JJA37" s="168"/>
      <c r="JJB37" s="168"/>
      <c r="JJC37" s="168"/>
      <c r="JJD37" s="168"/>
      <c r="JJE37" s="168"/>
      <c r="JJF37" s="168"/>
      <c r="JJG37" s="168"/>
      <c r="JJH37" s="168"/>
      <c r="JJI37" s="168"/>
      <c r="JJJ37" s="168"/>
      <c r="JJK37" s="168"/>
      <c r="JJL37" s="168"/>
      <c r="JJM37" s="168"/>
      <c r="JJN37" s="168"/>
      <c r="JJO37" s="168"/>
      <c r="JJP37" s="168"/>
      <c r="JJQ37" s="168"/>
      <c r="JJR37" s="168"/>
      <c r="JJS37" s="168"/>
      <c r="JJT37" s="168"/>
      <c r="JJU37" s="168"/>
      <c r="JJV37" s="168"/>
      <c r="JJW37" s="168"/>
      <c r="JJX37" s="168"/>
      <c r="JJY37" s="168"/>
      <c r="JJZ37" s="168"/>
      <c r="JKA37" s="168"/>
      <c r="JKB37" s="168"/>
      <c r="JKC37" s="168"/>
      <c r="JKD37" s="168"/>
      <c r="JKE37" s="168"/>
      <c r="JKF37" s="168"/>
      <c r="JKG37" s="168"/>
      <c r="JKH37" s="168"/>
      <c r="JKI37" s="168"/>
      <c r="JKJ37" s="168"/>
      <c r="JKK37" s="168"/>
      <c r="JKL37" s="168"/>
      <c r="JKM37" s="168"/>
      <c r="JKN37" s="168"/>
      <c r="JKO37" s="168"/>
      <c r="JKP37" s="168"/>
      <c r="JKQ37" s="168"/>
      <c r="JKR37" s="168"/>
      <c r="JKS37" s="168"/>
      <c r="JKT37" s="168"/>
      <c r="JKU37" s="168"/>
      <c r="JKV37" s="168"/>
      <c r="JKW37" s="168"/>
      <c r="JKX37" s="168"/>
      <c r="JKY37" s="168"/>
      <c r="JKZ37" s="168"/>
      <c r="JLA37" s="168"/>
      <c r="JLB37" s="168"/>
      <c r="JLC37" s="168"/>
      <c r="JLD37" s="168"/>
      <c r="JLE37" s="168"/>
      <c r="JLF37" s="168"/>
      <c r="JLG37" s="168"/>
      <c r="JLH37" s="168"/>
      <c r="JLI37" s="168"/>
      <c r="JLJ37" s="168"/>
      <c r="JLK37" s="168"/>
      <c r="JLL37" s="168"/>
      <c r="JLM37" s="168"/>
      <c r="JLN37" s="168"/>
      <c r="JLO37" s="168"/>
      <c r="JLP37" s="168"/>
      <c r="JLQ37" s="168"/>
      <c r="JLR37" s="168"/>
      <c r="JLS37" s="168"/>
      <c r="JLT37" s="168"/>
      <c r="JLU37" s="168"/>
      <c r="JLV37" s="168"/>
      <c r="JLW37" s="168"/>
      <c r="JLX37" s="168"/>
      <c r="JLY37" s="168"/>
      <c r="JLZ37" s="168"/>
      <c r="JMA37" s="168"/>
      <c r="JMB37" s="168"/>
      <c r="JMC37" s="168"/>
      <c r="JMD37" s="168"/>
      <c r="JME37" s="168"/>
      <c r="JMF37" s="168"/>
      <c r="JMG37" s="168"/>
      <c r="JMH37" s="168"/>
      <c r="JMI37" s="168"/>
      <c r="JMJ37" s="168"/>
      <c r="JMK37" s="168"/>
      <c r="JML37" s="168"/>
      <c r="JMM37" s="168"/>
      <c r="JMN37" s="168"/>
      <c r="JMO37" s="168"/>
      <c r="JMP37" s="168"/>
      <c r="JMQ37" s="168"/>
      <c r="JMR37" s="168"/>
      <c r="JMS37" s="168"/>
      <c r="JMT37" s="168"/>
      <c r="JMU37" s="168"/>
      <c r="JMV37" s="168"/>
      <c r="JMW37" s="168"/>
      <c r="JMX37" s="168"/>
      <c r="JMY37" s="168"/>
      <c r="JMZ37" s="168"/>
      <c r="JNA37" s="168"/>
      <c r="JNB37" s="168"/>
      <c r="JNC37" s="168"/>
      <c r="JND37" s="168"/>
      <c r="JNE37" s="168"/>
      <c r="JNF37" s="168"/>
      <c r="JNG37" s="168"/>
      <c r="JNH37" s="168"/>
      <c r="JNI37" s="168"/>
      <c r="JNJ37" s="168"/>
      <c r="JNK37" s="168"/>
      <c r="JNL37" s="168"/>
      <c r="JNM37" s="168"/>
      <c r="JNN37" s="168"/>
      <c r="JNO37" s="168"/>
      <c r="JNP37" s="168"/>
      <c r="JNQ37" s="168"/>
      <c r="JNR37" s="168"/>
      <c r="JNS37" s="168"/>
      <c r="JNT37" s="168"/>
      <c r="JNU37" s="168"/>
      <c r="JNV37" s="168"/>
      <c r="JNW37" s="168"/>
      <c r="JNX37" s="168"/>
      <c r="JNY37" s="168"/>
      <c r="JNZ37" s="168"/>
      <c r="JOA37" s="168"/>
      <c r="JOB37" s="168"/>
      <c r="JOC37" s="168"/>
      <c r="JOD37" s="168"/>
      <c r="JOE37" s="168"/>
      <c r="JOF37" s="168"/>
      <c r="JOG37" s="168"/>
      <c r="JOH37" s="168"/>
      <c r="JOI37" s="168"/>
      <c r="JOJ37" s="168"/>
      <c r="JOK37" s="168"/>
      <c r="JOL37" s="168"/>
      <c r="JOM37" s="168"/>
      <c r="JON37" s="168"/>
      <c r="JOO37" s="168"/>
      <c r="JOP37" s="168"/>
      <c r="JOQ37" s="168"/>
      <c r="JOR37" s="168"/>
      <c r="JOS37" s="168"/>
      <c r="JOT37" s="168"/>
      <c r="JOU37" s="168"/>
      <c r="JOV37" s="168"/>
      <c r="JOW37" s="168"/>
      <c r="JOX37" s="168"/>
      <c r="JOY37" s="168"/>
      <c r="JOZ37" s="168"/>
      <c r="JPA37" s="168"/>
      <c r="JPB37" s="168"/>
      <c r="JPC37" s="168"/>
      <c r="JPD37" s="168"/>
      <c r="JPE37" s="168"/>
      <c r="JPF37" s="168"/>
      <c r="JPG37" s="168"/>
      <c r="JPH37" s="168"/>
      <c r="JPI37" s="168"/>
      <c r="JPJ37" s="168"/>
      <c r="JPK37" s="168"/>
      <c r="JPL37" s="168"/>
      <c r="JPM37" s="168"/>
      <c r="JPN37" s="168"/>
      <c r="JPO37" s="168"/>
      <c r="JPP37" s="168"/>
      <c r="JPQ37" s="168"/>
      <c r="JPR37" s="168"/>
      <c r="JPS37" s="168"/>
      <c r="JPT37" s="168"/>
      <c r="JPU37" s="168"/>
      <c r="JPV37" s="168"/>
      <c r="JPW37" s="168"/>
      <c r="JPX37" s="168"/>
      <c r="JPY37" s="168"/>
      <c r="JPZ37" s="168"/>
      <c r="JQA37" s="168"/>
      <c r="JQB37" s="168"/>
      <c r="JQC37" s="168"/>
      <c r="JQD37" s="168"/>
      <c r="JQE37" s="168"/>
      <c r="JQF37" s="168"/>
      <c r="JQG37" s="168"/>
      <c r="JQH37" s="168"/>
      <c r="JQI37" s="168"/>
      <c r="JQJ37" s="168"/>
      <c r="JQK37" s="168"/>
      <c r="JQL37" s="168"/>
      <c r="JQM37" s="168"/>
      <c r="JQN37" s="168"/>
      <c r="JQO37" s="168"/>
      <c r="JQP37" s="168"/>
      <c r="JQQ37" s="168"/>
      <c r="JQR37" s="168"/>
      <c r="JQS37" s="168"/>
      <c r="JQT37" s="168"/>
      <c r="JQU37" s="168"/>
      <c r="JQV37" s="168"/>
      <c r="JQW37" s="168"/>
      <c r="JQX37" s="168"/>
      <c r="JQY37" s="168"/>
      <c r="JQZ37" s="168"/>
      <c r="JRA37" s="168"/>
      <c r="JRB37" s="168"/>
      <c r="JRC37" s="168"/>
      <c r="JRD37" s="168"/>
      <c r="JRE37" s="168"/>
      <c r="JRF37" s="168"/>
      <c r="JRG37" s="168"/>
      <c r="JRH37" s="168"/>
      <c r="JRI37" s="168"/>
      <c r="JRJ37" s="168"/>
      <c r="JRK37" s="168"/>
      <c r="JRL37" s="168"/>
      <c r="JRM37" s="168"/>
      <c r="JRN37" s="168"/>
      <c r="JRO37" s="168"/>
      <c r="JRP37" s="168"/>
      <c r="JRQ37" s="168"/>
      <c r="JRR37" s="168"/>
      <c r="JRS37" s="168"/>
      <c r="JRT37" s="168"/>
      <c r="JRU37" s="168"/>
      <c r="JRV37" s="168"/>
      <c r="JRW37" s="168"/>
      <c r="JRX37" s="168"/>
      <c r="JRY37" s="168"/>
      <c r="JRZ37" s="168"/>
      <c r="JSA37" s="168"/>
      <c r="JSB37" s="168"/>
      <c r="JSC37" s="168"/>
      <c r="JSD37" s="168"/>
      <c r="JSE37" s="168"/>
      <c r="JSF37" s="168"/>
      <c r="JSG37" s="168"/>
      <c r="JSH37" s="168"/>
      <c r="JSI37" s="168"/>
      <c r="JSJ37" s="168"/>
      <c r="JSK37" s="168"/>
      <c r="JSL37" s="168"/>
      <c r="JSM37" s="168"/>
      <c r="JSN37" s="168"/>
      <c r="JSO37" s="168"/>
      <c r="JSP37" s="168"/>
      <c r="JSQ37" s="168"/>
      <c r="JSR37" s="168"/>
      <c r="JSS37" s="168"/>
      <c r="JST37" s="168"/>
      <c r="JSU37" s="168"/>
      <c r="JSV37" s="168"/>
      <c r="JSW37" s="168"/>
      <c r="JSX37" s="168"/>
      <c r="JSY37" s="168"/>
      <c r="JSZ37" s="168"/>
      <c r="JTA37" s="168"/>
      <c r="JTB37" s="168"/>
      <c r="JTC37" s="168"/>
      <c r="JTD37" s="168"/>
      <c r="JTE37" s="168"/>
      <c r="JTF37" s="168"/>
      <c r="JTG37" s="168"/>
      <c r="JTH37" s="168"/>
      <c r="JTI37" s="168"/>
      <c r="JTJ37" s="168"/>
      <c r="JTK37" s="168"/>
      <c r="JTL37" s="168"/>
      <c r="JTM37" s="168"/>
      <c r="JTN37" s="168"/>
      <c r="JTO37" s="168"/>
      <c r="JTP37" s="168"/>
      <c r="JTQ37" s="168"/>
      <c r="JTR37" s="168"/>
      <c r="JTS37" s="168"/>
      <c r="JTT37" s="168"/>
      <c r="JTU37" s="168"/>
      <c r="JTV37" s="168"/>
      <c r="JTW37" s="168"/>
      <c r="JTX37" s="168"/>
      <c r="JTY37" s="168"/>
      <c r="JTZ37" s="168"/>
      <c r="JUA37" s="168"/>
      <c r="JUB37" s="168"/>
      <c r="JUC37" s="168"/>
      <c r="JUD37" s="168"/>
      <c r="JUE37" s="168"/>
      <c r="JUF37" s="168"/>
      <c r="JUG37" s="168"/>
      <c r="JUH37" s="168"/>
      <c r="JUI37" s="168"/>
      <c r="JUJ37" s="168"/>
      <c r="JUK37" s="168"/>
      <c r="JUL37" s="168"/>
      <c r="JUM37" s="168"/>
      <c r="JUN37" s="168"/>
      <c r="JUO37" s="168"/>
      <c r="JUP37" s="168"/>
      <c r="JUQ37" s="168"/>
      <c r="JUR37" s="168"/>
      <c r="JUS37" s="168"/>
      <c r="JUT37" s="168"/>
      <c r="JUU37" s="168"/>
      <c r="JUV37" s="168"/>
      <c r="JUW37" s="168"/>
      <c r="JUX37" s="168"/>
      <c r="JUY37" s="168"/>
      <c r="JUZ37" s="168"/>
      <c r="JVA37" s="168"/>
      <c r="JVB37" s="168"/>
      <c r="JVC37" s="168"/>
      <c r="JVD37" s="168"/>
      <c r="JVE37" s="168"/>
      <c r="JVF37" s="168"/>
      <c r="JVG37" s="168"/>
      <c r="JVH37" s="168"/>
      <c r="JVI37" s="168"/>
      <c r="JVJ37" s="168"/>
      <c r="JVK37" s="168"/>
      <c r="JVL37" s="168"/>
      <c r="JVM37" s="168"/>
      <c r="JVN37" s="168"/>
      <c r="JVO37" s="168"/>
      <c r="JVP37" s="168"/>
      <c r="JVQ37" s="168"/>
      <c r="JVR37" s="168"/>
      <c r="JVS37" s="168"/>
      <c r="JVT37" s="168"/>
      <c r="JVU37" s="168"/>
      <c r="JVV37" s="168"/>
      <c r="JVW37" s="168"/>
      <c r="JVX37" s="168"/>
      <c r="JVY37" s="168"/>
      <c r="JVZ37" s="168"/>
      <c r="JWA37" s="168"/>
      <c r="JWB37" s="168"/>
      <c r="JWC37" s="168"/>
      <c r="JWD37" s="168"/>
      <c r="JWE37" s="168"/>
      <c r="JWF37" s="168"/>
      <c r="JWG37" s="168"/>
      <c r="JWH37" s="168"/>
      <c r="JWI37" s="168"/>
      <c r="JWJ37" s="168"/>
      <c r="JWK37" s="168"/>
      <c r="JWL37" s="168"/>
      <c r="JWM37" s="168"/>
      <c r="JWN37" s="168"/>
      <c r="JWO37" s="168"/>
      <c r="JWP37" s="168"/>
      <c r="JWQ37" s="168"/>
      <c r="JWR37" s="168"/>
      <c r="JWS37" s="168"/>
      <c r="JWT37" s="168"/>
      <c r="JWU37" s="168"/>
      <c r="JWV37" s="168"/>
      <c r="JWW37" s="168"/>
      <c r="JWX37" s="168"/>
      <c r="JWY37" s="168"/>
      <c r="JWZ37" s="168"/>
      <c r="JXA37" s="168"/>
      <c r="JXB37" s="168"/>
      <c r="JXC37" s="168"/>
      <c r="JXD37" s="168"/>
      <c r="JXE37" s="168"/>
      <c r="JXF37" s="168"/>
      <c r="JXG37" s="168"/>
      <c r="JXH37" s="168"/>
      <c r="JXI37" s="168"/>
      <c r="JXJ37" s="168"/>
      <c r="JXK37" s="168"/>
      <c r="JXL37" s="168"/>
      <c r="JXM37" s="168"/>
      <c r="JXN37" s="168"/>
      <c r="JXO37" s="168"/>
      <c r="JXP37" s="168"/>
      <c r="JXQ37" s="168"/>
      <c r="JXR37" s="168"/>
      <c r="JXS37" s="168"/>
      <c r="JXT37" s="168"/>
      <c r="JXU37" s="168"/>
      <c r="JXV37" s="168"/>
      <c r="JXW37" s="168"/>
      <c r="JXX37" s="168"/>
      <c r="JXY37" s="168"/>
      <c r="JXZ37" s="168"/>
      <c r="JYA37" s="168"/>
      <c r="JYB37" s="168"/>
      <c r="JYC37" s="168"/>
      <c r="JYD37" s="168"/>
      <c r="JYE37" s="168"/>
      <c r="JYF37" s="168"/>
      <c r="JYG37" s="168"/>
      <c r="JYH37" s="168"/>
      <c r="JYI37" s="168"/>
      <c r="JYJ37" s="168"/>
      <c r="JYK37" s="168"/>
      <c r="JYL37" s="168"/>
      <c r="JYM37" s="168"/>
      <c r="JYN37" s="168"/>
      <c r="JYO37" s="168"/>
      <c r="JYP37" s="168"/>
      <c r="JYQ37" s="168"/>
      <c r="JYR37" s="168"/>
      <c r="JYS37" s="168"/>
      <c r="JYT37" s="168"/>
      <c r="JYU37" s="168"/>
      <c r="JYV37" s="168"/>
      <c r="JYW37" s="168"/>
      <c r="JYX37" s="168"/>
      <c r="JYY37" s="168"/>
      <c r="JYZ37" s="168"/>
      <c r="JZA37" s="168"/>
      <c r="JZB37" s="168"/>
      <c r="JZC37" s="168"/>
      <c r="JZD37" s="168"/>
      <c r="JZE37" s="168"/>
      <c r="JZF37" s="168"/>
      <c r="JZG37" s="168"/>
      <c r="JZH37" s="168"/>
      <c r="JZI37" s="168"/>
      <c r="JZJ37" s="168"/>
      <c r="JZK37" s="168"/>
      <c r="JZL37" s="168"/>
      <c r="JZM37" s="168"/>
      <c r="JZN37" s="168"/>
      <c r="JZO37" s="168"/>
      <c r="JZP37" s="168"/>
      <c r="JZQ37" s="168"/>
      <c r="JZR37" s="168"/>
      <c r="JZS37" s="168"/>
      <c r="JZT37" s="168"/>
      <c r="JZU37" s="168"/>
      <c r="JZV37" s="168"/>
      <c r="JZW37" s="168"/>
      <c r="JZX37" s="168"/>
      <c r="JZY37" s="168"/>
      <c r="JZZ37" s="168"/>
      <c r="KAA37" s="168"/>
      <c r="KAB37" s="168"/>
      <c r="KAC37" s="168"/>
      <c r="KAD37" s="168"/>
      <c r="KAE37" s="168"/>
      <c r="KAF37" s="168"/>
      <c r="KAG37" s="168"/>
      <c r="KAH37" s="168"/>
      <c r="KAI37" s="168"/>
      <c r="KAJ37" s="168"/>
      <c r="KAK37" s="168"/>
      <c r="KAL37" s="168"/>
      <c r="KAM37" s="168"/>
      <c r="KAN37" s="168"/>
      <c r="KAO37" s="168"/>
      <c r="KAP37" s="168"/>
      <c r="KAQ37" s="168"/>
      <c r="KAR37" s="168"/>
      <c r="KAS37" s="168"/>
      <c r="KAT37" s="168"/>
      <c r="KAU37" s="168"/>
      <c r="KAV37" s="168"/>
      <c r="KAW37" s="168"/>
      <c r="KAX37" s="168"/>
      <c r="KAY37" s="168"/>
      <c r="KAZ37" s="168"/>
      <c r="KBA37" s="168"/>
      <c r="KBB37" s="168"/>
      <c r="KBC37" s="168"/>
      <c r="KBD37" s="168"/>
      <c r="KBE37" s="168"/>
      <c r="KBF37" s="168"/>
      <c r="KBG37" s="168"/>
      <c r="KBH37" s="168"/>
      <c r="KBI37" s="168"/>
      <c r="KBJ37" s="168"/>
      <c r="KBK37" s="168"/>
      <c r="KBL37" s="168"/>
      <c r="KBM37" s="168"/>
      <c r="KBN37" s="168"/>
      <c r="KBO37" s="168"/>
      <c r="KBP37" s="168"/>
      <c r="KBQ37" s="168"/>
      <c r="KBR37" s="168"/>
      <c r="KBS37" s="168"/>
      <c r="KBT37" s="168"/>
      <c r="KBU37" s="168"/>
      <c r="KBV37" s="168"/>
      <c r="KBW37" s="168"/>
      <c r="KBX37" s="168"/>
      <c r="KBY37" s="168"/>
      <c r="KBZ37" s="168"/>
      <c r="KCA37" s="168"/>
      <c r="KCB37" s="168"/>
      <c r="KCC37" s="168"/>
      <c r="KCD37" s="168"/>
      <c r="KCE37" s="168"/>
      <c r="KCF37" s="168"/>
      <c r="KCG37" s="168"/>
      <c r="KCH37" s="168"/>
      <c r="KCI37" s="168"/>
      <c r="KCJ37" s="168"/>
      <c r="KCK37" s="168"/>
      <c r="KCL37" s="168"/>
      <c r="KCM37" s="168"/>
      <c r="KCN37" s="168"/>
      <c r="KCO37" s="168"/>
      <c r="KCP37" s="168"/>
      <c r="KCQ37" s="168"/>
      <c r="KCR37" s="168"/>
      <c r="KCS37" s="168"/>
      <c r="KCT37" s="168"/>
      <c r="KCU37" s="168"/>
      <c r="KCV37" s="168"/>
      <c r="KCW37" s="168"/>
      <c r="KCX37" s="168"/>
      <c r="KCY37" s="168"/>
      <c r="KCZ37" s="168"/>
      <c r="KDA37" s="168"/>
      <c r="KDB37" s="168"/>
      <c r="KDC37" s="168"/>
      <c r="KDD37" s="168"/>
      <c r="KDE37" s="168"/>
      <c r="KDF37" s="168"/>
      <c r="KDG37" s="168"/>
      <c r="KDH37" s="168"/>
      <c r="KDI37" s="168"/>
      <c r="KDJ37" s="168"/>
      <c r="KDK37" s="168"/>
      <c r="KDL37" s="168"/>
      <c r="KDM37" s="168"/>
      <c r="KDN37" s="168"/>
      <c r="KDO37" s="168"/>
      <c r="KDP37" s="168"/>
      <c r="KDQ37" s="168"/>
      <c r="KDR37" s="168"/>
      <c r="KDS37" s="168"/>
      <c r="KDT37" s="168"/>
      <c r="KDU37" s="168"/>
      <c r="KDV37" s="168"/>
      <c r="KDW37" s="168"/>
      <c r="KDX37" s="168"/>
      <c r="KDY37" s="168"/>
      <c r="KDZ37" s="168"/>
      <c r="KEA37" s="168"/>
      <c r="KEB37" s="168"/>
      <c r="KEC37" s="168"/>
      <c r="KED37" s="168"/>
      <c r="KEE37" s="168"/>
      <c r="KEF37" s="168"/>
      <c r="KEG37" s="168"/>
      <c r="KEH37" s="168"/>
      <c r="KEI37" s="168"/>
      <c r="KEJ37" s="168"/>
      <c r="KEK37" s="168"/>
      <c r="KEL37" s="168"/>
      <c r="KEM37" s="168"/>
      <c r="KEN37" s="168"/>
      <c r="KEO37" s="168"/>
      <c r="KEP37" s="168"/>
      <c r="KEQ37" s="168"/>
      <c r="KER37" s="168"/>
      <c r="KES37" s="168"/>
      <c r="KET37" s="168"/>
      <c r="KEU37" s="168"/>
      <c r="KEV37" s="168"/>
      <c r="KEW37" s="168"/>
      <c r="KEX37" s="168"/>
      <c r="KEY37" s="168"/>
      <c r="KEZ37" s="168"/>
      <c r="KFA37" s="168"/>
      <c r="KFB37" s="168"/>
      <c r="KFC37" s="168"/>
      <c r="KFD37" s="168"/>
      <c r="KFE37" s="168"/>
      <c r="KFF37" s="168"/>
      <c r="KFG37" s="168"/>
      <c r="KFH37" s="168"/>
      <c r="KFI37" s="168"/>
      <c r="KFJ37" s="168"/>
      <c r="KFK37" s="168"/>
      <c r="KFL37" s="168"/>
      <c r="KFM37" s="168"/>
      <c r="KFN37" s="168"/>
      <c r="KFO37" s="168"/>
      <c r="KFP37" s="168"/>
      <c r="KFQ37" s="168"/>
      <c r="KFR37" s="168"/>
      <c r="KFS37" s="168"/>
      <c r="KFT37" s="168"/>
      <c r="KFU37" s="168"/>
      <c r="KFV37" s="168"/>
      <c r="KFW37" s="168"/>
      <c r="KFX37" s="168"/>
      <c r="KFY37" s="168"/>
      <c r="KFZ37" s="168"/>
      <c r="KGA37" s="168"/>
      <c r="KGB37" s="168"/>
      <c r="KGC37" s="168"/>
      <c r="KGD37" s="168"/>
      <c r="KGE37" s="168"/>
      <c r="KGF37" s="168"/>
      <c r="KGG37" s="168"/>
      <c r="KGH37" s="168"/>
      <c r="KGI37" s="168"/>
      <c r="KGJ37" s="168"/>
      <c r="KGK37" s="168"/>
      <c r="KGL37" s="168"/>
      <c r="KGM37" s="168"/>
      <c r="KGN37" s="168"/>
      <c r="KGO37" s="168"/>
      <c r="KGP37" s="168"/>
      <c r="KGQ37" s="168"/>
      <c r="KGR37" s="168"/>
      <c r="KGS37" s="168"/>
      <c r="KGT37" s="168"/>
      <c r="KGU37" s="168"/>
      <c r="KGV37" s="168"/>
      <c r="KGW37" s="168"/>
      <c r="KGX37" s="168"/>
      <c r="KGY37" s="168"/>
      <c r="KGZ37" s="168"/>
      <c r="KHA37" s="168"/>
      <c r="KHB37" s="168"/>
      <c r="KHC37" s="168"/>
      <c r="KHD37" s="168"/>
      <c r="KHE37" s="168"/>
      <c r="KHF37" s="168"/>
      <c r="KHG37" s="168"/>
      <c r="KHH37" s="168"/>
      <c r="KHI37" s="168"/>
      <c r="KHJ37" s="168"/>
      <c r="KHK37" s="168"/>
      <c r="KHL37" s="168"/>
      <c r="KHM37" s="168"/>
      <c r="KHN37" s="168"/>
      <c r="KHO37" s="168"/>
      <c r="KHP37" s="168"/>
      <c r="KHQ37" s="168"/>
      <c r="KHR37" s="168"/>
      <c r="KHS37" s="168"/>
      <c r="KHT37" s="168"/>
      <c r="KHU37" s="168"/>
      <c r="KHV37" s="168"/>
      <c r="KHW37" s="168"/>
      <c r="KHX37" s="168"/>
      <c r="KHY37" s="168"/>
      <c r="KHZ37" s="168"/>
      <c r="KIA37" s="168"/>
      <c r="KIB37" s="168"/>
      <c r="KIC37" s="168"/>
      <c r="KID37" s="168"/>
      <c r="KIE37" s="168"/>
      <c r="KIF37" s="168"/>
      <c r="KIG37" s="168"/>
      <c r="KIH37" s="168"/>
      <c r="KII37" s="168"/>
      <c r="KIJ37" s="168"/>
      <c r="KIK37" s="168"/>
      <c r="KIL37" s="168"/>
      <c r="KIM37" s="168"/>
      <c r="KIN37" s="168"/>
      <c r="KIO37" s="168"/>
      <c r="KIP37" s="168"/>
      <c r="KIQ37" s="168"/>
      <c r="KIR37" s="168"/>
      <c r="KIS37" s="168"/>
      <c r="KIT37" s="168"/>
      <c r="KIU37" s="168"/>
      <c r="KIV37" s="168"/>
      <c r="KIW37" s="168"/>
      <c r="KIX37" s="168"/>
      <c r="KIY37" s="168"/>
      <c r="KIZ37" s="168"/>
      <c r="KJA37" s="168"/>
      <c r="KJB37" s="168"/>
      <c r="KJC37" s="168"/>
      <c r="KJD37" s="168"/>
      <c r="KJE37" s="168"/>
      <c r="KJF37" s="168"/>
      <c r="KJG37" s="168"/>
      <c r="KJH37" s="168"/>
      <c r="KJI37" s="168"/>
      <c r="KJJ37" s="168"/>
      <c r="KJK37" s="168"/>
      <c r="KJL37" s="168"/>
      <c r="KJM37" s="168"/>
      <c r="KJN37" s="168"/>
      <c r="KJO37" s="168"/>
      <c r="KJP37" s="168"/>
      <c r="KJQ37" s="168"/>
      <c r="KJR37" s="168"/>
      <c r="KJS37" s="168"/>
      <c r="KJT37" s="168"/>
      <c r="KJU37" s="168"/>
      <c r="KJV37" s="168"/>
      <c r="KJW37" s="168"/>
      <c r="KJX37" s="168"/>
      <c r="KJY37" s="168"/>
      <c r="KJZ37" s="168"/>
      <c r="KKA37" s="168"/>
      <c r="KKB37" s="168"/>
      <c r="KKC37" s="168"/>
      <c r="KKD37" s="168"/>
      <c r="KKE37" s="168"/>
      <c r="KKF37" s="168"/>
      <c r="KKG37" s="168"/>
      <c r="KKH37" s="168"/>
      <c r="KKI37" s="168"/>
      <c r="KKJ37" s="168"/>
      <c r="KKK37" s="168"/>
      <c r="KKL37" s="168"/>
      <c r="KKM37" s="168"/>
      <c r="KKN37" s="168"/>
      <c r="KKO37" s="168"/>
      <c r="KKP37" s="168"/>
      <c r="KKQ37" s="168"/>
      <c r="KKR37" s="168"/>
      <c r="KKS37" s="168"/>
      <c r="KKT37" s="168"/>
      <c r="KKU37" s="168"/>
      <c r="KKV37" s="168"/>
      <c r="KKW37" s="168"/>
      <c r="KKX37" s="168"/>
      <c r="KKY37" s="168"/>
      <c r="KKZ37" s="168"/>
      <c r="KLA37" s="168"/>
      <c r="KLB37" s="168"/>
      <c r="KLC37" s="168"/>
      <c r="KLD37" s="168"/>
      <c r="KLE37" s="168"/>
      <c r="KLF37" s="168"/>
      <c r="KLG37" s="168"/>
      <c r="KLH37" s="168"/>
      <c r="KLI37" s="168"/>
      <c r="KLJ37" s="168"/>
      <c r="KLK37" s="168"/>
      <c r="KLL37" s="168"/>
      <c r="KLM37" s="168"/>
      <c r="KLN37" s="168"/>
      <c r="KLO37" s="168"/>
      <c r="KLP37" s="168"/>
      <c r="KLQ37" s="168"/>
      <c r="KLR37" s="168"/>
      <c r="KLS37" s="168"/>
      <c r="KLT37" s="168"/>
      <c r="KLU37" s="168"/>
      <c r="KLV37" s="168"/>
      <c r="KLW37" s="168"/>
      <c r="KLX37" s="168"/>
      <c r="KLY37" s="168"/>
      <c r="KLZ37" s="168"/>
      <c r="KMA37" s="168"/>
      <c r="KMB37" s="168"/>
      <c r="KMC37" s="168"/>
      <c r="KMD37" s="168"/>
      <c r="KME37" s="168"/>
      <c r="KMF37" s="168"/>
      <c r="KMG37" s="168"/>
      <c r="KMH37" s="168"/>
      <c r="KMI37" s="168"/>
      <c r="KMJ37" s="168"/>
      <c r="KMK37" s="168"/>
      <c r="KML37" s="168"/>
      <c r="KMM37" s="168"/>
      <c r="KMN37" s="168"/>
      <c r="KMO37" s="168"/>
      <c r="KMP37" s="168"/>
      <c r="KMQ37" s="168"/>
      <c r="KMR37" s="168"/>
      <c r="KMS37" s="168"/>
      <c r="KMT37" s="168"/>
      <c r="KMU37" s="168"/>
      <c r="KMV37" s="168"/>
      <c r="KMW37" s="168"/>
      <c r="KMX37" s="168"/>
      <c r="KMY37" s="168"/>
      <c r="KMZ37" s="168"/>
      <c r="KNA37" s="168"/>
      <c r="KNB37" s="168"/>
      <c r="KNC37" s="168"/>
      <c r="KND37" s="168"/>
      <c r="KNE37" s="168"/>
      <c r="KNF37" s="168"/>
      <c r="KNG37" s="168"/>
      <c r="KNH37" s="168"/>
      <c r="KNI37" s="168"/>
      <c r="KNJ37" s="168"/>
      <c r="KNK37" s="168"/>
      <c r="KNL37" s="168"/>
      <c r="KNM37" s="168"/>
      <c r="KNN37" s="168"/>
      <c r="KNO37" s="168"/>
      <c r="KNP37" s="168"/>
      <c r="KNQ37" s="168"/>
      <c r="KNR37" s="168"/>
      <c r="KNS37" s="168"/>
      <c r="KNT37" s="168"/>
      <c r="KNU37" s="168"/>
      <c r="KNV37" s="168"/>
      <c r="KNW37" s="168"/>
      <c r="KNX37" s="168"/>
      <c r="KNY37" s="168"/>
      <c r="KNZ37" s="168"/>
      <c r="KOA37" s="168"/>
      <c r="KOB37" s="168"/>
      <c r="KOC37" s="168"/>
      <c r="KOD37" s="168"/>
      <c r="KOE37" s="168"/>
      <c r="KOF37" s="168"/>
      <c r="KOG37" s="168"/>
      <c r="KOH37" s="168"/>
      <c r="KOI37" s="168"/>
      <c r="KOJ37" s="168"/>
      <c r="KOK37" s="168"/>
      <c r="KOL37" s="168"/>
      <c r="KOM37" s="168"/>
      <c r="KON37" s="168"/>
      <c r="KOO37" s="168"/>
      <c r="KOP37" s="168"/>
      <c r="KOQ37" s="168"/>
      <c r="KOR37" s="168"/>
      <c r="KOS37" s="168"/>
      <c r="KOT37" s="168"/>
      <c r="KOU37" s="168"/>
      <c r="KOV37" s="168"/>
      <c r="KOW37" s="168"/>
      <c r="KOX37" s="168"/>
      <c r="KOY37" s="168"/>
      <c r="KOZ37" s="168"/>
      <c r="KPA37" s="168"/>
      <c r="KPB37" s="168"/>
      <c r="KPC37" s="168"/>
      <c r="KPD37" s="168"/>
      <c r="KPE37" s="168"/>
      <c r="KPF37" s="168"/>
      <c r="KPG37" s="168"/>
      <c r="KPH37" s="168"/>
      <c r="KPI37" s="168"/>
      <c r="KPJ37" s="168"/>
      <c r="KPK37" s="168"/>
      <c r="KPL37" s="168"/>
      <c r="KPM37" s="168"/>
      <c r="KPN37" s="168"/>
      <c r="KPO37" s="168"/>
      <c r="KPP37" s="168"/>
      <c r="KPQ37" s="168"/>
      <c r="KPR37" s="168"/>
      <c r="KPS37" s="168"/>
      <c r="KPT37" s="168"/>
      <c r="KPU37" s="168"/>
      <c r="KPV37" s="168"/>
      <c r="KPW37" s="168"/>
      <c r="KPX37" s="168"/>
      <c r="KPY37" s="168"/>
      <c r="KPZ37" s="168"/>
      <c r="KQA37" s="168"/>
      <c r="KQB37" s="168"/>
      <c r="KQC37" s="168"/>
      <c r="KQD37" s="168"/>
      <c r="KQE37" s="168"/>
      <c r="KQF37" s="168"/>
      <c r="KQG37" s="168"/>
      <c r="KQH37" s="168"/>
      <c r="KQI37" s="168"/>
      <c r="KQJ37" s="168"/>
      <c r="KQK37" s="168"/>
      <c r="KQL37" s="168"/>
      <c r="KQM37" s="168"/>
      <c r="KQN37" s="168"/>
      <c r="KQO37" s="168"/>
      <c r="KQP37" s="168"/>
      <c r="KQQ37" s="168"/>
      <c r="KQR37" s="168"/>
      <c r="KQS37" s="168"/>
      <c r="KQT37" s="168"/>
      <c r="KQU37" s="168"/>
      <c r="KQV37" s="168"/>
      <c r="KQW37" s="168"/>
      <c r="KQX37" s="168"/>
      <c r="KQY37" s="168"/>
      <c r="KQZ37" s="168"/>
      <c r="KRA37" s="168"/>
      <c r="KRB37" s="168"/>
      <c r="KRC37" s="168"/>
      <c r="KRD37" s="168"/>
      <c r="KRE37" s="168"/>
      <c r="KRF37" s="168"/>
      <c r="KRG37" s="168"/>
      <c r="KRH37" s="168"/>
      <c r="KRI37" s="168"/>
      <c r="KRJ37" s="168"/>
      <c r="KRK37" s="168"/>
      <c r="KRL37" s="168"/>
      <c r="KRM37" s="168"/>
      <c r="KRN37" s="168"/>
      <c r="KRO37" s="168"/>
      <c r="KRP37" s="168"/>
      <c r="KRQ37" s="168"/>
      <c r="KRR37" s="168"/>
      <c r="KRS37" s="168"/>
      <c r="KRT37" s="168"/>
      <c r="KRU37" s="168"/>
      <c r="KRV37" s="168"/>
      <c r="KRW37" s="168"/>
      <c r="KRX37" s="168"/>
      <c r="KRY37" s="168"/>
      <c r="KRZ37" s="168"/>
      <c r="KSA37" s="168"/>
      <c r="KSB37" s="168"/>
      <c r="KSC37" s="168"/>
      <c r="KSD37" s="168"/>
      <c r="KSE37" s="168"/>
      <c r="KSF37" s="168"/>
      <c r="KSG37" s="168"/>
      <c r="KSH37" s="168"/>
      <c r="KSI37" s="168"/>
      <c r="KSJ37" s="168"/>
      <c r="KSK37" s="168"/>
      <c r="KSL37" s="168"/>
      <c r="KSM37" s="168"/>
      <c r="KSN37" s="168"/>
      <c r="KSO37" s="168"/>
      <c r="KSP37" s="168"/>
      <c r="KSQ37" s="168"/>
      <c r="KSR37" s="168"/>
      <c r="KSS37" s="168"/>
      <c r="KST37" s="168"/>
      <c r="KSU37" s="168"/>
      <c r="KSV37" s="168"/>
      <c r="KSW37" s="168"/>
      <c r="KSX37" s="168"/>
      <c r="KSY37" s="168"/>
      <c r="KSZ37" s="168"/>
      <c r="KTA37" s="168"/>
      <c r="KTB37" s="168"/>
      <c r="KTC37" s="168"/>
      <c r="KTD37" s="168"/>
      <c r="KTE37" s="168"/>
      <c r="KTF37" s="168"/>
      <c r="KTG37" s="168"/>
      <c r="KTH37" s="168"/>
      <c r="KTI37" s="168"/>
      <c r="KTJ37" s="168"/>
      <c r="KTK37" s="168"/>
      <c r="KTL37" s="168"/>
      <c r="KTM37" s="168"/>
      <c r="KTN37" s="168"/>
      <c r="KTO37" s="168"/>
      <c r="KTP37" s="168"/>
      <c r="KTQ37" s="168"/>
      <c r="KTR37" s="168"/>
      <c r="KTS37" s="168"/>
      <c r="KTT37" s="168"/>
      <c r="KTU37" s="168"/>
      <c r="KTV37" s="168"/>
      <c r="KTW37" s="168"/>
      <c r="KTX37" s="168"/>
      <c r="KTY37" s="168"/>
      <c r="KTZ37" s="168"/>
      <c r="KUA37" s="168"/>
      <c r="KUB37" s="168"/>
      <c r="KUC37" s="168"/>
      <c r="KUD37" s="168"/>
      <c r="KUE37" s="168"/>
      <c r="KUF37" s="168"/>
      <c r="KUG37" s="168"/>
      <c r="KUH37" s="168"/>
      <c r="KUI37" s="168"/>
      <c r="KUJ37" s="168"/>
      <c r="KUK37" s="168"/>
      <c r="KUL37" s="168"/>
      <c r="KUM37" s="168"/>
      <c r="KUN37" s="168"/>
      <c r="KUO37" s="168"/>
      <c r="KUP37" s="168"/>
      <c r="KUQ37" s="168"/>
      <c r="KUR37" s="168"/>
      <c r="KUS37" s="168"/>
      <c r="KUT37" s="168"/>
      <c r="KUU37" s="168"/>
      <c r="KUV37" s="168"/>
      <c r="KUW37" s="168"/>
      <c r="KUX37" s="168"/>
      <c r="KUY37" s="168"/>
      <c r="KUZ37" s="168"/>
      <c r="KVA37" s="168"/>
      <c r="KVB37" s="168"/>
      <c r="KVC37" s="168"/>
      <c r="KVD37" s="168"/>
      <c r="KVE37" s="168"/>
      <c r="KVF37" s="168"/>
      <c r="KVG37" s="168"/>
      <c r="KVH37" s="168"/>
      <c r="KVI37" s="168"/>
      <c r="KVJ37" s="168"/>
      <c r="KVK37" s="168"/>
      <c r="KVL37" s="168"/>
      <c r="KVM37" s="168"/>
      <c r="KVN37" s="168"/>
      <c r="KVO37" s="168"/>
      <c r="KVP37" s="168"/>
      <c r="KVQ37" s="168"/>
      <c r="KVR37" s="168"/>
      <c r="KVS37" s="168"/>
      <c r="KVT37" s="168"/>
      <c r="KVU37" s="168"/>
      <c r="KVV37" s="168"/>
      <c r="KVW37" s="168"/>
      <c r="KVX37" s="168"/>
      <c r="KVY37" s="168"/>
      <c r="KVZ37" s="168"/>
      <c r="KWA37" s="168"/>
      <c r="KWB37" s="168"/>
      <c r="KWC37" s="168"/>
      <c r="KWD37" s="168"/>
      <c r="KWE37" s="168"/>
      <c r="KWF37" s="168"/>
      <c r="KWG37" s="168"/>
      <c r="KWH37" s="168"/>
      <c r="KWI37" s="168"/>
      <c r="KWJ37" s="168"/>
      <c r="KWK37" s="168"/>
      <c r="KWL37" s="168"/>
      <c r="KWM37" s="168"/>
      <c r="KWN37" s="168"/>
      <c r="KWO37" s="168"/>
      <c r="KWP37" s="168"/>
      <c r="KWQ37" s="168"/>
      <c r="KWR37" s="168"/>
      <c r="KWS37" s="168"/>
      <c r="KWT37" s="168"/>
      <c r="KWU37" s="168"/>
      <c r="KWV37" s="168"/>
      <c r="KWW37" s="168"/>
      <c r="KWX37" s="168"/>
      <c r="KWY37" s="168"/>
      <c r="KWZ37" s="168"/>
      <c r="KXA37" s="168"/>
      <c r="KXB37" s="168"/>
      <c r="KXC37" s="168"/>
      <c r="KXD37" s="168"/>
      <c r="KXE37" s="168"/>
      <c r="KXF37" s="168"/>
      <c r="KXG37" s="168"/>
      <c r="KXH37" s="168"/>
      <c r="KXI37" s="168"/>
      <c r="KXJ37" s="168"/>
      <c r="KXK37" s="168"/>
      <c r="KXL37" s="168"/>
      <c r="KXM37" s="168"/>
      <c r="KXN37" s="168"/>
      <c r="KXO37" s="168"/>
      <c r="KXP37" s="168"/>
      <c r="KXQ37" s="168"/>
      <c r="KXR37" s="168"/>
      <c r="KXS37" s="168"/>
      <c r="KXT37" s="168"/>
      <c r="KXU37" s="168"/>
      <c r="KXV37" s="168"/>
      <c r="KXW37" s="168"/>
      <c r="KXX37" s="168"/>
      <c r="KXY37" s="168"/>
      <c r="KXZ37" s="168"/>
      <c r="KYA37" s="168"/>
      <c r="KYB37" s="168"/>
      <c r="KYC37" s="168"/>
      <c r="KYD37" s="168"/>
      <c r="KYE37" s="168"/>
      <c r="KYF37" s="168"/>
      <c r="KYG37" s="168"/>
      <c r="KYH37" s="168"/>
      <c r="KYI37" s="168"/>
      <c r="KYJ37" s="168"/>
      <c r="KYK37" s="168"/>
      <c r="KYL37" s="168"/>
      <c r="KYM37" s="168"/>
      <c r="KYN37" s="168"/>
      <c r="KYO37" s="168"/>
      <c r="KYP37" s="168"/>
      <c r="KYQ37" s="168"/>
      <c r="KYR37" s="168"/>
      <c r="KYS37" s="168"/>
      <c r="KYT37" s="168"/>
      <c r="KYU37" s="168"/>
      <c r="KYV37" s="168"/>
      <c r="KYW37" s="168"/>
      <c r="KYX37" s="168"/>
      <c r="KYY37" s="168"/>
      <c r="KYZ37" s="168"/>
      <c r="KZA37" s="168"/>
      <c r="KZB37" s="168"/>
      <c r="KZC37" s="168"/>
      <c r="KZD37" s="168"/>
      <c r="KZE37" s="168"/>
      <c r="KZF37" s="168"/>
      <c r="KZG37" s="168"/>
      <c r="KZH37" s="168"/>
      <c r="KZI37" s="168"/>
      <c r="KZJ37" s="168"/>
      <c r="KZK37" s="168"/>
      <c r="KZL37" s="168"/>
      <c r="KZM37" s="168"/>
      <c r="KZN37" s="168"/>
      <c r="KZO37" s="168"/>
      <c r="KZP37" s="168"/>
      <c r="KZQ37" s="168"/>
      <c r="KZR37" s="168"/>
      <c r="KZS37" s="168"/>
      <c r="KZT37" s="168"/>
      <c r="KZU37" s="168"/>
      <c r="KZV37" s="168"/>
      <c r="KZW37" s="168"/>
      <c r="KZX37" s="168"/>
      <c r="KZY37" s="168"/>
      <c r="KZZ37" s="168"/>
      <c r="LAA37" s="168"/>
      <c r="LAB37" s="168"/>
      <c r="LAC37" s="168"/>
      <c r="LAD37" s="168"/>
      <c r="LAE37" s="168"/>
      <c r="LAF37" s="168"/>
      <c r="LAG37" s="168"/>
      <c r="LAH37" s="168"/>
      <c r="LAI37" s="168"/>
      <c r="LAJ37" s="168"/>
      <c r="LAK37" s="168"/>
      <c r="LAL37" s="168"/>
      <c r="LAM37" s="168"/>
      <c r="LAN37" s="168"/>
      <c r="LAO37" s="168"/>
      <c r="LAP37" s="168"/>
      <c r="LAQ37" s="168"/>
      <c r="LAR37" s="168"/>
      <c r="LAS37" s="168"/>
      <c r="LAT37" s="168"/>
      <c r="LAU37" s="168"/>
      <c r="LAV37" s="168"/>
      <c r="LAW37" s="168"/>
      <c r="LAX37" s="168"/>
      <c r="LAY37" s="168"/>
      <c r="LAZ37" s="168"/>
      <c r="LBA37" s="168"/>
      <c r="LBB37" s="168"/>
      <c r="LBC37" s="168"/>
      <c r="LBD37" s="168"/>
      <c r="LBE37" s="168"/>
      <c r="LBF37" s="168"/>
      <c r="LBG37" s="168"/>
      <c r="LBH37" s="168"/>
      <c r="LBI37" s="168"/>
      <c r="LBJ37" s="168"/>
      <c r="LBK37" s="168"/>
      <c r="LBL37" s="168"/>
      <c r="LBM37" s="168"/>
      <c r="LBN37" s="168"/>
      <c r="LBO37" s="168"/>
      <c r="LBP37" s="168"/>
      <c r="LBQ37" s="168"/>
      <c r="LBR37" s="168"/>
      <c r="LBS37" s="168"/>
      <c r="LBT37" s="168"/>
      <c r="LBU37" s="168"/>
      <c r="LBV37" s="168"/>
      <c r="LBW37" s="168"/>
      <c r="LBX37" s="168"/>
      <c r="LBY37" s="168"/>
      <c r="LBZ37" s="168"/>
      <c r="LCA37" s="168"/>
      <c r="LCB37" s="168"/>
      <c r="LCC37" s="168"/>
      <c r="LCD37" s="168"/>
      <c r="LCE37" s="168"/>
      <c r="LCF37" s="168"/>
      <c r="LCG37" s="168"/>
      <c r="LCH37" s="168"/>
      <c r="LCI37" s="168"/>
      <c r="LCJ37" s="168"/>
      <c r="LCK37" s="168"/>
      <c r="LCL37" s="168"/>
      <c r="LCM37" s="168"/>
      <c r="LCN37" s="168"/>
      <c r="LCO37" s="168"/>
      <c r="LCP37" s="168"/>
      <c r="LCQ37" s="168"/>
      <c r="LCR37" s="168"/>
      <c r="LCS37" s="168"/>
      <c r="LCT37" s="168"/>
      <c r="LCU37" s="168"/>
      <c r="LCV37" s="168"/>
      <c r="LCW37" s="168"/>
      <c r="LCX37" s="168"/>
      <c r="LCY37" s="168"/>
      <c r="LCZ37" s="168"/>
      <c r="LDA37" s="168"/>
      <c r="LDB37" s="168"/>
      <c r="LDC37" s="168"/>
      <c r="LDD37" s="168"/>
      <c r="LDE37" s="168"/>
      <c r="LDF37" s="168"/>
      <c r="LDG37" s="168"/>
      <c r="LDH37" s="168"/>
      <c r="LDI37" s="168"/>
      <c r="LDJ37" s="168"/>
      <c r="LDK37" s="168"/>
      <c r="LDL37" s="168"/>
      <c r="LDM37" s="168"/>
      <c r="LDN37" s="168"/>
      <c r="LDO37" s="168"/>
      <c r="LDP37" s="168"/>
      <c r="LDQ37" s="168"/>
      <c r="LDR37" s="168"/>
      <c r="LDS37" s="168"/>
      <c r="LDT37" s="168"/>
      <c r="LDU37" s="168"/>
      <c r="LDV37" s="168"/>
      <c r="LDW37" s="168"/>
      <c r="LDX37" s="168"/>
      <c r="LDY37" s="168"/>
      <c r="LDZ37" s="168"/>
      <c r="LEA37" s="168"/>
      <c r="LEB37" s="168"/>
      <c r="LEC37" s="168"/>
      <c r="LED37" s="168"/>
      <c r="LEE37" s="168"/>
      <c r="LEF37" s="168"/>
      <c r="LEG37" s="168"/>
      <c r="LEH37" s="168"/>
      <c r="LEI37" s="168"/>
      <c r="LEJ37" s="168"/>
      <c r="LEK37" s="168"/>
      <c r="LEL37" s="168"/>
      <c r="LEM37" s="168"/>
      <c r="LEN37" s="168"/>
      <c r="LEO37" s="168"/>
      <c r="LEP37" s="168"/>
      <c r="LEQ37" s="168"/>
      <c r="LER37" s="168"/>
      <c r="LES37" s="168"/>
      <c r="LET37" s="168"/>
      <c r="LEU37" s="168"/>
      <c r="LEV37" s="168"/>
      <c r="LEW37" s="168"/>
      <c r="LEX37" s="168"/>
      <c r="LEY37" s="168"/>
      <c r="LEZ37" s="168"/>
      <c r="LFA37" s="168"/>
      <c r="LFB37" s="168"/>
      <c r="LFC37" s="168"/>
      <c r="LFD37" s="168"/>
      <c r="LFE37" s="168"/>
      <c r="LFF37" s="168"/>
      <c r="LFG37" s="168"/>
      <c r="LFH37" s="168"/>
      <c r="LFI37" s="168"/>
      <c r="LFJ37" s="168"/>
      <c r="LFK37" s="168"/>
      <c r="LFL37" s="168"/>
      <c r="LFM37" s="168"/>
      <c r="LFN37" s="168"/>
      <c r="LFO37" s="168"/>
      <c r="LFP37" s="168"/>
      <c r="LFQ37" s="168"/>
      <c r="LFR37" s="168"/>
      <c r="LFS37" s="168"/>
      <c r="LFT37" s="168"/>
      <c r="LFU37" s="168"/>
      <c r="LFV37" s="168"/>
      <c r="LFW37" s="168"/>
      <c r="LFX37" s="168"/>
      <c r="LFY37" s="168"/>
      <c r="LFZ37" s="168"/>
      <c r="LGA37" s="168"/>
      <c r="LGB37" s="168"/>
      <c r="LGC37" s="168"/>
      <c r="LGD37" s="168"/>
      <c r="LGE37" s="168"/>
      <c r="LGF37" s="168"/>
      <c r="LGG37" s="168"/>
      <c r="LGH37" s="168"/>
      <c r="LGI37" s="168"/>
      <c r="LGJ37" s="168"/>
      <c r="LGK37" s="168"/>
      <c r="LGL37" s="168"/>
      <c r="LGM37" s="168"/>
      <c r="LGN37" s="168"/>
      <c r="LGO37" s="168"/>
      <c r="LGP37" s="168"/>
      <c r="LGQ37" s="168"/>
      <c r="LGR37" s="168"/>
      <c r="LGS37" s="168"/>
      <c r="LGT37" s="168"/>
      <c r="LGU37" s="168"/>
      <c r="LGV37" s="168"/>
      <c r="LGW37" s="168"/>
      <c r="LGX37" s="168"/>
      <c r="LGY37" s="168"/>
      <c r="LGZ37" s="168"/>
      <c r="LHA37" s="168"/>
      <c r="LHB37" s="168"/>
      <c r="LHC37" s="168"/>
      <c r="LHD37" s="168"/>
      <c r="LHE37" s="168"/>
      <c r="LHF37" s="168"/>
      <c r="LHG37" s="168"/>
      <c r="LHH37" s="168"/>
      <c r="LHI37" s="168"/>
      <c r="LHJ37" s="168"/>
      <c r="LHK37" s="168"/>
      <c r="LHL37" s="168"/>
      <c r="LHM37" s="168"/>
      <c r="LHN37" s="168"/>
      <c r="LHO37" s="168"/>
      <c r="LHP37" s="168"/>
      <c r="LHQ37" s="168"/>
      <c r="LHR37" s="168"/>
      <c r="LHS37" s="168"/>
      <c r="LHT37" s="168"/>
      <c r="LHU37" s="168"/>
      <c r="LHV37" s="168"/>
      <c r="LHW37" s="168"/>
      <c r="LHX37" s="168"/>
      <c r="LHY37" s="168"/>
      <c r="LHZ37" s="168"/>
      <c r="LIA37" s="168"/>
      <c r="LIB37" s="168"/>
      <c r="LIC37" s="168"/>
      <c r="LID37" s="168"/>
      <c r="LIE37" s="168"/>
      <c r="LIF37" s="168"/>
      <c r="LIG37" s="168"/>
      <c r="LIH37" s="168"/>
      <c r="LII37" s="168"/>
      <c r="LIJ37" s="168"/>
      <c r="LIK37" s="168"/>
      <c r="LIL37" s="168"/>
      <c r="LIM37" s="168"/>
      <c r="LIN37" s="168"/>
      <c r="LIO37" s="168"/>
      <c r="LIP37" s="168"/>
      <c r="LIQ37" s="168"/>
      <c r="LIR37" s="168"/>
      <c r="LIS37" s="168"/>
      <c r="LIT37" s="168"/>
      <c r="LIU37" s="168"/>
      <c r="LIV37" s="168"/>
      <c r="LIW37" s="168"/>
      <c r="LIX37" s="168"/>
      <c r="LIY37" s="168"/>
      <c r="LIZ37" s="168"/>
      <c r="LJA37" s="168"/>
      <c r="LJB37" s="168"/>
      <c r="LJC37" s="168"/>
      <c r="LJD37" s="168"/>
      <c r="LJE37" s="168"/>
      <c r="LJF37" s="168"/>
      <c r="LJG37" s="168"/>
      <c r="LJH37" s="168"/>
      <c r="LJI37" s="168"/>
      <c r="LJJ37" s="168"/>
      <c r="LJK37" s="168"/>
      <c r="LJL37" s="168"/>
      <c r="LJM37" s="168"/>
      <c r="LJN37" s="168"/>
      <c r="LJO37" s="168"/>
      <c r="LJP37" s="168"/>
      <c r="LJQ37" s="168"/>
      <c r="LJR37" s="168"/>
      <c r="LJS37" s="168"/>
      <c r="LJT37" s="168"/>
      <c r="LJU37" s="168"/>
      <c r="LJV37" s="168"/>
      <c r="LJW37" s="168"/>
      <c r="LJX37" s="168"/>
      <c r="LJY37" s="168"/>
      <c r="LJZ37" s="168"/>
      <c r="LKA37" s="168"/>
      <c r="LKB37" s="168"/>
      <c r="LKC37" s="168"/>
      <c r="LKD37" s="168"/>
      <c r="LKE37" s="168"/>
      <c r="LKF37" s="168"/>
      <c r="LKG37" s="168"/>
      <c r="LKH37" s="168"/>
      <c r="LKI37" s="168"/>
      <c r="LKJ37" s="168"/>
      <c r="LKK37" s="168"/>
      <c r="LKL37" s="168"/>
      <c r="LKM37" s="168"/>
      <c r="LKN37" s="168"/>
      <c r="LKO37" s="168"/>
      <c r="LKP37" s="168"/>
      <c r="LKQ37" s="168"/>
      <c r="LKR37" s="168"/>
      <c r="LKS37" s="168"/>
      <c r="LKT37" s="168"/>
      <c r="LKU37" s="168"/>
      <c r="LKV37" s="168"/>
      <c r="LKW37" s="168"/>
      <c r="LKX37" s="168"/>
      <c r="LKY37" s="168"/>
      <c r="LKZ37" s="168"/>
      <c r="LLA37" s="168"/>
      <c r="LLB37" s="168"/>
      <c r="LLC37" s="168"/>
      <c r="LLD37" s="168"/>
      <c r="LLE37" s="168"/>
      <c r="LLF37" s="168"/>
      <c r="LLG37" s="168"/>
      <c r="LLH37" s="168"/>
      <c r="LLI37" s="168"/>
      <c r="LLJ37" s="168"/>
      <c r="LLK37" s="168"/>
      <c r="LLL37" s="168"/>
      <c r="LLM37" s="168"/>
      <c r="LLN37" s="168"/>
      <c r="LLO37" s="168"/>
      <c r="LLP37" s="168"/>
      <c r="LLQ37" s="168"/>
      <c r="LLR37" s="168"/>
      <c r="LLS37" s="168"/>
      <c r="LLT37" s="168"/>
      <c r="LLU37" s="168"/>
      <c r="LLV37" s="168"/>
      <c r="LLW37" s="168"/>
      <c r="LLX37" s="168"/>
      <c r="LLY37" s="168"/>
      <c r="LLZ37" s="168"/>
      <c r="LMA37" s="168"/>
      <c r="LMB37" s="168"/>
      <c r="LMC37" s="168"/>
      <c r="LMD37" s="168"/>
      <c r="LME37" s="168"/>
      <c r="LMF37" s="168"/>
      <c r="LMG37" s="168"/>
      <c r="LMH37" s="168"/>
      <c r="LMI37" s="168"/>
      <c r="LMJ37" s="168"/>
      <c r="LMK37" s="168"/>
      <c r="LML37" s="168"/>
      <c r="LMM37" s="168"/>
      <c r="LMN37" s="168"/>
      <c r="LMO37" s="168"/>
      <c r="LMP37" s="168"/>
      <c r="LMQ37" s="168"/>
      <c r="LMR37" s="168"/>
      <c r="LMS37" s="168"/>
      <c r="LMT37" s="168"/>
      <c r="LMU37" s="168"/>
      <c r="LMV37" s="168"/>
      <c r="LMW37" s="168"/>
      <c r="LMX37" s="168"/>
      <c r="LMY37" s="168"/>
      <c r="LMZ37" s="168"/>
      <c r="LNA37" s="168"/>
      <c r="LNB37" s="168"/>
      <c r="LNC37" s="168"/>
      <c r="LND37" s="168"/>
      <c r="LNE37" s="168"/>
      <c r="LNF37" s="168"/>
      <c r="LNG37" s="168"/>
      <c r="LNH37" s="168"/>
      <c r="LNI37" s="168"/>
      <c r="LNJ37" s="168"/>
      <c r="LNK37" s="168"/>
      <c r="LNL37" s="168"/>
      <c r="LNM37" s="168"/>
      <c r="LNN37" s="168"/>
      <c r="LNO37" s="168"/>
      <c r="LNP37" s="168"/>
      <c r="LNQ37" s="168"/>
      <c r="LNR37" s="168"/>
      <c r="LNS37" s="168"/>
      <c r="LNT37" s="168"/>
      <c r="LNU37" s="168"/>
      <c r="LNV37" s="168"/>
      <c r="LNW37" s="168"/>
      <c r="LNX37" s="168"/>
      <c r="LNY37" s="168"/>
      <c r="LNZ37" s="168"/>
      <c r="LOA37" s="168"/>
      <c r="LOB37" s="168"/>
      <c r="LOC37" s="168"/>
      <c r="LOD37" s="168"/>
      <c r="LOE37" s="168"/>
      <c r="LOF37" s="168"/>
      <c r="LOG37" s="168"/>
      <c r="LOH37" s="168"/>
      <c r="LOI37" s="168"/>
      <c r="LOJ37" s="168"/>
      <c r="LOK37" s="168"/>
      <c r="LOL37" s="168"/>
      <c r="LOM37" s="168"/>
      <c r="LON37" s="168"/>
      <c r="LOO37" s="168"/>
      <c r="LOP37" s="168"/>
      <c r="LOQ37" s="168"/>
      <c r="LOR37" s="168"/>
      <c r="LOS37" s="168"/>
      <c r="LOT37" s="168"/>
      <c r="LOU37" s="168"/>
      <c r="LOV37" s="168"/>
      <c r="LOW37" s="168"/>
      <c r="LOX37" s="168"/>
      <c r="LOY37" s="168"/>
      <c r="LOZ37" s="168"/>
      <c r="LPA37" s="168"/>
      <c r="LPB37" s="168"/>
      <c r="LPC37" s="168"/>
      <c r="LPD37" s="168"/>
      <c r="LPE37" s="168"/>
      <c r="LPF37" s="168"/>
      <c r="LPG37" s="168"/>
      <c r="LPH37" s="168"/>
      <c r="LPI37" s="168"/>
      <c r="LPJ37" s="168"/>
      <c r="LPK37" s="168"/>
      <c r="LPL37" s="168"/>
      <c r="LPM37" s="168"/>
      <c r="LPN37" s="168"/>
      <c r="LPO37" s="168"/>
      <c r="LPP37" s="168"/>
      <c r="LPQ37" s="168"/>
      <c r="LPR37" s="168"/>
      <c r="LPS37" s="168"/>
      <c r="LPT37" s="168"/>
      <c r="LPU37" s="168"/>
      <c r="LPV37" s="168"/>
      <c r="LPW37" s="168"/>
      <c r="LPX37" s="168"/>
      <c r="LPY37" s="168"/>
      <c r="LPZ37" s="168"/>
      <c r="LQA37" s="168"/>
      <c r="LQB37" s="168"/>
      <c r="LQC37" s="168"/>
      <c r="LQD37" s="168"/>
      <c r="LQE37" s="168"/>
      <c r="LQF37" s="168"/>
      <c r="LQG37" s="168"/>
      <c r="LQH37" s="168"/>
      <c r="LQI37" s="168"/>
      <c r="LQJ37" s="168"/>
      <c r="LQK37" s="168"/>
      <c r="LQL37" s="168"/>
      <c r="LQM37" s="168"/>
      <c r="LQN37" s="168"/>
      <c r="LQO37" s="168"/>
      <c r="LQP37" s="168"/>
      <c r="LQQ37" s="168"/>
      <c r="LQR37" s="168"/>
      <c r="LQS37" s="168"/>
      <c r="LQT37" s="168"/>
      <c r="LQU37" s="168"/>
      <c r="LQV37" s="168"/>
      <c r="LQW37" s="168"/>
      <c r="LQX37" s="168"/>
      <c r="LQY37" s="168"/>
      <c r="LQZ37" s="168"/>
      <c r="LRA37" s="168"/>
      <c r="LRB37" s="168"/>
      <c r="LRC37" s="168"/>
      <c r="LRD37" s="168"/>
      <c r="LRE37" s="168"/>
      <c r="LRF37" s="168"/>
      <c r="LRG37" s="168"/>
      <c r="LRH37" s="168"/>
      <c r="LRI37" s="168"/>
      <c r="LRJ37" s="168"/>
      <c r="LRK37" s="168"/>
      <c r="LRL37" s="168"/>
      <c r="LRM37" s="168"/>
      <c r="LRN37" s="168"/>
      <c r="LRO37" s="168"/>
      <c r="LRP37" s="168"/>
      <c r="LRQ37" s="168"/>
      <c r="LRR37" s="168"/>
      <c r="LRS37" s="168"/>
      <c r="LRT37" s="168"/>
      <c r="LRU37" s="168"/>
      <c r="LRV37" s="168"/>
      <c r="LRW37" s="168"/>
      <c r="LRX37" s="168"/>
      <c r="LRY37" s="168"/>
      <c r="LRZ37" s="168"/>
      <c r="LSA37" s="168"/>
      <c r="LSB37" s="168"/>
      <c r="LSC37" s="168"/>
      <c r="LSD37" s="168"/>
      <c r="LSE37" s="168"/>
      <c r="LSF37" s="168"/>
      <c r="LSG37" s="168"/>
      <c r="LSH37" s="168"/>
      <c r="LSI37" s="168"/>
      <c r="LSJ37" s="168"/>
      <c r="LSK37" s="168"/>
      <c r="LSL37" s="168"/>
      <c r="LSM37" s="168"/>
      <c r="LSN37" s="168"/>
      <c r="LSO37" s="168"/>
      <c r="LSP37" s="168"/>
      <c r="LSQ37" s="168"/>
      <c r="LSR37" s="168"/>
      <c r="LSS37" s="168"/>
      <c r="LST37" s="168"/>
      <c r="LSU37" s="168"/>
      <c r="LSV37" s="168"/>
      <c r="LSW37" s="168"/>
      <c r="LSX37" s="168"/>
      <c r="LSY37" s="168"/>
      <c r="LSZ37" s="168"/>
      <c r="LTA37" s="168"/>
      <c r="LTB37" s="168"/>
      <c r="LTC37" s="168"/>
      <c r="LTD37" s="168"/>
      <c r="LTE37" s="168"/>
      <c r="LTF37" s="168"/>
      <c r="LTG37" s="168"/>
      <c r="LTH37" s="168"/>
      <c r="LTI37" s="168"/>
      <c r="LTJ37" s="168"/>
      <c r="LTK37" s="168"/>
      <c r="LTL37" s="168"/>
      <c r="LTM37" s="168"/>
      <c r="LTN37" s="168"/>
      <c r="LTO37" s="168"/>
      <c r="LTP37" s="168"/>
      <c r="LTQ37" s="168"/>
      <c r="LTR37" s="168"/>
      <c r="LTS37" s="168"/>
      <c r="LTT37" s="168"/>
      <c r="LTU37" s="168"/>
      <c r="LTV37" s="168"/>
      <c r="LTW37" s="168"/>
      <c r="LTX37" s="168"/>
      <c r="LTY37" s="168"/>
      <c r="LTZ37" s="168"/>
      <c r="LUA37" s="168"/>
      <c r="LUB37" s="168"/>
      <c r="LUC37" s="168"/>
      <c r="LUD37" s="168"/>
      <c r="LUE37" s="168"/>
      <c r="LUF37" s="168"/>
      <c r="LUG37" s="168"/>
      <c r="LUH37" s="168"/>
      <c r="LUI37" s="168"/>
      <c r="LUJ37" s="168"/>
      <c r="LUK37" s="168"/>
      <c r="LUL37" s="168"/>
      <c r="LUM37" s="168"/>
      <c r="LUN37" s="168"/>
      <c r="LUO37" s="168"/>
      <c r="LUP37" s="168"/>
      <c r="LUQ37" s="168"/>
      <c r="LUR37" s="168"/>
      <c r="LUS37" s="168"/>
      <c r="LUT37" s="168"/>
      <c r="LUU37" s="168"/>
      <c r="LUV37" s="168"/>
      <c r="LUW37" s="168"/>
      <c r="LUX37" s="168"/>
      <c r="LUY37" s="168"/>
      <c r="LUZ37" s="168"/>
      <c r="LVA37" s="168"/>
      <c r="LVB37" s="168"/>
      <c r="LVC37" s="168"/>
      <c r="LVD37" s="168"/>
      <c r="LVE37" s="168"/>
      <c r="LVF37" s="168"/>
      <c r="LVG37" s="168"/>
      <c r="LVH37" s="168"/>
      <c r="LVI37" s="168"/>
      <c r="LVJ37" s="168"/>
      <c r="LVK37" s="168"/>
      <c r="LVL37" s="168"/>
      <c r="LVM37" s="168"/>
      <c r="LVN37" s="168"/>
      <c r="LVO37" s="168"/>
      <c r="LVP37" s="168"/>
      <c r="LVQ37" s="168"/>
      <c r="LVR37" s="168"/>
      <c r="LVS37" s="168"/>
      <c r="LVT37" s="168"/>
      <c r="LVU37" s="168"/>
      <c r="LVV37" s="168"/>
      <c r="LVW37" s="168"/>
      <c r="LVX37" s="168"/>
      <c r="LVY37" s="168"/>
      <c r="LVZ37" s="168"/>
      <c r="LWA37" s="168"/>
      <c r="LWB37" s="168"/>
      <c r="LWC37" s="168"/>
      <c r="LWD37" s="168"/>
      <c r="LWE37" s="168"/>
      <c r="LWF37" s="168"/>
      <c r="LWG37" s="168"/>
      <c r="LWH37" s="168"/>
      <c r="LWI37" s="168"/>
      <c r="LWJ37" s="168"/>
      <c r="LWK37" s="168"/>
      <c r="LWL37" s="168"/>
      <c r="LWM37" s="168"/>
      <c r="LWN37" s="168"/>
      <c r="LWO37" s="168"/>
      <c r="LWP37" s="168"/>
      <c r="LWQ37" s="168"/>
      <c r="LWR37" s="168"/>
      <c r="LWS37" s="168"/>
      <c r="LWT37" s="168"/>
      <c r="LWU37" s="168"/>
      <c r="LWV37" s="168"/>
      <c r="LWW37" s="168"/>
      <c r="LWX37" s="168"/>
      <c r="LWY37" s="168"/>
      <c r="LWZ37" s="168"/>
      <c r="LXA37" s="168"/>
      <c r="LXB37" s="168"/>
      <c r="LXC37" s="168"/>
      <c r="LXD37" s="168"/>
      <c r="LXE37" s="168"/>
      <c r="LXF37" s="168"/>
      <c r="LXG37" s="168"/>
      <c r="LXH37" s="168"/>
      <c r="LXI37" s="168"/>
      <c r="LXJ37" s="168"/>
      <c r="LXK37" s="168"/>
      <c r="LXL37" s="168"/>
      <c r="LXM37" s="168"/>
      <c r="LXN37" s="168"/>
      <c r="LXO37" s="168"/>
      <c r="LXP37" s="168"/>
      <c r="LXQ37" s="168"/>
      <c r="LXR37" s="168"/>
      <c r="LXS37" s="168"/>
      <c r="LXT37" s="168"/>
      <c r="LXU37" s="168"/>
      <c r="LXV37" s="168"/>
      <c r="LXW37" s="168"/>
      <c r="LXX37" s="168"/>
      <c r="LXY37" s="168"/>
      <c r="LXZ37" s="168"/>
      <c r="LYA37" s="168"/>
      <c r="LYB37" s="168"/>
      <c r="LYC37" s="168"/>
      <c r="LYD37" s="168"/>
      <c r="LYE37" s="168"/>
      <c r="LYF37" s="168"/>
      <c r="LYG37" s="168"/>
      <c r="LYH37" s="168"/>
      <c r="LYI37" s="168"/>
      <c r="LYJ37" s="168"/>
      <c r="LYK37" s="168"/>
      <c r="LYL37" s="168"/>
      <c r="LYM37" s="168"/>
      <c r="LYN37" s="168"/>
      <c r="LYO37" s="168"/>
      <c r="LYP37" s="168"/>
      <c r="LYQ37" s="168"/>
      <c r="LYR37" s="168"/>
      <c r="LYS37" s="168"/>
      <c r="LYT37" s="168"/>
      <c r="LYU37" s="168"/>
      <c r="LYV37" s="168"/>
      <c r="LYW37" s="168"/>
      <c r="LYX37" s="168"/>
      <c r="LYY37" s="168"/>
      <c r="LYZ37" s="168"/>
      <c r="LZA37" s="168"/>
      <c r="LZB37" s="168"/>
      <c r="LZC37" s="168"/>
      <c r="LZD37" s="168"/>
      <c r="LZE37" s="168"/>
      <c r="LZF37" s="168"/>
      <c r="LZG37" s="168"/>
      <c r="LZH37" s="168"/>
      <c r="LZI37" s="168"/>
      <c r="LZJ37" s="168"/>
      <c r="LZK37" s="168"/>
      <c r="LZL37" s="168"/>
      <c r="LZM37" s="168"/>
      <c r="LZN37" s="168"/>
      <c r="LZO37" s="168"/>
      <c r="LZP37" s="168"/>
      <c r="LZQ37" s="168"/>
      <c r="LZR37" s="168"/>
      <c r="LZS37" s="168"/>
      <c r="LZT37" s="168"/>
      <c r="LZU37" s="168"/>
      <c r="LZV37" s="168"/>
      <c r="LZW37" s="168"/>
      <c r="LZX37" s="168"/>
      <c r="LZY37" s="168"/>
      <c r="LZZ37" s="168"/>
      <c r="MAA37" s="168"/>
      <c r="MAB37" s="168"/>
      <c r="MAC37" s="168"/>
      <c r="MAD37" s="168"/>
      <c r="MAE37" s="168"/>
      <c r="MAF37" s="168"/>
      <c r="MAG37" s="168"/>
      <c r="MAH37" s="168"/>
      <c r="MAI37" s="168"/>
      <c r="MAJ37" s="168"/>
      <c r="MAK37" s="168"/>
      <c r="MAL37" s="168"/>
      <c r="MAM37" s="168"/>
      <c r="MAN37" s="168"/>
      <c r="MAO37" s="168"/>
      <c r="MAP37" s="168"/>
      <c r="MAQ37" s="168"/>
      <c r="MAR37" s="168"/>
      <c r="MAS37" s="168"/>
      <c r="MAT37" s="168"/>
      <c r="MAU37" s="168"/>
      <c r="MAV37" s="168"/>
      <c r="MAW37" s="168"/>
      <c r="MAX37" s="168"/>
      <c r="MAY37" s="168"/>
      <c r="MAZ37" s="168"/>
      <c r="MBA37" s="168"/>
      <c r="MBB37" s="168"/>
      <c r="MBC37" s="168"/>
      <c r="MBD37" s="168"/>
      <c r="MBE37" s="168"/>
      <c r="MBF37" s="168"/>
      <c r="MBG37" s="168"/>
      <c r="MBH37" s="168"/>
      <c r="MBI37" s="168"/>
      <c r="MBJ37" s="168"/>
      <c r="MBK37" s="168"/>
      <c r="MBL37" s="168"/>
      <c r="MBM37" s="168"/>
      <c r="MBN37" s="168"/>
      <c r="MBO37" s="168"/>
      <c r="MBP37" s="168"/>
      <c r="MBQ37" s="168"/>
      <c r="MBR37" s="168"/>
      <c r="MBS37" s="168"/>
      <c r="MBT37" s="168"/>
      <c r="MBU37" s="168"/>
      <c r="MBV37" s="168"/>
      <c r="MBW37" s="168"/>
      <c r="MBX37" s="168"/>
      <c r="MBY37" s="168"/>
      <c r="MBZ37" s="168"/>
      <c r="MCA37" s="168"/>
      <c r="MCB37" s="168"/>
      <c r="MCC37" s="168"/>
      <c r="MCD37" s="168"/>
      <c r="MCE37" s="168"/>
      <c r="MCF37" s="168"/>
      <c r="MCG37" s="168"/>
      <c r="MCH37" s="168"/>
      <c r="MCI37" s="168"/>
      <c r="MCJ37" s="168"/>
      <c r="MCK37" s="168"/>
      <c r="MCL37" s="168"/>
      <c r="MCM37" s="168"/>
      <c r="MCN37" s="168"/>
      <c r="MCO37" s="168"/>
      <c r="MCP37" s="168"/>
      <c r="MCQ37" s="168"/>
      <c r="MCR37" s="168"/>
      <c r="MCS37" s="168"/>
      <c r="MCT37" s="168"/>
      <c r="MCU37" s="168"/>
      <c r="MCV37" s="168"/>
      <c r="MCW37" s="168"/>
      <c r="MCX37" s="168"/>
      <c r="MCY37" s="168"/>
      <c r="MCZ37" s="168"/>
      <c r="MDA37" s="168"/>
      <c r="MDB37" s="168"/>
      <c r="MDC37" s="168"/>
      <c r="MDD37" s="168"/>
      <c r="MDE37" s="168"/>
      <c r="MDF37" s="168"/>
      <c r="MDG37" s="168"/>
      <c r="MDH37" s="168"/>
      <c r="MDI37" s="168"/>
      <c r="MDJ37" s="168"/>
      <c r="MDK37" s="168"/>
      <c r="MDL37" s="168"/>
      <c r="MDM37" s="168"/>
      <c r="MDN37" s="168"/>
      <c r="MDO37" s="168"/>
      <c r="MDP37" s="168"/>
      <c r="MDQ37" s="168"/>
      <c r="MDR37" s="168"/>
      <c r="MDS37" s="168"/>
      <c r="MDT37" s="168"/>
      <c r="MDU37" s="168"/>
      <c r="MDV37" s="168"/>
      <c r="MDW37" s="168"/>
      <c r="MDX37" s="168"/>
      <c r="MDY37" s="168"/>
      <c r="MDZ37" s="168"/>
      <c r="MEA37" s="168"/>
      <c r="MEB37" s="168"/>
      <c r="MEC37" s="168"/>
      <c r="MED37" s="168"/>
      <c r="MEE37" s="168"/>
      <c r="MEF37" s="168"/>
      <c r="MEG37" s="168"/>
      <c r="MEH37" s="168"/>
      <c r="MEI37" s="168"/>
      <c r="MEJ37" s="168"/>
      <c r="MEK37" s="168"/>
      <c r="MEL37" s="168"/>
      <c r="MEM37" s="168"/>
      <c r="MEN37" s="168"/>
      <c r="MEO37" s="168"/>
      <c r="MEP37" s="168"/>
      <c r="MEQ37" s="168"/>
      <c r="MER37" s="168"/>
      <c r="MES37" s="168"/>
      <c r="MET37" s="168"/>
      <c r="MEU37" s="168"/>
      <c r="MEV37" s="168"/>
      <c r="MEW37" s="168"/>
      <c r="MEX37" s="168"/>
      <c r="MEY37" s="168"/>
      <c r="MEZ37" s="168"/>
      <c r="MFA37" s="168"/>
      <c r="MFB37" s="168"/>
      <c r="MFC37" s="168"/>
      <c r="MFD37" s="168"/>
      <c r="MFE37" s="168"/>
      <c r="MFF37" s="168"/>
      <c r="MFG37" s="168"/>
      <c r="MFH37" s="168"/>
      <c r="MFI37" s="168"/>
      <c r="MFJ37" s="168"/>
      <c r="MFK37" s="168"/>
      <c r="MFL37" s="168"/>
      <c r="MFM37" s="168"/>
      <c r="MFN37" s="168"/>
      <c r="MFO37" s="168"/>
      <c r="MFP37" s="168"/>
      <c r="MFQ37" s="168"/>
      <c r="MFR37" s="168"/>
      <c r="MFS37" s="168"/>
      <c r="MFT37" s="168"/>
      <c r="MFU37" s="168"/>
      <c r="MFV37" s="168"/>
      <c r="MFW37" s="168"/>
      <c r="MFX37" s="168"/>
      <c r="MFY37" s="168"/>
      <c r="MFZ37" s="168"/>
      <c r="MGA37" s="168"/>
      <c r="MGB37" s="168"/>
      <c r="MGC37" s="168"/>
      <c r="MGD37" s="168"/>
      <c r="MGE37" s="168"/>
      <c r="MGF37" s="168"/>
      <c r="MGG37" s="168"/>
      <c r="MGH37" s="168"/>
      <c r="MGI37" s="168"/>
      <c r="MGJ37" s="168"/>
      <c r="MGK37" s="168"/>
      <c r="MGL37" s="168"/>
      <c r="MGM37" s="168"/>
      <c r="MGN37" s="168"/>
      <c r="MGO37" s="168"/>
      <c r="MGP37" s="168"/>
      <c r="MGQ37" s="168"/>
      <c r="MGR37" s="168"/>
      <c r="MGS37" s="168"/>
      <c r="MGT37" s="168"/>
      <c r="MGU37" s="168"/>
      <c r="MGV37" s="168"/>
      <c r="MGW37" s="168"/>
      <c r="MGX37" s="168"/>
      <c r="MGY37" s="168"/>
      <c r="MGZ37" s="168"/>
      <c r="MHA37" s="168"/>
      <c r="MHB37" s="168"/>
      <c r="MHC37" s="168"/>
      <c r="MHD37" s="168"/>
      <c r="MHE37" s="168"/>
      <c r="MHF37" s="168"/>
      <c r="MHG37" s="168"/>
      <c r="MHH37" s="168"/>
      <c r="MHI37" s="168"/>
      <c r="MHJ37" s="168"/>
      <c r="MHK37" s="168"/>
      <c r="MHL37" s="168"/>
      <c r="MHM37" s="168"/>
      <c r="MHN37" s="168"/>
      <c r="MHO37" s="168"/>
      <c r="MHP37" s="168"/>
      <c r="MHQ37" s="168"/>
      <c r="MHR37" s="168"/>
      <c r="MHS37" s="168"/>
      <c r="MHT37" s="168"/>
      <c r="MHU37" s="168"/>
      <c r="MHV37" s="168"/>
      <c r="MHW37" s="168"/>
      <c r="MHX37" s="168"/>
      <c r="MHY37" s="168"/>
      <c r="MHZ37" s="168"/>
      <c r="MIA37" s="168"/>
      <c r="MIB37" s="168"/>
      <c r="MIC37" s="168"/>
      <c r="MID37" s="168"/>
      <c r="MIE37" s="168"/>
      <c r="MIF37" s="168"/>
      <c r="MIG37" s="168"/>
      <c r="MIH37" s="168"/>
      <c r="MII37" s="168"/>
      <c r="MIJ37" s="168"/>
      <c r="MIK37" s="168"/>
      <c r="MIL37" s="168"/>
      <c r="MIM37" s="168"/>
      <c r="MIN37" s="168"/>
      <c r="MIO37" s="168"/>
      <c r="MIP37" s="168"/>
      <c r="MIQ37" s="168"/>
      <c r="MIR37" s="168"/>
      <c r="MIS37" s="168"/>
      <c r="MIT37" s="168"/>
      <c r="MIU37" s="168"/>
      <c r="MIV37" s="168"/>
      <c r="MIW37" s="168"/>
      <c r="MIX37" s="168"/>
      <c r="MIY37" s="168"/>
      <c r="MIZ37" s="168"/>
      <c r="MJA37" s="168"/>
      <c r="MJB37" s="168"/>
      <c r="MJC37" s="168"/>
      <c r="MJD37" s="168"/>
      <c r="MJE37" s="168"/>
      <c r="MJF37" s="168"/>
      <c r="MJG37" s="168"/>
      <c r="MJH37" s="168"/>
      <c r="MJI37" s="168"/>
      <c r="MJJ37" s="168"/>
      <c r="MJK37" s="168"/>
      <c r="MJL37" s="168"/>
      <c r="MJM37" s="168"/>
      <c r="MJN37" s="168"/>
      <c r="MJO37" s="168"/>
      <c r="MJP37" s="168"/>
      <c r="MJQ37" s="168"/>
      <c r="MJR37" s="168"/>
      <c r="MJS37" s="168"/>
      <c r="MJT37" s="168"/>
      <c r="MJU37" s="168"/>
      <c r="MJV37" s="168"/>
      <c r="MJW37" s="168"/>
      <c r="MJX37" s="168"/>
      <c r="MJY37" s="168"/>
      <c r="MJZ37" s="168"/>
      <c r="MKA37" s="168"/>
      <c r="MKB37" s="168"/>
      <c r="MKC37" s="168"/>
      <c r="MKD37" s="168"/>
      <c r="MKE37" s="168"/>
      <c r="MKF37" s="168"/>
      <c r="MKG37" s="168"/>
      <c r="MKH37" s="168"/>
      <c r="MKI37" s="168"/>
      <c r="MKJ37" s="168"/>
      <c r="MKK37" s="168"/>
      <c r="MKL37" s="168"/>
      <c r="MKM37" s="168"/>
      <c r="MKN37" s="168"/>
      <c r="MKO37" s="168"/>
      <c r="MKP37" s="168"/>
      <c r="MKQ37" s="168"/>
      <c r="MKR37" s="168"/>
      <c r="MKS37" s="168"/>
      <c r="MKT37" s="168"/>
      <c r="MKU37" s="168"/>
      <c r="MKV37" s="168"/>
      <c r="MKW37" s="168"/>
      <c r="MKX37" s="168"/>
      <c r="MKY37" s="168"/>
      <c r="MKZ37" s="168"/>
      <c r="MLA37" s="168"/>
      <c r="MLB37" s="168"/>
      <c r="MLC37" s="168"/>
      <c r="MLD37" s="168"/>
      <c r="MLE37" s="168"/>
      <c r="MLF37" s="168"/>
      <c r="MLG37" s="168"/>
      <c r="MLH37" s="168"/>
      <c r="MLI37" s="168"/>
      <c r="MLJ37" s="168"/>
      <c r="MLK37" s="168"/>
      <c r="MLL37" s="168"/>
      <c r="MLM37" s="168"/>
      <c r="MLN37" s="168"/>
      <c r="MLO37" s="168"/>
      <c r="MLP37" s="168"/>
      <c r="MLQ37" s="168"/>
      <c r="MLR37" s="168"/>
      <c r="MLS37" s="168"/>
      <c r="MLT37" s="168"/>
      <c r="MLU37" s="168"/>
      <c r="MLV37" s="168"/>
      <c r="MLW37" s="168"/>
      <c r="MLX37" s="168"/>
      <c r="MLY37" s="168"/>
      <c r="MLZ37" s="168"/>
      <c r="MMA37" s="168"/>
      <c r="MMB37" s="168"/>
      <c r="MMC37" s="168"/>
      <c r="MMD37" s="168"/>
      <c r="MME37" s="168"/>
      <c r="MMF37" s="168"/>
      <c r="MMG37" s="168"/>
      <c r="MMH37" s="168"/>
      <c r="MMI37" s="168"/>
      <c r="MMJ37" s="168"/>
      <c r="MMK37" s="168"/>
      <c r="MML37" s="168"/>
      <c r="MMM37" s="168"/>
      <c r="MMN37" s="168"/>
      <c r="MMO37" s="168"/>
      <c r="MMP37" s="168"/>
      <c r="MMQ37" s="168"/>
      <c r="MMR37" s="168"/>
      <c r="MMS37" s="168"/>
      <c r="MMT37" s="168"/>
      <c r="MMU37" s="168"/>
      <c r="MMV37" s="168"/>
      <c r="MMW37" s="168"/>
      <c r="MMX37" s="168"/>
      <c r="MMY37" s="168"/>
      <c r="MMZ37" s="168"/>
      <c r="MNA37" s="168"/>
      <c r="MNB37" s="168"/>
      <c r="MNC37" s="168"/>
      <c r="MND37" s="168"/>
      <c r="MNE37" s="168"/>
      <c r="MNF37" s="168"/>
      <c r="MNG37" s="168"/>
      <c r="MNH37" s="168"/>
      <c r="MNI37" s="168"/>
      <c r="MNJ37" s="168"/>
      <c r="MNK37" s="168"/>
      <c r="MNL37" s="168"/>
      <c r="MNM37" s="168"/>
      <c r="MNN37" s="168"/>
      <c r="MNO37" s="168"/>
      <c r="MNP37" s="168"/>
      <c r="MNQ37" s="168"/>
      <c r="MNR37" s="168"/>
      <c r="MNS37" s="168"/>
      <c r="MNT37" s="168"/>
      <c r="MNU37" s="168"/>
      <c r="MNV37" s="168"/>
      <c r="MNW37" s="168"/>
      <c r="MNX37" s="168"/>
      <c r="MNY37" s="168"/>
      <c r="MNZ37" s="168"/>
      <c r="MOA37" s="168"/>
      <c r="MOB37" s="168"/>
      <c r="MOC37" s="168"/>
      <c r="MOD37" s="168"/>
      <c r="MOE37" s="168"/>
      <c r="MOF37" s="168"/>
      <c r="MOG37" s="168"/>
      <c r="MOH37" s="168"/>
      <c r="MOI37" s="168"/>
      <c r="MOJ37" s="168"/>
      <c r="MOK37" s="168"/>
      <c r="MOL37" s="168"/>
      <c r="MOM37" s="168"/>
      <c r="MON37" s="168"/>
      <c r="MOO37" s="168"/>
      <c r="MOP37" s="168"/>
      <c r="MOQ37" s="168"/>
      <c r="MOR37" s="168"/>
      <c r="MOS37" s="168"/>
      <c r="MOT37" s="168"/>
      <c r="MOU37" s="168"/>
      <c r="MOV37" s="168"/>
      <c r="MOW37" s="168"/>
      <c r="MOX37" s="168"/>
      <c r="MOY37" s="168"/>
      <c r="MOZ37" s="168"/>
      <c r="MPA37" s="168"/>
      <c r="MPB37" s="168"/>
      <c r="MPC37" s="168"/>
      <c r="MPD37" s="168"/>
      <c r="MPE37" s="168"/>
      <c r="MPF37" s="168"/>
      <c r="MPG37" s="168"/>
      <c r="MPH37" s="168"/>
      <c r="MPI37" s="168"/>
      <c r="MPJ37" s="168"/>
      <c r="MPK37" s="168"/>
      <c r="MPL37" s="168"/>
      <c r="MPM37" s="168"/>
      <c r="MPN37" s="168"/>
      <c r="MPO37" s="168"/>
      <c r="MPP37" s="168"/>
      <c r="MPQ37" s="168"/>
      <c r="MPR37" s="168"/>
      <c r="MPS37" s="168"/>
      <c r="MPT37" s="168"/>
      <c r="MPU37" s="168"/>
      <c r="MPV37" s="168"/>
      <c r="MPW37" s="168"/>
      <c r="MPX37" s="168"/>
      <c r="MPY37" s="168"/>
      <c r="MPZ37" s="168"/>
      <c r="MQA37" s="168"/>
      <c r="MQB37" s="168"/>
      <c r="MQC37" s="168"/>
      <c r="MQD37" s="168"/>
      <c r="MQE37" s="168"/>
      <c r="MQF37" s="168"/>
      <c r="MQG37" s="168"/>
      <c r="MQH37" s="168"/>
      <c r="MQI37" s="168"/>
      <c r="MQJ37" s="168"/>
      <c r="MQK37" s="168"/>
      <c r="MQL37" s="168"/>
      <c r="MQM37" s="168"/>
      <c r="MQN37" s="168"/>
      <c r="MQO37" s="168"/>
      <c r="MQP37" s="168"/>
      <c r="MQQ37" s="168"/>
      <c r="MQR37" s="168"/>
      <c r="MQS37" s="168"/>
      <c r="MQT37" s="168"/>
      <c r="MQU37" s="168"/>
      <c r="MQV37" s="168"/>
      <c r="MQW37" s="168"/>
      <c r="MQX37" s="168"/>
      <c r="MQY37" s="168"/>
      <c r="MQZ37" s="168"/>
      <c r="MRA37" s="168"/>
      <c r="MRB37" s="168"/>
      <c r="MRC37" s="168"/>
      <c r="MRD37" s="168"/>
      <c r="MRE37" s="168"/>
      <c r="MRF37" s="168"/>
      <c r="MRG37" s="168"/>
      <c r="MRH37" s="168"/>
      <c r="MRI37" s="168"/>
      <c r="MRJ37" s="168"/>
      <c r="MRK37" s="168"/>
      <c r="MRL37" s="168"/>
      <c r="MRM37" s="168"/>
      <c r="MRN37" s="168"/>
      <c r="MRO37" s="168"/>
      <c r="MRP37" s="168"/>
      <c r="MRQ37" s="168"/>
      <c r="MRR37" s="168"/>
      <c r="MRS37" s="168"/>
      <c r="MRT37" s="168"/>
      <c r="MRU37" s="168"/>
      <c r="MRV37" s="168"/>
      <c r="MRW37" s="168"/>
      <c r="MRX37" s="168"/>
      <c r="MRY37" s="168"/>
      <c r="MRZ37" s="168"/>
      <c r="MSA37" s="168"/>
      <c r="MSB37" s="168"/>
      <c r="MSC37" s="168"/>
      <c r="MSD37" s="168"/>
      <c r="MSE37" s="168"/>
      <c r="MSF37" s="168"/>
      <c r="MSG37" s="168"/>
      <c r="MSH37" s="168"/>
      <c r="MSI37" s="168"/>
      <c r="MSJ37" s="168"/>
      <c r="MSK37" s="168"/>
      <c r="MSL37" s="168"/>
      <c r="MSM37" s="168"/>
      <c r="MSN37" s="168"/>
      <c r="MSO37" s="168"/>
      <c r="MSP37" s="168"/>
      <c r="MSQ37" s="168"/>
      <c r="MSR37" s="168"/>
      <c r="MSS37" s="168"/>
      <c r="MST37" s="168"/>
      <c r="MSU37" s="168"/>
      <c r="MSV37" s="168"/>
      <c r="MSW37" s="168"/>
      <c r="MSX37" s="168"/>
      <c r="MSY37" s="168"/>
      <c r="MSZ37" s="168"/>
      <c r="MTA37" s="168"/>
      <c r="MTB37" s="168"/>
      <c r="MTC37" s="168"/>
      <c r="MTD37" s="168"/>
      <c r="MTE37" s="168"/>
      <c r="MTF37" s="168"/>
      <c r="MTG37" s="168"/>
      <c r="MTH37" s="168"/>
      <c r="MTI37" s="168"/>
      <c r="MTJ37" s="168"/>
      <c r="MTK37" s="168"/>
      <c r="MTL37" s="168"/>
      <c r="MTM37" s="168"/>
      <c r="MTN37" s="168"/>
      <c r="MTO37" s="168"/>
      <c r="MTP37" s="168"/>
      <c r="MTQ37" s="168"/>
      <c r="MTR37" s="168"/>
      <c r="MTS37" s="168"/>
      <c r="MTT37" s="168"/>
      <c r="MTU37" s="168"/>
      <c r="MTV37" s="168"/>
      <c r="MTW37" s="168"/>
      <c r="MTX37" s="168"/>
      <c r="MTY37" s="168"/>
      <c r="MTZ37" s="168"/>
      <c r="MUA37" s="168"/>
      <c r="MUB37" s="168"/>
      <c r="MUC37" s="168"/>
      <c r="MUD37" s="168"/>
      <c r="MUE37" s="168"/>
      <c r="MUF37" s="168"/>
      <c r="MUG37" s="168"/>
      <c r="MUH37" s="168"/>
      <c r="MUI37" s="168"/>
      <c r="MUJ37" s="168"/>
      <c r="MUK37" s="168"/>
      <c r="MUL37" s="168"/>
      <c r="MUM37" s="168"/>
      <c r="MUN37" s="168"/>
      <c r="MUO37" s="168"/>
      <c r="MUP37" s="168"/>
      <c r="MUQ37" s="168"/>
      <c r="MUR37" s="168"/>
      <c r="MUS37" s="168"/>
      <c r="MUT37" s="168"/>
      <c r="MUU37" s="168"/>
      <c r="MUV37" s="168"/>
      <c r="MUW37" s="168"/>
      <c r="MUX37" s="168"/>
      <c r="MUY37" s="168"/>
      <c r="MUZ37" s="168"/>
      <c r="MVA37" s="168"/>
      <c r="MVB37" s="168"/>
      <c r="MVC37" s="168"/>
      <c r="MVD37" s="168"/>
      <c r="MVE37" s="168"/>
      <c r="MVF37" s="168"/>
      <c r="MVG37" s="168"/>
      <c r="MVH37" s="168"/>
      <c r="MVI37" s="168"/>
      <c r="MVJ37" s="168"/>
      <c r="MVK37" s="168"/>
      <c r="MVL37" s="168"/>
      <c r="MVM37" s="168"/>
      <c r="MVN37" s="168"/>
      <c r="MVO37" s="168"/>
      <c r="MVP37" s="168"/>
      <c r="MVQ37" s="168"/>
      <c r="MVR37" s="168"/>
      <c r="MVS37" s="168"/>
      <c r="MVT37" s="168"/>
      <c r="MVU37" s="168"/>
      <c r="MVV37" s="168"/>
      <c r="MVW37" s="168"/>
      <c r="MVX37" s="168"/>
      <c r="MVY37" s="168"/>
      <c r="MVZ37" s="168"/>
      <c r="MWA37" s="168"/>
      <c r="MWB37" s="168"/>
      <c r="MWC37" s="168"/>
      <c r="MWD37" s="168"/>
      <c r="MWE37" s="168"/>
      <c r="MWF37" s="168"/>
      <c r="MWG37" s="168"/>
      <c r="MWH37" s="168"/>
      <c r="MWI37" s="168"/>
      <c r="MWJ37" s="168"/>
      <c r="MWK37" s="168"/>
      <c r="MWL37" s="168"/>
      <c r="MWM37" s="168"/>
      <c r="MWN37" s="168"/>
      <c r="MWO37" s="168"/>
      <c r="MWP37" s="168"/>
      <c r="MWQ37" s="168"/>
      <c r="MWR37" s="168"/>
      <c r="MWS37" s="168"/>
      <c r="MWT37" s="168"/>
      <c r="MWU37" s="168"/>
      <c r="MWV37" s="168"/>
      <c r="MWW37" s="168"/>
      <c r="MWX37" s="168"/>
      <c r="MWY37" s="168"/>
      <c r="MWZ37" s="168"/>
      <c r="MXA37" s="168"/>
      <c r="MXB37" s="168"/>
      <c r="MXC37" s="168"/>
      <c r="MXD37" s="168"/>
      <c r="MXE37" s="168"/>
      <c r="MXF37" s="168"/>
      <c r="MXG37" s="168"/>
      <c r="MXH37" s="168"/>
      <c r="MXI37" s="168"/>
      <c r="MXJ37" s="168"/>
      <c r="MXK37" s="168"/>
      <c r="MXL37" s="168"/>
      <c r="MXM37" s="168"/>
      <c r="MXN37" s="168"/>
      <c r="MXO37" s="168"/>
      <c r="MXP37" s="168"/>
      <c r="MXQ37" s="168"/>
      <c r="MXR37" s="168"/>
      <c r="MXS37" s="168"/>
      <c r="MXT37" s="168"/>
      <c r="MXU37" s="168"/>
      <c r="MXV37" s="168"/>
      <c r="MXW37" s="168"/>
      <c r="MXX37" s="168"/>
      <c r="MXY37" s="168"/>
      <c r="MXZ37" s="168"/>
      <c r="MYA37" s="168"/>
      <c r="MYB37" s="168"/>
      <c r="MYC37" s="168"/>
      <c r="MYD37" s="168"/>
      <c r="MYE37" s="168"/>
      <c r="MYF37" s="168"/>
      <c r="MYG37" s="168"/>
      <c r="MYH37" s="168"/>
      <c r="MYI37" s="168"/>
      <c r="MYJ37" s="168"/>
      <c r="MYK37" s="168"/>
      <c r="MYL37" s="168"/>
      <c r="MYM37" s="168"/>
      <c r="MYN37" s="168"/>
      <c r="MYO37" s="168"/>
      <c r="MYP37" s="168"/>
      <c r="MYQ37" s="168"/>
      <c r="MYR37" s="168"/>
      <c r="MYS37" s="168"/>
      <c r="MYT37" s="168"/>
      <c r="MYU37" s="168"/>
      <c r="MYV37" s="168"/>
      <c r="MYW37" s="168"/>
      <c r="MYX37" s="168"/>
      <c r="MYY37" s="168"/>
      <c r="MYZ37" s="168"/>
      <c r="MZA37" s="168"/>
      <c r="MZB37" s="168"/>
      <c r="MZC37" s="168"/>
      <c r="MZD37" s="168"/>
      <c r="MZE37" s="168"/>
      <c r="MZF37" s="168"/>
      <c r="MZG37" s="168"/>
      <c r="MZH37" s="168"/>
      <c r="MZI37" s="168"/>
      <c r="MZJ37" s="168"/>
      <c r="MZK37" s="168"/>
      <c r="MZL37" s="168"/>
      <c r="MZM37" s="168"/>
      <c r="MZN37" s="168"/>
      <c r="MZO37" s="168"/>
      <c r="MZP37" s="168"/>
      <c r="MZQ37" s="168"/>
      <c r="MZR37" s="168"/>
      <c r="MZS37" s="168"/>
      <c r="MZT37" s="168"/>
      <c r="MZU37" s="168"/>
      <c r="MZV37" s="168"/>
      <c r="MZW37" s="168"/>
      <c r="MZX37" s="168"/>
      <c r="MZY37" s="168"/>
      <c r="MZZ37" s="168"/>
      <c r="NAA37" s="168"/>
      <c r="NAB37" s="168"/>
      <c r="NAC37" s="168"/>
      <c r="NAD37" s="168"/>
      <c r="NAE37" s="168"/>
      <c r="NAF37" s="168"/>
      <c r="NAG37" s="168"/>
      <c r="NAH37" s="168"/>
      <c r="NAI37" s="168"/>
      <c r="NAJ37" s="168"/>
      <c r="NAK37" s="168"/>
      <c r="NAL37" s="168"/>
      <c r="NAM37" s="168"/>
      <c r="NAN37" s="168"/>
      <c r="NAO37" s="168"/>
      <c r="NAP37" s="168"/>
      <c r="NAQ37" s="168"/>
      <c r="NAR37" s="168"/>
      <c r="NAS37" s="168"/>
      <c r="NAT37" s="168"/>
      <c r="NAU37" s="168"/>
      <c r="NAV37" s="168"/>
      <c r="NAW37" s="168"/>
      <c r="NAX37" s="168"/>
      <c r="NAY37" s="168"/>
      <c r="NAZ37" s="168"/>
      <c r="NBA37" s="168"/>
      <c r="NBB37" s="168"/>
      <c r="NBC37" s="168"/>
      <c r="NBD37" s="168"/>
      <c r="NBE37" s="168"/>
      <c r="NBF37" s="168"/>
      <c r="NBG37" s="168"/>
      <c r="NBH37" s="168"/>
      <c r="NBI37" s="168"/>
      <c r="NBJ37" s="168"/>
      <c r="NBK37" s="168"/>
      <c r="NBL37" s="168"/>
      <c r="NBM37" s="168"/>
      <c r="NBN37" s="168"/>
      <c r="NBO37" s="168"/>
      <c r="NBP37" s="168"/>
      <c r="NBQ37" s="168"/>
      <c r="NBR37" s="168"/>
      <c r="NBS37" s="168"/>
      <c r="NBT37" s="168"/>
      <c r="NBU37" s="168"/>
      <c r="NBV37" s="168"/>
      <c r="NBW37" s="168"/>
      <c r="NBX37" s="168"/>
      <c r="NBY37" s="168"/>
      <c r="NBZ37" s="168"/>
      <c r="NCA37" s="168"/>
      <c r="NCB37" s="168"/>
      <c r="NCC37" s="168"/>
      <c r="NCD37" s="168"/>
      <c r="NCE37" s="168"/>
      <c r="NCF37" s="168"/>
      <c r="NCG37" s="168"/>
      <c r="NCH37" s="168"/>
      <c r="NCI37" s="168"/>
      <c r="NCJ37" s="168"/>
      <c r="NCK37" s="168"/>
      <c r="NCL37" s="168"/>
      <c r="NCM37" s="168"/>
      <c r="NCN37" s="168"/>
      <c r="NCO37" s="168"/>
      <c r="NCP37" s="168"/>
      <c r="NCQ37" s="168"/>
      <c r="NCR37" s="168"/>
      <c r="NCS37" s="168"/>
      <c r="NCT37" s="168"/>
      <c r="NCU37" s="168"/>
      <c r="NCV37" s="168"/>
      <c r="NCW37" s="168"/>
      <c r="NCX37" s="168"/>
      <c r="NCY37" s="168"/>
      <c r="NCZ37" s="168"/>
      <c r="NDA37" s="168"/>
      <c r="NDB37" s="168"/>
      <c r="NDC37" s="168"/>
      <c r="NDD37" s="168"/>
      <c r="NDE37" s="168"/>
      <c r="NDF37" s="168"/>
      <c r="NDG37" s="168"/>
      <c r="NDH37" s="168"/>
      <c r="NDI37" s="168"/>
      <c r="NDJ37" s="168"/>
      <c r="NDK37" s="168"/>
      <c r="NDL37" s="168"/>
      <c r="NDM37" s="168"/>
      <c r="NDN37" s="168"/>
      <c r="NDO37" s="168"/>
      <c r="NDP37" s="168"/>
      <c r="NDQ37" s="168"/>
      <c r="NDR37" s="168"/>
      <c r="NDS37" s="168"/>
      <c r="NDT37" s="168"/>
      <c r="NDU37" s="168"/>
      <c r="NDV37" s="168"/>
      <c r="NDW37" s="168"/>
      <c r="NDX37" s="168"/>
      <c r="NDY37" s="168"/>
      <c r="NDZ37" s="168"/>
      <c r="NEA37" s="168"/>
      <c r="NEB37" s="168"/>
      <c r="NEC37" s="168"/>
      <c r="NED37" s="168"/>
      <c r="NEE37" s="168"/>
      <c r="NEF37" s="168"/>
      <c r="NEG37" s="168"/>
      <c r="NEH37" s="168"/>
      <c r="NEI37" s="168"/>
      <c r="NEJ37" s="168"/>
      <c r="NEK37" s="168"/>
      <c r="NEL37" s="168"/>
      <c r="NEM37" s="168"/>
      <c r="NEN37" s="168"/>
      <c r="NEO37" s="168"/>
      <c r="NEP37" s="168"/>
      <c r="NEQ37" s="168"/>
      <c r="NER37" s="168"/>
      <c r="NES37" s="168"/>
      <c r="NET37" s="168"/>
      <c r="NEU37" s="168"/>
      <c r="NEV37" s="168"/>
      <c r="NEW37" s="168"/>
      <c r="NEX37" s="168"/>
      <c r="NEY37" s="168"/>
      <c r="NEZ37" s="168"/>
      <c r="NFA37" s="168"/>
      <c r="NFB37" s="168"/>
      <c r="NFC37" s="168"/>
      <c r="NFD37" s="168"/>
      <c r="NFE37" s="168"/>
      <c r="NFF37" s="168"/>
      <c r="NFG37" s="168"/>
      <c r="NFH37" s="168"/>
      <c r="NFI37" s="168"/>
      <c r="NFJ37" s="168"/>
      <c r="NFK37" s="168"/>
      <c r="NFL37" s="168"/>
      <c r="NFM37" s="168"/>
      <c r="NFN37" s="168"/>
      <c r="NFO37" s="168"/>
      <c r="NFP37" s="168"/>
      <c r="NFQ37" s="168"/>
      <c r="NFR37" s="168"/>
      <c r="NFS37" s="168"/>
      <c r="NFT37" s="168"/>
      <c r="NFU37" s="168"/>
      <c r="NFV37" s="168"/>
      <c r="NFW37" s="168"/>
      <c r="NFX37" s="168"/>
      <c r="NFY37" s="168"/>
      <c r="NFZ37" s="168"/>
      <c r="NGA37" s="168"/>
      <c r="NGB37" s="168"/>
      <c r="NGC37" s="168"/>
      <c r="NGD37" s="168"/>
      <c r="NGE37" s="168"/>
      <c r="NGF37" s="168"/>
      <c r="NGG37" s="168"/>
      <c r="NGH37" s="168"/>
      <c r="NGI37" s="168"/>
      <c r="NGJ37" s="168"/>
      <c r="NGK37" s="168"/>
      <c r="NGL37" s="168"/>
      <c r="NGM37" s="168"/>
      <c r="NGN37" s="168"/>
      <c r="NGO37" s="168"/>
      <c r="NGP37" s="168"/>
      <c r="NGQ37" s="168"/>
      <c r="NGR37" s="168"/>
      <c r="NGS37" s="168"/>
      <c r="NGT37" s="168"/>
      <c r="NGU37" s="168"/>
      <c r="NGV37" s="168"/>
      <c r="NGW37" s="168"/>
      <c r="NGX37" s="168"/>
      <c r="NGY37" s="168"/>
      <c r="NGZ37" s="168"/>
      <c r="NHA37" s="168"/>
      <c r="NHB37" s="168"/>
      <c r="NHC37" s="168"/>
      <c r="NHD37" s="168"/>
      <c r="NHE37" s="168"/>
      <c r="NHF37" s="168"/>
      <c r="NHG37" s="168"/>
      <c r="NHH37" s="168"/>
      <c r="NHI37" s="168"/>
      <c r="NHJ37" s="168"/>
      <c r="NHK37" s="168"/>
      <c r="NHL37" s="168"/>
      <c r="NHM37" s="168"/>
      <c r="NHN37" s="168"/>
      <c r="NHO37" s="168"/>
      <c r="NHP37" s="168"/>
      <c r="NHQ37" s="168"/>
      <c r="NHR37" s="168"/>
      <c r="NHS37" s="168"/>
      <c r="NHT37" s="168"/>
      <c r="NHU37" s="168"/>
      <c r="NHV37" s="168"/>
      <c r="NHW37" s="168"/>
      <c r="NHX37" s="168"/>
      <c r="NHY37" s="168"/>
      <c r="NHZ37" s="168"/>
      <c r="NIA37" s="168"/>
      <c r="NIB37" s="168"/>
      <c r="NIC37" s="168"/>
      <c r="NID37" s="168"/>
      <c r="NIE37" s="168"/>
      <c r="NIF37" s="168"/>
      <c r="NIG37" s="168"/>
      <c r="NIH37" s="168"/>
      <c r="NII37" s="168"/>
      <c r="NIJ37" s="168"/>
      <c r="NIK37" s="168"/>
      <c r="NIL37" s="168"/>
      <c r="NIM37" s="168"/>
      <c r="NIN37" s="168"/>
      <c r="NIO37" s="168"/>
      <c r="NIP37" s="168"/>
      <c r="NIQ37" s="168"/>
      <c r="NIR37" s="168"/>
      <c r="NIS37" s="168"/>
      <c r="NIT37" s="168"/>
      <c r="NIU37" s="168"/>
      <c r="NIV37" s="168"/>
      <c r="NIW37" s="168"/>
      <c r="NIX37" s="168"/>
      <c r="NIY37" s="168"/>
      <c r="NIZ37" s="168"/>
      <c r="NJA37" s="168"/>
      <c r="NJB37" s="168"/>
      <c r="NJC37" s="168"/>
      <c r="NJD37" s="168"/>
      <c r="NJE37" s="168"/>
      <c r="NJF37" s="168"/>
      <c r="NJG37" s="168"/>
      <c r="NJH37" s="168"/>
      <c r="NJI37" s="168"/>
      <c r="NJJ37" s="168"/>
      <c r="NJK37" s="168"/>
      <c r="NJL37" s="168"/>
      <c r="NJM37" s="168"/>
      <c r="NJN37" s="168"/>
      <c r="NJO37" s="168"/>
      <c r="NJP37" s="168"/>
      <c r="NJQ37" s="168"/>
      <c r="NJR37" s="168"/>
      <c r="NJS37" s="168"/>
      <c r="NJT37" s="168"/>
      <c r="NJU37" s="168"/>
      <c r="NJV37" s="168"/>
      <c r="NJW37" s="168"/>
      <c r="NJX37" s="168"/>
      <c r="NJY37" s="168"/>
      <c r="NJZ37" s="168"/>
      <c r="NKA37" s="168"/>
      <c r="NKB37" s="168"/>
      <c r="NKC37" s="168"/>
      <c r="NKD37" s="168"/>
      <c r="NKE37" s="168"/>
      <c r="NKF37" s="168"/>
      <c r="NKG37" s="168"/>
      <c r="NKH37" s="168"/>
      <c r="NKI37" s="168"/>
      <c r="NKJ37" s="168"/>
      <c r="NKK37" s="168"/>
      <c r="NKL37" s="168"/>
      <c r="NKM37" s="168"/>
      <c r="NKN37" s="168"/>
      <c r="NKO37" s="168"/>
      <c r="NKP37" s="168"/>
      <c r="NKQ37" s="168"/>
      <c r="NKR37" s="168"/>
      <c r="NKS37" s="168"/>
      <c r="NKT37" s="168"/>
      <c r="NKU37" s="168"/>
      <c r="NKV37" s="168"/>
      <c r="NKW37" s="168"/>
      <c r="NKX37" s="168"/>
      <c r="NKY37" s="168"/>
      <c r="NKZ37" s="168"/>
      <c r="NLA37" s="168"/>
      <c r="NLB37" s="168"/>
      <c r="NLC37" s="168"/>
      <c r="NLD37" s="168"/>
      <c r="NLE37" s="168"/>
      <c r="NLF37" s="168"/>
      <c r="NLG37" s="168"/>
      <c r="NLH37" s="168"/>
      <c r="NLI37" s="168"/>
      <c r="NLJ37" s="168"/>
      <c r="NLK37" s="168"/>
      <c r="NLL37" s="168"/>
      <c r="NLM37" s="168"/>
      <c r="NLN37" s="168"/>
      <c r="NLO37" s="168"/>
      <c r="NLP37" s="168"/>
      <c r="NLQ37" s="168"/>
      <c r="NLR37" s="168"/>
      <c r="NLS37" s="168"/>
      <c r="NLT37" s="168"/>
      <c r="NLU37" s="168"/>
      <c r="NLV37" s="168"/>
      <c r="NLW37" s="168"/>
      <c r="NLX37" s="168"/>
      <c r="NLY37" s="168"/>
      <c r="NLZ37" s="168"/>
      <c r="NMA37" s="168"/>
      <c r="NMB37" s="168"/>
      <c r="NMC37" s="168"/>
      <c r="NMD37" s="168"/>
      <c r="NME37" s="168"/>
      <c r="NMF37" s="168"/>
      <c r="NMG37" s="168"/>
      <c r="NMH37" s="168"/>
      <c r="NMI37" s="168"/>
      <c r="NMJ37" s="168"/>
      <c r="NMK37" s="168"/>
      <c r="NML37" s="168"/>
      <c r="NMM37" s="168"/>
      <c r="NMN37" s="168"/>
      <c r="NMO37" s="168"/>
      <c r="NMP37" s="168"/>
      <c r="NMQ37" s="168"/>
      <c r="NMR37" s="168"/>
      <c r="NMS37" s="168"/>
      <c r="NMT37" s="168"/>
      <c r="NMU37" s="168"/>
      <c r="NMV37" s="168"/>
      <c r="NMW37" s="168"/>
      <c r="NMX37" s="168"/>
      <c r="NMY37" s="168"/>
      <c r="NMZ37" s="168"/>
      <c r="NNA37" s="168"/>
      <c r="NNB37" s="168"/>
      <c r="NNC37" s="168"/>
      <c r="NND37" s="168"/>
      <c r="NNE37" s="168"/>
      <c r="NNF37" s="168"/>
      <c r="NNG37" s="168"/>
      <c r="NNH37" s="168"/>
      <c r="NNI37" s="168"/>
      <c r="NNJ37" s="168"/>
      <c r="NNK37" s="168"/>
      <c r="NNL37" s="168"/>
      <c r="NNM37" s="168"/>
      <c r="NNN37" s="168"/>
      <c r="NNO37" s="168"/>
      <c r="NNP37" s="168"/>
      <c r="NNQ37" s="168"/>
      <c r="NNR37" s="168"/>
      <c r="NNS37" s="168"/>
      <c r="NNT37" s="168"/>
      <c r="NNU37" s="168"/>
      <c r="NNV37" s="168"/>
      <c r="NNW37" s="168"/>
      <c r="NNX37" s="168"/>
      <c r="NNY37" s="168"/>
      <c r="NNZ37" s="168"/>
      <c r="NOA37" s="168"/>
      <c r="NOB37" s="168"/>
      <c r="NOC37" s="168"/>
      <c r="NOD37" s="168"/>
      <c r="NOE37" s="168"/>
      <c r="NOF37" s="168"/>
      <c r="NOG37" s="168"/>
      <c r="NOH37" s="168"/>
      <c r="NOI37" s="168"/>
      <c r="NOJ37" s="168"/>
      <c r="NOK37" s="168"/>
      <c r="NOL37" s="168"/>
      <c r="NOM37" s="168"/>
      <c r="NON37" s="168"/>
      <c r="NOO37" s="168"/>
      <c r="NOP37" s="168"/>
      <c r="NOQ37" s="168"/>
      <c r="NOR37" s="168"/>
      <c r="NOS37" s="168"/>
      <c r="NOT37" s="168"/>
      <c r="NOU37" s="168"/>
      <c r="NOV37" s="168"/>
      <c r="NOW37" s="168"/>
      <c r="NOX37" s="168"/>
      <c r="NOY37" s="168"/>
      <c r="NOZ37" s="168"/>
      <c r="NPA37" s="168"/>
      <c r="NPB37" s="168"/>
      <c r="NPC37" s="168"/>
      <c r="NPD37" s="168"/>
      <c r="NPE37" s="168"/>
      <c r="NPF37" s="168"/>
      <c r="NPG37" s="168"/>
      <c r="NPH37" s="168"/>
      <c r="NPI37" s="168"/>
      <c r="NPJ37" s="168"/>
      <c r="NPK37" s="168"/>
      <c r="NPL37" s="168"/>
      <c r="NPM37" s="168"/>
      <c r="NPN37" s="168"/>
      <c r="NPO37" s="168"/>
      <c r="NPP37" s="168"/>
      <c r="NPQ37" s="168"/>
      <c r="NPR37" s="168"/>
      <c r="NPS37" s="168"/>
      <c r="NPT37" s="168"/>
      <c r="NPU37" s="168"/>
      <c r="NPV37" s="168"/>
      <c r="NPW37" s="168"/>
      <c r="NPX37" s="168"/>
      <c r="NPY37" s="168"/>
      <c r="NPZ37" s="168"/>
      <c r="NQA37" s="168"/>
      <c r="NQB37" s="168"/>
      <c r="NQC37" s="168"/>
      <c r="NQD37" s="168"/>
      <c r="NQE37" s="168"/>
      <c r="NQF37" s="168"/>
      <c r="NQG37" s="168"/>
      <c r="NQH37" s="168"/>
      <c r="NQI37" s="168"/>
      <c r="NQJ37" s="168"/>
      <c r="NQK37" s="168"/>
      <c r="NQL37" s="168"/>
      <c r="NQM37" s="168"/>
      <c r="NQN37" s="168"/>
      <c r="NQO37" s="168"/>
      <c r="NQP37" s="168"/>
      <c r="NQQ37" s="168"/>
      <c r="NQR37" s="168"/>
      <c r="NQS37" s="168"/>
      <c r="NQT37" s="168"/>
      <c r="NQU37" s="168"/>
      <c r="NQV37" s="168"/>
      <c r="NQW37" s="168"/>
      <c r="NQX37" s="168"/>
      <c r="NQY37" s="168"/>
      <c r="NQZ37" s="168"/>
      <c r="NRA37" s="168"/>
      <c r="NRB37" s="168"/>
      <c r="NRC37" s="168"/>
      <c r="NRD37" s="168"/>
      <c r="NRE37" s="168"/>
    </row>
    <row r="38" spans="1:9937" s="169" customFormat="1" ht="25" customHeight="1" x14ac:dyDescent="0.45">
      <c r="A38" s="105" t="s">
        <v>614</v>
      </c>
      <c r="B38" s="44">
        <v>0.2</v>
      </c>
      <c r="C38" s="361">
        <f>VLOOKUP($A$3,INITIAL_EST_PY,111,FALSE)</f>
        <v>0</v>
      </c>
      <c r="D38" s="361">
        <f t="shared" si="10"/>
        <v>0</v>
      </c>
      <c r="E38" s="361">
        <f t="shared" si="10"/>
        <v>0</v>
      </c>
      <c r="F38" s="353">
        <f t="shared" si="10"/>
        <v>0</v>
      </c>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c r="IN38" s="168"/>
      <c r="IO38" s="168"/>
      <c r="IP38" s="168"/>
      <c r="IQ38" s="168"/>
      <c r="IR38" s="168"/>
      <c r="IS38" s="168"/>
      <c r="IT38" s="168"/>
      <c r="IU38" s="168"/>
      <c r="IV38" s="168"/>
      <c r="IW38" s="168"/>
      <c r="IX38" s="168"/>
      <c r="IY38" s="168"/>
      <c r="IZ38" s="168"/>
      <c r="JA38" s="168"/>
      <c r="JB38" s="168"/>
      <c r="JC38" s="168"/>
      <c r="JD38" s="168"/>
      <c r="JE38" s="168"/>
      <c r="JF38" s="168"/>
      <c r="JG38" s="168"/>
      <c r="JH38" s="168"/>
      <c r="JI38" s="168"/>
      <c r="JJ38" s="168"/>
      <c r="JK38" s="168"/>
      <c r="JL38" s="168"/>
      <c r="JM38" s="168"/>
      <c r="JN38" s="168"/>
      <c r="JO38" s="168"/>
      <c r="JP38" s="168"/>
      <c r="JQ38" s="168"/>
      <c r="JR38" s="168"/>
      <c r="JS38" s="168"/>
      <c r="JT38" s="168"/>
      <c r="JU38" s="168"/>
      <c r="JV38" s="168"/>
      <c r="JW38" s="168"/>
      <c r="JX38" s="168"/>
      <c r="JY38" s="168"/>
      <c r="JZ38" s="168"/>
      <c r="KA38" s="168"/>
      <c r="KB38" s="168"/>
      <c r="KC38" s="168"/>
      <c r="KD38" s="168"/>
      <c r="KE38" s="168"/>
      <c r="KF38" s="168"/>
      <c r="KG38" s="168"/>
      <c r="KH38" s="168"/>
      <c r="KI38" s="168"/>
      <c r="KJ38" s="168"/>
      <c r="KK38" s="168"/>
      <c r="KL38" s="168"/>
      <c r="KM38" s="168"/>
      <c r="KN38" s="168"/>
      <c r="KO38" s="168"/>
      <c r="KP38" s="168"/>
      <c r="KQ38" s="168"/>
      <c r="KR38" s="168"/>
      <c r="KS38" s="168"/>
      <c r="KT38" s="168"/>
      <c r="KU38" s="168"/>
      <c r="KV38" s="168"/>
      <c r="KW38" s="168"/>
      <c r="KX38" s="168"/>
      <c r="KY38" s="168"/>
      <c r="KZ38" s="168"/>
      <c r="LA38" s="168"/>
      <c r="LB38" s="168"/>
      <c r="LC38" s="168"/>
      <c r="LD38" s="168"/>
      <c r="LE38" s="168"/>
      <c r="LF38" s="168"/>
      <c r="LG38" s="168"/>
      <c r="LH38" s="168"/>
      <c r="LI38" s="168"/>
      <c r="LJ38" s="168"/>
      <c r="LK38" s="168"/>
      <c r="LL38" s="168"/>
      <c r="LM38" s="168"/>
      <c r="LN38" s="168"/>
      <c r="LO38" s="168"/>
      <c r="LP38" s="168"/>
      <c r="LQ38" s="168"/>
      <c r="LR38" s="168"/>
      <c r="LS38" s="168"/>
      <c r="LT38" s="168"/>
      <c r="LU38" s="168"/>
      <c r="LV38" s="168"/>
      <c r="LW38" s="168"/>
      <c r="LX38" s="168"/>
      <c r="LY38" s="168"/>
      <c r="LZ38" s="168"/>
      <c r="MA38" s="168"/>
      <c r="MB38" s="168"/>
      <c r="MC38" s="168"/>
      <c r="MD38" s="168"/>
      <c r="ME38" s="168"/>
      <c r="MF38" s="168"/>
      <c r="MG38" s="168"/>
      <c r="MH38" s="168"/>
      <c r="MI38" s="168"/>
      <c r="MJ38" s="168"/>
      <c r="MK38" s="168"/>
      <c r="ML38" s="168"/>
      <c r="MM38" s="168"/>
      <c r="MN38" s="168"/>
      <c r="MO38" s="168"/>
      <c r="MP38" s="168"/>
      <c r="MQ38" s="168"/>
      <c r="MR38" s="168"/>
      <c r="MS38" s="168"/>
      <c r="MT38" s="168"/>
      <c r="MU38" s="168"/>
      <c r="MV38" s="168"/>
      <c r="MW38" s="168"/>
      <c r="MX38" s="168"/>
      <c r="MY38" s="168"/>
      <c r="MZ38" s="168"/>
      <c r="NA38" s="168"/>
      <c r="NB38" s="168"/>
      <c r="NC38" s="168"/>
      <c r="ND38" s="168"/>
      <c r="NE38" s="168"/>
      <c r="NF38" s="168"/>
      <c r="NG38" s="168"/>
      <c r="NH38" s="168"/>
      <c r="NI38" s="168"/>
      <c r="NJ38" s="168"/>
      <c r="NK38" s="168"/>
      <c r="NL38" s="168"/>
      <c r="NM38" s="168"/>
      <c r="NN38" s="168"/>
      <c r="NO38" s="168"/>
      <c r="NP38" s="168"/>
      <c r="NQ38" s="168"/>
      <c r="NR38" s="168"/>
      <c r="NS38" s="168"/>
      <c r="NT38" s="168"/>
      <c r="NU38" s="168"/>
      <c r="NV38" s="168"/>
      <c r="NW38" s="168"/>
      <c r="NX38" s="168"/>
      <c r="NY38" s="168"/>
      <c r="NZ38" s="168"/>
      <c r="OA38" s="168"/>
      <c r="OB38" s="168"/>
      <c r="OC38" s="168"/>
      <c r="OD38" s="168"/>
      <c r="OE38" s="168"/>
      <c r="OF38" s="168"/>
      <c r="OG38" s="168"/>
      <c r="OH38" s="168"/>
      <c r="OI38" s="168"/>
      <c r="OJ38" s="168"/>
      <c r="OK38" s="168"/>
      <c r="OL38" s="168"/>
      <c r="OM38" s="168"/>
      <c r="ON38" s="168"/>
      <c r="OO38" s="168"/>
      <c r="OP38" s="168"/>
      <c r="OQ38" s="168"/>
      <c r="OR38" s="168"/>
      <c r="OS38" s="168"/>
      <c r="OT38" s="168"/>
      <c r="OU38" s="168"/>
      <c r="OV38" s="168"/>
      <c r="OW38" s="168"/>
      <c r="OX38" s="168"/>
      <c r="OY38" s="168"/>
      <c r="OZ38" s="168"/>
      <c r="PA38" s="168"/>
      <c r="PB38" s="168"/>
      <c r="PC38" s="168"/>
      <c r="PD38" s="168"/>
      <c r="PE38" s="168"/>
      <c r="PF38" s="168"/>
      <c r="PG38" s="168"/>
      <c r="PH38" s="168"/>
      <c r="PI38" s="168"/>
      <c r="PJ38" s="168"/>
      <c r="PK38" s="168"/>
      <c r="PL38" s="168"/>
      <c r="PM38" s="168"/>
      <c r="PN38" s="168"/>
      <c r="PO38" s="168"/>
      <c r="PP38" s="168"/>
      <c r="PQ38" s="168"/>
      <c r="PR38" s="168"/>
      <c r="PS38" s="168"/>
      <c r="PT38" s="168"/>
      <c r="PU38" s="168"/>
      <c r="PV38" s="168"/>
      <c r="PW38" s="168"/>
      <c r="PX38" s="168"/>
      <c r="PY38" s="168"/>
      <c r="PZ38" s="168"/>
      <c r="QA38" s="168"/>
      <c r="QB38" s="168"/>
      <c r="QC38" s="168"/>
      <c r="QD38" s="168"/>
      <c r="QE38" s="168"/>
      <c r="QF38" s="168"/>
      <c r="QG38" s="168"/>
      <c r="QH38" s="168"/>
      <c r="QI38" s="168"/>
      <c r="QJ38" s="168"/>
      <c r="QK38" s="168"/>
      <c r="QL38" s="168"/>
      <c r="QM38" s="168"/>
      <c r="QN38" s="168"/>
      <c r="QO38" s="168"/>
      <c r="QP38" s="168"/>
      <c r="QQ38" s="168"/>
      <c r="QR38" s="168"/>
      <c r="QS38" s="168"/>
      <c r="QT38" s="168"/>
      <c r="QU38" s="168"/>
      <c r="QV38" s="168"/>
      <c r="QW38" s="168"/>
      <c r="QX38" s="168"/>
      <c r="QY38" s="168"/>
      <c r="QZ38" s="168"/>
      <c r="RA38" s="168"/>
      <c r="RB38" s="168"/>
      <c r="RC38" s="168"/>
      <c r="RD38" s="168"/>
      <c r="RE38" s="168"/>
      <c r="RF38" s="168"/>
      <c r="RG38" s="168"/>
      <c r="RH38" s="168"/>
      <c r="RI38" s="168"/>
      <c r="RJ38" s="168"/>
      <c r="RK38" s="168"/>
      <c r="RL38" s="168"/>
      <c r="RM38" s="168"/>
      <c r="RN38" s="168"/>
      <c r="RO38" s="168"/>
      <c r="RP38" s="168"/>
      <c r="RQ38" s="168"/>
      <c r="RR38" s="168"/>
      <c r="RS38" s="168"/>
      <c r="RT38" s="168"/>
      <c r="RU38" s="168"/>
      <c r="RV38" s="168"/>
      <c r="RW38" s="168"/>
      <c r="RX38" s="168"/>
      <c r="RY38" s="168"/>
      <c r="RZ38" s="168"/>
      <c r="SA38" s="168"/>
      <c r="SB38" s="168"/>
      <c r="SC38" s="168"/>
      <c r="SD38" s="168"/>
      <c r="SE38" s="168"/>
      <c r="SF38" s="168"/>
      <c r="SG38" s="168"/>
      <c r="SH38" s="168"/>
      <c r="SI38" s="168"/>
      <c r="SJ38" s="168"/>
      <c r="SK38" s="168"/>
      <c r="SL38" s="168"/>
      <c r="SM38" s="168"/>
      <c r="SN38" s="168"/>
      <c r="SO38" s="168"/>
      <c r="SP38" s="168"/>
      <c r="SQ38" s="168"/>
      <c r="SR38" s="168"/>
      <c r="SS38" s="168"/>
      <c r="ST38" s="168"/>
      <c r="SU38" s="168"/>
      <c r="SV38" s="168"/>
      <c r="SW38" s="168"/>
      <c r="SX38" s="168"/>
      <c r="SY38" s="168"/>
      <c r="SZ38" s="168"/>
      <c r="TA38" s="168"/>
      <c r="TB38" s="168"/>
      <c r="TC38" s="168"/>
      <c r="TD38" s="168"/>
      <c r="TE38" s="168"/>
      <c r="TF38" s="168"/>
      <c r="TG38" s="168"/>
      <c r="TH38" s="168"/>
      <c r="TI38" s="168"/>
      <c r="TJ38" s="168"/>
      <c r="TK38" s="168"/>
      <c r="TL38" s="168"/>
      <c r="TM38" s="168"/>
      <c r="TN38" s="168"/>
      <c r="TO38" s="168"/>
      <c r="TP38" s="168"/>
      <c r="TQ38" s="168"/>
      <c r="TR38" s="168"/>
      <c r="TS38" s="168"/>
      <c r="TT38" s="168"/>
      <c r="TU38" s="168"/>
      <c r="TV38" s="168"/>
      <c r="TW38" s="168"/>
      <c r="TX38" s="168"/>
      <c r="TY38" s="168"/>
      <c r="TZ38" s="168"/>
      <c r="UA38" s="168"/>
      <c r="UB38" s="168"/>
      <c r="UC38" s="168"/>
      <c r="UD38" s="168"/>
      <c r="UE38" s="168"/>
      <c r="UF38" s="168"/>
      <c r="UG38" s="168"/>
      <c r="UH38" s="168"/>
      <c r="UI38" s="168"/>
      <c r="UJ38" s="168"/>
      <c r="UK38" s="168"/>
      <c r="UL38" s="168"/>
      <c r="UM38" s="168"/>
      <c r="UN38" s="168"/>
      <c r="UO38" s="168"/>
      <c r="UP38" s="168"/>
      <c r="UQ38" s="168"/>
      <c r="UR38" s="168"/>
      <c r="US38" s="168"/>
      <c r="UT38" s="168"/>
      <c r="UU38" s="168"/>
      <c r="UV38" s="168"/>
      <c r="UW38" s="168"/>
      <c r="UX38" s="168"/>
      <c r="UY38" s="168"/>
      <c r="UZ38" s="168"/>
      <c r="VA38" s="168"/>
      <c r="VB38" s="168"/>
      <c r="VC38" s="168"/>
      <c r="VD38" s="168"/>
      <c r="VE38" s="168"/>
      <c r="VF38" s="168"/>
      <c r="VG38" s="168"/>
      <c r="VH38" s="168"/>
      <c r="VI38" s="168"/>
      <c r="VJ38" s="168"/>
      <c r="VK38" s="168"/>
      <c r="VL38" s="168"/>
      <c r="VM38" s="168"/>
      <c r="VN38" s="168"/>
      <c r="VO38" s="168"/>
      <c r="VP38" s="168"/>
      <c r="VQ38" s="168"/>
      <c r="VR38" s="168"/>
      <c r="VS38" s="168"/>
      <c r="VT38" s="168"/>
      <c r="VU38" s="168"/>
      <c r="VV38" s="168"/>
      <c r="VW38" s="168"/>
      <c r="VX38" s="168"/>
      <c r="VY38" s="168"/>
      <c r="VZ38" s="168"/>
      <c r="WA38" s="168"/>
      <c r="WB38" s="168"/>
      <c r="WC38" s="168"/>
      <c r="WD38" s="168"/>
      <c r="WE38" s="168"/>
      <c r="WF38" s="168"/>
      <c r="WG38" s="168"/>
      <c r="WH38" s="168"/>
      <c r="WI38" s="168"/>
      <c r="WJ38" s="168"/>
      <c r="WK38" s="168"/>
      <c r="WL38" s="168"/>
      <c r="WM38" s="168"/>
      <c r="WN38" s="168"/>
      <c r="WO38" s="168"/>
      <c r="WP38" s="168"/>
      <c r="WQ38" s="168"/>
      <c r="WR38" s="168"/>
      <c r="WS38" s="168"/>
      <c r="WT38" s="168"/>
      <c r="WU38" s="168"/>
      <c r="WV38" s="168"/>
      <c r="WW38" s="168"/>
      <c r="WX38" s="168"/>
      <c r="WY38" s="168"/>
      <c r="WZ38" s="168"/>
      <c r="XA38" s="168"/>
      <c r="XB38" s="168"/>
      <c r="XC38" s="168"/>
      <c r="XD38" s="168"/>
      <c r="XE38" s="168"/>
      <c r="XF38" s="168"/>
      <c r="XG38" s="168"/>
      <c r="XH38" s="168"/>
      <c r="XI38" s="168"/>
      <c r="XJ38" s="168"/>
      <c r="XK38" s="168"/>
      <c r="XL38" s="168"/>
      <c r="XM38" s="168"/>
      <c r="XN38" s="168"/>
      <c r="XO38" s="168"/>
      <c r="XP38" s="168"/>
      <c r="XQ38" s="168"/>
      <c r="XR38" s="168"/>
      <c r="XS38" s="168"/>
      <c r="XT38" s="168"/>
      <c r="XU38" s="168"/>
      <c r="XV38" s="168"/>
      <c r="XW38" s="168"/>
      <c r="XX38" s="168"/>
      <c r="XY38" s="168"/>
      <c r="XZ38" s="168"/>
      <c r="YA38" s="168"/>
      <c r="YB38" s="168"/>
      <c r="YC38" s="168"/>
      <c r="YD38" s="168"/>
      <c r="YE38" s="168"/>
      <c r="YF38" s="168"/>
      <c r="YG38" s="168"/>
      <c r="YH38" s="168"/>
      <c r="YI38" s="168"/>
      <c r="YJ38" s="168"/>
      <c r="YK38" s="168"/>
      <c r="YL38" s="168"/>
      <c r="YM38" s="168"/>
      <c r="YN38" s="168"/>
      <c r="YO38" s="168"/>
      <c r="YP38" s="168"/>
      <c r="YQ38" s="168"/>
      <c r="YR38" s="168"/>
      <c r="YS38" s="168"/>
      <c r="YT38" s="168"/>
      <c r="YU38" s="168"/>
      <c r="YV38" s="168"/>
      <c r="YW38" s="168"/>
      <c r="YX38" s="168"/>
      <c r="YY38" s="168"/>
      <c r="YZ38" s="168"/>
      <c r="ZA38" s="168"/>
      <c r="ZB38" s="168"/>
      <c r="ZC38" s="168"/>
      <c r="ZD38" s="168"/>
      <c r="ZE38" s="168"/>
      <c r="ZF38" s="168"/>
      <c r="ZG38" s="168"/>
      <c r="ZH38" s="168"/>
      <c r="ZI38" s="168"/>
      <c r="ZJ38" s="168"/>
      <c r="ZK38" s="168"/>
      <c r="ZL38" s="168"/>
      <c r="ZM38" s="168"/>
      <c r="ZN38" s="168"/>
      <c r="ZO38" s="168"/>
      <c r="ZP38" s="168"/>
      <c r="ZQ38" s="168"/>
      <c r="ZR38" s="168"/>
      <c r="ZS38" s="168"/>
      <c r="ZT38" s="168"/>
      <c r="ZU38" s="168"/>
      <c r="ZV38" s="168"/>
      <c r="ZW38" s="168"/>
      <c r="ZX38" s="168"/>
      <c r="ZY38" s="168"/>
      <c r="ZZ38" s="168"/>
      <c r="AAA38" s="168"/>
      <c r="AAB38" s="168"/>
      <c r="AAC38" s="168"/>
      <c r="AAD38" s="168"/>
      <c r="AAE38" s="168"/>
      <c r="AAF38" s="168"/>
      <c r="AAG38" s="168"/>
      <c r="AAH38" s="168"/>
      <c r="AAI38" s="168"/>
      <c r="AAJ38" s="168"/>
      <c r="AAK38" s="168"/>
      <c r="AAL38" s="168"/>
      <c r="AAM38" s="168"/>
      <c r="AAN38" s="168"/>
      <c r="AAO38" s="168"/>
      <c r="AAP38" s="168"/>
      <c r="AAQ38" s="168"/>
      <c r="AAR38" s="168"/>
      <c r="AAS38" s="168"/>
      <c r="AAT38" s="168"/>
      <c r="AAU38" s="168"/>
      <c r="AAV38" s="168"/>
      <c r="AAW38" s="168"/>
      <c r="AAX38" s="168"/>
      <c r="AAY38" s="168"/>
      <c r="AAZ38" s="168"/>
      <c r="ABA38" s="168"/>
      <c r="ABB38" s="168"/>
      <c r="ABC38" s="168"/>
      <c r="ABD38" s="168"/>
      <c r="ABE38" s="168"/>
      <c r="ABF38" s="168"/>
      <c r="ABG38" s="168"/>
      <c r="ABH38" s="168"/>
      <c r="ABI38" s="168"/>
      <c r="ABJ38" s="168"/>
      <c r="ABK38" s="168"/>
      <c r="ABL38" s="168"/>
      <c r="ABM38" s="168"/>
      <c r="ABN38" s="168"/>
      <c r="ABO38" s="168"/>
      <c r="ABP38" s="168"/>
      <c r="ABQ38" s="168"/>
      <c r="ABR38" s="168"/>
      <c r="ABS38" s="168"/>
      <c r="ABT38" s="168"/>
      <c r="ABU38" s="168"/>
      <c r="ABV38" s="168"/>
      <c r="ABW38" s="168"/>
      <c r="ABX38" s="168"/>
      <c r="ABY38" s="168"/>
      <c r="ABZ38" s="168"/>
      <c r="ACA38" s="168"/>
      <c r="ACB38" s="168"/>
      <c r="ACC38" s="168"/>
      <c r="ACD38" s="168"/>
      <c r="ACE38" s="168"/>
      <c r="ACF38" s="168"/>
      <c r="ACG38" s="168"/>
      <c r="ACH38" s="168"/>
      <c r="ACI38" s="168"/>
      <c r="ACJ38" s="168"/>
      <c r="ACK38" s="168"/>
      <c r="ACL38" s="168"/>
      <c r="ACM38" s="168"/>
      <c r="ACN38" s="168"/>
      <c r="ACO38" s="168"/>
      <c r="ACP38" s="168"/>
      <c r="ACQ38" s="168"/>
      <c r="ACR38" s="168"/>
      <c r="ACS38" s="168"/>
      <c r="ACT38" s="168"/>
      <c r="ACU38" s="168"/>
      <c r="ACV38" s="168"/>
      <c r="ACW38" s="168"/>
      <c r="ACX38" s="168"/>
      <c r="ACY38" s="168"/>
      <c r="ACZ38" s="168"/>
      <c r="ADA38" s="168"/>
      <c r="ADB38" s="168"/>
      <c r="ADC38" s="168"/>
      <c r="ADD38" s="168"/>
      <c r="ADE38" s="168"/>
      <c r="ADF38" s="168"/>
      <c r="ADG38" s="168"/>
      <c r="ADH38" s="168"/>
      <c r="ADI38" s="168"/>
      <c r="ADJ38" s="168"/>
      <c r="ADK38" s="168"/>
      <c r="ADL38" s="168"/>
      <c r="ADM38" s="168"/>
      <c r="ADN38" s="168"/>
      <c r="ADO38" s="168"/>
      <c r="ADP38" s="168"/>
      <c r="ADQ38" s="168"/>
      <c r="ADR38" s="168"/>
      <c r="ADS38" s="168"/>
      <c r="ADT38" s="168"/>
      <c r="ADU38" s="168"/>
      <c r="ADV38" s="168"/>
      <c r="ADW38" s="168"/>
      <c r="ADX38" s="168"/>
      <c r="ADY38" s="168"/>
      <c r="ADZ38" s="168"/>
      <c r="AEA38" s="168"/>
      <c r="AEB38" s="168"/>
      <c r="AEC38" s="168"/>
      <c r="AED38" s="168"/>
      <c r="AEE38" s="168"/>
      <c r="AEF38" s="168"/>
      <c r="AEG38" s="168"/>
      <c r="AEH38" s="168"/>
      <c r="AEI38" s="168"/>
      <c r="AEJ38" s="168"/>
      <c r="AEK38" s="168"/>
      <c r="AEL38" s="168"/>
      <c r="AEM38" s="168"/>
      <c r="AEN38" s="168"/>
      <c r="AEO38" s="168"/>
      <c r="AEP38" s="168"/>
      <c r="AEQ38" s="168"/>
      <c r="AER38" s="168"/>
      <c r="AES38" s="168"/>
      <c r="AET38" s="168"/>
      <c r="AEU38" s="168"/>
      <c r="AEV38" s="168"/>
      <c r="AEW38" s="168"/>
      <c r="AEX38" s="168"/>
      <c r="AEY38" s="168"/>
      <c r="AEZ38" s="168"/>
      <c r="AFA38" s="168"/>
      <c r="AFB38" s="168"/>
      <c r="AFC38" s="168"/>
      <c r="AFD38" s="168"/>
      <c r="AFE38" s="168"/>
      <c r="AFF38" s="168"/>
      <c r="AFG38" s="168"/>
      <c r="AFH38" s="168"/>
      <c r="AFI38" s="168"/>
      <c r="AFJ38" s="168"/>
      <c r="AFK38" s="168"/>
      <c r="AFL38" s="168"/>
      <c r="AFM38" s="168"/>
      <c r="AFN38" s="168"/>
      <c r="AFO38" s="168"/>
      <c r="AFP38" s="168"/>
      <c r="AFQ38" s="168"/>
      <c r="AFR38" s="168"/>
      <c r="AFS38" s="168"/>
      <c r="AFT38" s="168"/>
      <c r="AFU38" s="168"/>
      <c r="AFV38" s="168"/>
      <c r="AFW38" s="168"/>
      <c r="AFX38" s="168"/>
      <c r="AFY38" s="168"/>
      <c r="AFZ38" s="168"/>
      <c r="AGA38" s="168"/>
      <c r="AGB38" s="168"/>
      <c r="AGC38" s="168"/>
      <c r="AGD38" s="168"/>
      <c r="AGE38" s="168"/>
      <c r="AGF38" s="168"/>
      <c r="AGG38" s="168"/>
      <c r="AGH38" s="168"/>
      <c r="AGI38" s="168"/>
      <c r="AGJ38" s="168"/>
      <c r="AGK38" s="168"/>
      <c r="AGL38" s="168"/>
      <c r="AGM38" s="168"/>
      <c r="AGN38" s="168"/>
      <c r="AGO38" s="168"/>
      <c r="AGP38" s="168"/>
      <c r="AGQ38" s="168"/>
      <c r="AGR38" s="168"/>
      <c r="AGS38" s="168"/>
      <c r="AGT38" s="168"/>
      <c r="AGU38" s="168"/>
      <c r="AGV38" s="168"/>
      <c r="AGW38" s="168"/>
      <c r="AGX38" s="168"/>
      <c r="AGY38" s="168"/>
      <c r="AGZ38" s="168"/>
      <c r="AHA38" s="168"/>
      <c r="AHB38" s="168"/>
      <c r="AHC38" s="168"/>
      <c r="AHD38" s="168"/>
      <c r="AHE38" s="168"/>
      <c r="AHF38" s="168"/>
      <c r="AHG38" s="168"/>
      <c r="AHH38" s="168"/>
      <c r="AHI38" s="168"/>
      <c r="AHJ38" s="168"/>
      <c r="AHK38" s="168"/>
      <c r="AHL38" s="168"/>
      <c r="AHM38" s="168"/>
      <c r="AHN38" s="168"/>
      <c r="AHO38" s="168"/>
      <c r="AHP38" s="168"/>
      <c r="AHQ38" s="168"/>
      <c r="AHR38" s="168"/>
      <c r="AHS38" s="168"/>
      <c r="AHT38" s="168"/>
      <c r="AHU38" s="168"/>
      <c r="AHV38" s="168"/>
      <c r="AHW38" s="168"/>
      <c r="AHX38" s="168"/>
      <c r="AHY38" s="168"/>
      <c r="AHZ38" s="168"/>
      <c r="AIA38" s="168"/>
      <c r="AIB38" s="168"/>
      <c r="AIC38" s="168"/>
      <c r="AID38" s="168"/>
      <c r="AIE38" s="168"/>
      <c r="AIF38" s="168"/>
      <c r="AIG38" s="168"/>
      <c r="AIH38" s="168"/>
      <c r="AII38" s="168"/>
      <c r="AIJ38" s="168"/>
      <c r="AIK38" s="168"/>
      <c r="AIL38" s="168"/>
      <c r="AIM38" s="168"/>
      <c r="AIN38" s="168"/>
      <c r="AIO38" s="168"/>
      <c r="AIP38" s="168"/>
      <c r="AIQ38" s="168"/>
      <c r="AIR38" s="168"/>
      <c r="AIS38" s="168"/>
      <c r="AIT38" s="168"/>
      <c r="AIU38" s="168"/>
      <c r="AIV38" s="168"/>
      <c r="AIW38" s="168"/>
      <c r="AIX38" s="168"/>
      <c r="AIY38" s="168"/>
      <c r="AIZ38" s="168"/>
      <c r="AJA38" s="168"/>
      <c r="AJB38" s="168"/>
      <c r="AJC38" s="168"/>
      <c r="AJD38" s="168"/>
      <c r="AJE38" s="168"/>
      <c r="AJF38" s="168"/>
      <c r="AJG38" s="168"/>
      <c r="AJH38" s="168"/>
      <c r="AJI38" s="168"/>
      <c r="AJJ38" s="168"/>
      <c r="AJK38" s="168"/>
      <c r="AJL38" s="168"/>
      <c r="AJM38" s="168"/>
      <c r="AJN38" s="168"/>
      <c r="AJO38" s="168"/>
      <c r="AJP38" s="168"/>
      <c r="AJQ38" s="168"/>
      <c r="AJR38" s="168"/>
      <c r="AJS38" s="168"/>
      <c r="AJT38" s="168"/>
      <c r="AJU38" s="168"/>
      <c r="AJV38" s="168"/>
      <c r="AJW38" s="168"/>
      <c r="AJX38" s="168"/>
      <c r="AJY38" s="168"/>
      <c r="AJZ38" s="168"/>
      <c r="AKA38" s="168"/>
      <c r="AKB38" s="168"/>
      <c r="AKC38" s="168"/>
      <c r="AKD38" s="168"/>
      <c r="AKE38" s="168"/>
      <c r="AKF38" s="168"/>
      <c r="AKG38" s="168"/>
      <c r="AKH38" s="168"/>
      <c r="AKI38" s="168"/>
      <c r="AKJ38" s="168"/>
      <c r="AKK38" s="168"/>
      <c r="AKL38" s="168"/>
      <c r="AKM38" s="168"/>
      <c r="AKN38" s="168"/>
      <c r="AKO38" s="168"/>
      <c r="AKP38" s="168"/>
      <c r="AKQ38" s="168"/>
      <c r="AKR38" s="168"/>
      <c r="AKS38" s="168"/>
      <c r="AKT38" s="168"/>
      <c r="AKU38" s="168"/>
      <c r="AKV38" s="168"/>
      <c r="AKW38" s="168"/>
      <c r="AKX38" s="168"/>
      <c r="AKY38" s="168"/>
      <c r="AKZ38" s="168"/>
      <c r="ALA38" s="168"/>
      <c r="ALB38" s="168"/>
      <c r="ALC38" s="168"/>
      <c r="ALD38" s="168"/>
      <c r="ALE38" s="168"/>
      <c r="ALF38" s="168"/>
      <c r="ALG38" s="168"/>
      <c r="ALH38" s="168"/>
      <c r="ALI38" s="168"/>
      <c r="ALJ38" s="168"/>
      <c r="ALK38" s="168"/>
      <c r="ALL38" s="168"/>
      <c r="ALM38" s="168"/>
      <c r="ALN38" s="168"/>
      <c r="ALO38" s="168"/>
      <c r="ALP38" s="168"/>
      <c r="ALQ38" s="168"/>
      <c r="ALR38" s="168"/>
      <c r="ALS38" s="168"/>
      <c r="ALT38" s="168"/>
      <c r="ALU38" s="168"/>
      <c r="ALV38" s="168"/>
      <c r="ALW38" s="168"/>
      <c r="ALX38" s="168"/>
      <c r="ALY38" s="168"/>
      <c r="ALZ38" s="168"/>
      <c r="AMA38" s="168"/>
      <c r="AMB38" s="168"/>
      <c r="AMC38" s="168"/>
      <c r="AMD38" s="168"/>
      <c r="AME38" s="168"/>
      <c r="AMF38" s="168"/>
      <c r="AMG38" s="168"/>
      <c r="AMH38" s="168"/>
      <c r="AMI38" s="168"/>
      <c r="AMJ38" s="168"/>
      <c r="AMK38" s="168"/>
      <c r="AML38" s="168"/>
      <c r="AMM38" s="168"/>
      <c r="AMN38" s="168"/>
      <c r="AMO38" s="168"/>
      <c r="AMP38" s="168"/>
      <c r="AMQ38" s="168"/>
      <c r="AMR38" s="168"/>
      <c r="AMS38" s="168"/>
      <c r="AMT38" s="168"/>
      <c r="AMU38" s="168"/>
      <c r="AMV38" s="168"/>
      <c r="AMW38" s="168"/>
      <c r="AMX38" s="168"/>
      <c r="AMY38" s="168"/>
      <c r="AMZ38" s="168"/>
      <c r="ANA38" s="168"/>
      <c r="ANB38" s="168"/>
      <c r="ANC38" s="168"/>
      <c r="AND38" s="168"/>
      <c r="ANE38" s="168"/>
      <c r="ANF38" s="168"/>
      <c r="ANG38" s="168"/>
      <c r="ANH38" s="168"/>
      <c r="ANI38" s="168"/>
      <c r="ANJ38" s="168"/>
      <c r="ANK38" s="168"/>
      <c r="ANL38" s="168"/>
      <c r="ANM38" s="168"/>
      <c r="ANN38" s="168"/>
      <c r="ANO38" s="168"/>
      <c r="ANP38" s="168"/>
      <c r="ANQ38" s="168"/>
      <c r="ANR38" s="168"/>
      <c r="ANS38" s="168"/>
      <c r="ANT38" s="168"/>
      <c r="ANU38" s="168"/>
      <c r="ANV38" s="168"/>
      <c r="ANW38" s="168"/>
      <c r="ANX38" s="168"/>
      <c r="ANY38" s="168"/>
      <c r="ANZ38" s="168"/>
      <c r="AOA38" s="168"/>
      <c r="AOB38" s="168"/>
      <c r="AOC38" s="168"/>
      <c r="AOD38" s="168"/>
      <c r="AOE38" s="168"/>
      <c r="AOF38" s="168"/>
      <c r="AOG38" s="168"/>
      <c r="AOH38" s="168"/>
      <c r="AOI38" s="168"/>
      <c r="AOJ38" s="168"/>
      <c r="AOK38" s="168"/>
      <c r="AOL38" s="168"/>
      <c r="AOM38" s="168"/>
      <c r="AON38" s="168"/>
      <c r="AOO38" s="168"/>
      <c r="AOP38" s="168"/>
      <c r="AOQ38" s="168"/>
      <c r="AOR38" s="168"/>
      <c r="AOS38" s="168"/>
      <c r="AOT38" s="168"/>
      <c r="AOU38" s="168"/>
      <c r="AOV38" s="168"/>
      <c r="AOW38" s="168"/>
      <c r="AOX38" s="168"/>
      <c r="AOY38" s="168"/>
      <c r="AOZ38" s="168"/>
      <c r="APA38" s="168"/>
      <c r="APB38" s="168"/>
      <c r="APC38" s="168"/>
      <c r="APD38" s="168"/>
      <c r="APE38" s="168"/>
      <c r="APF38" s="168"/>
      <c r="APG38" s="168"/>
      <c r="APH38" s="168"/>
      <c r="API38" s="168"/>
      <c r="APJ38" s="168"/>
      <c r="APK38" s="168"/>
      <c r="APL38" s="168"/>
      <c r="APM38" s="168"/>
      <c r="APN38" s="168"/>
      <c r="APO38" s="168"/>
      <c r="APP38" s="168"/>
      <c r="APQ38" s="168"/>
      <c r="APR38" s="168"/>
      <c r="APS38" s="168"/>
      <c r="APT38" s="168"/>
      <c r="APU38" s="168"/>
      <c r="APV38" s="168"/>
      <c r="APW38" s="168"/>
      <c r="APX38" s="168"/>
      <c r="APY38" s="168"/>
      <c r="APZ38" s="168"/>
      <c r="AQA38" s="168"/>
      <c r="AQB38" s="168"/>
      <c r="AQC38" s="168"/>
      <c r="AQD38" s="168"/>
      <c r="AQE38" s="168"/>
      <c r="AQF38" s="168"/>
      <c r="AQG38" s="168"/>
      <c r="AQH38" s="168"/>
      <c r="AQI38" s="168"/>
      <c r="AQJ38" s="168"/>
      <c r="AQK38" s="168"/>
      <c r="AQL38" s="168"/>
      <c r="AQM38" s="168"/>
      <c r="AQN38" s="168"/>
      <c r="AQO38" s="168"/>
      <c r="AQP38" s="168"/>
      <c r="AQQ38" s="168"/>
      <c r="AQR38" s="168"/>
      <c r="AQS38" s="168"/>
      <c r="AQT38" s="168"/>
      <c r="AQU38" s="168"/>
      <c r="AQV38" s="168"/>
      <c r="AQW38" s="168"/>
      <c r="AQX38" s="168"/>
      <c r="AQY38" s="168"/>
      <c r="AQZ38" s="168"/>
      <c r="ARA38" s="168"/>
      <c r="ARB38" s="168"/>
      <c r="ARC38" s="168"/>
      <c r="ARD38" s="168"/>
      <c r="ARE38" s="168"/>
      <c r="ARF38" s="168"/>
      <c r="ARG38" s="168"/>
      <c r="ARH38" s="168"/>
      <c r="ARI38" s="168"/>
      <c r="ARJ38" s="168"/>
      <c r="ARK38" s="168"/>
      <c r="ARL38" s="168"/>
      <c r="ARM38" s="168"/>
      <c r="ARN38" s="168"/>
      <c r="ARO38" s="168"/>
      <c r="ARP38" s="168"/>
      <c r="ARQ38" s="168"/>
      <c r="ARR38" s="168"/>
      <c r="ARS38" s="168"/>
      <c r="ART38" s="168"/>
      <c r="ARU38" s="168"/>
      <c r="ARV38" s="168"/>
      <c r="ARW38" s="168"/>
      <c r="ARX38" s="168"/>
      <c r="ARY38" s="168"/>
      <c r="ARZ38" s="168"/>
      <c r="ASA38" s="168"/>
      <c r="ASB38" s="168"/>
      <c r="ASC38" s="168"/>
      <c r="ASD38" s="168"/>
      <c r="ASE38" s="168"/>
      <c r="ASF38" s="168"/>
      <c r="ASG38" s="168"/>
      <c r="ASH38" s="168"/>
      <c r="ASI38" s="168"/>
      <c r="ASJ38" s="168"/>
      <c r="ASK38" s="168"/>
      <c r="ASL38" s="168"/>
      <c r="ASM38" s="168"/>
      <c r="ASN38" s="168"/>
      <c r="ASO38" s="168"/>
      <c r="ASP38" s="168"/>
      <c r="ASQ38" s="168"/>
      <c r="ASR38" s="168"/>
      <c r="ASS38" s="168"/>
      <c r="AST38" s="168"/>
      <c r="ASU38" s="168"/>
      <c r="ASV38" s="168"/>
      <c r="ASW38" s="168"/>
      <c r="ASX38" s="168"/>
      <c r="ASY38" s="168"/>
      <c r="ASZ38" s="168"/>
      <c r="ATA38" s="168"/>
      <c r="ATB38" s="168"/>
      <c r="ATC38" s="168"/>
      <c r="ATD38" s="168"/>
      <c r="ATE38" s="168"/>
      <c r="ATF38" s="168"/>
      <c r="ATG38" s="168"/>
      <c r="ATH38" s="168"/>
      <c r="ATI38" s="168"/>
      <c r="ATJ38" s="168"/>
      <c r="ATK38" s="168"/>
      <c r="ATL38" s="168"/>
      <c r="ATM38" s="168"/>
      <c r="ATN38" s="168"/>
      <c r="ATO38" s="168"/>
      <c r="ATP38" s="168"/>
      <c r="ATQ38" s="168"/>
      <c r="ATR38" s="168"/>
      <c r="ATS38" s="168"/>
      <c r="ATT38" s="168"/>
      <c r="ATU38" s="168"/>
      <c r="ATV38" s="168"/>
      <c r="ATW38" s="168"/>
      <c r="ATX38" s="168"/>
      <c r="ATY38" s="168"/>
      <c r="ATZ38" s="168"/>
      <c r="AUA38" s="168"/>
      <c r="AUB38" s="168"/>
      <c r="AUC38" s="168"/>
      <c r="AUD38" s="168"/>
      <c r="AUE38" s="168"/>
      <c r="AUF38" s="168"/>
      <c r="AUG38" s="168"/>
      <c r="AUH38" s="168"/>
      <c r="AUI38" s="168"/>
      <c r="AUJ38" s="168"/>
      <c r="AUK38" s="168"/>
      <c r="AUL38" s="168"/>
      <c r="AUM38" s="168"/>
      <c r="AUN38" s="168"/>
      <c r="AUO38" s="168"/>
      <c r="AUP38" s="168"/>
      <c r="AUQ38" s="168"/>
      <c r="AUR38" s="168"/>
      <c r="AUS38" s="168"/>
      <c r="AUT38" s="168"/>
      <c r="AUU38" s="168"/>
      <c r="AUV38" s="168"/>
      <c r="AUW38" s="168"/>
      <c r="AUX38" s="168"/>
      <c r="AUY38" s="168"/>
      <c r="AUZ38" s="168"/>
      <c r="AVA38" s="168"/>
      <c r="AVB38" s="168"/>
      <c r="AVC38" s="168"/>
      <c r="AVD38" s="168"/>
      <c r="AVE38" s="168"/>
      <c r="AVF38" s="168"/>
      <c r="AVG38" s="168"/>
      <c r="AVH38" s="168"/>
      <c r="AVI38" s="168"/>
      <c r="AVJ38" s="168"/>
      <c r="AVK38" s="168"/>
      <c r="AVL38" s="168"/>
      <c r="AVM38" s="168"/>
      <c r="AVN38" s="168"/>
      <c r="AVO38" s="168"/>
      <c r="AVP38" s="168"/>
      <c r="AVQ38" s="168"/>
      <c r="AVR38" s="168"/>
      <c r="AVS38" s="168"/>
      <c r="AVT38" s="168"/>
      <c r="AVU38" s="168"/>
      <c r="AVV38" s="168"/>
      <c r="AVW38" s="168"/>
      <c r="AVX38" s="168"/>
      <c r="AVY38" s="168"/>
      <c r="AVZ38" s="168"/>
      <c r="AWA38" s="168"/>
      <c r="AWB38" s="168"/>
      <c r="AWC38" s="168"/>
      <c r="AWD38" s="168"/>
      <c r="AWE38" s="168"/>
      <c r="AWF38" s="168"/>
      <c r="AWG38" s="168"/>
      <c r="AWH38" s="168"/>
      <c r="AWI38" s="168"/>
      <c r="AWJ38" s="168"/>
      <c r="AWK38" s="168"/>
      <c r="AWL38" s="168"/>
      <c r="AWM38" s="168"/>
      <c r="AWN38" s="168"/>
      <c r="AWO38" s="168"/>
      <c r="AWP38" s="168"/>
      <c r="AWQ38" s="168"/>
      <c r="AWR38" s="168"/>
      <c r="AWS38" s="168"/>
      <c r="AWT38" s="168"/>
      <c r="AWU38" s="168"/>
      <c r="AWV38" s="168"/>
      <c r="AWW38" s="168"/>
      <c r="AWX38" s="168"/>
      <c r="AWY38" s="168"/>
      <c r="AWZ38" s="168"/>
      <c r="AXA38" s="168"/>
      <c r="AXB38" s="168"/>
      <c r="AXC38" s="168"/>
      <c r="AXD38" s="168"/>
      <c r="AXE38" s="168"/>
      <c r="AXF38" s="168"/>
      <c r="AXG38" s="168"/>
      <c r="AXH38" s="168"/>
      <c r="AXI38" s="168"/>
      <c r="AXJ38" s="168"/>
      <c r="AXK38" s="168"/>
      <c r="AXL38" s="168"/>
      <c r="AXM38" s="168"/>
      <c r="AXN38" s="168"/>
      <c r="AXO38" s="168"/>
      <c r="AXP38" s="168"/>
      <c r="AXQ38" s="168"/>
      <c r="AXR38" s="168"/>
      <c r="AXS38" s="168"/>
      <c r="AXT38" s="168"/>
      <c r="AXU38" s="168"/>
      <c r="AXV38" s="168"/>
      <c r="AXW38" s="168"/>
      <c r="AXX38" s="168"/>
      <c r="AXY38" s="168"/>
      <c r="AXZ38" s="168"/>
      <c r="AYA38" s="168"/>
      <c r="AYB38" s="168"/>
      <c r="AYC38" s="168"/>
      <c r="AYD38" s="168"/>
      <c r="AYE38" s="168"/>
      <c r="AYF38" s="168"/>
      <c r="AYG38" s="168"/>
      <c r="AYH38" s="168"/>
      <c r="AYI38" s="168"/>
      <c r="AYJ38" s="168"/>
      <c r="AYK38" s="168"/>
      <c r="AYL38" s="168"/>
      <c r="AYM38" s="168"/>
      <c r="AYN38" s="168"/>
      <c r="AYO38" s="168"/>
      <c r="AYP38" s="168"/>
      <c r="AYQ38" s="168"/>
      <c r="AYR38" s="168"/>
      <c r="AYS38" s="168"/>
      <c r="AYT38" s="168"/>
      <c r="AYU38" s="168"/>
      <c r="AYV38" s="168"/>
      <c r="AYW38" s="168"/>
      <c r="AYX38" s="168"/>
      <c r="AYY38" s="168"/>
      <c r="AYZ38" s="168"/>
      <c r="AZA38" s="168"/>
      <c r="AZB38" s="168"/>
      <c r="AZC38" s="168"/>
      <c r="AZD38" s="168"/>
      <c r="AZE38" s="168"/>
      <c r="AZF38" s="168"/>
      <c r="AZG38" s="168"/>
      <c r="AZH38" s="168"/>
      <c r="AZI38" s="168"/>
      <c r="AZJ38" s="168"/>
      <c r="AZK38" s="168"/>
      <c r="AZL38" s="168"/>
      <c r="AZM38" s="168"/>
      <c r="AZN38" s="168"/>
      <c r="AZO38" s="168"/>
      <c r="AZP38" s="168"/>
      <c r="AZQ38" s="168"/>
      <c r="AZR38" s="168"/>
      <c r="AZS38" s="168"/>
      <c r="AZT38" s="168"/>
      <c r="AZU38" s="168"/>
      <c r="AZV38" s="168"/>
      <c r="AZW38" s="168"/>
      <c r="AZX38" s="168"/>
      <c r="AZY38" s="168"/>
      <c r="AZZ38" s="168"/>
      <c r="BAA38" s="168"/>
      <c r="BAB38" s="168"/>
      <c r="BAC38" s="168"/>
      <c r="BAD38" s="168"/>
      <c r="BAE38" s="168"/>
      <c r="BAF38" s="168"/>
      <c r="BAG38" s="168"/>
      <c r="BAH38" s="168"/>
      <c r="BAI38" s="168"/>
      <c r="BAJ38" s="168"/>
      <c r="BAK38" s="168"/>
      <c r="BAL38" s="168"/>
      <c r="BAM38" s="168"/>
      <c r="BAN38" s="168"/>
      <c r="BAO38" s="168"/>
      <c r="BAP38" s="168"/>
      <c r="BAQ38" s="168"/>
      <c r="BAR38" s="168"/>
      <c r="BAS38" s="168"/>
      <c r="BAT38" s="168"/>
      <c r="BAU38" s="168"/>
      <c r="BAV38" s="168"/>
      <c r="BAW38" s="168"/>
      <c r="BAX38" s="168"/>
      <c r="BAY38" s="168"/>
      <c r="BAZ38" s="168"/>
      <c r="BBA38" s="168"/>
      <c r="BBB38" s="168"/>
      <c r="BBC38" s="168"/>
      <c r="BBD38" s="168"/>
      <c r="BBE38" s="168"/>
      <c r="BBF38" s="168"/>
      <c r="BBG38" s="168"/>
      <c r="BBH38" s="168"/>
      <c r="BBI38" s="168"/>
      <c r="BBJ38" s="168"/>
      <c r="BBK38" s="168"/>
      <c r="BBL38" s="168"/>
      <c r="BBM38" s="168"/>
      <c r="BBN38" s="168"/>
      <c r="BBO38" s="168"/>
      <c r="BBP38" s="168"/>
      <c r="BBQ38" s="168"/>
      <c r="BBR38" s="168"/>
      <c r="BBS38" s="168"/>
      <c r="BBT38" s="168"/>
      <c r="BBU38" s="168"/>
      <c r="BBV38" s="168"/>
      <c r="BBW38" s="168"/>
      <c r="BBX38" s="168"/>
      <c r="BBY38" s="168"/>
      <c r="BBZ38" s="168"/>
      <c r="BCA38" s="168"/>
      <c r="BCB38" s="168"/>
      <c r="BCC38" s="168"/>
      <c r="BCD38" s="168"/>
      <c r="BCE38" s="168"/>
      <c r="BCF38" s="168"/>
      <c r="BCG38" s="168"/>
      <c r="BCH38" s="168"/>
      <c r="BCI38" s="168"/>
      <c r="BCJ38" s="168"/>
      <c r="BCK38" s="168"/>
      <c r="BCL38" s="168"/>
      <c r="BCM38" s="168"/>
      <c r="BCN38" s="168"/>
      <c r="BCO38" s="168"/>
      <c r="BCP38" s="168"/>
      <c r="BCQ38" s="168"/>
      <c r="BCR38" s="168"/>
      <c r="BCS38" s="168"/>
      <c r="BCT38" s="168"/>
      <c r="BCU38" s="168"/>
      <c r="BCV38" s="168"/>
      <c r="BCW38" s="168"/>
      <c r="BCX38" s="168"/>
      <c r="BCY38" s="168"/>
      <c r="BCZ38" s="168"/>
      <c r="BDA38" s="168"/>
      <c r="BDB38" s="168"/>
      <c r="BDC38" s="168"/>
      <c r="BDD38" s="168"/>
      <c r="BDE38" s="168"/>
      <c r="BDF38" s="168"/>
      <c r="BDG38" s="168"/>
      <c r="BDH38" s="168"/>
      <c r="BDI38" s="168"/>
      <c r="BDJ38" s="168"/>
      <c r="BDK38" s="168"/>
      <c r="BDL38" s="168"/>
      <c r="BDM38" s="168"/>
      <c r="BDN38" s="168"/>
      <c r="BDO38" s="168"/>
      <c r="BDP38" s="168"/>
      <c r="BDQ38" s="168"/>
      <c r="BDR38" s="168"/>
      <c r="BDS38" s="168"/>
      <c r="BDT38" s="168"/>
      <c r="BDU38" s="168"/>
      <c r="BDV38" s="168"/>
      <c r="BDW38" s="168"/>
      <c r="BDX38" s="168"/>
      <c r="BDY38" s="168"/>
      <c r="BDZ38" s="168"/>
      <c r="BEA38" s="168"/>
      <c r="BEB38" s="168"/>
      <c r="BEC38" s="168"/>
      <c r="BED38" s="168"/>
      <c r="BEE38" s="168"/>
      <c r="BEF38" s="168"/>
      <c r="BEG38" s="168"/>
      <c r="BEH38" s="168"/>
      <c r="BEI38" s="168"/>
      <c r="BEJ38" s="168"/>
      <c r="BEK38" s="168"/>
      <c r="BEL38" s="168"/>
      <c r="BEM38" s="168"/>
      <c r="BEN38" s="168"/>
      <c r="BEO38" s="168"/>
      <c r="BEP38" s="168"/>
      <c r="BEQ38" s="168"/>
      <c r="BER38" s="168"/>
      <c r="BES38" s="168"/>
      <c r="BET38" s="168"/>
      <c r="BEU38" s="168"/>
      <c r="BEV38" s="168"/>
      <c r="BEW38" s="168"/>
      <c r="BEX38" s="168"/>
      <c r="BEY38" s="168"/>
      <c r="BEZ38" s="168"/>
      <c r="BFA38" s="168"/>
      <c r="BFB38" s="168"/>
      <c r="BFC38" s="168"/>
      <c r="BFD38" s="168"/>
      <c r="BFE38" s="168"/>
      <c r="BFF38" s="168"/>
      <c r="BFG38" s="168"/>
      <c r="BFH38" s="168"/>
      <c r="BFI38" s="168"/>
      <c r="BFJ38" s="168"/>
      <c r="BFK38" s="168"/>
      <c r="BFL38" s="168"/>
      <c r="BFM38" s="168"/>
      <c r="BFN38" s="168"/>
      <c r="BFO38" s="168"/>
      <c r="BFP38" s="168"/>
      <c r="BFQ38" s="168"/>
      <c r="BFR38" s="168"/>
      <c r="BFS38" s="168"/>
      <c r="BFT38" s="168"/>
      <c r="BFU38" s="168"/>
      <c r="BFV38" s="168"/>
      <c r="BFW38" s="168"/>
      <c r="BFX38" s="168"/>
      <c r="BFY38" s="168"/>
      <c r="BFZ38" s="168"/>
      <c r="BGA38" s="168"/>
      <c r="BGB38" s="168"/>
      <c r="BGC38" s="168"/>
      <c r="BGD38" s="168"/>
      <c r="BGE38" s="168"/>
      <c r="BGF38" s="168"/>
      <c r="BGG38" s="168"/>
      <c r="BGH38" s="168"/>
      <c r="BGI38" s="168"/>
      <c r="BGJ38" s="168"/>
      <c r="BGK38" s="168"/>
      <c r="BGL38" s="168"/>
      <c r="BGM38" s="168"/>
      <c r="BGN38" s="168"/>
      <c r="BGO38" s="168"/>
      <c r="BGP38" s="168"/>
      <c r="BGQ38" s="168"/>
      <c r="BGR38" s="168"/>
      <c r="BGS38" s="168"/>
      <c r="BGT38" s="168"/>
      <c r="BGU38" s="168"/>
      <c r="BGV38" s="168"/>
      <c r="BGW38" s="168"/>
      <c r="BGX38" s="168"/>
      <c r="BGY38" s="168"/>
      <c r="BGZ38" s="168"/>
      <c r="BHA38" s="168"/>
      <c r="BHB38" s="168"/>
      <c r="BHC38" s="168"/>
      <c r="BHD38" s="168"/>
      <c r="BHE38" s="168"/>
      <c r="BHF38" s="168"/>
      <c r="BHG38" s="168"/>
      <c r="BHH38" s="168"/>
      <c r="BHI38" s="168"/>
      <c r="BHJ38" s="168"/>
      <c r="BHK38" s="168"/>
      <c r="BHL38" s="168"/>
      <c r="BHM38" s="168"/>
      <c r="BHN38" s="168"/>
      <c r="BHO38" s="168"/>
      <c r="BHP38" s="168"/>
      <c r="BHQ38" s="168"/>
      <c r="BHR38" s="168"/>
      <c r="BHS38" s="168"/>
      <c r="BHT38" s="168"/>
      <c r="BHU38" s="168"/>
      <c r="BHV38" s="168"/>
      <c r="BHW38" s="168"/>
      <c r="BHX38" s="168"/>
      <c r="BHY38" s="168"/>
      <c r="BHZ38" s="168"/>
      <c r="BIA38" s="168"/>
      <c r="BIB38" s="168"/>
      <c r="BIC38" s="168"/>
      <c r="BID38" s="168"/>
      <c r="BIE38" s="168"/>
      <c r="BIF38" s="168"/>
      <c r="BIG38" s="168"/>
      <c r="BIH38" s="168"/>
      <c r="BII38" s="168"/>
      <c r="BIJ38" s="168"/>
      <c r="BIK38" s="168"/>
      <c r="BIL38" s="168"/>
      <c r="BIM38" s="168"/>
      <c r="BIN38" s="168"/>
      <c r="BIO38" s="168"/>
      <c r="BIP38" s="168"/>
      <c r="BIQ38" s="168"/>
      <c r="BIR38" s="168"/>
      <c r="BIS38" s="168"/>
      <c r="BIT38" s="168"/>
      <c r="BIU38" s="168"/>
      <c r="BIV38" s="168"/>
      <c r="BIW38" s="168"/>
      <c r="BIX38" s="168"/>
      <c r="BIY38" s="168"/>
      <c r="BIZ38" s="168"/>
      <c r="BJA38" s="168"/>
      <c r="BJB38" s="168"/>
      <c r="BJC38" s="168"/>
      <c r="BJD38" s="168"/>
      <c r="BJE38" s="168"/>
      <c r="BJF38" s="168"/>
      <c r="BJG38" s="168"/>
      <c r="BJH38" s="168"/>
      <c r="BJI38" s="168"/>
      <c r="BJJ38" s="168"/>
      <c r="BJK38" s="168"/>
      <c r="BJL38" s="168"/>
      <c r="BJM38" s="168"/>
      <c r="BJN38" s="168"/>
      <c r="BJO38" s="168"/>
      <c r="BJP38" s="168"/>
      <c r="BJQ38" s="168"/>
      <c r="BJR38" s="168"/>
      <c r="BJS38" s="168"/>
      <c r="BJT38" s="168"/>
      <c r="BJU38" s="168"/>
      <c r="BJV38" s="168"/>
      <c r="BJW38" s="168"/>
      <c r="BJX38" s="168"/>
      <c r="BJY38" s="168"/>
      <c r="BJZ38" s="168"/>
      <c r="BKA38" s="168"/>
      <c r="BKB38" s="168"/>
      <c r="BKC38" s="168"/>
      <c r="BKD38" s="168"/>
      <c r="BKE38" s="168"/>
      <c r="BKF38" s="168"/>
      <c r="BKG38" s="168"/>
      <c r="BKH38" s="168"/>
      <c r="BKI38" s="168"/>
      <c r="BKJ38" s="168"/>
      <c r="BKK38" s="168"/>
      <c r="BKL38" s="168"/>
      <c r="BKM38" s="168"/>
      <c r="BKN38" s="168"/>
      <c r="BKO38" s="168"/>
      <c r="BKP38" s="168"/>
      <c r="BKQ38" s="168"/>
      <c r="BKR38" s="168"/>
      <c r="BKS38" s="168"/>
      <c r="BKT38" s="168"/>
      <c r="BKU38" s="168"/>
      <c r="BKV38" s="168"/>
      <c r="BKW38" s="168"/>
      <c r="BKX38" s="168"/>
      <c r="BKY38" s="168"/>
      <c r="BKZ38" s="168"/>
      <c r="BLA38" s="168"/>
      <c r="BLB38" s="168"/>
      <c r="BLC38" s="168"/>
      <c r="BLD38" s="168"/>
      <c r="BLE38" s="168"/>
      <c r="BLF38" s="168"/>
      <c r="BLG38" s="168"/>
      <c r="BLH38" s="168"/>
      <c r="BLI38" s="168"/>
      <c r="BLJ38" s="168"/>
      <c r="BLK38" s="168"/>
      <c r="BLL38" s="168"/>
      <c r="BLM38" s="168"/>
      <c r="BLN38" s="168"/>
      <c r="BLO38" s="168"/>
      <c r="BLP38" s="168"/>
      <c r="BLQ38" s="168"/>
      <c r="BLR38" s="168"/>
      <c r="BLS38" s="168"/>
      <c r="BLT38" s="168"/>
      <c r="BLU38" s="168"/>
      <c r="BLV38" s="168"/>
      <c r="BLW38" s="168"/>
      <c r="BLX38" s="168"/>
      <c r="BLY38" s="168"/>
      <c r="BLZ38" s="168"/>
      <c r="BMA38" s="168"/>
      <c r="BMB38" s="168"/>
      <c r="BMC38" s="168"/>
      <c r="BMD38" s="168"/>
      <c r="BME38" s="168"/>
      <c r="BMF38" s="168"/>
      <c r="BMG38" s="168"/>
      <c r="BMH38" s="168"/>
      <c r="BMI38" s="168"/>
      <c r="BMJ38" s="168"/>
      <c r="BMK38" s="168"/>
      <c r="BML38" s="168"/>
      <c r="BMM38" s="168"/>
      <c r="BMN38" s="168"/>
      <c r="BMO38" s="168"/>
      <c r="BMP38" s="168"/>
      <c r="BMQ38" s="168"/>
      <c r="BMR38" s="168"/>
      <c r="BMS38" s="168"/>
      <c r="BMT38" s="168"/>
      <c r="BMU38" s="168"/>
      <c r="BMV38" s="168"/>
      <c r="BMW38" s="168"/>
      <c r="BMX38" s="168"/>
      <c r="BMY38" s="168"/>
      <c r="BMZ38" s="168"/>
      <c r="BNA38" s="168"/>
      <c r="BNB38" s="168"/>
      <c r="BNC38" s="168"/>
      <c r="BND38" s="168"/>
      <c r="BNE38" s="168"/>
      <c r="BNF38" s="168"/>
      <c r="BNG38" s="168"/>
      <c r="BNH38" s="168"/>
      <c r="BNI38" s="168"/>
      <c r="BNJ38" s="168"/>
      <c r="BNK38" s="168"/>
      <c r="BNL38" s="168"/>
      <c r="BNM38" s="168"/>
      <c r="BNN38" s="168"/>
      <c r="BNO38" s="168"/>
      <c r="BNP38" s="168"/>
      <c r="BNQ38" s="168"/>
      <c r="BNR38" s="168"/>
      <c r="BNS38" s="168"/>
      <c r="BNT38" s="168"/>
      <c r="BNU38" s="168"/>
      <c r="BNV38" s="168"/>
      <c r="BNW38" s="168"/>
      <c r="BNX38" s="168"/>
      <c r="BNY38" s="168"/>
      <c r="BNZ38" s="168"/>
      <c r="BOA38" s="168"/>
      <c r="BOB38" s="168"/>
      <c r="BOC38" s="168"/>
      <c r="BOD38" s="168"/>
      <c r="BOE38" s="168"/>
      <c r="BOF38" s="168"/>
      <c r="BOG38" s="168"/>
      <c r="BOH38" s="168"/>
      <c r="BOI38" s="168"/>
      <c r="BOJ38" s="168"/>
      <c r="BOK38" s="168"/>
      <c r="BOL38" s="168"/>
      <c r="BOM38" s="168"/>
      <c r="BON38" s="168"/>
      <c r="BOO38" s="168"/>
      <c r="BOP38" s="168"/>
      <c r="BOQ38" s="168"/>
      <c r="BOR38" s="168"/>
      <c r="BOS38" s="168"/>
      <c r="BOT38" s="168"/>
      <c r="BOU38" s="168"/>
      <c r="BOV38" s="168"/>
      <c r="BOW38" s="168"/>
      <c r="BOX38" s="168"/>
      <c r="BOY38" s="168"/>
      <c r="BOZ38" s="168"/>
      <c r="BPA38" s="168"/>
      <c r="BPB38" s="168"/>
      <c r="BPC38" s="168"/>
      <c r="BPD38" s="168"/>
      <c r="BPE38" s="168"/>
      <c r="BPF38" s="168"/>
      <c r="BPG38" s="168"/>
      <c r="BPH38" s="168"/>
      <c r="BPI38" s="168"/>
      <c r="BPJ38" s="168"/>
      <c r="BPK38" s="168"/>
      <c r="BPL38" s="168"/>
      <c r="BPM38" s="168"/>
      <c r="BPN38" s="168"/>
      <c r="BPO38" s="168"/>
      <c r="BPP38" s="168"/>
      <c r="BPQ38" s="168"/>
      <c r="BPR38" s="168"/>
      <c r="BPS38" s="168"/>
      <c r="BPT38" s="168"/>
      <c r="BPU38" s="168"/>
      <c r="BPV38" s="168"/>
      <c r="BPW38" s="168"/>
      <c r="BPX38" s="168"/>
      <c r="BPY38" s="168"/>
      <c r="BPZ38" s="168"/>
      <c r="BQA38" s="168"/>
      <c r="BQB38" s="168"/>
      <c r="BQC38" s="168"/>
      <c r="BQD38" s="168"/>
      <c r="BQE38" s="168"/>
      <c r="BQF38" s="168"/>
      <c r="BQG38" s="168"/>
      <c r="BQH38" s="168"/>
      <c r="BQI38" s="168"/>
      <c r="BQJ38" s="168"/>
      <c r="BQK38" s="168"/>
      <c r="BQL38" s="168"/>
      <c r="BQM38" s="168"/>
      <c r="BQN38" s="168"/>
      <c r="BQO38" s="168"/>
      <c r="BQP38" s="168"/>
      <c r="BQQ38" s="168"/>
      <c r="BQR38" s="168"/>
      <c r="BQS38" s="168"/>
      <c r="BQT38" s="168"/>
      <c r="BQU38" s="168"/>
      <c r="BQV38" s="168"/>
      <c r="BQW38" s="168"/>
      <c r="BQX38" s="168"/>
      <c r="BQY38" s="168"/>
      <c r="BQZ38" s="168"/>
      <c r="BRA38" s="168"/>
      <c r="BRB38" s="168"/>
      <c r="BRC38" s="168"/>
      <c r="BRD38" s="168"/>
      <c r="BRE38" s="168"/>
      <c r="BRF38" s="168"/>
      <c r="BRG38" s="168"/>
      <c r="BRH38" s="168"/>
      <c r="BRI38" s="168"/>
      <c r="BRJ38" s="168"/>
      <c r="BRK38" s="168"/>
      <c r="BRL38" s="168"/>
      <c r="BRM38" s="168"/>
      <c r="BRN38" s="168"/>
      <c r="BRO38" s="168"/>
      <c r="BRP38" s="168"/>
      <c r="BRQ38" s="168"/>
      <c r="BRR38" s="168"/>
      <c r="BRS38" s="168"/>
      <c r="BRT38" s="168"/>
      <c r="BRU38" s="168"/>
      <c r="BRV38" s="168"/>
      <c r="BRW38" s="168"/>
      <c r="BRX38" s="168"/>
      <c r="BRY38" s="168"/>
      <c r="BRZ38" s="168"/>
      <c r="BSA38" s="168"/>
      <c r="BSB38" s="168"/>
      <c r="BSC38" s="168"/>
      <c r="BSD38" s="168"/>
      <c r="BSE38" s="168"/>
      <c r="BSF38" s="168"/>
      <c r="BSG38" s="168"/>
      <c r="BSH38" s="168"/>
      <c r="BSI38" s="168"/>
      <c r="BSJ38" s="168"/>
      <c r="BSK38" s="168"/>
      <c r="BSL38" s="168"/>
      <c r="BSM38" s="168"/>
      <c r="BSN38" s="168"/>
      <c r="BSO38" s="168"/>
      <c r="BSP38" s="168"/>
      <c r="BSQ38" s="168"/>
      <c r="BSR38" s="168"/>
      <c r="BSS38" s="168"/>
      <c r="BST38" s="168"/>
      <c r="BSU38" s="168"/>
      <c r="BSV38" s="168"/>
      <c r="BSW38" s="168"/>
      <c r="BSX38" s="168"/>
      <c r="BSY38" s="168"/>
      <c r="BSZ38" s="168"/>
      <c r="BTA38" s="168"/>
      <c r="BTB38" s="168"/>
      <c r="BTC38" s="168"/>
      <c r="BTD38" s="168"/>
      <c r="BTE38" s="168"/>
      <c r="BTF38" s="168"/>
      <c r="BTG38" s="168"/>
      <c r="BTH38" s="168"/>
      <c r="BTI38" s="168"/>
      <c r="BTJ38" s="168"/>
      <c r="BTK38" s="168"/>
      <c r="BTL38" s="168"/>
      <c r="BTM38" s="168"/>
      <c r="BTN38" s="168"/>
      <c r="BTO38" s="168"/>
      <c r="BTP38" s="168"/>
      <c r="BTQ38" s="168"/>
      <c r="BTR38" s="168"/>
      <c r="BTS38" s="168"/>
      <c r="BTT38" s="168"/>
      <c r="BTU38" s="168"/>
      <c r="BTV38" s="168"/>
      <c r="BTW38" s="168"/>
      <c r="BTX38" s="168"/>
      <c r="BTY38" s="168"/>
      <c r="BTZ38" s="168"/>
      <c r="BUA38" s="168"/>
      <c r="BUB38" s="168"/>
      <c r="BUC38" s="168"/>
      <c r="BUD38" s="168"/>
      <c r="BUE38" s="168"/>
      <c r="BUF38" s="168"/>
      <c r="BUG38" s="168"/>
      <c r="BUH38" s="168"/>
      <c r="BUI38" s="168"/>
      <c r="BUJ38" s="168"/>
      <c r="BUK38" s="168"/>
      <c r="BUL38" s="168"/>
      <c r="BUM38" s="168"/>
      <c r="BUN38" s="168"/>
      <c r="BUO38" s="168"/>
      <c r="BUP38" s="168"/>
      <c r="BUQ38" s="168"/>
      <c r="BUR38" s="168"/>
      <c r="BUS38" s="168"/>
      <c r="BUT38" s="168"/>
      <c r="BUU38" s="168"/>
      <c r="BUV38" s="168"/>
      <c r="BUW38" s="168"/>
      <c r="BUX38" s="168"/>
      <c r="BUY38" s="168"/>
      <c r="BUZ38" s="168"/>
      <c r="BVA38" s="168"/>
      <c r="BVB38" s="168"/>
      <c r="BVC38" s="168"/>
      <c r="BVD38" s="168"/>
      <c r="BVE38" s="168"/>
      <c r="BVF38" s="168"/>
      <c r="BVG38" s="168"/>
      <c r="BVH38" s="168"/>
      <c r="BVI38" s="168"/>
      <c r="BVJ38" s="168"/>
      <c r="BVK38" s="168"/>
      <c r="BVL38" s="168"/>
      <c r="BVM38" s="168"/>
      <c r="BVN38" s="168"/>
      <c r="BVO38" s="168"/>
      <c r="BVP38" s="168"/>
      <c r="BVQ38" s="168"/>
      <c r="BVR38" s="168"/>
      <c r="BVS38" s="168"/>
      <c r="BVT38" s="168"/>
      <c r="BVU38" s="168"/>
      <c r="BVV38" s="168"/>
      <c r="BVW38" s="168"/>
      <c r="BVX38" s="168"/>
      <c r="BVY38" s="168"/>
      <c r="BVZ38" s="168"/>
      <c r="BWA38" s="168"/>
      <c r="BWB38" s="168"/>
      <c r="BWC38" s="168"/>
      <c r="BWD38" s="168"/>
      <c r="BWE38" s="168"/>
      <c r="BWF38" s="168"/>
      <c r="BWG38" s="168"/>
      <c r="BWH38" s="168"/>
      <c r="BWI38" s="168"/>
      <c r="BWJ38" s="168"/>
      <c r="BWK38" s="168"/>
      <c r="BWL38" s="168"/>
      <c r="BWM38" s="168"/>
      <c r="BWN38" s="168"/>
      <c r="BWO38" s="168"/>
      <c r="BWP38" s="168"/>
      <c r="BWQ38" s="168"/>
      <c r="BWR38" s="168"/>
      <c r="BWS38" s="168"/>
      <c r="BWT38" s="168"/>
      <c r="BWU38" s="168"/>
      <c r="BWV38" s="168"/>
      <c r="BWW38" s="168"/>
      <c r="BWX38" s="168"/>
      <c r="BWY38" s="168"/>
      <c r="BWZ38" s="168"/>
      <c r="BXA38" s="168"/>
      <c r="BXB38" s="168"/>
      <c r="BXC38" s="168"/>
      <c r="BXD38" s="168"/>
      <c r="BXE38" s="168"/>
      <c r="BXF38" s="168"/>
      <c r="BXG38" s="168"/>
      <c r="BXH38" s="168"/>
      <c r="BXI38" s="168"/>
      <c r="BXJ38" s="168"/>
      <c r="BXK38" s="168"/>
      <c r="BXL38" s="168"/>
      <c r="BXM38" s="168"/>
      <c r="BXN38" s="168"/>
      <c r="BXO38" s="168"/>
      <c r="BXP38" s="168"/>
      <c r="BXQ38" s="168"/>
      <c r="BXR38" s="168"/>
      <c r="BXS38" s="168"/>
      <c r="BXT38" s="168"/>
      <c r="BXU38" s="168"/>
      <c r="BXV38" s="168"/>
      <c r="BXW38" s="168"/>
      <c r="BXX38" s="168"/>
      <c r="BXY38" s="168"/>
      <c r="BXZ38" s="168"/>
      <c r="BYA38" s="168"/>
      <c r="BYB38" s="168"/>
      <c r="BYC38" s="168"/>
      <c r="BYD38" s="168"/>
      <c r="BYE38" s="168"/>
      <c r="BYF38" s="168"/>
      <c r="BYG38" s="168"/>
      <c r="BYH38" s="168"/>
      <c r="BYI38" s="168"/>
      <c r="BYJ38" s="168"/>
      <c r="BYK38" s="168"/>
      <c r="BYL38" s="168"/>
      <c r="BYM38" s="168"/>
      <c r="BYN38" s="168"/>
      <c r="BYO38" s="168"/>
      <c r="BYP38" s="168"/>
      <c r="BYQ38" s="168"/>
      <c r="BYR38" s="168"/>
      <c r="BYS38" s="168"/>
      <c r="BYT38" s="168"/>
      <c r="BYU38" s="168"/>
      <c r="BYV38" s="168"/>
      <c r="BYW38" s="168"/>
      <c r="BYX38" s="168"/>
      <c r="BYY38" s="168"/>
      <c r="BYZ38" s="168"/>
      <c r="BZA38" s="168"/>
      <c r="BZB38" s="168"/>
      <c r="BZC38" s="168"/>
      <c r="BZD38" s="168"/>
      <c r="BZE38" s="168"/>
      <c r="BZF38" s="168"/>
      <c r="BZG38" s="168"/>
      <c r="BZH38" s="168"/>
      <c r="BZI38" s="168"/>
      <c r="BZJ38" s="168"/>
      <c r="BZK38" s="168"/>
      <c r="BZL38" s="168"/>
      <c r="BZM38" s="168"/>
      <c r="BZN38" s="168"/>
      <c r="BZO38" s="168"/>
      <c r="BZP38" s="168"/>
      <c r="BZQ38" s="168"/>
      <c r="BZR38" s="168"/>
      <c r="BZS38" s="168"/>
      <c r="BZT38" s="168"/>
      <c r="BZU38" s="168"/>
      <c r="BZV38" s="168"/>
      <c r="BZW38" s="168"/>
      <c r="BZX38" s="168"/>
      <c r="BZY38" s="168"/>
      <c r="BZZ38" s="168"/>
      <c r="CAA38" s="168"/>
      <c r="CAB38" s="168"/>
      <c r="CAC38" s="168"/>
      <c r="CAD38" s="168"/>
      <c r="CAE38" s="168"/>
      <c r="CAF38" s="168"/>
      <c r="CAG38" s="168"/>
      <c r="CAH38" s="168"/>
      <c r="CAI38" s="168"/>
      <c r="CAJ38" s="168"/>
      <c r="CAK38" s="168"/>
      <c r="CAL38" s="168"/>
      <c r="CAM38" s="168"/>
      <c r="CAN38" s="168"/>
      <c r="CAO38" s="168"/>
      <c r="CAP38" s="168"/>
      <c r="CAQ38" s="168"/>
      <c r="CAR38" s="168"/>
      <c r="CAS38" s="168"/>
      <c r="CAT38" s="168"/>
      <c r="CAU38" s="168"/>
      <c r="CAV38" s="168"/>
      <c r="CAW38" s="168"/>
      <c r="CAX38" s="168"/>
      <c r="CAY38" s="168"/>
      <c r="CAZ38" s="168"/>
      <c r="CBA38" s="168"/>
      <c r="CBB38" s="168"/>
      <c r="CBC38" s="168"/>
      <c r="CBD38" s="168"/>
      <c r="CBE38" s="168"/>
      <c r="CBF38" s="168"/>
      <c r="CBG38" s="168"/>
      <c r="CBH38" s="168"/>
      <c r="CBI38" s="168"/>
      <c r="CBJ38" s="168"/>
      <c r="CBK38" s="168"/>
      <c r="CBL38" s="168"/>
      <c r="CBM38" s="168"/>
      <c r="CBN38" s="168"/>
      <c r="CBO38" s="168"/>
      <c r="CBP38" s="168"/>
      <c r="CBQ38" s="168"/>
      <c r="CBR38" s="168"/>
      <c r="CBS38" s="168"/>
      <c r="CBT38" s="168"/>
      <c r="CBU38" s="168"/>
      <c r="CBV38" s="168"/>
      <c r="CBW38" s="168"/>
      <c r="CBX38" s="168"/>
      <c r="CBY38" s="168"/>
      <c r="CBZ38" s="168"/>
      <c r="CCA38" s="168"/>
      <c r="CCB38" s="168"/>
      <c r="CCC38" s="168"/>
      <c r="CCD38" s="168"/>
      <c r="CCE38" s="168"/>
      <c r="CCF38" s="168"/>
      <c r="CCG38" s="168"/>
      <c r="CCH38" s="168"/>
      <c r="CCI38" s="168"/>
      <c r="CCJ38" s="168"/>
      <c r="CCK38" s="168"/>
      <c r="CCL38" s="168"/>
      <c r="CCM38" s="168"/>
      <c r="CCN38" s="168"/>
      <c r="CCO38" s="168"/>
      <c r="CCP38" s="168"/>
      <c r="CCQ38" s="168"/>
      <c r="CCR38" s="168"/>
      <c r="CCS38" s="168"/>
      <c r="CCT38" s="168"/>
      <c r="CCU38" s="168"/>
      <c r="CCV38" s="168"/>
      <c r="CCW38" s="168"/>
      <c r="CCX38" s="168"/>
      <c r="CCY38" s="168"/>
      <c r="CCZ38" s="168"/>
      <c r="CDA38" s="168"/>
      <c r="CDB38" s="168"/>
      <c r="CDC38" s="168"/>
      <c r="CDD38" s="168"/>
      <c r="CDE38" s="168"/>
      <c r="CDF38" s="168"/>
      <c r="CDG38" s="168"/>
      <c r="CDH38" s="168"/>
      <c r="CDI38" s="168"/>
      <c r="CDJ38" s="168"/>
      <c r="CDK38" s="168"/>
      <c r="CDL38" s="168"/>
      <c r="CDM38" s="168"/>
      <c r="CDN38" s="168"/>
      <c r="CDO38" s="168"/>
      <c r="CDP38" s="168"/>
      <c r="CDQ38" s="168"/>
      <c r="CDR38" s="168"/>
      <c r="CDS38" s="168"/>
      <c r="CDT38" s="168"/>
      <c r="CDU38" s="168"/>
      <c r="CDV38" s="168"/>
      <c r="CDW38" s="168"/>
      <c r="CDX38" s="168"/>
      <c r="CDY38" s="168"/>
      <c r="CDZ38" s="168"/>
      <c r="CEA38" s="168"/>
      <c r="CEB38" s="168"/>
      <c r="CEC38" s="168"/>
      <c r="CED38" s="168"/>
      <c r="CEE38" s="168"/>
      <c r="CEF38" s="168"/>
      <c r="CEG38" s="168"/>
      <c r="CEH38" s="168"/>
      <c r="CEI38" s="168"/>
      <c r="CEJ38" s="168"/>
      <c r="CEK38" s="168"/>
      <c r="CEL38" s="168"/>
      <c r="CEM38" s="168"/>
      <c r="CEN38" s="168"/>
      <c r="CEO38" s="168"/>
      <c r="CEP38" s="168"/>
      <c r="CEQ38" s="168"/>
      <c r="CER38" s="168"/>
      <c r="CES38" s="168"/>
      <c r="CET38" s="168"/>
      <c r="CEU38" s="168"/>
      <c r="CEV38" s="168"/>
      <c r="CEW38" s="168"/>
      <c r="CEX38" s="168"/>
      <c r="CEY38" s="168"/>
      <c r="CEZ38" s="168"/>
      <c r="CFA38" s="168"/>
      <c r="CFB38" s="168"/>
      <c r="CFC38" s="168"/>
      <c r="CFD38" s="168"/>
      <c r="CFE38" s="168"/>
      <c r="CFF38" s="168"/>
      <c r="CFG38" s="168"/>
      <c r="CFH38" s="168"/>
      <c r="CFI38" s="168"/>
      <c r="CFJ38" s="168"/>
      <c r="CFK38" s="168"/>
      <c r="CFL38" s="168"/>
      <c r="CFM38" s="168"/>
      <c r="CFN38" s="168"/>
      <c r="CFO38" s="168"/>
      <c r="CFP38" s="168"/>
      <c r="CFQ38" s="168"/>
      <c r="CFR38" s="168"/>
      <c r="CFS38" s="168"/>
      <c r="CFT38" s="168"/>
      <c r="CFU38" s="168"/>
      <c r="CFV38" s="168"/>
      <c r="CFW38" s="168"/>
      <c r="CFX38" s="168"/>
      <c r="CFY38" s="168"/>
      <c r="CFZ38" s="168"/>
      <c r="CGA38" s="168"/>
      <c r="CGB38" s="168"/>
      <c r="CGC38" s="168"/>
      <c r="CGD38" s="168"/>
      <c r="CGE38" s="168"/>
      <c r="CGF38" s="168"/>
      <c r="CGG38" s="168"/>
      <c r="CGH38" s="168"/>
      <c r="CGI38" s="168"/>
      <c r="CGJ38" s="168"/>
      <c r="CGK38" s="168"/>
      <c r="CGL38" s="168"/>
      <c r="CGM38" s="168"/>
      <c r="CGN38" s="168"/>
      <c r="CGO38" s="168"/>
      <c r="CGP38" s="168"/>
      <c r="CGQ38" s="168"/>
      <c r="CGR38" s="168"/>
      <c r="CGS38" s="168"/>
      <c r="CGT38" s="168"/>
      <c r="CGU38" s="168"/>
      <c r="CGV38" s="168"/>
      <c r="CGW38" s="168"/>
      <c r="CGX38" s="168"/>
      <c r="CGY38" s="168"/>
      <c r="CGZ38" s="168"/>
      <c r="CHA38" s="168"/>
      <c r="CHB38" s="168"/>
      <c r="CHC38" s="168"/>
      <c r="CHD38" s="168"/>
      <c r="CHE38" s="168"/>
      <c r="CHF38" s="168"/>
      <c r="CHG38" s="168"/>
      <c r="CHH38" s="168"/>
      <c r="CHI38" s="168"/>
      <c r="CHJ38" s="168"/>
      <c r="CHK38" s="168"/>
      <c r="CHL38" s="168"/>
      <c r="CHM38" s="168"/>
      <c r="CHN38" s="168"/>
      <c r="CHO38" s="168"/>
      <c r="CHP38" s="168"/>
      <c r="CHQ38" s="168"/>
      <c r="CHR38" s="168"/>
      <c r="CHS38" s="168"/>
      <c r="CHT38" s="168"/>
      <c r="CHU38" s="168"/>
      <c r="CHV38" s="168"/>
      <c r="CHW38" s="168"/>
      <c r="CHX38" s="168"/>
      <c r="CHY38" s="168"/>
      <c r="CHZ38" s="168"/>
      <c r="CIA38" s="168"/>
      <c r="CIB38" s="168"/>
      <c r="CIC38" s="168"/>
      <c r="CID38" s="168"/>
      <c r="CIE38" s="168"/>
      <c r="CIF38" s="168"/>
      <c r="CIG38" s="168"/>
      <c r="CIH38" s="168"/>
      <c r="CII38" s="168"/>
      <c r="CIJ38" s="168"/>
      <c r="CIK38" s="168"/>
      <c r="CIL38" s="168"/>
      <c r="CIM38" s="168"/>
      <c r="CIN38" s="168"/>
      <c r="CIO38" s="168"/>
      <c r="CIP38" s="168"/>
      <c r="CIQ38" s="168"/>
      <c r="CIR38" s="168"/>
      <c r="CIS38" s="168"/>
      <c r="CIT38" s="168"/>
      <c r="CIU38" s="168"/>
      <c r="CIV38" s="168"/>
      <c r="CIW38" s="168"/>
      <c r="CIX38" s="168"/>
      <c r="CIY38" s="168"/>
      <c r="CIZ38" s="168"/>
      <c r="CJA38" s="168"/>
      <c r="CJB38" s="168"/>
      <c r="CJC38" s="168"/>
      <c r="CJD38" s="168"/>
      <c r="CJE38" s="168"/>
      <c r="CJF38" s="168"/>
      <c r="CJG38" s="168"/>
      <c r="CJH38" s="168"/>
      <c r="CJI38" s="168"/>
      <c r="CJJ38" s="168"/>
      <c r="CJK38" s="168"/>
      <c r="CJL38" s="168"/>
      <c r="CJM38" s="168"/>
      <c r="CJN38" s="168"/>
      <c r="CJO38" s="168"/>
      <c r="CJP38" s="168"/>
      <c r="CJQ38" s="168"/>
      <c r="CJR38" s="168"/>
      <c r="CJS38" s="168"/>
      <c r="CJT38" s="168"/>
      <c r="CJU38" s="168"/>
      <c r="CJV38" s="168"/>
      <c r="CJW38" s="168"/>
      <c r="CJX38" s="168"/>
      <c r="CJY38" s="168"/>
      <c r="CJZ38" s="168"/>
      <c r="CKA38" s="168"/>
      <c r="CKB38" s="168"/>
      <c r="CKC38" s="168"/>
      <c r="CKD38" s="168"/>
      <c r="CKE38" s="168"/>
      <c r="CKF38" s="168"/>
      <c r="CKG38" s="168"/>
      <c r="CKH38" s="168"/>
      <c r="CKI38" s="168"/>
      <c r="CKJ38" s="168"/>
      <c r="CKK38" s="168"/>
      <c r="CKL38" s="168"/>
      <c r="CKM38" s="168"/>
      <c r="CKN38" s="168"/>
      <c r="CKO38" s="168"/>
      <c r="CKP38" s="168"/>
      <c r="CKQ38" s="168"/>
      <c r="CKR38" s="168"/>
      <c r="CKS38" s="168"/>
      <c r="CKT38" s="168"/>
      <c r="CKU38" s="168"/>
      <c r="CKV38" s="168"/>
      <c r="CKW38" s="168"/>
      <c r="CKX38" s="168"/>
      <c r="CKY38" s="168"/>
      <c r="CKZ38" s="168"/>
      <c r="CLA38" s="168"/>
      <c r="CLB38" s="168"/>
      <c r="CLC38" s="168"/>
      <c r="CLD38" s="168"/>
      <c r="CLE38" s="168"/>
      <c r="CLF38" s="168"/>
      <c r="CLG38" s="168"/>
      <c r="CLH38" s="168"/>
      <c r="CLI38" s="168"/>
      <c r="CLJ38" s="168"/>
      <c r="CLK38" s="168"/>
      <c r="CLL38" s="168"/>
      <c r="CLM38" s="168"/>
      <c r="CLN38" s="168"/>
      <c r="CLO38" s="168"/>
      <c r="CLP38" s="168"/>
      <c r="CLQ38" s="168"/>
      <c r="CLR38" s="168"/>
      <c r="CLS38" s="168"/>
      <c r="CLT38" s="168"/>
      <c r="CLU38" s="168"/>
      <c r="CLV38" s="168"/>
      <c r="CLW38" s="168"/>
      <c r="CLX38" s="168"/>
      <c r="CLY38" s="168"/>
      <c r="CLZ38" s="168"/>
      <c r="CMA38" s="168"/>
      <c r="CMB38" s="168"/>
      <c r="CMC38" s="168"/>
      <c r="CMD38" s="168"/>
      <c r="CME38" s="168"/>
      <c r="CMF38" s="168"/>
      <c r="CMG38" s="168"/>
      <c r="CMH38" s="168"/>
      <c r="CMI38" s="168"/>
      <c r="CMJ38" s="168"/>
      <c r="CMK38" s="168"/>
      <c r="CML38" s="168"/>
      <c r="CMM38" s="168"/>
      <c r="CMN38" s="168"/>
      <c r="CMO38" s="168"/>
      <c r="CMP38" s="168"/>
      <c r="CMQ38" s="168"/>
      <c r="CMR38" s="168"/>
      <c r="CMS38" s="168"/>
      <c r="CMT38" s="168"/>
      <c r="CMU38" s="168"/>
      <c r="CMV38" s="168"/>
      <c r="CMW38" s="168"/>
      <c r="CMX38" s="168"/>
      <c r="CMY38" s="168"/>
      <c r="CMZ38" s="168"/>
      <c r="CNA38" s="168"/>
      <c r="CNB38" s="168"/>
      <c r="CNC38" s="168"/>
      <c r="CND38" s="168"/>
      <c r="CNE38" s="168"/>
      <c r="CNF38" s="168"/>
      <c r="CNG38" s="168"/>
      <c r="CNH38" s="168"/>
      <c r="CNI38" s="168"/>
      <c r="CNJ38" s="168"/>
      <c r="CNK38" s="168"/>
      <c r="CNL38" s="168"/>
      <c r="CNM38" s="168"/>
      <c r="CNN38" s="168"/>
      <c r="CNO38" s="168"/>
      <c r="CNP38" s="168"/>
      <c r="CNQ38" s="168"/>
      <c r="CNR38" s="168"/>
      <c r="CNS38" s="168"/>
      <c r="CNT38" s="168"/>
      <c r="CNU38" s="168"/>
      <c r="CNV38" s="168"/>
      <c r="CNW38" s="168"/>
      <c r="CNX38" s="168"/>
      <c r="CNY38" s="168"/>
      <c r="CNZ38" s="168"/>
      <c r="COA38" s="168"/>
      <c r="COB38" s="168"/>
      <c r="COC38" s="168"/>
      <c r="COD38" s="168"/>
      <c r="COE38" s="168"/>
      <c r="COF38" s="168"/>
      <c r="COG38" s="168"/>
      <c r="COH38" s="168"/>
      <c r="COI38" s="168"/>
      <c r="COJ38" s="168"/>
      <c r="COK38" s="168"/>
      <c r="COL38" s="168"/>
      <c r="COM38" s="168"/>
      <c r="CON38" s="168"/>
      <c r="COO38" s="168"/>
      <c r="COP38" s="168"/>
      <c r="COQ38" s="168"/>
      <c r="COR38" s="168"/>
      <c r="COS38" s="168"/>
      <c r="COT38" s="168"/>
      <c r="COU38" s="168"/>
      <c r="COV38" s="168"/>
      <c r="COW38" s="168"/>
      <c r="COX38" s="168"/>
      <c r="COY38" s="168"/>
      <c r="COZ38" s="168"/>
      <c r="CPA38" s="168"/>
      <c r="CPB38" s="168"/>
      <c r="CPC38" s="168"/>
      <c r="CPD38" s="168"/>
      <c r="CPE38" s="168"/>
      <c r="CPF38" s="168"/>
      <c r="CPG38" s="168"/>
      <c r="CPH38" s="168"/>
      <c r="CPI38" s="168"/>
      <c r="CPJ38" s="168"/>
      <c r="CPK38" s="168"/>
      <c r="CPL38" s="168"/>
      <c r="CPM38" s="168"/>
      <c r="CPN38" s="168"/>
      <c r="CPO38" s="168"/>
      <c r="CPP38" s="168"/>
      <c r="CPQ38" s="168"/>
      <c r="CPR38" s="168"/>
      <c r="CPS38" s="168"/>
      <c r="CPT38" s="168"/>
      <c r="CPU38" s="168"/>
      <c r="CPV38" s="168"/>
      <c r="CPW38" s="168"/>
      <c r="CPX38" s="168"/>
      <c r="CPY38" s="168"/>
      <c r="CPZ38" s="168"/>
      <c r="CQA38" s="168"/>
      <c r="CQB38" s="168"/>
      <c r="CQC38" s="168"/>
      <c r="CQD38" s="168"/>
      <c r="CQE38" s="168"/>
      <c r="CQF38" s="168"/>
      <c r="CQG38" s="168"/>
      <c r="CQH38" s="168"/>
      <c r="CQI38" s="168"/>
      <c r="CQJ38" s="168"/>
      <c r="CQK38" s="168"/>
      <c r="CQL38" s="168"/>
      <c r="CQM38" s="168"/>
      <c r="CQN38" s="168"/>
      <c r="CQO38" s="168"/>
      <c r="CQP38" s="168"/>
      <c r="CQQ38" s="168"/>
      <c r="CQR38" s="168"/>
      <c r="CQS38" s="168"/>
      <c r="CQT38" s="168"/>
      <c r="CQU38" s="168"/>
      <c r="CQV38" s="168"/>
      <c r="CQW38" s="168"/>
      <c r="CQX38" s="168"/>
      <c r="CQY38" s="168"/>
      <c r="CQZ38" s="168"/>
      <c r="CRA38" s="168"/>
      <c r="CRB38" s="168"/>
      <c r="CRC38" s="168"/>
      <c r="CRD38" s="168"/>
      <c r="CRE38" s="168"/>
      <c r="CRF38" s="168"/>
      <c r="CRG38" s="168"/>
      <c r="CRH38" s="168"/>
      <c r="CRI38" s="168"/>
      <c r="CRJ38" s="168"/>
      <c r="CRK38" s="168"/>
      <c r="CRL38" s="168"/>
      <c r="CRM38" s="168"/>
      <c r="CRN38" s="168"/>
      <c r="CRO38" s="168"/>
      <c r="CRP38" s="168"/>
      <c r="CRQ38" s="168"/>
      <c r="CRR38" s="168"/>
      <c r="CRS38" s="168"/>
      <c r="CRT38" s="168"/>
      <c r="CRU38" s="168"/>
      <c r="CRV38" s="168"/>
      <c r="CRW38" s="168"/>
      <c r="CRX38" s="168"/>
      <c r="CRY38" s="168"/>
      <c r="CRZ38" s="168"/>
      <c r="CSA38" s="168"/>
      <c r="CSB38" s="168"/>
      <c r="CSC38" s="168"/>
      <c r="CSD38" s="168"/>
      <c r="CSE38" s="168"/>
      <c r="CSF38" s="168"/>
      <c r="CSG38" s="168"/>
      <c r="CSH38" s="168"/>
      <c r="CSI38" s="168"/>
      <c r="CSJ38" s="168"/>
      <c r="CSK38" s="168"/>
      <c r="CSL38" s="168"/>
      <c r="CSM38" s="168"/>
      <c r="CSN38" s="168"/>
      <c r="CSO38" s="168"/>
      <c r="CSP38" s="168"/>
      <c r="CSQ38" s="168"/>
      <c r="CSR38" s="168"/>
      <c r="CSS38" s="168"/>
      <c r="CST38" s="168"/>
      <c r="CSU38" s="168"/>
      <c r="CSV38" s="168"/>
      <c r="CSW38" s="168"/>
      <c r="CSX38" s="168"/>
      <c r="CSY38" s="168"/>
      <c r="CSZ38" s="168"/>
      <c r="CTA38" s="168"/>
      <c r="CTB38" s="168"/>
      <c r="CTC38" s="168"/>
      <c r="CTD38" s="168"/>
      <c r="CTE38" s="168"/>
      <c r="CTF38" s="168"/>
      <c r="CTG38" s="168"/>
      <c r="CTH38" s="168"/>
      <c r="CTI38" s="168"/>
      <c r="CTJ38" s="168"/>
      <c r="CTK38" s="168"/>
      <c r="CTL38" s="168"/>
      <c r="CTM38" s="168"/>
      <c r="CTN38" s="168"/>
      <c r="CTO38" s="168"/>
      <c r="CTP38" s="168"/>
      <c r="CTQ38" s="168"/>
      <c r="CTR38" s="168"/>
      <c r="CTS38" s="168"/>
      <c r="CTT38" s="168"/>
      <c r="CTU38" s="168"/>
      <c r="CTV38" s="168"/>
      <c r="CTW38" s="168"/>
      <c r="CTX38" s="168"/>
      <c r="CTY38" s="168"/>
      <c r="CTZ38" s="168"/>
      <c r="CUA38" s="168"/>
      <c r="CUB38" s="168"/>
      <c r="CUC38" s="168"/>
      <c r="CUD38" s="168"/>
      <c r="CUE38" s="168"/>
      <c r="CUF38" s="168"/>
      <c r="CUG38" s="168"/>
      <c r="CUH38" s="168"/>
      <c r="CUI38" s="168"/>
      <c r="CUJ38" s="168"/>
      <c r="CUK38" s="168"/>
      <c r="CUL38" s="168"/>
      <c r="CUM38" s="168"/>
      <c r="CUN38" s="168"/>
      <c r="CUO38" s="168"/>
      <c r="CUP38" s="168"/>
      <c r="CUQ38" s="168"/>
      <c r="CUR38" s="168"/>
      <c r="CUS38" s="168"/>
      <c r="CUT38" s="168"/>
      <c r="CUU38" s="168"/>
      <c r="CUV38" s="168"/>
      <c r="CUW38" s="168"/>
      <c r="CUX38" s="168"/>
      <c r="CUY38" s="168"/>
      <c r="CUZ38" s="168"/>
      <c r="CVA38" s="168"/>
      <c r="CVB38" s="168"/>
      <c r="CVC38" s="168"/>
      <c r="CVD38" s="168"/>
      <c r="CVE38" s="168"/>
      <c r="CVF38" s="168"/>
      <c r="CVG38" s="168"/>
      <c r="CVH38" s="168"/>
      <c r="CVI38" s="168"/>
      <c r="CVJ38" s="168"/>
      <c r="CVK38" s="168"/>
      <c r="CVL38" s="168"/>
      <c r="CVM38" s="168"/>
      <c r="CVN38" s="168"/>
      <c r="CVO38" s="168"/>
      <c r="CVP38" s="168"/>
      <c r="CVQ38" s="168"/>
      <c r="CVR38" s="168"/>
      <c r="CVS38" s="168"/>
      <c r="CVT38" s="168"/>
      <c r="CVU38" s="168"/>
      <c r="CVV38" s="168"/>
      <c r="CVW38" s="168"/>
      <c r="CVX38" s="168"/>
      <c r="CVY38" s="168"/>
      <c r="CVZ38" s="168"/>
      <c r="CWA38" s="168"/>
      <c r="CWB38" s="168"/>
      <c r="CWC38" s="168"/>
      <c r="CWD38" s="168"/>
      <c r="CWE38" s="168"/>
      <c r="CWF38" s="168"/>
      <c r="CWG38" s="168"/>
      <c r="CWH38" s="168"/>
      <c r="CWI38" s="168"/>
      <c r="CWJ38" s="168"/>
      <c r="CWK38" s="168"/>
      <c r="CWL38" s="168"/>
      <c r="CWM38" s="168"/>
      <c r="CWN38" s="168"/>
      <c r="CWO38" s="168"/>
      <c r="CWP38" s="168"/>
      <c r="CWQ38" s="168"/>
      <c r="CWR38" s="168"/>
      <c r="CWS38" s="168"/>
      <c r="CWT38" s="168"/>
      <c r="CWU38" s="168"/>
      <c r="CWV38" s="168"/>
      <c r="CWW38" s="168"/>
      <c r="CWX38" s="168"/>
      <c r="CWY38" s="168"/>
      <c r="CWZ38" s="168"/>
      <c r="CXA38" s="168"/>
      <c r="CXB38" s="168"/>
      <c r="CXC38" s="168"/>
      <c r="CXD38" s="168"/>
      <c r="CXE38" s="168"/>
      <c r="CXF38" s="168"/>
      <c r="CXG38" s="168"/>
      <c r="CXH38" s="168"/>
      <c r="CXI38" s="168"/>
      <c r="CXJ38" s="168"/>
      <c r="CXK38" s="168"/>
      <c r="CXL38" s="168"/>
      <c r="CXM38" s="168"/>
      <c r="CXN38" s="168"/>
      <c r="CXO38" s="168"/>
      <c r="CXP38" s="168"/>
      <c r="CXQ38" s="168"/>
      <c r="CXR38" s="168"/>
      <c r="CXS38" s="168"/>
      <c r="CXT38" s="168"/>
      <c r="CXU38" s="168"/>
      <c r="CXV38" s="168"/>
      <c r="CXW38" s="168"/>
      <c r="CXX38" s="168"/>
      <c r="CXY38" s="168"/>
      <c r="CXZ38" s="168"/>
      <c r="CYA38" s="168"/>
      <c r="CYB38" s="168"/>
      <c r="CYC38" s="168"/>
      <c r="CYD38" s="168"/>
      <c r="CYE38" s="168"/>
      <c r="CYF38" s="168"/>
      <c r="CYG38" s="168"/>
      <c r="CYH38" s="168"/>
      <c r="CYI38" s="168"/>
      <c r="CYJ38" s="168"/>
      <c r="CYK38" s="168"/>
      <c r="CYL38" s="168"/>
      <c r="CYM38" s="168"/>
      <c r="CYN38" s="168"/>
      <c r="CYO38" s="168"/>
      <c r="CYP38" s="168"/>
      <c r="CYQ38" s="168"/>
      <c r="CYR38" s="168"/>
      <c r="CYS38" s="168"/>
      <c r="CYT38" s="168"/>
      <c r="CYU38" s="168"/>
      <c r="CYV38" s="168"/>
      <c r="CYW38" s="168"/>
      <c r="CYX38" s="168"/>
      <c r="CYY38" s="168"/>
      <c r="CYZ38" s="168"/>
      <c r="CZA38" s="168"/>
      <c r="CZB38" s="168"/>
      <c r="CZC38" s="168"/>
      <c r="CZD38" s="168"/>
      <c r="CZE38" s="168"/>
      <c r="CZF38" s="168"/>
      <c r="CZG38" s="168"/>
      <c r="CZH38" s="168"/>
      <c r="CZI38" s="168"/>
      <c r="CZJ38" s="168"/>
      <c r="CZK38" s="168"/>
      <c r="CZL38" s="168"/>
      <c r="CZM38" s="168"/>
      <c r="CZN38" s="168"/>
      <c r="CZO38" s="168"/>
      <c r="CZP38" s="168"/>
      <c r="CZQ38" s="168"/>
      <c r="CZR38" s="168"/>
      <c r="CZS38" s="168"/>
      <c r="CZT38" s="168"/>
      <c r="CZU38" s="168"/>
      <c r="CZV38" s="168"/>
      <c r="CZW38" s="168"/>
      <c r="CZX38" s="168"/>
      <c r="CZY38" s="168"/>
      <c r="CZZ38" s="168"/>
      <c r="DAA38" s="168"/>
      <c r="DAB38" s="168"/>
      <c r="DAC38" s="168"/>
      <c r="DAD38" s="168"/>
      <c r="DAE38" s="168"/>
      <c r="DAF38" s="168"/>
      <c r="DAG38" s="168"/>
      <c r="DAH38" s="168"/>
      <c r="DAI38" s="168"/>
      <c r="DAJ38" s="168"/>
      <c r="DAK38" s="168"/>
      <c r="DAL38" s="168"/>
      <c r="DAM38" s="168"/>
      <c r="DAN38" s="168"/>
      <c r="DAO38" s="168"/>
      <c r="DAP38" s="168"/>
      <c r="DAQ38" s="168"/>
      <c r="DAR38" s="168"/>
      <c r="DAS38" s="168"/>
      <c r="DAT38" s="168"/>
      <c r="DAU38" s="168"/>
      <c r="DAV38" s="168"/>
      <c r="DAW38" s="168"/>
      <c r="DAX38" s="168"/>
      <c r="DAY38" s="168"/>
      <c r="DAZ38" s="168"/>
      <c r="DBA38" s="168"/>
      <c r="DBB38" s="168"/>
      <c r="DBC38" s="168"/>
      <c r="DBD38" s="168"/>
      <c r="DBE38" s="168"/>
      <c r="DBF38" s="168"/>
      <c r="DBG38" s="168"/>
      <c r="DBH38" s="168"/>
      <c r="DBI38" s="168"/>
      <c r="DBJ38" s="168"/>
      <c r="DBK38" s="168"/>
      <c r="DBL38" s="168"/>
      <c r="DBM38" s="168"/>
      <c r="DBN38" s="168"/>
      <c r="DBO38" s="168"/>
      <c r="DBP38" s="168"/>
      <c r="DBQ38" s="168"/>
      <c r="DBR38" s="168"/>
      <c r="DBS38" s="168"/>
      <c r="DBT38" s="168"/>
      <c r="DBU38" s="168"/>
      <c r="DBV38" s="168"/>
      <c r="DBW38" s="168"/>
      <c r="DBX38" s="168"/>
      <c r="DBY38" s="168"/>
      <c r="DBZ38" s="168"/>
      <c r="DCA38" s="168"/>
      <c r="DCB38" s="168"/>
      <c r="DCC38" s="168"/>
      <c r="DCD38" s="168"/>
      <c r="DCE38" s="168"/>
      <c r="DCF38" s="168"/>
      <c r="DCG38" s="168"/>
      <c r="DCH38" s="168"/>
      <c r="DCI38" s="168"/>
      <c r="DCJ38" s="168"/>
      <c r="DCK38" s="168"/>
      <c r="DCL38" s="168"/>
      <c r="DCM38" s="168"/>
      <c r="DCN38" s="168"/>
      <c r="DCO38" s="168"/>
      <c r="DCP38" s="168"/>
      <c r="DCQ38" s="168"/>
      <c r="DCR38" s="168"/>
      <c r="DCS38" s="168"/>
      <c r="DCT38" s="168"/>
      <c r="DCU38" s="168"/>
      <c r="DCV38" s="168"/>
      <c r="DCW38" s="168"/>
      <c r="DCX38" s="168"/>
      <c r="DCY38" s="168"/>
      <c r="DCZ38" s="168"/>
      <c r="DDA38" s="168"/>
      <c r="DDB38" s="168"/>
      <c r="DDC38" s="168"/>
      <c r="DDD38" s="168"/>
      <c r="DDE38" s="168"/>
      <c r="DDF38" s="168"/>
      <c r="DDG38" s="168"/>
      <c r="DDH38" s="168"/>
      <c r="DDI38" s="168"/>
      <c r="DDJ38" s="168"/>
      <c r="DDK38" s="168"/>
      <c r="DDL38" s="168"/>
      <c r="DDM38" s="168"/>
      <c r="DDN38" s="168"/>
      <c r="DDO38" s="168"/>
      <c r="DDP38" s="168"/>
      <c r="DDQ38" s="168"/>
      <c r="DDR38" s="168"/>
      <c r="DDS38" s="168"/>
      <c r="DDT38" s="168"/>
      <c r="DDU38" s="168"/>
      <c r="DDV38" s="168"/>
      <c r="DDW38" s="168"/>
      <c r="DDX38" s="168"/>
      <c r="DDY38" s="168"/>
      <c r="DDZ38" s="168"/>
      <c r="DEA38" s="168"/>
      <c r="DEB38" s="168"/>
      <c r="DEC38" s="168"/>
      <c r="DED38" s="168"/>
      <c r="DEE38" s="168"/>
      <c r="DEF38" s="168"/>
      <c r="DEG38" s="168"/>
      <c r="DEH38" s="168"/>
      <c r="DEI38" s="168"/>
      <c r="DEJ38" s="168"/>
      <c r="DEK38" s="168"/>
      <c r="DEL38" s="168"/>
      <c r="DEM38" s="168"/>
      <c r="DEN38" s="168"/>
      <c r="DEO38" s="168"/>
      <c r="DEP38" s="168"/>
      <c r="DEQ38" s="168"/>
      <c r="DER38" s="168"/>
      <c r="DES38" s="168"/>
      <c r="DET38" s="168"/>
      <c r="DEU38" s="168"/>
      <c r="DEV38" s="168"/>
      <c r="DEW38" s="168"/>
      <c r="DEX38" s="168"/>
      <c r="DEY38" s="168"/>
      <c r="DEZ38" s="168"/>
      <c r="DFA38" s="168"/>
      <c r="DFB38" s="168"/>
      <c r="DFC38" s="168"/>
      <c r="DFD38" s="168"/>
      <c r="DFE38" s="168"/>
      <c r="DFF38" s="168"/>
      <c r="DFG38" s="168"/>
      <c r="DFH38" s="168"/>
      <c r="DFI38" s="168"/>
      <c r="DFJ38" s="168"/>
      <c r="DFK38" s="168"/>
      <c r="DFL38" s="168"/>
      <c r="DFM38" s="168"/>
      <c r="DFN38" s="168"/>
      <c r="DFO38" s="168"/>
      <c r="DFP38" s="168"/>
      <c r="DFQ38" s="168"/>
      <c r="DFR38" s="168"/>
      <c r="DFS38" s="168"/>
      <c r="DFT38" s="168"/>
      <c r="DFU38" s="168"/>
      <c r="DFV38" s="168"/>
      <c r="DFW38" s="168"/>
      <c r="DFX38" s="168"/>
      <c r="DFY38" s="168"/>
      <c r="DFZ38" s="168"/>
      <c r="DGA38" s="168"/>
      <c r="DGB38" s="168"/>
      <c r="DGC38" s="168"/>
      <c r="DGD38" s="168"/>
      <c r="DGE38" s="168"/>
      <c r="DGF38" s="168"/>
      <c r="DGG38" s="168"/>
      <c r="DGH38" s="168"/>
      <c r="DGI38" s="168"/>
      <c r="DGJ38" s="168"/>
      <c r="DGK38" s="168"/>
      <c r="DGL38" s="168"/>
      <c r="DGM38" s="168"/>
      <c r="DGN38" s="168"/>
      <c r="DGO38" s="168"/>
      <c r="DGP38" s="168"/>
      <c r="DGQ38" s="168"/>
      <c r="DGR38" s="168"/>
      <c r="DGS38" s="168"/>
      <c r="DGT38" s="168"/>
      <c r="DGU38" s="168"/>
      <c r="DGV38" s="168"/>
      <c r="DGW38" s="168"/>
      <c r="DGX38" s="168"/>
      <c r="DGY38" s="168"/>
      <c r="DGZ38" s="168"/>
      <c r="DHA38" s="168"/>
      <c r="DHB38" s="168"/>
      <c r="DHC38" s="168"/>
      <c r="DHD38" s="168"/>
      <c r="DHE38" s="168"/>
      <c r="DHF38" s="168"/>
      <c r="DHG38" s="168"/>
      <c r="DHH38" s="168"/>
      <c r="DHI38" s="168"/>
      <c r="DHJ38" s="168"/>
      <c r="DHK38" s="168"/>
      <c r="DHL38" s="168"/>
      <c r="DHM38" s="168"/>
      <c r="DHN38" s="168"/>
      <c r="DHO38" s="168"/>
      <c r="DHP38" s="168"/>
      <c r="DHQ38" s="168"/>
      <c r="DHR38" s="168"/>
      <c r="DHS38" s="168"/>
      <c r="DHT38" s="168"/>
      <c r="DHU38" s="168"/>
      <c r="DHV38" s="168"/>
      <c r="DHW38" s="168"/>
      <c r="DHX38" s="168"/>
      <c r="DHY38" s="168"/>
      <c r="DHZ38" s="168"/>
      <c r="DIA38" s="168"/>
      <c r="DIB38" s="168"/>
      <c r="DIC38" s="168"/>
      <c r="DID38" s="168"/>
      <c r="DIE38" s="168"/>
      <c r="DIF38" s="168"/>
      <c r="DIG38" s="168"/>
      <c r="DIH38" s="168"/>
      <c r="DII38" s="168"/>
      <c r="DIJ38" s="168"/>
      <c r="DIK38" s="168"/>
      <c r="DIL38" s="168"/>
      <c r="DIM38" s="168"/>
      <c r="DIN38" s="168"/>
      <c r="DIO38" s="168"/>
      <c r="DIP38" s="168"/>
      <c r="DIQ38" s="168"/>
      <c r="DIR38" s="168"/>
      <c r="DIS38" s="168"/>
      <c r="DIT38" s="168"/>
      <c r="DIU38" s="168"/>
      <c r="DIV38" s="168"/>
      <c r="DIW38" s="168"/>
      <c r="DIX38" s="168"/>
      <c r="DIY38" s="168"/>
      <c r="DIZ38" s="168"/>
      <c r="DJA38" s="168"/>
      <c r="DJB38" s="168"/>
      <c r="DJC38" s="168"/>
      <c r="DJD38" s="168"/>
      <c r="DJE38" s="168"/>
      <c r="DJF38" s="168"/>
      <c r="DJG38" s="168"/>
      <c r="DJH38" s="168"/>
      <c r="DJI38" s="168"/>
      <c r="DJJ38" s="168"/>
      <c r="DJK38" s="168"/>
      <c r="DJL38" s="168"/>
      <c r="DJM38" s="168"/>
      <c r="DJN38" s="168"/>
      <c r="DJO38" s="168"/>
      <c r="DJP38" s="168"/>
      <c r="DJQ38" s="168"/>
      <c r="DJR38" s="168"/>
      <c r="DJS38" s="168"/>
      <c r="DJT38" s="168"/>
      <c r="DJU38" s="168"/>
      <c r="DJV38" s="168"/>
      <c r="DJW38" s="168"/>
      <c r="DJX38" s="168"/>
      <c r="DJY38" s="168"/>
      <c r="DJZ38" s="168"/>
      <c r="DKA38" s="168"/>
      <c r="DKB38" s="168"/>
      <c r="DKC38" s="168"/>
      <c r="DKD38" s="168"/>
      <c r="DKE38" s="168"/>
      <c r="DKF38" s="168"/>
      <c r="DKG38" s="168"/>
      <c r="DKH38" s="168"/>
      <c r="DKI38" s="168"/>
      <c r="DKJ38" s="168"/>
      <c r="DKK38" s="168"/>
      <c r="DKL38" s="168"/>
      <c r="DKM38" s="168"/>
      <c r="DKN38" s="168"/>
      <c r="DKO38" s="168"/>
      <c r="DKP38" s="168"/>
      <c r="DKQ38" s="168"/>
      <c r="DKR38" s="168"/>
      <c r="DKS38" s="168"/>
      <c r="DKT38" s="168"/>
      <c r="DKU38" s="168"/>
      <c r="DKV38" s="168"/>
      <c r="DKW38" s="168"/>
      <c r="DKX38" s="168"/>
      <c r="DKY38" s="168"/>
      <c r="DKZ38" s="168"/>
      <c r="DLA38" s="168"/>
      <c r="DLB38" s="168"/>
      <c r="DLC38" s="168"/>
      <c r="DLD38" s="168"/>
      <c r="DLE38" s="168"/>
      <c r="DLF38" s="168"/>
      <c r="DLG38" s="168"/>
      <c r="DLH38" s="168"/>
      <c r="DLI38" s="168"/>
      <c r="DLJ38" s="168"/>
      <c r="DLK38" s="168"/>
      <c r="DLL38" s="168"/>
      <c r="DLM38" s="168"/>
      <c r="DLN38" s="168"/>
      <c r="DLO38" s="168"/>
      <c r="DLP38" s="168"/>
      <c r="DLQ38" s="168"/>
      <c r="DLR38" s="168"/>
      <c r="DLS38" s="168"/>
      <c r="DLT38" s="168"/>
      <c r="DLU38" s="168"/>
      <c r="DLV38" s="168"/>
      <c r="DLW38" s="168"/>
      <c r="DLX38" s="168"/>
      <c r="DLY38" s="168"/>
      <c r="DLZ38" s="168"/>
      <c r="DMA38" s="168"/>
      <c r="DMB38" s="168"/>
      <c r="DMC38" s="168"/>
      <c r="DMD38" s="168"/>
      <c r="DME38" s="168"/>
      <c r="DMF38" s="168"/>
      <c r="DMG38" s="168"/>
      <c r="DMH38" s="168"/>
      <c r="DMI38" s="168"/>
      <c r="DMJ38" s="168"/>
      <c r="DMK38" s="168"/>
      <c r="DML38" s="168"/>
      <c r="DMM38" s="168"/>
      <c r="DMN38" s="168"/>
      <c r="DMO38" s="168"/>
      <c r="DMP38" s="168"/>
      <c r="DMQ38" s="168"/>
      <c r="DMR38" s="168"/>
      <c r="DMS38" s="168"/>
      <c r="DMT38" s="168"/>
      <c r="DMU38" s="168"/>
      <c r="DMV38" s="168"/>
      <c r="DMW38" s="168"/>
      <c r="DMX38" s="168"/>
      <c r="DMY38" s="168"/>
      <c r="DMZ38" s="168"/>
      <c r="DNA38" s="168"/>
      <c r="DNB38" s="168"/>
      <c r="DNC38" s="168"/>
      <c r="DND38" s="168"/>
      <c r="DNE38" s="168"/>
      <c r="DNF38" s="168"/>
      <c r="DNG38" s="168"/>
      <c r="DNH38" s="168"/>
      <c r="DNI38" s="168"/>
      <c r="DNJ38" s="168"/>
      <c r="DNK38" s="168"/>
      <c r="DNL38" s="168"/>
      <c r="DNM38" s="168"/>
      <c r="DNN38" s="168"/>
      <c r="DNO38" s="168"/>
      <c r="DNP38" s="168"/>
      <c r="DNQ38" s="168"/>
      <c r="DNR38" s="168"/>
      <c r="DNS38" s="168"/>
      <c r="DNT38" s="168"/>
      <c r="DNU38" s="168"/>
      <c r="DNV38" s="168"/>
      <c r="DNW38" s="168"/>
      <c r="DNX38" s="168"/>
      <c r="DNY38" s="168"/>
      <c r="DNZ38" s="168"/>
      <c r="DOA38" s="168"/>
      <c r="DOB38" s="168"/>
      <c r="DOC38" s="168"/>
      <c r="DOD38" s="168"/>
      <c r="DOE38" s="168"/>
      <c r="DOF38" s="168"/>
      <c r="DOG38" s="168"/>
      <c r="DOH38" s="168"/>
      <c r="DOI38" s="168"/>
      <c r="DOJ38" s="168"/>
      <c r="DOK38" s="168"/>
      <c r="DOL38" s="168"/>
      <c r="DOM38" s="168"/>
      <c r="DON38" s="168"/>
      <c r="DOO38" s="168"/>
      <c r="DOP38" s="168"/>
      <c r="DOQ38" s="168"/>
      <c r="DOR38" s="168"/>
      <c r="DOS38" s="168"/>
      <c r="DOT38" s="168"/>
      <c r="DOU38" s="168"/>
      <c r="DOV38" s="168"/>
      <c r="DOW38" s="168"/>
      <c r="DOX38" s="168"/>
      <c r="DOY38" s="168"/>
      <c r="DOZ38" s="168"/>
      <c r="DPA38" s="168"/>
      <c r="DPB38" s="168"/>
      <c r="DPC38" s="168"/>
      <c r="DPD38" s="168"/>
      <c r="DPE38" s="168"/>
      <c r="DPF38" s="168"/>
      <c r="DPG38" s="168"/>
      <c r="DPH38" s="168"/>
      <c r="DPI38" s="168"/>
      <c r="DPJ38" s="168"/>
      <c r="DPK38" s="168"/>
      <c r="DPL38" s="168"/>
      <c r="DPM38" s="168"/>
      <c r="DPN38" s="168"/>
      <c r="DPO38" s="168"/>
      <c r="DPP38" s="168"/>
      <c r="DPQ38" s="168"/>
      <c r="DPR38" s="168"/>
      <c r="DPS38" s="168"/>
      <c r="DPT38" s="168"/>
      <c r="DPU38" s="168"/>
      <c r="DPV38" s="168"/>
      <c r="DPW38" s="168"/>
      <c r="DPX38" s="168"/>
      <c r="DPY38" s="168"/>
      <c r="DPZ38" s="168"/>
      <c r="DQA38" s="168"/>
      <c r="DQB38" s="168"/>
      <c r="DQC38" s="168"/>
      <c r="DQD38" s="168"/>
      <c r="DQE38" s="168"/>
      <c r="DQF38" s="168"/>
      <c r="DQG38" s="168"/>
      <c r="DQH38" s="168"/>
      <c r="DQI38" s="168"/>
      <c r="DQJ38" s="168"/>
      <c r="DQK38" s="168"/>
      <c r="DQL38" s="168"/>
      <c r="DQM38" s="168"/>
      <c r="DQN38" s="168"/>
      <c r="DQO38" s="168"/>
      <c r="DQP38" s="168"/>
      <c r="DQQ38" s="168"/>
      <c r="DQR38" s="168"/>
      <c r="DQS38" s="168"/>
      <c r="DQT38" s="168"/>
      <c r="DQU38" s="168"/>
      <c r="DQV38" s="168"/>
      <c r="DQW38" s="168"/>
      <c r="DQX38" s="168"/>
      <c r="DQY38" s="168"/>
      <c r="DQZ38" s="168"/>
      <c r="DRA38" s="168"/>
      <c r="DRB38" s="168"/>
      <c r="DRC38" s="168"/>
      <c r="DRD38" s="168"/>
      <c r="DRE38" s="168"/>
      <c r="DRF38" s="168"/>
      <c r="DRG38" s="168"/>
      <c r="DRH38" s="168"/>
      <c r="DRI38" s="168"/>
      <c r="DRJ38" s="168"/>
      <c r="DRK38" s="168"/>
      <c r="DRL38" s="168"/>
      <c r="DRM38" s="168"/>
      <c r="DRN38" s="168"/>
      <c r="DRO38" s="168"/>
      <c r="DRP38" s="168"/>
      <c r="DRQ38" s="168"/>
      <c r="DRR38" s="168"/>
      <c r="DRS38" s="168"/>
      <c r="DRT38" s="168"/>
      <c r="DRU38" s="168"/>
      <c r="DRV38" s="168"/>
      <c r="DRW38" s="168"/>
      <c r="DRX38" s="168"/>
      <c r="DRY38" s="168"/>
      <c r="DRZ38" s="168"/>
      <c r="DSA38" s="168"/>
      <c r="DSB38" s="168"/>
      <c r="DSC38" s="168"/>
      <c r="DSD38" s="168"/>
      <c r="DSE38" s="168"/>
      <c r="DSF38" s="168"/>
      <c r="DSG38" s="168"/>
      <c r="DSH38" s="168"/>
      <c r="DSI38" s="168"/>
      <c r="DSJ38" s="168"/>
      <c r="DSK38" s="168"/>
      <c r="DSL38" s="168"/>
      <c r="DSM38" s="168"/>
      <c r="DSN38" s="168"/>
      <c r="DSO38" s="168"/>
      <c r="DSP38" s="168"/>
      <c r="DSQ38" s="168"/>
      <c r="DSR38" s="168"/>
      <c r="DSS38" s="168"/>
      <c r="DST38" s="168"/>
      <c r="DSU38" s="168"/>
      <c r="DSV38" s="168"/>
      <c r="DSW38" s="168"/>
      <c r="DSX38" s="168"/>
      <c r="DSY38" s="168"/>
      <c r="DSZ38" s="168"/>
      <c r="DTA38" s="168"/>
      <c r="DTB38" s="168"/>
      <c r="DTC38" s="168"/>
      <c r="DTD38" s="168"/>
      <c r="DTE38" s="168"/>
      <c r="DTF38" s="168"/>
      <c r="DTG38" s="168"/>
      <c r="DTH38" s="168"/>
      <c r="DTI38" s="168"/>
      <c r="DTJ38" s="168"/>
      <c r="DTK38" s="168"/>
      <c r="DTL38" s="168"/>
      <c r="DTM38" s="168"/>
      <c r="DTN38" s="168"/>
      <c r="DTO38" s="168"/>
      <c r="DTP38" s="168"/>
      <c r="DTQ38" s="168"/>
      <c r="DTR38" s="168"/>
      <c r="DTS38" s="168"/>
      <c r="DTT38" s="168"/>
      <c r="DTU38" s="168"/>
      <c r="DTV38" s="168"/>
      <c r="DTW38" s="168"/>
      <c r="DTX38" s="168"/>
      <c r="DTY38" s="168"/>
      <c r="DTZ38" s="168"/>
      <c r="DUA38" s="168"/>
      <c r="DUB38" s="168"/>
      <c r="DUC38" s="168"/>
      <c r="DUD38" s="168"/>
      <c r="DUE38" s="168"/>
      <c r="DUF38" s="168"/>
      <c r="DUG38" s="168"/>
      <c r="DUH38" s="168"/>
      <c r="DUI38" s="168"/>
      <c r="DUJ38" s="168"/>
      <c r="DUK38" s="168"/>
      <c r="DUL38" s="168"/>
      <c r="DUM38" s="168"/>
      <c r="DUN38" s="168"/>
      <c r="DUO38" s="168"/>
      <c r="DUP38" s="168"/>
      <c r="DUQ38" s="168"/>
      <c r="DUR38" s="168"/>
      <c r="DUS38" s="168"/>
      <c r="DUT38" s="168"/>
      <c r="DUU38" s="168"/>
      <c r="DUV38" s="168"/>
      <c r="DUW38" s="168"/>
      <c r="DUX38" s="168"/>
      <c r="DUY38" s="168"/>
      <c r="DUZ38" s="168"/>
      <c r="DVA38" s="168"/>
      <c r="DVB38" s="168"/>
      <c r="DVC38" s="168"/>
      <c r="DVD38" s="168"/>
      <c r="DVE38" s="168"/>
      <c r="DVF38" s="168"/>
      <c r="DVG38" s="168"/>
      <c r="DVH38" s="168"/>
      <c r="DVI38" s="168"/>
      <c r="DVJ38" s="168"/>
      <c r="DVK38" s="168"/>
      <c r="DVL38" s="168"/>
      <c r="DVM38" s="168"/>
      <c r="DVN38" s="168"/>
      <c r="DVO38" s="168"/>
      <c r="DVP38" s="168"/>
      <c r="DVQ38" s="168"/>
      <c r="DVR38" s="168"/>
      <c r="DVS38" s="168"/>
      <c r="DVT38" s="168"/>
      <c r="DVU38" s="168"/>
      <c r="DVV38" s="168"/>
      <c r="DVW38" s="168"/>
      <c r="DVX38" s="168"/>
      <c r="DVY38" s="168"/>
      <c r="DVZ38" s="168"/>
      <c r="DWA38" s="168"/>
      <c r="DWB38" s="168"/>
      <c r="DWC38" s="168"/>
      <c r="DWD38" s="168"/>
      <c r="DWE38" s="168"/>
      <c r="DWF38" s="168"/>
      <c r="DWG38" s="168"/>
      <c r="DWH38" s="168"/>
      <c r="DWI38" s="168"/>
      <c r="DWJ38" s="168"/>
      <c r="DWK38" s="168"/>
      <c r="DWL38" s="168"/>
      <c r="DWM38" s="168"/>
      <c r="DWN38" s="168"/>
      <c r="DWO38" s="168"/>
      <c r="DWP38" s="168"/>
      <c r="DWQ38" s="168"/>
      <c r="DWR38" s="168"/>
      <c r="DWS38" s="168"/>
      <c r="DWT38" s="168"/>
      <c r="DWU38" s="168"/>
      <c r="DWV38" s="168"/>
      <c r="DWW38" s="168"/>
      <c r="DWX38" s="168"/>
      <c r="DWY38" s="168"/>
      <c r="DWZ38" s="168"/>
      <c r="DXA38" s="168"/>
      <c r="DXB38" s="168"/>
      <c r="DXC38" s="168"/>
      <c r="DXD38" s="168"/>
      <c r="DXE38" s="168"/>
      <c r="DXF38" s="168"/>
      <c r="DXG38" s="168"/>
      <c r="DXH38" s="168"/>
      <c r="DXI38" s="168"/>
      <c r="DXJ38" s="168"/>
      <c r="DXK38" s="168"/>
      <c r="DXL38" s="168"/>
      <c r="DXM38" s="168"/>
      <c r="DXN38" s="168"/>
      <c r="DXO38" s="168"/>
      <c r="DXP38" s="168"/>
      <c r="DXQ38" s="168"/>
      <c r="DXR38" s="168"/>
      <c r="DXS38" s="168"/>
      <c r="DXT38" s="168"/>
      <c r="DXU38" s="168"/>
      <c r="DXV38" s="168"/>
      <c r="DXW38" s="168"/>
      <c r="DXX38" s="168"/>
      <c r="DXY38" s="168"/>
      <c r="DXZ38" s="168"/>
      <c r="DYA38" s="168"/>
      <c r="DYB38" s="168"/>
      <c r="DYC38" s="168"/>
      <c r="DYD38" s="168"/>
      <c r="DYE38" s="168"/>
      <c r="DYF38" s="168"/>
      <c r="DYG38" s="168"/>
      <c r="DYH38" s="168"/>
      <c r="DYI38" s="168"/>
      <c r="DYJ38" s="168"/>
      <c r="DYK38" s="168"/>
      <c r="DYL38" s="168"/>
      <c r="DYM38" s="168"/>
      <c r="DYN38" s="168"/>
      <c r="DYO38" s="168"/>
      <c r="DYP38" s="168"/>
      <c r="DYQ38" s="168"/>
      <c r="DYR38" s="168"/>
      <c r="DYS38" s="168"/>
      <c r="DYT38" s="168"/>
      <c r="DYU38" s="168"/>
      <c r="DYV38" s="168"/>
      <c r="DYW38" s="168"/>
      <c r="DYX38" s="168"/>
      <c r="DYY38" s="168"/>
      <c r="DYZ38" s="168"/>
      <c r="DZA38" s="168"/>
      <c r="DZB38" s="168"/>
      <c r="DZC38" s="168"/>
      <c r="DZD38" s="168"/>
      <c r="DZE38" s="168"/>
      <c r="DZF38" s="168"/>
      <c r="DZG38" s="168"/>
      <c r="DZH38" s="168"/>
      <c r="DZI38" s="168"/>
      <c r="DZJ38" s="168"/>
      <c r="DZK38" s="168"/>
      <c r="DZL38" s="168"/>
      <c r="DZM38" s="168"/>
      <c r="DZN38" s="168"/>
      <c r="DZO38" s="168"/>
      <c r="DZP38" s="168"/>
      <c r="DZQ38" s="168"/>
      <c r="DZR38" s="168"/>
      <c r="DZS38" s="168"/>
      <c r="DZT38" s="168"/>
      <c r="DZU38" s="168"/>
      <c r="DZV38" s="168"/>
      <c r="DZW38" s="168"/>
      <c r="DZX38" s="168"/>
      <c r="DZY38" s="168"/>
      <c r="DZZ38" s="168"/>
      <c r="EAA38" s="168"/>
      <c r="EAB38" s="168"/>
      <c r="EAC38" s="168"/>
      <c r="EAD38" s="168"/>
      <c r="EAE38" s="168"/>
      <c r="EAF38" s="168"/>
      <c r="EAG38" s="168"/>
      <c r="EAH38" s="168"/>
      <c r="EAI38" s="168"/>
      <c r="EAJ38" s="168"/>
      <c r="EAK38" s="168"/>
      <c r="EAL38" s="168"/>
      <c r="EAM38" s="168"/>
      <c r="EAN38" s="168"/>
      <c r="EAO38" s="168"/>
      <c r="EAP38" s="168"/>
      <c r="EAQ38" s="168"/>
      <c r="EAR38" s="168"/>
      <c r="EAS38" s="168"/>
      <c r="EAT38" s="168"/>
      <c r="EAU38" s="168"/>
      <c r="EAV38" s="168"/>
      <c r="EAW38" s="168"/>
      <c r="EAX38" s="168"/>
      <c r="EAY38" s="168"/>
      <c r="EAZ38" s="168"/>
      <c r="EBA38" s="168"/>
      <c r="EBB38" s="168"/>
      <c r="EBC38" s="168"/>
      <c r="EBD38" s="168"/>
      <c r="EBE38" s="168"/>
      <c r="EBF38" s="168"/>
      <c r="EBG38" s="168"/>
      <c r="EBH38" s="168"/>
      <c r="EBI38" s="168"/>
      <c r="EBJ38" s="168"/>
      <c r="EBK38" s="168"/>
      <c r="EBL38" s="168"/>
      <c r="EBM38" s="168"/>
      <c r="EBN38" s="168"/>
      <c r="EBO38" s="168"/>
      <c r="EBP38" s="168"/>
      <c r="EBQ38" s="168"/>
      <c r="EBR38" s="168"/>
      <c r="EBS38" s="168"/>
      <c r="EBT38" s="168"/>
      <c r="EBU38" s="168"/>
      <c r="EBV38" s="168"/>
      <c r="EBW38" s="168"/>
      <c r="EBX38" s="168"/>
      <c r="EBY38" s="168"/>
      <c r="EBZ38" s="168"/>
      <c r="ECA38" s="168"/>
      <c r="ECB38" s="168"/>
      <c r="ECC38" s="168"/>
      <c r="ECD38" s="168"/>
      <c r="ECE38" s="168"/>
      <c r="ECF38" s="168"/>
      <c r="ECG38" s="168"/>
      <c r="ECH38" s="168"/>
      <c r="ECI38" s="168"/>
      <c r="ECJ38" s="168"/>
      <c r="ECK38" s="168"/>
      <c r="ECL38" s="168"/>
      <c r="ECM38" s="168"/>
      <c r="ECN38" s="168"/>
      <c r="ECO38" s="168"/>
      <c r="ECP38" s="168"/>
      <c r="ECQ38" s="168"/>
      <c r="ECR38" s="168"/>
      <c r="ECS38" s="168"/>
      <c r="ECT38" s="168"/>
      <c r="ECU38" s="168"/>
      <c r="ECV38" s="168"/>
      <c r="ECW38" s="168"/>
      <c r="ECX38" s="168"/>
      <c r="ECY38" s="168"/>
      <c r="ECZ38" s="168"/>
      <c r="EDA38" s="168"/>
      <c r="EDB38" s="168"/>
      <c r="EDC38" s="168"/>
      <c r="EDD38" s="168"/>
      <c r="EDE38" s="168"/>
      <c r="EDF38" s="168"/>
      <c r="EDG38" s="168"/>
      <c r="EDH38" s="168"/>
      <c r="EDI38" s="168"/>
      <c r="EDJ38" s="168"/>
      <c r="EDK38" s="168"/>
      <c r="EDL38" s="168"/>
      <c r="EDM38" s="168"/>
      <c r="EDN38" s="168"/>
      <c r="EDO38" s="168"/>
      <c r="EDP38" s="168"/>
      <c r="EDQ38" s="168"/>
      <c r="EDR38" s="168"/>
      <c r="EDS38" s="168"/>
      <c r="EDT38" s="168"/>
      <c r="EDU38" s="168"/>
      <c r="EDV38" s="168"/>
      <c r="EDW38" s="168"/>
      <c r="EDX38" s="168"/>
      <c r="EDY38" s="168"/>
      <c r="EDZ38" s="168"/>
      <c r="EEA38" s="168"/>
      <c r="EEB38" s="168"/>
      <c r="EEC38" s="168"/>
      <c r="EED38" s="168"/>
      <c r="EEE38" s="168"/>
      <c r="EEF38" s="168"/>
      <c r="EEG38" s="168"/>
      <c r="EEH38" s="168"/>
      <c r="EEI38" s="168"/>
      <c r="EEJ38" s="168"/>
      <c r="EEK38" s="168"/>
      <c r="EEL38" s="168"/>
      <c r="EEM38" s="168"/>
      <c r="EEN38" s="168"/>
      <c r="EEO38" s="168"/>
      <c r="EEP38" s="168"/>
      <c r="EEQ38" s="168"/>
      <c r="EER38" s="168"/>
      <c r="EES38" s="168"/>
      <c r="EET38" s="168"/>
      <c r="EEU38" s="168"/>
      <c r="EEV38" s="168"/>
      <c r="EEW38" s="168"/>
      <c r="EEX38" s="168"/>
      <c r="EEY38" s="168"/>
      <c r="EEZ38" s="168"/>
      <c r="EFA38" s="168"/>
      <c r="EFB38" s="168"/>
      <c r="EFC38" s="168"/>
      <c r="EFD38" s="168"/>
      <c r="EFE38" s="168"/>
      <c r="EFF38" s="168"/>
      <c r="EFG38" s="168"/>
      <c r="EFH38" s="168"/>
      <c r="EFI38" s="168"/>
      <c r="EFJ38" s="168"/>
      <c r="EFK38" s="168"/>
      <c r="EFL38" s="168"/>
      <c r="EFM38" s="168"/>
      <c r="EFN38" s="168"/>
      <c r="EFO38" s="168"/>
      <c r="EFP38" s="168"/>
      <c r="EFQ38" s="168"/>
      <c r="EFR38" s="168"/>
      <c r="EFS38" s="168"/>
      <c r="EFT38" s="168"/>
      <c r="EFU38" s="168"/>
      <c r="EFV38" s="168"/>
      <c r="EFW38" s="168"/>
      <c r="EFX38" s="168"/>
      <c r="EFY38" s="168"/>
      <c r="EFZ38" s="168"/>
      <c r="EGA38" s="168"/>
      <c r="EGB38" s="168"/>
      <c r="EGC38" s="168"/>
      <c r="EGD38" s="168"/>
      <c r="EGE38" s="168"/>
      <c r="EGF38" s="168"/>
      <c r="EGG38" s="168"/>
      <c r="EGH38" s="168"/>
      <c r="EGI38" s="168"/>
      <c r="EGJ38" s="168"/>
      <c r="EGK38" s="168"/>
      <c r="EGL38" s="168"/>
      <c r="EGM38" s="168"/>
      <c r="EGN38" s="168"/>
      <c r="EGO38" s="168"/>
      <c r="EGP38" s="168"/>
      <c r="EGQ38" s="168"/>
      <c r="EGR38" s="168"/>
      <c r="EGS38" s="168"/>
      <c r="EGT38" s="168"/>
      <c r="EGU38" s="168"/>
      <c r="EGV38" s="168"/>
      <c r="EGW38" s="168"/>
      <c r="EGX38" s="168"/>
      <c r="EGY38" s="168"/>
      <c r="EGZ38" s="168"/>
      <c r="EHA38" s="168"/>
      <c r="EHB38" s="168"/>
      <c r="EHC38" s="168"/>
      <c r="EHD38" s="168"/>
      <c r="EHE38" s="168"/>
      <c r="EHF38" s="168"/>
      <c r="EHG38" s="168"/>
      <c r="EHH38" s="168"/>
      <c r="EHI38" s="168"/>
      <c r="EHJ38" s="168"/>
      <c r="EHK38" s="168"/>
      <c r="EHL38" s="168"/>
      <c r="EHM38" s="168"/>
      <c r="EHN38" s="168"/>
      <c r="EHO38" s="168"/>
      <c r="EHP38" s="168"/>
      <c r="EHQ38" s="168"/>
      <c r="EHR38" s="168"/>
      <c r="EHS38" s="168"/>
      <c r="EHT38" s="168"/>
      <c r="EHU38" s="168"/>
      <c r="EHV38" s="168"/>
      <c r="EHW38" s="168"/>
      <c r="EHX38" s="168"/>
      <c r="EHY38" s="168"/>
      <c r="EHZ38" s="168"/>
      <c r="EIA38" s="168"/>
      <c r="EIB38" s="168"/>
      <c r="EIC38" s="168"/>
      <c r="EID38" s="168"/>
      <c r="EIE38" s="168"/>
      <c r="EIF38" s="168"/>
      <c r="EIG38" s="168"/>
      <c r="EIH38" s="168"/>
      <c r="EII38" s="168"/>
      <c r="EIJ38" s="168"/>
      <c r="EIK38" s="168"/>
      <c r="EIL38" s="168"/>
      <c r="EIM38" s="168"/>
      <c r="EIN38" s="168"/>
      <c r="EIO38" s="168"/>
      <c r="EIP38" s="168"/>
      <c r="EIQ38" s="168"/>
      <c r="EIR38" s="168"/>
      <c r="EIS38" s="168"/>
      <c r="EIT38" s="168"/>
      <c r="EIU38" s="168"/>
      <c r="EIV38" s="168"/>
      <c r="EIW38" s="168"/>
      <c r="EIX38" s="168"/>
      <c r="EIY38" s="168"/>
      <c r="EIZ38" s="168"/>
      <c r="EJA38" s="168"/>
      <c r="EJB38" s="168"/>
      <c r="EJC38" s="168"/>
      <c r="EJD38" s="168"/>
      <c r="EJE38" s="168"/>
      <c r="EJF38" s="168"/>
      <c r="EJG38" s="168"/>
      <c r="EJH38" s="168"/>
      <c r="EJI38" s="168"/>
      <c r="EJJ38" s="168"/>
      <c r="EJK38" s="168"/>
      <c r="EJL38" s="168"/>
      <c r="EJM38" s="168"/>
      <c r="EJN38" s="168"/>
      <c r="EJO38" s="168"/>
      <c r="EJP38" s="168"/>
      <c r="EJQ38" s="168"/>
      <c r="EJR38" s="168"/>
      <c r="EJS38" s="168"/>
      <c r="EJT38" s="168"/>
      <c r="EJU38" s="168"/>
      <c r="EJV38" s="168"/>
      <c r="EJW38" s="168"/>
      <c r="EJX38" s="168"/>
      <c r="EJY38" s="168"/>
      <c r="EJZ38" s="168"/>
      <c r="EKA38" s="168"/>
      <c r="EKB38" s="168"/>
      <c r="EKC38" s="168"/>
      <c r="EKD38" s="168"/>
      <c r="EKE38" s="168"/>
      <c r="EKF38" s="168"/>
      <c r="EKG38" s="168"/>
      <c r="EKH38" s="168"/>
      <c r="EKI38" s="168"/>
      <c r="EKJ38" s="168"/>
      <c r="EKK38" s="168"/>
      <c r="EKL38" s="168"/>
      <c r="EKM38" s="168"/>
      <c r="EKN38" s="168"/>
      <c r="EKO38" s="168"/>
      <c r="EKP38" s="168"/>
      <c r="EKQ38" s="168"/>
      <c r="EKR38" s="168"/>
      <c r="EKS38" s="168"/>
      <c r="EKT38" s="168"/>
      <c r="EKU38" s="168"/>
      <c r="EKV38" s="168"/>
      <c r="EKW38" s="168"/>
      <c r="EKX38" s="168"/>
      <c r="EKY38" s="168"/>
      <c r="EKZ38" s="168"/>
      <c r="ELA38" s="168"/>
      <c r="ELB38" s="168"/>
      <c r="ELC38" s="168"/>
      <c r="ELD38" s="168"/>
      <c r="ELE38" s="168"/>
      <c r="ELF38" s="168"/>
      <c r="ELG38" s="168"/>
      <c r="ELH38" s="168"/>
      <c r="ELI38" s="168"/>
      <c r="ELJ38" s="168"/>
      <c r="ELK38" s="168"/>
      <c r="ELL38" s="168"/>
      <c r="ELM38" s="168"/>
      <c r="ELN38" s="168"/>
      <c r="ELO38" s="168"/>
      <c r="ELP38" s="168"/>
      <c r="ELQ38" s="168"/>
      <c r="ELR38" s="168"/>
      <c r="ELS38" s="168"/>
      <c r="ELT38" s="168"/>
      <c r="ELU38" s="168"/>
      <c r="ELV38" s="168"/>
      <c r="ELW38" s="168"/>
      <c r="ELX38" s="168"/>
      <c r="ELY38" s="168"/>
      <c r="ELZ38" s="168"/>
      <c r="EMA38" s="168"/>
      <c r="EMB38" s="168"/>
      <c r="EMC38" s="168"/>
      <c r="EMD38" s="168"/>
      <c r="EME38" s="168"/>
      <c r="EMF38" s="168"/>
      <c r="EMG38" s="168"/>
      <c r="EMH38" s="168"/>
      <c r="EMI38" s="168"/>
      <c r="EMJ38" s="168"/>
      <c r="EMK38" s="168"/>
      <c r="EML38" s="168"/>
      <c r="EMM38" s="168"/>
      <c r="EMN38" s="168"/>
      <c r="EMO38" s="168"/>
      <c r="EMP38" s="168"/>
      <c r="EMQ38" s="168"/>
      <c r="EMR38" s="168"/>
      <c r="EMS38" s="168"/>
      <c r="EMT38" s="168"/>
      <c r="EMU38" s="168"/>
      <c r="EMV38" s="168"/>
      <c r="EMW38" s="168"/>
      <c r="EMX38" s="168"/>
      <c r="EMY38" s="168"/>
      <c r="EMZ38" s="168"/>
      <c r="ENA38" s="168"/>
      <c r="ENB38" s="168"/>
      <c r="ENC38" s="168"/>
      <c r="END38" s="168"/>
      <c r="ENE38" s="168"/>
      <c r="ENF38" s="168"/>
      <c r="ENG38" s="168"/>
      <c r="ENH38" s="168"/>
      <c r="ENI38" s="168"/>
      <c r="ENJ38" s="168"/>
      <c r="ENK38" s="168"/>
      <c r="ENL38" s="168"/>
      <c r="ENM38" s="168"/>
      <c r="ENN38" s="168"/>
      <c r="ENO38" s="168"/>
      <c r="ENP38" s="168"/>
      <c r="ENQ38" s="168"/>
      <c r="ENR38" s="168"/>
      <c r="ENS38" s="168"/>
      <c r="ENT38" s="168"/>
      <c r="ENU38" s="168"/>
      <c r="ENV38" s="168"/>
      <c r="ENW38" s="168"/>
      <c r="ENX38" s="168"/>
      <c r="ENY38" s="168"/>
      <c r="ENZ38" s="168"/>
      <c r="EOA38" s="168"/>
      <c r="EOB38" s="168"/>
      <c r="EOC38" s="168"/>
      <c r="EOD38" s="168"/>
      <c r="EOE38" s="168"/>
      <c r="EOF38" s="168"/>
      <c r="EOG38" s="168"/>
      <c r="EOH38" s="168"/>
      <c r="EOI38" s="168"/>
      <c r="EOJ38" s="168"/>
      <c r="EOK38" s="168"/>
      <c r="EOL38" s="168"/>
      <c r="EOM38" s="168"/>
      <c r="EON38" s="168"/>
      <c r="EOO38" s="168"/>
      <c r="EOP38" s="168"/>
      <c r="EOQ38" s="168"/>
      <c r="EOR38" s="168"/>
      <c r="EOS38" s="168"/>
      <c r="EOT38" s="168"/>
      <c r="EOU38" s="168"/>
      <c r="EOV38" s="168"/>
      <c r="EOW38" s="168"/>
      <c r="EOX38" s="168"/>
      <c r="EOY38" s="168"/>
      <c r="EOZ38" s="168"/>
      <c r="EPA38" s="168"/>
      <c r="EPB38" s="168"/>
      <c r="EPC38" s="168"/>
      <c r="EPD38" s="168"/>
      <c r="EPE38" s="168"/>
      <c r="EPF38" s="168"/>
      <c r="EPG38" s="168"/>
      <c r="EPH38" s="168"/>
      <c r="EPI38" s="168"/>
      <c r="EPJ38" s="168"/>
      <c r="EPK38" s="168"/>
      <c r="EPL38" s="168"/>
      <c r="EPM38" s="168"/>
      <c r="EPN38" s="168"/>
      <c r="EPO38" s="168"/>
      <c r="EPP38" s="168"/>
      <c r="EPQ38" s="168"/>
      <c r="EPR38" s="168"/>
      <c r="EPS38" s="168"/>
      <c r="EPT38" s="168"/>
      <c r="EPU38" s="168"/>
      <c r="EPV38" s="168"/>
      <c r="EPW38" s="168"/>
      <c r="EPX38" s="168"/>
      <c r="EPY38" s="168"/>
      <c r="EPZ38" s="168"/>
      <c r="EQA38" s="168"/>
      <c r="EQB38" s="168"/>
      <c r="EQC38" s="168"/>
      <c r="EQD38" s="168"/>
      <c r="EQE38" s="168"/>
      <c r="EQF38" s="168"/>
      <c r="EQG38" s="168"/>
      <c r="EQH38" s="168"/>
      <c r="EQI38" s="168"/>
      <c r="EQJ38" s="168"/>
      <c r="EQK38" s="168"/>
      <c r="EQL38" s="168"/>
      <c r="EQM38" s="168"/>
      <c r="EQN38" s="168"/>
      <c r="EQO38" s="168"/>
      <c r="EQP38" s="168"/>
      <c r="EQQ38" s="168"/>
      <c r="EQR38" s="168"/>
      <c r="EQS38" s="168"/>
      <c r="EQT38" s="168"/>
      <c r="EQU38" s="168"/>
      <c r="EQV38" s="168"/>
      <c r="EQW38" s="168"/>
      <c r="EQX38" s="168"/>
      <c r="EQY38" s="168"/>
      <c r="EQZ38" s="168"/>
      <c r="ERA38" s="168"/>
      <c r="ERB38" s="168"/>
      <c r="ERC38" s="168"/>
      <c r="ERD38" s="168"/>
      <c r="ERE38" s="168"/>
      <c r="ERF38" s="168"/>
      <c r="ERG38" s="168"/>
      <c r="ERH38" s="168"/>
      <c r="ERI38" s="168"/>
      <c r="ERJ38" s="168"/>
      <c r="ERK38" s="168"/>
      <c r="ERL38" s="168"/>
      <c r="ERM38" s="168"/>
      <c r="ERN38" s="168"/>
      <c r="ERO38" s="168"/>
      <c r="ERP38" s="168"/>
      <c r="ERQ38" s="168"/>
      <c r="ERR38" s="168"/>
      <c r="ERS38" s="168"/>
      <c r="ERT38" s="168"/>
      <c r="ERU38" s="168"/>
      <c r="ERV38" s="168"/>
      <c r="ERW38" s="168"/>
      <c r="ERX38" s="168"/>
      <c r="ERY38" s="168"/>
      <c r="ERZ38" s="168"/>
      <c r="ESA38" s="168"/>
      <c r="ESB38" s="168"/>
      <c r="ESC38" s="168"/>
      <c r="ESD38" s="168"/>
      <c r="ESE38" s="168"/>
      <c r="ESF38" s="168"/>
      <c r="ESG38" s="168"/>
      <c r="ESH38" s="168"/>
      <c r="ESI38" s="168"/>
      <c r="ESJ38" s="168"/>
      <c r="ESK38" s="168"/>
      <c r="ESL38" s="168"/>
      <c r="ESM38" s="168"/>
      <c r="ESN38" s="168"/>
      <c r="ESO38" s="168"/>
      <c r="ESP38" s="168"/>
      <c r="ESQ38" s="168"/>
      <c r="ESR38" s="168"/>
      <c r="ESS38" s="168"/>
      <c r="EST38" s="168"/>
      <c r="ESU38" s="168"/>
      <c r="ESV38" s="168"/>
      <c r="ESW38" s="168"/>
      <c r="ESX38" s="168"/>
      <c r="ESY38" s="168"/>
      <c r="ESZ38" s="168"/>
      <c r="ETA38" s="168"/>
      <c r="ETB38" s="168"/>
      <c r="ETC38" s="168"/>
      <c r="ETD38" s="168"/>
      <c r="ETE38" s="168"/>
      <c r="ETF38" s="168"/>
      <c r="ETG38" s="168"/>
      <c r="ETH38" s="168"/>
      <c r="ETI38" s="168"/>
      <c r="ETJ38" s="168"/>
      <c r="ETK38" s="168"/>
      <c r="ETL38" s="168"/>
      <c r="ETM38" s="168"/>
      <c r="ETN38" s="168"/>
      <c r="ETO38" s="168"/>
      <c r="ETP38" s="168"/>
      <c r="ETQ38" s="168"/>
      <c r="ETR38" s="168"/>
      <c r="ETS38" s="168"/>
      <c r="ETT38" s="168"/>
      <c r="ETU38" s="168"/>
      <c r="ETV38" s="168"/>
      <c r="ETW38" s="168"/>
      <c r="ETX38" s="168"/>
      <c r="ETY38" s="168"/>
      <c r="ETZ38" s="168"/>
      <c r="EUA38" s="168"/>
      <c r="EUB38" s="168"/>
      <c r="EUC38" s="168"/>
      <c r="EUD38" s="168"/>
      <c r="EUE38" s="168"/>
      <c r="EUF38" s="168"/>
      <c r="EUG38" s="168"/>
      <c r="EUH38" s="168"/>
      <c r="EUI38" s="168"/>
      <c r="EUJ38" s="168"/>
      <c r="EUK38" s="168"/>
      <c r="EUL38" s="168"/>
      <c r="EUM38" s="168"/>
      <c r="EUN38" s="168"/>
      <c r="EUO38" s="168"/>
      <c r="EUP38" s="168"/>
      <c r="EUQ38" s="168"/>
      <c r="EUR38" s="168"/>
      <c r="EUS38" s="168"/>
      <c r="EUT38" s="168"/>
      <c r="EUU38" s="168"/>
      <c r="EUV38" s="168"/>
      <c r="EUW38" s="168"/>
      <c r="EUX38" s="168"/>
      <c r="EUY38" s="168"/>
      <c r="EUZ38" s="168"/>
      <c r="EVA38" s="168"/>
      <c r="EVB38" s="168"/>
      <c r="EVC38" s="168"/>
      <c r="EVD38" s="168"/>
      <c r="EVE38" s="168"/>
      <c r="EVF38" s="168"/>
      <c r="EVG38" s="168"/>
      <c r="EVH38" s="168"/>
      <c r="EVI38" s="168"/>
      <c r="EVJ38" s="168"/>
      <c r="EVK38" s="168"/>
      <c r="EVL38" s="168"/>
      <c r="EVM38" s="168"/>
      <c r="EVN38" s="168"/>
      <c r="EVO38" s="168"/>
      <c r="EVP38" s="168"/>
      <c r="EVQ38" s="168"/>
      <c r="EVR38" s="168"/>
      <c r="EVS38" s="168"/>
      <c r="EVT38" s="168"/>
      <c r="EVU38" s="168"/>
      <c r="EVV38" s="168"/>
      <c r="EVW38" s="168"/>
      <c r="EVX38" s="168"/>
      <c r="EVY38" s="168"/>
      <c r="EVZ38" s="168"/>
      <c r="EWA38" s="168"/>
      <c r="EWB38" s="168"/>
      <c r="EWC38" s="168"/>
      <c r="EWD38" s="168"/>
      <c r="EWE38" s="168"/>
      <c r="EWF38" s="168"/>
      <c r="EWG38" s="168"/>
      <c r="EWH38" s="168"/>
      <c r="EWI38" s="168"/>
      <c r="EWJ38" s="168"/>
      <c r="EWK38" s="168"/>
      <c r="EWL38" s="168"/>
      <c r="EWM38" s="168"/>
      <c r="EWN38" s="168"/>
      <c r="EWO38" s="168"/>
      <c r="EWP38" s="168"/>
      <c r="EWQ38" s="168"/>
      <c r="EWR38" s="168"/>
      <c r="EWS38" s="168"/>
      <c r="EWT38" s="168"/>
      <c r="EWU38" s="168"/>
      <c r="EWV38" s="168"/>
      <c r="EWW38" s="168"/>
      <c r="EWX38" s="168"/>
      <c r="EWY38" s="168"/>
      <c r="EWZ38" s="168"/>
      <c r="EXA38" s="168"/>
      <c r="EXB38" s="168"/>
      <c r="EXC38" s="168"/>
      <c r="EXD38" s="168"/>
      <c r="EXE38" s="168"/>
      <c r="EXF38" s="168"/>
      <c r="EXG38" s="168"/>
      <c r="EXH38" s="168"/>
      <c r="EXI38" s="168"/>
      <c r="EXJ38" s="168"/>
      <c r="EXK38" s="168"/>
      <c r="EXL38" s="168"/>
      <c r="EXM38" s="168"/>
      <c r="EXN38" s="168"/>
      <c r="EXO38" s="168"/>
      <c r="EXP38" s="168"/>
      <c r="EXQ38" s="168"/>
      <c r="EXR38" s="168"/>
      <c r="EXS38" s="168"/>
      <c r="EXT38" s="168"/>
      <c r="EXU38" s="168"/>
      <c r="EXV38" s="168"/>
      <c r="EXW38" s="168"/>
      <c r="EXX38" s="168"/>
      <c r="EXY38" s="168"/>
      <c r="EXZ38" s="168"/>
      <c r="EYA38" s="168"/>
      <c r="EYB38" s="168"/>
      <c r="EYC38" s="168"/>
      <c r="EYD38" s="168"/>
      <c r="EYE38" s="168"/>
      <c r="EYF38" s="168"/>
      <c r="EYG38" s="168"/>
      <c r="EYH38" s="168"/>
      <c r="EYI38" s="168"/>
      <c r="EYJ38" s="168"/>
      <c r="EYK38" s="168"/>
      <c r="EYL38" s="168"/>
      <c r="EYM38" s="168"/>
      <c r="EYN38" s="168"/>
      <c r="EYO38" s="168"/>
      <c r="EYP38" s="168"/>
      <c r="EYQ38" s="168"/>
      <c r="EYR38" s="168"/>
      <c r="EYS38" s="168"/>
      <c r="EYT38" s="168"/>
      <c r="EYU38" s="168"/>
      <c r="EYV38" s="168"/>
      <c r="EYW38" s="168"/>
      <c r="EYX38" s="168"/>
      <c r="EYY38" s="168"/>
      <c r="EYZ38" s="168"/>
      <c r="EZA38" s="168"/>
      <c r="EZB38" s="168"/>
      <c r="EZC38" s="168"/>
      <c r="EZD38" s="168"/>
      <c r="EZE38" s="168"/>
      <c r="EZF38" s="168"/>
      <c r="EZG38" s="168"/>
      <c r="EZH38" s="168"/>
      <c r="EZI38" s="168"/>
      <c r="EZJ38" s="168"/>
      <c r="EZK38" s="168"/>
      <c r="EZL38" s="168"/>
      <c r="EZM38" s="168"/>
      <c r="EZN38" s="168"/>
      <c r="EZO38" s="168"/>
      <c r="EZP38" s="168"/>
      <c r="EZQ38" s="168"/>
      <c r="EZR38" s="168"/>
      <c r="EZS38" s="168"/>
      <c r="EZT38" s="168"/>
      <c r="EZU38" s="168"/>
      <c r="EZV38" s="168"/>
      <c r="EZW38" s="168"/>
      <c r="EZX38" s="168"/>
      <c r="EZY38" s="168"/>
      <c r="EZZ38" s="168"/>
      <c r="FAA38" s="168"/>
      <c r="FAB38" s="168"/>
      <c r="FAC38" s="168"/>
      <c r="FAD38" s="168"/>
      <c r="FAE38" s="168"/>
      <c r="FAF38" s="168"/>
      <c r="FAG38" s="168"/>
      <c r="FAH38" s="168"/>
      <c r="FAI38" s="168"/>
      <c r="FAJ38" s="168"/>
      <c r="FAK38" s="168"/>
      <c r="FAL38" s="168"/>
      <c r="FAM38" s="168"/>
      <c r="FAN38" s="168"/>
      <c r="FAO38" s="168"/>
      <c r="FAP38" s="168"/>
      <c r="FAQ38" s="168"/>
      <c r="FAR38" s="168"/>
      <c r="FAS38" s="168"/>
      <c r="FAT38" s="168"/>
      <c r="FAU38" s="168"/>
      <c r="FAV38" s="168"/>
      <c r="FAW38" s="168"/>
      <c r="FAX38" s="168"/>
      <c r="FAY38" s="168"/>
      <c r="FAZ38" s="168"/>
      <c r="FBA38" s="168"/>
      <c r="FBB38" s="168"/>
      <c r="FBC38" s="168"/>
      <c r="FBD38" s="168"/>
      <c r="FBE38" s="168"/>
      <c r="FBF38" s="168"/>
      <c r="FBG38" s="168"/>
      <c r="FBH38" s="168"/>
      <c r="FBI38" s="168"/>
      <c r="FBJ38" s="168"/>
      <c r="FBK38" s="168"/>
      <c r="FBL38" s="168"/>
      <c r="FBM38" s="168"/>
      <c r="FBN38" s="168"/>
      <c r="FBO38" s="168"/>
      <c r="FBP38" s="168"/>
      <c r="FBQ38" s="168"/>
      <c r="FBR38" s="168"/>
      <c r="FBS38" s="168"/>
      <c r="FBT38" s="168"/>
      <c r="FBU38" s="168"/>
      <c r="FBV38" s="168"/>
      <c r="FBW38" s="168"/>
      <c r="FBX38" s="168"/>
      <c r="FBY38" s="168"/>
      <c r="FBZ38" s="168"/>
      <c r="FCA38" s="168"/>
      <c r="FCB38" s="168"/>
      <c r="FCC38" s="168"/>
      <c r="FCD38" s="168"/>
      <c r="FCE38" s="168"/>
      <c r="FCF38" s="168"/>
      <c r="FCG38" s="168"/>
      <c r="FCH38" s="168"/>
      <c r="FCI38" s="168"/>
      <c r="FCJ38" s="168"/>
      <c r="FCK38" s="168"/>
      <c r="FCL38" s="168"/>
      <c r="FCM38" s="168"/>
      <c r="FCN38" s="168"/>
      <c r="FCO38" s="168"/>
      <c r="FCP38" s="168"/>
      <c r="FCQ38" s="168"/>
      <c r="FCR38" s="168"/>
      <c r="FCS38" s="168"/>
      <c r="FCT38" s="168"/>
      <c r="FCU38" s="168"/>
      <c r="FCV38" s="168"/>
      <c r="FCW38" s="168"/>
      <c r="FCX38" s="168"/>
      <c r="FCY38" s="168"/>
      <c r="FCZ38" s="168"/>
      <c r="FDA38" s="168"/>
      <c r="FDB38" s="168"/>
      <c r="FDC38" s="168"/>
      <c r="FDD38" s="168"/>
      <c r="FDE38" s="168"/>
      <c r="FDF38" s="168"/>
      <c r="FDG38" s="168"/>
      <c r="FDH38" s="168"/>
      <c r="FDI38" s="168"/>
      <c r="FDJ38" s="168"/>
      <c r="FDK38" s="168"/>
      <c r="FDL38" s="168"/>
      <c r="FDM38" s="168"/>
      <c r="FDN38" s="168"/>
      <c r="FDO38" s="168"/>
      <c r="FDP38" s="168"/>
      <c r="FDQ38" s="168"/>
      <c r="FDR38" s="168"/>
      <c r="FDS38" s="168"/>
      <c r="FDT38" s="168"/>
      <c r="FDU38" s="168"/>
      <c r="FDV38" s="168"/>
      <c r="FDW38" s="168"/>
      <c r="FDX38" s="168"/>
      <c r="FDY38" s="168"/>
      <c r="FDZ38" s="168"/>
      <c r="FEA38" s="168"/>
      <c r="FEB38" s="168"/>
      <c r="FEC38" s="168"/>
      <c r="FED38" s="168"/>
      <c r="FEE38" s="168"/>
      <c r="FEF38" s="168"/>
      <c r="FEG38" s="168"/>
      <c r="FEH38" s="168"/>
      <c r="FEI38" s="168"/>
      <c r="FEJ38" s="168"/>
      <c r="FEK38" s="168"/>
      <c r="FEL38" s="168"/>
      <c r="FEM38" s="168"/>
      <c r="FEN38" s="168"/>
      <c r="FEO38" s="168"/>
      <c r="FEP38" s="168"/>
      <c r="FEQ38" s="168"/>
      <c r="FER38" s="168"/>
      <c r="FES38" s="168"/>
      <c r="FET38" s="168"/>
      <c r="FEU38" s="168"/>
      <c r="FEV38" s="168"/>
      <c r="FEW38" s="168"/>
      <c r="FEX38" s="168"/>
      <c r="FEY38" s="168"/>
      <c r="FEZ38" s="168"/>
      <c r="FFA38" s="168"/>
      <c r="FFB38" s="168"/>
      <c r="FFC38" s="168"/>
      <c r="FFD38" s="168"/>
      <c r="FFE38" s="168"/>
      <c r="FFF38" s="168"/>
      <c r="FFG38" s="168"/>
      <c r="FFH38" s="168"/>
      <c r="FFI38" s="168"/>
      <c r="FFJ38" s="168"/>
      <c r="FFK38" s="168"/>
      <c r="FFL38" s="168"/>
      <c r="FFM38" s="168"/>
      <c r="FFN38" s="168"/>
      <c r="FFO38" s="168"/>
      <c r="FFP38" s="168"/>
      <c r="FFQ38" s="168"/>
      <c r="FFR38" s="168"/>
      <c r="FFS38" s="168"/>
      <c r="FFT38" s="168"/>
      <c r="FFU38" s="168"/>
      <c r="FFV38" s="168"/>
      <c r="FFW38" s="168"/>
      <c r="FFX38" s="168"/>
      <c r="FFY38" s="168"/>
      <c r="FFZ38" s="168"/>
      <c r="FGA38" s="168"/>
      <c r="FGB38" s="168"/>
      <c r="FGC38" s="168"/>
      <c r="FGD38" s="168"/>
      <c r="FGE38" s="168"/>
      <c r="FGF38" s="168"/>
      <c r="FGG38" s="168"/>
      <c r="FGH38" s="168"/>
      <c r="FGI38" s="168"/>
      <c r="FGJ38" s="168"/>
      <c r="FGK38" s="168"/>
      <c r="FGL38" s="168"/>
      <c r="FGM38" s="168"/>
      <c r="FGN38" s="168"/>
      <c r="FGO38" s="168"/>
      <c r="FGP38" s="168"/>
      <c r="FGQ38" s="168"/>
      <c r="FGR38" s="168"/>
      <c r="FGS38" s="168"/>
      <c r="FGT38" s="168"/>
      <c r="FGU38" s="168"/>
      <c r="FGV38" s="168"/>
      <c r="FGW38" s="168"/>
      <c r="FGX38" s="168"/>
      <c r="FGY38" s="168"/>
      <c r="FGZ38" s="168"/>
      <c r="FHA38" s="168"/>
      <c r="FHB38" s="168"/>
      <c r="FHC38" s="168"/>
      <c r="FHD38" s="168"/>
      <c r="FHE38" s="168"/>
      <c r="FHF38" s="168"/>
      <c r="FHG38" s="168"/>
      <c r="FHH38" s="168"/>
      <c r="FHI38" s="168"/>
      <c r="FHJ38" s="168"/>
      <c r="FHK38" s="168"/>
      <c r="FHL38" s="168"/>
      <c r="FHM38" s="168"/>
      <c r="FHN38" s="168"/>
      <c r="FHO38" s="168"/>
      <c r="FHP38" s="168"/>
      <c r="FHQ38" s="168"/>
      <c r="FHR38" s="168"/>
      <c r="FHS38" s="168"/>
      <c r="FHT38" s="168"/>
      <c r="FHU38" s="168"/>
      <c r="FHV38" s="168"/>
      <c r="FHW38" s="168"/>
      <c r="FHX38" s="168"/>
      <c r="FHY38" s="168"/>
      <c r="FHZ38" s="168"/>
      <c r="FIA38" s="168"/>
      <c r="FIB38" s="168"/>
      <c r="FIC38" s="168"/>
      <c r="FID38" s="168"/>
      <c r="FIE38" s="168"/>
      <c r="FIF38" s="168"/>
      <c r="FIG38" s="168"/>
      <c r="FIH38" s="168"/>
      <c r="FII38" s="168"/>
      <c r="FIJ38" s="168"/>
      <c r="FIK38" s="168"/>
      <c r="FIL38" s="168"/>
      <c r="FIM38" s="168"/>
      <c r="FIN38" s="168"/>
      <c r="FIO38" s="168"/>
      <c r="FIP38" s="168"/>
      <c r="FIQ38" s="168"/>
      <c r="FIR38" s="168"/>
      <c r="FIS38" s="168"/>
      <c r="FIT38" s="168"/>
      <c r="FIU38" s="168"/>
      <c r="FIV38" s="168"/>
      <c r="FIW38" s="168"/>
      <c r="FIX38" s="168"/>
      <c r="FIY38" s="168"/>
      <c r="FIZ38" s="168"/>
      <c r="FJA38" s="168"/>
      <c r="FJB38" s="168"/>
      <c r="FJC38" s="168"/>
      <c r="FJD38" s="168"/>
      <c r="FJE38" s="168"/>
      <c r="FJF38" s="168"/>
      <c r="FJG38" s="168"/>
      <c r="FJH38" s="168"/>
      <c r="FJI38" s="168"/>
      <c r="FJJ38" s="168"/>
      <c r="FJK38" s="168"/>
      <c r="FJL38" s="168"/>
      <c r="FJM38" s="168"/>
      <c r="FJN38" s="168"/>
      <c r="FJO38" s="168"/>
      <c r="FJP38" s="168"/>
      <c r="FJQ38" s="168"/>
      <c r="FJR38" s="168"/>
      <c r="FJS38" s="168"/>
      <c r="FJT38" s="168"/>
      <c r="FJU38" s="168"/>
      <c r="FJV38" s="168"/>
      <c r="FJW38" s="168"/>
      <c r="FJX38" s="168"/>
      <c r="FJY38" s="168"/>
      <c r="FJZ38" s="168"/>
      <c r="FKA38" s="168"/>
      <c r="FKB38" s="168"/>
      <c r="FKC38" s="168"/>
      <c r="FKD38" s="168"/>
      <c r="FKE38" s="168"/>
      <c r="FKF38" s="168"/>
      <c r="FKG38" s="168"/>
      <c r="FKH38" s="168"/>
      <c r="FKI38" s="168"/>
      <c r="FKJ38" s="168"/>
      <c r="FKK38" s="168"/>
      <c r="FKL38" s="168"/>
      <c r="FKM38" s="168"/>
      <c r="FKN38" s="168"/>
      <c r="FKO38" s="168"/>
      <c r="FKP38" s="168"/>
      <c r="FKQ38" s="168"/>
      <c r="FKR38" s="168"/>
      <c r="FKS38" s="168"/>
      <c r="FKT38" s="168"/>
      <c r="FKU38" s="168"/>
      <c r="FKV38" s="168"/>
      <c r="FKW38" s="168"/>
      <c r="FKX38" s="168"/>
      <c r="FKY38" s="168"/>
      <c r="FKZ38" s="168"/>
      <c r="FLA38" s="168"/>
      <c r="FLB38" s="168"/>
      <c r="FLC38" s="168"/>
      <c r="FLD38" s="168"/>
      <c r="FLE38" s="168"/>
      <c r="FLF38" s="168"/>
      <c r="FLG38" s="168"/>
      <c r="FLH38" s="168"/>
      <c r="FLI38" s="168"/>
      <c r="FLJ38" s="168"/>
      <c r="FLK38" s="168"/>
      <c r="FLL38" s="168"/>
      <c r="FLM38" s="168"/>
      <c r="FLN38" s="168"/>
      <c r="FLO38" s="168"/>
      <c r="FLP38" s="168"/>
      <c r="FLQ38" s="168"/>
      <c r="FLR38" s="168"/>
      <c r="FLS38" s="168"/>
      <c r="FLT38" s="168"/>
      <c r="FLU38" s="168"/>
      <c r="FLV38" s="168"/>
      <c r="FLW38" s="168"/>
      <c r="FLX38" s="168"/>
      <c r="FLY38" s="168"/>
      <c r="FLZ38" s="168"/>
      <c r="FMA38" s="168"/>
      <c r="FMB38" s="168"/>
      <c r="FMC38" s="168"/>
      <c r="FMD38" s="168"/>
      <c r="FME38" s="168"/>
      <c r="FMF38" s="168"/>
      <c r="FMG38" s="168"/>
      <c r="FMH38" s="168"/>
      <c r="FMI38" s="168"/>
      <c r="FMJ38" s="168"/>
      <c r="FMK38" s="168"/>
      <c r="FML38" s="168"/>
      <c r="FMM38" s="168"/>
      <c r="FMN38" s="168"/>
      <c r="FMO38" s="168"/>
      <c r="FMP38" s="168"/>
      <c r="FMQ38" s="168"/>
      <c r="FMR38" s="168"/>
      <c r="FMS38" s="168"/>
      <c r="FMT38" s="168"/>
      <c r="FMU38" s="168"/>
      <c r="FMV38" s="168"/>
      <c r="FMW38" s="168"/>
      <c r="FMX38" s="168"/>
      <c r="FMY38" s="168"/>
      <c r="FMZ38" s="168"/>
      <c r="FNA38" s="168"/>
      <c r="FNB38" s="168"/>
      <c r="FNC38" s="168"/>
      <c r="FND38" s="168"/>
      <c r="FNE38" s="168"/>
      <c r="FNF38" s="168"/>
      <c r="FNG38" s="168"/>
      <c r="FNH38" s="168"/>
      <c r="FNI38" s="168"/>
      <c r="FNJ38" s="168"/>
      <c r="FNK38" s="168"/>
      <c r="FNL38" s="168"/>
      <c r="FNM38" s="168"/>
      <c r="FNN38" s="168"/>
      <c r="FNO38" s="168"/>
      <c r="FNP38" s="168"/>
      <c r="FNQ38" s="168"/>
      <c r="FNR38" s="168"/>
      <c r="FNS38" s="168"/>
      <c r="FNT38" s="168"/>
      <c r="FNU38" s="168"/>
      <c r="FNV38" s="168"/>
      <c r="FNW38" s="168"/>
      <c r="FNX38" s="168"/>
      <c r="FNY38" s="168"/>
      <c r="FNZ38" s="168"/>
      <c r="FOA38" s="168"/>
      <c r="FOB38" s="168"/>
      <c r="FOC38" s="168"/>
      <c r="FOD38" s="168"/>
      <c r="FOE38" s="168"/>
      <c r="FOF38" s="168"/>
      <c r="FOG38" s="168"/>
      <c r="FOH38" s="168"/>
      <c r="FOI38" s="168"/>
      <c r="FOJ38" s="168"/>
      <c r="FOK38" s="168"/>
      <c r="FOL38" s="168"/>
      <c r="FOM38" s="168"/>
      <c r="FON38" s="168"/>
      <c r="FOO38" s="168"/>
      <c r="FOP38" s="168"/>
      <c r="FOQ38" s="168"/>
      <c r="FOR38" s="168"/>
      <c r="FOS38" s="168"/>
      <c r="FOT38" s="168"/>
      <c r="FOU38" s="168"/>
      <c r="FOV38" s="168"/>
      <c r="FOW38" s="168"/>
      <c r="FOX38" s="168"/>
      <c r="FOY38" s="168"/>
      <c r="FOZ38" s="168"/>
      <c r="FPA38" s="168"/>
      <c r="FPB38" s="168"/>
      <c r="FPC38" s="168"/>
      <c r="FPD38" s="168"/>
      <c r="FPE38" s="168"/>
      <c r="FPF38" s="168"/>
      <c r="FPG38" s="168"/>
      <c r="FPH38" s="168"/>
      <c r="FPI38" s="168"/>
      <c r="FPJ38" s="168"/>
      <c r="FPK38" s="168"/>
      <c r="FPL38" s="168"/>
      <c r="FPM38" s="168"/>
      <c r="FPN38" s="168"/>
      <c r="FPO38" s="168"/>
      <c r="FPP38" s="168"/>
      <c r="FPQ38" s="168"/>
      <c r="FPR38" s="168"/>
      <c r="FPS38" s="168"/>
      <c r="FPT38" s="168"/>
      <c r="FPU38" s="168"/>
      <c r="FPV38" s="168"/>
      <c r="FPW38" s="168"/>
      <c r="FPX38" s="168"/>
      <c r="FPY38" s="168"/>
      <c r="FPZ38" s="168"/>
      <c r="FQA38" s="168"/>
      <c r="FQB38" s="168"/>
      <c r="FQC38" s="168"/>
      <c r="FQD38" s="168"/>
      <c r="FQE38" s="168"/>
      <c r="FQF38" s="168"/>
      <c r="FQG38" s="168"/>
      <c r="FQH38" s="168"/>
      <c r="FQI38" s="168"/>
      <c r="FQJ38" s="168"/>
      <c r="FQK38" s="168"/>
      <c r="FQL38" s="168"/>
      <c r="FQM38" s="168"/>
      <c r="FQN38" s="168"/>
      <c r="FQO38" s="168"/>
      <c r="FQP38" s="168"/>
      <c r="FQQ38" s="168"/>
      <c r="FQR38" s="168"/>
      <c r="FQS38" s="168"/>
      <c r="FQT38" s="168"/>
      <c r="FQU38" s="168"/>
      <c r="FQV38" s="168"/>
      <c r="FQW38" s="168"/>
      <c r="FQX38" s="168"/>
      <c r="FQY38" s="168"/>
      <c r="FQZ38" s="168"/>
      <c r="FRA38" s="168"/>
      <c r="FRB38" s="168"/>
      <c r="FRC38" s="168"/>
      <c r="FRD38" s="168"/>
      <c r="FRE38" s="168"/>
      <c r="FRF38" s="168"/>
      <c r="FRG38" s="168"/>
      <c r="FRH38" s="168"/>
      <c r="FRI38" s="168"/>
      <c r="FRJ38" s="168"/>
      <c r="FRK38" s="168"/>
      <c r="FRL38" s="168"/>
      <c r="FRM38" s="168"/>
      <c r="FRN38" s="168"/>
      <c r="FRO38" s="168"/>
      <c r="FRP38" s="168"/>
      <c r="FRQ38" s="168"/>
      <c r="FRR38" s="168"/>
      <c r="FRS38" s="168"/>
      <c r="FRT38" s="168"/>
      <c r="FRU38" s="168"/>
      <c r="FRV38" s="168"/>
      <c r="FRW38" s="168"/>
      <c r="FRX38" s="168"/>
      <c r="FRY38" s="168"/>
      <c r="FRZ38" s="168"/>
      <c r="FSA38" s="168"/>
      <c r="FSB38" s="168"/>
      <c r="FSC38" s="168"/>
      <c r="FSD38" s="168"/>
      <c r="FSE38" s="168"/>
      <c r="FSF38" s="168"/>
      <c r="FSG38" s="168"/>
      <c r="FSH38" s="168"/>
      <c r="FSI38" s="168"/>
      <c r="FSJ38" s="168"/>
      <c r="FSK38" s="168"/>
      <c r="FSL38" s="168"/>
      <c r="FSM38" s="168"/>
      <c r="FSN38" s="168"/>
      <c r="FSO38" s="168"/>
      <c r="FSP38" s="168"/>
      <c r="FSQ38" s="168"/>
      <c r="FSR38" s="168"/>
      <c r="FSS38" s="168"/>
      <c r="FST38" s="168"/>
      <c r="FSU38" s="168"/>
      <c r="FSV38" s="168"/>
      <c r="FSW38" s="168"/>
      <c r="FSX38" s="168"/>
      <c r="FSY38" s="168"/>
      <c r="FSZ38" s="168"/>
      <c r="FTA38" s="168"/>
      <c r="FTB38" s="168"/>
      <c r="FTC38" s="168"/>
      <c r="FTD38" s="168"/>
      <c r="FTE38" s="168"/>
      <c r="FTF38" s="168"/>
      <c r="FTG38" s="168"/>
      <c r="FTH38" s="168"/>
      <c r="FTI38" s="168"/>
      <c r="FTJ38" s="168"/>
      <c r="FTK38" s="168"/>
      <c r="FTL38" s="168"/>
      <c r="FTM38" s="168"/>
      <c r="FTN38" s="168"/>
      <c r="FTO38" s="168"/>
      <c r="FTP38" s="168"/>
      <c r="FTQ38" s="168"/>
      <c r="FTR38" s="168"/>
      <c r="FTS38" s="168"/>
      <c r="FTT38" s="168"/>
      <c r="FTU38" s="168"/>
      <c r="FTV38" s="168"/>
      <c r="FTW38" s="168"/>
      <c r="FTX38" s="168"/>
      <c r="FTY38" s="168"/>
      <c r="FTZ38" s="168"/>
      <c r="FUA38" s="168"/>
      <c r="FUB38" s="168"/>
      <c r="FUC38" s="168"/>
      <c r="FUD38" s="168"/>
      <c r="FUE38" s="168"/>
      <c r="FUF38" s="168"/>
      <c r="FUG38" s="168"/>
      <c r="FUH38" s="168"/>
      <c r="FUI38" s="168"/>
      <c r="FUJ38" s="168"/>
      <c r="FUK38" s="168"/>
      <c r="FUL38" s="168"/>
      <c r="FUM38" s="168"/>
      <c r="FUN38" s="168"/>
      <c r="FUO38" s="168"/>
      <c r="FUP38" s="168"/>
      <c r="FUQ38" s="168"/>
      <c r="FUR38" s="168"/>
      <c r="FUS38" s="168"/>
      <c r="FUT38" s="168"/>
      <c r="FUU38" s="168"/>
      <c r="FUV38" s="168"/>
      <c r="FUW38" s="168"/>
      <c r="FUX38" s="168"/>
      <c r="FUY38" s="168"/>
      <c r="FUZ38" s="168"/>
      <c r="FVA38" s="168"/>
      <c r="FVB38" s="168"/>
      <c r="FVC38" s="168"/>
      <c r="FVD38" s="168"/>
      <c r="FVE38" s="168"/>
      <c r="FVF38" s="168"/>
      <c r="FVG38" s="168"/>
      <c r="FVH38" s="168"/>
      <c r="FVI38" s="168"/>
      <c r="FVJ38" s="168"/>
      <c r="FVK38" s="168"/>
      <c r="FVL38" s="168"/>
      <c r="FVM38" s="168"/>
      <c r="FVN38" s="168"/>
      <c r="FVO38" s="168"/>
      <c r="FVP38" s="168"/>
      <c r="FVQ38" s="168"/>
      <c r="FVR38" s="168"/>
      <c r="FVS38" s="168"/>
      <c r="FVT38" s="168"/>
      <c r="FVU38" s="168"/>
      <c r="FVV38" s="168"/>
      <c r="FVW38" s="168"/>
      <c r="FVX38" s="168"/>
      <c r="FVY38" s="168"/>
      <c r="FVZ38" s="168"/>
      <c r="FWA38" s="168"/>
      <c r="FWB38" s="168"/>
      <c r="FWC38" s="168"/>
      <c r="FWD38" s="168"/>
      <c r="FWE38" s="168"/>
      <c r="FWF38" s="168"/>
      <c r="FWG38" s="168"/>
      <c r="FWH38" s="168"/>
      <c r="FWI38" s="168"/>
      <c r="FWJ38" s="168"/>
      <c r="FWK38" s="168"/>
      <c r="FWL38" s="168"/>
      <c r="FWM38" s="168"/>
      <c r="FWN38" s="168"/>
      <c r="FWO38" s="168"/>
      <c r="FWP38" s="168"/>
      <c r="FWQ38" s="168"/>
      <c r="FWR38" s="168"/>
      <c r="FWS38" s="168"/>
      <c r="FWT38" s="168"/>
      <c r="FWU38" s="168"/>
      <c r="FWV38" s="168"/>
      <c r="FWW38" s="168"/>
      <c r="FWX38" s="168"/>
      <c r="FWY38" s="168"/>
      <c r="FWZ38" s="168"/>
      <c r="FXA38" s="168"/>
      <c r="FXB38" s="168"/>
      <c r="FXC38" s="168"/>
      <c r="FXD38" s="168"/>
      <c r="FXE38" s="168"/>
      <c r="FXF38" s="168"/>
      <c r="FXG38" s="168"/>
      <c r="FXH38" s="168"/>
      <c r="FXI38" s="168"/>
      <c r="FXJ38" s="168"/>
      <c r="FXK38" s="168"/>
      <c r="FXL38" s="168"/>
      <c r="FXM38" s="168"/>
      <c r="FXN38" s="168"/>
      <c r="FXO38" s="168"/>
      <c r="FXP38" s="168"/>
      <c r="FXQ38" s="168"/>
      <c r="FXR38" s="168"/>
      <c r="FXS38" s="168"/>
      <c r="FXT38" s="168"/>
      <c r="FXU38" s="168"/>
      <c r="FXV38" s="168"/>
      <c r="FXW38" s="168"/>
      <c r="FXX38" s="168"/>
      <c r="FXY38" s="168"/>
      <c r="FXZ38" s="168"/>
      <c r="FYA38" s="168"/>
      <c r="FYB38" s="168"/>
      <c r="FYC38" s="168"/>
      <c r="FYD38" s="168"/>
      <c r="FYE38" s="168"/>
      <c r="FYF38" s="168"/>
      <c r="FYG38" s="168"/>
      <c r="FYH38" s="168"/>
      <c r="FYI38" s="168"/>
      <c r="FYJ38" s="168"/>
      <c r="FYK38" s="168"/>
      <c r="FYL38" s="168"/>
      <c r="FYM38" s="168"/>
      <c r="FYN38" s="168"/>
      <c r="FYO38" s="168"/>
      <c r="FYP38" s="168"/>
      <c r="FYQ38" s="168"/>
      <c r="FYR38" s="168"/>
      <c r="FYS38" s="168"/>
      <c r="FYT38" s="168"/>
      <c r="FYU38" s="168"/>
      <c r="FYV38" s="168"/>
      <c r="FYW38" s="168"/>
      <c r="FYX38" s="168"/>
      <c r="FYY38" s="168"/>
      <c r="FYZ38" s="168"/>
      <c r="FZA38" s="168"/>
      <c r="FZB38" s="168"/>
      <c r="FZC38" s="168"/>
      <c r="FZD38" s="168"/>
      <c r="FZE38" s="168"/>
      <c r="FZF38" s="168"/>
      <c r="FZG38" s="168"/>
      <c r="FZH38" s="168"/>
      <c r="FZI38" s="168"/>
      <c r="FZJ38" s="168"/>
      <c r="FZK38" s="168"/>
      <c r="FZL38" s="168"/>
      <c r="FZM38" s="168"/>
      <c r="FZN38" s="168"/>
      <c r="FZO38" s="168"/>
      <c r="FZP38" s="168"/>
      <c r="FZQ38" s="168"/>
      <c r="FZR38" s="168"/>
      <c r="FZS38" s="168"/>
      <c r="FZT38" s="168"/>
      <c r="FZU38" s="168"/>
      <c r="FZV38" s="168"/>
      <c r="FZW38" s="168"/>
      <c r="FZX38" s="168"/>
      <c r="FZY38" s="168"/>
      <c r="FZZ38" s="168"/>
      <c r="GAA38" s="168"/>
      <c r="GAB38" s="168"/>
      <c r="GAC38" s="168"/>
      <c r="GAD38" s="168"/>
      <c r="GAE38" s="168"/>
      <c r="GAF38" s="168"/>
      <c r="GAG38" s="168"/>
      <c r="GAH38" s="168"/>
      <c r="GAI38" s="168"/>
      <c r="GAJ38" s="168"/>
      <c r="GAK38" s="168"/>
      <c r="GAL38" s="168"/>
      <c r="GAM38" s="168"/>
      <c r="GAN38" s="168"/>
      <c r="GAO38" s="168"/>
      <c r="GAP38" s="168"/>
      <c r="GAQ38" s="168"/>
      <c r="GAR38" s="168"/>
      <c r="GAS38" s="168"/>
      <c r="GAT38" s="168"/>
      <c r="GAU38" s="168"/>
      <c r="GAV38" s="168"/>
      <c r="GAW38" s="168"/>
      <c r="GAX38" s="168"/>
      <c r="GAY38" s="168"/>
      <c r="GAZ38" s="168"/>
      <c r="GBA38" s="168"/>
      <c r="GBB38" s="168"/>
      <c r="GBC38" s="168"/>
      <c r="GBD38" s="168"/>
      <c r="GBE38" s="168"/>
      <c r="GBF38" s="168"/>
      <c r="GBG38" s="168"/>
      <c r="GBH38" s="168"/>
      <c r="GBI38" s="168"/>
      <c r="GBJ38" s="168"/>
      <c r="GBK38" s="168"/>
      <c r="GBL38" s="168"/>
      <c r="GBM38" s="168"/>
      <c r="GBN38" s="168"/>
      <c r="GBO38" s="168"/>
      <c r="GBP38" s="168"/>
      <c r="GBQ38" s="168"/>
      <c r="GBR38" s="168"/>
      <c r="GBS38" s="168"/>
      <c r="GBT38" s="168"/>
      <c r="GBU38" s="168"/>
      <c r="GBV38" s="168"/>
      <c r="GBW38" s="168"/>
      <c r="GBX38" s="168"/>
      <c r="GBY38" s="168"/>
      <c r="GBZ38" s="168"/>
      <c r="GCA38" s="168"/>
      <c r="GCB38" s="168"/>
      <c r="GCC38" s="168"/>
      <c r="GCD38" s="168"/>
      <c r="GCE38" s="168"/>
      <c r="GCF38" s="168"/>
      <c r="GCG38" s="168"/>
      <c r="GCH38" s="168"/>
      <c r="GCI38" s="168"/>
      <c r="GCJ38" s="168"/>
      <c r="GCK38" s="168"/>
      <c r="GCL38" s="168"/>
      <c r="GCM38" s="168"/>
      <c r="GCN38" s="168"/>
      <c r="GCO38" s="168"/>
      <c r="GCP38" s="168"/>
      <c r="GCQ38" s="168"/>
      <c r="GCR38" s="168"/>
      <c r="GCS38" s="168"/>
      <c r="GCT38" s="168"/>
      <c r="GCU38" s="168"/>
      <c r="GCV38" s="168"/>
      <c r="GCW38" s="168"/>
      <c r="GCX38" s="168"/>
      <c r="GCY38" s="168"/>
      <c r="GCZ38" s="168"/>
      <c r="GDA38" s="168"/>
      <c r="GDB38" s="168"/>
      <c r="GDC38" s="168"/>
      <c r="GDD38" s="168"/>
      <c r="GDE38" s="168"/>
      <c r="GDF38" s="168"/>
      <c r="GDG38" s="168"/>
      <c r="GDH38" s="168"/>
      <c r="GDI38" s="168"/>
      <c r="GDJ38" s="168"/>
      <c r="GDK38" s="168"/>
      <c r="GDL38" s="168"/>
      <c r="GDM38" s="168"/>
      <c r="GDN38" s="168"/>
      <c r="GDO38" s="168"/>
      <c r="GDP38" s="168"/>
      <c r="GDQ38" s="168"/>
      <c r="GDR38" s="168"/>
      <c r="GDS38" s="168"/>
      <c r="GDT38" s="168"/>
      <c r="GDU38" s="168"/>
      <c r="GDV38" s="168"/>
      <c r="GDW38" s="168"/>
      <c r="GDX38" s="168"/>
      <c r="GDY38" s="168"/>
      <c r="GDZ38" s="168"/>
      <c r="GEA38" s="168"/>
      <c r="GEB38" s="168"/>
      <c r="GEC38" s="168"/>
      <c r="GED38" s="168"/>
      <c r="GEE38" s="168"/>
      <c r="GEF38" s="168"/>
      <c r="GEG38" s="168"/>
      <c r="GEH38" s="168"/>
      <c r="GEI38" s="168"/>
      <c r="GEJ38" s="168"/>
      <c r="GEK38" s="168"/>
      <c r="GEL38" s="168"/>
      <c r="GEM38" s="168"/>
      <c r="GEN38" s="168"/>
      <c r="GEO38" s="168"/>
      <c r="GEP38" s="168"/>
      <c r="GEQ38" s="168"/>
      <c r="GER38" s="168"/>
      <c r="GES38" s="168"/>
      <c r="GET38" s="168"/>
      <c r="GEU38" s="168"/>
      <c r="GEV38" s="168"/>
      <c r="GEW38" s="168"/>
      <c r="GEX38" s="168"/>
      <c r="GEY38" s="168"/>
      <c r="GEZ38" s="168"/>
      <c r="GFA38" s="168"/>
      <c r="GFB38" s="168"/>
      <c r="GFC38" s="168"/>
      <c r="GFD38" s="168"/>
      <c r="GFE38" s="168"/>
      <c r="GFF38" s="168"/>
      <c r="GFG38" s="168"/>
      <c r="GFH38" s="168"/>
      <c r="GFI38" s="168"/>
      <c r="GFJ38" s="168"/>
      <c r="GFK38" s="168"/>
      <c r="GFL38" s="168"/>
      <c r="GFM38" s="168"/>
      <c r="GFN38" s="168"/>
      <c r="GFO38" s="168"/>
      <c r="GFP38" s="168"/>
      <c r="GFQ38" s="168"/>
      <c r="GFR38" s="168"/>
      <c r="GFS38" s="168"/>
      <c r="GFT38" s="168"/>
      <c r="GFU38" s="168"/>
      <c r="GFV38" s="168"/>
      <c r="GFW38" s="168"/>
      <c r="GFX38" s="168"/>
      <c r="GFY38" s="168"/>
      <c r="GFZ38" s="168"/>
      <c r="GGA38" s="168"/>
      <c r="GGB38" s="168"/>
      <c r="GGC38" s="168"/>
      <c r="GGD38" s="168"/>
      <c r="GGE38" s="168"/>
      <c r="GGF38" s="168"/>
      <c r="GGG38" s="168"/>
      <c r="GGH38" s="168"/>
      <c r="GGI38" s="168"/>
      <c r="GGJ38" s="168"/>
      <c r="GGK38" s="168"/>
      <c r="GGL38" s="168"/>
      <c r="GGM38" s="168"/>
      <c r="GGN38" s="168"/>
      <c r="GGO38" s="168"/>
      <c r="GGP38" s="168"/>
      <c r="GGQ38" s="168"/>
      <c r="GGR38" s="168"/>
      <c r="GGS38" s="168"/>
      <c r="GGT38" s="168"/>
      <c r="GGU38" s="168"/>
      <c r="GGV38" s="168"/>
      <c r="GGW38" s="168"/>
      <c r="GGX38" s="168"/>
      <c r="GGY38" s="168"/>
      <c r="GGZ38" s="168"/>
      <c r="GHA38" s="168"/>
      <c r="GHB38" s="168"/>
      <c r="GHC38" s="168"/>
      <c r="GHD38" s="168"/>
      <c r="GHE38" s="168"/>
      <c r="GHF38" s="168"/>
      <c r="GHG38" s="168"/>
      <c r="GHH38" s="168"/>
      <c r="GHI38" s="168"/>
      <c r="GHJ38" s="168"/>
      <c r="GHK38" s="168"/>
      <c r="GHL38" s="168"/>
      <c r="GHM38" s="168"/>
      <c r="GHN38" s="168"/>
      <c r="GHO38" s="168"/>
      <c r="GHP38" s="168"/>
      <c r="GHQ38" s="168"/>
      <c r="GHR38" s="168"/>
      <c r="GHS38" s="168"/>
      <c r="GHT38" s="168"/>
      <c r="GHU38" s="168"/>
      <c r="GHV38" s="168"/>
      <c r="GHW38" s="168"/>
      <c r="GHX38" s="168"/>
      <c r="GHY38" s="168"/>
      <c r="GHZ38" s="168"/>
      <c r="GIA38" s="168"/>
      <c r="GIB38" s="168"/>
      <c r="GIC38" s="168"/>
      <c r="GID38" s="168"/>
      <c r="GIE38" s="168"/>
      <c r="GIF38" s="168"/>
      <c r="GIG38" s="168"/>
      <c r="GIH38" s="168"/>
      <c r="GII38" s="168"/>
      <c r="GIJ38" s="168"/>
      <c r="GIK38" s="168"/>
      <c r="GIL38" s="168"/>
      <c r="GIM38" s="168"/>
      <c r="GIN38" s="168"/>
      <c r="GIO38" s="168"/>
      <c r="GIP38" s="168"/>
      <c r="GIQ38" s="168"/>
      <c r="GIR38" s="168"/>
      <c r="GIS38" s="168"/>
      <c r="GIT38" s="168"/>
      <c r="GIU38" s="168"/>
      <c r="GIV38" s="168"/>
      <c r="GIW38" s="168"/>
      <c r="GIX38" s="168"/>
      <c r="GIY38" s="168"/>
      <c r="GIZ38" s="168"/>
      <c r="GJA38" s="168"/>
      <c r="GJB38" s="168"/>
      <c r="GJC38" s="168"/>
      <c r="GJD38" s="168"/>
      <c r="GJE38" s="168"/>
      <c r="GJF38" s="168"/>
      <c r="GJG38" s="168"/>
      <c r="GJH38" s="168"/>
      <c r="GJI38" s="168"/>
      <c r="GJJ38" s="168"/>
      <c r="GJK38" s="168"/>
      <c r="GJL38" s="168"/>
      <c r="GJM38" s="168"/>
      <c r="GJN38" s="168"/>
      <c r="GJO38" s="168"/>
      <c r="GJP38" s="168"/>
      <c r="GJQ38" s="168"/>
      <c r="GJR38" s="168"/>
      <c r="GJS38" s="168"/>
      <c r="GJT38" s="168"/>
      <c r="GJU38" s="168"/>
      <c r="GJV38" s="168"/>
      <c r="GJW38" s="168"/>
      <c r="GJX38" s="168"/>
      <c r="GJY38" s="168"/>
      <c r="GJZ38" s="168"/>
      <c r="GKA38" s="168"/>
      <c r="GKB38" s="168"/>
      <c r="GKC38" s="168"/>
      <c r="GKD38" s="168"/>
      <c r="GKE38" s="168"/>
      <c r="GKF38" s="168"/>
      <c r="GKG38" s="168"/>
      <c r="GKH38" s="168"/>
      <c r="GKI38" s="168"/>
      <c r="GKJ38" s="168"/>
      <c r="GKK38" s="168"/>
      <c r="GKL38" s="168"/>
      <c r="GKM38" s="168"/>
      <c r="GKN38" s="168"/>
      <c r="GKO38" s="168"/>
      <c r="GKP38" s="168"/>
      <c r="GKQ38" s="168"/>
      <c r="GKR38" s="168"/>
      <c r="GKS38" s="168"/>
      <c r="GKT38" s="168"/>
      <c r="GKU38" s="168"/>
      <c r="GKV38" s="168"/>
      <c r="GKW38" s="168"/>
      <c r="GKX38" s="168"/>
      <c r="GKY38" s="168"/>
      <c r="GKZ38" s="168"/>
      <c r="GLA38" s="168"/>
      <c r="GLB38" s="168"/>
      <c r="GLC38" s="168"/>
      <c r="GLD38" s="168"/>
      <c r="GLE38" s="168"/>
      <c r="GLF38" s="168"/>
      <c r="GLG38" s="168"/>
      <c r="GLH38" s="168"/>
      <c r="GLI38" s="168"/>
      <c r="GLJ38" s="168"/>
      <c r="GLK38" s="168"/>
      <c r="GLL38" s="168"/>
      <c r="GLM38" s="168"/>
      <c r="GLN38" s="168"/>
      <c r="GLO38" s="168"/>
      <c r="GLP38" s="168"/>
      <c r="GLQ38" s="168"/>
      <c r="GLR38" s="168"/>
      <c r="GLS38" s="168"/>
      <c r="GLT38" s="168"/>
      <c r="GLU38" s="168"/>
      <c r="GLV38" s="168"/>
      <c r="GLW38" s="168"/>
      <c r="GLX38" s="168"/>
      <c r="GLY38" s="168"/>
      <c r="GLZ38" s="168"/>
      <c r="GMA38" s="168"/>
      <c r="GMB38" s="168"/>
      <c r="GMC38" s="168"/>
      <c r="GMD38" s="168"/>
      <c r="GME38" s="168"/>
      <c r="GMF38" s="168"/>
      <c r="GMG38" s="168"/>
      <c r="GMH38" s="168"/>
      <c r="GMI38" s="168"/>
      <c r="GMJ38" s="168"/>
      <c r="GMK38" s="168"/>
      <c r="GML38" s="168"/>
      <c r="GMM38" s="168"/>
      <c r="GMN38" s="168"/>
      <c r="GMO38" s="168"/>
      <c r="GMP38" s="168"/>
      <c r="GMQ38" s="168"/>
      <c r="GMR38" s="168"/>
      <c r="GMS38" s="168"/>
      <c r="GMT38" s="168"/>
      <c r="GMU38" s="168"/>
      <c r="GMV38" s="168"/>
      <c r="GMW38" s="168"/>
      <c r="GMX38" s="168"/>
      <c r="GMY38" s="168"/>
      <c r="GMZ38" s="168"/>
      <c r="GNA38" s="168"/>
      <c r="GNB38" s="168"/>
      <c r="GNC38" s="168"/>
      <c r="GND38" s="168"/>
      <c r="GNE38" s="168"/>
      <c r="GNF38" s="168"/>
      <c r="GNG38" s="168"/>
      <c r="GNH38" s="168"/>
      <c r="GNI38" s="168"/>
      <c r="GNJ38" s="168"/>
      <c r="GNK38" s="168"/>
      <c r="GNL38" s="168"/>
      <c r="GNM38" s="168"/>
      <c r="GNN38" s="168"/>
      <c r="GNO38" s="168"/>
      <c r="GNP38" s="168"/>
      <c r="GNQ38" s="168"/>
      <c r="GNR38" s="168"/>
      <c r="GNS38" s="168"/>
      <c r="GNT38" s="168"/>
      <c r="GNU38" s="168"/>
      <c r="GNV38" s="168"/>
      <c r="GNW38" s="168"/>
      <c r="GNX38" s="168"/>
      <c r="GNY38" s="168"/>
      <c r="GNZ38" s="168"/>
      <c r="GOA38" s="168"/>
      <c r="GOB38" s="168"/>
      <c r="GOC38" s="168"/>
      <c r="GOD38" s="168"/>
      <c r="GOE38" s="168"/>
      <c r="GOF38" s="168"/>
      <c r="GOG38" s="168"/>
      <c r="GOH38" s="168"/>
      <c r="GOI38" s="168"/>
      <c r="GOJ38" s="168"/>
      <c r="GOK38" s="168"/>
      <c r="GOL38" s="168"/>
      <c r="GOM38" s="168"/>
      <c r="GON38" s="168"/>
      <c r="GOO38" s="168"/>
      <c r="GOP38" s="168"/>
      <c r="GOQ38" s="168"/>
      <c r="GOR38" s="168"/>
      <c r="GOS38" s="168"/>
      <c r="GOT38" s="168"/>
      <c r="GOU38" s="168"/>
      <c r="GOV38" s="168"/>
      <c r="GOW38" s="168"/>
      <c r="GOX38" s="168"/>
      <c r="GOY38" s="168"/>
      <c r="GOZ38" s="168"/>
      <c r="GPA38" s="168"/>
      <c r="GPB38" s="168"/>
      <c r="GPC38" s="168"/>
      <c r="GPD38" s="168"/>
      <c r="GPE38" s="168"/>
      <c r="GPF38" s="168"/>
      <c r="GPG38" s="168"/>
      <c r="GPH38" s="168"/>
      <c r="GPI38" s="168"/>
      <c r="GPJ38" s="168"/>
      <c r="GPK38" s="168"/>
      <c r="GPL38" s="168"/>
      <c r="GPM38" s="168"/>
      <c r="GPN38" s="168"/>
      <c r="GPO38" s="168"/>
      <c r="GPP38" s="168"/>
      <c r="GPQ38" s="168"/>
      <c r="GPR38" s="168"/>
      <c r="GPS38" s="168"/>
      <c r="GPT38" s="168"/>
      <c r="GPU38" s="168"/>
      <c r="GPV38" s="168"/>
      <c r="GPW38" s="168"/>
      <c r="GPX38" s="168"/>
      <c r="GPY38" s="168"/>
      <c r="GPZ38" s="168"/>
      <c r="GQA38" s="168"/>
      <c r="GQB38" s="168"/>
      <c r="GQC38" s="168"/>
      <c r="GQD38" s="168"/>
      <c r="GQE38" s="168"/>
      <c r="GQF38" s="168"/>
      <c r="GQG38" s="168"/>
      <c r="GQH38" s="168"/>
      <c r="GQI38" s="168"/>
      <c r="GQJ38" s="168"/>
      <c r="GQK38" s="168"/>
      <c r="GQL38" s="168"/>
      <c r="GQM38" s="168"/>
      <c r="GQN38" s="168"/>
      <c r="GQO38" s="168"/>
      <c r="GQP38" s="168"/>
      <c r="GQQ38" s="168"/>
      <c r="GQR38" s="168"/>
      <c r="GQS38" s="168"/>
      <c r="GQT38" s="168"/>
      <c r="GQU38" s="168"/>
      <c r="GQV38" s="168"/>
      <c r="GQW38" s="168"/>
      <c r="GQX38" s="168"/>
      <c r="GQY38" s="168"/>
      <c r="GQZ38" s="168"/>
      <c r="GRA38" s="168"/>
      <c r="GRB38" s="168"/>
      <c r="GRC38" s="168"/>
      <c r="GRD38" s="168"/>
      <c r="GRE38" s="168"/>
      <c r="GRF38" s="168"/>
      <c r="GRG38" s="168"/>
      <c r="GRH38" s="168"/>
      <c r="GRI38" s="168"/>
      <c r="GRJ38" s="168"/>
      <c r="GRK38" s="168"/>
      <c r="GRL38" s="168"/>
      <c r="GRM38" s="168"/>
      <c r="GRN38" s="168"/>
      <c r="GRO38" s="168"/>
      <c r="GRP38" s="168"/>
      <c r="GRQ38" s="168"/>
      <c r="GRR38" s="168"/>
      <c r="GRS38" s="168"/>
      <c r="GRT38" s="168"/>
      <c r="GRU38" s="168"/>
      <c r="GRV38" s="168"/>
      <c r="GRW38" s="168"/>
      <c r="GRX38" s="168"/>
      <c r="GRY38" s="168"/>
      <c r="GRZ38" s="168"/>
      <c r="GSA38" s="168"/>
      <c r="GSB38" s="168"/>
      <c r="GSC38" s="168"/>
      <c r="GSD38" s="168"/>
      <c r="GSE38" s="168"/>
      <c r="GSF38" s="168"/>
      <c r="GSG38" s="168"/>
      <c r="GSH38" s="168"/>
      <c r="GSI38" s="168"/>
      <c r="GSJ38" s="168"/>
      <c r="GSK38" s="168"/>
      <c r="GSL38" s="168"/>
      <c r="GSM38" s="168"/>
      <c r="GSN38" s="168"/>
      <c r="GSO38" s="168"/>
      <c r="GSP38" s="168"/>
      <c r="GSQ38" s="168"/>
      <c r="GSR38" s="168"/>
      <c r="GSS38" s="168"/>
      <c r="GST38" s="168"/>
      <c r="GSU38" s="168"/>
      <c r="GSV38" s="168"/>
      <c r="GSW38" s="168"/>
      <c r="GSX38" s="168"/>
      <c r="GSY38" s="168"/>
      <c r="GSZ38" s="168"/>
      <c r="GTA38" s="168"/>
      <c r="GTB38" s="168"/>
      <c r="GTC38" s="168"/>
      <c r="GTD38" s="168"/>
      <c r="GTE38" s="168"/>
      <c r="GTF38" s="168"/>
      <c r="GTG38" s="168"/>
      <c r="GTH38" s="168"/>
      <c r="GTI38" s="168"/>
      <c r="GTJ38" s="168"/>
      <c r="GTK38" s="168"/>
      <c r="GTL38" s="168"/>
      <c r="GTM38" s="168"/>
      <c r="GTN38" s="168"/>
      <c r="GTO38" s="168"/>
      <c r="GTP38" s="168"/>
      <c r="GTQ38" s="168"/>
      <c r="GTR38" s="168"/>
      <c r="GTS38" s="168"/>
      <c r="GTT38" s="168"/>
      <c r="GTU38" s="168"/>
      <c r="GTV38" s="168"/>
      <c r="GTW38" s="168"/>
      <c r="GTX38" s="168"/>
      <c r="GTY38" s="168"/>
      <c r="GTZ38" s="168"/>
      <c r="GUA38" s="168"/>
      <c r="GUB38" s="168"/>
      <c r="GUC38" s="168"/>
      <c r="GUD38" s="168"/>
      <c r="GUE38" s="168"/>
      <c r="GUF38" s="168"/>
      <c r="GUG38" s="168"/>
      <c r="GUH38" s="168"/>
      <c r="GUI38" s="168"/>
      <c r="GUJ38" s="168"/>
      <c r="GUK38" s="168"/>
      <c r="GUL38" s="168"/>
      <c r="GUM38" s="168"/>
      <c r="GUN38" s="168"/>
      <c r="GUO38" s="168"/>
      <c r="GUP38" s="168"/>
      <c r="GUQ38" s="168"/>
      <c r="GUR38" s="168"/>
      <c r="GUS38" s="168"/>
      <c r="GUT38" s="168"/>
      <c r="GUU38" s="168"/>
      <c r="GUV38" s="168"/>
      <c r="GUW38" s="168"/>
      <c r="GUX38" s="168"/>
      <c r="GUY38" s="168"/>
      <c r="GUZ38" s="168"/>
      <c r="GVA38" s="168"/>
      <c r="GVB38" s="168"/>
      <c r="GVC38" s="168"/>
      <c r="GVD38" s="168"/>
      <c r="GVE38" s="168"/>
      <c r="GVF38" s="168"/>
      <c r="GVG38" s="168"/>
      <c r="GVH38" s="168"/>
      <c r="GVI38" s="168"/>
      <c r="GVJ38" s="168"/>
      <c r="GVK38" s="168"/>
      <c r="GVL38" s="168"/>
      <c r="GVM38" s="168"/>
      <c r="GVN38" s="168"/>
      <c r="GVO38" s="168"/>
      <c r="GVP38" s="168"/>
      <c r="GVQ38" s="168"/>
      <c r="GVR38" s="168"/>
      <c r="GVS38" s="168"/>
      <c r="GVT38" s="168"/>
      <c r="GVU38" s="168"/>
      <c r="GVV38" s="168"/>
      <c r="GVW38" s="168"/>
      <c r="GVX38" s="168"/>
      <c r="GVY38" s="168"/>
      <c r="GVZ38" s="168"/>
      <c r="GWA38" s="168"/>
      <c r="GWB38" s="168"/>
      <c r="GWC38" s="168"/>
      <c r="GWD38" s="168"/>
      <c r="GWE38" s="168"/>
      <c r="GWF38" s="168"/>
      <c r="GWG38" s="168"/>
      <c r="GWH38" s="168"/>
      <c r="GWI38" s="168"/>
      <c r="GWJ38" s="168"/>
      <c r="GWK38" s="168"/>
      <c r="GWL38" s="168"/>
      <c r="GWM38" s="168"/>
      <c r="GWN38" s="168"/>
      <c r="GWO38" s="168"/>
      <c r="GWP38" s="168"/>
      <c r="GWQ38" s="168"/>
      <c r="GWR38" s="168"/>
      <c r="GWS38" s="168"/>
      <c r="GWT38" s="168"/>
      <c r="GWU38" s="168"/>
      <c r="GWV38" s="168"/>
      <c r="GWW38" s="168"/>
      <c r="GWX38" s="168"/>
      <c r="GWY38" s="168"/>
      <c r="GWZ38" s="168"/>
      <c r="GXA38" s="168"/>
      <c r="GXB38" s="168"/>
      <c r="GXC38" s="168"/>
      <c r="GXD38" s="168"/>
      <c r="GXE38" s="168"/>
      <c r="GXF38" s="168"/>
      <c r="GXG38" s="168"/>
      <c r="GXH38" s="168"/>
      <c r="GXI38" s="168"/>
      <c r="GXJ38" s="168"/>
      <c r="GXK38" s="168"/>
      <c r="GXL38" s="168"/>
      <c r="GXM38" s="168"/>
      <c r="GXN38" s="168"/>
      <c r="GXO38" s="168"/>
      <c r="GXP38" s="168"/>
      <c r="GXQ38" s="168"/>
      <c r="GXR38" s="168"/>
      <c r="GXS38" s="168"/>
      <c r="GXT38" s="168"/>
      <c r="GXU38" s="168"/>
      <c r="GXV38" s="168"/>
      <c r="GXW38" s="168"/>
      <c r="GXX38" s="168"/>
      <c r="GXY38" s="168"/>
      <c r="GXZ38" s="168"/>
      <c r="GYA38" s="168"/>
      <c r="GYB38" s="168"/>
      <c r="GYC38" s="168"/>
      <c r="GYD38" s="168"/>
      <c r="GYE38" s="168"/>
      <c r="GYF38" s="168"/>
      <c r="GYG38" s="168"/>
      <c r="GYH38" s="168"/>
      <c r="GYI38" s="168"/>
      <c r="GYJ38" s="168"/>
      <c r="GYK38" s="168"/>
      <c r="GYL38" s="168"/>
      <c r="GYM38" s="168"/>
      <c r="GYN38" s="168"/>
      <c r="GYO38" s="168"/>
      <c r="GYP38" s="168"/>
      <c r="GYQ38" s="168"/>
      <c r="GYR38" s="168"/>
      <c r="GYS38" s="168"/>
      <c r="GYT38" s="168"/>
      <c r="GYU38" s="168"/>
      <c r="GYV38" s="168"/>
      <c r="GYW38" s="168"/>
      <c r="GYX38" s="168"/>
      <c r="GYY38" s="168"/>
      <c r="GYZ38" s="168"/>
      <c r="GZA38" s="168"/>
      <c r="GZB38" s="168"/>
      <c r="GZC38" s="168"/>
      <c r="GZD38" s="168"/>
      <c r="GZE38" s="168"/>
      <c r="GZF38" s="168"/>
      <c r="GZG38" s="168"/>
      <c r="GZH38" s="168"/>
      <c r="GZI38" s="168"/>
      <c r="GZJ38" s="168"/>
      <c r="GZK38" s="168"/>
      <c r="GZL38" s="168"/>
      <c r="GZM38" s="168"/>
      <c r="GZN38" s="168"/>
      <c r="GZO38" s="168"/>
      <c r="GZP38" s="168"/>
      <c r="GZQ38" s="168"/>
      <c r="GZR38" s="168"/>
      <c r="GZS38" s="168"/>
      <c r="GZT38" s="168"/>
      <c r="GZU38" s="168"/>
      <c r="GZV38" s="168"/>
      <c r="GZW38" s="168"/>
      <c r="GZX38" s="168"/>
      <c r="GZY38" s="168"/>
      <c r="GZZ38" s="168"/>
      <c r="HAA38" s="168"/>
      <c r="HAB38" s="168"/>
      <c r="HAC38" s="168"/>
      <c r="HAD38" s="168"/>
      <c r="HAE38" s="168"/>
      <c r="HAF38" s="168"/>
      <c r="HAG38" s="168"/>
      <c r="HAH38" s="168"/>
      <c r="HAI38" s="168"/>
      <c r="HAJ38" s="168"/>
      <c r="HAK38" s="168"/>
      <c r="HAL38" s="168"/>
      <c r="HAM38" s="168"/>
      <c r="HAN38" s="168"/>
      <c r="HAO38" s="168"/>
      <c r="HAP38" s="168"/>
      <c r="HAQ38" s="168"/>
      <c r="HAR38" s="168"/>
      <c r="HAS38" s="168"/>
      <c r="HAT38" s="168"/>
      <c r="HAU38" s="168"/>
      <c r="HAV38" s="168"/>
      <c r="HAW38" s="168"/>
      <c r="HAX38" s="168"/>
      <c r="HAY38" s="168"/>
      <c r="HAZ38" s="168"/>
      <c r="HBA38" s="168"/>
      <c r="HBB38" s="168"/>
      <c r="HBC38" s="168"/>
      <c r="HBD38" s="168"/>
      <c r="HBE38" s="168"/>
      <c r="HBF38" s="168"/>
      <c r="HBG38" s="168"/>
      <c r="HBH38" s="168"/>
      <c r="HBI38" s="168"/>
      <c r="HBJ38" s="168"/>
      <c r="HBK38" s="168"/>
      <c r="HBL38" s="168"/>
      <c r="HBM38" s="168"/>
      <c r="HBN38" s="168"/>
      <c r="HBO38" s="168"/>
      <c r="HBP38" s="168"/>
      <c r="HBQ38" s="168"/>
      <c r="HBR38" s="168"/>
      <c r="HBS38" s="168"/>
      <c r="HBT38" s="168"/>
      <c r="HBU38" s="168"/>
      <c r="HBV38" s="168"/>
      <c r="HBW38" s="168"/>
      <c r="HBX38" s="168"/>
      <c r="HBY38" s="168"/>
      <c r="HBZ38" s="168"/>
      <c r="HCA38" s="168"/>
      <c r="HCB38" s="168"/>
      <c r="HCC38" s="168"/>
      <c r="HCD38" s="168"/>
      <c r="HCE38" s="168"/>
      <c r="HCF38" s="168"/>
      <c r="HCG38" s="168"/>
      <c r="HCH38" s="168"/>
      <c r="HCI38" s="168"/>
      <c r="HCJ38" s="168"/>
      <c r="HCK38" s="168"/>
      <c r="HCL38" s="168"/>
      <c r="HCM38" s="168"/>
      <c r="HCN38" s="168"/>
      <c r="HCO38" s="168"/>
      <c r="HCP38" s="168"/>
      <c r="HCQ38" s="168"/>
      <c r="HCR38" s="168"/>
      <c r="HCS38" s="168"/>
      <c r="HCT38" s="168"/>
      <c r="HCU38" s="168"/>
      <c r="HCV38" s="168"/>
      <c r="HCW38" s="168"/>
      <c r="HCX38" s="168"/>
      <c r="HCY38" s="168"/>
      <c r="HCZ38" s="168"/>
      <c r="HDA38" s="168"/>
      <c r="HDB38" s="168"/>
      <c r="HDC38" s="168"/>
      <c r="HDD38" s="168"/>
      <c r="HDE38" s="168"/>
      <c r="HDF38" s="168"/>
      <c r="HDG38" s="168"/>
      <c r="HDH38" s="168"/>
      <c r="HDI38" s="168"/>
      <c r="HDJ38" s="168"/>
      <c r="HDK38" s="168"/>
      <c r="HDL38" s="168"/>
      <c r="HDM38" s="168"/>
      <c r="HDN38" s="168"/>
      <c r="HDO38" s="168"/>
      <c r="HDP38" s="168"/>
      <c r="HDQ38" s="168"/>
      <c r="HDR38" s="168"/>
      <c r="HDS38" s="168"/>
      <c r="HDT38" s="168"/>
      <c r="HDU38" s="168"/>
      <c r="HDV38" s="168"/>
      <c r="HDW38" s="168"/>
      <c r="HDX38" s="168"/>
      <c r="HDY38" s="168"/>
      <c r="HDZ38" s="168"/>
      <c r="HEA38" s="168"/>
      <c r="HEB38" s="168"/>
      <c r="HEC38" s="168"/>
      <c r="HED38" s="168"/>
      <c r="HEE38" s="168"/>
      <c r="HEF38" s="168"/>
      <c r="HEG38" s="168"/>
      <c r="HEH38" s="168"/>
      <c r="HEI38" s="168"/>
      <c r="HEJ38" s="168"/>
      <c r="HEK38" s="168"/>
      <c r="HEL38" s="168"/>
      <c r="HEM38" s="168"/>
      <c r="HEN38" s="168"/>
      <c r="HEO38" s="168"/>
      <c r="HEP38" s="168"/>
      <c r="HEQ38" s="168"/>
      <c r="HER38" s="168"/>
      <c r="HES38" s="168"/>
      <c r="HET38" s="168"/>
      <c r="HEU38" s="168"/>
      <c r="HEV38" s="168"/>
      <c r="HEW38" s="168"/>
      <c r="HEX38" s="168"/>
      <c r="HEY38" s="168"/>
      <c r="HEZ38" s="168"/>
      <c r="HFA38" s="168"/>
      <c r="HFB38" s="168"/>
      <c r="HFC38" s="168"/>
      <c r="HFD38" s="168"/>
      <c r="HFE38" s="168"/>
      <c r="HFF38" s="168"/>
      <c r="HFG38" s="168"/>
      <c r="HFH38" s="168"/>
      <c r="HFI38" s="168"/>
      <c r="HFJ38" s="168"/>
      <c r="HFK38" s="168"/>
      <c r="HFL38" s="168"/>
      <c r="HFM38" s="168"/>
      <c r="HFN38" s="168"/>
      <c r="HFO38" s="168"/>
      <c r="HFP38" s="168"/>
      <c r="HFQ38" s="168"/>
      <c r="HFR38" s="168"/>
      <c r="HFS38" s="168"/>
      <c r="HFT38" s="168"/>
      <c r="HFU38" s="168"/>
      <c r="HFV38" s="168"/>
      <c r="HFW38" s="168"/>
      <c r="HFX38" s="168"/>
      <c r="HFY38" s="168"/>
      <c r="HFZ38" s="168"/>
      <c r="HGA38" s="168"/>
      <c r="HGB38" s="168"/>
      <c r="HGC38" s="168"/>
      <c r="HGD38" s="168"/>
      <c r="HGE38" s="168"/>
      <c r="HGF38" s="168"/>
      <c r="HGG38" s="168"/>
      <c r="HGH38" s="168"/>
      <c r="HGI38" s="168"/>
      <c r="HGJ38" s="168"/>
      <c r="HGK38" s="168"/>
      <c r="HGL38" s="168"/>
      <c r="HGM38" s="168"/>
      <c r="HGN38" s="168"/>
      <c r="HGO38" s="168"/>
      <c r="HGP38" s="168"/>
      <c r="HGQ38" s="168"/>
      <c r="HGR38" s="168"/>
      <c r="HGS38" s="168"/>
      <c r="HGT38" s="168"/>
      <c r="HGU38" s="168"/>
      <c r="HGV38" s="168"/>
      <c r="HGW38" s="168"/>
      <c r="HGX38" s="168"/>
      <c r="HGY38" s="168"/>
      <c r="HGZ38" s="168"/>
      <c r="HHA38" s="168"/>
      <c r="HHB38" s="168"/>
      <c r="HHC38" s="168"/>
      <c r="HHD38" s="168"/>
      <c r="HHE38" s="168"/>
      <c r="HHF38" s="168"/>
      <c r="HHG38" s="168"/>
      <c r="HHH38" s="168"/>
      <c r="HHI38" s="168"/>
      <c r="HHJ38" s="168"/>
      <c r="HHK38" s="168"/>
      <c r="HHL38" s="168"/>
      <c r="HHM38" s="168"/>
      <c r="HHN38" s="168"/>
      <c r="HHO38" s="168"/>
      <c r="HHP38" s="168"/>
      <c r="HHQ38" s="168"/>
      <c r="HHR38" s="168"/>
      <c r="HHS38" s="168"/>
      <c r="HHT38" s="168"/>
      <c r="HHU38" s="168"/>
      <c r="HHV38" s="168"/>
      <c r="HHW38" s="168"/>
      <c r="HHX38" s="168"/>
      <c r="HHY38" s="168"/>
      <c r="HHZ38" s="168"/>
      <c r="HIA38" s="168"/>
      <c r="HIB38" s="168"/>
      <c r="HIC38" s="168"/>
      <c r="HID38" s="168"/>
      <c r="HIE38" s="168"/>
      <c r="HIF38" s="168"/>
      <c r="HIG38" s="168"/>
      <c r="HIH38" s="168"/>
      <c r="HII38" s="168"/>
      <c r="HIJ38" s="168"/>
      <c r="HIK38" s="168"/>
      <c r="HIL38" s="168"/>
      <c r="HIM38" s="168"/>
      <c r="HIN38" s="168"/>
      <c r="HIO38" s="168"/>
      <c r="HIP38" s="168"/>
      <c r="HIQ38" s="168"/>
      <c r="HIR38" s="168"/>
      <c r="HIS38" s="168"/>
      <c r="HIT38" s="168"/>
      <c r="HIU38" s="168"/>
      <c r="HIV38" s="168"/>
      <c r="HIW38" s="168"/>
      <c r="HIX38" s="168"/>
      <c r="HIY38" s="168"/>
      <c r="HIZ38" s="168"/>
      <c r="HJA38" s="168"/>
      <c r="HJB38" s="168"/>
      <c r="HJC38" s="168"/>
      <c r="HJD38" s="168"/>
      <c r="HJE38" s="168"/>
      <c r="HJF38" s="168"/>
      <c r="HJG38" s="168"/>
      <c r="HJH38" s="168"/>
      <c r="HJI38" s="168"/>
      <c r="HJJ38" s="168"/>
      <c r="HJK38" s="168"/>
      <c r="HJL38" s="168"/>
      <c r="HJM38" s="168"/>
      <c r="HJN38" s="168"/>
      <c r="HJO38" s="168"/>
      <c r="HJP38" s="168"/>
      <c r="HJQ38" s="168"/>
      <c r="HJR38" s="168"/>
      <c r="HJS38" s="168"/>
      <c r="HJT38" s="168"/>
      <c r="HJU38" s="168"/>
      <c r="HJV38" s="168"/>
      <c r="HJW38" s="168"/>
      <c r="HJX38" s="168"/>
      <c r="HJY38" s="168"/>
      <c r="HJZ38" s="168"/>
      <c r="HKA38" s="168"/>
      <c r="HKB38" s="168"/>
      <c r="HKC38" s="168"/>
      <c r="HKD38" s="168"/>
      <c r="HKE38" s="168"/>
      <c r="HKF38" s="168"/>
      <c r="HKG38" s="168"/>
      <c r="HKH38" s="168"/>
      <c r="HKI38" s="168"/>
      <c r="HKJ38" s="168"/>
      <c r="HKK38" s="168"/>
      <c r="HKL38" s="168"/>
      <c r="HKM38" s="168"/>
      <c r="HKN38" s="168"/>
      <c r="HKO38" s="168"/>
      <c r="HKP38" s="168"/>
      <c r="HKQ38" s="168"/>
      <c r="HKR38" s="168"/>
      <c r="HKS38" s="168"/>
      <c r="HKT38" s="168"/>
      <c r="HKU38" s="168"/>
      <c r="HKV38" s="168"/>
      <c r="HKW38" s="168"/>
      <c r="HKX38" s="168"/>
      <c r="HKY38" s="168"/>
      <c r="HKZ38" s="168"/>
      <c r="HLA38" s="168"/>
      <c r="HLB38" s="168"/>
      <c r="HLC38" s="168"/>
      <c r="HLD38" s="168"/>
      <c r="HLE38" s="168"/>
      <c r="HLF38" s="168"/>
      <c r="HLG38" s="168"/>
      <c r="HLH38" s="168"/>
      <c r="HLI38" s="168"/>
      <c r="HLJ38" s="168"/>
      <c r="HLK38" s="168"/>
      <c r="HLL38" s="168"/>
      <c r="HLM38" s="168"/>
      <c r="HLN38" s="168"/>
      <c r="HLO38" s="168"/>
      <c r="HLP38" s="168"/>
      <c r="HLQ38" s="168"/>
      <c r="HLR38" s="168"/>
      <c r="HLS38" s="168"/>
      <c r="HLT38" s="168"/>
      <c r="HLU38" s="168"/>
      <c r="HLV38" s="168"/>
      <c r="HLW38" s="168"/>
      <c r="HLX38" s="168"/>
      <c r="HLY38" s="168"/>
      <c r="HLZ38" s="168"/>
      <c r="HMA38" s="168"/>
      <c r="HMB38" s="168"/>
      <c r="HMC38" s="168"/>
      <c r="HMD38" s="168"/>
      <c r="HME38" s="168"/>
      <c r="HMF38" s="168"/>
      <c r="HMG38" s="168"/>
      <c r="HMH38" s="168"/>
      <c r="HMI38" s="168"/>
      <c r="HMJ38" s="168"/>
      <c r="HMK38" s="168"/>
      <c r="HML38" s="168"/>
      <c r="HMM38" s="168"/>
      <c r="HMN38" s="168"/>
      <c r="HMO38" s="168"/>
      <c r="HMP38" s="168"/>
      <c r="HMQ38" s="168"/>
      <c r="HMR38" s="168"/>
      <c r="HMS38" s="168"/>
      <c r="HMT38" s="168"/>
      <c r="HMU38" s="168"/>
      <c r="HMV38" s="168"/>
      <c r="HMW38" s="168"/>
      <c r="HMX38" s="168"/>
      <c r="HMY38" s="168"/>
      <c r="HMZ38" s="168"/>
      <c r="HNA38" s="168"/>
      <c r="HNB38" s="168"/>
      <c r="HNC38" s="168"/>
      <c r="HND38" s="168"/>
      <c r="HNE38" s="168"/>
      <c r="HNF38" s="168"/>
      <c r="HNG38" s="168"/>
      <c r="HNH38" s="168"/>
      <c r="HNI38" s="168"/>
      <c r="HNJ38" s="168"/>
      <c r="HNK38" s="168"/>
      <c r="HNL38" s="168"/>
      <c r="HNM38" s="168"/>
      <c r="HNN38" s="168"/>
      <c r="HNO38" s="168"/>
      <c r="HNP38" s="168"/>
      <c r="HNQ38" s="168"/>
      <c r="HNR38" s="168"/>
      <c r="HNS38" s="168"/>
      <c r="HNT38" s="168"/>
      <c r="HNU38" s="168"/>
      <c r="HNV38" s="168"/>
      <c r="HNW38" s="168"/>
      <c r="HNX38" s="168"/>
      <c r="HNY38" s="168"/>
      <c r="HNZ38" s="168"/>
      <c r="HOA38" s="168"/>
      <c r="HOB38" s="168"/>
      <c r="HOC38" s="168"/>
      <c r="HOD38" s="168"/>
      <c r="HOE38" s="168"/>
      <c r="HOF38" s="168"/>
      <c r="HOG38" s="168"/>
      <c r="HOH38" s="168"/>
      <c r="HOI38" s="168"/>
      <c r="HOJ38" s="168"/>
      <c r="HOK38" s="168"/>
      <c r="HOL38" s="168"/>
      <c r="HOM38" s="168"/>
      <c r="HON38" s="168"/>
      <c r="HOO38" s="168"/>
      <c r="HOP38" s="168"/>
      <c r="HOQ38" s="168"/>
      <c r="HOR38" s="168"/>
      <c r="HOS38" s="168"/>
      <c r="HOT38" s="168"/>
      <c r="HOU38" s="168"/>
      <c r="HOV38" s="168"/>
      <c r="HOW38" s="168"/>
      <c r="HOX38" s="168"/>
      <c r="HOY38" s="168"/>
      <c r="HOZ38" s="168"/>
      <c r="HPA38" s="168"/>
      <c r="HPB38" s="168"/>
      <c r="HPC38" s="168"/>
      <c r="HPD38" s="168"/>
      <c r="HPE38" s="168"/>
      <c r="HPF38" s="168"/>
      <c r="HPG38" s="168"/>
      <c r="HPH38" s="168"/>
      <c r="HPI38" s="168"/>
      <c r="HPJ38" s="168"/>
      <c r="HPK38" s="168"/>
      <c r="HPL38" s="168"/>
      <c r="HPM38" s="168"/>
      <c r="HPN38" s="168"/>
      <c r="HPO38" s="168"/>
      <c r="HPP38" s="168"/>
      <c r="HPQ38" s="168"/>
      <c r="HPR38" s="168"/>
      <c r="HPS38" s="168"/>
      <c r="HPT38" s="168"/>
      <c r="HPU38" s="168"/>
      <c r="HPV38" s="168"/>
      <c r="HPW38" s="168"/>
      <c r="HPX38" s="168"/>
      <c r="HPY38" s="168"/>
      <c r="HPZ38" s="168"/>
      <c r="HQA38" s="168"/>
      <c r="HQB38" s="168"/>
      <c r="HQC38" s="168"/>
      <c r="HQD38" s="168"/>
      <c r="HQE38" s="168"/>
      <c r="HQF38" s="168"/>
      <c r="HQG38" s="168"/>
      <c r="HQH38" s="168"/>
      <c r="HQI38" s="168"/>
      <c r="HQJ38" s="168"/>
      <c r="HQK38" s="168"/>
      <c r="HQL38" s="168"/>
      <c r="HQM38" s="168"/>
      <c r="HQN38" s="168"/>
      <c r="HQO38" s="168"/>
      <c r="HQP38" s="168"/>
      <c r="HQQ38" s="168"/>
      <c r="HQR38" s="168"/>
      <c r="HQS38" s="168"/>
      <c r="HQT38" s="168"/>
      <c r="HQU38" s="168"/>
      <c r="HQV38" s="168"/>
      <c r="HQW38" s="168"/>
      <c r="HQX38" s="168"/>
      <c r="HQY38" s="168"/>
      <c r="HQZ38" s="168"/>
      <c r="HRA38" s="168"/>
      <c r="HRB38" s="168"/>
      <c r="HRC38" s="168"/>
      <c r="HRD38" s="168"/>
      <c r="HRE38" s="168"/>
      <c r="HRF38" s="168"/>
      <c r="HRG38" s="168"/>
      <c r="HRH38" s="168"/>
      <c r="HRI38" s="168"/>
      <c r="HRJ38" s="168"/>
      <c r="HRK38" s="168"/>
      <c r="HRL38" s="168"/>
      <c r="HRM38" s="168"/>
      <c r="HRN38" s="168"/>
      <c r="HRO38" s="168"/>
      <c r="HRP38" s="168"/>
      <c r="HRQ38" s="168"/>
      <c r="HRR38" s="168"/>
      <c r="HRS38" s="168"/>
      <c r="HRT38" s="168"/>
      <c r="HRU38" s="168"/>
      <c r="HRV38" s="168"/>
      <c r="HRW38" s="168"/>
      <c r="HRX38" s="168"/>
      <c r="HRY38" s="168"/>
      <c r="HRZ38" s="168"/>
      <c r="HSA38" s="168"/>
      <c r="HSB38" s="168"/>
      <c r="HSC38" s="168"/>
      <c r="HSD38" s="168"/>
      <c r="HSE38" s="168"/>
      <c r="HSF38" s="168"/>
      <c r="HSG38" s="168"/>
      <c r="HSH38" s="168"/>
      <c r="HSI38" s="168"/>
      <c r="HSJ38" s="168"/>
      <c r="HSK38" s="168"/>
      <c r="HSL38" s="168"/>
      <c r="HSM38" s="168"/>
      <c r="HSN38" s="168"/>
      <c r="HSO38" s="168"/>
      <c r="HSP38" s="168"/>
      <c r="HSQ38" s="168"/>
      <c r="HSR38" s="168"/>
      <c r="HSS38" s="168"/>
      <c r="HST38" s="168"/>
      <c r="HSU38" s="168"/>
      <c r="HSV38" s="168"/>
      <c r="HSW38" s="168"/>
      <c r="HSX38" s="168"/>
      <c r="HSY38" s="168"/>
      <c r="HSZ38" s="168"/>
      <c r="HTA38" s="168"/>
      <c r="HTB38" s="168"/>
      <c r="HTC38" s="168"/>
      <c r="HTD38" s="168"/>
      <c r="HTE38" s="168"/>
      <c r="HTF38" s="168"/>
      <c r="HTG38" s="168"/>
      <c r="HTH38" s="168"/>
      <c r="HTI38" s="168"/>
      <c r="HTJ38" s="168"/>
      <c r="HTK38" s="168"/>
      <c r="HTL38" s="168"/>
      <c r="HTM38" s="168"/>
      <c r="HTN38" s="168"/>
      <c r="HTO38" s="168"/>
      <c r="HTP38" s="168"/>
      <c r="HTQ38" s="168"/>
      <c r="HTR38" s="168"/>
      <c r="HTS38" s="168"/>
      <c r="HTT38" s="168"/>
      <c r="HTU38" s="168"/>
      <c r="HTV38" s="168"/>
      <c r="HTW38" s="168"/>
      <c r="HTX38" s="168"/>
      <c r="HTY38" s="168"/>
      <c r="HTZ38" s="168"/>
      <c r="HUA38" s="168"/>
      <c r="HUB38" s="168"/>
      <c r="HUC38" s="168"/>
      <c r="HUD38" s="168"/>
      <c r="HUE38" s="168"/>
      <c r="HUF38" s="168"/>
      <c r="HUG38" s="168"/>
      <c r="HUH38" s="168"/>
      <c r="HUI38" s="168"/>
      <c r="HUJ38" s="168"/>
      <c r="HUK38" s="168"/>
      <c r="HUL38" s="168"/>
      <c r="HUM38" s="168"/>
      <c r="HUN38" s="168"/>
      <c r="HUO38" s="168"/>
      <c r="HUP38" s="168"/>
      <c r="HUQ38" s="168"/>
      <c r="HUR38" s="168"/>
      <c r="HUS38" s="168"/>
      <c r="HUT38" s="168"/>
      <c r="HUU38" s="168"/>
      <c r="HUV38" s="168"/>
      <c r="HUW38" s="168"/>
      <c r="HUX38" s="168"/>
      <c r="HUY38" s="168"/>
      <c r="HUZ38" s="168"/>
      <c r="HVA38" s="168"/>
      <c r="HVB38" s="168"/>
      <c r="HVC38" s="168"/>
      <c r="HVD38" s="168"/>
      <c r="HVE38" s="168"/>
      <c r="HVF38" s="168"/>
      <c r="HVG38" s="168"/>
      <c r="HVH38" s="168"/>
      <c r="HVI38" s="168"/>
      <c r="HVJ38" s="168"/>
      <c r="HVK38" s="168"/>
      <c r="HVL38" s="168"/>
      <c r="HVM38" s="168"/>
      <c r="HVN38" s="168"/>
      <c r="HVO38" s="168"/>
      <c r="HVP38" s="168"/>
      <c r="HVQ38" s="168"/>
      <c r="HVR38" s="168"/>
      <c r="HVS38" s="168"/>
      <c r="HVT38" s="168"/>
      <c r="HVU38" s="168"/>
      <c r="HVV38" s="168"/>
      <c r="HVW38" s="168"/>
      <c r="HVX38" s="168"/>
      <c r="HVY38" s="168"/>
      <c r="HVZ38" s="168"/>
      <c r="HWA38" s="168"/>
      <c r="HWB38" s="168"/>
      <c r="HWC38" s="168"/>
      <c r="HWD38" s="168"/>
      <c r="HWE38" s="168"/>
      <c r="HWF38" s="168"/>
      <c r="HWG38" s="168"/>
      <c r="HWH38" s="168"/>
      <c r="HWI38" s="168"/>
      <c r="HWJ38" s="168"/>
      <c r="HWK38" s="168"/>
      <c r="HWL38" s="168"/>
      <c r="HWM38" s="168"/>
      <c r="HWN38" s="168"/>
      <c r="HWO38" s="168"/>
      <c r="HWP38" s="168"/>
      <c r="HWQ38" s="168"/>
      <c r="HWR38" s="168"/>
      <c r="HWS38" s="168"/>
      <c r="HWT38" s="168"/>
      <c r="HWU38" s="168"/>
      <c r="HWV38" s="168"/>
      <c r="HWW38" s="168"/>
      <c r="HWX38" s="168"/>
      <c r="HWY38" s="168"/>
      <c r="HWZ38" s="168"/>
      <c r="HXA38" s="168"/>
      <c r="HXB38" s="168"/>
      <c r="HXC38" s="168"/>
      <c r="HXD38" s="168"/>
      <c r="HXE38" s="168"/>
      <c r="HXF38" s="168"/>
      <c r="HXG38" s="168"/>
      <c r="HXH38" s="168"/>
      <c r="HXI38" s="168"/>
      <c r="HXJ38" s="168"/>
      <c r="HXK38" s="168"/>
      <c r="HXL38" s="168"/>
      <c r="HXM38" s="168"/>
      <c r="HXN38" s="168"/>
      <c r="HXO38" s="168"/>
      <c r="HXP38" s="168"/>
      <c r="HXQ38" s="168"/>
      <c r="HXR38" s="168"/>
      <c r="HXS38" s="168"/>
      <c r="HXT38" s="168"/>
      <c r="HXU38" s="168"/>
      <c r="HXV38" s="168"/>
      <c r="HXW38" s="168"/>
      <c r="HXX38" s="168"/>
      <c r="HXY38" s="168"/>
      <c r="HXZ38" s="168"/>
      <c r="HYA38" s="168"/>
      <c r="HYB38" s="168"/>
      <c r="HYC38" s="168"/>
      <c r="HYD38" s="168"/>
      <c r="HYE38" s="168"/>
      <c r="HYF38" s="168"/>
      <c r="HYG38" s="168"/>
      <c r="HYH38" s="168"/>
      <c r="HYI38" s="168"/>
      <c r="HYJ38" s="168"/>
      <c r="HYK38" s="168"/>
      <c r="HYL38" s="168"/>
      <c r="HYM38" s="168"/>
      <c r="HYN38" s="168"/>
      <c r="HYO38" s="168"/>
      <c r="HYP38" s="168"/>
      <c r="HYQ38" s="168"/>
      <c r="HYR38" s="168"/>
      <c r="HYS38" s="168"/>
      <c r="HYT38" s="168"/>
      <c r="HYU38" s="168"/>
      <c r="HYV38" s="168"/>
      <c r="HYW38" s="168"/>
      <c r="HYX38" s="168"/>
      <c r="HYY38" s="168"/>
      <c r="HYZ38" s="168"/>
      <c r="HZA38" s="168"/>
      <c r="HZB38" s="168"/>
      <c r="HZC38" s="168"/>
      <c r="HZD38" s="168"/>
      <c r="HZE38" s="168"/>
      <c r="HZF38" s="168"/>
      <c r="HZG38" s="168"/>
      <c r="HZH38" s="168"/>
      <c r="HZI38" s="168"/>
      <c r="HZJ38" s="168"/>
      <c r="HZK38" s="168"/>
      <c r="HZL38" s="168"/>
      <c r="HZM38" s="168"/>
      <c r="HZN38" s="168"/>
      <c r="HZO38" s="168"/>
      <c r="HZP38" s="168"/>
      <c r="HZQ38" s="168"/>
      <c r="HZR38" s="168"/>
      <c r="HZS38" s="168"/>
      <c r="HZT38" s="168"/>
      <c r="HZU38" s="168"/>
      <c r="HZV38" s="168"/>
      <c r="HZW38" s="168"/>
      <c r="HZX38" s="168"/>
      <c r="HZY38" s="168"/>
      <c r="HZZ38" s="168"/>
      <c r="IAA38" s="168"/>
      <c r="IAB38" s="168"/>
      <c r="IAC38" s="168"/>
      <c r="IAD38" s="168"/>
      <c r="IAE38" s="168"/>
      <c r="IAF38" s="168"/>
      <c r="IAG38" s="168"/>
      <c r="IAH38" s="168"/>
      <c r="IAI38" s="168"/>
      <c r="IAJ38" s="168"/>
      <c r="IAK38" s="168"/>
      <c r="IAL38" s="168"/>
      <c r="IAM38" s="168"/>
      <c r="IAN38" s="168"/>
      <c r="IAO38" s="168"/>
      <c r="IAP38" s="168"/>
      <c r="IAQ38" s="168"/>
      <c r="IAR38" s="168"/>
      <c r="IAS38" s="168"/>
      <c r="IAT38" s="168"/>
      <c r="IAU38" s="168"/>
      <c r="IAV38" s="168"/>
      <c r="IAW38" s="168"/>
      <c r="IAX38" s="168"/>
      <c r="IAY38" s="168"/>
      <c r="IAZ38" s="168"/>
      <c r="IBA38" s="168"/>
      <c r="IBB38" s="168"/>
      <c r="IBC38" s="168"/>
      <c r="IBD38" s="168"/>
      <c r="IBE38" s="168"/>
      <c r="IBF38" s="168"/>
      <c r="IBG38" s="168"/>
      <c r="IBH38" s="168"/>
      <c r="IBI38" s="168"/>
      <c r="IBJ38" s="168"/>
      <c r="IBK38" s="168"/>
      <c r="IBL38" s="168"/>
      <c r="IBM38" s="168"/>
      <c r="IBN38" s="168"/>
      <c r="IBO38" s="168"/>
      <c r="IBP38" s="168"/>
      <c r="IBQ38" s="168"/>
      <c r="IBR38" s="168"/>
      <c r="IBS38" s="168"/>
      <c r="IBT38" s="168"/>
      <c r="IBU38" s="168"/>
      <c r="IBV38" s="168"/>
      <c r="IBW38" s="168"/>
      <c r="IBX38" s="168"/>
      <c r="IBY38" s="168"/>
      <c r="IBZ38" s="168"/>
      <c r="ICA38" s="168"/>
      <c r="ICB38" s="168"/>
      <c r="ICC38" s="168"/>
      <c r="ICD38" s="168"/>
      <c r="ICE38" s="168"/>
      <c r="ICF38" s="168"/>
      <c r="ICG38" s="168"/>
      <c r="ICH38" s="168"/>
      <c r="ICI38" s="168"/>
      <c r="ICJ38" s="168"/>
      <c r="ICK38" s="168"/>
      <c r="ICL38" s="168"/>
      <c r="ICM38" s="168"/>
      <c r="ICN38" s="168"/>
      <c r="ICO38" s="168"/>
      <c r="ICP38" s="168"/>
      <c r="ICQ38" s="168"/>
      <c r="ICR38" s="168"/>
      <c r="ICS38" s="168"/>
      <c r="ICT38" s="168"/>
      <c r="ICU38" s="168"/>
      <c r="ICV38" s="168"/>
      <c r="ICW38" s="168"/>
      <c r="ICX38" s="168"/>
      <c r="ICY38" s="168"/>
      <c r="ICZ38" s="168"/>
      <c r="IDA38" s="168"/>
      <c r="IDB38" s="168"/>
      <c r="IDC38" s="168"/>
      <c r="IDD38" s="168"/>
      <c r="IDE38" s="168"/>
      <c r="IDF38" s="168"/>
      <c r="IDG38" s="168"/>
      <c r="IDH38" s="168"/>
      <c r="IDI38" s="168"/>
      <c r="IDJ38" s="168"/>
      <c r="IDK38" s="168"/>
      <c r="IDL38" s="168"/>
      <c r="IDM38" s="168"/>
      <c r="IDN38" s="168"/>
      <c r="IDO38" s="168"/>
      <c r="IDP38" s="168"/>
      <c r="IDQ38" s="168"/>
      <c r="IDR38" s="168"/>
      <c r="IDS38" s="168"/>
      <c r="IDT38" s="168"/>
      <c r="IDU38" s="168"/>
      <c r="IDV38" s="168"/>
      <c r="IDW38" s="168"/>
      <c r="IDX38" s="168"/>
      <c r="IDY38" s="168"/>
      <c r="IDZ38" s="168"/>
      <c r="IEA38" s="168"/>
      <c r="IEB38" s="168"/>
      <c r="IEC38" s="168"/>
      <c r="IED38" s="168"/>
      <c r="IEE38" s="168"/>
      <c r="IEF38" s="168"/>
      <c r="IEG38" s="168"/>
      <c r="IEH38" s="168"/>
      <c r="IEI38" s="168"/>
      <c r="IEJ38" s="168"/>
      <c r="IEK38" s="168"/>
      <c r="IEL38" s="168"/>
      <c r="IEM38" s="168"/>
      <c r="IEN38" s="168"/>
      <c r="IEO38" s="168"/>
      <c r="IEP38" s="168"/>
      <c r="IEQ38" s="168"/>
      <c r="IER38" s="168"/>
      <c r="IES38" s="168"/>
      <c r="IET38" s="168"/>
      <c r="IEU38" s="168"/>
      <c r="IEV38" s="168"/>
      <c r="IEW38" s="168"/>
      <c r="IEX38" s="168"/>
      <c r="IEY38" s="168"/>
      <c r="IEZ38" s="168"/>
      <c r="IFA38" s="168"/>
      <c r="IFB38" s="168"/>
      <c r="IFC38" s="168"/>
      <c r="IFD38" s="168"/>
      <c r="IFE38" s="168"/>
      <c r="IFF38" s="168"/>
      <c r="IFG38" s="168"/>
      <c r="IFH38" s="168"/>
      <c r="IFI38" s="168"/>
      <c r="IFJ38" s="168"/>
      <c r="IFK38" s="168"/>
      <c r="IFL38" s="168"/>
      <c r="IFM38" s="168"/>
      <c r="IFN38" s="168"/>
      <c r="IFO38" s="168"/>
      <c r="IFP38" s="168"/>
      <c r="IFQ38" s="168"/>
      <c r="IFR38" s="168"/>
      <c r="IFS38" s="168"/>
      <c r="IFT38" s="168"/>
      <c r="IFU38" s="168"/>
      <c r="IFV38" s="168"/>
      <c r="IFW38" s="168"/>
      <c r="IFX38" s="168"/>
      <c r="IFY38" s="168"/>
      <c r="IFZ38" s="168"/>
      <c r="IGA38" s="168"/>
      <c r="IGB38" s="168"/>
      <c r="IGC38" s="168"/>
      <c r="IGD38" s="168"/>
      <c r="IGE38" s="168"/>
      <c r="IGF38" s="168"/>
      <c r="IGG38" s="168"/>
      <c r="IGH38" s="168"/>
      <c r="IGI38" s="168"/>
      <c r="IGJ38" s="168"/>
      <c r="IGK38" s="168"/>
      <c r="IGL38" s="168"/>
      <c r="IGM38" s="168"/>
      <c r="IGN38" s="168"/>
      <c r="IGO38" s="168"/>
      <c r="IGP38" s="168"/>
      <c r="IGQ38" s="168"/>
      <c r="IGR38" s="168"/>
      <c r="IGS38" s="168"/>
      <c r="IGT38" s="168"/>
      <c r="IGU38" s="168"/>
      <c r="IGV38" s="168"/>
      <c r="IGW38" s="168"/>
      <c r="IGX38" s="168"/>
      <c r="IGY38" s="168"/>
      <c r="IGZ38" s="168"/>
      <c r="IHA38" s="168"/>
      <c r="IHB38" s="168"/>
      <c r="IHC38" s="168"/>
      <c r="IHD38" s="168"/>
      <c r="IHE38" s="168"/>
      <c r="IHF38" s="168"/>
      <c r="IHG38" s="168"/>
      <c r="IHH38" s="168"/>
      <c r="IHI38" s="168"/>
      <c r="IHJ38" s="168"/>
      <c r="IHK38" s="168"/>
      <c r="IHL38" s="168"/>
      <c r="IHM38" s="168"/>
      <c r="IHN38" s="168"/>
      <c r="IHO38" s="168"/>
      <c r="IHP38" s="168"/>
      <c r="IHQ38" s="168"/>
      <c r="IHR38" s="168"/>
      <c r="IHS38" s="168"/>
      <c r="IHT38" s="168"/>
      <c r="IHU38" s="168"/>
      <c r="IHV38" s="168"/>
      <c r="IHW38" s="168"/>
      <c r="IHX38" s="168"/>
      <c r="IHY38" s="168"/>
      <c r="IHZ38" s="168"/>
      <c r="IIA38" s="168"/>
      <c r="IIB38" s="168"/>
      <c r="IIC38" s="168"/>
      <c r="IID38" s="168"/>
      <c r="IIE38" s="168"/>
      <c r="IIF38" s="168"/>
      <c r="IIG38" s="168"/>
      <c r="IIH38" s="168"/>
      <c r="III38" s="168"/>
      <c r="IIJ38" s="168"/>
      <c r="IIK38" s="168"/>
      <c r="IIL38" s="168"/>
      <c r="IIM38" s="168"/>
      <c r="IIN38" s="168"/>
      <c r="IIO38" s="168"/>
      <c r="IIP38" s="168"/>
      <c r="IIQ38" s="168"/>
      <c r="IIR38" s="168"/>
      <c r="IIS38" s="168"/>
      <c r="IIT38" s="168"/>
      <c r="IIU38" s="168"/>
      <c r="IIV38" s="168"/>
      <c r="IIW38" s="168"/>
      <c r="IIX38" s="168"/>
      <c r="IIY38" s="168"/>
      <c r="IIZ38" s="168"/>
      <c r="IJA38" s="168"/>
      <c r="IJB38" s="168"/>
      <c r="IJC38" s="168"/>
      <c r="IJD38" s="168"/>
      <c r="IJE38" s="168"/>
      <c r="IJF38" s="168"/>
      <c r="IJG38" s="168"/>
      <c r="IJH38" s="168"/>
      <c r="IJI38" s="168"/>
      <c r="IJJ38" s="168"/>
      <c r="IJK38" s="168"/>
      <c r="IJL38" s="168"/>
      <c r="IJM38" s="168"/>
      <c r="IJN38" s="168"/>
      <c r="IJO38" s="168"/>
      <c r="IJP38" s="168"/>
      <c r="IJQ38" s="168"/>
      <c r="IJR38" s="168"/>
      <c r="IJS38" s="168"/>
      <c r="IJT38" s="168"/>
      <c r="IJU38" s="168"/>
      <c r="IJV38" s="168"/>
      <c r="IJW38" s="168"/>
      <c r="IJX38" s="168"/>
      <c r="IJY38" s="168"/>
      <c r="IJZ38" s="168"/>
      <c r="IKA38" s="168"/>
      <c r="IKB38" s="168"/>
      <c r="IKC38" s="168"/>
      <c r="IKD38" s="168"/>
      <c r="IKE38" s="168"/>
      <c r="IKF38" s="168"/>
      <c r="IKG38" s="168"/>
      <c r="IKH38" s="168"/>
      <c r="IKI38" s="168"/>
      <c r="IKJ38" s="168"/>
      <c r="IKK38" s="168"/>
      <c r="IKL38" s="168"/>
      <c r="IKM38" s="168"/>
      <c r="IKN38" s="168"/>
      <c r="IKO38" s="168"/>
      <c r="IKP38" s="168"/>
      <c r="IKQ38" s="168"/>
      <c r="IKR38" s="168"/>
      <c r="IKS38" s="168"/>
      <c r="IKT38" s="168"/>
      <c r="IKU38" s="168"/>
      <c r="IKV38" s="168"/>
      <c r="IKW38" s="168"/>
      <c r="IKX38" s="168"/>
      <c r="IKY38" s="168"/>
      <c r="IKZ38" s="168"/>
      <c r="ILA38" s="168"/>
      <c r="ILB38" s="168"/>
      <c r="ILC38" s="168"/>
      <c r="ILD38" s="168"/>
      <c r="ILE38" s="168"/>
      <c r="ILF38" s="168"/>
      <c r="ILG38" s="168"/>
      <c r="ILH38" s="168"/>
      <c r="ILI38" s="168"/>
      <c r="ILJ38" s="168"/>
      <c r="ILK38" s="168"/>
      <c r="ILL38" s="168"/>
      <c r="ILM38" s="168"/>
      <c r="ILN38" s="168"/>
      <c r="ILO38" s="168"/>
      <c r="ILP38" s="168"/>
      <c r="ILQ38" s="168"/>
      <c r="ILR38" s="168"/>
      <c r="ILS38" s="168"/>
      <c r="ILT38" s="168"/>
      <c r="ILU38" s="168"/>
      <c r="ILV38" s="168"/>
      <c r="ILW38" s="168"/>
      <c r="ILX38" s="168"/>
      <c r="ILY38" s="168"/>
      <c r="ILZ38" s="168"/>
      <c r="IMA38" s="168"/>
      <c r="IMB38" s="168"/>
      <c r="IMC38" s="168"/>
      <c r="IMD38" s="168"/>
      <c r="IME38" s="168"/>
      <c r="IMF38" s="168"/>
      <c r="IMG38" s="168"/>
      <c r="IMH38" s="168"/>
      <c r="IMI38" s="168"/>
      <c r="IMJ38" s="168"/>
      <c r="IMK38" s="168"/>
      <c r="IML38" s="168"/>
      <c r="IMM38" s="168"/>
      <c r="IMN38" s="168"/>
      <c r="IMO38" s="168"/>
      <c r="IMP38" s="168"/>
      <c r="IMQ38" s="168"/>
      <c r="IMR38" s="168"/>
      <c r="IMS38" s="168"/>
      <c r="IMT38" s="168"/>
      <c r="IMU38" s="168"/>
      <c r="IMV38" s="168"/>
      <c r="IMW38" s="168"/>
      <c r="IMX38" s="168"/>
      <c r="IMY38" s="168"/>
      <c r="IMZ38" s="168"/>
      <c r="INA38" s="168"/>
      <c r="INB38" s="168"/>
      <c r="INC38" s="168"/>
      <c r="IND38" s="168"/>
      <c r="INE38" s="168"/>
      <c r="INF38" s="168"/>
      <c r="ING38" s="168"/>
      <c r="INH38" s="168"/>
      <c r="INI38" s="168"/>
      <c r="INJ38" s="168"/>
      <c r="INK38" s="168"/>
      <c r="INL38" s="168"/>
      <c r="INM38" s="168"/>
      <c r="INN38" s="168"/>
      <c r="INO38" s="168"/>
      <c r="INP38" s="168"/>
      <c r="INQ38" s="168"/>
      <c r="INR38" s="168"/>
      <c r="INS38" s="168"/>
      <c r="INT38" s="168"/>
      <c r="INU38" s="168"/>
      <c r="INV38" s="168"/>
      <c r="INW38" s="168"/>
      <c r="INX38" s="168"/>
      <c r="INY38" s="168"/>
      <c r="INZ38" s="168"/>
      <c r="IOA38" s="168"/>
      <c r="IOB38" s="168"/>
      <c r="IOC38" s="168"/>
      <c r="IOD38" s="168"/>
      <c r="IOE38" s="168"/>
      <c r="IOF38" s="168"/>
      <c r="IOG38" s="168"/>
      <c r="IOH38" s="168"/>
      <c r="IOI38" s="168"/>
      <c r="IOJ38" s="168"/>
      <c r="IOK38" s="168"/>
      <c r="IOL38" s="168"/>
      <c r="IOM38" s="168"/>
      <c r="ION38" s="168"/>
      <c r="IOO38" s="168"/>
      <c r="IOP38" s="168"/>
      <c r="IOQ38" s="168"/>
      <c r="IOR38" s="168"/>
      <c r="IOS38" s="168"/>
      <c r="IOT38" s="168"/>
      <c r="IOU38" s="168"/>
      <c r="IOV38" s="168"/>
      <c r="IOW38" s="168"/>
      <c r="IOX38" s="168"/>
      <c r="IOY38" s="168"/>
      <c r="IOZ38" s="168"/>
      <c r="IPA38" s="168"/>
      <c r="IPB38" s="168"/>
      <c r="IPC38" s="168"/>
      <c r="IPD38" s="168"/>
      <c r="IPE38" s="168"/>
      <c r="IPF38" s="168"/>
      <c r="IPG38" s="168"/>
      <c r="IPH38" s="168"/>
      <c r="IPI38" s="168"/>
      <c r="IPJ38" s="168"/>
      <c r="IPK38" s="168"/>
      <c r="IPL38" s="168"/>
      <c r="IPM38" s="168"/>
      <c r="IPN38" s="168"/>
      <c r="IPO38" s="168"/>
      <c r="IPP38" s="168"/>
      <c r="IPQ38" s="168"/>
      <c r="IPR38" s="168"/>
      <c r="IPS38" s="168"/>
      <c r="IPT38" s="168"/>
      <c r="IPU38" s="168"/>
      <c r="IPV38" s="168"/>
      <c r="IPW38" s="168"/>
      <c r="IPX38" s="168"/>
      <c r="IPY38" s="168"/>
      <c r="IPZ38" s="168"/>
      <c r="IQA38" s="168"/>
      <c r="IQB38" s="168"/>
      <c r="IQC38" s="168"/>
      <c r="IQD38" s="168"/>
      <c r="IQE38" s="168"/>
      <c r="IQF38" s="168"/>
      <c r="IQG38" s="168"/>
      <c r="IQH38" s="168"/>
      <c r="IQI38" s="168"/>
      <c r="IQJ38" s="168"/>
      <c r="IQK38" s="168"/>
      <c r="IQL38" s="168"/>
      <c r="IQM38" s="168"/>
      <c r="IQN38" s="168"/>
      <c r="IQO38" s="168"/>
      <c r="IQP38" s="168"/>
      <c r="IQQ38" s="168"/>
      <c r="IQR38" s="168"/>
      <c r="IQS38" s="168"/>
      <c r="IQT38" s="168"/>
      <c r="IQU38" s="168"/>
      <c r="IQV38" s="168"/>
      <c r="IQW38" s="168"/>
      <c r="IQX38" s="168"/>
      <c r="IQY38" s="168"/>
      <c r="IQZ38" s="168"/>
      <c r="IRA38" s="168"/>
      <c r="IRB38" s="168"/>
      <c r="IRC38" s="168"/>
      <c r="IRD38" s="168"/>
      <c r="IRE38" s="168"/>
      <c r="IRF38" s="168"/>
      <c r="IRG38" s="168"/>
      <c r="IRH38" s="168"/>
      <c r="IRI38" s="168"/>
      <c r="IRJ38" s="168"/>
      <c r="IRK38" s="168"/>
      <c r="IRL38" s="168"/>
      <c r="IRM38" s="168"/>
      <c r="IRN38" s="168"/>
      <c r="IRO38" s="168"/>
      <c r="IRP38" s="168"/>
      <c r="IRQ38" s="168"/>
      <c r="IRR38" s="168"/>
      <c r="IRS38" s="168"/>
      <c r="IRT38" s="168"/>
      <c r="IRU38" s="168"/>
      <c r="IRV38" s="168"/>
      <c r="IRW38" s="168"/>
      <c r="IRX38" s="168"/>
      <c r="IRY38" s="168"/>
      <c r="IRZ38" s="168"/>
      <c r="ISA38" s="168"/>
      <c r="ISB38" s="168"/>
      <c r="ISC38" s="168"/>
      <c r="ISD38" s="168"/>
      <c r="ISE38" s="168"/>
      <c r="ISF38" s="168"/>
      <c r="ISG38" s="168"/>
      <c r="ISH38" s="168"/>
      <c r="ISI38" s="168"/>
      <c r="ISJ38" s="168"/>
      <c r="ISK38" s="168"/>
      <c r="ISL38" s="168"/>
      <c r="ISM38" s="168"/>
      <c r="ISN38" s="168"/>
      <c r="ISO38" s="168"/>
      <c r="ISP38" s="168"/>
      <c r="ISQ38" s="168"/>
      <c r="ISR38" s="168"/>
      <c r="ISS38" s="168"/>
      <c r="IST38" s="168"/>
      <c r="ISU38" s="168"/>
      <c r="ISV38" s="168"/>
      <c r="ISW38" s="168"/>
      <c r="ISX38" s="168"/>
      <c r="ISY38" s="168"/>
      <c r="ISZ38" s="168"/>
      <c r="ITA38" s="168"/>
      <c r="ITB38" s="168"/>
      <c r="ITC38" s="168"/>
      <c r="ITD38" s="168"/>
      <c r="ITE38" s="168"/>
      <c r="ITF38" s="168"/>
      <c r="ITG38" s="168"/>
      <c r="ITH38" s="168"/>
      <c r="ITI38" s="168"/>
      <c r="ITJ38" s="168"/>
      <c r="ITK38" s="168"/>
      <c r="ITL38" s="168"/>
      <c r="ITM38" s="168"/>
      <c r="ITN38" s="168"/>
      <c r="ITO38" s="168"/>
      <c r="ITP38" s="168"/>
      <c r="ITQ38" s="168"/>
      <c r="ITR38" s="168"/>
      <c r="ITS38" s="168"/>
      <c r="ITT38" s="168"/>
      <c r="ITU38" s="168"/>
      <c r="ITV38" s="168"/>
      <c r="ITW38" s="168"/>
      <c r="ITX38" s="168"/>
      <c r="ITY38" s="168"/>
      <c r="ITZ38" s="168"/>
      <c r="IUA38" s="168"/>
      <c r="IUB38" s="168"/>
      <c r="IUC38" s="168"/>
      <c r="IUD38" s="168"/>
      <c r="IUE38" s="168"/>
      <c r="IUF38" s="168"/>
      <c r="IUG38" s="168"/>
      <c r="IUH38" s="168"/>
      <c r="IUI38" s="168"/>
      <c r="IUJ38" s="168"/>
      <c r="IUK38" s="168"/>
      <c r="IUL38" s="168"/>
      <c r="IUM38" s="168"/>
      <c r="IUN38" s="168"/>
      <c r="IUO38" s="168"/>
      <c r="IUP38" s="168"/>
      <c r="IUQ38" s="168"/>
      <c r="IUR38" s="168"/>
      <c r="IUS38" s="168"/>
      <c r="IUT38" s="168"/>
      <c r="IUU38" s="168"/>
      <c r="IUV38" s="168"/>
      <c r="IUW38" s="168"/>
      <c r="IUX38" s="168"/>
      <c r="IUY38" s="168"/>
      <c r="IUZ38" s="168"/>
      <c r="IVA38" s="168"/>
      <c r="IVB38" s="168"/>
      <c r="IVC38" s="168"/>
      <c r="IVD38" s="168"/>
      <c r="IVE38" s="168"/>
      <c r="IVF38" s="168"/>
      <c r="IVG38" s="168"/>
      <c r="IVH38" s="168"/>
      <c r="IVI38" s="168"/>
      <c r="IVJ38" s="168"/>
      <c r="IVK38" s="168"/>
      <c r="IVL38" s="168"/>
      <c r="IVM38" s="168"/>
      <c r="IVN38" s="168"/>
      <c r="IVO38" s="168"/>
      <c r="IVP38" s="168"/>
      <c r="IVQ38" s="168"/>
      <c r="IVR38" s="168"/>
      <c r="IVS38" s="168"/>
      <c r="IVT38" s="168"/>
      <c r="IVU38" s="168"/>
      <c r="IVV38" s="168"/>
      <c r="IVW38" s="168"/>
      <c r="IVX38" s="168"/>
      <c r="IVY38" s="168"/>
      <c r="IVZ38" s="168"/>
      <c r="IWA38" s="168"/>
      <c r="IWB38" s="168"/>
      <c r="IWC38" s="168"/>
      <c r="IWD38" s="168"/>
      <c r="IWE38" s="168"/>
      <c r="IWF38" s="168"/>
      <c r="IWG38" s="168"/>
      <c r="IWH38" s="168"/>
      <c r="IWI38" s="168"/>
      <c r="IWJ38" s="168"/>
      <c r="IWK38" s="168"/>
      <c r="IWL38" s="168"/>
      <c r="IWM38" s="168"/>
      <c r="IWN38" s="168"/>
      <c r="IWO38" s="168"/>
      <c r="IWP38" s="168"/>
      <c r="IWQ38" s="168"/>
      <c r="IWR38" s="168"/>
      <c r="IWS38" s="168"/>
      <c r="IWT38" s="168"/>
      <c r="IWU38" s="168"/>
      <c r="IWV38" s="168"/>
      <c r="IWW38" s="168"/>
      <c r="IWX38" s="168"/>
      <c r="IWY38" s="168"/>
      <c r="IWZ38" s="168"/>
      <c r="IXA38" s="168"/>
      <c r="IXB38" s="168"/>
      <c r="IXC38" s="168"/>
      <c r="IXD38" s="168"/>
      <c r="IXE38" s="168"/>
      <c r="IXF38" s="168"/>
      <c r="IXG38" s="168"/>
      <c r="IXH38" s="168"/>
      <c r="IXI38" s="168"/>
      <c r="IXJ38" s="168"/>
      <c r="IXK38" s="168"/>
      <c r="IXL38" s="168"/>
      <c r="IXM38" s="168"/>
      <c r="IXN38" s="168"/>
      <c r="IXO38" s="168"/>
      <c r="IXP38" s="168"/>
      <c r="IXQ38" s="168"/>
      <c r="IXR38" s="168"/>
      <c r="IXS38" s="168"/>
      <c r="IXT38" s="168"/>
      <c r="IXU38" s="168"/>
      <c r="IXV38" s="168"/>
      <c r="IXW38" s="168"/>
      <c r="IXX38" s="168"/>
      <c r="IXY38" s="168"/>
      <c r="IXZ38" s="168"/>
      <c r="IYA38" s="168"/>
      <c r="IYB38" s="168"/>
      <c r="IYC38" s="168"/>
      <c r="IYD38" s="168"/>
      <c r="IYE38" s="168"/>
      <c r="IYF38" s="168"/>
      <c r="IYG38" s="168"/>
      <c r="IYH38" s="168"/>
      <c r="IYI38" s="168"/>
      <c r="IYJ38" s="168"/>
      <c r="IYK38" s="168"/>
      <c r="IYL38" s="168"/>
      <c r="IYM38" s="168"/>
      <c r="IYN38" s="168"/>
      <c r="IYO38" s="168"/>
      <c r="IYP38" s="168"/>
      <c r="IYQ38" s="168"/>
      <c r="IYR38" s="168"/>
      <c r="IYS38" s="168"/>
      <c r="IYT38" s="168"/>
      <c r="IYU38" s="168"/>
      <c r="IYV38" s="168"/>
      <c r="IYW38" s="168"/>
      <c r="IYX38" s="168"/>
      <c r="IYY38" s="168"/>
      <c r="IYZ38" s="168"/>
      <c r="IZA38" s="168"/>
      <c r="IZB38" s="168"/>
      <c r="IZC38" s="168"/>
      <c r="IZD38" s="168"/>
      <c r="IZE38" s="168"/>
      <c r="IZF38" s="168"/>
      <c r="IZG38" s="168"/>
      <c r="IZH38" s="168"/>
      <c r="IZI38" s="168"/>
      <c r="IZJ38" s="168"/>
      <c r="IZK38" s="168"/>
      <c r="IZL38" s="168"/>
      <c r="IZM38" s="168"/>
      <c r="IZN38" s="168"/>
      <c r="IZO38" s="168"/>
      <c r="IZP38" s="168"/>
      <c r="IZQ38" s="168"/>
      <c r="IZR38" s="168"/>
      <c r="IZS38" s="168"/>
      <c r="IZT38" s="168"/>
      <c r="IZU38" s="168"/>
      <c r="IZV38" s="168"/>
      <c r="IZW38" s="168"/>
      <c r="IZX38" s="168"/>
      <c r="IZY38" s="168"/>
      <c r="IZZ38" s="168"/>
      <c r="JAA38" s="168"/>
      <c r="JAB38" s="168"/>
      <c r="JAC38" s="168"/>
      <c r="JAD38" s="168"/>
      <c r="JAE38" s="168"/>
      <c r="JAF38" s="168"/>
      <c r="JAG38" s="168"/>
      <c r="JAH38" s="168"/>
      <c r="JAI38" s="168"/>
      <c r="JAJ38" s="168"/>
      <c r="JAK38" s="168"/>
      <c r="JAL38" s="168"/>
      <c r="JAM38" s="168"/>
      <c r="JAN38" s="168"/>
      <c r="JAO38" s="168"/>
      <c r="JAP38" s="168"/>
      <c r="JAQ38" s="168"/>
      <c r="JAR38" s="168"/>
      <c r="JAS38" s="168"/>
      <c r="JAT38" s="168"/>
      <c r="JAU38" s="168"/>
      <c r="JAV38" s="168"/>
      <c r="JAW38" s="168"/>
      <c r="JAX38" s="168"/>
      <c r="JAY38" s="168"/>
      <c r="JAZ38" s="168"/>
      <c r="JBA38" s="168"/>
      <c r="JBB38" s="168"/>
      <c r="JBC38" s="168"/>
      <c r="JBD38" s="168"/>
      <c r="JBE38" s="168"/>
      <c r="JBF38" s="168"/>
      <c r="JBG38" s="168"/>
      <c r="JBH38" s="168"/>
      <c r="JBI38" s="168"/>
      <c r="JBJ38" s="168"/>
      <c r="JBK38" s="168"/>
      <c r="JBL38" s="168"/>
      <c r="JBM38" s="168"/>
      <c r="JBN38" s="168"/>
      <c r="JBO38" s="168"/>
      <c r="JBP38" s="168"/>
      <c r="JBQ38" s="168"/>
      <c r="JBR38" s="168"/>
      <c r="JBS38" s="168"/>
      <c r="JBT38" s="168"/>
      <c r="JBU38" s="168"/>
      <c r="JBV38" s="168"/>
      <c r="JBW38" s="168"/>
      <c r="JBX38" s="168"/>
      <c r="JBY38" s="168"/>
      <c r="JBZ38" s="168"/>
      <c r="JCA38" s="168"/>
      <c r="JCB38" s="168"/>
      <c r="JCC38" s="168"/>
      <c r="JCD38" s="168"/>
      <c r="JCE38" s="168"/>
      <c r="JCF38" s="168"/>
      <c r="JCG38" s="168"/>
      <c r="JCH38" s="168"/>
      <c r="JCI38" s="168"/>
      <c r="JCJ38" s="168"/>
      <c r="JCK38" s="168"/>
      <c r="JCL38" s="168"/>
      <c r="JCM38" s="168"/>
      <c r="JCN38" s="168"/>
      <c r="JCO38" s="168"/>
      <c r="JCP38" s="168"/>
      <c r="JCQ38" s="168"/>
      <c r="JCR38" s="168"/>
      <c r="JCS38" s="168"/>
      <c r="JCT38" s="168"/>
      <c r="JCU38" s="168"/>
      <c r="JCV38" s="168"/>
      <c r="JCW38" s="168"/>
      <c r="JCX38" s="168"/>
      <c r="JCY38" s="168"/>
      <c r="JCZ38" s="168"/>
      <c r="JDA38" s="168"/>
      <c r="JDB38" s="168"/>
      <c r="JDC38" s="168"/>
      <c r="JDD38" s="168"/>
      <c r="JDE38" s="168"/>
      <c r="JDF38" s="168"/>
      <c r="JDG38" s="168"/>
      <c r="JDH38" s="168"/>
      <c r="JDI38" s="168"/>
      <c r="JDJ38" s="168"/>
      <c r="JDK38" s="168"/>
      <c r="JDL38" s="168"/>
      <c r="JDM38" s="168"/>
      <c r="JDN38" s="168"/>
      <c r="JDO38" s="168"/>
      <c r="JDP38" s="168"/>
      <c r="JDQ38" s="168"/>
      <c r="JDR38" s="168"/>
      <c r="JDS38" s="168"/>
      <c r="JDT38" s="168"/>
      <c r="JDU38" s="168"/>
      <c r="JDV38" s="168"/>
      <c r="JDW38" s="168"/>
      <c r="JDX38" s="168"/>
      <c r="JDY38" s="168"/>
      <c r="JDZ38" s="168"/>
      <c r="JEA38" s="168"/>
      <c r="JEB38" s="168"/>
      <c r="JEC38" s="168"/>
      <c r="JED38" s="168"/>
      <c r="JEE38" s="168"/>
      <c r="JEF38" s="168"/>
      <c r="JEG38" s="168"/>
      <c r="JEH38" s="168"/>
      <c r="JEI38" s="168"/>
      <c r="JEJ38" s="168"/>
      <c r="JEK38" s="168"/>
      <c r="JEL38" s="168"/>
      <c r="JEM38" s="168"/>
      <c r="JEN38" s="168"/>
      <c r="JEO38" s="168"/>
      <c r="JEP38" s="168"/>
      <c r="JEQ38" s="168"/>
      <c r="JER38" s="168"/>
      <c r="JES38" s="168"/>
      <c r="JET38" s="168"/>
      <c r="JEU38" s="168"/>
      <c r="JEV38" s="168"/>
      <c r="JEW38" s="168"/>
      <c r="JEX38" s="168"/>
      <c r="JEY38" s="168"/>
      <c r="JEZ38" s="168"/>
      <c r="JFA38" s="168"/>
      <c r="JFB38" s="168"/>
      <c r="JFC38" s="168"/>
      <c r="JFD38" s="168"/>
      <c r="JFE38" s="168"/>
      <c r="JFF38" s="168"/>
      <c r="JFG38" s="168"/>
      <c r="JFH38" s="168"/>
      <c r="JFI38" s="168"/>
      <c r="JFJ38" s="168"/>
      <c r="JFK38" s="168"/>
      <c r="JFL38" s="168"/>
      <c r="JFM38" s="168"/>
      <c r="JFN38" s="168"/>
      <c r="JFO38" s="168"/>
      <c r="JFP38" s="168"/>
      <c r="JFQ38" s="168"/>
      <c r="JFR38" s="168"/>
      <c r="JFS38" s="168"/>
      <c r="JFT38" s="168"/>
      <c r="JFU38" s="168"/>
      <c r="JFV38" s="168"/>
      <c r="JFW38" s="168"/>
      <c r="JFX38" s="168"/>
      <c r="JFY38" s="168"/>
      <c r="JFZ38" s="168"/>
      <c r="JGA38" s="168"/>
      <c r="JGB38" s="168"/>
      <c r="JGC38" s="168"/>
      <c r="JGD38" s="168"/>
      <c r="JGE38" s="168"/>
      <c r="JGF38" s="168"/>
      <c r="JGG38" s="168"/>
      <c r="JGH38" s="168"/>
      <c r="JGI38" s="168"/>
      <c r="JGJ38" s="168"/>
      <c r="JGK38" s="168"/>
      <c r="JGL38" s="168"/>
      <c r="JGM38" s="168"/>
      <c r="JGN38" s="168"/>
      <c r="JGO38" s="168"/>
      <c r="JGP38" s="168"/>
      <c r="JGQ38" s="168"/>
      <c r="JGR38" s="168"/>
      <c r="JGS38" s="168"/>
      <c r="JGT38" s="168"/>
      <c r="JGU38" s="168"/>
      <c r="JGV38" s="168"/>
      <c r="JGW38" s="168"/>
      <c r="JGX38" s="168"/>
      <c r="JGY38" s="168"/>
      <c r="JGZ38" s="168"/>
      <c r="JHA38" s="168"/>
      <c r="JHB38" s="168"/>
      <c r="JHC38" s="168"/>
      <c r="JHD38" s="168"/>
      <c r="JHE38" s="168"/>
      <c r="JHF38" s="168"/>
      <c r="JHG38" s="168"/>
      <c r="JHH38" s="168"/>
      <c r="JHI38" s="168"/>
      <c r="JHJ38" s="168"/>
      <c r="JHK38" s="168"/>
      <c r="JHL38" s="168"/>
      <c r="JHM38" s="168"/>
      <c r="JHN38" s="168"/>
      <c r="JHO38" s="168"/>
      <c r="JHP38" s="168"/>
      <c r="JHQ38" s="168"/>
      <c r="JHR38" s="168"/>
      <c r="JHS38" s="168"/>
      <c r="JHT38" s="168"/>
      <c r="JHU38" s="168"/>
      <c r="JHV38" s="168"/>
      <c r="JHW38" s="168"/>
      <c r="JHX38" s="168"/>
      <c r="JHY38" s="168"/>
      <c r="JHZ38" s="168"/>
      <c r="JIA38" s="168"/>
      <c r="JIB38" s="168"/>
      <c r="JIC38" s="168"/>
      <c r="JID38" s="168"/>
      <c r="JIE38" s="168"/>
      <c r="JIF38" s="168"/>
      <c r="JIG38" s="168"/>
      <c r="JIH38" s="168"/>
      <c r="JII38" s="168"/>
      <c r="JIJ38" s="168"/>
      <c r="JIK38" s="168"/>
      <c r="JIL38" s="168"/>
      <c r="JIM38" s="168"/>
      <c r="JIN38" s="168"/>
      <c r="JIO38" s="168"/>
      <c r="JIP38" s="168"/>
      <c r="JIQ38" s="168"/>
      <c r="JIR38" s="168"/>
      <c r="JIS38" s="168"/>
      <c r="JIT38" s="168"/>
      <c r="JIU38" s="168"/>
      <c r="JIV38" s="168"/>
      <c r="JIW38" s="168"/>
      <c r="JIX38" s="168"/>
      <c r="JIY38" s="168"/>
      <c r="JIZ38" s="168"/>
      <c r="JJA38" s="168"/>
      <c r="JJB38" s="168"/>
      <c r="JJC38" s="168"/>
      <c r="JJD38" s="168"/>
      <c r="JJE38" s="168"/>
      <c r="JJF38" s="168"/>
      <c r="JJG38" s="168"/>
      <c r="JJH38" s="168"/>
      <c r="JJI38" s="168"/>
      <c r="JJJ38" s="168"/>
      <c r="JJK38" s="168"/>
      <c r="JJL38" s="168"/>
      <c r="JJM38" s="168"/>
      <c r="JJN38" s="168"/>
      <c r="JJO38" s="168"/>
      <c r="JJP38" s="168"/>
      <c r="JJQ38" s="168"/>
      <c r="JJR38" s="168"/>
      <c r="JJS38" s="168"/>
      <c r="JJT38" s="168"/>
      <c r="JJU38" s="168"/>
      <c r="JJV38" s="168"/>
      <c r="JJW38" s="168"/>
      <c r="JJX38" s="168"/>
      <c r="JJY38" s="168"/>
      <c r="JJZ38" s="168"/>
      <c r="JKA38" s="168"/>
      <c r="JKB38" s="168"/>
      <c r="JKC38" s="168"/>
      <c r="JKD38" s="168"/>
      <c r="JKE38" s="168"/>
      <c r="JKF38" s="168"/>
      <c r="JKG38" s="168"/>
      <c r="JKH38" s="168"/>
      <c r="JKI38" s="168"/>
      <c r="JKJ38" s="168"/>
      <c r="JKK38" s="168"/>
      <c r="JKL38" s="168"/>
      <c r="JKM38" s="168"/>
      <c r="JKN38" s="168"/>
      <c r="JKO38" s="168"/>
      <c r="JKP38" s="168"/>
      <c r="JKQ38" s="168"/>
      <c r="JKR38" s="168"/>
      <c r="JKS38" s="168"/>
      <c r="JKT38" s="168"/>
      <c r="JKU38" s="168"/>
      <c r="JKV38" s="168"/>
      <c r="JKW38" s="168"/>
      <c r="JKX38" s="168"/>
      <c r="JKY38" s="168"/>
      <c r="JKZ38" s="168"/>
      <c r="JLA38" s="168"/>
      <c r="JLB38" s="168"/>
      <c r="JLC38" s="168"/>
      <c r="JLD38" s="168"/>
      <c r="JLE38" s="168"/>
      <c r="JLF38" s="168"/>
      <c r="JLG38" s="168"/>
      <c r="JLH38" s="168"/>
      <c r="JLI38" s="168"/>
      <c r="JLJ38" s="168"/>
      <c r="JLK38" s="168"/>
      <c r="JLL38" s="168"/>
      <c r="JLM38" s="168"/>
      <c r="JLN38" s="168"/>
      <c r="JLO38" s="168"/>
      <c r="JLP38" s="168"/>
      <c r="JLQ38" s="168"/>
      <c r="JLR38" s="168"/>
      <c r="JLS38" s="168"/>
      <c r="JLT38" s="168"/>
      <c r="JLU38" s="168"/>
      <c r="JLV38" s="168"/>
      <c r="JLW38" s="168"/>
      <c r="JLX38" s="168"/>
      <c r="JLY38" s="168"/>
      <c r="JLZ38" s="168"/>
      <c r="JMA38" s="168"/>
      <c r="JMB38" s="168"/>
      <c r="JMC38" s="168"/>
      <c r="JMD38" s="168"/>
      <c r="JME38" s="168"/>
      <c r="JMF38" s="168"/>
      <c r="JMG38" s="168"/>
      <c r="JMH38" s="168"/>
      <c r="JMI38" s="168"/>
      <c r="JMJ38" s="168"/>
      <c r="JMK38" s="168"/>
      <c r="JML38" s="168"/>
      <c r="JMM38" s="168"/>
      <c r="JMN38" s="168"/>
      <c r="JMO38" s="168"/>
      <c r="JMP38" s="168"/>
      <c r="JMQ38" s="168"/>
      <c r="JMR38" s="168"/>
      <c r="JMS38" s="168"/>
      <c r="JMT38" s="168"/>
      <c r="JMU38" s="168"/>
      <c r="JMV38" s="168"/>
      <c r="JMW38" s="168"/>
      <c r="JMX38" s="168"/>
      <c r="JMY38" s="168"/>
      <c r="JMZ38" s="168"/>
      <c r="JNA38" s="168"/>
      <c r="JNB38" s="168"/>
      <c r="JNC38" s="168"/>
      <c r="JND38" s="168"/>
      <c r="JNE38" s="168"/>
      <c r="JNF38" s="168"/>
      <c r="JNG38" s="168"/>
      <c r="JNH38" s="168"/>
      <c r="JNI38" s="168"/>
      <c r="JNJ38" s="168"/>
      <c r="JNK38" s="168"/>
      <c r="JNL38" s="168"/>
      <c r="JNM38" s="168"/>
      <c r="JNN38" s="168"/>
      <c r="JNO38" s="168"/>
      <c r="JNP38" s="168"/>
      <c r="JNQ38" s="168"/>
      <c r="JNR38" s="168"/>
      <c r="JNS38" s="168"/>
      <c r="JNT38" s="168"/>
      <c r="JNU38" s="168"/>
      <c r="JNV38" s="168"/>
      <c r="JNW38" s="168"/>
      <c r="JNX38" s="168"/>
      <c r="JNY38" s="168"/>
      <c r="JNZ38" s="168"/>
      <c r="JOA38" s="168"/>
      <c r="JOB38" s="168"/>
      <c r="JOC38" s="168"/>
      <c r="JOD38" s="168"/>
      <c r="JOE38" s="168"/>
      <c r="JOF38" s="168"/>
      <c r="JOG38" s="168"/>
      <c r="JOH38" s="168"/>
      <c r="JOI38" s="168"/>
      <c r="JOJ38" s="168"/>
      <c r="JOK38" s="168"/>
      <c r="JOL38" s="168"/>
      <c r="JOM38" s="168"/>
      <c r="JON38" s="168"/>
      <c r="JOO38" s="168"/>
      <c r="JOP38" s="168"/>
      <c r="JOQ38" s="168"/>
      <c r="JOR38" s="168"/>
      <c r="JOS38" s="168"/>
      <c r="JOT38" s="168"/>
      <c r="JOU38" s="168"/>
      <c r="JOV38" s="168"/>
      <c r="JOW38" s="168"/>
      <c r="JOX38" s="168"/>
      <c r="JOY38" s="168"/>
      <c r="JOZ38" s="168"/>
      <c r="JPA38" s="168"/>
      <c r="JPB38" s="168"/>
      <c r="JPC38" s="168"/>
      <c r="JPD38" s="168"/>
      <c r="JPE38" s="168"/>
      <c r="JPF38" s="168"/>
      <c r="JPG38" s="168"/>
      <c r="JPH38" s="168"/>
      <c r="JPI38" s="168"/>
      <c r="JPJ38" s="168"/>
      <c r="JPK38" s="168"/>
      <c r="JPL38" s="168"/>
      <c r="JPM38" s="168"/>
      <c r="JPN38" s="168"/>
      <c r="JPO38" s="168"/>
      <c r="JPP38" s="168"/>
      <c r="JPQ38" s="168"/>
      <c r="JPR38" s="168"/>
      <c r="JPS38" s="168"/>
      <c r="JPT38" s="168"/>
      <c r="JPU38" s="168"/>
      <c r="JPV38" s="168"/>
      <c r="JPW38" s="168"/>
      <c r="JPX38" s="168"/>
      <c r="JPY38" s="168"/>
      <c r="JPZ38" s="168"/>
      <c r="JQA38" s="168"/>
      <c r="JQB38" s="168"/>
      <c r="JQC38" s="168"/>
      <c r="JQD38" s="168"/>
      <c r="JQE38" s="168"/>
      <c r="JQF38" s="168"/>
      <c r="JQG38" s="168"/>
      <c r="JQH38" s="168"/>
      <c r="JQI38" s="168"/>
      <c r="JQJ38" s="168"/>
      <c r="JQK38" s="168"/>
      <c r="JQL38" s="168"/>
      <c r="JQM38" s="168"/>
      <c r="JQN38" s="168"/>
      <c r="JQO38" s="168"/>
      <c r="JQP38" s="168"/>
      <c r="JQQ38" s="168"/>
      <c r="JQR38" s="168"/>
      <c r="JQS38" s="168"/>
      <c r="JQT38" s="168"/>
      <c r="JQU38" s="168"/>
      <c r="JQV38" s="168"/>
      <c r="JQW38" s="168"/>
      <c r="JQX38" s="168"/>
      <c r="JQY38" s="168"/>
      <c r="JQZ38" s="168"/>
      <c r="JRA38" s="168"/>
      <c r="JRB38" s="168"/>
      <c r="JRC38" s="168"/>
      <c r="JRD38" s="168"/>
      <c r="JRE38" s="168"/>
      <c r="JRF38" s="168"/>
      <c r="JRG38" s="168"/>
      <c r="JRH38" s="168"/>
      <c r="JRI38" s="168"/>
      <c r="JRJ38" s="168"/>
      <c r="JRK38" s="168"/>
      <c r="JRL38" s="168"/>
      <c r="JRM38" s="168"/>
      <c r="JRN38" s="168"/>
      <c r="JRO38" s="168"/>
      <c r="JRP38" s="168"/>
      <c r="JRQ38" s="168"/>
      <c r="JRR38" s="168"/>
      <c r="JRS38" s="168"/>
      <c r="JRT38" s="168"/>
      <c r="JRU38" s="168"/>
      <c r="JRV38" s="168"/>
      <c r="JRW38" s="168"/>
      <c r="JRX38" s="168"/>
      <c r="JRY38" s="168"/>
      <c r="JRZ38" s="168"/>
      <c r="JSA38" s="168"/>
      <c r="JSB38" s="168"/>
      <c r="JSC38" s="168"/>
      <c r="JSD38" s="168"/>
      <c r="JSE38" s="168"/>
      <c r="JSF38" s="168"/>
      <c r="JSG38" s="168"/>
      <c r="JSH38" s="168"/>
      <c r="JSI38" s="168"/>
      <c r="JSJ38" s="168"/>
      <c r="JSK38" s="168"/>
      <c r="JSL38" s="168"/>
      <c r="JSM38" s="168"/>
      <c r="JSN38" s="168"/>
      <c r="JSO38" s="168"/>
      <c r="JSP38" s="168"/>
      <c r="JSQ38" s="168"/>
      <c r="JSR38" s="168"/>
      <c r="JSS38" s="168"/>
      <c r="JST38" s="168"/>
      <c r="JSU38" s="168"/>
      <c r="JSV38" s="168"/>
      <c r="JSW38" s="168"/>
      <c r="JSX38" s="168"/>
      <c r="JSY38" s="168"/>
      <c r="JSZ38" s="168"/>
      <c r="JTA38" s="168"/>
      <c r="JTB38" s="168"/>
      <c r="JTC38" s="168"/>
      <c r="JTD38" s="168"/>
      <c r="JTE38" s="168"/>
      <c r="JTF38" s="168"/>
      <c r="JTG38" s="168"/>
      <c r="JTH38" s="168"/>
      <c r="JTI38" s="168"/>
      <c r="JTJ38" s="168"/>
      <c r="JTK38" s="168"/>
      <c r="JTL38" s="168"/>
      <c r="JTM38" s="168"/>
      <c r="JTN38" s="168"/>
      <c r="JTO38" s="168"/>
      <c r="JTP38" s="168"/>
      <c r="JTQ38" s="168"/>
      <c r="JTR38" s="168"/>
      <c r="JTS38" s="168"/>
      <c r="JTT38" s="168"/>
      <c r="JTU38" s="168"/>
      <c r="JTV38" s="168"/>
      <c r="JTW38" s="168"/>
      <c r="JTX38" s="168"/>
      <c r="JTY38" s="168"/>
      <c r="JTZ38" s="168"/>
      <c r="JUA38" s="168"/>
      <c r="JUB38" s="168"/>
      <c r="JUC38" s="168"/>
      <c r="JUD38" s="168"/>
      <c r="JUE38" s="168"/>
      <c r="JUF38" s="168"/>
      <c r="JUG38" s="168"/>
      <c r="JUH38" s="168"/>
      <c r="JUI38" s="168"/>
      <c r="JUJ38" s="168"/>
      <c r="JUK38" s="168"/>
      <c r="JUL38" s="168"/>
      <c r="JUM38" s="168"/>
      <c r="JUN38" s="168"/>
      <c r="JUO38" s="168"/>
      <c r="JUP38" s="168"/>
      <c r="JUQ38" s="168"/>
      <c r="JUR38" s="168"/>
      <c r="JUS38" s="168"/>
      <c r="JUT38" s="168"/>
      <c r="JUU38" s="168"/>
      <c r="JUV38" s="168"/>
      <c r="JUW38" s="168"/>
      <c r="JUX38" s="168"/>
      <c r="JUY38" s="168"/>
      <c r="JUZ38" s="168"/>
      <c r="JVA38" s="168"/>
      <c r="JVB38" s="168"/>
      <c r="JVC38" s="168"/>
      <c r="JVD38" s="168"/>
      <c r="JVE38" s="168"/>
      <c r="JVF38" s="168"/>
      <c r="JVG38" s="168"/>
      <c r="JVH38" s="168"/>
      <c r="JVI38" s="168"/>
      <c r="JVJ38" s="168"/>
      <c r="JVK38" s="168"/>
      <c r="JVL38" s="168"/>
      <c r="JVM38" s="168"/>
      <c r="JVN38" s="168"/>
      <c r="JVO38" s="168"/>
      <c r="JVP38" s="168"/>
      <c r="JVQ38" s="168"/>
      <c r="JVR38" s="168"/>
      <c r="JVS38" s="168"/>
      <c r="JVT38" s="168"/>
      <c r="JVU38" s="168"/>
      <c r="JVV38" s="168"/>
      <c r="JVW38" s="168"/>
      <c r="JVX38" s="168"/>
      <c r="JVY38" s="168"/>
      <c r="JVZ38" s="168"/>
      <c r="JWA38" s="168"/>
      <c r="JWB38" s="168"/>
      <c r="JWC38" s="168"/>
      <c r="JWD38" s="168"/>
      <c r="JWE38" s="168"/>
      <c r="JWF38" s="168"/>
      <c r="JWG38" s="168"/>
      <c r="JWH38" s="168"/>
      <c r="JWI38" s="168"/>
      <c r="JWJ38" s="168"/>
      <c r="JWK38" s="168"/>
      <c r="JWL38" s="168"/>
      <c r="JWM38" s="168"/>
      <c r="JWN38" s="168"/>
      <c r="JWO38" s="168"/>
      <c r="JWP38" s="168"/>
      <c r="JWQ38" s="168"/>
      <c r="JWR38" s="168"/>
      <c r="JWS38" s="168"/>
      <c r="JWT38" s="168"/>
      <c r="JWU38" s="168"/>
      <c r="JWV38" s="168"/>
      <c r="JWW38" s="168"/>
      <c r="JWX38" s="168"/>
      <c r="JWY38" s="168"/>
      <c r="JWZ38" s="168"/>
      <c r="JXA38" s="168"/>
      <c r="JXB38" s="168"/>
      <c r="JXC38" s="168"/>
      <c r="JXD38" s="168"/>
      <c r="JXE38" s="168"/>
      <c r="JXF38" s="168"/>
      <c r="JXG38" s="168"/>
      <c r="JXH38" s="168"/>
      <c r="JXI38" s="168"/>
      <c r="JXJ38" s="168"/>
      <c r="JXK38" s="168"/>
      <c r="JXL38" s="168"/>
      <c r="JXM38" s="168"/>
      <c r="JXN38" s="168"/>
      <c r="JXO38" s="168"/>
      <c r="JXP38" s="168"/>
      <c r="JXQ38" s="168"/>
      <c r="JXR38" s="168"/>
      <c r="JXS38" s="168"/>
      <c r="JXT38" s="168"/>
      <c r="JXU38" s="168"/>
      <c r="JXV38" s="168"/>
      <c r="JXW38" s="168"/>
      <c r="JXX38" s="168"/>
      <c r="JXY38" s="168"/>
      <c r="JXZ38" s="168"/>
      <c r="JYA38" s="168"/>
      <c r="JYB38" s="168"/>
      <c r="JYC38" s="168"/>
      <c r="JYD38" s="168"/>
      <c r="JYE38" s="168"/>
      <c r="JYF38" s="168"/>
      <c r="JYG38" s="168"/>
      <c r="JYH38" s="168"/>
      <c r="JYI38" s="168"/>
      <c r="JYJ38" s="168"/>
      <c r="JYK38" s="168"/>
      <c r="JYL38" s="168"/>
      <c r="JYM38" s="168"/>
      <c r="JYN38" s="168"/>
      <c r="JYO38" s="168"/>
      <c r="JYP38" s="168"/>
      <c r="JYQ38" s="168"/>
      <c r="JYR38" s="168"/>
      <c r="JYS38" s="168"/>
      <c r="JYT38" s="168"/>
      <c r="JYU38" s="168"/>
      <c r="JYV38" s="168"/>
      <c r="JYW38" s="168"/>
      <c r="JYX38" s="168"/>
      <c r="JYY38" s="168"/>
      <c r="JYZ38" s="168"/>
      <c r="JZA38" s="168"/>
      <c r="JZB38" s="168"/>
      <c r="JZC38" s="168"/>
      <c r="JZD38" s="168"/>
      <c r="JZE38" s="168"/>
      <c r="JZF38" s="168"/>
      <c r="JZG38" s="168"/>
      <c r="JZH38" s="168"/>
      <c r="JZI38" s="168"/>
      <c r="JZJ38" s="168"/>
      <c r="JZK38" s="168"/>
      <c r="JZL38" s="168"/>
      <c r="JZM38" s="168"/>
      <c r="JZN38" s="168"/>
      <c r="JZO38" s="168"/>
      <c r="JZP38" s="168"/>
      <c r="JZQ38" s="168"/>
      <c r="JZR38" s="168"/>
      <c r="JZS38" s="168"/>
      <c r="JZT38" s="168"/>
      <c r="JZU38" s="168"/>
      <c r="JZV38" s="168"/>
      <c r="JZW38" s="168"/>
      <c r="JZX38" s="168"/>
      <c r="JZY38" s="168"/>
      <c r="JZZ38" s="168"/>
      <c r="KAA38" s="168"/>
      <c r="KAB38" s="168"/>
      <c r="KAC38" s="168"/>
      <c r="KAD38" s="168"/>
      <c r="KAE38" s="168"/>
      <c r="KAF38" s="168"/>
      <c r="KAG38" s="168"/>
      <c r="KAH38" s="168"/>
      <c r="KAI38" s="168"/>
      <c r="KAJ38" s="168"/>
      <c r="KAK38" s="168"/>
      <c r="KAL38" s="168"/>
      <c r="KAM38" s="168"/>
      <c r="KAN38" s="168"/>
      <c r="KAO38" s="168"/>
      <c r="KAP38" s="168"/>
      <c r="KAQ38" s="168"/>
      <c r="KAR38" s="168"/>
      <c r="KAS38" s="168"/>
      <c r="KAT38" s="168"/>
      <c r="KAU38" s="168"/>
      <c r="KAV38" s="168"/>
      <c r="KAW38" s="168"/>
      <c r="KAX38" s="168"/>
      <c r="KAY38" s="168"/>
      <c r="KAZ38" s="168"/>
      <c r="KBA38" s="168"/>
      <c r="KBB38" s="168"/>
      <c r="KBC38" s="168"/>
      <c r="KBD38" s="168"/>
      <c r="KBE38" s="168"/>
      <c r="KBF38" s="168"/>
      <c r="KBG38" s="168"/>
      <c r="KBH38" s="168"/>
      <c r="KBI38" s="168"/>
      <c r="KBJ38" s="168"/>
      <c r="KBK38" s="168"/>
      <c r="KBL38" s="168"/>
      <c r="KBM38" s="168"/>
      <c r="KBN38" s="168"/>
      <c r="KBO38" s="168"/>
      <c r="KBP38" s="168"/>
      <c r="KBQ38" s="168"/>
      <c r="KBR38" s="168"/>
      <c r="KBS38" s="168"/>
      <c r="KBT38" s="168"/>
      <c r="KBU38" s="168"/>
      <c r="KBV38" s="168"/>
      <c r="KBW38" s="168"/>
      <c r="KBX38" s="168"/>
      <c r="KBY38" s="168"/>
      <c r="KBZ38" s="168"/>
      <c r="KCA38" s="168"/>
      <c r="KCB38" s="168"/>
      <c r="KCC38" s="168"/>
      <c r="KCD38" s="168"/>
      <c r="KCE38" s="168"/>
      <c r="KCF38" s="168"/>
      <c r="KCG38" s="168"/>
      <c r="KCH38" s="168"/>
      <c r="KCI38" s="168"/>
      <c r="KCJ38" s="168"/>
      <c r="KCK38" s="168"/>
      <c r="KCL38" s="168"/>
      <c r="KCM38" s="168"/>
      <c r="KCN38" s="168"/>
      <c r="KCO38" s="168"/>
      <c r="KCP38" s="168"/>
      <c r="KCQ38" s="168"/>
      <c r="KCR38" s="168"/>
      <c r="KCS38" s="168"/>
      <c r="KCT38" s="168"/>
      <c r="KCU38" s="168"/>
      <c r="KCV38" s="168"/>
      <c r="KCW38" s="168"/>
      <c r="KCX38" s="168"/>
      <c r="KCY38" s="168"/>
      <c r="KCZ38" s="168"/>
      <c r="KDA38" s="168"/>
      <c r="KDB38" s="168"/>
      <c r="KDC38" s="168"/>
      <c r="KDD38" s="168"/>
      <c r="KDE38" s="168"/>
      <c r="KDF38" s="168"/>
      <c r="KDG38" s="168"/>
      <c r="KDH38" s="168"/>
      <c r="KDI38" s="168"/>
      <c r="KDJ38" s="168"/>
      <c r="KDK38" s="168"/>
      <c r="KDL38" s="168"/>
      <c r="KDM38" s="168"/>
      <c r="KDN38" s="168"/>
      <c r="KDO38" s="168"/>
      <c r="KDP38" s="168"/>
      <c r="KDQ38" s="168"/>
      <c r="KDR38" s="168"/>
      <c r="KDS38" s="168"/>
      <c r="KDT38" s="168"/>
      <c r="KDU38" s="168"/>
      <c r="KDV38" s="168"/>
      <c r="KDW38" s="168"/>
      <c r="KDX38" s="168"/>
      <c r="KDY38" s="168"/>
      <c r="KDZ38" s="168"/>
      <c r="KEA38" s="168"/>
      <c r="KEB38" s="168"/>
      <c r="KEC38" s="168"/>
      <c r="KED38" s="168"/>
      <c r="KEE38" s="168"/>
      <c r="KEF38" s="168"/>
      <c r="KEG38" s="168"/>
      <c r="KEH38" s="168"/>
      <c r="KEI38" s="168"/>
      <c r="KEJ38" s="168"/>
      <c r="KEK38" s="168"/>
      <c r="KEL38" s="168"/>
      <c r="KEM38" s="168"/>
      <c r="KEN38" s="168"/>
      <c r="KEO38" s="168"/>
      <c r="KEP38" s="168"/>
      <c r="KEQ38" s="168"/>
      <c r="KER38" s="168"/>
      <c r="KES38" s="168"/>
      <c r="KET38" s="168"/>
      <c r="KEU38" s="168"/>
      <c r="KEV38" s="168"/>
      <c r="KEW38" s="168"/>
      <c r="KEX38" s="168"/>
      <c r="KEY38" s="168"/>
      <c r="KEZ38" s="168"/>
      <c r="KFA38" s="168"/>
      <c r="KFB38" s="168"/>
      <c r="KFC38" s="168"/>
      <c r="KFD38" s="168"/>
      <c r="KFE38" s="168"/>
      <c r="KFF38" s="168"/>
      <c r="KFG38" s="168"/>
      <c r="KFH38" s="168"/>
      <c r="KFI38" s="168"/>
      <c r="KFJ38" s="168"/>
      <c r="KFK38" s="168"/>
      <c r="KFL38" s="168"/>
      <c r="KFM38" s="168"/>
      <c r="KFN38" s="168"/>
      <c r="KFO38" s="168"/>
      <c r="KFP38" s="168"/>
      <c r="KFQ38" s="168"/>
      <c r="KFR38" s="168"/>
      <c r="KFS38" s="168"/>
      <c r="KFT38" s="168"/>
      <c r="KFU38" s="168"/>
      <c r="KFV38" s="168"/>
      <c r="KFW38" s="168"/>
      <c r="KFX38" s="168"/>
      <c r="KFY38" s="168"/>
      <c r="KFZ38" s="168"/>
      <c r="KGA38" s="168"/>
      <c r="KGB38" s="168"/>
      <c r="KGC38" s="168"/>
      <c r="KGD38" s="168"/>
      <c r="KGE38" s="168"/>
      <c r="KGF38" s="168"/>
      <c r="KGG38" s="168"/>
      <c r="KGH38" s="168"/>
      <c r="KGI38" s="168"/>
      <c r="KGJ38" s="168"/>
      <c r="KGK38" s="168"/>
      <c r="KGL38" s="168"/>
      <c r="KGM38" s="168"/>
      <c r="KGN38" s="168"/>
      <c r="KGO38" s="168"/>
      <c r="KGP38" s="168"/>
      <c r="KGQ38" s="168"/>
      <c r="KGR38" s="168"/>
      <c r="KGS38" s="168"/>
      <c r="KGT38" s="168"/>
      <c r="KGU38" s="168"/>
      <c r="KGV38" s="168"/>
      <c r="KGW38" s="168"/>
      <c r="KGX38" s="168"/>
      <c r="KGY38" s="168"/>
      <c r="KGZ38" s="168"/>
      <c r="KHA38" s="168"/>
      <c r="KHB38" s="168"/>
      <c r="KHC38" s="168"/>
      <c r="KHD38" s="168"/>
      <c r="KHE38" s="168"/>
      <c r="KHF38" s="168"/>
      <c r="KHG38" s="168"/>
      <c r="KHH38" s="168"/>
      <c r="KHI38" s="168"/>
      <c r="KHJ38" s="168"/>
      <c r="KHK38" s="168"/>
      <c r="KHL38" s="168"/>
      <c r="KHM38" s="168"/>
      <c r="KHN38" s="168"/>
      <c r="KHO38" s="168"/>
      <c r="KHP38" s="168"/>
      <c r="KHQ38" s="168"/>
      <c r="KHR38" s="168"/>
      <c r="KHS38" s="168"/>
      <c r="KHT38" s="168"/>
      <c r="KHU38" s="168"/>
      <c r="KHV38" s="168"/>
      <c r="KHW38" s="168"/>
      <c r="KHX38" s="168"/>
      <c r="KHY38" s="168"/>
      <c r="KHZ38" s="168"/>
      <c r="KIA38" s="168"/>
      <c r="KIB38" s="168"/>
      <c r="KIC38" s="168"/>
      <c r="KID38" s="168"/>
      <c r="KIE38" s="168"/>
      <c r="KIF38" s="168"/>
      <c r="KIG38" s="168"/>
      <c r="KIH38" s="168"/>
      <c r="KII38" s="168"/>
      <c r="KIJ38" s="168"/>
      <c r="KIK38" s="168"/>
      <c r="KIL38" s="168"/>
      <c r="KIM38" s="168"/>
      <c r="KIN38" s="168"/>
      <c r="KIO38" s="168"/>
      <c r="KIP38" s="168"/>
      <c r="KIQ38" s="168"/>
      <c r="KIR38" s="168"/>
      <c r="KIS38" s="168"/>
      <c r="KIT38" s="168"/>
      <c r="KIU38" s="168"/>
      <c r="KIV38" s="168"/>
      <c r="KIW38" s="168"/>
      <c r="KIX38" s="168"/>
      <c r="KIY38" s="168"/>
      <c r="KIZ38" s="168"/>
      <c r="KJA38" s="168"/>
      <c r="KJB38" s="168"/>
      <c r="KJC38" s="168"/>
      <c r="KJD38" s="168"/>
      <c r="KJE38" s="168"/>
      <c r="KJF38" s="168"/>
      <c r="KJG38" s="168"/>
      <c r="KJH38" s="168"/>
      <c r="KJI38" s="168"/>
      <c r="KJJ38" s="168"/>
      <c r="KJK38" s="168"/>
      <c r="KJL38" s="168"/>
      <c r="KJM38" s="168"/>
      <c r="KJN38" s="168"/>
      <c r="KJO38" s="168"/>
      <c r="KJP38" s="168"/>
      <c r="KJQ38" s="168"/>
      <c r="KJR38" s="168"/>
      <c r="KJS38" s="168"/>
      <c r="KJT38" s="168"/>
      <c r="KJU38" s="168"/>
      <c r="KJV38" s="168"/>
      <c r="KJW38" s="168"/>
      <c r="KJX38" s="168"/>
      <c r="KJY38" s="168"/>
      <c r="KJZ38" s="168"/>
      <c r="KKA38" s="168"/>
      <c r="KKB38" s="168"/>
      <c r="KKC38" s="168"/>
      <c r="KKD38" s="168"/>
      <c r="KKE38" s="168"/>
      <c r="KKF38" s="168"/>
      <c r="KKG38" s="168"/>
      <c r="KKH38" s="168"/>
      <c r="KKI38" s="168"/>
      <c r="KKJ38" s="168"/>
      <c r="KKK38" s="168"/>
      <c r="KKL38" s="168"/>
      <c r="KKM38" s="168"/>
      <c r="KKN38" s="168"/>
      <c r="KKO38" s="168"/>
      <c r="KKP38" s="168"/>
      <c r="KKQ38" s="168"/>
      <c r="KKR38" s="168"/>
      <c r="KKS38" s="168"/>
      <c r="KKT38" s="168"/>
      <c r="KKU38" s="168"/>
      <c r="KKV38" s="168"/>
      <c r="KKW38" s="168"/>
      <c r="KKX38" s="168"/>
      <c r="KKY38" s="168"/>
      <c r="KKZ38" s="168"/>
      <c r="KLA38" s="168"/>
      <c r="KLB38" s="168"/>
      <c r="KLC38" s="168"/>
      <c r="KLD38" s="168"/>
      <c r="KLE38" s="168"/>
      <c r="KLF38" s="168"/>
      <c r="KLG38" s="168"/>
      <c r="KLH38" s="168"/>
      <c r="KLI38" s="168"/>
      <c r="KLJ38" s="168"/>
      <c r="KLK38" s="168"/>
      <c r="KLL38" s="168"/>
      <c r="KLM38" s="168"/>
      <c r="KLN38" s="168"/>
      <c r="KLO38" s="168"/>
      <c r="KLP38" s="168"/>
      <c r="KLQ38" s="168"/>
      <c r="KLR38" s="168"/>
      <c r="KLS38" s="168"/>
      <c r="KLT38" s="168"/>
      <c r="KLU38" s="168"/>
      <c r="KLV38" s="168"/>
      <c r="KLW38" s="168"/>
      <c r="KLX38" s="168"/>
      <c r="KLY38" s="168"/>
      <c r="KLZ38" s="168"/>
      <c r="KMA38" s="168"/>
      <c r="KMB38" s="168"/>
      <c r="KMC38" s="168"/>
      <c r="KMD38" s="168"/>
      <c r="KME38" s="168"/>
      <c r="KMF38" s="168"/>
      <c r="KMG38" s="168"/>
      <c r="KMH38" s="168"/>
      <c r="KMI38" s="168"/>
      <c r="KMJ38" s="168"/>
      <c r="KMK38" s="168"/>
      <c r="KML38" s="168"/>
      <c r="KMM38" s="168"/>
      <c r="KMN38" s="168"/>
      <c r="KMO38" s="168"/>
      <c r="KMP38" s="168"/>
      <c r="KMQ38" s="168"/>
      <c r="KMR38" s="168"/>
      <c r="KMS38" s="168"/>
      <c r="KMT38" s="168"/>
      <c r="KMU38" s="168"/>
      <c r="KMV38" s="168"/>
      <c r="KMW38" s="168"/>
      <c r="KMX38" s="168"/>
      <c r="KMY38" s="168"/>
      <c r="KMZ38" s="168"/>
      <c r="KNA38" s="168"/>
      <c r="KNB38" s="168"/>
      <c r="KNC38" s="168"/>
      <c r="KND38" s="168"/>
      <c r="KNE38" s="168"/>
      <c r="KNF38" s="168"/>
      <c r="KNG38" s="168"/>
      <c r="KNH38" s="168"/>
      <c r="KNI38" s="168"/>
      <c r="KNJ38" s="168"/>
      <c r="KNK38" s="168"/>
      <c r="KNL38" s="168"/>
      <c r="KNM38" s="168"/>
      <c r="KNN38" s="168"/>
      <c r="KNO38" s="168"/>
      <c r="KNP38" s="168"/>
      <c r="KNQ38" s="168"/>
      <c r="KNR38" s="168"/>
      <c r="KNS38" s="168"/>
      <c r="KNT38" s="168"/>
      <c r="KNU38" s="168"/>
      <c r="KNV38" s="168"/>
      <c r="KNW38" s="168"/>
      <c r="KNX38" s="168"/>
      <c r="KNY38" s="168"/>
      <c r="KNZ38" s="168"/>
      <c r="KOA38" s="168"/>
      <c r="KOB38" s="168"/>
      <c r="KOC38" s="168"/>
      <c r="KOD38" s="168"/>
      <c r="KOE38" s="168"/>
      <c r="KOF38" s="168"/>
      <c r="KOG38" s="168"/>
      <c r="KOH38" s="168"/>
      <c r="KOI38" s="168"/>
      <c r="KOJ38" s="168"/>
      <c r="KOK38" s="168"/>
      <c r="KOL38" s="168"/>
      <c r="KOM38" s="168"/>
      <c r="KON38" s="168"/>
      <c r="KOO38" s="168"/>
      <c r="KOP38" s="168"/>
      <c r="KOQ38" s="168"/>
      <c r="KOR38" s="168"/>
      <c r="KOS38" s="168"/>
      <c r="KOT38" s="168"/>
      <c r="KOU38" s="168"/>
      <c r="KOV38" s="168"/>
      <c r="KOW38" s="168"/>
      <c r="KOX38" s="168"/>
      <c r="KOY38" s="168"/>
      <c r="KOZ38" s="168"/>
      <c r="KPA38" s="168"/>
      <c r="KPB38" s="168"/>
      <c r="KPC38" s="168"/>
      <c r="KPD38" s="168"/>
      <c r="KPE38" s="168"/>
      <c r="KPF38" s="168"/>
      <c r="KPG38" s="168"/>
      <c r="KPH38" s="168"/>
      <c r="KPI38" s="168"/>
      <c r="KPJ38" s="168"/>
      <c r="KPK38" s="168"/>
      <c r="KPL38" s="168"/>
      <c r="KPM38" s="168"/>
      <c r="KPN38" s="168"/>
      <c r="KPO38" s="168"/>
      <c r="KPP38" s="168"/>
      <c r="KPQ38" s="168"/>
      <c r="KPR38" s="168"/>
      <c r="KPS38" s="168"/>
      <c r="KPT38" s="168"/>
      <c r="KPU38" s="168"/>
      <c r="KPV38" s="168"/>
      <c r="KPW38" s="168"/>
      <c r="KPX38" s="168"/>
      <c r="KPY38" s="168"/>
      <c r="KPZ38" s="168"/>
      <c r="KQA38" s="168"/>
      <c r="KQB38" s="168"/>
      <c r="KQC38" s="168"/>
      <c r="KQD38" s="168"/>
      <c r="KQE38" s="168"/>
      <c r="KQF38" s="168"/>
      <c r="KQG38" s="168"/>
      <c r="KQH38" s="168"/>
      <c r="KQI38" s="168"/>
      <c r="KQJ38" s="168"/>
      <c r="KQK38" s="168"/>
      <c r="KQL38" s="168"/>
      <c r="KQM38" s="168"/>
      <c r="KQN38" s="168"/>
      <c r="KQO38" s="168"/>
      <c r="KQP38" s="168"/>
      <c r="KQQ38" s="168"/>
      <c r="KQR38" s="168"/>
      <c r="KQS38" s="168"/>
      <c r="KQT38" s="168"/>
      <c r="KQU38" s="168"/>
      <c r="KQV38" s="168"/>
      <c r="KQW38" s="168"/>
      <c r="KQX38" s="168"/>
      <c r="KQY38" s="168"/>
      <c r="KQZ38" s="168"/>
      <c r="KRA38" s="168"/>
      <c r="KRB38" s="168"/>
      <c r="KRC38" s="168"/>
      <c r="KRD38" s="168"/>
      <c r="KRE38" s="168"/>
      <c r="KRF38" s="168"/>
      <c r="KRG38" s="168"/>
      <c r="KRH38" s="168"/>
      <c r="KRI38" s="168"/>
      <c r="KRJ38" s="168"/>
      <c r="KRK38" s="168"/>
      <c r="KRL38" s="168"/>
      <c r="KRM38" s="168"/>
      <c r="KRN38" s="168"/>
      <c r="KRO38" s="168"/>
      <c r="KRP38" s="168"/>
      <c r="KRQ38" s="168"/>
      <c r="KRR38" s="168"/>
      <c r="KRS38" s="168"/>
      <c r="KRT38" s="168"/>
      <c r="KRU38" s="168"/>
      <c r="KRV38" s="168"/>
      <c r="KRW38" s="168"/>
      <c r="KRX38" s="168"/>
      <c r="KRY38" s="168"/>
      <c r="KRZ38" s="168"/>
      <c r="KSA38" s="168"/>
      <c r="KSB38" s="168"/>
      <c r="KSC38" s="168"/>
      <c r="KSD38" s="168"/>
      <c r="KSE38" s="168"/>
      <c r="KSF38" s="168"/>
      <c r="KSG38" s="168"/>
      <c r="KSH38" s="168"/>
      <c r="KSI38" s="168"/>
      <c r="KSJ38" s="168"/>
      <c r="KSK38" s="168"/>
      <c r="KSL38" s="168"/>
      <c r="KSM38" s="168"/>
      <c r="KSN38" s="168"/>
      <c r="KSO38" s="168"/>
      <c r="KSP38" s="168"/>
      <c r="KSQ38" s="168"/>
      <c r="KSR38" s="168"/>
      <c r="KSS38" s="168"/>
      <c r="KST38" s="168"/>
      <c r="KSU38" s="168"/>
      <c r="KSV38" s="168"/>
      <c r="KSW38" s="168"/>
      <c r="KSX38" s="168"/>
      <c r="KSY38" s="168"/>
      <c r="KSZ38" s="168"/>
      <c r="KTA38" s="168"/>
      <c r="KTB38" s="168"/>
      <c r="KTC38" s="168"/>
      <c r="KTD38" s="168"/>
      <c r="KTE38" s="168"/>
      <c r="KTF38" s="168"/>
      <c r="KTG38" s="168"/>
      <c r="KTH38" s="168"/>
      <c r="KTI38" s="168"/>
      <c r="KTJ38" s="168"/>
      <c r="KTK38" s="168"/>
      <c r="KTL38" s="168"/>
      <c r="KTM38" s="168"/>
      <c r="KTN38" s="168"/>
      <c r="KTO38" s="168"/>
      <c r="KTP38" s="168"/>
      <c r="KTQ38" s="168"/>
      <c r="KTR38" s="168"/>
      <c r="KTS38" s="168"/>
      <c r="KTT38" s="168"/>
      <c r="KTU38" s="168"/>
      <c r="KTV38" s="168"/>
      <c r="KTW38" s="168"/>
      <c r="KTX38" s="168"/>
      <c r="KTY38" s="168"/>
      <c r="KTZ38" s="168"/>
      <c r="KUA38" s="168"/>
      <c r="KUB38" s="168"/>
      <c r="KUC38" s="168"/>
      <c r="KUD38" s="168"/>
      <c r="KUE38" s="168"/>
      <c r="KUF38" s="168"/>
      <c r="KUG38" s="168"/>
      <c r="KUH38" s="168"/>
      <c r="KUI38" s="168"/>
      <c r="KUJ38" s="168"/>
      <c r="KUK38" s="168"/>
      <c r="KUL38" s="168"/>
      <c r="KUM38" s="168"/>
      <c r="KUN38" s="168"/>
      <c r="KUO38" s="168"/>
      <c r="KUP38" s="168"/>
      <c r="KUQ38" s="168"/>
      <c r="KUR38" s="168"/>
      <c r="KUS38" s="168"/>
      <c r="KUT38" s="168"/>
      <c r="KUU38" s="168"/>
      <c r="KUV38" s="168"/>
      <c r="KUW38" s="168"/>
      <c r="KUX38" s="168"/>
      <c r="KUY38" s="168"/>
      <c r="KUZ38" s="168"/>
      <c r="KVA38" s="168"/>
      <c r="KVB38" s="168"/>
      <c r="KVC38" s="168"/>
      <c r="KVD38" s="168"/>
      <c r="KVE38" s="168"/>
      <c r="KVF38" s="168"/>
      <c r="KVG38" s="168"/>
      <c r="KVH38" s="168"/>
      <c r="KVI38" s="168"/>
      <c r="KVJ38" s="168"/>
      <c r="KVK38" s="168"/>
      <c r="KVL38" s="168"/>
      <c r="KVM38" s="168"/>
      <c r="KVN38" s="168"/>
      <c r="KVO38" s="168"/>
      <c r="KVP38" s="168"/>
      <c r="KVQ38" s="168"/>
      <c r="KVR38" s="168"/>
      <c r="KVS38" s="168"/>
      <c r="KVT38" s="168"/>
      <c r="KVU38" s="168"/>
      <c r="KVV38" s="168"/>
      <c r="KVW38" s="168"/>
      <c r="KVX38" s="168"/>
      <c r="KVY38" s="168"/>
      <c r="KVZ38" s="168"/>
      <c r="KWA38" s="168"/>
      <c r="KWB38" s="168"/>
      <c r="KWC38" s="168"/>
      <c r="KWD38" s="168"/>
      <c r="KWE38" s="168"/>
      <c r="KWF38" s="168"/>
      <c r="KWG38" s="168"/>
      <c r="KWH38" s="168"/>
      <c r="KWI38" s="168"/>
      <c r="KWJ38" s="168"/>
      <c r="KWK38" s="168"/>
      <c r="KWL38" s="168"/>
      <c r="KWM38" s="168"/>
      <c r="KWN38" s="168"/>
      <c r="KWO38" s="168"/>
      <c r="KWP38" s="168"/>
      <c r="KWQ38" s="168"/>
      <c r="KWR38" s="168"/>
      <c r="KWS38" s="168"/>
      <c r="KWT38" s="168"/>
      <c r="KWU38" s="168"/>
      <c r="KWV38" s="168"/>
      <c r="KWW38" s="168"/>
      <c r="KWX38" s="168"/>
      <c r="KWY38" s="168"/>
      <c r="KWZ38" s="168"/>
      <c r="KXA38" s="168"/>
      <c r="KXB38" s="168"/>
      <c r="KXC38" s="168"/>
      <c r="KXD38" s="168"/>
      <c r="KXE38" s="168"/>
      <c r="KXF38" s="168"/>
      <c r="KXG38" s="168"/>
      <c r="KXH38" s="168"/>
      <c r="KXI38" s="168"/>
      <c r="KXJ38" s="168"/>
      <c r="KXK38" s="168"/>
      <c r="KXL38" s="168"/>
      <c r="KXM38" s="168"/>
      <c r="KXN38" s="168"/>
      <c r="KXO38" s="168"/>
      <c r="KXP38" s="168"/>
      <c r="KXQ38" s="168"/>
      <c r="KXR38" s="168"/>
      <c r="KXS38" s="168"/>
      <c r="KXT38" s="168"/>
      <c r="KXU38" s="168"/>
      <c r="KXV38" s="168"/>
      <c r="KXW38" s="168"/>
      <c r="KXX38" s="168"/>
      <c r="KXY38" s="168"/>
      <c r="KXZ38" s="168"/>
      <c r="KYA38" s="168"/>
      <c r="KYB38" s="168"/>
      <c r="KYC38" s="168"/>
      <c r="KYD38" s="168"/>
      <c r="KYE38" s="168"/>
      <c r="KYF38" s="168"/>
      <c r="KYG38" s="168"/>
      <c r="KYH38" s="168"/>
      <c r="KYI38" s="168"/>
      <c r="KYJ38" s="168"/>
      <c r="KYK38" s="168"/>
      <c r="KYL38" s="168"/>
      <c r="KYM38" s="168"/>
      <c r="KYN38" s="168"/>
      <c r="KYO38" s="168"/>
      <c r="KYP38" s="168"/>
      <c r="KYQ38" s="168"/>
      <c r="KYR38" s="168"/>
      <c r="KYS38" s="168"/>
      <c r="KYT38" s="168"/>
      <c r="KYU38" s="168"/>
      <c r="KYV38" s="168"/>
      <c r="KYW38" s="168"/>
      <c r="KYX38" s="168"/>
      <c r="KYY38" s="168"/>
      <c r="KYZ38" s="168"/>
      <c r="KZA38" s="168"/>
      <c r="KZB38" s="168"/>
      <c r="KZC38" s="168"/>
      <c r="KZD38" s="168"/>
      <c r="KZE38" s="168"/>
      <c r="KZF38" s="168"/>
      <c r="KZG38" s="168"/>
      <c r="KZH38" s="168"/>
      <c r="KZI38" s="168"/>
      <c r="KZJ38" s="168"/>
      <c r="KZK38" s="168"/>
      <c r="KZL38" s="168"/>
      <c r="KZM38" s="168"/>
      <c r="KZN38" s="168"/>
      <c r="KZO38" s="168"/>
      <c r="KZP38" s="168"/>
      <c r="KZQ38" s="168"/>
      <c r="KZR38" s="168"/>
      <c r="KZS38" s="168"/>
      <c r="KZT38" s="168"/>
      <c r="KZU38" s="168"/>
      <c r="KZV38" s="168"/>
      <c r="KZW38" s="168"/>
      <c r="KZX38" s="168"/>
      <c r="KZY38" s="168"/>
      <c r="KZZ38" s="168"/>
      <c r="LAA38" s="168"/>
      <c r="LAB38" s="168"/>
      <c r="LAC38" s="168"/>
      <c r="LAD38" s="168"/>
      <c r="LAE38" s="168"/>
      <c r="LAF38" s="168"/>
      <c r="LAG38" s="168"/>
      <c r="LAH38" s="168"/>
      <c r="LAI38" s="168"/>
      <c r="LAJ38" s="168"/>
      <c r="LAK38" s="168"/>
      <c r="LAL38" s="168"/>
      <c r="LAM38" s="168"/>
      <c r="LAN38" s="168"/>
      <c r="LAO38" s="168"/>
      <c r="LAP38" s="168"/>
      <c r="LAQ38" s="168"/>
      <c r="LAR38" s="168"/>
      <c r="LAS38" s="168"/>
      <c r="LAT38" s="168"/>
      <c r="LAU38" s="168"/>
      <c r="LAV38" s="168"/>
      <c r="LAW38" s="168"/>
      <c r="LAX38" s="168"/>
      <c r="LAY38" s="168"/>
      <c r="LAZ38" s="168"/>
      <c r="LBA38" s="168"/>
      <c r="LBB38" s="168"/>
      <c r="LBC38" s="168"/>
      <c r="LBD38" s="168"/>
      <c r="LBE38" s="168"/>
      <c r="LBF38" s="168"/>
      <c r="LBG38" s="168"/>
      <c r="LBH38" s="168"/>
      <c r="LBI38" s="168"/>
      <c r="LBJ38" s="168"/>
      <c r="LBK38" s="168"/>
      <c r="LBL38" s="168"/>
      <c r="LBM38" s="168"/>
      <c r="LBN38" s="168"/>
      <c r="LBO38" s="168"/>
      <c r="LBP38" s="168"/>
      <c r="LBQ38" s="168"/>
      <c r="LBR38" s="168"/>
      <c r="LBS38" s="168"/>
      <c r="LBT38" s="168"/>
      <c r="LBU38" s="168"/>
      <c r="LBV38" s="168"/>
      <c r="LBW38" s="168"/>
      <c r="LBX38" s="168"/>
      <c r="LBY38" s="168"/>
      <c r="LBZ38" s="168"/>
      <c r="LCA38" s="168"/>
      <c r="LCB38" s="168"/>
      <c r="LCC38" s="168"/>
      <c r="LCD38" s="168"/>
      <c r="LCE38" s="168"/>
      <c r="LCF38" s="168"/>
      <c r="LCG38" s="168"/>
      <c r="LCH38" s="168"/>
      <c r="LCI38" s="168"/>
      <c r="LCJ38" s="168"/>
      <c r="LCK38" s="168"/>
      <c r="LCL38" s="168"/>
      <c r="LCM38" s="168"/>
      <c r="LCN38" s="168"/>
      <c r="LCO38" s="168"/>
      <c r="LCP38" s="168"/>
      <c r="LCQ38" s="168"/>
      <c r="LCR38" s="168"/>
      <c r="LCS38" s="168"/>
      <c r="LCT38" s="168"/>
      <c r="LCU38" s="168"/>
      <c r="LCV38" s="168"/>
      <c r="LCW38" s="168"/>
      <c r="LCX38" s="168"/>
      <c r="LCY38" s="168"/>
      <c r="LCZ38" s="168"/>
      <c r="LDA38" s="168"/>
      <c r="LDB38" s="168"/>
      <c r="LDC38" s="168"/>
      <c r="LDD38" s="168"/>
      <c r="LDE38" s="168"/>
      <c r="LDF38" s="168"/>
      <c r="LDG38" s="168"/>
      <c r="LDH38" s="168"/>
      <c r="LDI38" s="168"/>
      <c r="LDJ38" s="168"/>
      <c r="LDK38" s="168"/>
      <c r="LDL38" s="168"/>
      <c r="LDM38" s="168"/>
      <c r="LDN38" s="168"/>
      <c r="LDO38" s="168"/>
      <c r="LDP38" s="168"/>
      <c r="LDQ38" s="168"/>
      <c r="LDR38" s="168"/>
      <c r="LDS38" s="168"/>
      <c r="LDT38" s="168"/>
      <c r="LDU38" s="168"/>
      <c r="LDV38" s="168"/>
      <c r="LDW38" s="168"/>
      <c r="LDX38" s="168"/>
      <c r="LDY38" s="168"/>
      <c r="LDZ38" s="168"/>
      <c r="LEA38" s="168"/>
      <c r="LEB38" s="168"/>
      <c r="LEC38" s="168"/>
      <c r="LED38" s="168"/>
      <c r="LEE38" s="168"/>
      <c r="LEF38" s="168"/>
      <c r="LEG38" s="168"/>
      <c r="LEH38" s="168"/>
      <c r="LEI38" s="168"/>
      <c r="LEJ38" s="168"/>
      <c r="LEK38" s="168"/>
      <c r="LEL38" s="168"/>
      <c r="LEM38" s="168"/>
      <c r="LEN38" s="168"/>
      <c r="LEO38" s="168"/>
      <c r="LEP38" s="168"/>
      <c r="LEQ38" s="168"/>
      <c r="LER38" s="168"/>
      <c r="LES38" s="168"/>
      <c r="LET38" s="168"/>
      <c r="LEU38" s="168"/>
      <c r="LEV38" s="168"/>
      <c r="LEW38" s="168"/>
      <c r="LEX38" s="168"/>
      <c r="LEY38" s="168"/>
      <c r="LEZ38" s="168"/>
      <c r="LFA38" s="168"/>
      <c r="LFB38" s="168"/>
      <c r="LFC38" s="168"/>
      <c r="LFD38" s="168"/>
      <c r="LFE38" s="168"/>
      <c r="LFF38" s="168"/>
      <c r="LFG38" s="168"/>
      <c r="LFH38" s="168"/>
      <c r="LFI38" s="168"/>
      <c r="LFJ38" s="168"/>
      <c r="LFK38" s="168"/>
      <c r="LFL38" s="168"/>
      <c r="LFM38" s="168"/>
      <c r="LFN38" s="168"/>
      <c r="LFO38" s="168"/>
      <c r="LFP38" s="168"/>
      <c r="LFQ38" s="168"/>
      <c r="LFR38" s="168"/>
      <c r="LFS38" s="168"/>
      <c r="LFT38" s="168"/>
      <c r="LFU38" s="168"/>
      <c r="LFV38" s="168"/>
      <c r="LFW38" s="168"/>
      <c r="LFX38" s="168"/>
      <c r="LFY38" s="168"/>
      <c r="LFZ38" s="168"/>
      <c r="LGA38" s="168"/>
      <c r="LGB38" s="168"/>
      <c r="LGC38" s="168"/>
      <c r="LGD38" s="168"/>
      <c r="LGE38" s="168"/>
      <c r="LGF38" s="168"/>
      <c r="LGG38" s="168"/>
      <c r="LGH38" s="168"/>
      <c r="LGI38" s="168"/>
      <c r="LGJ38" s="168"/>
      <c r="LGK38" s="168"/>
      <c r="LGL38" s="168"/>
      <c r="LGM38" s="168"/>
      <c r="LGN38" s="168"/>
      <c r="LGO38" s="168"/>
      <c r="LGP38" s="168"/>
      <c r="LGQ38" s="168"/>
      <c r="LGR38" s="168"/>
      <c r="LGS38" s="168"/>
      <c r="LGT38" s="168"/>
      <c r="LGU38" s="168"/>
      <c r="LGV38" s="168"/>
      <c r="LGW38" s="168"/>
      <c r="LGX38" s="168"/>
      <c r="LGY38" s="168"/>
      <c r="LGZ38" s="168"/>
      <c r="LHA38" s="168"/>
      <c r="LHB38" s="168"/>
      <c r="LHC38" s="168"/>
      <c r="LHD38" s="168"/>
      <c r="LHE38" s="168"/>
      <c r="LHF38" s="168"/>
      <c r="LHG38" s="168"/>
      <c r="LHH38" s="168"/>
      <c r="LHI38" s="168"/>
      <c r="LHJ38" s="168"/>
      <c r="LHK38" s="168"/>
      <c r="LHL38" s="168"/>
      <c r="LHM38" s="168"/>
      <c r="LHN38" s="168"/>
      <c r="LHO38" s="168"/>
      <c r="LHP38" s="168"/>
      <c r="LHQ38" s="168"/>
      <c r="LHR38" s="168"/>
      <c r="LHS38" s="168"/>
      <c r="LHT38" s="168"/>
      <c r="LHU38" s="168"/>
      <c r="LHV38" s="168"/>
      <c r="LHW38" s="168"/>
      <c r="LHX38" s="168"/>
      <c r="LHY38" s="168"/>
      <c r="LHZ38" s="168"/>
      <c r="LIA38" s="168"/>
      <c r="LIB38" s="168"/>
      <c r="LIC38" s="168"/>
      <c r="LID38" s="168"/>
      <c r="LIE38" s="168"/>
      <c r="LIF38" s="168"/>
      <c r="LIG38" s="168"/>
      <c r="LIH38" s="168"/>
      <c r="LII38" s="168"/>
      <c r="LIJ38" s="168"/>
      <c r="LIK38" s="168"/>
      <c r="LIL38" s="168"/>
      <c r="LIM38" s="168"/>
      <c r="LIN38" s="168"/>
      <c r="LIO38" s="168"/>
      <c r="LIP38" s="168"/>
      <c r="LIQ38" s="168"/>
      <c r="LIR38" s="168"/>
      <c r="LIS38" s="168"/>
      <c r="LIT38" s="168"/>
      <c r="LIU38" s="168"/>
      <c r="LIV38" s="168"/>
      <c r="LIW38" s="168"/>
      <c r="LIX38" s="168"/>
      <c r="LIY38" s="168"/>
      <c r="LIZ38" s="168"/>
      <c r="LJA38" s="168"/>
      <c r="LJB38" s="168"/>
      <c r="LJC38" s="168"/>
      <c r="LJD38" s="168"/>
      <c r="LJE38" s="168"/>
      <c r="LJF38" s="168"/>
      <c r="LJG38" s="168"/>
      <c r="LJH38" s="168"/>
      <c r="LJI38" s="168"/>
      <c r="LJJ38" s="168"/>
      <c r="LJK38" s="168"/>
      <c r="LJL38" s="168"/>
      <c r="LJM38" s="168"/>
      <c r="LJN38" s="168"/>
      <c r="LJO38" s="168"/>
      <c r="LJP38" s="168"/>
      <c r="LJQ38" s="168"/>
      <c r="LJR38" s="168"/>
      <c r="LJS38" s="168"/>
      <c r="LJT38" s="168"/>
      <c r="LJU38" s="168"/>
      <c r="LJV38" s="168"/>
      <c r="LJW38" s="168"/>
      <c r="LJX38" s="168"/>
      <c r="LJY38" s="168"/>
      <c r="LJZ38" s="168"/>
      <c r="LKA38" s="168"/>
      <c r="LKB38" s="168"/>
      <c r="LKC38" s="168"/>
      <c r="LKD38" s="168"/>
      <c r="LKE38" s="168"/>
      <c r="LKF38" s="168"/>
      <c r="LKG38" s="168"/>
      <c r="LKH38" s="168"/>
      <c r="LKI38" s="168"/>
      <c r="LKJ38" s="168"/>
      <c r="LKK38" s="168"/>
      <c r="LKL38" s="168"/>
      <c r="LKM38" s="168"/>
      <c r="LKN38" s="168"/>
      <c r="LKO38" s="168"/>
      <c r="LKP38" s="168"/>
      <c r="LKQ38" s="168"/>
      <c r="LKR38" s="168"/>
      <c r="LKS38" s="168"/>
      <c r="LKT38" s="168"/>
      <c r="LKU38" s="168"/>
      <c r="LKV38" s="168"/>
      <c r="LKW38" s="168"/>
      <c r="LKX38" s="168"/>
      <c r="LKY38" s="168"/>
      <c r="LKZ38" s="168"/>
      <c r="LLA38" s="168"/>
      <c r="LLB38" s="168"/>
      <c r="LLC38" s="168"/>
      <c r="LLD38" s="168"/>
      <c r="LLE38" s="168"/>
      <c r="LLF38" s="168"/>
      <c r="LLG38" s="168"/>
      <c r="LLH38" s="168"/>
      <c r="LLI38" s="168"/>
      <c r="LLJ38" s="168"/>
      <c r="LLK38" s="168"/>
      <c r="LLL38" s="168"/>
      <c r="LLM38" s="168"/>
      <c r="LLN38" s="168"/>
      <c r="LLO38" s="168"/>
      <c r="LLP38" s="168"/>
      <c r="LLQ38" s="168"/>
      <c r="LLR38" s="168"/>
      <c r="LLS38" s="168"/>
      <c r="LLT38" s="168"/>
      <c r="LLU38" s="168"/>
      <c r="LLV38" s="168"/>
      <c r="LLW38" s="168"/>
      <c r="LLX38" s="168"/>
      <c r="LLY38" s="168"/>
      <c r="LLZ38" s="168"/>
      <c r="LMA38" s="168"/>
      <c r="LMB38" s="168"/>
      <c r="LMC38" s="168"/>
      <c r="LMD38" s="168"/>
      <c r="LME38" s="168"/>
      <c r="LMF38" s="168"/>
      <c r="LMG38" s="168"/>
      <c r="LMH38" s="168"/>
      <c r="LMI38" s="168"/>
      <c r="LMJ38" s="168"/>
      <c r="LMK38" s="168"/>
      <c r="LML38" s="168"/>
      <c r="LMM38" s="168"/>
      <c r="LMN38" s="168"/>
      <c r="LMO38" s="168"/>
      <c r="LMP38" s="168"/>
      <c r="LMQ38" s="168"/>
      <c r="LMR38" s="168"/>
      <c r="LMS38" s="168"/>
      <c r="LMT38" s="168"/>
      <c r="LMU38" s="168"/>
      <c r="LMV38" s="168"/>
      <c r="LMW38" s="168"/>
      <c r="LMX38" s="168"/>
      <c r="LMY38" s="168"/>
      <c r="LMZ38" s="168"/>
      <c r="LNA38" s="168"/>
      <c r="LNB38" s="168"/>
      <c r="LNC38" s="168"/>
      <c r="LND38" s="168"/>
      <c r="LNE38" s="168"/>
      <c r="LNF38" s="168"/>
      <c r="LNG38" s="168"/>
      <c r="LNH38" s="168"/>
      <c r="LNI38" s="168"/>
      <c r="LNJ38" s="168"/>
      <c r="LNK38" s="168"/>
      <c r="LNL38" s="168"/>
      <c r="LNM38" s="168"/>
      <c r="LNN38" s="168"/>
      <c r="LNO38" s="168"/>
      <c r="LNP38" s="168"/>
      <c r="LNQ38" s="168"/>
      <c r="LNR38" s="168"/>
      <c r="LNS38" s="168"/>
      <c r="LNT38" s="168"/>
      <c r="LNU38" s="168"/>
      <c r="LNV38" s="168"/>
      <c r="LNW38" s="168"/>
      <c r="LNX38" s="168"/>
      <c r="LNY38" s="168"/>
      <c r="LNZ38" s="168"/>
      <c r="LOA38" s="168"/>
      <c r="LOB38" s="168"/>
      <c r="LOC38" s="168"/>
      <c r="LOD38" s="168"/>
      <c r="LOE38" s="168"/>
      <c r="LOF38" s="168"/>
      <c r="LOG38" s="168"/>
      <c r="LOH38" s="168"/>
      <c r="LOI38" s="168"/>
      <c r="LOJ38" s="168"/>
      <c r="LOK38" s="168"/>
      <c r="LOL38" s="168"/>
      <c r="LOM38" s="168"/>
      <c r="LON38" s="168"/>
      <c r="LOO38" s="168"/>
      <c r="LOP38" s="168"/>
      <c r="LOQ38" s="168"/>
      <c r="LOR38" s="168"/>
      <c r="LOS38" s="168"/>
      <c r="LOT38" s="168"/>
      <c r="LOU38" s="168"/>
      <c r="LOV38" s="168"/>
      <c r="LOW38" s="168"/>
      <c r="LOX38" s="168"/>
      <c r="LOY38" s="168"/>
      <c r="LOZ38" s="168"/>
      <c r="LPA38" s="168"/>
      <c r="LPB38" s="168"/>
      <c r="LPC38" s="168"/>
      <c r="LPD38" s="168"/>
      <c r="LPE38" s="168"/>
      <c r="LPF38" s="168"/>
      <c r="LPG38" s="168"/>
      <c r="LPH38" s="168"/>
      <c r="LPI38" s="168"/>
      <c r="LPJ38" s="168"/>
      <c r="LPK38" s="168"/>
      <c r="LPL38" s="168"/>
      <c r="LPM38" s="168"/>
      <c r="LPN38" s="168"/>
      <c r="LPO38" s="168"/>
      <c r="LPP38" s="168"/>
      <c r="LPQ38" s="168"/>
      <c r="LPR38" s="168"/>
      <c r="LPS38" s="168"/>
      <c r="LPT38" s="168"/>
      <c r="LPU38" s="168"/>
      <c r="LPV38" s="168"/>
      <c r="LPW38" s="168"/>
      <c r="LPX38" s="168"/>
      <c r="LPY38" s="168"/>
      <c r="LPZ38" s="168"/>
      <c r="LQA38" s="168"/>
      <c r="LQB38" s="168"/>
      <c r="LQC38" s="168"/>
      <c r="LQD38" s="168"/>
      <c r="LQE38" s="168"/>
      <c r="LQF38" s="168"/>
      <c r="LQG38" s="168"/>
      <c r="LQH38" s="168"/>
      <c r="LQI38" s="168"/>
      <c r="LQJ38" s="168"/>
      <c r="LQK38" s="168"/>
      <c r="LQL38" s="168"/>
      <c r="LQM38" s="168"/>
      <c r="LQN38" s="168"/>
      <c r="LQO38" s="168"/>
      <c r="LQP38" s="168"/>
      <c r="LQQ38" s="168"/>
      <c r="LQR38" s="168"/>
      <c r="LQS38" s="168"/>
      <c r="LQT38" s="168"/>
      <c r="LQU38" s="168"/>
      <c r="LQV38" s="168"/>
      <c r="LQW38" s="168"/>
      <c r="LQX38" s="168"/>
      <c r="LQY38" s="168"/>
      <c r="LQZ38" s="168"/>
      <c r="LRA38" s="168"/>
      <c r="LRB38" s="168"/>
      <c r="LRC38" s="168"/>
      <c r="LRD38" s="168"/>
      <c r="LRE38" s="168"/>
      <c r="LRF38" s="168"/>
      <c r="LRG38" s="168"/>
      <c r="LRH38" s="168"/>
      <c r="LRI38" s="168"/>
      <c r="LRJ38" s="168"/>
      <c r="LRK38" s="168"/>
      <c r="LRL38" s="168"/>
      <c r="LRM38" s="168"/>
      <c r="LRN38" s="168"/>
      <c r="LRO38" s="168"/>
      <c r="LRP38" s="168"/>
      <c r="LRQ38" s="168"/>
      <c r="LRR38" s="168"/>
      <c r="LRS38" s="168"/>
      <c r="LRT38" s="168"/>
      <c r="LRU38" s="168"/>
      <c r="LRV38" s="168"/>
      <c r="LRW38" s="168"/>
      <c r="LRX38" s="168"/>
      <c r="LRY38" s="168"/>
      <c r="LRZ38" s="168"/>
      <c r="LSA38" s="168"/>
      <c r="LSB38" s="168"/>
      <c r="LSC38" s="168"/>
      <c r="LSD38" s="168"/>
      <c r="LSE38" s="168"/>
      <c r="LSF38" s="168"/>
      <c r="LSG38" s="168"/>
      <c r="LSH38" s="168"/>
      <c r="LSI38" s="168"/>
      <c r="LSJ38" s="168"/>
      <c r="LSK38" s="168"/>
      <c r="LSL38" s="168"/>
      <c r="LSM38" s="168"/>
      <c r="LSN38" s="168"/>
      <c r="LSO38" s="168"/>
      <c r="LSP38" s="168"/>
      <c r="LSQ38" s="168"/>
      <c r="LSR38" s="168"/>
      <c r="LSS38" s="168"/>
      <c r="LST38" s="168"/>
      <c r="LSU38" s="168"/>
      <c r="LSV38" s="168"/>
      <c r="LSW38" s="168"/>
      <c r="LSX38" s="168"/>
      <c r="LSY38" s="168"/>
      <c r="LSZ38" s="168"/>
      <c r="LTA38" s="168"/>
      <c r="LTB38" s="168"/>
      <c r="LTC38" s="168"/>
      <c r="LTD38" s="168"/>
      <c r="LTE38" s="168"/>
      <c r="LTF38" s="168"/>
      <c r="LTG38" s="168"/>
      <c r="LTH38" s="168"/>
      <c r="LTI38" s="168"/>
      <c r="LTJ38" s="168"/>
      <c r="LTK38" s="168"/>
      <c r="LTL38" s="168"/>
      <c r="LTM38" s="168"/>
      <c r="LTN38" s="168"/>
      <c r="LTO38" s="168"/>
      <c r="LTP38" s="168"/>
      <c r="LTQ38" s="168"/>
      <c r="LTR38" s="168"/>
      <c r="LTS38" s="168"/>
      <c r="LTT38" s="168"/>
      <c r="LTU38" s="168"/>
      <c r="LTV38" s="168"/>
      <c r="LTW38" s="168"/>
      <c r="LTX38" s="168"/>
      <c r="LTY38" s="168"/>
      <c r="LTZ38" s="168"/>
      <c r="LUA38" s="168"/>
      <c r="LUB38" s="168"/>
      <c r="LUC38" s="168"/>
      <c r="LUD38" s="168"/>
      <c r="LUE38" s="168"/>
      <c r="LUF38" s="168"/>
      <c r="LUG38" s="168"/>
      <c r="LUH38" s="168"/>
      <c r="LUI38" s="168"/>
      <c r="LUJ38" s="168"/>
      <c r="LUK38" s="168"/>
      <c r="LUL38" s="168"/>
      <c r="LUM38" s="168"/>
      <c r="LUN38" s="168"/>
      <c r="LUO38" s="168"/>
      <c r="LUP38" s="168"/>
      <c r="LUQ38" s="168"/>
      <c r="LUR38" s="168"/>
      <c r="LUS38" s="168"/>
      <c r="LUT38" s="168"/>
      <c r="LUU38" s="168"/>
      <c r="LUV38" s="168"/>
      <c r="LUW38" s="168"/>
      <c r="LUX38" s="168"/>
      <c r="LUY38" s="168"/>
      <c r="LUZ38" s="168"/>
      <c r="LVA38" s="168"/>
      <c r="LVB38" s="168"/>
      <c r="LVC38" s="168"/>
      <c r="LVD38" s="168"/>
      <c r="LVE38" s="168"/>
      <c r="LVF38" s="168"/>
      <c r="LVG38" s="168"/>
      <c r="LVH38" s="168"/>
      <c r="LVI38" s="168"/>
      <c r="LVJ38" s="168"/>
      <c r="LVK38" s="168"/>
      <c r="LVL38" s="168"/>
      <c r="LVM38" s="168"/>
      <c r="LVN38" s="168"/>
      <c r="LVO38" s="168"/>
      <c r="LVP38" s="168"/>
      <c r="LVQ38" s="168"/>
      <c r="LVR38" s="168"/>
      <c r="LVS38" s="168"/>
      <c r="LVT38" s="168"/>
      <c r="LVU38" s="168"/>
      <c r="LVV38" s="168"/>
      <c r="LVW38" s="168"/>
      <c r="LVX38" s="168"/>
      <c r="LVY38" s="168"/>
      <c r="LVZ38" s="168"/>
      <c r="LWA38" s="168"/>
      <c r="LWB38" s="168"/>
      <c r="LWC38" s="168"/>
      <c r="LWD38" s="168"/>
      <c r="LWE38" s="168"/>
      <c r="LWF38" s="168"/>
      <c r="LWG38" s="168"/>
      <c r="LWH38" s="168"/>
      <c r="LWI38" s="168"/>
      <c r="LWJ38" s="168"/>
      <c r="LWK38" s="168"/>
      <c r="LWL38" s="168"/>
      <c r="LWM38" s="168"/>
      <c r="LWN38" s="168"/>
      <c r="LWO38" s="168"/>
      <c r="LWP38" s="168"/>
      <c r="LWQ38" s="168"/>
      <c r="LWR38" s="168"/>
      <c r="LWS38" s="168"/>
      <c r="LWT38" s="168"/>
      <c r="LWU38" s="168"/>
      <c r="LWV38" s="168"/>
      <c r="LWW38" s="168"/>
      <c r="LWX38" s="168"/>
      <c r="LWY38" s="168"/>
      <c r="LWZ38" s="168"/>
      <c r="LXA38" s="168"/>
      <c r="LXB38" s="168"/>
      <c r="LXC38" s="168"/>
      <c r="LXD38" s="168"/>
      <c r="LXE38" s="168"/>
      <c r="LXF38" s="168"/>
      <c r="LXG38" s="168"/>
      <c r="LXH38" s="168"/>
      <c r="LXI38" s="168"/>
      <c r="LXJ38" s="168"/>
      <c r="LXK38" s="168"/>
      <c r="LXL38" s="168"/>
      <c r="LXM38" s="168"/>
      <c r="LXN38" s="168"/>
      <c r="LXO38" s="168"/>
      <c r="LXP38" s="168"/>
      <c r="LXQ38" s="168"/>
      <c r="LXR38" s="168"/>
      <c r="LXS38" s="168"/>
      <c r="LXT38" s="168"/>
      <c r="LXU38" s="168"/>
      <c r="LXV38" s="168"/>
      <c r="LXW38" s="168"/>
      <c r="LXX38" s="168"/>
      <c r="LXY38" s="168"/>
      <c r="LXZ38" s="168"/>
      <c r="LYA38" s="168"/>
      <c r="LYB38" s="168"/>
      <c r="LYC38" s="168"/>
      <c r="LYD38" s="168"/>
      <c r="LYE38" s="168"/>
      <c r="LYF38" s="168"/>
      <c r="LYG38" s="168"/>
      <c r="LYH38" s="168"/>
      <c r="LYI38" s="168"/>
      <c r="LYJ38" s="168"/>
      <c r="LYK38" s="168"/>
      <c r="LYL38" s="168"/>
      <c r="LYM38" s="168"/>
      <c r="LYN38" s="168"/>
      <c r="LYO38" s="168"/>
      <c r="LYP38" s="168"/>
      <c r="LYQ38" s="168"/>
      <c r="LYR38" s="168"/>
      <c r="LYS38" s="168"/>
      <c r="LYT38" s="168"/>
      <c r="LYU38" s="168"/>
      <c r="LYV38" s="168"/>
      <c r="LYW38" s="168"/>
      <c r="LYX38" s="168"/>
      <c r="LYY38" s="168"/>
      <c r="LYZ38" s="168"/>
      <c r="LZA38" s="168"/>
      <c r="LZB38" s="168"/>
      <c r="LZC38" s="168"/>
      <c r="LZD38" s="168"/>
      <c r="LZE38" s="168"/>
      <c r="LZF38" s="168"/>
      <c r="LZG38" s="168"/>
      <c r="LZH38" s="168"/>
      <c r="LZI38" s="168"/>
      <c r="LZJ38" s="168"/>
      <c r="LZK38" s="168"/>
      <c r="LZL38" s="168"/>
      <c r="LZM38" s="168"/>
      <c r="LZN38" s="168"/>
      <c r="LZO38" s="168"/>
      <c r="LZP38" s="168"/>
      <c r="LZQ38" s="168"/>
      <c r="LZR38" s="168"/>
      <c r="LZS38" s="168"/>
      <c r="LZT38" s="168"/>
      <c r="LZU38" s="168"/>
      <c r="LZV38" s="168"/>
      <c r="LZW38" s="168"/>
      <c r="LZX38" s="168"/>
      <c r="LZY38" s="168"/>
      <c r="LZZ38" s="168"/>
      <c r="MAA38" s="168"/>
      <c r="MAB38" s="168"/>
      <c r="MAC38" s="168"/>
      <c r="MAD38" s="168"/>
      <c r="MAE38" s="168"/>
      <c r="MAF38" s="168"/>
      <c r="MAG38" s="168"/>
      <c r="MAH38" s="168"/>
      <c r="MAI38" s="168"/>
      <c r="MAJ38" s="168"/>
      <c r="MAK38" s="168"/>
      <c r="MAL38" s="168"/>
      <c r="MAM38" s="168"/>
      <c r="MAN38" s="168"/>
      <c r="MAO38" s="168"/>
      <c r="MAP38" s="168"/>
      <c r="MAQ38" s="168"/>
      <c r="MAR38" s="168"/>
      <c r="MAS38" s="168"/>
      <c r="MAT38" s="168"/>
      <c r="MAU38" s="168"/>
      <c r="MAV38" s="168"/>
      <c r="MAW38" s="168"/>
      <c r="MAX38" s="168"/>
      <c r="MAY38" s="168"/>
      <c r="MAZ38" s="168"/>
      <c r="MBA38" s="168"/>
      <c r="MBB38" s="168"/>
      <c r="MBC38" s="168"/>
      <c r="MBD38" s="168"/>
      <c r="MBE38" s="168"/>
      <c r="MBF38" s="168"/>
      <c r="MBG38" s="168"/>
      <c r="MBH38" s="168"/>
      <c r="MBI38" s="168"/>
      <c r="MBJ38" s="168"/>
      <c r="MBK38" s="168"/>
      <c r="MBL38" s="168"/>
      <c r="MBM38" s="168"/>
      <c r="MBN38" s="168"/>
      <c r="MBO38" s="168"/>
      <c r="MBP38" s="168"/>
      <c r="MBQ38" s="168"/>
      <c r="MBR38" s="168"/>
      <c r="MBS38" s="168"/>
      <c r="MBT38" s="168"/>
      <c r="MBU38" s="168"/>
      <c r="MBV38" s="168"/>
      <c r="MBW38" s="168"/>
      <c r="MBX38" s="168"/>
      <c r="MBY38" s="168"/>
      <c r="MBZ38" s="168"/>
      <c r="MCA38" s="168"/>
      <c r="MCB38" s="168"/>
      <c r="MCC38" s="168"/>
      <c r="MCD38" s="168"/>
      <c r="MCE38" s="168"/>
      <c r="MCF38" s="168"/>
      <c r="MCG38" s="168"/>
      <c r="MCH38" s="168"/>
      <c r="MCI38" s="168"/>
      <c r="MCJ38" s="168"/>
      <c r="MCK38" s="168"/>
      <c r="MCL38" s="168"/>
      <c r="MCM38" s="168"/>
      <c r="MCN38" s="168"/>
      <c r="MCO38" s="168"/>
      <c r="MCP38" s="168"/>
      <c r="MCQ38" s="168"/>
      <c r="MCR38" s="168"/>
      <c r="MCS38" s="168"/>
      <c r="MCT38" s="168"/>
      <c r="MCU38" s="168"/>
      <c r="MCV38" s="168"/>
      <c r="MCW38" s="168"/>
      <c r="MCX38" s="168"/>
      <c r="MCY38" s="168"/>
      <c r="MCZ38" s="168"/>
      <c r="MDA38" s="168"/>
      <c r="MDB38" s="168"/>
      <c r="MDC38" s="168"/>
      <c r="MDD38" s="168"/>
      <c r="MDE38" s="168"/>
      <c r="MDF38" s="168"/>
      <c r="MDG38" s="168"/>
      <c r="MDH38" s="168"/>
      <c r="MDI38" s="168"/>
      <c r="MDJ38" s="168"/>
      <c r="MDK38" s="168"/>
      <c r="MDL38" s="168"/>
      <c r="MDM38" s="168"/>
      <c r="MDN38" s="168"/>
      <c r="MDO38" s="168"/>
      <c r="MDP38" s="168"/>
      <c r="MDQ38" s="168"/>
      <c r="MDR38" s="168"/>
      <c r="MDS38" s="168"/>
      <c r="MDT38" s="168"/>
      <c r="MDU38" s="168"/>
      <c r="MDV38" s="168"/>
      <c r="MDW38" s="168"/>
      <c r="MDX38" s="168"/>
      <c r="MDY38" s="168"/>
      <c r="MDZ38" s="168"/>
      <c r="MEA38" s="168"/>
      <c r="MEB38" s="168"/>
      <c r="MEC38" s="168"/>
      <c r="MED38" s="168"/>
      <c r="MEE38" s="168"/>
      <c r="MEF38" s="168"/>
      <c r="MEG38" s="168"/>
      <c r="MEH38" s="168"/>
      <c r="MEI38" s="168"/>
      <c r="MEJ38" s="168"/>
      <c r="MEK38" s="168"/>
      <c r="MEL38" s="168"/>
      <c r="MEM38" s="168"/>
      <c r="MEN38" s="168"/>
      <c r="MEO38" s="168"/>
      <c r="MEP38" s="168"/>
      <c r="MEQ38" s="168"/>
      <c r="MER38" s="168"/>
      <c r="MES38" s="168"/>
      <c r="MET38" s="168"/>
      <c r="MEU38" s="168"/>
      <c r="MEV38" s="168"/>
      <c r="MEW38" s="168"/>
      <c r="MEX38" s="168"/>
      <c r="MEY38" s="168"/>
      <c r="MEZ38" s="168"/>
      <c r="MFA38" s="168"/>
      <c r="MFB38" s="168"/>
      <c r="MFC38" s="168"/>
      <c r="MFD38" s="168"/>
      <c r="MFE38" s="168"/>
      <c r="MFF38" s="168"/>
      <c r="MFG38" s="168"/>
      <c r="MFH38" s="168"/>
      <c r="MFI38" s="168"/>
      <c r="MFJ38" s="168"/>
      <c r="MFK38" s="168"/>
      <c r="MFL38" s="168"/>
      <c r="MFM38" s="168"/>
      <c r="MFN38" s="168"/>
      <c r="MFO38" s="168"/>
      <c r="MFP38" s="168"/>
      <c r="MFQ38" s="168"/>
      <c r="MFR38" s="168"/>
      <c r="MFS38" s="168"/>
      <c r="MFT38" s="168"/>
      <c r="MFU38" s="168"/>
      <c r="MFV38" s="168"/>
      <c r="MFW38" s="168"/>
      <c r="MFX38" s="168"/>
      <c r="MFY38" s="168"/>
      <c r="MFZ38" s="168"/>
      <c r="MGA38" s="168"/>
      <c r="MGB38" s="168"/>
      <c r="MGC38" s="168"/>
      <c r="MGD38" s="168"/>
      <c r="MGE38" s="168"/>
      <c r="MGF38" s="168"/>
      <c r="MGG38" s="168"/>
      <c r="MGH38" s="168"/>
      <c r="MGI38" s="168"/>
      <c r="MGJ38" s="168"/>
      <c r="MGK38" s="168"/>
      <c r="MGL38" s="168"/>
      <c r="MGM38" s="168"/>
      <c r="MGN38" s="168"/>
      <c r="MGO38" s="168"/>
      <c r="MGP38" s="168"/>
      <c r="MGQ38" s="168"/>
      <c r="MGR38" s="168"/>
      <c r="MGS38" s="168"/>
      <c r="MGT38" s="168"/>
      <c r="MGU38" s="168"/>
      <c r="MGV38" s="168"/>
      <c r="MGW38" s="168"/>
      <c r="MGX38" s="168"/>
      <c r="MGY38" s="168"/>
      <c r="MGZ38" s="168"/>
      <c r="MHA38" s="168"/>
      <c r="MHB38" s="168"/>
      <c r="MHC38" s="168"/>
      <c r="MHD38" s="168"/>
      <c r="MHE38" s="168"/>
      <c r="MHF38" s="168"/>
      <c r="MHG38" s="168"/>
      <c r="MHH38" s="168"/>
      <c r="MHI38" s="168"/>
      <c r="MHJ38" s="168"/>
      <c r="MHK38" s="168"/>
      <c r="MHL38" s="168"/>
      <c r="MHM38" s="168"/>
      <c r="MHN38" s="168"/>
      <c r="MHO38" s="168"/>
      <c r="MHP38" s="168"/>
      <c r="MHQ38" s="168"/>
      <c r="MHR38" s="168"/>
      <c r="MHS38" s="168"/>
      <c r="MHT38" s="168"/>
      <c r="MHU38" s="168"/>
      <c r="MHV38" s="168"/>
      <c r="MHW38" s="168"/>
      <c r="MHX38" s="168"/>
      <c r="MHY38" s="168"/>
      <c r="MHZ38" s="168"/>
      <c r="MIA38" s="168"/>
      <c r="MIB38" s="168"/>
      <c r="MIC38" s="168"/>
      <c r="MID38" s="168"/>
      <c r="MIE38" s="168"/>
      <c r="MIF38" s="168"/>
      <c r="MIG38" s="168"/>
      <c r="MIH38" s="168"/>
      <c r="MII38" s="168"/>
      <c r="MIJ38" s="168"/>
      <c r="MIK38" s="168"/>
      <c r="MIL38" s="168"/>
      <c r="MIM38" s="168"/>
      <c r="MIN38" s="168"/>
      <c r="MIO38" s="168"/>
      <c r="MIP38" s="168"/>
      <c r="MIQ38" s="168"/>
      <c r="MIR38" s="168"/>
      <c r="MIS38" s="168"/>
      <c r="MIT38" s="168"/>
      <c r="MIU38" s="168"/>
      <c r="MIV38" s="168"/>
      <c r="MIW38" s="168"/>
      <c r="MIX38" s="168"/>
      <c r="MIY38" s="168"/>
      <c r="MIZ38" s="168"/>
      <c r="MJA38" s="168"/>
      <c r="MJB38" s="168"/>
      <c r="MJC38" s="168"/>
      <c r="MJD38" s="168"/>
      <c r="MJE38" s="168"/>
      <c r="MJF38" s="168"/>
      <c r="MJG38" s="168"/>
      <c r="MJH38" s="168"/>
      <c r="MJI38" s="168"/>
      <c r="MJJ38" s="168"/>
      <c r="MJK38" s="168"/>
      <c r="MJL38" s="168"/>
      <c r="MJM38" s="168"/>
      <c r="MJN38" s="168"/>
      <c r="MJO38" s="168"/>
      <c r="MJP38" s="168"/>
      <c r="MJQ38" s="168"/>
      <c r="MJR38" s="168"/>
      <c r="MJS38" s="168"/>
      <c r="MJT38" s="168"/>
      <c r="MJU38" s="168"/>
      <c r="MJV38" s="168"/>
      <c r="MJW38" s="168"/>
      <c r="MJX38" s="168"/>
      <c r="MJY38" s="168"/>
      <c r="MJZ38" s="168"/>
      <c r="MKA38" s="168"/>
      <c r="MKB38" s="168"/>
      <c r="MKC38" s="168"/>
      <c r="MKD38" s="168"/>
      <c r="MKE38" s="168"/>
      <c r="MKF38" s="168"/>
      <c r="MKG38" s="168"/>
      <c r="MKH38" s="168"/>
      <c r="MKI38" s="168"/>
      <c r="MKJ38" s="168"/>
      <c r="MKK38" s="168"/>
      <c r="MKL38" s="168"/>
      <c r="MKM38" s="168"/>
      <c r="MKN38" s="168"/>
      <c r="MKO38" s="168"/>
      <c r="MKP38" s="168"/>
      <c r="MKQ38" s="168"/>
      <c r="MKR38" s="168"/>
      <c r="MKS38" s="168"/>
      <c r="MKT38" s="168"/>
      <c r="MKU38" s="168"/>
      <c r="MKV38" s="168"/>
      <c r="MKW38" s="168"/>
      <c r="MKX38" s="168"/>
      <c r="MKY38" s="168"/>
      <c r="MKZ38" s="168"/>
      <c r="MLA38" s="168"/>
      <c r="MLB38" s="168"/>
      <c r="MLC38" s="168"/>
      <c r="MLD38" s="168"/>
      <c r="MLE38" s="168"/>
      <c r="MLF38" s="168"/>
      <c r="MLG38" s="168"/>
      <c r="MLH38" s="168"/>
      <c r="MLI38" s="168"/>
      <c r="MLJ38" s="168"/>
      <c r="MLK38" s="168"/>
      <c r="MLL38" s="168"/>
      <c r="MLM38" s="168"/>
      <c r="MLN38" s="168"/>
      <c r="MLO38" s="168"/>
      <c r="MLP38" s="168"/>
      <c r="MLQ38" s="168"/>
      <c r="MLR38" s="168"/>
      <c r="MLS38" s="168"/>
      <c r="MLT38" s="168"/>
      <c r="MLU38" s="168"/>
      <c r="MLV38" s="168"/>
      <c r="MLW38" s="168"/>
      <c r="MLX38" s="168"/>
      <c r="MLY38" s="168"/>
      <c r="MLZ38" s="168"/>
      <c r="MMA38" s="168"/>
      <c r="MMB38" s="168"/>
      <c r="MMC38" s="168"/>
      <c r="MMD38" s="168"/>
      <c r="MME38" s="168"/>
      <c r="MMF38" s="168"/>
      <c r="MMG38" s="168"/>
      <c r="MMH38" s="168"/>
      <c r="MMI38" s="168"/>
      <c r="MMJ38" s="168"/>
      <c r="MMK38" s="168"/>
      <c r="MML38" s="168"/>
      <c r="MMM38" s="168"/>
      <c r="MMN38" s="168"/>
      <c r="MMO38" s="168"/>
      <c r="MMP38" s="168"/>
      <c r="MMQ38" s="168"/>
      <c r="MMR38" s="168"/>
      <c r="MMS38" s="168"/>
      <c r="MMT38" s="168"/>
      <c r="MMU38" s="168"/>
      <c r="MMV38" s="168"/>
      <c r="MMW38" s="168"/>
      <c r="MMX38" s="168"/>
      <c r="MMY38" s="168"/>
      <c r="MMZ38" s="168"/>
      <c r="MNA38" s="168"/>
      <c r="MNB38" s="168"/>
      <c r="MNC38" s="168"/>
      <c r="MND38" s="168"/>
      <c r="MNE38" s="168"/>
      <c r="MNF38" s="168"/>
      <c r="MNG38" s="168"/>
      <c r="MNH38" s="168"/>
      <c r="MNI38" s="168"/>
      <c r="MNJ38" s="168"/>
      <c r="MNK38" s="168"/>
      <c r="MNL38" s="168"/>
      <c r="MNM38" s="168"/>
      <c r="MNN38" s="168"/>
      <c r="MNO38" s="168"/>
      <c r="MNP38" s="168"/>
      <c r="MNQ38" s="168"/>
      <c r="MNR38" s="168"/>
      <c r="MNS38" s="168"/>
      <c r="MNT38" s="168"/>
      <c r="MNU38" s="168"/>
      <c r="MNV38" s="168"/>
      <c r="MNW38" s="168"/>
      <c r="MNX38" s="168"/>
      <c r="MNY38" s="168"/>
      <c r="MNZ38" s="168"/>
      <c r="MOA38" s="168"/>
      <c r="MOB38" s="168"/>
      <c r="MOC38" s="168"/>
      <c r="MOD38" s="168"/>
      <c r="MOE38" s="168"/>
      <c r="MOF38" s="168"/>
      <c r="MOG38" s="168"/>
      <c r="MOH38" s="168"/>
      <c r="MOI38" s="168"/>
      <c r="MOJ38" s="168"/>
      <c r="MOK38" s="168"/>
      <c r="MOL38" s="168"/>
      <c r="MOM38" s="168"/>
      <c r="MON38" s="168"/>
      <c r="MOO38" s="168"/>
      <c r="MOP38" s="168"/>
      <c r="MOQ38" s="168"/>
      <c r="MOR38" s="168"/>
      <c r="MOS38" s="168"/>
      <c r="MOT38" s="168"/>
      <c r="MOU38" s="168"/>
      <c r="MOV38" s="168"/>
      <c r="MOW38" s="168"/>
      <c r="MOX38" s="168"/>
      <c r="MOY38" s="168"/>
      <c r="MOZ38" s="168"/>
      <c r="MPA38" s="168"/>
      <c r="MPB38" s="168"/>
      <c r="MPC38" s="168"/>
      <c r="MPD38" s="168"/>
      <c r="MPE38" s="168"/>
      <c r="MPF38" s="168"/>
      <c r="MPG38" s="168"/>
      <c r="MPH38" s="168"/>
      <c r="MPI38" s="168"/>
      <c r="MPJ38" s="168"/>
      <c r="MPK38" s="168"/>
      <c r="MPL38" s="168"/>
      <c r="MPM38" s="168"/>
      <c r="MPN38" s="168"/>
      <c r="MPO38" s="168"/>
      <c r="MPP38" s="168"/>
      <c r="MPQ38" s="168"/>
      <c r="MPR38" s="168"/>
      <c r="MPS38" s="168"/>
      <c r="MPT38" s="168"/>
      <c r="MPU38" s="168"/>
      <c r="MPV38" s="168"/>
      <c r="MPW38" s="168"/>
      <c r="MPX38" s="168"/>
      <c r="MPY38" s="168"/>
      <c r="MPZ38" s="168"/>
      <c r="MQA38" s="168"/>
      <c r="MQB38" s="168"/>
      <c r="MQC38" s="168"/>
      <c r="MQD38" s="168"/>
      <c r="MQE38" s="168"/>
      <c r="MQF38" s="168"/>
      <c r="MQG38" s="168"/>
      <c r="MQH38" s="168"/>
      <c r="MQI38" s="168"/>
      <c r="MQJ38" s="168"/>
      <c r="MQK38" s="168"/>
      <c r="MQL38" s="168"/>
      <c r="MQM38" s="168"/>
      <c r="MQN38" s="168"/>
      <c r="MQO38" s="168"/>
      <c r="MQP38" s="168"/>
      <c r="MQQ38" s="168"/>
      <c r="MQR38" s="168"/>
      <c r="MQS38" s="168"/>
      <c r="MQT38" s="168"/>
      <c r="MQU38" s="168"/>
      <c r="MQV38" s="168"/>
      <c r="MQW38" s="168"/>
      <c r="MQX38" s="168"/>
      <c r="MQY38" s="168"/>
      <c r="MQZ38" s="168"/>
      <c r="MRA38" s="168"/>
      <c r="MRB38" s="168"/>
      <c r="MRC38" s="168"/>
      <c r="MRD38" s="168"/>
      <c r="MRE38" s="168"/>
      <c r="MRF38" s="168"/>
      <c r="MRG38" s="168"/>
      <c r="MRH38" s="168"/>
      <c r="MRI38" s="168"/>
      <c r="MRJ38" s="168"/>
      <c r="MRK38" s="168"/>
      <c r="MRL38" s="168"/>
      <c r="MRM38" s="168"/>
      <c r="MRN38" s="168"/>
      <c r="MRO38" s="168"/>
      <c r="MRP38" s="168"/>
      <c r="MRQ38" s="168"/>
      <c r="MRR38" s="168"/>
      <c r="MRS38" s="168"/>
      <c r="MRT38" s="168"/>
      <c r="MRU38" s="168"/>
      <c r="MRV38" s="168"/>
      <c r="MRW38" s="168"/>
      <c r="MRX38" s="168"/>
      <c r="MRY38" s="168"/>
      <c r="MRZ38" s="168"/>
      <c r="MSA38" s="168"/>
      <c r="MSB38" s="168"/>
      <c r="MSC38" s="168"/>
      <c r="MSD38" s="168"/>
      <c r="MSE38" s="168"/>
      <c r="MSF38" s="168"/>
      <c r="MSG38" s="168"/>
      <c r="MSH38" s="168"/>
      <c r="MSI38" s="168"/>
      <c r="MSJ38" s="168"/>
      <c r="MSK38" s="168"/>
      <c r="MSL38" s="168"/>
      <c r="MSM38" s="168"/>
      <c r="MSN38" s="168"/>
      <c r="MSO38" s="168"/>
      <c r="MSP38" s="168"/>
      <c r="MSQ38" s="168"/>
      <c r="MSR38" s="168"/>
      <c r="MSS38" s="168"/>
      <c r="MST38" s="168"/>
      <c r="MSU38" s="168"/>
      <c r="MSV38" s="168"/>
      <c r="MSW38" s="168"/>
      <c r="MSX38" s="168"/>
      <c r="MSY38" s="168"/>
      <c r="MSZ38" s="168"/>
      <c r="MTA38" s="168"/>
      <c r="MTB38" s="168"/>
      <c r="MTC38" s="168"/>
      <c r="MTD38" s="168"/>
      <c r="MTE38" s="168"/>
      <c r="MTF38" s="168"/>
      <c r="MTG38" s="168"/>
      <c r="MTH38" s="168"/>
      <c r="MTI38" s="168"/>
      <c r="MTJ38" s="168"/>
      <c r="MTK38" s="168"/>
      <c r="MTL38" s="168"/>
      <c r="MTM38" s="168"/>
      <c r="MTN38" s="168"/>
      <c r="MTO38" s="168"/>
      <c r="MTP38" s="168"/>
      <c r="MTQ38" s="168"/>
      <c r="MTR38" s="168"/>
      <c r="MTS38" s="168"/>
      <c r="MTT38" s="168"/>
      <c r="MTU38" s="168"/>
      <c r="MTV38" s="168"/>
      <c r="MTW38" s="168"/>
      <c r="MTX38" s="168"/>
      <c r="MTY38" s="168"/>
      <c r="MTZ38" s="168"/>
      <c r="MUA38" s="168"/>
      <c r="MUB38" s="168"/>
      <c r="MUC38" s="168"/>
      <c r="MUD38" s="168"/>
      <c r="MUE38" s="168"/>
      <c r="MUF38" s="168"/>
      <c r="MUG38" s="168"/>
      <c r="MUH38" s="168"/>
      <c r="MUI38" s="168"/>
      <c r="MUJ38" s="168"/>
      <c r="MUK38" s="168"/>
      <c r="MUL38" s="168"/>
      <c r="MUM38" s="168"/>
      <c r="MUN38" s="168"/>
      <c r="MUO38" s="168"/>
      <c r="MUP38" s="168"/>
      <c r="MUQ38" s="168"/>
      <c r="MUR38" s="168"/>
      <c r="MUS38" s="168"/>
      <c r="MUT38" s="168"/>
      <c r="MUU38" s="168"/>
      <c r="MUV38" s="168"/>
      <c r="MUW38" s="168"/>
      <c r="MUX38" s="168"/>
      <c r="MUY38" s="168"/>
      <c r="MUZ38" s="168"/>
      <c r="MVA38" s="168"/>
      <c r="MVB38" s="168"/>
      <c r="MVC38" s="168"/>
      <c r="MVD38" s="168"/>
      <c r="MVE38" s="168"/>
      <c r="MVF38" s="168"/>
      <c r="MVG38" s="168"/>
      <c r="MVH38" s="168"/>
      <c r="MVI38" s="168"/>
      <c r="MVJ38" s="168"/>
      <c r="MVK38" s="168"/>
      <c r="MVL38" s="168"/>
      <c r="MVM38" s="168"/>
      <c r="MVN38" s="168"/>
      <c r="MVO38" s="168"/>
      <c r="MVP38" s="168"/>
      <c r="MVQ38" s="168"/>
      <c r="MVR38" s="168"/>
      <c r="MVS38" s="168"/>
      <c r="MVT38" s="168"/>
      <c r="MVU38" s="168"/>
      <c r="MVV38" s="168"/>
      <c r="MVW38" s="168"/>
      <c r="MVX38" s="168"/>
      <c r="MVY38" s="168"/>
      <c r="MVZ38" s="168"/>
      <c r="MWA38" s="168"/>
      <c r="MWB38" s="168"/>
      <c r="MWC38" s="168"/>
      <c r="MWD38" s="168"/>
      <c r="MWE38" s="168"/>
      <c r="MWF38" s="168"/>
      <c r="MWG38" s="168"/>
      <c r="MWH38" s="168"/>
      <c r="MWI38" s="168"/>
      <c r="MWJ38" s="168"/>
      <c r="MWK38" s="168"/>
      <c r="MWL38" s="168"/>
      <c r="MWM38" s="168"/>
      <c r="MWN38" s="168"/>
      <c r="MWO38" s="168"/>
      <c r="MWP38" s="168"/>
      <c r="MWQ38" s="168"/>
      <c r="MWR38" s="168"/>
      <c r="MWS38" s="168"/>
      <c r="MWT38" s="168"/>
      <c r="MWU38" s="168"/>
      <c r="MWV38" s="168"/>
      <c r="MWW38" s="168"/>
      <c r="MWX38" s="168"/>
      <c r="MWY38" s="168"/>
      <c r="MWZ38" s="168"/>
      <c r="MXA38" s="168"/>
      <c r="MXB38" s="168"/>
      <c r="MXC38" s="168"/>
      <c r="MXD38" s="168"/>
      <c r="MXE38" s="168"/>
      <c r="MXF38" s="168"/>
      <c r="MXG38" s="168"/>
      <c r="MXH38" s="168"/>
      <c r="MXI38" s="168"/>
      <c r="MXJ38" s="168"/>
      <c r="MXK38" s="168"/>
      <c r="MXL38" s="168"/>
      <c r="MXM38" s="168"/>
      <c r="MXN38" s="168"/>
      <c r="MXO38" s="168"/>
      <c r="MXP38" s="168"/>
      <c r="MXQ38" s="168"/>
      <c r="MXR38" s="168"/>
      <c r="MXS38" s="168"/>
      <c r="MXT38" s="168"/>
      <c r="MXU38" s="168"/>
      <c r="MXV38" s="168"/>
      <c r="MXW38" s="168"/>
      <c r="MXX38" s="168"/>
      <c r="MXY38" s="168"/>
      <c r="MXZ38" s="168"/>
      <c r="MYA38" s="168"/>
      <c r="MYB38" s="168"/>
      <c r="MYC38" s="168"/>
      <c r="MYD38" s="168"/>
      <c r="MYE38" s="168"/>
      <c r="MYF38" s="168"/>
      <c r="MYG38" s="168"/>
      <c r="MYH38" s="168"/>
      <c r="MYI38" s="168"/>
      <c r="MYJ38" s="168"/>
      <c r="MYK38" s="168"/>
      <c r="MYL38" s="168"/>
      <c r="MYM38" s="168"/>
      <c r="MYN38" s="168"/>
      <c r="MYO38" s="168"/>
      <c r="MYP38" s="168"/>
      <c r="MYQ38" s="168"/>
      <c r="MYR38" s="168"/>
      <c r="MYS38" s="168"/>
      <c r="MYT38" s="168"/>
      <c r="MYU38" s="168"/>
      <c r="MYV38" s="168"/>
      <c r="MYW38" s="168"/>
      <c r="MYX38" s="168"/>
      <c r="MYY38" s="168"/>
      <c r="MYZ38" s="168"/>
      <c r="MZA38" s="168"/>
      <c r="MZB38" s="168"/>
      <c r="MZC38" s="168"/>
      <c r="MZD38" s="168"/>
      <c r="MZE38" s="168"/>
      <c r="MZF38" s="168"/>
      <c r="MZG38" s="168"/>
      <c r="MZH38" s="168"/>
      <c r="MZI38" s="168"/>
      <c r="MZJ38" s="168"/>
      <c r="MZK38" s="168"/>
      <c r="MZL38" s="168"/>
      <c r="MZM38" s="168"/>
      <c r="MZN38" s="168"/>
      <c r="MZO38" s="168"/>
      <c r="MZP38" s="168"/>
      <c r="MZQ38" s="168"/>
      <c r="MZR38" s="168"/>
      <c r="MZS38" s="168"/>
      <c r="MZT38" s="168"/>
      <c r="MZU38" s="168"/>
      <c r="MZV38" s="168"/>
      <c r="MZW38" s="168"/>
      <c r="MZX38" s="168"/>
      <c r="MZY38" s="168"/>
      <c r="MZZ38" s="168"/>
      <c r="NAA38" s="168"/>
      <c r="NAB38" s="168"/>
      <c r="NAC38" s="168"/>
      <c r="NAD38" s="168"/>
      <c r="NAE38" s="168"/>
      <c r="NAF38" s="168"/>
      <c r="NAG38" s="168"/>
      <c r="NAH38" s="168"/>
      <c r="NAI38" s="168"/>
      <c r="NAJ38" s="168"/>
      <c r="NAK38" s="168"/>
      <c r="NAL38" s="168"/>
      <c r="NAM38" s="168"/>
      <c r="NAN38" s="168"/>
      <c r="NAO38" s="168"/>
      <c r="NAP38" s="168"/>
      <c r="NAQ38" s="168"/>
      <c r="NAR38" s="168"/>
      <c r="NAS38" s="168"/>
      <c r="NAT38" s="168"/>
      <c r="NAU38" s="168"/>
      <c r="NAV38" s="168"/>
      <c r="NAW38" s="168"/>
      <c r="NAX38" s="168"/>
      <c r="NAY38" s="168"/>
      <c r="NAZ38" s="168"/>
      <c r="NBA38" s="168"/>
      <c r="NBB38" s="168"/>
      <c r="NBC38" s="168"/>
      <c r="NBD38" s="168"/>
      <c r="NBE38" s="168"/>
      <c r="NBF38" s="168"/>
      <c r="NBG38" s="168"/>
      <c r="NBH38" s="168"/>
      <c r="NBI38" s="168"/>
      <c r="NBJ38" s="168"/>
      <c r="NBK38" s="168"/>
      <c r="NBL38" s="168"/>
      <c r="NBM38" s="168"/>
      <c r="NBN38" s="168"/>
      <c r="NBO38" s="168"/>
      <c r="NBP38" s="168"/>
      <c r="NBQ38" s="168"/>
      <c r="NBR38" s="168"/>
      <c r="NBS38" s="168"/>
      <c r="NBT38" s="168"/>
      <c r="NBU38" s="168"/>
      <c r="NBV38" s="168"/>
      <c r="NBW38" s="168"/>
      <c r="NBX38" s="168"/>
      <c r="NBY38" s="168"/>
      <c r="NBZ38" s="168"/>
      <c r="NCA38" s="168"/>
      <c r="NCB38" s="168"/>
      <c r="NCC38" s="168"/>
      <c r="NCD38" s="168"/>
      <c r="NCE38" s="168"/>
      <c r="NCF38" s="168"/>
      <c r="NCG38" s="168"/>
      <c r="NCH38" s="168"/>
      <c r="NCI38" s="168"/>
      <c r="NCJ38" s="168"/>
      <c r="NCK38" s="168"/>
      <c r="NCL38" s="168"/>
      <c r="NCM38" s="168"/>
      <c r="NCN38" s="168"/>
      <c r="NCO38" s="168"/>
      <c r="NCP38" s="168"/>
      <c r="NCQ38" s="168"/>
      <c r="NCR38" s="168"/>
      <c r="NCS38" s="168"/>
      <c r="NCT38" s="168"/>
      <c r="NCU38" s="168"/>
      <c r="NCV38" s="168"/>
      <c r="NCW38" s="168"/>
      <c r="NCX38" s="168"/>
      <c r="NCY38" s="168"/>
      <c r="NCZ38" s="168"/>
      <c r="NDA38" s="168"/>
      <c r="NDB38" s="168"/>
      <c r="NDC38" s="168"/>
      <c r="NDD38" s="168"/>
      <c r="NDE38" s="168"/>
      <c r="NDF38" s="168"/>
      <c r="NDG38" s="168"/>
      <c r="NDH38" s="168"/>
      <c r="NDI38" s="168"/>
      <c r="NDJ38" s="168"/>
      <c r="NDK38" s="168"/>
      <c r="NDL38" s="168"/>
      <c r="NDM38" s="168"/>
      <c r="NDN38" s="168"/>
      <c r="NDO38" s="168"/>
      <c r="NDP38" s="168"/>
      <c r="NDQ38" s="168"/>
      <c r="NDR38" s="168"/>
      <c r="NDS38" s="168"/>
      <c r="NDT38" s="168"/>
      <c r="NDU38" s="168"/>
      <c r="NDV38" s="168"/>
      <c r="NDW38" s="168"/>
      <c r="NDX38" s="168"/>
      <c r="NDY38" s="168"/>
      <c r="NDZ38" s="168"/>
      <c r="NEA38" s="168"/>
      <c r="NEB38" s="168"/>
      <c r="NEC38" s="168"/>
      <c r="NED38" s="168"/>
      <c r="NEE38" s="168"/>
      <c r="NEF38" s="168"/>
      <c r="NEG38" s="168"/>
      <c r="NEH38" s="168"/>
      <c r="NEI38" s="168"/>
      <c r="NEJ38" s="168"/>
      <c r="NEK38" s="168"/>
      <c r="NEL38" s="168"/>
      <c r="NEM38" s="168"/>
      <c r="NEN38" s="168"/>
      <c r="NEO38" s="168"/>
      <c r="NEP38" s="168"/>
      <c r="NEQ38" s="168"/>
      <c r="NER38" s="168"/>
      <c r="NES38" s="168"/>
      <c r="NET38" s="168"/>
      <c r="NEU38" s="168"/>
      <c r="NEV38" s="168"/>
      <c r="NEW38" s="168"/>
      <c r="NEX38" s="168"/>
      <c r="NEY38" s="168"/>
      <c r="NEZ38" s="168"/>
      <c r="NFA38" s="168"/>
      <c r="NFB38" s="168"/>
      <c r="NFC38" s="168"/>
      <c r="NFD38" s="168"/>
      <c r="NFE38" s="168"/>
      <c r="NFF38" s="168"/>
      <c r="NFG38" s="168"/>
      <c r="NFH38" s="168"/>
      <c r="NFI38" s="168"/>
      <c r="NFJ38" s="168"/>
      <c r="NFK38" s="168"/>
      <c r="NFL38" s="168"/>
      <c r="NFM38" s="168"/>
      <c r="NFN38" s="168"/>
      <c r="NFO38" s="168"/>
      <c r="NFP38" s="168"/>
      <c r="NFQ38" s="168"/>
      <c r="NFR38" s="168"/>
      <c r="NFS38" s="168"/>
      <c r="NFT38" s="168"/>
      <c r="NFU38" s="168"/>
      <c r="NFV38" s="168"/>
      <c r="NFW38" s="168"/>
      <c r="NFX38" s="168"/>
      <c r="NFY38" s="168"/>
      <c r="NFZ38" s="168"/>
      <c r="NGA38" s="168"/>
      <c r="NGB38" s="168"/>
      <c r="NGC38" s="168"/>
      <c r="NGD38" s="168"/>
      <c r="NGE38" s="168"/>
      <c r="NGF38" s="168"/>
      <c r="NGG38" s="168"/>
      <c r="NGH38" s="168"/>
      <c r="NGI38" s="168"/>
      <c r="NGJ38" s="168"/>
      <c r="NGK38" s="168"/>
      <c r="NGL38" s="168"/>
      <c r="NGM38" s="168"/>
      <c r="NGN38" s="168"/>
      <c r="NGO38" s="168"/>
      <c r="NGP38" s="168"/>
      <c r="NGQ38" s="168"/>
      <c r="NGR38" s="168"/>
      <c r="NGS38" s="168"/>
      <c r="NGT38" s="168"/>
      <c r="NGU38" s="168"/>
      <c r="NGV38" s="168"/>
      <c r="NGW38" s="168"/>
      <c r="NGX38" s="168"/>
      <c r="NGY38" s="168"/>
      <c r="NGZ38" s="168"/>
      <c r="NHA38" s="168"/>
      <c r="NHB38" s="168"/>
      <c r="NHC38" s="168"/>
      <c r="NHD38" s="168"/>
      <c r="NHE38" s="168"/>
      <c r="NHF38" s="168"/>
      <c r="NHG38" s="168"/>
      <c r="NHH38" s="168"/>
      <c r="NHI38" s="168"/>
      <c r="NHJ38" s="168"/>
      <c r="NHK38" s="168"/>
      <c r="NHL38" s="168"/>
      <c r="NHM38" s="168"/>
      <c r="NHN38" s="168"/>
      <c r="NHO38" s="168"/>
      <c r="NHP38" s="168"/>
      <c r="NHQ38" s="168"/>
      <c r="NHR38" s="168"/>
      <c r="NHS38" s="168"/>
      <c r="NHT38" s="168"/>
      <c r="NHU38" s="168"/>
      <c r="NHV38" s="168"/>
      <c r="NHW38" s="168"/>
      <c r="NHX38" s="168"/>
      <c r="NHY38" s="168"/>
      <c r="NHZ38" s="168"/>
      <c r="NIA38" s="168"/>
      <c r="NIB38" s="168"/>
      <c r="NIC38" s="168"/>
      <c r="NID38" s="168"/>
      <c r="NIE38" s="168"/>
      <c r="NIF38" s="168"/>
      <c r="NIG38" s="168"/>
      <c r="NIH38" s="168"/>
      <c r="NII38" s="168"/>
      <c r="NIJ38" s="168"/>
      <c r="NIK38" s="168"/>
      <c r="NIL38" s="168"/>
      <c r="NIM38" s="168"/>
      <c r="NIN38" s="168"/>
      <c r="NIO38" s="168"/>
      <c r="NIP38" s="168"/>
      <c r="NIQ38" s="168"/>
      <c r="NIR38" s="168"/>
      <c r="NIS38" s="168"/>
      <c r="NIT38" s="168"/>
      <c r="NIU38" s="168"/>
      <c r="NIV38" s="168"/>
      <c r="NIW38" s="168"/>
      <c r="NIX38" s="168"/>
      <c r="NIY38" s="168"/>
      <c r="NIZ38" s="168"/>
      <c r="NJA38" s="168"/>
      <c r="NJB38" s="168"/>
      <c r="NJC38" s="168"/>
      <c r="NJD38" s="168"/>
      <c r="NJE38" s="168"/>
      <c r="NJF38" s="168"/>
      <c r="NJG38" s="168"/>
      <c r="NJH38" s="168"/>
      <c r="NJI38" s="168"/>
      <c r="NJJ38" s="168"/>
      <c r="NJK38" s="168"/>
      <c r="NJL38" s="168"/>
      <c r="NJM38" s="168"/>
      <c r="NJN38" s="168"/>
      <c r="NJO38" s="168"/>
      <c r="NJP38" s="168"/>
      <c r="NJQ38" s="168"/>
      <c r="NJR38" s="168"/>
      <c r="NJS38" s="168"/>
      <c r="NJT38" s="168"/>
      <c r="NJU38" s="168"/>
      <c r="NJV38" s="168"/>
      <c r="NJW38" s="168"/>
      <c r="NJX38" s="168"/>
      <c r="NJY38" s="168"/>
      <c r="NJZ38" s="168"/>
      <c r="NKA38" s="168"/>
      <c r="NKB38" s="168"/>
      <c r="NKC38" s="168"/>
      <c r="NKD38" s="168"/>
      <c r="NKE38" s="168"/>
      <c r="NKF38" s="168"/>
      <c r="NKG38" s="168"/>
      <c r="NKH38" s="168"/>
      <c r="NKI38" s="168"/>
      <c r="NKJ38" s="168"/>
      <c r="NKK38" s="168"/>
      <c r="NKL38" s="168"/>
      <c r="NKM38" s="168"/>
      <c r="NKN38" s="168"/>
      <c r="NKO38" s="168"/>
      <c r="NKP38" s="168"/>
      <c r="NKQ38" s="168"/>
      <c r="NKR38" s="168"/>
      <c r="NKS38" s="168"/>
      <c r="NKT38" s="168"/>
      <c r="NKU38" s="168"/>
      <c r="NKV38" s="168"/>
      <c r="NKW38" s="168"/>
      <c r="NKX38" s="168"/>
      <c r="NKY38" s="168"/>
      <c r="NKZ38" s="168"/>
      <c r="NLA38" s="168"/>
      <c r="NLB38" s="168"/>
      <c r="NLC38" s="168"/>
      <c r="NLD38" s="168"/>
      <c r="NLE38" s="168"/>
      <c r="NLF38" s="168"/>
      <c r="NLG38" s="168"/>
      <c r="NLH38" s="168"/>
      <c r="NLI38" s="168"/>
      <c r="NLJ38" s="168"/>
      <c r="NLK38" s="168"/>
      <c r="NLL38" s="168"/>
      <c r="NLM38" s="168"/>
      <c r="NLN38" s="168"/>
      <c r="NLO38" s="168"/>
      <c r="NLP38" s="168"/>
      <c r="NLQ38" s="168"/>
      <c r="NLR38" s="168"/>
      <c r="NLS38" s="168"/>
      <c r="NLT38" s="168"/>
      <c r="NLU38" s="168"/>
      <c r="NLV38" s="168"/>
      <c r="NLW38" s="168"/>
      <c r="NLX38" s="168"/>
      <c r="NLY38" s="168"/>
      <c r="NLZ38" s="168"/>
      <c r="NMA38" s="168"/>
      <c r="NMB38" s="168"/>
      <c r="NMC38" s="168"/>
      <c r="NMD38" s="168"/>
      <c r="NME38" s="168"/>
      <c r="NMF38" s="168"/>
      <c r="NMG38" s="168"/>
      <c r="NMH38" s="168"/>
      <c r="NMI38" s="168"/>
      <c r="NMJ38" s="168"/>
      <c r="NMK38" s="168"/>
      <c r="NML38" s="168"/>
      <c r="NMM38" s="168"/>
      <c r="NMN38" s="168"/>
      <c r="NMO38" s="168"/>
      <c r="NMP38" s="168"/>
      <c r="NMQ38" s="168"/>
      <c r="NMR38" s="168"/>
      <c r="NMS38" s="168"/>
      <c r="NMT38" s="168"/>
      <c r="NMU38" s="168"/>
      <c r="NMV38" s="168"/>
      <c r="NMW38" s="168"/>
      <c r="NMX38" s="168"/>
      <c r="NMY38" s="168"/>
      <c r="NMZ38" s="168"/>
      <c r="NNA38" s="168"/>
      <c r="NNB38" s="168"/>
      <c r="NNC38" s="168"/>
      <c r="NND38" s="168"/>
      <c r="NNE38" s="168"/>
      <c r="NNF38" s="168"/>
      <c r="NNG38" s="168"/>
      <c r="NNH38" s="168"/>
      <c r="NNI38" s="168"/>
      <c r="NNJ38" s="168"/>
      <c r="NNK38" s="168"/>
      <c r="NNL38" s="168"/>
      <c r="NNM38" s="168"/>
      <c r="NNN38" s="168"/>
      <c r="NNO38" s="168"/>
      <c r="NNP38" s="168"/>
      <c r="NNQ38" s="168"/>
      <c r="NNR38" s="168"/>
      <c r="NNS38" s="168"/>
      <c r="NNT38" s="168"/>
      <c r="NNU38" s="168"/>
      <c r="NNV38" s="168"/>
      <c r="NNW38" s="168"/>
      <c r="NNX38" s="168"/>
      <c r="NNY38" s="168"/>
      <c r="NNZ38" s="168"/>
      <c r="NOA38" s="168"/>
      <c r="NOB38" s="168"/>
      <c r="NOC38" s="168"/>
      <c r="NOD38" s="168"/>
      <c r="NOE38" s="168"/>
      <c r="NOF38" s="168"/>
      <c r="NOG38" s="168"/>
      <c r="NOH38" s="168"/>
      <c r="NOI38" s="168"/>
      <c r="NOJ38" s="168"/>
      <c r="NOK38" s="168"/>
      <c r="NOL38" s="168"/>
      <c r="NOM38" s="168"/>
      <c r="NON38" s="168"/>
      <c r="NOO38" s="168"/>
      <c r="NOP38" s="168"/>
      <c r="NOQ38" s="168"/>
      <c r="NOR38" s="168"/>
      <c r="NOS38" s="168"/>
      <c r="NOT38" s="168"/>
      <c r="NOU38" s="168"/>
      <c r="NOV38" s="168"/>
      <c r="NOW38" s="168"/>
      <c r="NOX38" s="168"/>
      <c r="NOY38" s="168"/>
      <c r="NOZ38" s="168"/>
      <c r="NPA38" s="168"/>
      <c r="NPB38" s="168"/>
      <c r="NPC38" s="168"/>
      <c r="NPD38" s="168"/>
      <c r="NPE38" s="168"/>
      <c r="NPF38" s="168"/>
      <c r="NPG38" s="168"/>
      <c r="NPH38" s="168"/>
      <c r="NPI38" s="168"/>
      <c r="NPJ38" s="168"/>
      <c r="NPK38" s="168"/>
      <c r="NPL38" s="168"/>
      <c r="NPM38" s="168"/>
      <c r="NPN38" s="168"/>
      <c r="NPO38" s="168"/>
      <c r="NPP38" s="168"/>
      <c r="NPQ38" s="168"/>
      <c r="NPR38" s="168"/>
      <c r="NPS38" s="168"/>
      <c r="NPT38" s="168"/>
      <c r="NPU38" s="168"/>
      <c r="NPV38" s="168"/>
      <c r="NPW38" s="168"/>
      <c r="NPX38" s="168"/>
      <c r="NPY38" s="168"/>
      <c r="NPZ38" s="168"/>
      <c r="NQA38" s="168"/>
      <c r="NQB38" s="168"/>
      <c r="NQC38" s="168"/>
      <c r="NQD38" s="168"/>
      <c r="NQE38" s="168"/>
      <c r="NQF38" s="168"/>
      <c r="NQG38" s="168"/>
      <c r="NQH38" s="168"/>
      <c r="NQI38" s="168"/>
      <c r="NQJ38" s="168"/>
      <c r="NQK38" s="168"/>
      <c r="NQL38" s="168"/>
      <c r="NQM38" s="168"/>
      <c r="NQN38" s="168"/>
      <c r="NQO38" s="168"/>
      <c r="NQP38" s="168"/>
      <c r="NQQ38" s="168"/>
      <c r="NQR38" s="168"/>
      <c r="NQS38" s="168"/>
      <c r="NQT38" s="168"/>
      <c r="NQU38" s="168"/>
      <c r="NQV38" s="168"/>
      <c r="NQW38" s="168"/>
      <c r="NQX38" s="168"/>
      <c r="NQY38" s="168"/>
      <c r="NQZ38" s="168"/>
      <c r="NRA38" s="168"/>
      <c r="NRB38" s="168"/>
      <c r="NRC38" s="168"/>
      <c r="NRD38" s="168"/>
      <c r="NRE38" s="168"/>
    </row>
    <row r="39" spans="1:9937" ht="25" customHeight="1" x14ac:dyDescent="0.45">
      <c r="A39" s="105" t="s">
        <v>559</v>
      </c>
      <c r="B39" s="60">
        <v>2.41</v>
      </c>
      <c r="C39" s="361">
        <f>VLOOKUP($A$3,INITIAL_EST_PY,94,FALSE)</f>
        <v>0</v>
      </c>
      <c r="D39" s="361">
        <f t="shared" si="10"/>
        <v>0</v>
      </c>
      <c r="E39" s="357">
        <f t="shared" si="10"/>
        <v>0</v>
      </c>
      <c r="F39" s="377">
        <f t="shared" si="10"/>
        <v>0</v>
      </c>
    </row>
    <row r="40" spans="1:9937" ht="25" customHeight="1" x14ac:dyDescent="0.45">
      <c r="A40" s="105" t="s">
        <v>564</v>
      </c>
      <c r="B40" s="42">
        <v>0.1</v>
      </c>
      <c r="C40" s="361">
        <f>VLOOKUP($A$3,INITIAL_EST_PY,22,FALSE)</f>
        <v>0</v>
      </c>
      <c r="D40" s="361">
        <f t="shared" si="10"/>
        <v>0</v>
      </c>
      <c r="E40" s="358">
        <f t="shared" si="10"/>
        <v>0</v>
      </c>
      <c r="F40" s="378">
        <f t="shared" si="10"/>
        <v>0</v>
      </c>
    </row>
    <row r="41" spans="1:9937" ht="25" customHeight="1" thickBot="1" x14ac:dyDescent="0.5">
      <c r="A41" s="56" t="s">
        <v>654</v>
      </c>
      <c r="B41" s="56"/>
      <c r="C41" s="394">
        <f>VLOOKUP(A3,INITIAL_EST_PY,159,FALSE)</f>
        <v>0.97327799999999998</v>
      </c>
      <c r="D41" s="394">
        <f>VLOOKUP(A3,INITIAL_EST_PY,159,FALSE)</f>
        <v>0.97327799999999998</v>
      </c>
      <c r="E41" s="359">
        <f>VLOOKUP(A3,INITIAL_EST_PY,159,FALSE)</f>
        <v>0.97327799999999998</v>
      </c>
      <c r="F41" s="379">
        <f>VLOOKUP(A3,INITIAL_EST_PY,159,FALSE)</f>
        <v>0.97327799999999998</v>
      </c>
    </row>
    <row r="42" spans="1:9937" s="21" customFormat="1" ht="25" customHeight="1" thickTop="1" thickBot="1" x14ac:dyDescent="0.5">
      <c r="A42" s="61" t="s">
        <v>651</v>
      </c>
      <c r="B42" s="61"/>
      <c r="C42" s="395">
        <f>VLOOKUP($A$3,INITIAL_EST_PY,167,FALSE)</f>
        <v>0</v>
      </c>
      <c r="D42" s="395">
        <f>C42</f>
        <v>0</v>
      </c>
      <c r="E42" s="395">
        <f>D42</f>
        <v>0</v>
      </c>
      <c r="F42" s="380">
        <f>E42</f>
        <v>0</v>
      </c>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c r="EX42" s="92"/>
      <c r="EY42" s="92"/>
      <c r="EZ42" s="92"/>
      <c r="FA42" s="92"/>
      <c r="FB42" s="92"/>
      <c r="FC42" s="92"/>
      <c r="FD42" s="92"/>
      <c r="FE42" s="92"/>
      <c r="FF42" s="92"/>
      <c r="FG42" s="92"/>
      <c r="FH42" s="92"/>
      <c r="FI42" s="92"/>
      <c r="FJ42" s="92"/>
      <c r="FK42" s="92"/>
      <c r="FL42" s="92"/>
      <c r="FM42" s="92"/>
      <c r="FN42" s="92"/>
      <c r="FO42" s="92"/>
      <c r="FP42" s="92"/>
      <c r="FQ42" s="92"/>
      <c r="FR42" s="92"/>
      <c r="FS42" s="92"/>
      <c r="FT42" s="92"/>
      <c r="FU42" s="92"/>
      <c r="FV42" s="92"/>
      <c r="FW42" s="92"/>
      <c r="FX42" s="92"/>
      <c r="FY42" s="92"/>
      <c r="FZ42" s="92"/>
      <c r="GA42" s="92"/>
      <c r="GB42" s="92"/>
      <c r="GC42" s="92"/>
      <c r="GD42" s="92"/>
      <c r="GE42" s="92"/>
      <c r="GF42" s="92"/>
      <c r="GG42" s="92"/>
      <c r="GH42" s="92"/>
      <c r="GI42" s="92"/>
      <c r="GJ42" s="92"/>
      <c r="GK42" s="92"/>
      <c r="GL42" s="92"/>
      <c r="GM42" s="92"/>
      <c r="GN42" s="92"/>
      <c r="GO42" s="92"/>
      <c r="GP42" s="92"/>
      <c r="GQ42" s="92"/>
      <c r="GR42" s="92"/>
      <c r="GS42" s="92"/>
      <c r="GT42" s="92"/>
      <c r="GU42" s="92"/>
      <c r="GV42" s="92"/>
      <c r="GW42" s="92"/>
      <c r="GX42" s="92"/>
      <c r="GY42" s="92"/>
      <c r="GZ42" s="92"/>
      <c r="HA42" s="92"/>
      <c r="HB42" s="92"/>
      <c r="HC42" s="92"/>
      <c r="HD42" s="92"/>
      <c r="HE42" s="92"/>
      <c r="HF42" s="92"/>
      <c r="HG42" s="92"/>
      <c r="HH42" s="92"/>
      <c r="HI42" s="92"/>
      <c r="HJ42" s="92"/>
      <c r="HK42" s="92"/>
      <c r="HL42" s="92"/>
      <c r="HM42" s="92"/>
      <c r="HN42" s="92"/>
      <c r="HO42" s="92"/>
      <c r="HP42" s="92"/>
      <c r="HQ42" s="92"/>
      <c r="HR42" s="92"/>
      <c r="HS42" s="92"/>
      <c r="HT42" s="92"/>
      <c r="HU42" s="92"/>
      <c r="HV42" s="92"/>
      <c r="HW42" s="92"/>
      <c r="HX42" s="92"/>
      <c r="HY42" s="92"/>
      <c r="HZ42" s="92"/>
      <c r="IA42" s="92"/>
      <c r="IB42" s="92"/>
      <c r="IC42" s="92"/>
      <c r="ID42" s="92"/>
      <c r="IE42" s="92"/>
      <c r="IF42" s="92"/>
      <c r="IG42" s="92"/>
      <c r="IH42" s="92"/>
      <c r="II42" s="92"/>
      <c r="IJ42" s="92"/>
      <c r="IK42" s="92"/>
      <c r="IL42" s="92"/>
      <c r="IM42" s="92"/>
      <c r="IN42" s="92"/>
      <c r="IO42" s="92"/>
      <c r="IP42" s="92"/>
      <c r="IQ42" s="92"/>
      <c r="IR42" s="92"/>
      <c r="IS42" s="92"/>
      <c r="IT42" s="92"/>
      <c r="IU42" s="92"/>
      <c r="IV42" s="92"/>
      <c r="IW42" s="92"/>
      <c r="IX42" s="92"/>
      <c r="IY42" s="92"/>
      <c r="IZ42" s="92"/>
      <c r="JA42" s="92"/>
      <c r="JB42" s="92"/>
      <c r="JC42" s="92"/>
      <c r="JD42" s="92"/>
      <c r="JE42" s="92"/>
      <c r="JF42" s="92"/>
      <c r="JG42" s="92"/>
      <c r="JH42" s="92"/>
      <c r="JI42" s="92"/>
      <c r="JJ42" s="92"/>
      <c r="JK42" s="92"/>
      <c r="JL42" s="92"/>
      <c r="JM42" s="92"/>
      <c r="JN42" s="92"/>
      <c r="JO42" s="92"/>
      <c r="JP42" s="92"/>
      <c r="JQ42" s="92"/>
      <c r="JR42" s="92"/>
      <c r="JS42" s="92"/>
      <c r="JT42" s="92"/>
      <c r="JU42" s="92"/>
      <c r="JV42" s="92"/>
      <c r="JW42" s="92"/>
      <c r="JX42" s="92"/>
      <c r="JY42" s="92"/>
      <c r="JZ42" s="92"/>
      <c r="KA42" s="92"/>
      <c r="KB42" s="92"/>
      <c r="KC42" s="92"/>
      <c r="KD42" s="92"/>
      <c r="KE42" s="92"/>
      <c r="KF42" s="92"/>
      <c r="KG42" s="92"/>
      <c r="KH42" s="92"/>
      <c r="KI42" s="92"/>
      <c r="KJ42" s="92"/>
      <c r="KK42" s="92"/>
      <c r="KL42" s="92"/>
      <c r="KM42" s="92"/>
      <c r="KN42" s="92"/>
      <c r="KO42" s="92"/>
      <c r="KP42" s="92"/>
      <c r="KQ42" s="92"/>
      <c r="KR42" s="92"/>
      <c r="KS42" s="92"/>
      <c r="KT42" s="92"/>
      <c r="KU42" s="92"/>
      <c r="KV42" s="92"/>
      <c r="KW42" s="92"/>
      <c r="KX42" s="92"/>
      <c r="KY42" s="92"/>
      <c r="KZ42" s="92"/>
      <c r="LA42" s="92"/>
      <c r="LB42" s="92"/>
      <c r="LC42" s="92"/>
      <c r="LD42" s="92"/>
      <c r="LE42" s="92"/>
      <c r="LF42" s="92"/>
      <c r="LG42" s="92"/>
      <c r="LH42" s="92"/>
      <c r="LI42" s="92"/>
      <c r="LJ42" s="92"/>
      <c r="LK42" s="92"/>
      <c r="LL42" s="92"/>
      <c r="LM42" s="92"/>
      <c r="LN42" s="92"/>
      <c r="LO42" s="92"/>
      <c r="LP42" s="92"/>
      <c r="LQ42" s="92"/>
      <c r="LR42" s="92"/>
      <c r="LS42" s="92"/>
      <c r="LT42" s="92"/>
      <c r="LU42" s="92"/>
      <c r="LV42" s="92"/>
      <c r="LW42" s="92"/>
      <c r="LX42" s="92"/>
      <c r="LY42" s="92"/>
      <c r="LZ42" s="92"/>
      <c r="MA42" s="92"/>
      <c r="MB42" s="92"/>
      <c r="MC42" s="92"/>
      <c r="MD42" s="92"/>
      <c r="ME42" s="92"/>
      <c r="MF42" s="92"/>
      <c r="MG42" s="92"/>
      <c r="MH42" s="92"/>
      <c r="MI42" s="92"/>
      <c r="MJ42" s="92"/>
      <c r="MK42" s="92"/>
      <c r="ML42" s="92"/>
      <c r="MM42" s="92"/>
      <c r="MN42" s="92"/>
      <c r="MO42" s="92"/>
      <c r="MP42" s="92"/>
      <c r="MQ42" s="92"/>
      <c r="MR42" s="92"/>
      <c r="MS42" s="92"/>
      <c r="MT42" s="92"/>
      <c r="MU42" s="92"/>
      <c r="MV42" s="92"/>
      <c r="MW42" s="92"/>
      <c r="MX42" s="92"/>
      <c r="MY42" s="92"/>
      <c r="MZ42" s="92"/>
      <c r="NA42" s="92"/>
      <c r="NB42" s="92"/>
      <c r="NC42" s="92"/>
      <c r="ND42" s="92"/>
      <c r="NE42" s="92"/>
      <c r="NF42" s="92"/>
      <c r="NG42" s="92"/>
      <c r="NH42" s="92"/>
      <c r="NI42" s="92"/>
      <c r="NJ42" s="92"/>
      <c r="NK42" s="92"/>
      <c r="NL42" s="92"/>
      <c r="NM42" s="92"/>
      <c r="NN42" s="92"/>
      <c r="NO42" s="92"/>
      <c r="NP42" s="92"/>
      <c r="NQ42" s="92"/>
      <c r="NR42" s="92"/>
      <c r="NS42" s="92"/>
      <c r="NT42" s="92"/>
      <c r="NU42" s="92"/>
      <c r="NV42" s="92"/>
      <c r="NW42" s="92"/>
      <c r="NX42" s="92"/>
      <c r="NY42" s="92"/>
      <c r="NZ42" s="92"/>
      <c r="OA42" s="92"/>
      <c r="OB42" s="92"/>
      <c r="OC42" s="92"/>
      <c r="OD42" s="92"/>
      <c r="OE42" s="92"/>
      <c r="OF42" s="92"/>
      <c r="OG42" s="92"/>
      <c r="OH42" s="92"/>
      <c r="OI42" s="92"/>
      <c r="OJ42" s="92"/>
      <c r="OK42" s="92"/>
      <c r="OL42" s="92"/>
      <c r="OM42" s="92"/>
      <c r="ON42" s="92"/>
      <c r="OO42" s="92"/>
      <c r="OP42" s="92"/>
      <c r="OQ42" s="92"/>
      <c r="OR42" s="92"/>
      <c r="OS42" s="92"/>
      <c r="OT42" s="92"/>
      <c r="OU42" s="92"/>
      <c r="OV42" s="92"/>
      <c r="OW42" s="92"/>
      <c r="OX42" s="92"/>
      <c r="OY42" s="92"/>
      <c r="OZ42" s="92"/>
      <c r="PA42" s="92"/>
      <c r="PB42" s="92"/>
      <c r="PC42" s="92"/>
      <c r="PD42" s="92"/>
      <c r="PE42" s="92"/>
      <c r="PF42" s="92"/>
      <c r="PG42" s="92"/>
      <c r="PH42" s="92"/>
      <c r="PI42" s="92"/>
      <c r="PJ42" s="92"/>
      <c r="PK42" s="92"/>
      <c r="PL42" s="92"/>
      <c r="PM42" s="92"/>
      <c r="PN42" s="92"/>
      <c r="PO42" s="92"/>
      <c r="PP42" s="92"/>
      <c r="PQ42" s="92"/>
      <c r="PR42" s="92"/>
      <c r="PS42" s="92"/>
      <c r="PT42" s="92"/>
      <c r="PU42" s="92"/>
      <c r="PV42" s="92"/>
      <c r="PW42" s="92"/>
      <c r="PX42" s="92"/>
      <c r="PY42" s="92"/>
      <c r="PZ42" s="92"/>
      <c r="QA42" s="92"/>
      <c r="QB42" s="92"/>
      <c r="QC42" s="92"/>
      <c r="QD42" s="92"/>
      <c r="QE42" s="92"/>
      <c r="QF42" s="92"/>
      <c r="QG42" s="92"/>
      <c r="QH42" s="92"/>
      <c r="QI42" s="92"/>
      <c r="QJ42" s="92"/>
      <c r="QK42" s="92"/>
      <c r="QL42" s="92"/>
      <c r="QM42" s="92"/>
      <c r="QN42" s="92"/>
      <c r="QO42" s="92"/>
      <c r="QP42" s="92"/>
      <c r="QQ42" s="92"/>
      <c r="QR42" s="92"/>
      <c r="QS42" s="92"/>
      <c r="QT42" s="92"/>
      <c r="QU42" s="92"/>
      <c r="QV42" s="92"/>
      <c r="QW42" s="92"/>
      <c r="QX42" s="92"/>
      <c r="QY42" s="92"/>
      <c r="QZ42" s="92"/>
      <c r="RA42" s="92"/>
      <c r="RB42" s="92"/>
      <c r="RC42" s="92"/>
      <c r="RD42" s="92"/>
      <c r="RE42" s="92"/>
      <c r="RF42" s="92"/>
      <c r="RG42" s="92"/>
      <c r="RH42" s="92"/>
      <c r="RI42" s="92"/>
      <c r="RJ42" s="92"/>
      <c r="RK42" s="92"/>
      <c r="RL42" s="92"/>
      <c r="RM42" s="92"/>
      <c r="RN42" s="92"/>
      <c r="RO42" s="92"/>
      <c r="RP42" s="92"/>
      <c r="RQ42" s="92"/>
      <c r="RR42" s="92"/>
      <c r="RS42" s="92"/>
      <c r="RT42" s="92"/>
      <c r="RU42" s="92"/>
      <c r="RV42" s="92"/>
      <c r="RW42" s="92"/>
      <c r="RX42" s="92"/>
      <c r="RY42" s="92"/>
      <c r="RZ42" s="92"/>
      <c r="SA42" s="92"/>
      <c r="SB42" s="92"/>
      <c r="SC42" s="92"/>
      <c r="SD42" s="92"/>
      <c r="SE42" s="92"/>
      <c r="SF42" s="92"/>
      <c r="SG42" s="92"/>
      <c r="SH42" s="92"/>
      <c r="SI42" s="92"/>
      <c r="SJ42" s="92"/>
      <c r="SK42" s="92"/>
      <c r="SL42" s="92"/>
      <c r="SM42" s="92"/>
      <c r="SN42" s="92"/>
      <c r="SO42" s="92"/>
      <c r="SP42" s="92"/>
      <c r="SQ42" s="92"/>
      <c r="SR42" s="92"/>
      <c r="SS42" s="92"/>
      <c r="ST42" s="92"/>
      <c r="SU42" s="92"/>
      <c r="SV42" s="92"/>
      <c r="SW42" s="92"/>
      <c r="SX42" s="92"/>
      <c r="SY42" s="92"/>
      <c r="SZ42" s="92"/>
      <c r="TA42" s="92"/>
      <c r="TB42" s="92"/>
      <c r="TC42" s="92"/>
      <c r="TD42" s="92"/>
      <c r="TE42" s="92"/>
      <c r="TF42" s="92"/>
      <c r="TG42" s="92"/>
      <c r="TH42" s="92"/>
      <c r="TI42" s="92"/>
      <c r="TJ42" s="92"/>
      <c r="TK42" s="92"/>
      <c r="TL42" s="92"/>
      <c r="TM42" s="92"/>
      <c r="TN42" s="92"/>
      <c r="TO42" s="92"/>
      <c r="TP42" s="92"/>
      <c r="TQ42" s="92"/>
      <c r="TR42" s="92"/>
      <c r="TS42" s="92"/>
      <c r="TT42" s="92"/>
      <c r="TU42" s="92"/>
      <c r="TV42" s="92"/>
      <c r="TW42" s="92"/>
      <c r="TX42" s="92"/>
      <c r="TY42" s="92"/>
      <c r="TZ42" s="92"/>
      <c r="UA42" s="92"/>
      <c r="UB42" s="92"/>
      <c r="UC42" s="92"/>
      <c r="UD42" s="92"/>
      <c r="UE42" s="92"/>
      <c r="UF42" s="92"/>
      <c r="UG42" s="92"/>
      <c r="UH42" s="92"/>
      <c r="UI42" s="92"/>
      <c r="UJ42" s="92"/>
      <c r="UK42" s="92"/>
      <c r="UL42" s="92"/>
      <c r="UM42" s="92"/>
      <c r="UN42" s="92"/>
      <c r="UO42" s="92"/>
      <c r="UP42" s="92"/>
      <c r="UQ42" s="92"/>
      <c r="UR42" s="92"/>
      <c r="US42" s="92"/>
      <c r="UT42" s="92"/>
      <c r="UU42" s="92"/>
      <c r="UV42" s="92"/>
      <c r="UW42" s="92"/>
      <c r="UX42" s="92"/>
      <c r="UY42" s="92"/>
      <c r="UZ42" s="92"/>
      <c r="VA42" s="92"/>
      <c r="VB42" s="92"/>
      <c r="VC42" s="92"/>
      <c r="VD42" s="92"/>
      <c r="VE42" s="92"/>
      <c r="VF42" s="92"/>
      <c r="VG42" s="92"/>
      <c r="VH42" s="92"/>
      <c r="VI42" s="92"/>
      <c r="VJ42" s="92"/>
      <c r="VK42" s="92"/>
      <c r="VL42" s="92"/>
      <c r="VM42" s="92"/>
      <c r="VN42" s="92"/>
      <c r="VO42" s="92"/>
      <c r="VP42" s="92"/>
      <c r="VQ42" s="92"/>
      <c r="VR42" s="92"/>
      <c r="VS42" s="92"/>
      <c r="VT42" s="92"/>
      <c r="VU42" s="92"/>
      <c r="VV42" s="92"/>
      <c r="VW42" s="92"/>
      <c r="VX42" s="92"/>
      <c r="VY42" s="92"/>
      <c r="VZ42" s="92"/>
      <c r="WA42" s="92"/>
      <c r="WB42" s="92"/>
      <c r="WC42" s="92"/>
      <c r="WD42" s="92"/>
      <c r="WE42" s="92"/>
      <c r="WF42" s="92"/>
      <c r="WG42" s="92"/>
      <c r="WH42" s="92"/>
      <c r="WI42" s="92"/>
      <c r="WJ42" s="92"/>
      <c r="WK42" s="92"/>
      <c r="WL42" s="92"/>
      <c r="WM42" s="92"/>
      <c r="WN42" s="92"/>
      <c r="WO42" s="92"/>
      <c r="WP42" s="92"/>
      <c r="WQ42" s="92"/>
      <c r="WR42" s="92"/>
      <c r="WS42" s="92"/>
      <c r="WT42" s="92"/>
      <c r="WU42" s="92"/>
      <c r="WV42" s="92"/>
      <c r="WW42" s="92"/>
      <c r="WX42" s="92"/>
      <c r="WY42" s="92"/>
      <c r="WZ42" s="92"/>
      <c r="XA42" s="92"/>
      <c r="XB42" s="92"/>
      <c r="XC42" s="92"/>
      <c r="XD42" s="92"/>
      <c r="XE42" s="92"/>
      <c r="XF42" s="92"/>
      <c r="XG42" s="92"/>
      <c r="XH42" s="92"/>
      <c r="XI42" s="92"/>
      <c r="XJ42" s="92"/>
      <c r="XK42" s="92"/>
      <c r="XL42" s="92"/>
      <c r="XM42" s="92"/>
      <c r="XN42" s="92"/>
      <c r="XO42" s="92"/>
      <c r="XP42" s="92"/>
      <c r="XQ42" s="92"/>
      <c r="XR42" s="92"/>
      <c r="XS42" s="92"/>
      <c r="XT42" s="92"/>
      <c r="XU42" s="92"/>
      <c r="XV42" s="92"/>
      <c r="XW42" s="92"/>
      <c r="XX42" s="92"/>
      <c r="XY42" s="92"/>
      <c r="XZ42" s="92"/>
      <c r="YA42" s="92"/>
      <c r="YB42" s="92"/>
      <c r="YC42" s="92"/>
      <c r="YD42" s="92"/>
      <c r="YE42" s="92"/>
      <c r="YF42" s="92"/>
      <c r="YG42" s="92"/>
      <c r="YH42" s="92"/>
      <c r="YI42" s="92"/>
      <c r="YJ42" s="92"/>
      <c r="YK42" s="92"/>
      <c r="YL42" s="92"/>
      <c r="YM42" s="92"/>
      <c r="YN42" s="92"/>
      <c r="YO42" s="92"/>
      <c r="YP42" s="92"/>
      <c r="YQ42" s="92"/>
      <c r="YR42" s="92"/>
      <c r="YS42" s="92"/>
      <c r="YT42" s="92"/>
      <c r="YU42" s="92"/>
      <c r="YV42" s="92"/>
      <c r="YW42" s="92"/>
      <c r="YX42" s="92"/>
      <c r="YY42" s="92"/>
      <c r="YZ42" s="92"/>
      <c r="ZA42" s="92"/>
      <c r="ZB42" s="92"/>
      <c r="ZC42" s="92"/>
      <c r="ZD42" s="92"/>
      <c r="ZE42" s="92"/>
      <c r="ZF42" s="92"/>
      <c r="ZG42" s="92"/>
      <c r="ZH42" s="92"/>
      <c r="ZI42" s="92"/>
      <c r="ZJ42" s="92"/>
      <c r="ZK42" s="92"/>
      <c r="ZL42" s="92"/>
      <c r="ZM42" s="92"/>
      <c r="ZN42" s="92"/>
      <c r="ZO42" s="92"/>
      <c r="ZP42" s="92"/>
      <c r="ZQ42" s="92"/>
      <c r="ZR42" s="92"/>
      <c r="ZS42" s="92"/>
      <c r="ZT42" s="92"/>
      <c r="ZU42" s="92"/>
      <c r="ZV42" s="92"/>
      <c r="ZW42" s="92"/>
      <c r="ZX42" s="92"/>
      <c r="ZY42" s="92"/>
      <c r="ZZ42" s="92"/>
      <c r="AAA42" s="92"/>
      <c r="AAB42" s="92"/>
      <c r="AAC42" s="92"/>
      <c r="AAD42" s="92"/>
      <c r="AAE42" s="92"/>
      <c r="AAF42" s="92"/>
      <c r="AAG42" s="92"/>
      <c r="AAH42" s="92"/>
      <c r="AAI42" s="92"/>
      <c r="AAJ42" s="92"/>
      <c r="AAK42" s="92"/>
      <c r="AAL42" s="92"/>
      <c r="AAM42" s="92"/>
      <c r="AAN42" s="92"/>
      <c r="AAO42" s="92"/>
      <c r="AAP42" s="92"/>
      <c r="AAQ42" s="92"/>
      <c r="AAR42" s="92"/>
      <c r="AAS42" s="92"/>
      <c r="AAT42" s="92"/>
      <c r="AAU42" s="92"/>
      <c r="AAV42" s="92"/>
      <c r="AAW42" s="92"/>
      <c r="AAX42" s="92"/>
      <c r="AAY42" s="92"/>
      <c r="AAZ42" s="92"/>
      <c r="ABA42" s="92"/>
      <c r="ABB42" s="92"/>
      <c r="ABC42" s="92"/>
      <c r="ABD42" s="92"/>
      <c r="ABE42" s="92"/>
      <c r="ABF42" s="92"/>
      <c r="ABG42" s="92"/>
      <c r="ABH42" s="92"/>
      <c r="ABI42" s="92"/>
      <c r="ABJ42" s="92"/>
      <c r="ABK42" s="92"/>
      <c r="ABL42" s="92"/>
      <c r="ABM42" s="92"/>
      <c r="ABN42" s="92"/>
      <c r="ABO42" s="92"/>
      <c r="ABP42" s="92"/>
      <c r="ABQ42" s="92"/>
      <c r="ABR42" s="92"/>
      <c r="ABS42" s="92"/>
      <c r="ABT42" s="92"/>
      <c r="ABU42" s="92"/>
      <c r="ABV42" s="92"/>
      <c r="ABW42" s="92"/>
      <c r="ABX42" s="92"/>
      <c r="ABY42" s="92"/>
      <c r="ABZ42" s="92"/>
      <c r="ACA42" s="92"/>
      <c r="ACB42" s="92"/>
      <c r="ACC42" s="92"/>
      <c r="ACD42" s="92"/>
      <c r="ACE42" s="92"/>
      <c r="ACF42" s="92"/>
      <c r="ACG42" s="92"/>
      <c r="ACH42" s="92"/>
      <c r="ACI42" s="92"/>
      <c r="ACJ42" s="92"/>
      <c r="ACK42" s="92"/>
      <c r="ACL42" s="92"/>
      <c r="ACM42" s="92"/>
      <c r="ACN42" s="92"/>
      <c r="ACO42" s="92"/>
      <c r="ACP42" s="92"/>
      <c r="ACQ42" s="92"/>
      <c r="ACR42" s="92"/>
      <c r="ACS42" s="92"/>
      <c r="ACT42" s="92"/>
      <c r="ACU42" s="92"/>
      <c r="ACV42" s="92"/>
      <c r="ACW42" s="92"/>
      <c r="ACX42" s="92"/>
      <c r="ACY42" s="92"/>
      <c r="ACZ42" s="92"/>
      <c r="ADA42" s="92"/>
      <c r="ADB42" s="92"/>
      <c r="ADC42" s="92"/>
      <c r="ADD42" s="92"/>
      <c r="ADE42" s="92"/>
      <c r="ADF42" s="92"/>
      <c r="ADG42" s="92"/>
      <c r="ADH42" s="92"/>
      <c r="ADI42" s="92"/>
      <c r="ADJ42" s="92"/>
      <c r="ADK42" s="92"/>
      <c r="ADL42" s="92"/>
      <c r="ADM42" s="92"/>
      <c r="ADN42" s="92"/>
      <c r="ADO42" s="92"/>
      <c r="ADP42" s="92"/>
      <c r="ADQ42" s="92"/>
      <c r="ADR42" s="92"/>
      <c r="ADS42" s="92"/>
      <c r="ADT42" s="92"/>
      <c r="ADU42" s="92"/>
      <c r="ADV42" s="92"/>
      <c r="ADW42" s="92"/>
      <c r="ADX42" s="92"/>
      <c r="ADY42" s="92"/>
      <c r="ADZ42" s="92"/>
      <c r="AEA42" s="92"/>
      <c r="AEB42" s="92"/>
      <c r="AEC42" s="92"/>
      <c r="AED42" s="92"/>
      <c r="AEE42" s="92"/>
      <c r="AEF42" s="92"/>
      <c r="AEG42" s="92"/>
      <c r="AEH42" s="92"/>
      <c r="AEI42" s="92"/>
      <c r="AEJ42" s="92"/>
      <c r="AEK42" s="92"/>
      <c r="AEL42" s="92"/>
      <c r="AEM42" s="92"/>
      <c r="AEN42" s="92"/>
      <c r="AEO42" s="92"/>
      <c r="AEP42" s="92"/>
      <c r="AEQ42" s="92"/>
      <c r="AER42" s="92"/>
      <c r="AES42" s="92"/>
      <c r="AET42" s="92"/>
      <c r="AEU42" s="92"/>
      <c r="AEV42" s="92"/>
      <c r="AEW42" s="92"/>
      <c r="AEX42" s="92"/>
      <c r="AEY42" s="92"/>
      <c r="AEZ42" s="92"/>
      <c r="AFA42" s="92"/>
      <c r="AFB42" s="92"/>
      <c r="AFC42" s="92"/>
      <c r="AFD42" s="92"/>
      <c r="AFE42" s="92"/>
      <c r="AFF42" s="92"/>
      <c r="AFG42" s="92"/>
      <c r="AFH42" s="92"/>
      <c r="AFI42" s="92"/>
      <c r="AFJ42" s="92"/>
      <c r="AFK42" s="92"/>
      <c r="AFL42" s="92"/>
      <c r="AFM42" s="92"/>
      <c r="AFN42" s="92"/>
      <c r="AFO42" s="92"/>
      <c r="AFP42" s="92"/>
      <c r="AFQ42" s="92"/>
      <c r="AFR42" s="92"/>
      <c r="AFS42" s="92"/>
      <c r="AFT42" s="92"/>
      <c r="AFU42" s="92"/>
      <c r="AFV42" s="92"/>
      <c r="AFW42" s="92"/>
      <c r="AFX42" s="92"/>
      <c r="AFY42" s="92"/>
      <c r="AFZ42" s="92"/>
      <c r="AGA42" s="92"/>
      <c r="AGB42" s="92"/>
      <c r="AGC42" s="92"/>
      <c r="AGD42" s="92"/>
      <c r="AGE42" s="92"/>
      <c r="AGF42" s="92"/>
      <c r="AGG42" s="92"/>
      <c r="AGH42" s="92"/>
      <c r="AGI42" s="92"/>
      <c r="AGJ42" s="92"/>
      <c r="AGK42" s="92"/>
      <c r="AGL42" s="92"/>
      <c r="AGM42" s="92"/>
      <c r="AGN42" s="92"/>
      <c r="AGO42" s="92"/>
      <c r="AGP42" s="92"/>
      <c r="AGQ42" s="92"/>
      <c r="AGR42" s="92"/>
      <c r="AGS42" s="92"/>
      <c r="AGT42" s="92"/>
      <c r="AGU42" s="92"/>
      <c r="AGV42" s="92"/>
      <c r="AGW42" s="92"/>
      <c r="AGX42" s="92"/>
      <c r="AGY42" s="92"/>
      <c r="AGZ42" s="92"/>
      <c r="AHA42" s="92"/>
      <c r="AHB42" s="92"/>
      <c r="AHC42" s="92"/>
      <c r="AHD42" s="92"/>
      <c r="AHE42" s="92"/>
      <c r="AHF42" s="92"/>
      <c r="AHG42" s="92"/>
      <c r="AHH42" s="92"/>
      <c r="AHI42" s="92"/>
      <c r="AHJ42" s="92"/>
      <c r="AHK42" s="92"/>
      <c r="AHL42" s="92"/>
      <c r="AHM42" s="92"/>
      <c r="AHN42" s="92"/>
      <c r="AHO42" s="92"/>
      <c r="AHP42" s="92"/>
      <c r="AHQ42" s="92"/>
      <c r="AHR42" s="92"/>
      <c r="AHS42" s="92"/>
      <c r="AHT42" s="92"/>
      <c r="AHU42" s="92"/>
      <c r="AHV42" s="92"/>
      <c r="AHW42" s="92"/>
      <c r="AHX42" s="92"/>
      <c r="AHY42" s="92"/>
      <c r="AHZ42" s="92"/>
      <c r="AIA42" s="92"/>
      <c r="AIB42" s="92"/>
      <c r="AIC42" s="92"/>
      <c r="AID42" s="92"/>
      <c r="AIE42" s="92"/>
      <c r="AIF42" s="92"/>
      <c r="AIG42" s="92"/>
      <c r="AIH42" s="92"/>
      <c r="AII42" s="92"/>
      <c r="AIJ42" s="92"/>
      <c r="AIK42" s="92"/>
      <c r="AIL42" s="92"/>
      <c r="AIM42" s="92"/>
      <c r="AIN42" s="92"/>
      <c r="AIO42" s="92"/>
      <c r="AIP42" s="92"/>
      <c r="AIQ42" s="92"/>
      <c r="AIR42" s="92"/>
      <c r="AIS42" s="92"/>
      <c r="AIT42" s="92"/>
      <c r="AIU42" s="92"/>
      <c r="AIV42" s="92"/>
      <c r="AIW42" s="92"/>
      <c r="AIX42" s="92"/>
      <c r="AIY42" s="92"/>
      <c r="AIZ42" s="92"/>
      <c r="AJA42" s="92"/>
      <c r="AJB42" s="92"/>
      <c r="AJC42" s="92"/>
      <c r="AJD42" s="92"/>
      <c r="AJE42" s="92"/>
      <c r="AJF42" s="92"/>
      <c r="AJG42" s="92"/>
      <c r="AJH42" s="92"/>
      <c r="AJI42" s="92"/>
      <c r="AJJ42" s="92"/>
      <c r="AJK42" s="92"/>
      <c r="AJL42" s="92"/>
      <c r="AJM42" s="92"/>
      <c r="AJN42" s="92"/>
      <c r="AJO42" s="92"/>
      <c r="AJP42" s="92"/>
      <c r="AJQ42" s="92"/>
      <c r="AJR42" s="92"/>
      <c r="AJS42" s="92"/>
      <c r="AJT42" s="92"/>
      <c r="AJU42" s="92"/>
      <c r="AJV42" s="92"/>
      <c r="AJW42" s="92"/>
      <c r="AJX42" s="92"/>
      <c r="AJY42" s="92"/>
      <c r="AJZ42" s="92"/>
      <c r="AKA42" s="92"/>
      <c r="AKB42" s="92"/>
      <c r="AKC42" s="92"/>
      <c r="AKD42" s="92"/>
      <c r="AKE42" s="92"/>
      <c r="AKF42" s="92"/>
      <c r="AKG42" s="92"/>
      <c r="AKH42" s="92"/>
      <c r="AKI42" s="92"/>
      <c r="AKJ42" s="92"/>
      <c r="AKK42" s="92"/>
      <c r="AKL42" s="92"/>
      <c r="AKM42" s="92"/>
      <c r="AKN42" s="92"/>
      <c r="AKO42" s="92"/>
      <c r="AKP42" s="92"/>
      <c r="AKQ42" s="92"/>
      <c r="AKR42" s="92"/>
      <c r="AKS42" s="92"/>
      <c r="AKT42" s="92"/>
      <c r="AKU42" s="92"/>
      <c r="AKV42" s="92"/>
      <c r="AKW42" s="92"/>
      <c r="AKX42" s="92"/>
      <c r="AKY42" s="92"/>
      <c r="AKZ42" s="92"/>
      <c r="ALA42" s="92"/>
      <c r="ALB42" s="92"/>
      <c r="ALC42" s="92"/>
      <c r="ALD42" s="92"/>
      <c r="ALE42" s="92"/>
      <c r="ALF42" s="92"/>
      <c r="ALG42" s="92"/>
      <c r="ALH42" s="92"/>
      <c r="ALI42" s="92"/>
      <c r="ALJ42" s="92"/>
      <c r="ALK42" s="92"/>
      <c r="ALL42" s="92"/>
      <c r="ALM42" s="92"/>
      <c r="ALN42" s="92"/>
      <c r="ALO42" s="92"/>
      <c r="ALP42" s="92"/>
      <c r="ALQ42" s="92"/>
      <c r="ALR42" s="92"/>
      <c r="ALS42" s="92"/>
      <c r="ALT42" s="92"/>
      <c r="ALU42" s="92"/>
      <c r="ALV42" s="92"/>
      <c r="ALW42" s="92"/>
      <c r="ALX42" s="92"/>
      <c r="ALY42" s="92"/>
      <c r="ALZ42" s="92"/>
      <c r="AMA42" s="92"/>
      <c r="AMB42" s="92"/>
      <c r="AMC42" s="92"/>
      <c r="AMD42" s="92"/>
      <c r="AME42" s="92"/>
      <c r="AMF42" s="92"/>
      <c r="AMG42" s="92"/>
      <c r="AMH42" s="92"/>
      <c r="AMI42" s="92"/>
      <c r="AMJ42" s="92"/>
      <c r="AMK42" s="92"/>
      <c r="AML42" s="92"/>
      <c r="AMM42" s="92"/>
      <c r="AMN42" s="92"/>
      <c r="AMO42" s="92"/>
      <c r="AMP42" s="92"/>
      <c r="AMQ42" s="92"/>
      <c r="AMR42" s="92"/>
      <c r="AMS42" s="92"/>
      <c r="AMT42" s="92"/>
      <c r="AMU42" s="92"/>
      <c r="AMV42" s="92"/>
      <c r="AMW42" s="92"/>
      <c r="AMX42" s="92"/>
      <c r="AMY42" s="92"/>
      <c r="AMZ42" s="92"/>
      <c r="ANA42" s="92"/>
      <c r="ANB42" s="92"/>
      <c r="ANC42" s="92"/>
      <c r="AND42" s="92"/>
      <c r="ANE42" s="92"/>
      <c r="ANF42" s="92"/>
      <c r="ANG42" s="92"/>
      <c r="ANH42" s="92"/>
      <c r="ANI42" s="92"/>
      <c r="ANJ42" s="92"/>
      <c r="ANK42" s="92"/>
      <c r="ANL42" s="92"/>
      <c r="ANM42" s="92"/>
      <c r="ANN42" s="92"/>
      <c r="ANO42" s="92"/>
      <c r="ANP42" s="92"/>
      <c r="ANQ42" s="92"/>
      <c r="ANR42" s="92"/>
      <c r="ANS42" s="92"/>
      <c r="ANT42" s="92"/>
      <c r="ANU42" s="92"/>
      <c r="ANV42" s="92"/>
      <c r="ANW42" s="92"/>
      <c r="ANX42" s="92"/>
      <c r="ANY42" s="92"/>
      <c r="ANZ42" s="92"/>
      <c r="AOA42" s="92"/>
      <c r="AOB42" s="92"/>
      <c r="AOC42" s="92"/>
      <c r="AOD42" s="92"/>
      <c r="AOE42" s="92"/>
      <c r="AOF42" s="92"/>
      <c r="AOG42" s="92"/>
      <c r="AOH42" s="92"/>
      <c r="AOI42" s="92"/>
      <c r="AOJ42" s="92"/>
      <c r="AOK42" s="92"/>
      <c r="AOL42" s="92"/>
      <c r="AOM42" s="92"/>
      <c r="AON42" s="92"/>
      <c r="AOO42" s="92"/>
      <c r="AOP42" s="92"/>
      <c r="AOQ42" s="92"/>
      <c r="AOR42" s="92"/>
      <c r="AOS42" s="92"/>
      <c r="AOT42" s="92"/>
      <c r="AOU42" s="92"/>
      <c r="AOV42" s="92"/>
      <c r="AOW42" s="92"/>
      <c r="AOX42" s="92"/>
      <c r="AOY42" s="92"/>
      <c r="AOZ42" s="92"/>
      <c r="APA42" s="92"/>
      <c r="APB42" s="92"/>
      <c r="APC42" s="92"/>
      <c r="APD42" s="92"/>
      <c r="APE42" s="92"/>
      <c r="APF42" s="92"/>
      <c r="APG42" s="92"/>
      <c r="APH42" s="92"/>
      <c r="API42" s="92"/>
      <c r="APJ42" s="92"/>
      <c r="APK42" s="92"/>
      <c r="APL42" s="92"/>
      <c r="APM42" s="92"/>
      <c r="APN42" s="92"/>
      <c r="APO42" s="92"/>
      <c r="APP42" s="92"/>
      <c r="APQ42" s="92"/>
      <c r="APR42" s="92"/>
      <c r="APS42" s="92"/>
      <c r="APT42" s="92"/>
      <c r="APU42" s="92"/>
      <c r="APV42" s="92"/>
      <c r="APW42" s="92"/>
      <c r="APX42" s="92"/>
      <c r="APY42" s="92"/>
      <c r="APZ42" s="92"/>
      <c r="AQA42" s="92"/>
      <c r="AQB42" s="92"/>
      <c r="AQC42" s="92"/>
      <c r="AQD42" s="92"/>
      <c r="AQE42" s="92"/>
      <c r="AQF42" s="92"/>
      <c r="AQG42" s="92"/>
      <c r="AQH42" s="92"/>
      <c r="AQI42" s="92"/>
      <c r="AQJ42" s="92"/>
      <c r="AQK42" s="92"/>
      <c r="AQL42" s="92"/>
      <c r="AQM42" s="92"/>
      <c r="AQN42" s="92"/>
      <c r="AQO42" s="92"/>
      <c r="AQP42" s="92"/>
      <c r="AQQ42" s="92"/>
      <c r="AQR42" s="92"/>
      <c r="AQS42" s="92"/>
      <c r="AQT42" s="92"/>
      <c r="AQU42" s="92"/>
      <c r="AQV42" s="92"/>
      <c r="AQW42" s="92"/>
      <c r="AQX42" s="92"/>
      <c r="AQY42" s="92"/>
      <c r="AQZ42" s="92"/>
      <c r="ARA42" s="92"/>
      <c r="ARB42" s="92"/>
      <c r="ARC42" s="92"/>
      <c r="ARD42" s="92"/>
      <c r="ARE42" s="92"/>
      <c r="ARF42" s="92"/>
      <c r="ARG42" s="92"/>
      <c r="ARH42" s="92"/>
      <c r="ARI42" s="92"/>
      <c r="ARJ42" s="92"/>
      <c r="ARK42" s="92"/>
      <c r="ARL42" s="92"/>
      <c r="ARM42" s="92"/>
      <c r="ARN42" s="92"/>
      <c r="ARO42" s="92"/>
      <c r="ARP42" s="92"/>
      <c r="ARQ42" s="92"/>
      <c r="ARR42" s="92"/>
      <c r="ARS42" s="92"/>
      <c r="ART42" s="92"/>
      <c r="ARU42" s="92"/>
      <c r="ARV42" s="92"/>
      <c r="ARW42" s="92"/>
      <c r="ARX42" s="92"/>
      <c r="ARY42" s="92"/>
      <c r="ARZ42" s="92"/>
      <c r="ASA42" s="92"/>
      <c r="ASB42" s="92"/>
      <c r="ASC42" s="92"/>
      <c r="ASD42" s="92"/>
      <c r="ASE42" s="92"/>
      <c r="ASF42" s="92"/>
      <c r="ASG42" s="92"/>
      <c r="ASH42" s="92"/>
      <c r="ASI42" s="92"/>
      <c r="ASJ42" s="92"/>
      <c r="ASK42" s="92"/>
      <c r="ASL42" s="92"/>
      <c r="ASM42" s="92"/>
      <c r="ASN42" s="92"/>
      <c r="ASO42" s="92"/>
      <c r="ASP42" s="92"/>
      <c r="ASQ42" s="92"/>
      <c r="ASR42" s="92"/>
      <c r="ASS42" s="92"/>
      <c r="AST42" s="92"/>
      <c r="ASU42" s="92"/>
      <c r="ASV42" s="92"/>
      <c r="ASW42" s="92"/>
      <c r="ASX42" s="92"/>
      <c r="ASY42" s="92"/>
      <c r="ASZ42" s="92"/>
      <c r="ATA42" s="92"/>
      <c r="ATB42" s="92"/>
      <c r="ATC42" s="92"/>
      <c r="ATD42" s="92"/>
      <c r="ATE42" s="92"/>
      <c r="ATF42" s="92"/>
      <c r="ATG42" s="92"/>
      <c r="ATH42" s="92"/>
      <c r="ATI42" s="92"/>
      <c r="ATJ42" s="92"/>
      <c r="ATK42" s="92"/>
      <c r="ATL42" s="92"/>
      <c r="ATM42" s="92"/>
      <c r="ATN42" s="92"/>
      <c r="ATO42" s="92"/>
      <c r="ATP42" s="92"/>
      <c r="ATQ42" s="92"/>
      <c r="ATR42" s="92"/>
      <c r="ATS42" s="92"/>
      <c r="ATT42" s="92"/>
      <c r="ATU42" s="92"/>
      <c r="ATV42" s="92"/>
      <c r="ATW42" s="92"/>
      <c r="ATX42" s="92"/>
      <c r="ATY42" s="92"/>
      <c r="ATZ42" s="92"/>
      <c r="AUA42" s="92"/>
      <c r="AUB42" s="92"/>
      <c r="AUC42" s="92"/>
      <c r="AUD42" s="92"/>
      <c r="AUE42" s="92"/>
      <c r="AUF42" s="92"/>
      <c r="AUG42" s="92"/>
      <c r="AUH42" s="92"/>
      <c r="AUI42" s="92"/>
      <c r="AUJ42" s="92"/>
      <c r="AUK42" s="92"/>
      <c r="AUL42" s="92"/>
      <c r="AUM42" s="92"/>
      <c r="AUN42" s="92"/>
      <c r="AUO42" s="92"/>
      <c r="AUP42" s="92"/>
      <c r="AUQ42" s="92"/>
      <c r="AUR42" s="92"/>
      <c r="AUS42" s="92"/>
      <c r="AUT42" s="92"/>
      <c r="AUU42" s="92"/>
      <c r="AUV42" s="92"/>
      <c r="AUW42" s="92"/>
      <c r="AUX42" s="92"/>
      <c r="AUY42" s="92"/>
      <c r="AUZ42" s="92"/>
      <c r="AVA42" s="92"/>
      <c r="AVB42" s="92"/>
      <c r="AVC42" s="92"/>
      <c r="AVD42" s="92"/>
      <c r="AVE42" s="92"/>
      <c r="AVF42" s="92"/>
      <c r="AVG42" s="92"/>
      <c r="AVH42" s="92"/>
      <c r="AVI42" s="92"/>
      <c r="AVJ42" s="92"/>
      <c r="AVK42" s="92"/>
      <c r="AVL42" s="92"/>
      <c r="AVM42" s="92"/>
      <c r="AVN42" s="92"/>
      <c r="AVO42" s="92"/>
      <c r="AVP42" s="92"/>
      <c r="AVQ42" s="92"/>
      <c r="AVR42" s="92"/>
      <c r="AVS42" s="92"/>
      <c r="AVT42" s="92"/>
      <c r="AVU42" s="92"/>
      <c r="AVV42" s="92"/>
      <c r="AVW42" s="92"/>
      <c r="AVX42" s="92"/>
      <c r="AVY42" s="92"/>
      <c r="AVZ42" s="92"/>
      <c r="AWA42" s="92"/>
      <c r="AWB42" s="92"/>
      <c r="AWC42" s="92"/>
      <c r="AWD42" s="92"/>
      <c r="AWE42" s="92"/>
      <c r="AWF42" s="92"/>
      <c r="AWG42" s="92"/>
      <c r="AWH42" s="92"/>
      <c r="AWI42" s="92"/>
      <c r="AWJ42" s="92"/>
      <c r="AWK42" s="92"/>
      <c r="AWL42" s="92"/>
      <c r="AWM42" s="92"/>
      <c r="AWN42" s="92"/>
      <c r="AWO42" s="92"/>
      <c r="AWP42" s="92"/>
      <c r="AWQ42" s="92"/>
      <c r="AWR42" s="92"/>
      <c r="AWS42" s="92"/>
      <c r="AWT42" s="92"/>
      <c r="AWU42" s="92"/>
      <c r="AWV42" s="92"/>
      <c r="AWW42" s="92"/>
      <c r="AWX42" s="92"/>
      <c r="AWY42" s="92"/>
      <c r="AWZ42" s="92"/>
      <c r="AXA42" s="92"/>
      <c r="AXB42" s="92"/>
      <c r="AXC42" s="92"/>
      <c r="AXD42" s="92"/>
      <c r="AXE42" s="92"/>
      <c r="AXF42" s="92"/>
      <c r="AXG42" s="92"/>
      <c r="AXH42" s="92"/>
      <c r="AXI42" s="92"/>
      <c r="AXJ42" s="92"/>
      <c r="AXK42" s="92"/>
      <c r="AXL42" s="92"/>
      <c r="AXM42" s="92"/>
      <c r="AXN42" s="92"/>
      <c r="AXO42" s="92"/>
      <c r="AXP42" s="92"/>
      <c r="AXQ42" s="92"/>
      <c r="AXR42" s="92"/>
      <c r="AXS42" s="92"/>
      <c r="AXT42" s="92"/>
      <c r="AXU42" s="92"/>
      <c r="AXV42" s="92"/>
      <c r="AXW42" s="92"/>
      <c r="AXX42" s="92"/>
      <c r="AXY42" s="92"/>
      <c r="AXZ42" s="92"/>
      <c r="AYA42" s="92"/>
      <c r="AYB42" s="92"/>
      <c r="AYC42" s="92"/>
      <c r="AYD42" s="92"/>
      <c r="AYE42" s="92"/>
      <c r="AYF42" s="92"/>
      <c r="AYG42" s="92"/>
      <c r="AYH42" s="92"/>
      <c r="AYI42" s="92"/>
      <c r="AYJ42" s="92"/>
      <c r="AYK42" s="92"/>
      <c r="AYL42" s="92"/>
      <c r="AYM42" s="92"/>
      <c r="AYN42" s="92"/>
      <c r="AYO42" s="92"/>
      <c r="AYP42" s="92"/>
      <c r="AYQ42" s="92"/>
      <c r="AYR42" s="92"/>
      <c r="AYS42" s="92"/>
      <c r="AYT42" s="92"/>
      <c r="AYU42" s="92"/>
      <c r="AYV42" s="92"/>
      <c r="AYW42" s="92"/>
      <c r="AYX42" s="92"/>
      <c r="AYY42" s="92"/>
      <c r="AYZ42" s="92"/>
      <c r="AZA42" s="92"/>
      <c r="AZB42" s="92"/>
      <c r="AZC42" s="92"/>
      <c r="AZD42" s="92"/>
      <c r="AZE42" s="92"/>
      <c r="AZF42" s="92"/>
      <c r="AZG42" s="92"/>
      <c r="AZH42" s="92"/>
      <c r="AZI42" s="92"/>
      <c r="AZJ42" s="92"/>
      <c r="AZK42" s="92"/>
      <c r="AZL42" s="92"/>
      <c r="AZM42" s="92"/>
      <c r="AZN42" s="92"/>
      <c r="AZO42" s="92"/>
      <c r="AZP42" s="92"/>
      <c r="AZQ42" s="92"/>
      <c r="AZR42" s="92"/>
      <c r="AZS42" s="92"/>
      <c r="AZT42" s="92"/>
      <c r="AZU42" s="92"/>
      <c r="AZV42" s="92"/>
      <c r="AZW42" s="92"/>
      <c r="AZX42" s="92"/>
      <c r="AZY42" s="92"/>
      <c r="AZZ42" s="92"/>
      <c r="BAA42" s="92"/>
      <c r="BAB42" s="92"/>
      <c r="BAC42" s="92"/>
      <c r="BAD42" s="92"/>
      <c r="BAE42" s="92"/>
      <c r="BAF42" s="92"/>
      <c r="BAG42" s="92"/>
      <c r="BAH42" s="92"/>
      <c r="BAI42" s="92"/>
      <c r="BAJ42" s="92"/>
      <c r="BAK42" s="92"/>
      <c r="BAL42" s="92"/>
      <c r="BAM42" s="92"/>
      <c r="BAN42" s="92"/>
      <c r="BAO42" s="92"/>
      <c r="BAP42" s="92"/>
      <c r="BAQ42" s="92"/>
      <c r="BAR42" s="92"/>
      <c r="BAS42" s="92"/>
      <c r="BAT42" s="92"/>
      <c r="BAU42" s="92"/>
      <c r="BAV42" s="92"/>
      <c r="BAW42" s="92"/>
      <c r="BAX42" s="92"/>
      <c r="BAY42" s="92"/>
      <c r="BAZ42" s="92"/>
      <c r="BBA42" s="92"/>
      <c r="BBB42" s="92"/>
      <c r="BBC42" s="92"/>
      <c r="BBD42" s="92"/>
      <c r="BBE42" s="92"/>
      <c r="BBF42" s="92"/>
      <c r="BBG42" s="92"/>
      <c r="BBH42" s="92"/>
      <c r="BBI42" s="92"/>
      <c r="BBJ42" s="92"/>
      <c r="BBK42" s="92"/>
      <c r="BBL42" s="92"/>
      <c r="BBM42" s="92"/>
      <c r="BBN42" s="92"/>
      <c r="BBO42" s="92"/>
      <c r="BBP42" s="92"/>
      <c r="BBQ42" s="92"/>
      <c r="BBR42" s="92"/>
      <c r="BBS42" s="92"/>
      <c r="BBT42" s="92"/>
      <c r="BBU42" s="92"/>
      <c r="BBV42" s="92"/>
      <c r="BBW42" s="92"/>
      <c r="BBX42" s="92"/>
      <c r="BBY42" s="92"/>
      <c r="BBZ42" s="92"/>
      <c r="BCA42" s="92"/>
      <c r="BCB42" s="92"/>
      <c r="BCC42" s="92"/>
      <c r="BCD42" s="92"/>
      <c r="BCE42" s="92"/>
      <c r="BCF42" s="92"/>
      <c r="BCG42" s="92"/>
      <c r="BCH42" s="92"/>
      <c r="BCI42" s="92"/>
      <c r="BCJ42" s="92"/>
      <c r="BCK42" s="92"/>
      <c r="BCL42" s="92"/>
      <c r="BCM42" s="92"/>
      <c r="BCN42" s="92"/>
      <c r="BCO42" s="92"/>
      <c r="BCP42" s="92"/>
      <c r="BCQ42" s="92"/>
      <c r="BCR42" s="92"/>
      <c r="BCS42" s="92"/>
      <c r="BCT42" s="92"/>
      <c r="BCU42" s="92"/>
      <c r="BCV42" s="92"/>
      <c r="BCW42" s="92"/>
      <c r="BCX42" s="92"/>
      <c r="BCY42" s="92"/>
      <c r="BCZ42" s="92"/>
      <c r="BDA42" s="92"/>
      <c r="BDB42" s="92"/>
      <c r="BDC42" s="92"/>
      <c r="BDD42" s="92"/>
      <c r="BDE42" s="92"/>
      <c r="BDF42" s="92"/>
      <c r="BDG42" s="92"/>
      <c r="BDH42" s="92"/>
      <c r="BDI42" s="92"/>
      <c r="BDJ42" s="92"/>
      <c r="BDK42" s="92"/>
      <c r="BDL42" s="92"/>
      <c r="BDM42" s="92"/>
      <c r="BDN42" s="92"/>
      <c r="BDO42" s="92"/>
      <c r="BDP42" s="92"/>
      <c r="BDQ42" s="92"/>
      <c r="BDR42" s="92"/>
      <c r="BDS42" s="92"/>
      <c r="BDT42" s="92"/>
      <c r="BDU42" s="92"/>
      <c r="BDV42" s="92"/>
      <c r="BDW42" s="92"/>
      <c r="BDX42" s="92"/>
      <c r="BDY42" s="92"/>
      <c r="BDZ42" s="92"/>
      <c r="BEA42" s="92"/>
      <c r="BEB42" s="92"/>
      <c r="BEC42" s="92"/>
      <c r="BED42" s="92"/>
      <c r="BEE42" s="92"/>
      <c r="BEF42" s="92"/>
      <c r="BEG42" s="92"/>
      <c r="BEH42" s="92"/>
      <c r="BEI42" s="92"/>
      <c r="BEJ42" s="92"/>
      <c r="BEK42" s="92"/>
      <c r="BEL42" s="92"/>
      <c r="BEM42" s="92"/>
      <c r="BEN42" s="92"/>
      <c r="BEO42" s="92"/>
      <c r="BEP42" s="92"/>
      <c r="BEQ42" s="92"/>
      <c r="BER42" s="92"/>
      <c r="BES42" s="92"/>
      <c r="BET42" s="92"/>
      <c r="BEU42" s="92"/>
      <c r="BEV42" s="92"/>
      <c r="BEW42" s="92"/>
      <c r="BEX42" s="92"/>
      <c r="BEY42" s="92"/>
      <c r="BEZ42" s="92"/>
      <c r="BFA42" s="92"/>
      <c r="BFB42" s="92"/>
      <c r="BFC42" s="92"/>
      <c r="BFD42" s="92"/>
      <c r="BFE42" s="92"/>
      <c r="BFF42" s="92"/>
      <c r="BFG42" s="92"/>
      <c r="BFH42" s="92"/>
      <c r="BFI42" s="92"/>
      <c r="BFJ42" s="92"/>
      <c r="BFK42" s="92"/>
      <c r="BFL42" s="92"/>
      <c r="BFM42" s="92"/>
      <c r="BFN42" s="92"/>
      <c r="BFO42" s="92"/>
      <c r="BFP42" s="92"/>
      <c r="BFQ42" s="92"/>
      <c r="BFR42" s="92"/>
      <c r="BFS42" s="92"/>
      <c r="BFT42" s="92"/>
      <c r="BFU42" s="92"/>
      <c r="BFV42" s="92"/>
      <c r="BFW42" s="92"/>
      <c r="BFX42" s="92"/>
      <c r="BFY42" s="92"/>
      <c r="BFZ42" s="92"/>
      <c r="BGA42" s="92"/>
      <c r="BGB42" s="92"/>
      <c r="BGC42" s="92"/>
      <c r="BGD42" s="92"/>
      <c r="BGE42" s="92"/>
      <c r="BGF42" s="92"/>
      <c r="BGG42" s="92"/>
      <c r="BGH42" s="92"/>
      <c r="BGI42" s="92"/>
      <c r="BGJ42" s="92"/>
      <c r="BGK42" s="92"/>
      <c r="BGL42" s="92"/>
      <c r="BGM42" s="92"/>
      <c r="BGN42" s="92"/>
      <c r="BGO42" s="92"/>
      <c r="BGP42" s="92"/>
      <c r="BGQ42" s="92"/>
      <c r="BGR42" s="92"/>
      <c r="BGS42" s="92"/>
      <c r="BGT42" s="92"/>
      <c r="BGU42" s="92"/>
      <c r="BGV42" s="92"/>
      <c r="BGW42" s="92"/>
      <c r="BGX42" s="92"/>
      <c r="BGY42" s="92"/>
      <c r="BGZ42" s="92"/>
      <c r="BHA42" s="92"/>
      <c r="BHB42" s="92"/>
      <c r="BHC42" s="92"/>
      <c r="BHD42" s="92"/>
      <c r="BHE42" s="92"/>
      <c r="BHF42" s="92"/>
      <c r="BHG42" s="92"/>
      <c r="BHH42" s="92"/>
      <c r="BHI42" s="92"/>
      <c r="BHJ42" s="92"/>
      <c r="BHK42" s="92"/>
      <c r="BHL42" s="92"/>
      <c r="BHM42" s="92"/>
      <c r="BHN42" s="92"/>
      <c r="BHO42" s="92"/>
      <c r="BHP42" s="92"/>
      <c r="BHQ42" s="92"/>
      <c r="BHR42" s="92"/>
      <c r="BHS42" s="92"/>
      <c r="BHT42" s="92"/>
      <c r="BHU42" s="92"/>
      <c r="BHV42" s="92"/>
      <c r="BHW42" s="92"/>
      <c r="BHX42" s="92"/>
      <c r="BHY42" s="92"/>
      <c r="BHZ42" s="92"/>
      <c r="BIA42" s="92"/>
      <c r="BIB42" s="92"/>
      <c r="BIC42" s="92"/>
      <c r="BID42" s="92"/>
      <c r="BIE42" s="92"/>
      <c r="BIF42" s="92"/>
      <c r="BIG42" s="92"/>
      <c r="BIH42" s="92"/>
      <c r="BII42" s="92"/>
      <c r="BIJ42" s="92"/>
      <c r="BIK42" s="92"/>
      <c r="BIL42" s="92"/>
      <c r="BIM42" s="92"/>
      <c r="BIN42" s="92"/>
      <c r="BIO42" s="92"/>
      <c r="BIP42" s="92"/>
      <c r="BIQ42" s="92"/>
      <c r="BIR42" s="92"/>
      <c r="BIS42" s="92"/>
      <c r="BIT42" s="92"/>
      <c r="BIU42" s="92"/>
      <c r="BIV42" s="92"/>
      <c r="BIW42" s="92"/>
      <c r="BIX42" s="92"/>
      <c r="BIY42" s="92"/>
      <c r="BIZ42" s="92"/>
      <c r="BJA42" s="92"/>
      <c r="BJB42" s="92"/>
      <c r="BJC42" s="92"/>
      <c r="BJD42" s="92"/>
      <c r="BJE42" s="92"/>
      <c r="BJF42" s="92"/>
      <c r="BJG42" s="92"/>
      <c r="BJH42" s="92"/>
      <c r="BJI42" s="92"/>
      <c r="BJJ42" s="92"/>
      <c r="BJK42" s="92"/>
      <c r="BJL42" s="92"/>
      <c r="BJM42" s="92"/>
      <c r="BJN42" s="92"/>
      <c r="BJO42" s="92"/>
      <c r="BJP42" s="92"/>
      <c r="BJQ42" s="92"/>
      <c r="BJR42" s="92"/>
      <c r="BJS42" s="92"/>
      <c r="BJT42" s="92"/>
      <c r="BJU42" s="92"/>
      <c r="BJV42" s="92"/>
      <c r="BJW42" s="92"/>
      <c r="BJX42" s="92"/>
      <c r="BJY42" s="92"/>
      <c r="BJZ42" s="92"/>
      <c r="BKA42" s="92"/>
      <c r="BKB42" s="92"/>
      <c r="BKC42" s="92"/>
      <c r="BKD42" s="92"/>
      <c r="BKE42" s="92"/>
      <c r="BKF42" s="92"/>
      <c r="BKG42" s="92"/>
      <c r="BKH42" s="92"/>
      <c r="BKI42" s="92"/>
      <c r="BKJ42" s="92"/>
      <c r="BKK42" s="92"/>
      <c r="BKL42" s="92"/>
      <c r="BKM42" s="92"/>
      <c r="BKN42" s="92"/>
      <c r="BKO42" s="92"/>
      <c r="BKP42" s="92"/>
      <c r="BKQ42" s="92"/>
      <c r="BKR42" s="92"/>
      <c r="BKS42" s="92"/>
      <c r="BKT42" s="92"/>
      <c r="BKU42" s="92"/>
      <c r="BKV42" s="92"/>
      <c r="BKW42" s="92"/>
      <c r="BKX42" s="92"/>
      <c r="BKY42" s="92"/>
      <c r="BKZ42" s="92"/>
      <c r="BLA42" s="92"/>
      <c r="BLB42" s="92"/>
      <c r="BLC42" s="92"/>
      <c r="BLD42" s="92"/>
      <c r="BLE42" s="92"/>
      <c r="BLF42" s="92"/>
      <c r="BLG42" s="92"/>
      <c r="BLH42" s="92"/>
      <c r="BLI42" s="92"/>
      <c r="BLJ42" s="92"/>
      <c r="BLK42" s="92"/>
      <c r="BLL42" s="92"/>
      <c r="BLM42" s="92"/>
      <c r="BLN42" s="92"/>
      <c r="BLO42" s="92"/>
      <c r="BLP42" s="92"/>
      <c r="BLQ42" s="92"/>
      <c r="BLR42" s="92"/>
      <c r="BLS42" s="92"/>
      <c r="BLT42" s="92"/>
      <c r="BLU42" s="92"/>
      <c r="BLV42" s="92"/>
      <c r="BLW42" s="92"/>
      <c r="BLX42" s="92"/>
      <c r="BLY42" s="92"/>
      <c r="BLZ42" s="92"/>
      <c r="BMA42" s="92"/>
      <c r="BMB42" s="92"/>
      <c r="BMC42" s="92"/>
      <c r="BMD42" s="92"/>
      <c r="BME42" s="92"/>
      <c r="BMF42" s="92"/>
      <c r="BMG42" s="92"/>
      <c r="BMH42" s="92"/>
      <c r="BMI42" s="92"/>
      <c r="BMJ42" s="92"/>
      <c r="BMK42" s="92"/>
      <c r="BML42" s="92"/>
      <c r="BMM42" s="92"/>
      <c r="BMN42" s="92"/>
      <c r="BMO42" s="92"/>
      <c r="BMP42" s="92"/>
      <c r="BMQ42" s="92"/>
      <c r="BMR42" s="92"/>
      <c r="BMS42" s="92"/>
      <c r="BMT42" s="92"/>
      <c r="BMU42" s="92"/>
      <c r="BMV42" s="92"/>
      <c r="BMW42" s="92"/>
      <c r="BMX42" s="92"/>
      <c r="BMY42" s="92"/>
      <c r="BMZ42" s="92"/>
      <c r="BNA42" s="92"/>
      <c r="BNB42" s="92"/>
      <c r="BNC42" s="92"/>
      <c r="BND42" s="92"/>
      <c r="BNE42" s="92"/>
      <c r="BNF42" s="92"/>
      <c r="BNG42" s="92"/>
      <c r="BNH42" s="92"/>
      <c r="BNI42" s="92"/>
      <c r="BNJ42" s="92"/>
      <c r="BNK42" s="92"/>
      <c r="BNL42" s="92"/>
      <c r="BNM42" s="92"/>
      <c r="BNN42" s="92"/>
      <c r="BNO42" s="92"/>
      <c r="BNP42" s="92"/>
      <c r="BNQ42" s="92"/>
      <c r="BNR42" s="92"/>
      <c r="BNS42" s="92"/>
      <c r="BNT42" s="92"/>
      <c r="BNU42" s="92"/>
      <c r="BNV42" s="92"/>
      <c r="BNW42" s="92"/>
      <c r="BNX42" s="92"/>
      <c r="BNY42" s="92"/>
      <c r="BNZ42" s="92"/>
      <c r="BOA42" s="92"/>
      <c r="BOB42" s="92"/>
      <c r="BOC42" s="92"/>
      <c r="BOD42" s="92"/>
      <c r="BOE42" s="92"/>
      <c r="BOF42" s="92"/>
      <c r="BOG42" s="92"/>
      <c r="BOH42" s="92"/>
      <c r="BOI42" s="92"/>
      <c r="BOJ42" s="92"/>
      <c r="BOK42" s="92"/>
      <c r="BOL42" s="92"/>
      <c r="BOM42" s="92"/>
      <c r="BON42" s="92"/>
      <c r="BOO42" s="92"/>
      <c r="BOP42" s="92"/>
      <c r="BOQ42" s="92"/>
      <c r="BOR42" s="92"/>
      <c r="BOS42" s="92"/>
      <c r="BOT42" s="92"/>
      <c r="BOU42" s="92"/>
      <c r="BOV42" s="92"/>
      <c r="BOW42" s="92"/>
      <c r="BOX42" s="92"/>
      <c r="BOY42" s="92"/>
      <c r="BOZ42" s="92"/>
      <c r="BPA42" s="92"/>
      <c r="BPB42" s="92"/>
      <c r="BPC42" s="92"/>
      <c r="BPD42" s="92"/>
      <c r="BPE42" s="92"/>
      <c r="BPF42" s="92"/>
      <c r="BPG42" s="92"/>
      <c r="BPH42" s="92"/>
      <c r="BPI42" s="92"/>
      <c r="BPJ42" s="92"/>
      <c r="BPK42" s="92"/>
      <c r="BPL42" s="92"/>
      <c r="BPM42" s="92"/>
      <c r="BPN42" s="92"/>
      <c r="BPO42" s="92"/>
      <c r="BPP42" s="92"/>
      <c r="BPQ42" s="92"/>
      <c r="BPR42" s="92"/>
      <c r="BPS42" s="92"/>
      <c r="BPT42" s="92"/>
      <c r="BPU42" s="92"/>
      <c r="BPV42" s="92"/>
      <c r="BPW42" s="92"/>
      <c r="BPX42" s="92"/>
      <c r="BPY42" s="92"/>
      <c r="BPZ42" s="92"/>
      <c r="BQA42" s="92"/>
      <c r="BQB42" s="92"/>
      <c r="BQC42" s="92"/>
      <c r="BQD42" s="92"/>
      <c r="BQE42" s="92"/>
      <c r="BQF42" s="92"/>
      <c r="BQG42" s="92"/>
      <c r="BQH42" s="92"/>
      <c r="BQI42" s="92"/>
      <c r="BQJ42" s="92"/>
      <c r="BQK42" s="92"/>
      <c r="BQL42" s="92"/>
      <c r="BQM42" s="92"/>
      <c r="BQN42" s="92"/>
      <c r="BQO42" s="92"/>
      <c r="BQP42" s="92"/>
      <c r="BQQ42" s="92"/>
      <c r="BQR42" s="92"/>
      <c r="BQS42" s="92"/>
      <c r="BQT42" s="92"/>
      <c r="BQU42" s="92"/>
      <c r="BQV42" s="92"/>
      <c r="BQW42" s="92"/>
      <c r="BQX42" s="92"/>
      <c r="BQY42" s="92"/>
      <c r="BQZ42" s="92"/>
      <c r="BRA42" s="92"/>
      <c r="BRB42" s="92"/>
      <c r="BRC42" s="92"/>
      <c r="BRD42" s="92"/>
      <c r="BRE42" s="92"/>
      <c r="BRF42" s="92"/>
      <c r="BRG42" s="92"/>
      <c r="BRH42" s="92"/>
      <c r="BRI42" s="92"/>
      <c r="BRJ42" s="92"/>
      <c r="BRK42" s="92"/>
      <c r="BRL42" s="92"/>
      <c r="BRM42" s="92"/>
      <c r="BRN42" s="92"/>
      <c r="BRO42" s="92"/>
      <c r="BRP42" s="92"/>
      <c r="BRQ42" s="92"/>
      <c r="BRR42" s="92"/>
      <c r="BRS42" s="92"/>
      <c r="BRT42" s="92"/>
      <c r="BRU42" s="92"/>
      <c r="BRV42" s="92"/>
      <c r="BRW42" s="92"/>
      <c r="BRX42" s="92"/>
      <c r="BRY42" s="92"/>
      <c r="BRZ42" s="92"/>
      <c r="BSA42" s="92"/>
      <c r="BSB42" s="92"/>
      <c r="BSC42" s="92"/>
      <c r="BSD42" s="92"/>
      <c r="BSE42" s="92"/>
      <c r="BSF42" s="92"/>
      <c r="BSG42" s="92"/>
      <c r="BSH42" s="92"/>
      <c r="BSI42" s="92"/>
      <c r="BSJ42" s="92"/>
      <c r="BSK42" s="92"/>
      <c r="BSL42" s="92"/>
      <c r="BSM42" s="92"/>
      <c r="BSN42" s="92"/>
      <c r="BSO42" s="92"/>
      <c r="BSP42" s="92"/>
      <c r="BSQ42" s="92"/>
      <c r="BSR42" s="92"/>
      <c r="BSS42" s="92"/>
      <c r="BST42" s="92"/>
      <c r="BSU42" s="92"/>
      <c r="BSV42" s="92"/>
      <c r="BSW42" s="92"/>
      <c r="BSX42" s="92"/>
      <c r="BSY42" s="92"/>
      <c r="BSZ42" s="92"/>
      <c r="BTA42" s="92"/>
      <c r="BTB42" s="92"/>
      <c r="BTC42" s="92"/>
      <c r="BTD42" s="92"/>
      <c r="BTE42" s="92"/>
      <c r="BTF42" s="92"/>
      <c r="BTG42" s="92"/>
      <c r="BTH42" s="92"/>
      <c r="BTI42" s="92"/>
      <c r="BTJ42" s="92"/>
      <c r="BTK42" s="92"/>
      <c r="BTL42" s="92"/>
      <c r="BTM42" s="92"/>
      <c r="BTN42" s="92"/>
      <c r="BTO42" s="92"/>
      <c r="BTP42" s="92"/>
      <c r="BTQ42" s="92"/>
      <c r="BTR42" s="92"/>
      <c r="BTS42" s="92"/>
      <c r="BTT42" s="92"/>
      <c r="BTU42" s="92"/>
      <c r="BTV42" s="92"/>
      <c r="BTW42" s="92"/>
      <c r="BTX42" s="92"/>
      <c r="BTY42" s="92"/>
      <c r="BTZ42" s="92"/>
      <c r="BUA42" s="92"/>
      <c r="BUB42" s="92"/>
      <c r="BUC42" s="92"/>
      <c r="BUD42" s="92"/>
      <c r="BUE42" s="92"/>
      <c r="BUF42" s="92"/>
      <c r="BUG42" s="92"/>
      <c r="BUH42" s="92"/>
      <c r="BUI42" s="92"/>
      <c r="BUJ42" s="92"/>
      <c r="BUK42" s="92"/>
      <c r="BUL42" s="92"/>
      <c r="BUM42" s="92"/>
      <c r="BUN42" s="92"/>
      <c r="BUO42" s="92"/>
      <c r="BUP42" s="92"/>
      <c r="BUQ42" s="92"/>
      <c r="BUR42" s="92"/>
      <c r="BUS42" s="92"/>
      <c r="BUT42" s="92"/>
      <c r="BUU42" s="92"/>
      <c r="BUV42" s="92"/>
      <c r="BUW42" s="92"/>
      <c r="BUX42" s="92"/>
      <c r="BUY42" s="92"/>
      <c r="BUZ42" s="92"/>
      <c r="BVA42" s="92"/>
      <c r="BVB42" s="92"/>
      <c r="BVC42" s="92"/>
      <c r="BVD42" s="92"/>
      <c r="BVE42" s="92"/>
      <c r="BVF42" s="92"/>
      <c r="BVG42" s="92"/>
      <c r="BVH42" s="92"/>
      <c r="BVI42" s="92"/>
      <c r="BVJ42" s="92"/>
      <c r="BVK42" s="92"/>
      <c r="BVL42" s="92"/>
      <c r="BVM42" s="92"/>
      <c r="BVN42" s="92"/>
      <c r="BVO42" s="92"/>
      <c r="BVP42" s="92"/>
      <c r="BVQ42" s="92"/>
      <c r="BVR42" s="92"/>
      <c r="BVS42" s="92"/>
      <c r="BVT42" s="92"/>
      <c r="BVU42" s="92"/>
      <c r="BVV42" s="92"/>
      <c r="BVW42" s="92"/>
      <c r="BVX42" s="92"/>
      <c r="BVY42" s="92"/>
      <c r="BVZ42" s="92"/>
      <c r="BWA42" s="92"/>
      <c r="BWB42" s="92"/>
      <c r="BWC42" s="92"/>
      <c r="BWD42" s="92"/>
      <c r="BWE42" s="92"/>
      <c r="BWF42" s="92"/>
      <c r="BWG42" s="92"/>
      <c r="BWH42" s="92"/>
      <c r="BWI42" s="92"/>
      <c r="BWJ42" s="92"/>
      <c r="BWK42" s="92"/>
      <c r="BWL42" s="92"/>
      <c r="BWM42" s="92"/>
      <c r="BWN42" s="92"/>
      <c r="BWO42" s="92"/>
      <c r="BWP42" s="92"/>
      <c r="BWQ42" s="92"/>
      <c r="BWR42" s="92"/>
      <c r="BWS42" s="92"/>
      <c r="BWT42" s="92"/>
      <c r="BWU42" s="92"/>
      <c r="BWV42" s="92"/>
      <c r="BWW42" s="92"/>
      <c r="BWX42" s="92"/>
      <c r="BWY42" s="92"/>
      <c r="BWZ42" s="92"/>
      <c r="BXA42" s="92"/>
      <c r="BXB42" s="92"/>
      <c r="BXC42" s="92"/>
      <c r="BXD42" s="92"/>
      <c r="BXE42" s="92"/>
      <c r="BXF42" s="92"/>
      <c r="BXG42" s="92"/>
      <c r="BXH42" s="92"/>
      <c r="BXI42" s="92"/>
      <c r="BXJ42" s="92"/>
      <c r="BXK42" s="92"/>
      <c r="BXL42" s="92"/>
      <c r="BXM42" s="92"/>
      <c r="BXN42" s="92"/>
      <c r="BXO42" s="92"/>
      <c r="BXP42" s="92"/>
      <c r="BXQ42" s="92"/>
      <c r="BXR42" s="92"/>
      <c r="BXS42" s="92"/>
      <c r="BXT42" s="92"/>
      <c r="BXU42" s="92"/>
      <c r="BXV42" s="92"/>
      <c r="BXW42" s="92"/>
      <c r="BXX42" s="92"/>
      <c r="BXY42" s="92"/>
      <c r="BXZ42" s="92"/>
      <c r="BYA42" s="92"/>
      <c r="BYB42" s="92"/>
      <c r="BYC42" s="92"/>
      <c r="BYD42" s="92"/>
      <c r="BYE42" s="92"/>
      <c r="BYF42" s="92"/>
      <c r="BYG42" s="92"/>
      <c r="BYH42" s="92"/>
      <c r="BYI42" s="92"/>
      <c r="BYJ42" s="92"/>
      <c r="BYK42" s="92"/>
      <c r="BYL42" s="92"/>
      <c r="BYM42" s="92"/>
      <c r="BYN42" s="92"/>
      <c r="BYO42" s="92"/>
      <c r="BYP42" s="92"/>
      <c r="BYQ42" s="92"/>
      <c r="BYR42" s="92"/>
      <c r="BYS42" s="92"/>
      <c r="BYT42" s="92"/>
      <c r="BYU42" s="92"/>
      <c r="BYV42" s="92"/>
      <c r="BYW42" s="92"/>
      <c r="BYX42" s="92"/>
      <c r="BYY42" s="92"/>
      <c r="BYZ42" s="92"/>
      <c r="BZA42" s="92"/>
      <c r="BZB42" s="92"/>
      <c r="BZC42" s="92"/>
      <c r="BZD42" s="92"/>
      <c r="BZE42" s="92"/>
      <c r="BZF42" s="92"/>
      <c r="BZG42" s="92"/>
      <c r="BZH42" s="92"/>
      <c r="BZI42" s="92"/>
      <c r="BZJ42" s="92"/>
      <c r="BZK42" s="92"/>
      <c r="BZL42" s="92"/>
      <c r="BZM42" s="92"/>
      <c r="BZN42" s="92"/>
      <c r="BZO42" s="92"/>
      <c r="BZP42" s="92"/>
      <c r="BZQ42" s="92"/>
      <c r="BZR42" s="92"/>
      <c r="BZS42" s="92"/>
      <c r="BZT42" s="92"/>
      <c r="BZU42" s="92"/>
      <c r="BZV42" s="92"/>
      <c r="BZW42" s="92"/>
      <c r="BZX42" s="92"/>
      <c r="BZY42" s="92"/>
      <c r="BZZ42" s="92"/>
      <c r="CAA42" s="92"/>
      <c r="CAB42" s="92"/>
      <c r="CAC42" s="92"/>
      <c r="CAD42" s="92"/>
      <c r="CAE42" s="92"/>
      <c r="CAF42" s="92"/>
      <c r="CAG42" s="92"/>
      <c r="CAH42" s="92"/>
      <c r="CAI42" s="92"/>
      <c r="CAJ42" s="92"/>
      <c r="CAK42" s="92"/>
      <c r="CAL42" s="92"/>
      <c r="CAM42" s="92"/>
      <c r="CAN42" s="92"/>
      <c r="CAO42" s="92"/>
      <c r="CAP42" s="92"/>
      <c r="CAQ42" s="92"/>
      <c r="CAR42" s="92"/>
      <c r="CAS42" s="92"/>
      <c r="CAT42" s="92"/>
      <c r="CAU42" s="92"/>
      <c r="CAV42" s="92"/>
      <c r="CAW42" s="92"/>
      <c r="CAX42" s="92"/>
      <c r="CAY42" s="92"/>
      <c r="CAZ42" s="92"/>
      <c r="CBA42" s="92"/>
      <c r="CBB42" s="92"/>
      <c r="CBC42" s="92"/>
      <c r="CBD42" s="92"/>
      <c r="CBE42" s="92"/>
      <c r="CBF42" s="92"/>
      <c r="CBG42" s="92"/>
      <c r="CBH42" s="92"/>
      <c r="CBI42" s="92"/>
      <c r="CBJ42" s="92"/>
      <c r="CBK42" s="92"/>
      <c r="CBL42" s="92"/>
      <c r="CBM42" s="92"/>
      <c r="CBN42" s="92"/>
      <c r="CBO42" s="92"/>
      <c r="CBP42" s="92"/>
      <c r="CBQ42" s="92"/>
      <c r="CBR42" s="92"/>
      <c r="CBS42" s="92"/>
      <c r="CBT42" s="92"/>
      <c r="CBU42" s="92"/>
      <c r="CBV42" s="92"/>
      <c r="CBW42" s="92"/>
      <c r="CBX42" s="92"/>
      <c r="CBY42" s="92"/>
      <c r="CBZ42" s="92"/>
      <c r="CCA42" s="92"/>
      <c r="CCB42" s="92"/>
      <c r="CCC42" s="92"/>
      <c r="CCD42" s="92"/>
      <c r="CCE42" s="92"/>
      <c r="CCF42" s="92"/>
      <c r="CCG42" s="92"/>
      <c r="CCH42" s="92"/>
      <c r="CCI42" s="92"/>
      <c r="CCJ42" s="92"/>
      <c r="CCK42" s="92"/>
      <c r="CCL42" s="92"/>
      <c r="CCM42" s="92"/>
      <c r="CCN42" s="92"/>
      <c r="CCO42" s="92"/>
      <c r="CCP42" s="92"/>
      <c r="CCQ42" s="92"/>
      <c r="CCR42" s="92"/>
      <c r="CCS42" s="92"/>
      <c r="CCT42" s="92"/>
      <c r="CCU42" s="92"/>
      <c r="CCV42" s="92"/>
      <c r="CCW42" s="92"/>
      <c r="CCX42" s="92"/>
      <c r="CCY42" s="92"/>
      <c r="CCZ42" s="92"/>
      <c r="CDA42" s="92"/>
      <c r="CDB42" s="92"/>
      <c r="CDC42" s="92"/>
      <c r="CDD42" s="92"/>
      <c r="CDE42" s="92"/>
      <c r="CDF42" s="92"/>
      <c r="CDG42" s="92"/>
      <c r="CDH42" s="92"/>
      <c r="CDI42" s="92"/>
      <c r="CDJ42" s="92"/>
      <c r="CDK42" s="92"/>
      <c r="CDL42" s="92"/>
      <c r="CDM42" s="92"/>
      <c r="CDN42" s="92"/>
      <c r="CDO42" s="92"/>
      <c r="CDP42" s="92"/>
      <c r="CDQ42" s="92"/>
      <c r="CDR42" s="92"/>
      <c r="CDS42" s="92"/>
      <c r="CDT42" s="92"/>
      <c r="CDU42" s="92"/>
      <c r="CDV42" s="92"/>
      <c r="CDW42" s="92"/>
      <c r="CDX42" s="92"/>
      <c r="CDY42" s="92"/>
      <c r="CDZ42" s="92"/>
      <c r="CEA42" s="92"/>
      <c r="CEB42" s="92"/>
      <c r="CEC42" s="92"/>
      <c r="CED42" s="92"/>
      <c r="CEE42" s="92"/>
      <c r="CEF42" s="92"/>
      <c r="CEG42" s="92"/>
      <c r="CEH42" s="92"/>
      <c r="CEI42" s="92"/>
      <c r="CEJ42" s="92"/>
      <c r="CEK42" s="92"/>
      <c r="CEL42" s="92"/>
      <c r="CEM42" s="92"/>
      <c r="CEN42" s="92"/>
      <c r="CEO42" s="92"/>
      <c r="CEP42" s="92"/>
      <c r="CEQ42" s="92"/>
      <c r="CER42" s="92"/>
      <c r="CES42" s="92"/>
      <c r="CET42" s="92"/>
      <c r="CEU42" s="92"/>
      <c r="CEV42" s="92"/>
      <c r="CEW42" s="92"/>
      <c r="CEX42" s="92"/>
      <c r="CEY42" s="92"/>
      <c r="CEZ42" s="92"/>
      <c r="CFA42" s="92"/>
      <c r="CFB42" s="92"/>
      <c r="CFC42" s="92"/>
      <c r="CFD42" s="92"/>
      <c r="CFE42" s="92"/>
      <c r="CFF42" s="92"/>
      <c r="CFG42" s="92"/>
      <c r="CFH42" s="92"/>
      <c r="CFI42" s="92"/>
      <c r="CFJ42" s="92"/>
      <c r="CFK42" s="92"/>
      <c r="CFL42" s="92"/>
      <c r="CFM42" s="92"/>
      <c r="CFN42" s="92"/>
      <c r="CFO42" s="92"/>
      <c r="CFP42" s="92"/>
      <c r="CFQ42" s="92"/>
      <c r="CFR42" s="92"/>
      <c r="CFS42" s="92"/>
      <c r="CFT42" s="92"/>
      <c r="CFU42" s="92"/>
      <c r="CFV42" s="92"/>
      <c r="CFW42" s="92"/>
      <c r="CFX42" s="92"/>
      <c r="CFY42" s="92"/>
      <c r="CFZ42" s="92"/>
      <c r="CGA42" s="92"/>
      <c r="CGB42" s="92"/>
      <c r="CGC42" s="92"/>
      <c r="CGD42" s="92"/>
      <c r="CGE42" s="92"/>
      <c r="CGF42" s="92"/>
      <c r="CGG42" s="92"/>
      <c r="CGH42" s="92"/>
      <c r="CGI42" s="92"/>
      <c r="CGJ42" s="92"/>
      <c r="CGK42" s="92"/>
      <c r="CGL42" s="92"/>
      <c r="CGM42" s="92"/>
      <c r="CGN42" s="92"/>
      <c r="CGO42" s="92"/>
      <c r="CGP42" s="92"/>
      <c r="CGQ42" s="92"/>
      <c r="CGR42" s="92"/>
      <c r="CGS42" s="92"/>
      <c r="CGT42" s="92"/>
      <c r="CGU42" s="92"/>
      <c r="CGV42" s="92"/>
      <c r="CGW42" s="92"/>
      <c r="CGX42" s="92"/>
      <c r="CGY42" s="92"/>
      <c r="CGZ42" s="92"/>
      <c r="CHA42" s="92"/>
      <c r="CHB42" s="92"/>
      <c r="CHC42" s="92"/>
      <c r="CHD42" s="92"/>
      <c r="CHE42" s="92"/>
      <c r="CHF42" s="92"/>
      <c r="CHG42" s="92"/>
      <c r="CHH42" s="92"/>
      <c r="CHI42" s="92"/>
      <c r="CHJ42" s="92"/>
      <c r="CHK42" s="92"/>
      <c r="CHL42" s="92"/>
      <c r="CHM42" s="92"/>
      <c r="CHN42" s="92"/>
      <c r="CHO42" s="92"/>
      <c r="CHP42" s="92"/>
      <c r="CHQ42" s="92"/>
      <c r="CHR42" s="92"/>
      <c r="CHS42" s="92"/>
      <c r="CHT42" s="92"/>
      <c r="CHU42" s="92"/>
      <c r="CHV42" s="92"/>
      <c r="CHW42" s="92"/>
      <c r="CHX42" s="92"/>
      <c r="CHY42" s="92"/>
      <c r="CHZ42" s="92"/>
      <c r="CIA42" s="92"/>
      <c r="CIB42" s="92"/>
      <c r="CIC42" s="92"/>
      <c r="CID42" s="92"/>
      <c r="CIE42" s="92"/>
      <c r="CIF42" s="92"/>
      <c r="CIG42" s="92"/>
      <c r="CIH42" s="92"/>
      <c r="CII42" s="92"/>
      <c r="CIJ42" s="92"/>
      <c r="CIK42" s="92"/>
      <c r="CIL42" s="92"/>
      <c r="CIM42" s="92"/>
      <c r="CIN42" s="92"/>
      <c r="CIO42" s="92"/>
      <c r="CIP42" s="92"/>
      <c r="CIQ42" s="92"/>
      <c r="CIR42" s="92"/>
      <c r="CIS42" s="92"/>
      <c r="CIT42" s="92"/>
      <c r="CIU42" s="92"/>
      <c r="CIV42" s="92"/>
      <c r="CIW42" s="92"/>
      <c r="CIX42" s="92"/>
      <c r="CIY42" s="92"/>
      <c r="CIZ42" s="92"/>
      <c r="CJA42" s="92"/>
      <c r="CJB42" s="92"/>
      <c r="CJC42" s="92"/>
      <c r="CJD42" s="92"/>
      <c r="CJE42" s="92"/>
      <c r="CJF42" s="92"/>
      <c r="CJG42" s="92"/>
      <c r="CJH42" s="92"/>
      <c r="CJI42" s="92"/>
      <c r="CJJ42" s="92"/>
      <c r="CJK42" s="92"/>
      <c r="CJL42" s="92"/>
      <c r="CJM42" s="92"/>
      <c r="CJN42" s="92"/>
      <c r="CJO42" s="92"/>
      <c r="CJP42" s="92"/>
      <c r="CJQ42" s="92"/>
      <c r="CJR42" s="92"/>
      <c r="CJS42" s="92"/>
      <c r="CJT42" s="92"/>
      <c r="CJU42" s="92"/>
      <c r="CJV42" s="92"/>
      <c r="CJW42" s="92"/>
      <c r="CJX42" s="92"/>
      <c r="CJY42" s="92"/>
      <c r="CJZ42" s="92"/>
      <c r="CKA42" s="92"/>
      <c r="CKB42" s="92"/>
      <c r="CKC42" s="92"/>
      <c r="CKD42" s="92"/>
      <c r="CKE42" s="92"/>
      <c r="CKF42" s="92"/>
      <c r="CKG42" s="92"/>
      <c r="CKH42" s="92"/>
      <c r="CKI42" s="92"/>
      <c r="CKJ42" s="92"/>
      <c r="CKK42" s="92"/>
      <c r="CKL42" s="92"/>
      <c r="CKM42" s="92"/>
      <c r="CKN42" s="92"/>
      <c r="CKO42" s="92"/>
      <c r="CKP42" s="92"/>
      <c r="CKQ42" s="92"/>
      <c r="CKR42" s="92"/>
      <c r="CKS42" s="92"/>
      <c r="CKT42" s="92"/>
      <c r="CKU42" s="92"/>
      <c r="CKV42" s="92"/>
      <c r="CKW42" s="92"/>
      <c r="CKX42" s="92"/>
      <c r="CKY42" s="92"/>
      <c r="CKZ42" s="92"/>
      <c r="CLA42" s="92"/>
      <c r="CLB42" s="92"/>
      <c r="CLC42" s="92"/>
      <c r="CLD42" s="92"/>
      <c r="CLE42" s="92"/>
      <c r="CLF42" s="92"/>
      <c r="CLG42" s="92"/>
      <c r="CLH42" s="92"/>
      <c r="CLI42" s="92"/>
      <c r="CLJ42" s="92"/>
      <c r="CLK42" s="92"/>
      <c r="CLL42" s="92"/>
      <c r="CLM42" s="92"/>
      <c r="CLN42" s="92"/>
      <c r="CLO42" s="92"/>
      <c r="CLP42" s="92"/>
      <c r="CLQ42" s="92"/>
      <c r="CLR42" s="92"/>
      <c r="CLS42" s="92"/>
      <c r="CLT42" s="92"/>
      <c r="CLU42" s="92"/>
      <c r="CLV42" s="92"/>
      <c r="CLW42" s="92"/>
      <c r="CLX42" s="92"/>
      <c r="CLY42" s="92"/>
      <c r="CLZ42" s="92"/>
      <c r="CMA42" s="92"/>
      <c r="CMB42" s="92"/>
      <c r="CMC42" s="92"/>
      <c r="CMD42" s="92"/>
      <c r="CME42" s="92"/>
      <c r="CMF42" s="92"/>
      <c r="CMG42" s="92"/>
      <c r="CMH42" s="92"/>
      <c r="CMI42" s="92"/>
      <c r="CMJ42" s="92"/>
      <c r="CMK42" s="92"/>
      <c r="CML42" s="92"/>
      <c r="CMM42" s="92"/>
      <c r="CMN42" s="92"/>
      <c r="CMO42" s="92"/>
      <c r="CMP42" s="92"/>
      <c r="CMQ42" s="92"/>
      <c r="CMR42" s="92"/>
      <c r="CMS42" s="92"/>
      <c r="CMT42" s="92"/>
      <c r="CMU42" s="92"/>
      <c r="CMV42" s="92"/>
      <c r="CMW42" s="92"/>
      <c r="CMX42" s="92"/>
      <c r="CMY42" s="92"/>
      <c r="CMZ42" s="92"/>
      <c r="CNA42" s="92"/>
      <c r="CNB42" s="92"/>
      <c r="CNC42" s="92"/>
      <c r="CND42" s="92"/>
      <c r="CNE42" s="92"/>
      <c r="CNF42" s="92"/>
      <c r="CNG42" s="92"/>
      <c r="CNH42" s="92"/>
      <c r="CNI42" s="92"/>
      <c r="CNJ42" s="92"/>
      <c r="CNK42" s="92"/>
      <c r="CNL42" s="92"/>
      <c r="CNM42" s="92"/>
      <c r="CNN42" s="92"/>
      <c r="CNO42" s="92"/>
      <c r="CNP42" s="92"/>
      <c r="CNQ42" s="92"/>
      <c r="CNR42" s="92"/>
      <c r="CNS42" s="92"/>
      <c r="CNT42" s="92"/>
      <c r="CNU42" s="92"/>
      <c r="CNV42" s="92"/>
      <c r="CNW42" s="92"/>
      <c r="CNX42" s="92"/>
      <c r="CNY42" s="92"/>
      <c r="CNZ42" s="92"/>
      <c r="COA42" s="92"/>
      <c r="COB42" s="92"/>
      <c r="COC42" s="92"/>
      <c r="COD42" s="92"/>
      <c r="COE42" s="92"/>
      <c r="COF42" s="92"/>
      <c r="COG42" s="92"/>
      <c r="COH42" s="92"/>
      <c r="COI42" s="92"/>
      <c r="COJ42" s="92"/>
      <c r="COK42" s="92"/>
      <c r="COL42" s="92"/>
      <c r="COM42" s="92"/>
      <c r="CON42" s="92"/>
      <c r="COO42" s="92"/>
      <c r="COP42" s="92"/>
      <c r="COQ42" s="92"/>
      <c r="COR42" s="92"/>
      <c r="COS42" s="92"/>
      <c r="COT42" s="92"/>
      <c r="COU42" s="92"/>
      <c r="COV42" s="92"/>
      <c r="COW42" s="92"/>
      <c r="COX42" s="92"/>
      <c r="COY42" s="92"/>
      <c r="COZ42" s="92"/>
      <c r="CPA42" s="92"/>
      <c r="CPB42" s="92"/>
      <c r="CPC42" s="92"/>
      <c r="CPD42" s="92"/>
      <c r="CPE42" s="92"/>
      <c r="CPF42" s="92"/>
      <c r="CPG42" s="92"/>
      <c r="CPH42" s="92"/>
      <c r="CPI42" s="92"/>
      <c r="CPJ42" s="92"/>
      <c r="CPK42" s="92"/>
      <c r="CPL42" s="92"/>
      <c r="CPM42" s="92"/>
      <c r="CPN42" s="92"/>
      <c r="CPO42" s="92"/>
      <c r="CPP42" s="92"/>
      <c r="CPQ42" s="92"/>
      <c r="CPR42" s="92"/>
      <c r="CPS42" s="92"/>
      <c r="CPT42" s="92"/>
      <c r="CPU42" s="92"/>
      <c r="CPV42" s="92"/>
      <c r="CPW42" s="92"/>
      <c r="CPX42" s="92"/>
      <c r="CPY42" s="92"/>
      <c r="CPZ42" s="92"/>
      <c r="CQA42" s="92"/>
      <c r="CQB42" s="92"/>
      <c r="CQC42" s="92"/>
      <c r="CQD42" s="92"/>
      <c r="CQE42" s="92"/>
      <c r="CQF42" s="92"/>
      <c r="CQG42" s="92"/>
      <c r="CQH42" s="92"/>
      <c r="CQI42" s="92"/>
      <c r="CQJ42" s="92"/>
      <c r="CQK42" s="92"/>
      <c r="CQL42" s="92"/>
      <c r="CQM42" s="92"/>
      <c r="CQN42" s="92"/>
      <c r="CQO42" s="92"/>
      <c r="CQP42" s="92"/>
      <c r="CQQ42" s="92"/>
      <c r="CQR42" s="92"/>
      <c r="CQS42" s="92"/>
      <c r="CQT42" s="92"/>
      <c r="CQU42" s="92"/>
      <c r="CQV42" s="92"/>
      <c r="CQW42" s="92"/>
      <c r="CQX42" s="92"/>
      <c r="CQY42" s="92"/>
      <c r="CQZ42" s="92"/>
      <c r="CRA42" s="92"/>
      <c r="CRB42" s="92"/>
      <c r="CRC42" s="92"/>
      <c r="CRD42" s="92"/>
      <c r="CRE42" s="92"/>
      <c r="CRF42" s="92"/>
      <c r="CRG42" s="92"/>
      <c r="CRH42" s="92"/>
      <c r="CRI42" s="92"/>
      <c r="CRJ42" s="92"/>
      <c r="CRK42" s="92"/>
      <c r="CRL42" s="92"/>
      <c r="CRM42" s="92"/>
      <c r="CRN42" s="92"/>
      <c r="CRO42" s="92"/>
      <c r="CRP42" s="92"/>
      <c r="CRQ42" s="92"/>
      <c r="CRR42" s="92"/>
      <c r="CRS42" s="92"/>
      <c r="CRT42" s="92"/>
      <c r="CRU42" s="92"/>
      <c r="CRV42" s="92"/>
      <c r="CRW42" s="92"/>
      <c r="CRX42" s="92"/>
      <c r="CRY42" s="92"/>
      <c r="CRZ42" s="92"/>
      <c r="CSA42" s="92"/>
      <c r="CSB42" s="92"/>
      <c r="CSC42" s="92"/>
      <c r="CSD42" s="92"/>
      <c r="CSE42" s="92"/>
      <c r="CSF42" s="92"/>
      <c r="CSG42" s="92"/>
      <c r="CSH42" s="92"/>
      <c r="CSI42" s="92"/>
      <c r="CSJ42" s="92"/>
      <c r="CSK42" s="92"/>
      <c r="CSL42" s="92"/>
      <c r="CSM42" s="92"/>
      <c r="CSN42" s="92"/>
      <c r="CSO42" s="92"/>
      <c r="CSP42" s="92"/>
      <c r="CSQ42" s="92"/>
      <c r="CSR42" s="92"/>
      <c r="CSS42" s="92"/>
      <c r="CST42" s="92"/>
      <c r="CSU42" s="92"/>
      <c r="CSV42" s="92"/>
      <c r="CSW42" s="92"/>
      <c r="CSX42" s="92"/>
      <c r="CSY42" s="92"/>
      <c r="CSZ42" s="92"/>
      <c r="CTA42" s="92"/>
      <c r="CTB42" s="92"/>
      <c r="CTC42" s="92"/>
      <c r="CTD42" s="92"/>
      <c r="CTE42" s="92"/>
      <c r="CTF42" s="92"/>
      <c r="CTG42" s="92"/>
      <c r="CTH42" s="92"/>
      <c r="CTI42" s="92"/>
      <c r="CTJ42" s="92"/>
      <c r="CTK42" s="92"/>
      <c r="CTL42" s="92"/>
      <c r="CTM42" s="92"/>
      <c r="CTN42" s="92"/>
      <c r="CTO42" s="92"/>
      <c r="CTP42" s="92"/>
      <c r="CTQ42" s="92"/>
      <c r="CTR42" s="92"/>
      <c r="CTS42" s="92"/>
      <c r="CTT42" s="92"/>
      <c r="CTU42" s="92"/>
      <c r="CTV42" s="92"/>
      <c r="CTW42" s="92"/>
      <c r="CTX42" s="92"/>
      <c r="CTY42" s="92"/>
      <c r="CTZ42" s="92"/>
      <c r="CUA42" s="92"/>
      <c r="CUB42" s="92"/>
      <c r="CUC42" s="92"/>
      <c r="CUD42" s="92"/>
      <c r="CUE42" s="92"/>
      <c r="CUF42" s="92"/>
      <c r="CUG42" s="92"/>
      <c r="CUH42" s="92"/>
      <c r="CUI42" s="92"/>
      <c r="CUJ42" s="92"/>
      <c r="CUK42" s="92"/>
      <c r="CUL42" s="92"/>
      <c r="CUM42" s="92"/>
      <c r="CUN42" s="92"/>
      <c r="CUO42" s="92"/>
      <c r="CUP42" s="92"/>
      <c r="CUQ42" s="92"/>
      <c r="CUR42" s="92"/>
      <c r="CUS42" s="92"/>
      <c r="CUT42" s="92"/>
      <c r="CUU42" s="92"/>
      <c r="CUV42" s="92"/>
      <c r="CUW42" s="92"/>
      <c r="CUX42" s="92"/>
      <c r="CUY42" s="92"/>
      <c r="CUZ42" s="92"/>
      <c r="CVA42" s="92"/>
      <c r="CVB42" s="92"/>
      <c r="CVC42" s="92"/>
      <c r="CVD42" s="92"/>
      <c r="CVE42" s="92"/>
      <c r="CVF42" s="92"/>
      <c r="CVG42" s="92"/>
      <c r="CVH42" s="92"/>
      <c r="CVI42" s="92"/>
      <c r="CVJ42" s="92"/>
      <c r="CVK42" s="92"/>
      <c r="CVL42" s="92"/>
      <c r="CVM42" s="92"/>
      <c r="CVN42" s="92"/>
      <c r="CVO42" s="92"/>
      <c r="CVP42" s="92"/>
      <c r="CVQ42" s="92"/>
      <c r="CVR42" s="92"/>
      <c r="CVS42" s="92"/>
      <c r="CVT42" s="92"/>
      <c r="CVU42" s="92"/>
      <c r="CVV42" s="92"/>
      <c r="CVW42" s="92"/>
      <c r="CVX42" s="92"/>
      <c r="CVY42" s="92"/>
      <c r="CVZ42" s="92"/>
      <c r="CWA42" s="92"/>
      <c r="CWB42" s="92"/>
      <c r="CWC42" s="92"/>
      <c r="CWD42" s="92"/>
      <c r="CWE42" s="92"/>
      <c r="CWF42" s="92"/>
      <c r="CWG42" s="92"/>
      <c r="CWH42" s="92"/>
      <c r="CWI42" s="92"/>
      <c r="CWJ42" s="92"/>
      <c r="CWK42" s="92"/>
      <c r="CWL42" s="92"/>
      <c r="CWM42" s="92"/>
      <c r="CWN42" s="92"/>
      <c r="CWO42" s="92"/>
      <c r="CWP42" s="92"/>
      <c r="CWQ42" s="92"/>
      <c r="CWR42" s="92"/>
      <c r="CWS42" s="92"/>
      <c r="CWT42" s="92"/>
      <c r="CWU42" s="92"/>
      <c r="CWV42" s="92"/>
      <c r="CWW42" s="92"/>
      <c r="CWX42" s="92"/>
      <c r="CWY42" s="92"/>
      <c r="CWZ42" s="92"/>
      <c r="CXA42" s="92"/>
      <c r="CXB42" s="92"/>
      <c r="CXC42" s="92"/>
      <c r="CXD42" s="92"/>
      <c r="CXE42" s="92"/>
      <c r="CXF42" s="92"/>
      <c r="CXG42" s="92"/>
      <c r="CXH42" s="92"/>
      <c r="CXI42" s="92"/>
      <c r="CXJ42" s="92"/>
      <c r="CXK42" s="92"/>
      <c r="CXL42" s="92"/>
      <c r="CXM42" s="92"/>
      <c r="CXN42" s="92"/>
      <c r="CXO42" s="92"/>
      <c r="CXP42" s="92"/>
      <c r="CXQ42" s="92"/>
      <c r="CXR42" s="92"/>
      <c r="CXS42" s="92"/>
      <c r="CXT42" s="92"/>
      <c r="CXU42" s="92"/>
      <c r="CXV42" s="92"/>
      <c r="CXW42" s="92"/>
      <c r="CXX42" s="92"/>
      <c r="CXY42" s="92"/>
      <c r="CXZ42" s="92"/>
      <c r="CYA42" s="92"/>
      <c r="CYB42" s="92"/>
      <c r="CYC42" s="92"/>
      <c r="CYD42" s="92"/>
      <c r="CYE42" s="92"/>
      <c r="CYF42" s="92"/>
      <c r="CYG42" s="92"/>
      <c r="CYH42" s="92"/>
      <c r="CYI42" s="92"/>
      <c r="CYJ42" s="92"/>
      <c r="CYK42" s="92"/>
      <c r="CYL42" s="92"/>
      <c r="CYM42" s="92"/>
      <c r="CYN42" s="92"/>
      <c r="CYO42" s="92"/>
      <c r="CYP42" s="92"/>
      <c r="CYQ42" s="92"/>
      <c r="CYR42" s="92"/>
      <c r="CYS42" s="92"/>
      <c r="CYT42" s="92"/>
      <c r="CYU42" s="92"/>
      <c r="CYV42" s="92"/>
      <c r="CYW42" s="92"/>
      <c r="CYX42" s="92"/>
      <c r="CYY42" s="92"/>
      <c r="CYZ42" s="92"/>
      <c r="CZA42" s="92"/>
      <c r="CZB42" s="92"/>
      <c r="CZC42" s="92"/>
      <c r="CZD42" s="92"/>
      <c r="CZE42" s="92"/>
      <c r="CZF42" s="92"/>
      <c r="CZG42" s="92"/>
      <c r="CZH42" s="92"/>
      <c r="CZI42" s="92"/>
      <c r="CZJ42" s="92"/>
      <c r="CZK42" s="92"/>
      <c r="CZL42" s="92"/>
      <c r="CZM42" s="92"/>
      <c r="CZN42" s="92"/>
      <c r="CZO42" s="92"/>
      <c r="CZP42" s="92"/>
      <c r="CZQ42" s="92"/>
      <c r="CZR42" s="92"/>
      <c r="CZS42" s="92"/>
      <c r="CZT42" s="92"/>
      <c r="CZU42" s="92"/>
      <c r="CZV42" s="92"/>
      <c r="CZW42" s="92"/>
      <c r="CZX42" s="92"/>
      <c r="CZY42" s="92"/>
      <c r="CZZ42" s="92"/>
      <c r="DAA42" s="92"/>
      <c r="DAB42" s="92"/>
      <c r="DAC42" s="92"/>
      <c r="DAD42" s="92"/>
      <c r="DAE42" s="92"/>
      <c r="DAF42" s="92"/>
      <c r="DAG42" s="92"/>
      <c r="DAH42" s="92"/>
      <c r="DAI42" s="92"/>
      <c r="DAJ42" s="92"/>
      <c r="DAK42" s="92"/>
      <c r="DAL42" s="92"/>
      <c r="DAM42" s="92"/>
      <c r="DAN42" s="92"/>
      <c r="DAO42" s="92"/>
      <c r="DAP42" s="92"/>
      <c r="DAQ42" s="92"/>
      <c r="DAR42" s="92"/>
      <c r="DAS42" s="92"/>
      <c r="DAT42" s="92"/>
      <c r="DAU42" s="92"/>
      <c r="DAV42" s="92"/>
      <c r="DAW42" s="92"/>
      <c r="DAX42" s="92"/>
      <c r="DAY42" s="92"/>
      <c r="DAZ42" s="92"/>
      <c r="DBA42" s="92"/>
      <c r="DBB42" s="92"/>
      <c r="DBC42" s="92"/>
      <c r="DBD42" s="92"/>
      <c r="DBE42" s="92"/>
      <c r="DBF42" s="92"/>
      <c r="DBG42" s="92"/>
      <c r="DBH42" s="92"/>
      <c r="DBI42" s="92"/>
      <c r="DBJ42" s="92"/>
      <c r="DBK42" s="92"/>
      <c r="DBL42" s="92"/>
      <c r="DBM42" s="92"/>
      <c r="DBN42" s="92"/>
      <c r="DBO42" s="92"/>
      <c r="DBP42" s="92"/>
      <c r="DBQ42" s="92"/>
      <c r="DBR42" s="92"/>
      <c r="DBS42" s="92"/>
      <c r="DBT42" s="92"/>
      <c r="DBU42" s="92"/>
      <c r="DBV42" s="92"/>
      <c r="DBW42" s="92"/>
      <c r="DBX42" s="92"/>
      <c r="DBY42" s="92"/>
      <c r="DBZ42" s="92"/>
      <c r="DCA42" s="92"/>
      <c r="DCB42" s="92"/>
      <c r="DCC42" s="92"/>
      <c r="DCD42" s="92"/>
      <c r="DCE42" s="92"/>
      <c r="DCF42" s="92"/>
      <c r="DCG42" s="92"/>
      <c r="DCH42" s="92"/>
      <c r="DCI42" s="92"/>
      <c r="DCJ42" s="92"/>
      <c r="DCK42" s="92"/>
      <c r="DCL42" s="92"/>
      <c r="DCM42" s="92"/>
      <c r="DCN42" s="92"/>
      <c r="DCO42" s="92"/>
      <c r="DCP42" s="92"/>
      <c r="DCQ42" s="92"/>
      <c r="DCR42" s="92"/>
      <c r="DCS42" s="92"/>
      <c r="DCT42" s="92"/>
      <c r="DCU42" s="92"/>
      <c r="DCV42" s="92"/>
      <c r="DCW42" s="92"/>
      <c r="DCX42" s="92"/>
      <c r="DCY42" s="92"/>
      <c r="DCZ42" s="92"/>
      <c r="DDA42" s="92"/>
      <c r="DDB42" s="92"/>
      <c r="DDC42" s="92"/>
      <c r="DDD42" s="92"/>
      <c r="DDE42" s="92"/>
      <c r="DDF42" s="92"/>
      <c r="DDG42" s="92"/>
      <c r="DDH42" s="92"/>
      <c r="DDI42" s="92"/>
      <c r="DDJ42" s="92"/>
      <c r="DDK42" s="92"/>
      <c r="DDL42" s="92"/>
      <c r="DDM42" s="92"/>
      <c r="DDN42" s="92"/>
      <c r="DDO42" s="92"/>
      <c r="DDP42" s="92"/>
      <c r="DDQ42" s="92"/>
      <c r="DDR42" s="92"/>
      <c r="DDS42" s="92"/>
      <c r="DDT42" s="92"/>
      <c r="DDU42" s="92"/>
      <c r="DDV42" s="92"/>
      <c r="DDW42" s="92"/>
      <c r="DDX42" s="92"/>
      <c r="DDY42" s="92"/>
      <c r="DDZ42" s="92"/>
      <c r="DEA42" s="92"/>
      <c r="DEB42" s="92"/>
      <c r="DEC42" s="92"/>
      <c r="DED42" s="92"/>
      <c r="DEE42" s="92"/>
      <c r="DEF42" s="92"/>
      <c r="DEG42" s="92"/>
      <c r="DEH42" s="92"/>
      <c r="DEI42" s="92"/>
      <c r="DEJ42" s="92"/>
      <c r="DEK42" s="92"/>
      <c r="DEL42" s="92"/>
      <c r="DEM42" s="92"/>
      <c r="DEN42" s="92"/>
      <c r="DEO42" s="92"/>
      <c r="DEP42" s="92"/>
      <c r="DEQ42" s="92"/>
      <c r="DER42" s="92"/>
      <c r="DES42" s="92"/>
      <c r="DET42" s="92"/>
      <c r="DEU42" s="92"/>
      <c r="DEV42" s="92"/>
      <c r="DEW42" s="92"/>
      <c r="DEX42" s="92"/>
      <c r="DEY42" s="92"/>
      <c r="DEZ42" s="92"/>
      <c r="DFA42" s="92"/>
      <c r="DFB42" s="92"/>
      <c r="DFC42" s="92"/>
      <c r="DFD42" s="92"/>
      <c r="DFE42" s="92"/>
      <c r="DFF42" s="92"/>
      <c r="DFG42" s="92"/>
      <c r="DFH42" s="92"/>
      <c r="DFI42" s="92"/>
      <c r="DFJ42" s="92"/>
      <c r="DFK42" s="92"/>
      <c r="DFL42" s="92"/>
      <c r="DFM42" s="92"/>
      <c r="DFN42" s="92"/>
      <c r="DFO42" s="92"/>
      <c r="DFP42" s="92"/>
      <c r="DFQ42" s="92"/>
      <c r="DFR42" s="92"/>
      <c r="DFS42" s="92"/>
      <c r="DFT42" s="92"/>
      <c r="DFU42" s="92"/>
      <c r="DFV42" s="92"/>
      <c r="DFW42" s="92"/>
      <c r="DFX42" s="92"/>
      <c r="DFY42" s="92"/>
      <c r="DFZ42" s="92"/>
      <c r="DGA42" s="92"/>
      <c r="DGB42" s="92"/>
      <c r="DGC42" s="92"/>
      <c r="DGD42" s="92"/>
      <c r="DGE42" s="92"/>
      <c r="DGF42" s="92"/>
      <c r="DGG42" s="92"/>
      <c r="DGH42" s="92"/>
      <c r="DGI42" s="92"/>
      <c r="DGJ42" s="92"/>
      <c r="DGK42" s="92"/>
      <c r="DGL42" s="92"/>
      <c r="DGM42" s="92"/>
      <c r="DGN42" s="92"/>
      <c r="DGO42" s="92"/>
      <c r="DGP42" s="92"/>
      <c r="DGQ42" s="92"/>
      <c r="DGR42" s="92"/>
      <c r="DGS42" s="92"/>
      <c r="DGT42" s="92"/>
      <c r="DGU42" s="92"/>
      <c r="DGV42" s="92"/>
      <c r="DGW42" s="92"/>
      <c r="DGX42" s="92"/>
      <c r="DGY42" s="92"/>
      <c r="DGZ42" s="92"/>
      <c r="DHA42" s="92"/>
      <c r="DHB42" s="92"/>
      <c r="DHC42" s="92"/>
      <c r="DHD42" s="92"/>
      <c r="DHE42" s="92"/>
      <c r="DHF42" s="92"/>
      <c r="DHG42" s="92"/>
      <c r="DHH42" s="92"/>
      <c r="DHI42" s="92"/>
      <c r="DHJ42" s="92"/>
      <c r="DHK42" s="92"/>
      <c r="DHL42" s="92"/>
      <c r="DHM42" s="92"/>
      <c r="DHN42" s="92"/>
      <c r="DHO42" s="92"/>
      <c r="DHP42" s="92"/>
      <c r="DHQ42" s="92"/>
      <c r="DHR42" s="92"/>
      <c r="DHS42" s="92"/>
      <c r="DHT42" s="92"/>
      <c r="DHU42" s="92"/>
      <c r="DHV42" s="92"/>
      <c r="DHW42" s="92"/>
      <c r="DHX42" s="92"/>
      <c r="DHY42" s="92"/>
      <c r="DHZ42" s="92"/>
      <c r="DIA42" s="92"/>
      <c r="DIB42" s="92"/>
      <c r="DIC42" s="92"/>
      <c r="DID42" s="92"/>
      <c r="DIE42" s="92"/>
      <c r="DIF42" s="92"/>
      <c r="DIG42" s="92"/>
      <c r="DIH42" s="92"/>
      <c r="DII42" s="92"/>
      <c r="DIJ42" s="92"/>
      <c r="DIK42" s="92"/>
      <c r="DIL42" s="92"/>
      <c r="DIM42" s="92"/>
      <c r="DIN42" s="92"/>
      <c r="DIO42" s="92"/>
      <c r="DIP42" s="92"/>
      <c r="DIQ42" s="92"/>
      <c r="DIR42" s="92"/>
      <c r="DIS42" s="92"/>
      <c r="DIT42" s="92"/>
      <c r="DIU42" s="92"/>
      <c r="DIV42" s="92"/>
      <c r="DIW42" s="92"/>
      <c r="DIX42" s="92"/>
      <c r="DIY42" s="92"/>
      <c r="DIZ42" s="92"/>
      <c r="DJA42" s="92"/>
      <c r="DJB42" s="92"/>
      <c r="DJC42" s="92"/>
      <c r="DJD42" s="92"/>
      <c r="DJE42" s="92"/>
      <c r="DJF42" s="92"/>
      <c r="DJG42" s="92"/>
      <c r="DJH42" s="92"/>
      <c r="DJI42" s="92"/>
      <c r="DJJ42" s="92"/>
      <c r="DJK42" s="92"/>
      <c r="DJL42" s="92"/>
      <c r="DJM42" s="92"/>
      <c r="DJN42" s="92"/>
      <c r="DJO42" s="92"/>
      <c r="DJP42" s="92"/>
      <c r="DJQ42" s="92"/>
      <c r="DJR42" s="92"/>
      <c r="DJS42" s="92"/>
      <c r="DJT42" s="92"/>
      <c r="DJU42" s="92"/>
      <c r="DJV42" s="92"/>
      <c r="DJW42" s="92"/>
      <c r="DJX42" s="92"/>
      <c r="DJY42" s="92"/>
      <c r="DJZ42" s="92"/>
      <c r="DKA42" s="92"/>
      <c r="DKB42" s="92"/>
      <c r="DKC42" s="92"/>
      <c r="DKD42" s="92"/>
      <c r="DKE42" s="92"/>
      <c r="DKF42" s="92"/>
      <c r="DKG42" s="92"/>
      <c r="DKH42" s="92"/>
      <c r="DKI42" s="92"/>
      <c r="DKJ42" s="92"/>
      <c r="DKK42" s="92"/>
      <c r="DKL42" s="92"/>
      <c r="DKM42" s="92"/>
      <c r="DKN42" s="92"/>
      <c r="DKO42" s="92"/>
      <c r="DKP42" s="92"/>
      <c r="DKQ42" s="92"/>
      <c r="DKR42" s="92"/>
      <c r="DKS42" s="92"/>
      <c r="DKT42" s="92"/>
      <c r="DKU42" s="92"/>
      <c r="DKV42" s="92"/>
      <c r="DKW42" s="92"/>
      <c r="DKX42" s="92"/>
      <c r="DKY42" s="92"/>
      <c r="DKZ42" s="92"/>
      <c r="DLA42" s="92"/>
      <c r="DLB42" s="92"/>
      <c r="DLC42" s="92"/>
      <c r="DLD42" s="92"/>
      <c r="DLE42" s="92"/>
      <c r="DLF42" s="92"/>
      <c r="DLG42" s="92"/>
      <c r="DLH42" s="92"/>
      <c r="DLI42" s="92"/>
      <c r="DLJ42" s="92"/>
      <c r="DLK42" s="92"/>
      <c r="DLL42" s="92"/>
      <c r="DLM42" s="92"/>
      <c r="DLN42" s="92"/>
      <c r="DLO42" s="92"/>
      <c r="DLP42" s="92"/>
      <c r="DLQ42" s="92"/>
      <c r="DLR42" s="92"/>
      <c r="DLS42" s="92"/>
      <c r="DLT42" s="92"/>
      <c r="DLU42" s="92"/>
      <c r="DLV42" s="92"/>
      <c r="DLW42" s="92"/>
      <c r="DLX42" s="92"/>
      <c r="DLY42" s="92"/>
      <c r="DLZ42" s="92"/>
      <c r="DMA42" s="92"/>
      <c r="DMB42" s="92"/>
      <c r="DMC42" s="92"/>
      <c r="DMD42" s="92"/>
      <c r="DME42" s="92"/>
      <c r="DMF42" s="92"/>
      <c r="DMG42" s="92"/>
      <c r="DMH42" s="92"/>
      <c r="DMI42" s="92"/>
      <c r="DMJ42" s="92"/>
      <c r="DMK42" s="92"/>
      <c r="DML42" s="92"/>
      <c r="DMM42" s="92"/>
      <c r="DMN42" s="92"/>
      <c r="DMO42" s="92"/>
      <c r="DMP42" s="92"/>
      <c r="DMQ42" s="92"/>
      <c r="DMR42" s="92"/>
      <c r="DMS42" s="92"/>
      <c r="DMT42" s="92"/>
      <c r="DMU42" s="92"/>
      <c r="DMV42" s="92"/>
      <c r="DMW42" s="92"/>
      <c r="DMX42" s="92"/>
      <c r="DMY42" s="92"/>
      <c r="DMZ42" s="92"/>
      <c r="DNA42" s="92"/>
      <c r="DNB42" s="92"/>
      <c r="DNC42" s="92"/>
      <c r="DND42" s="92"/>
      <c r="DNE42" s="92"/>
      <c r="DNF42" s="92"/>
      <c r="DNG42" s="92"/>
      <c r="DNH42" s="92"/>
      <c r="DNI42" s="92"/>
      <c r="DNJ42" s="92"/>
      <c r="DNK42" s="92"/>
      <c r="DNL42" s="92"/>
      <c r="DNM42" s="92"/>
      <c r="DNN42" s="92"/>
      <c r="DNO42" s="92"/>
      <c r="DNP42" s="92"/>
      <c r="DNQ42" s="92"/>
      <c r="DNR42" s="92"/>
      <c r="DNS42" s="92"/>
      <c r="DNT42" s="92"/>
      <c r="DNU42" s="92"/>
      <c r="DNV42" s="92"/>
      <c r="DNW42" s="92"/>
      <c r="DNX42" s="92"/>
      <c r="DNY42" s="92"/>
      <c r="DNZ42" s="92"/>
      <c r="DOA42" s="92"/>
      <c r="DOB42" s="92"/>
      <c r="DOC42" s="92"/>
      <c r="DOD42" s="92"/>
      <c r="DOE42" s="92"/>
      <c r="DOF42" s="92"/>
      <c r="DOG42" s="92"/>
      <c r="DOH42" s="92"/>
      <c r="DOI42" s="92"/>
      <c r="DOJ42" s="92"/>
      <c r="DOK42" s="92"/>
      <c r="DOL42" s="92"/>
      <c r="DOM42" s="92"/>
      <c r="DON42" s="92"/>
      <c r="DOO42" s="92"/>
      <c r="DOP42" s="92"/>
      <c r="DOQ42" s="92"/>
      <c r="DOR42" s="92"/>
      <c r="DOS42" s="92"/>
      <c r="DOT42" s="92"/>
      <c r="DOU42" s="92"/>
      <c r="DOV42" s="92"/>
      <c r="DOW42" s="92"/>
      <c r="DOX42" s="92"/>
      <c r="DOY42" s="92"/>
      <c r="DOZ42" s="92"/>
      <c r="DPA42" s="92"/>
      <c r="DPB42" s="92"/>
      <c r="DPC42" s="92"/>
      <c r="DPD42" s="92"/>
      <c r="DPE42" s="92"/>
      <c r="DPF42" s="92"/>
      <c r="DPG42" s="92"/>
      <c r="DPH42" s="92"/>
      <c r="DPI42" s="92"/>
      <c r="DPJ42" s="92"/>
      <c r="DPK42" s="92"/>
      <c r="DPL42" s="92"/>
      <c r="DPM42" s="92"/>
      <c r="DPN42" s="92"/>
      <c r="DPO42" s="92"/>
      <c r="DPP42" s="92"/>
      <c r="DPQ42" s="92"/>
      <c r="DPR42" s="92"/>
      <c r="DPS42" s="92"/>
      <c r="DPT42" s="92"/>
      <c r="DPU42" s="92"/>
      <c r="DPV42" s="92"/>
      <c r="DPW42" s="92"/>
      <c r="DPX42" s="92"/>
      <c r="DPY42" s="92"/>
      <c r="DPZ42" s="92"/>
      <c r="DQA42" s="92"/>
      <c r="DQB42" s="92"/>
      <c r="DQC42" s="92"/>
      <c r="DQD42" s="92"/>
      <c r="DQE42" s="92"/>
      <c r="DQF42" s="92"/>
      <c r="DQG42" s="92"/>
      <c r="DQH42" s="92"/>
      <c r="DQI42" s="92"/>
      <c r="DQJ42" s="92"/>
      <c r="DQK42" s="92"/>
      <c r="DQL42" s="92"/>
      <c r="DQM42" s="92"/>
      <c r="DQN42" s="92"/>
      <c r="DQO42" s="92"/>
      <c r="DQP42" s="92"/>
      <c r="DQQ42" s="92"/>
      <c r="DQR42" s="92"/>
      <c r="DQS42" s="92"/>
      <c r="DQT42" s="92"/>
      <c r="DQU42" s="92"/>
      <c r="DQV42" s="92"/>
      <c r="DQW42" s="92"/>
      <c r="DQX42" s="92"/>
      <c r="DQY42" s="92"/>
      <c r="DQZ42" s="92"/>
      <c r="DRA42" s="92"/>
      <c r="DRB42" s="92"/>
      <c r="DRC42" s="92"/>
      <c r="DRD42" s="92"/>
      <c r="DRE42" s="92"/>
      <c r="DRF42" s="92"/>
      <c r="DRG42" s="92"/>
      <c r="DRH42" s="92"/>
      <c r="DRI42" s="92"/>
      <c r="DRJ42" s="92"/>
      <c r="DRK42" s="92"/>
      <c r="DRL42" s="92"/>
      <c r="DRM42" s="92"/>
      <c r="DRN42" s="92"/>
      <c r="DRO42" s="92"/>
      <c r="DRP42" s="92"/>
      <c r="DRQ42" s="92"/>
      <c r="DRR42" s="92"/>
      <c r="DRS42" s="92"/>
      <c r="DRT42" s="92"/>
      <c r="DRU42" s="92"/>
      <c r="DRV42" s="92"/>
      <c r="DRW42" s="92"/>
      <c r="DRX42" s="92"/>
      <c r="DRY42" s="92"/>
      <c r="DRZ42" s="92"/>
      <c r="DSA42" s="92"/>
      <c r="DSB42" s="92"/>
      <c r="DSC42" s="92"/>
      <c r="DSD42" s="92"/>
      <c r="DSE42" s="92"/>
      <c r="DSF42" s="92"/>
      <c r="DSG42" s="92"/>
      <c r="DSH42" s="92"/>
      <c r="DSI42" s="92"/>
      <c r="DSJ42" s="92"/>
      <c r="DSK42" s="92"/>
      <c r="DSL42" s="92"/>
      <c r="DSM42" s="92"/>
      <c r="DSN42" s="92"/>
      <c r="DSO42" s="92"/>
      <c r="DSP42" s="92"/>
      <c r="DSQ42" s="92"/>
      <c r="DSR42" s="92"/>
      <c r="DSS42" s="92"/>
      <c r="DST42" s="92"/>
      <c r="DSU42" s="92"/>
      <c r="DSV42" s="92"/>
      <c r="DSW42" s="92"/>
      <c r="DSX42" s="92"/>
      <c r="DSY42" s="92"/>
      <c r="DSZ42" s="92"/>
      <c r="DTA42" s="92"/>
      <c r="DTB42" s="92"/>
      <c r="DTC42" s="92"/>
      <c r="DTD42" s="92"/>
      <c r="DTE42" s="92"/>
      <c r="DTF42" s="92"/>
      <c r="DTG42" s="92"/>
      <c r="DTH42" s="92"/>
      <c r="DTI42" s="92"/>
      <c r="DTJ42" s="92"/>
      <c r="DTK42" s="92"/>
      <c r="DTL42" s="92"/>
      <c r="DTM42" s="92"/>
      <c r="DTN42" s="92"/>
      <c r="DTO42" s="92"/>
      <c r="DTP42" s="92"/>
      <c r="DTQ42" s="92"/>
      <c r="DTR42" s="92"/>
      <c r="DTS42" s="92"/>
      <c r="DTT42" s="92"/>
      <c r="DTU42" s="92"/>
      <c r="DTV42" s="92"/>
      <c r="DTW42" s="92"/>
      <c r="DTX42" s="92"/>
      <c r="DTY42" s="92"/>
      <c r="DTZ42" s="92"/>
      <c r="DUA42" s="92"/>
      <c r="DUB42" s="92"/>
      <c r="DUC42" s="92"/>
      <c r="DUD42" s="92"/>
      <c r="DUE42" s="92"/>
      <c r="DUF42" s="92"/>
      <c r="DUG42" s="92"/>
      <c r="DUH42" s="92"/>
      <c r="DUI42" s="92"/>
      <c r="DUJ42" s="92"/>
      <c r="DUK42" s="92"/>
      <c r="DUL42" s="92"/>
      <c r="DUM42" s="92"/>
      <c r="DUN42" s="92"/>
      <c r="DUO42" s="92"/>
      <c r="DUP42" s="92"/>
      <c r="DUQ42" s="92"/>
      <c r="DUR42" s="92"/>
      <c r="DUS42" s="92"/>
      <c r="DUT42" s="92"/>
      <c r="DUU42" s="92"/>
      <c r="DUV42" s="92"/>
      <c r="DUW42" s="92"/>
      <c r="DUX42" s="92"/>
      <c r="DUY42" s="92"/>
      <c r="DUZ42" s="92"/>
      <c r="DVA42" s="92"/>
      <c r="DVB42" s="92"/>
      <c r="DVC42" s="92"/>
      <c r="DVD42" s="92"/>
      <c r="DVE42" s="92"/>
      <c r="DVF42" s="92"/>
      <c r="DVG42" s="92"/>
      <c r="DVH42" s="92"/>
      <c r="DVI42" s="92"/>
      <c r="DVJ42" s="92"/>
      <c r="DVK42" s="92"/>
      <c r="DVL42" s="92"/>
      <c r="DVM42" s="92"/>
      <c r="DVN42" s="92"/>
      <c r="DVO42" s="92"/>
      <c r="DVP42" s="92"/>
      <c r="DVQ42" s="92"/>
      <c r="DVR42" s="92"/>
      <c r="DVS42" s="92"/>
      <c r="DVT42" s="92"/>
      <c r="DVU42" s="92"/>
      <c r="DVV42" s="92"/>
      <c r="DVW42" s="92"/>
      <c r="DVX42" s="92"/>
      <c r="DVY42" s="92"/>
      <c r="DVZ42" s="92"/>
      <c r="DWA42" s="92"/>
      <c r="DWB42" s="92"/>
      <c r="DWC42" s="92"/>
      <c r="DWD42" s="92"/>
      <c r="DWE42" s="92"/>
      <c r="DWF42" s="92"/>
      <c r="DWG42" s="92"/>
      <c r="DWH42" s="92"/>
      <c r="DWI42" s="92"/>
      <c r="DWJ42" s="92"/>
      <c r="DWK42" s="92"/>
      <c r="DWL42" s="92"/>
      <c r="DWM42" s="92"/>
      <c r="DWN42" s="92"/>
      <c r="DWO42" s="92"/>
      <c r="DWP42" s="92"/>
      <c r="DWQ42" s="92"/>
      <c r="DWR42" s="92"/>
      <c r="DWS42" s="92"/>
      <c r="DWT42" s="92"/>
      <c r="DWU42" s="92"/>
      <c r="DWV42" s="92"/>
      <c r="DWW42" s="92"/>
      <c r="DWX42" s="92"/>
      <c r="DWY42" s="92"/>
      <c r="DWZ42" s="92"/>
      <c r="DXA42" s="92"/>
      <c r="DXB42" s="92"/>
      <c r="DXC42" s="92"/>
      <c r="DXD42" s="92"/>
      <c r="DXE42" s="92"/>
      <c r="DXF42" s="92"/>
      <c r="DXG42" s="92"/>
      <c r="DXH42" s="92"/>
      <c r="DXI42" s="92"/>
      <c r="DXJ42" s="92"/>
      <c r="DXK42" s="92"/>
      <c r="DXL42" s="92"/>
      <c r="DXM42" s="92"/>
      <c r="DXN42" s="92"/>
      <c r="DXO42" s="92"/>
      <c r="DXP42" s="92"/>
      <c r="DXQ42" s="92"/>
      <c r="DXR42" s="92"/>
      <c r="DXS42" s="92"/>
      <c r="DXT42" s="92"/>
      <c r="DXU42" s="92"/>
      <c r="DXV42" s="92"/>
      <c r="DXW42" s="92"/>
      <c r="DXX42" s="92"/>
      <c r="DXY42" s="92"/>
      <c r="DXZ42" s="92"/>
      <c r="DYA42" s="92"/>
      <c r="DYB42" s="92"/>
      <c r="DYC42" s="92"/>
      <c r="DYD42" s="92"/>
      <c r="DYE42" s="92"/>
      <c r="DYF42" s="92"/>
      <c r="DYG42" s="92"/>
      <c r="DYH42" s="92"/>
      <c r="DYI42" s="92"/>
      <c r="DYJ42" s="92"/>
      <c r="DYK42" s="92"/>
      <c r="DYL42" s="92"/>
      <c r="DYM42" s="92"/>
      <c r="DYN42" s="92"/>
      <c r="DYO42" s="92"/>
      <c r="DYP42" s="92"/>
      <c r="DYQ42" s="92"/>
      <c r="DYR42" s="92"/>
      <c r="DYS42" s="92"/>
      <c r="DYT42" s="92"/>
      <c r="DYU42" s="92"/>
      <c r="DYV42" s="92"/>
      <c r="DYW42" s="92"/>
      <c r="DYX42" s="92"/>
      <c r="DYY42" s="92"/>
      <c r="DYZ42" s="92"/>
      <c r="DZA42" s="92"/>
      <c r="DZB42" s="92"/>
      <c r="DZC42" s="92"/>
      <c r="DZD42" s="92"/>
      <c r="DZE42" s="92"/>
      <c r="DZF42" s="92"/>
      <c r="DZG42" s="92"/>
      <c r="DZH42" s="92"/>
      <c r="DZI42" s="92"/>
      <c r="DZJ42" s="92"/>
      <c r="DZK42" s="92"/>
      <c r="DZL42" s="92"/>
      <c r="DZM42" s="92"/>
      <c r="DZN42" s="92"/>
      <c r="DZO42" s="92"/>
      <c r="DZP42" s="92"/>
      <c r="DZQ42" s="92"/>
      <c r="DZR42" s="92"/>
      <c r="DZS42" s="92"/>
      <c r="DZT42" s="92"/>
      <c r="DZU42" s="92"/>
      <c r="DZV42" s="92"/>
      <c r="DZW42" s="92"/>
      <c r="DZX42" s="92"/>
      <c r="DZY42" s="92"/>
      <c r="DZZ42" s="92"/>
      <c r="EAA42" s="92"/>
      <c r="EAB42" s="92"/>
      <c r="EAC42" s="92"/>
      <c r="EAD42" s="92"/>
      <c r="EAE42" s="92"/>
      <c r="EAF42" s="92"/>
      <c r="EAG42" s="92"/>
      <c r="EAH42" s="92"/>
      <c r="EAI42" s="92"/>
      <c r="EAJ42" s="92"/>
      <c r="EAK42" s="92"/>
      <c r="EAL42" s="92"/>
      <c r="EAM42" s="92"/>
      <c r="EAN42" s="92"/>
      <c r="EAO42" s="92"/>
      <c r="EAP42" s="92"/>
      <c r="EAQ42" s="92"/>
      <c r="EAR42" s="92"/>
      <c r="EAS42" s="92"/>
      <c r="EAT42" s="92"/>
      <c r="EAU42" s="92"/>
      <c r="EAV42" s="92"/>
      <c r="EAW42" s="92"/>
      <c r="EAX42" s="92"/>
      <c r="EAY42" s="92"/>
      <c r="EAZ42" s="92"/>
      <c r="EBA42" s="92"/>
      <c r="EBB42" s="92"/>
      <c r="EBC42" s="92"/>
      <c r="EBD42" s="92"/>
      <c r="EBE42" s="92"/>
      <c r="EBF42" s="92"/>
      <c r="EBG42" s="92"/>
      <c r="EBH42" s="92"/>
      <c r="EBI42" s="92"/>
      <c r="EBJ42" s="92"/>
      <c r="EBK42" s="92"/>
      <c r="EBL42" s="92"/>
      <c r="EBM42" s="92"/>
      <c r="EBN42" s="92"/>
      <c r="EBO42" s="92"/>
      <c r="EBP42" s="92"/>
      <c r="EBQ42" s="92"/>
      <c r="EBR42" s="92"/>
      <c r="EBS42" s="92"/>
      <c r="EBT42" s="92"/>
      <c r="EBU42" s="92"/>
      <c r="EBV42" s="92"/>
      <c r="EBW42" s="92"/>
      <c r="EBX42" s="92"/>
      <c r="EBY42" s="92"/>
      <c r="EBZ42" s="92"/>
      <c r="ECA42" s="92"/>
      <c r="ECB42" s="92"/>
      <c r="ECC42" s="92"/>
      <c r="ECD42" s="92"/>
      <c r="ECE42" s="92"/>
      <c r="ECF42" s="92"/>
      <c r="ECG42" s="92"/>
      <c r="ECH42" s="92"/>
      <c r="ECI42" s="92"/>
      <c r="ECJ42" s="92"/>
      <c r="ECK42" s="92"/>
      <c r="ECL42" s="92"/>
      <c r="ECM42" s="92"/>
      <c r="ECN42" s="92"/>
      <c r="ECO42" s="92"/>
      <c r="ECP42" s="92"/>
      <c r="ECQ42" s="92"/>
      <c r="ECR42" s="92"/>
      <c r="ECS42" s="92"/>
      <c r="ECT42" s="92"/>
      <c r="ECU42" s="92"/>
      <c r="ECV42" s="92"/>
      <c r="ECW42" s="92"/>
      <c r="ECX42" s="92"/>
      <c r="ECY42" s="92"/>
      <c r="ECZ42" s="92"/>
      <c r="EDA42" s="92"/>
      <c r="EDB42" s="92"/>
      <c r="EDC42" s="92"/>
      <c r="EDD42" s="92"/>
      <c r="EDE42" s="92"/>
      <c r="EDF42" s="92"/>
      <c r="EDG42" s="92"/>
      <c r="EDH42" s="92"/>
      <c r="EDI42" s="92"/>
      <c r="EDJ42" s="92"/>
      <c r="EDK42" s="92"/>
      <c r="EDL42" s="92"/>
      <c r="EDM42" s="92"/>
      <c r="EDN42" s="92"/>
      <c r="EDO42" s="92"/>
      <c r="EDP42" s="92"/>
      <c r="EDQ42" s="92"/>
      <c r="EDR42" s="92"/>
      <c r="EDS42" s="92"/>
      <c r="EDT42" s="92"/>
      <c r="EDU42" s="92"/>
      <c r="EDV42" s="92"/>
      <c r="EDW42" s="92"/>
      <c r="EDX42" s="92"/>
      <c r="EDY42" s="92"/>
      <c r="EDZ42" s="92"/>
      <c r="EEA42" s="92"/>
      <c r="EEB42" s="92"/>
      <c r="EEC42" s="92"/>
      <c r="EED42" s="92"/>
      <c r="EEE42" s="92"/>
      <c r="EEF42" s="92"/>
      <c r="EEG42" s="92"/>
      <c r="EEH42" s="92"/>
      <c r="EEI42" s="92"/>
      <c r="EEJ42" s="92"/>
      <c r="EEK42" s="92"/>
      <c r="EEL42" s="92"/>
      <c r="EEM42" s="92"/>
      <c r="EEN42" s="92"/>
      <c r="EEO42" s="92"/>
      <c r="EEP42" s="92"/>
      <c r="EEQ42" s="92"/>
      <c r="EER42" s="92"/>
      <c r="EES42" s="92"/>
      <c r="EET42" s="92"/>
      <c r="EEU42" s="92"/>
      <c r="EEV42" s="92"/>
      <c r="EEW42" s="92"/>
      <c r="EEX42" s="92"/>
      <c r="EEY42" s="92"/>
      <c r="EEZ42" s="92"/>
      <c r="EFA42" s="92"/>
      <c r="EFB42" s="92"/>
      <c r="EFC42" s="92"/>
      <c r="EFD42" s="92"/>
      <c r="EFE42" s="92"/>
      <c r="EFF42" s="92"/>
      <c r="EFG42" s="92"/>
      <c r="EFH42" s="92"/>
      <c r="EFI42" s="92"/>
      <c r="EFJ42" s="92"/>
      <c r="EFK42" s="92"/>
      <c r="EFL42" s="92"/>
      <c r="EFM42" s="92"/>
      <c r="EFN42" s="92"/>
      <c r="EFO42" s="92"/>
      <c r="EFP42" s="92"/>
      <c r="EFQ42" s="92"/>
      <c r="EFR42" s="92"/>
      <c r="EFS42" s="92"/>
      <c r="EFT42" s="92"/>
      <c r="EFU42" s="92"/>
      <c r="EFV42" s="92"/>
      <c r="EFW42" s="92"/>
      <c r="EFX42" s="92"/>
      <c r="EFY42" s="92"/>
      <c r="EFZ42" s="92"/>
      <c r="EGA42" s="92"/>
      <c r="EGB42" s="92"/>
      <c r="EGC42" s="92"/>
      <c r="EGD42" s="92"/>
      <c r="EGE42" s="92"/>
      <c r="EGF42" s="92"/>
      <c r="EGG42" s="92"/>
      <c r="EGH42" s="92"/>
      <c r="EGI42" s="92"/>
      <c r="EGJ42" s="92"/>
      <c r="EGK42" s="92"/>
      <c r="EGL42" s="92"/>
      <c r="EGM42" s="92"/>
      <c r="EGN42" s="92"/>
      <c r="EGO42" s="92"/>
      <c r="EGP42" s="92"/>
      <c r="EGQ42" s="92"/>
      <c r="EGR42" s="92"/>
      <c r="EGS42" s="92"/>
      <c r="EGT42" s="92"/>
      <c r="EGU42" s="92"/>
      <c r="EGV42" s="92"/>
      <c r="EGW42" s="92"/>
      <c r="EGX42" s="92"/>
      <c r="EGY42" s="92"/>
      <c r="EGZ42" s="92"/>
      <c r="EHA42" s="92"/>
      <c r="EHB42" s="92"/>
      <c r="EHC42" s="92"/>
      <c r="EHD42" s="92"/>
      <c r="EHE42" s="92"/>
      <c r="EHF42" s="92"/>
      <c r="EHG42" s="92"/>
      <c r="EHH42" s="92"/>
      <c r="EHI42" s="92"/>
      <c r="EHJ42" s="92"/>
      <c r="EHK42" s="92"/>
      <c r="EHL42" s="92"/>
      <c r="EHM42" s="92"/>
      <c r="EHN42" s="92"/>
      <c r="EHO42" s="92"/>
      <c r="EHP42" s="92"/>
      <c r="EHQ42" s="92"/>
      <c r="EHR42" s="92"/>
      <c r="EHS42" s="92"/>
      <c r="EHT42" s="92"/>
      <c r="EHU42" s="92"/>
      <c r="EHV42" s="92"/>
      <c r="EHW42" s="92"/>
      <c r="EHX42" s="92"/>
      <c r="EHY42" s="92"/>
      <c r="EHZ42" s="92"/>
      <c r="EIA42" s="92"/>
      <c r="EIB42" s="92"/>
      <c r="EIC42" s="92"/>
      <c r="EID42" s="92"/>
      <c r="EIE42" s="92"/>
      <c r="EIF42" s="92"/>
      <c r="EIG42" s="92"/>
      <c r="EIH42" s="92"/>
      <c r="EII42" s="92"/>
      <c r="EIJ42" s="92"/>
      <c r="EIK42" s="92"/>
      <c r="EIL42" s="92"/>
      <c r="EIM42" s="92"/>
      <c r="EIN42" s="92"/>
      <c r="EIO42" s="92"/>
      <c r="EIP42" s="92"/>
      <c r="EIQ42" s="92"/>
      <c r="EIR42" s="92"/>
      <c r="EIS42" s="92"/>
      <c r="EIT42" s="92"/>
      <c r="EIU42" s="92"/>
      <c r="EIV42" s="92"/>
      <c r="EIW42" s="92"/>
      <c r="EIX42" s="92"/>
      <c r="EIY42" s="92"/>
      <c r="EIZ42" s="92"/>
      <c r="EJA42" s="92"/>
      <c r="EJB42" s="92"/>
      <c r="EJC42" s="92"/>
      <c r="EJD42" s="92"/>
      <c r="EJE42" s="92"/>
      <c r="EJF42" s="92"/>
      <c r="EJG42" s="92"/>
      <c r="EJH42" s="92"/>
      <c r="EJI42" s="92"/>
      <c r="EJJ42" s="92"/>
      <c r="EJK42" s="92"/>
      <c r="EJL42" s="92"/>
      <c r="EJM42" s="92"/>
      <c r="EJN42" s="92"/>
      <c r="EJO42" s="92"/>
      <c r="EJP42" s="92"/>
      <c r="EJQ42" s="92"/>
      <c r="EJR42" s="92"/>
      <c r="EJS42" s="92"/>
      <c r="EJT42" s="92"/>
      <c r="EJU42" s="92"/>
      <c r="EJV42" s="92"/>
      <c r="EJW42" s="92"/>
      <c r="EJX42" s="92"/>
      <c r="EJY42" s="92"/>
      <c r="EJZ42" s="92"/>
      <c r="EKA42" s="92"/>
      <c r="EKB42" s="92"/>
      <c r="EKC42" s="92"/>
      <c r="EKD42" s="92"/>
      <c r="EKE42" s="92"/>
      <c r="EKF42" s="92"/>
      <c r="EKG42" s="92"/>
      <c r="EKH42" s="92"/>
      <c r="EKI42" s="92"/>
      <c r="EKJ42" s="92"/>
      <c r="EKK42" s="92"/>
      <c r="EKL42" s="92"/>
      <c r="EKM42" s="92"/>
      <c r="EKN42" s="92"/>
      <c r="EKO42" s="92"/>
      <c r="EKP42" s="92"/>
      <c r="EKQ42" s="92"/>
      <c r="EKR42" s="92"/>
      <c r="EKS42" s="92"/>
      <c r="EKT42" s="92"/>
      <c r="EKU42" s="92"/>
      <c r="EKV42" s="92"/>
      <c r="EKW42" s="92"/>
      <c r="EKX42" s="92"/>
      <c r="EKY42" s="92"/>
      <c r="EKZ42" s="92"/>
      <c r="ELA42" s="92"/>
      <c r="ELB42" s="92"/>
      <c r="ELC42" s="92"/>
      <c r="ELD42" s="92"/>
      <c r="ELE42" s="92"/>
      <c r="ELF42" s="92"/>
      <c r="ELG42" s="92"/>
      <c r="ELH42" s="92"/>
      <c r="ELI42" s="92"/>
      <c r="ELJ42" s="92"/>
      <c r="ELK42" s="92"/>
      <c r="ELL42" s="92"/>
      <c r="ELM42" s="92"/>
      <c r="ELN42" s="92"/>
      <c r="ELO42" s="92"/>
      <c r="ELP42" s="92"/>
      <c r="ELQ42" s="92"/>
      <c r="ELR42" s="92"/>
      <c r="ELS42" s="92"/>
      <c r="ELT42" s="92"/>
      <c r="ELU42" s="92"/>
      <c r="ELV42" s="92"/>
      <c r="ELW42" s="92"/>
      <c r="ELX42" s="92"/>
      <c r="ELY42" s="92"/>
      <c r="ELZ42" s="92"/>
      <c r="EMA42" s="92"/>
      <c r="EMB42" s="92"/>
      <c r="EMC42" s="92"/>
      <c r="EMD42" s="92"/>
      <c r="EME42" s="92"/>
      <c r="EMF42" s="92"/>
      <c r="EMG42" s="92"/>
      <c r="EMH42" s="92"/>
      <c r="EMI42" s="92"/>
      <c r="EMJ42" s="92"/>
      <c r="EMK42" s="92"/>
      <c r="EML42" s="92"/>
      <c r="EMM42" s="92"/>
      <c r="EMN42" s="92"/>
      <c r="EMO42" s="92"/>
      <c r="EMP42" s="92"/>
      <c r="EMQ42" s="92"/>
      <c r="EMR42" s="92"/>
      <c r="EMS42" s="92"/>
      <c r="EMT42" s="92"/>
      <c r="EMU42" s="92"/>
      <c r="EMV42" s="92"/>
      <c r="EMW42" s="92"/>
      <c r="EMX42" s="92"/>
      <c r="EMY42" s="92"/>
      <c r="EMZ42" s="92"/>
      <c r="ENA42" s="92"/>
      <c r="ENB42" s="92"/>
      <c r="ENC42" s="92"/>
      <c r="END42" s="92"/>
      <c r="ENE42" s="92"/>
      <c r="ENF42" s="92"/>
      <c r="ENG42" s="92"/>
      <c r="ENH42" s="92"/>
      <c r="ENI42" s="92"/>
      <c r="ENJ42" s="92"/>
      <c r="ENK42" s="92"/>
      <c r="ENL42" s="92"/>
      <c r="ENM42" s="92"/>
      <c r="ENN42" s="92"/>
      <c r="ENO42" s="92"/>
      <c r="ENP42" s="92"/>
      <c r="ENQ42" s="92"/>
      <c r="ENR42" s="92"/>
      <c r="ENS42" s="92"/>
      <c r="ENT42" s="92"/>
      <c r="ENU42" s="92"/>
      <c r="ENV42" s="92"/>
      <c r="ENW42" s="92"/>
      <c r="ENX42" s="92"/>
      <c r="ENY42" s="92"/>
      <c r="ENZ42" s="92"/>
      <c r="EOA42" s="92"/>
      <c r="EOB42" s="92"/>
      <c r="EOC42" s="92"/>
      <c r="EOD42" s="92"/>
      <c r="EOE42" s="92"/>
      <c r="EOF42" s="92"/>
      <c r="EOG42" s="92"/>
      <c r="EOH42" s="92"/>
      <c r="EOI42" s="92"/>
      <c r="EOJ42" s="92"/>
      <c r="EOK42" s="92"/>
      <c r="EOL42" s="92"/>
      <c r="EOM42" s="92"/>
      <c r="EON42" s="92"/>
      <c r="EOO42" s="92"/>
      <c r="EOP42" s="92"/>
      <c r="EOQ42" s="92"/>
      <c r="EOR42" s="92"/>
      <c r="EOS42" s="92"/>
      <c r="EOT42" s="92"/>
      <c r="EOU42" s="92"/>
      <c r="EOV42" s="92"/>
      <c r="EOW42" s="92"/>
      <c r="EOX42" s="92"/>
      <c r="EOY42" s="92"/>
      <c r="EOZ42" s="92"/>
      <c r="EPA42" s="92"/>
      <c r="EPB42" s="92"/>
      <c r="EPC42" s="92"/>
      <c r="EPD42" s="92"/>
      <c r="EPE42" s="92"/>
      <c r="EPF42" s="92"/>
      <c r="EPG42" s="92"/>
      <c r="EPH42" s="92"/>
      <c r="EPI42" s="92"/>
      <c r="EPJ42" s="92"/>
      <c r="EPK42" s="92"/>
      <c r="EPL42" s="92"/>
      <c r="EPM42" s="92"/>
      <c r="EPN42" s="92"/>
      <c r="EPO42" s="92"/>
      <c r="EPP42" s="92"/>
      <c r="EPQ42" s="92"/>
      <c r="EPR42" s="92"/>
      <c r="EPS42" s="92"/>
      <c r="EPT42" s="92"/>
      <c r="EPU42" s="92"/>
      <c r="EPV42" s="92"/>
      <c r="EPW42" s="92"/>
      <c r="EPX42" s="92"/>
      <c r="EPY42" s="92"/>
      <c r="EPZ42" s="92"/>
      <c r="EQA42" s="92"/>
      <c r="EQB42" s="92"/>
      <c r="EQC42" s="92"/>
      <c r="EQD42" s="92"/>
      <c r="EQE42" s="92"/>
      <c r="EQF42" s="92"/>
      <c r="EQG42" s="92"/>
      <c r="EQH42" s="92"/>
      <c r="EQI42" s="92"/>
      <c r="EQJ42" s="92"/>
      <c r="EQK42" s="92"/>
      <c r="EQL42" s="92"/>
      <c r="EQM42" s="92"/>
      <c r="EQN42" s="92"/>
      <c r="EQO42" s="92"/>
      <c r="EQP42" s="92"/>
      <c r="EQQ42" s="92"/>
      <c r="EQR42" s="92"/>
      <c r="EQS42" s="92"/>
      <c r="EQT42" s="92"/>
      <c r="EQU42" s="92"/>
      <c r="EQV42" s="92"/>
      <c r="EQW42" s="92"/>
      <c r="EQX42" s="92"/>
      <c r="EQY42" s="92"/>
      <c r="EQZ42" s="92"/>
      <c r="ERA42" s="92"/>
      <c r="ERB42" s="92"/>
      <c r="ERC42" s="92"/>
      <c r="ERD42" s="92"/>
      <c r="ERE42" s="92"/>
      <c r="ERF42" s="92"/>
      <c r="ERG42" s="92"/>
      <c r="ERH42" s="92"/>
      <c r="ERI42" s="92"/>
      <c r="ERJ42" s="92"/>
      <c r="ERK42" s="92"/>
      <c r="ERL42" s="92"/>
      <c r="ERM42" s="92"/>
      <c r="ERN42" s="92"/>
      <c r="ERO42" s="92"/>
      <c r="ERP42" s="92"/>
      <c r="ERQ42" s="92"/>
      <c r="ERR42" s="92"/>
      <c r="ERS42" s="92"/>
      <c r="ERT42" s="92"/>
      <c r="ERU42" s="92"/>
      <c r="ERV42" s="92"/>
      <c r="ERW42" s="92"/>
      <c r="ERX42" s="92"/>
      <c r="ERY42" s="92"/>
      <c r="ERZ42" s="92"/>
      <c r="ESA42" s="92"/>
      <c r="ESB42" s="92"/>
      <c r="ESC42" s="92"/>
      <c r="ESD42" s="92"/>
      <c r="ESE42" s="92"/>
      <c r="ESF42" s="92"/>
      <c r="ESG42" s="92"/>
      <c r="ESH42" s="92"/>
      <c r="ESI42" s="92"/>
      <c r="ESJ42" s="92"/>
      <c r="ESK42" s="92"/>
      <c r="ESL42" s="92"/>
      <c r="ESM42" s="92"/>
      <c r="ESN42" s="92"/>
      <c r="ESO42" s="92"/>
      <c r="ESP42" s="92"/>
      <c r="ESQ42" s="92"/>
      <c r="ESR42" s="92"/>
      <c r="ESS42" s="92"/>
      <c r="EST42" s="92"/>
      <c r="ESU42" s="92"/>
      <c r="ESV42" s="92"/>
      <c r="ESW42" s="92"/>
      <c r="ESX42" s="92"/>
      <c r="ESY42" s="92"/>
      <c r="ESZ42" s="92"/>
      <c r="ETA42" s="92"/>
      <c r="ETB42" s="92"/>
      <c r="ETC42" s="92"/>
      <c r="ETD42" s="92"/>
      <c r="ETE42" s="92"/>
      <c r="ETF42" s="92"/>
      <c r="ETG42" s="92"/>
      <c r="ETH42" s="92"/>
      <c r="ETI42" s="92"/>
      <c r="ETJ42" s="92"/>
      <c r="ETK42" s="92"/>
      <c r="ETL42" s="92"/>
      <c r="ETM42" s="92"/>
      <c r="ETN42" s="92"/>
      <c r="ETO42" s="92"/>
      <c r="ETP42" s="92"/>
      <c r="ETQ42" s="92"/>
      <c r="ETR42" s="92"/>
      <c r="ETS42" s="92"/>
      <c r="ETT42" s="92"/>
      <c r="ETU42" s="92"/>
      <c r="ETV42" s="92"/>
      <c r="ETW42" s="92"/>
      <c r="ETX42" s="92"/>
      <c r="ETY42" s="92"/>
      <c r="ETZ42" s="92"/>
      <c r="EUA42" s="92"/>
      <c r="EUB42" s="92"/>
      <c r="EUC42" s="92"/>
      <c r="EUD42" s="92"/>
      <c r="EUE42" s="92"/>
      <c r="EUF42" s="92"/>
      <c r="EUG42" s="92"/>
      <c r="EUH42" s="92"/>
      <c r="EUI42" s="92"/>
      <c r="EUJ42" s="92"/>
      <c r="EUK42" s="92"/>
      <c r="EUL42" s="92"/>
      <c r="EUM42" s="92"/>
      <c r="EUN42" s="92"/>
      <c r="EUO42" s="92"/>
      <c r="EUP42" s="92"/>
      <c r="EUQ42" s="92"/>
      <c r="EUR42" s="92"/>
      <c r="EUS42" s="92"/>
      <c r="EUT42" s="92"/>
      <c r="EUU42" s="92"/>
      <c r="EUV42" s="92"/>
      <c r="EUW42" s="92"/>
      <c r="EUX42" s="92"/>
      <c r="EUY42" s="92"/>
      <c r="EUZ42" s="92"/>
      <c r="EVA42" s="92"/>
      <c r="EVB42" s="92"/>
      <c r="EVC42" s="92"/>
      <c r="EVD42" s="92"/>
      <c r="EVE42" s="92"/>
      <c r="EVF42" s="92"/>
      <c r="EVG42" s="92"/>
      <c r="EVH42" s="92"/>
      <c r="EVI42" s="92"/>
      <c r="EVJ42" s="92"/>
      <c r="EVK42" s="92"/>
      <c r="EVL42" s="92"/>
      <c r="EVM42" s="92"/>
      <c r="EVN42" s="92"/>
      <c r="EVO42" s="92"/>
      <c r="EVP42" s="92"/>
      <c r="EVQ42" s="92"/>
      <c r="EVR42" s="92"/>
      <c r="EVS42" s="92"/>
      <c r="EVT42" s="92"/>
      <c r="EVU42" s="92"/>
      <c r="EVV42" s="92"/>
      <c r="EVW42" s="92"/>
      <c r="EVX42" s="92"/>
      <c r="EVY42" s="92"/>
      <c r="EVZ42" s="92"/>
      <c r="EWA42" s="92"/>
      <c r="EWB42" s="92"/>
      <c r="EWC42" s="92"/>
      <c r="EWD42" s="92"/>
      <c r="EWE42" s="92"/>
      <c r="EWF42" s="92"/>
      <c r="EWG42" s="92"/>
      <c r="EWH42" s="92"/>
      <c r="EWI42" s="92"/>
      <c r="EWJ42" s="92"/>
      <c r="EWK42" s="92"/>
      <c r="EWL42" s="92"/>
      <c r="EWM42" s="92"/>
      <c r="EWN42" s="92"/>
      <c r="EWO42" s="92"/>
      <c r="EWP42" s="92"/>
      <c r="EWQ42" s="92"/>
      <c r="EWR42" s="92"/>
      <c r="EWS42" s="92"/>
      <c r="EWT42" s="92"/>
      <c r="EWU42" s="92"/>
      <c r="EWV42" s="92"/>
      <c r="EWW42" s="92"/>
      <c r="EWX42" s="92"/>
      <c r="EWY42" s="92"/>
      <c r="EWZ42" s="92"/>
      <c r="EXA42" s="92"/>
      <c r="EXB42" s="92"/>
      <c r="EXC42" s="92"/>
      <c r="EXD42" s="92"/>
      <c r="EXE42" s="92"/>
      <c r="EXF42" s="92"/>
      <c r="EXG42" s="92"/>
      <c r="EXH42" s="92"/>
      <c r="EXI42" s="92"/>
      <c r="EXJ42" s="92"/>
      <c r="EXK42" s="92"/>
      <c r="EXL42" s="92"/>
      <c r="EXM42" s="92"/>
      <c r="EXN42" s="92"/>
      <c r="EXO42" s="92"/>
      <c r="EXP42" s="92"/>
      <c r="EXQ42" s="92"/>
      <c r="EXR42" s="92"/>
      <c r="EXS42" s="92"/>
      <c r="EXT42" s="92"/>
      <c r="EXU42" s="92"/>
      <c r="EXV42" s="92"/>
      <c r="EXW42" s="92"/>
      <c r="EXX42" s="92"/>
      <c r="EXY42" s="92"/>
      <c r="EXZ42" s="92"/>
      <c r="EYA42" s="92"/>
      <c r="EYB42" s="92"/>
      <c r="EYC42" s="92"/>
      <c r="EYD42" s="92"/>
      <c r="EYE42" s="92"/>
      <c r="EYF42" s="92"/>
      <c r="EYG42" s="92"/>
      <c r="EYH42" s="92"/>
      <c r="EYI42" s="92"/>
      <c r="EYJ42" s="92"/>
      <c r="EYK42" s="92"/>
      <c r="EYL42" s="92"/>
      <c r="EYM42" s="92"/>
      <c r="EYN42" s="92"/>
      <c r="EYO42" s="92"/>
      <c r="EYP42" s="92"/>
      <c r="EYQ42" s="92"/>
      <c r="EYR42" s="92"/>
      <c r="EYS42" s="92"/>
      <c r="EYT42" s="92"/>
      <c r="EYU42" s="92"/>
      <c r="EYV42" s="92"/>
      <c r="EYW42" s="92"/>
      <c r="EYX42" s="92"/>
      <c r="EYY42" s="92"/>
      <c r="EYZ42" s="92"/>
      <c r="EZA42" s="92"/>
      <c r="EZB42" s="92"/>
      <c r="EZC42" s="92"/>
      <c r="EZD42" s="92"/>
      <c r="EZE42" s="92"/>
      <c r="EZF42" s="92"/>
      <c r="EZG42" s="92"/>
      <c r="EZH42" s="92"/>
      <c r="EZI42" s="92"/>
      <c r="EZJ42" s="92"/>
      <c r="EZK42" s="92"/>
      <c r="EZL42" s="92"/>
      <c r="EZM42" s="92"/>
      <c r="EZN42" s="92"/>
      <c r="EZO42" s="92"/>
      <c r="EZP42" s="92"/>
      <c r="EZQ42" s="92"/>
      <c r="EZR42" s="92"/>
      <c r="EZS42" s="92"/>
      <c r="EZT42" s="92"/>
      <c r="EZU42" s="92"/>
      <c r="EZV42" s="92"/>
      <c r="EZW42" s="92"/>
      <c r="EZX42" s="92"/>
      <c r="EZY42" s="92"/>
      <c r="EZZ42" s="92"/>
      <c r="FAA42" s="92"/>
      <c r="FAB42" s="92"/>
      <c r="FAC42" s="92"/>
      <c r="FAD42" s="92"/>
      <c r="FAE42" s="92"/>
      <c r="FAF42" s="92"/>
      <c r="FAG42" s="92"/>
      <c r="FAH42" s="92"/>
      <c r="FAI42" s="92"/>
      <c r="FAJ42" s="92"/>
      <c r="FAK42" s="92"/>
      <c r="FAL42" s="92"/>
      <c r="FAM42" s="92"/>
      <c r="FAN42" s="92"/>
      <c r="FAO42" s="92"/>
      <c r="FAP42" s="92"/>
      <c r="FAQ42" s="92"/>
      <c r="FAR42" s="92"/>
      <c r="FAS42" s="92"/>
      <c r="FAT42" s="92"/>
      <c r="FAU42" s="92"/>
      <c r="FAV42" s="92"/>
      <c r="FAW42" s="92"/>
      <c r="FAX42" s="92"/>
      <c r="FAY42" s="92"/>
      <c r="FAZ42" s="92"/>
      <c r="FBA42" s="92"/>
      <c r="FBB42" s="92"/>
      <c r="FBC42" s="92"/>
      <c r="FBD42" s="92"/>
      <c r="FBE42" s="92"/>
      <c r="FBF42" s="92"/>
      <c r="FBG42" s="92"/>
      <c r="FBH42" s="92"/>
      <c r="FBI42" s="92"/>
      <c r="FBJ42" s="92"/>
      <c r="FBK42" s="92"/>
      <c r="FBL42" s="92"/>
      <c r="FBM42" s="92"/>
      <c r="FBN42" s="92"/>
      <c r="FBO42" s="92"/>
      <c r="FBP42" s="92"/>
      <c r="FBQ42" s="92"/>
      <c r="FBR42" s="92"/>
      <c r="FBS42" s="92"/>
      <c r="FBT42" s="92"/>
      <c r="FBU42" s="92"/>
      <c r="FBV42" s="92"/>
      <c r="FBW42" s="92"/>
      <c r="FBX42" s="92"/>
      <c r="FBY42" s="92"/>
      <c r="FBZ42" s="92"/>
      <c r="FCA42" s="92"/>
      <c r="FCB42" s="92"/>
      <c r="FCC42" s="92"/>
      <c r="FCD42" s="92"/>
      <c r="FCE42" s="92"/>
      <c r="FCF42" s="92"/>
      <c r="FCG42" s="92"/>
      <c r="FCH42" s="92"/>
      <c r="FCI42" s="92"/>
      <c r="FCJ42" s="92"/>
      <c r="FCK42" s="92"/>
      <c r="FCL42" s="92"/>
      <c r="FCM42" s="92"/>
      <c r="FCN42" s="92"/>
      <c r="FCO42" s="92"/>
      <c r="FCP42" s="92"/>
      <c r="FCQ42" s="92"/>
      <c r="FCR42" s="92"/>
      <c r="FCS42" s="92"/>
      <c r="FCT42" s="92"/>
      <c r="FCU42" s="92"/>
      <c r="FCV42" s="92"/>
      <c r="FCW42" s="92"/>
      <c r="FCX42" s="92"/>
      <c r="FCY42" s="92"/>
      <c r="FCZ42" s="92"/>
      <c r="FDA42" s="92"/>
      <c r="FDB42" s="92"/>
      <c r="FDC42" s="92"/>
      <c r="FDD42" s="92"/>
      <c r="FDE42" s="92"/>
      <c r="FDF42" s="92"/>
      <c r="FDG42" s="92"/>
      <c r="FDH42" s="92"/>
      <c r="FDI42" s="92"/>
      <c r="FDJ42" s="92"/>
      <c r="FDK42" s="92"/>
      <c r="FDL42" s="92"/>
      <c r="FDM42" s="92"/>
      <c r="FDN42" s="92"/>
      <c r="FDO42" s="92"/>
      <c r="FDP42" s="92"/>
      <c r="FDQ42" s="92"/>
      <c r="FDR42" s="92"/>
      <c r="FDS42" s="92"/>
      <c r="FDT42" s="92"/>
      <c r="FDU42" s="92"/>
      <c r="FDV42" s="92"/>
      <c r="FDW42" s="92"/>
      <c r="FDX42" s="92"/>
      <c r="FDY42" s="92"/>
      <c r="FDZ42" s="92"/>
      <c r="FEA42" s="92"/>
      <c r="FEB42" s="92"/>
      <c r="FEC42" s="92"/>
      <c r="FED42" s="92"/>
      <c r="FEE42" s="92"/>
      <c r="FEF42" s="92"/>
      <c r="FEG42" s="92"/>
      <c r="FEH42" s="92"/>
      <c r="FEI42" s="92"/>
      <c r="FEJ42" s="92"/>
      <c r="FEK42" s="92"/>
      <c r="FEL42" s="92"/>
      <c r="FEM42" s="92"/>
      <c r="FEN42" s="92"/>
      <c r="FEO42" s="92"/>
      <c r="FEP42" s="92"/>
      <c r="FEQ42" s="92"/>
      <c r="FER42" s="92"/>
      <c r="FES42" s="92"/>
      <c r="FET42" s="92"/>
      <c r="FEU42" s="92"/>
      <c r="FEV42" s="92"/>
      <c r="FEW42" s="92"/>
      <c r="FEX42" s="92"/>
      <c r="FEY42" s="92"/>
      <c r="FEZ42" s="92"/>
      <c r="FFA42" s="92"/>
      <c r="FFB42" s="92"/>
      <c r="FFC42" s="92"/>
      <c r="FFD42" s="92"/>
      <c r="FFE42" s="92"/>
      <c r="FFF42" s="92"/>
      <c r="FFG42" s="92"/>
      <c r="FFH42" s="92"/>
      <c r="FFI42" s="92"/>
      <c r="FFJ42" s="92"/>
      <c r="FFK42" s="92"/>
      <c r="FFL42" s="92"/>
      <c r="FFM42" s="92"/>
      <c r="FFN42" s="92"/>
      <c r="FFO42" s="92"/>
      <c r="FFP42" s="92"/>
      <c r="FFQ42" s="92"/>
      <c r="FFR42" s="92"/>
      <c r="FFS42" s="92"/>
      <c r="FFT42" s="92"/>
      <c r="FFU42" s="92"/>
      <c r="FFV42" s="92"/>
      <c r="FFW42" s="92"/>
      <c r="FFX42" s="92"/>
      <c r="FFY42" s="92"/>
      <c r="FFZ42" s="92"/>
      <c r="FGA42" s="92"/>
      <c r="FGB42" s="92"/>
      <c r="FGC42" s="92"/>
      <c r="FGD42" s="92"/>
      <c r="FGE42" s="92"/>
      <c r="FGF42" s="92"/>
      <c r="FGG42" s="92"/>
      <c r="FGH42" s="92"/>
      <c r="FGI42" s="92"/>
      <c r="FGJ42" s="92"/>
      <c r="FGK42" s="92"/>
      <c r="FGL42" s="92"/>
      <c r="FGM42" s="92"/>
      <c r="FGN42" s="92"/>
      <c r="FGO42" s="92"/>
      <c r="FGP42" s="92"/>
      <c r="FGQ42" s="92"/>
      <c r="FGR42" s="92"/>
      <c r="FGS42" s="92"/>
      <c r="FGT42" s="92"/>
      <c r="FGU42" s="92"/>
      <c r="FGV42" s="92"/>
      <c r="FGW42" s="92"/>
      <c r="FGX42" s="92"/>
      <c r="FGY42" s="92"/>
      <c r="FGZ42" s="92"/>
      <c r="FHA42" s="92"/>
      <c r="FHB42" s="92"/>
      <c r="FHC42" s="92"/>
      <c r="FHD42" s="92"/>
      <c r="FHE42" s="92"/>
      <c r="FHF42" s="92"/>
      <c r="FHG42" s="92"/>
      <c r="FHH42" s="92"/>
      <c r="FHI42" s="92"/>
      <c r="FHJ42" s="92"/>
      <c r="FHK42" s="92"/>
      <c r="FHL42" s="92"/>
      <c r="FHM42" s="92"/>
      <c r="FHN42" s="92"/>
      <c r="FHO42" s="92"/>
      <c r="FHP42" s="92"/>
      <c r="FHQ42" s="92"/>
      <c r="FHR42" s="92"/>
      <c r="FHS42" s="92"/>
      <c r="FHT42" s="92"/>
      <c r="FHU42" s="92"/>
      <c r="FHV42" s="92"/>
      <c r="FHW42" s="92"/>
      <c r="FHX42" s="92"/>
      <c r="FHY42" s="92"/>
      <c r="FHZ42" s="92"/>
      <c r="FIA42" s="92"/>
      <c r="FIB42" s="92"/>
      <c r="FIC42" s="92"/>
      <c r="FID42" s="92"/>
      <c r="FIE42" s="92"/>
      <c r="FIF42" s="92"/>
      <c r="FIG42" s="92"/>
      <c r="FIH42" s="92"/>
      <c r="FII42" s="92"/>
      <c r="FIJ42" s="92"/>
      <c r="FIK42" s="92"/>
      <c r="FIL42" s="92"/>
      <c r="FIM42" s="92"/>
      <c r="FIN42" s="92"/>
      <c r="FIO42" s="92"/>
      <c r="FIP42" s="92"/>
      <c r="FIQ42" s="92"/>
      <c r="FIR42" s="92"/>
      <c r="FIS42" s="92"/>
      <c r="FIT42" s="92"/>
      <c r="FIU42" s="92"/>
      <c r="FIV42" s="92"/>
      <c r="FIW42" s="92"/>
      <c r="FIX42" s="92"/>
      <c r="FIY42" s="92"/>
      <c r="FIZ42" s="92"/>
      <c r="FJA42" s="92"/>
      <c r="FJB42" s="92"/>
      <c r="FJC42" s="92"/>
      <c r="FJD42" s="92"/>
      <c r="FJE42" s="92"/>
      <c r="FJF42" s="92"/>
      <c r="FJG42" s="92"/>
      <c r="FJH42" s="92"/>
      <c r="FJI42" s="92"/>
      <c r="FJJ42" s="92"/>
      <c r="FJK42" s="92"/>
      <c r="FJL42" s="92"/>
      <c r="FJM42" s="92"/>
      <c r="FJN42" s="92"/>
      <c r="FJO42" s="92"/>
      <c r="FJP42" s="92"/>
      <c r="FJQ42" s="92"/>
      <c r="FJR42" s="92"/>
      <c r="FJS42" s="92"/>
      <c r="FJT42" s="92"/>
      <c r="FJU42" s="92"/>
      <c r="FJV42" s="92"/>
      <c r="FJW42" s="92"/>
      <c r="FJX42" s="92"/>
      <c r="FJY42" s="92"/>
      <c r="FJZ42" s="92"/>
      <c r="FKA42" s="92"/>
      <c r="FKB42" s="92"/>
      <c r="FKC42" s="92"/>
      <c r="FKD42" s="92"/>
      <c r="FKE42" s="92"/>
      <c r="FKF42" s="92"/>
      <c r="FKG42" s="92"/>
      <c r="FKH42" s="92"/>
      <c r="FKI42" s="92"/>
      <c r="FKJ42" s="92"/>
      <c r="FKK42" s="92"/>
      <c r="FKL42" s="92"/>
      <c r="FKM42" s="92"/>
      <c r="FKN42" s="92"/>
      <c r="FKO42" s="92"/>
      <c r="FKP42" s="92"/>
      <c r="FKQ42" s="92"/>
      <c r="FKR42" s="92"/>
      <c r="FKS42" s="92"/>
      <c r="FKT42" s="92"/>
      <c r="FKU42" s="92"/>
      <c r="FKV42" s="92"/>
      <c r="FKW42" s="92"/>
      <c r="FKX42" s="92"/>
      <c r="FKY42" s="92"/>
      <c r="FKZ42" s="92"/>
      <c r="FLA42" s="92"/>
      <c r="FLB42" s="92"/>
      <c r="FLC42" s="92"/>
      <c r="FLD42" s="92"/>
      <c r="FLE42" s="92"/>
      <c r="FLF42" s="92"/>
      <c r="FLG42" s="92"/>
      <c r="FLH42" s="92"/>
      <c r="FLI42" s="92"/>
      <c r="FLJ42" s="92"/>
      <c r="FLK42" s="92"/>
      <c r="FLL42" s="92"/>
      <c r="FLM42" s="92"/>
      <c r="FLN42" s="92"/>
      <c r="FLO42" s="92"/>
      <c r="FLP42" s="92"/>
      <c r="FLQ42" s="92"/>
      <c r="FLR42" s="92"/>
      <c r="FLS42" s="92"/>
      <c r="FLT42" s="92"/>
      <c r="FLU42" s="92"/>
      <c r="FLV42" s="92"/>
      <c r="FLW42" s="92"/>
      <c r="FLX42" s="92"/>
      <c r="FLY42" s="92"/>
      <c r="FLZ42" s="92"/>
      <c r="FMA42" s="92"/>
      <c r="FMB42" s="92"/>
      <c r="FMC42" s="92"/>
      <c r="FMD42" s="92"/>
      <c r="FME42" s="92"/>
      <c r="FMF42" s="92"/>
      <c r="FMG42" s="92"/>
      <c r="FMH42" s="92"/>
      <c r="FMI42" s="92"/>
      <c r="FMJ42" s="92"/>
      <c r="FMK42" s="92"/>
      <c r="FML42" s="92"/>
      <c r="FMM42" s="92"/>
      <c r="FMN42" s="92"/>
      <c r="FMO42" s="92"/>
      <c r="FMP42" s="92"/>
      <c r="FMQ42" s="92"/>
      <c r="FMR42" s="92"/>
      <c r="FMS42" s="92"/>
      <c r="FMT42" s="92"/>
      <c r="FMU42" s="92"/>
      <c r="FMV42" s="92"/>
      <c r="FMW42" s="92"/>
      <c r="FMX42" s="92"/>
      <c r="FMY42" s="92"/>
      <c r="FMZ42" s="92"/>
      <c r="FNA42" s="92"/>
      <c r="FNB42" s="92"/>
      <c r="FNC42" s="92"/>
      <c r="FND42" s="92"/>
      <c r="FNE42" s="92"/>
      <c r="FNF42" s="92"/>
      <c r="FNG42" s="92"/>
      <c r="FNH42" s="92"/>
      <c r="FNI42" s="92"/>
      <c r="FNJ42" s="92"/>
      <c r="FNK42" s="92"/>
      <c r="FNL42" s="92"/>
      <c r="FNM42" s="92"/>
      <c r="FNN42" s="92"/>
      <c r="FNO42" s="92"/>
      <c r="FNP42" s="92"/>
      <c r="FNQ42" s="92"/>
      <c r="FNR42" s="92"/>
      <c r="FNS42" s="92"/>
      <c r="FNT42" s="92"/>
      <c r="FNU42" s="92"/>
      <c r="FNV42" s="92"/>
      <c r="FNW42" s="92"/>
      <c r="FNX42" s="92"/>
      <c r="FNY42" s="92"/>
      <c r="FNZ42" s="92"/>
      <c r="FOA42" s="92"/>
      <c r="FOB42" s="92"/>
      <c r="FOC42" s="92"/>
      <c r="FOD42" s="92"/>
      <c r="FOE42" s="92"/>
      <c r="FOF42" s="92"/>
      <c r="FOG42" s="92"/>
      <c r="FOH42" s="92"/>
      <c r="FOI42" s="92"/>
      <c r="FOJ42" s="92"/>
      <c r="FOK42" s="92"/>
      <c r="FOL42" s="92"/>
      <c r="FOM42" s="92"/>
      <c r="FON42" s="92"/>
      <c r="FOO42" s="92"/>
      <c r="FOP42" s="92"/>
      <c r="FOQ42" s="92"/>
      <c r="FOR42" s="92"/>
      <c r="FOS42" s="92"/>
      <c r="FOT42" s="92"/>
      <c r="FOU42" s="92"/>
      <c r="FOV42" s="92"/>
      <c r="FOW42" s="92"/>
      <c r="FOX42" s="92"/>
      <c r="FOY42" s="92"/>
      <c r="FOZ42" s="92"/>
      <c r="FPA42" s="92"/>
      <c r="FPB42" s="92"/>
      <c r="FPC42" s="92"/>
      <c r="FPD42" s="92"/>
      <c r="FPE42" s="92"/>
      <c r="FPF42" s="92"/>
      <c r="FPG42" s="92"/>
      <c r="FPH42" s="92"/>
      <c r="FPI42" s="92"/>
      <c r="FPJ42" s="92"/>
      <c r="FPK42" s="92"/>
      <c r="FPL42" s="92"/>
      <c r="FPM42" s="92"/>
      <c r="FPN42" s="92"/>
      <c r="FPO42" s="92"/>
      <c r="FPP42" s="92"/>
      <c r="FPQ42" s="92"/>
      <c r="FPR42" s="92"/>
      <c r="FPS42" s="92"/>
      <c r="FPT42" s="92"/>
      <c r="FPU42" s="92"/>
      <c r="FPV42" s="92"/>
      <c r="FPW42" s="92"/>
      <c r="FPX42" s="92"/>
      <c r="FPY42" s="92"/>
      <c r="FPZ42" s="92"/>
      <c r="FQA42" s="92"/>
      <c r="FQB42" s="92"/>
      <c r="FQC42" s="92"/>
      <c r="FQD42" s="92"/>
      <c r="FQE42" s="92"/>
      <c r="FQF42" s="92"/>
      <c r="FQG42" s="92"/>
      <c r="FQH42" s="92"/>
      <c r="FQI42" s="92"/>
      <c r="FQJ42" s="92"/>
      <c r="FQK42" s="92"/>
      <c r="FQL42" s="92"/>
      <c r="FQM42" s="92"/>
      <c r="FQN42" s="92"/>
      <c r="FQO42" s="92"/>
      <c r="FQP42" s="92"/>
      <c r="FQQ42" s="92"/>
      <c r="FQR42" s="92"/>
      <c r="FQS42" s="92"/>
      <c r="FQT42" s="92"/>
      <c r="FQU42" s="92"/>
      <c r="FQV42" s="92"/>
      <c r="FQW42" s="92"/>
      <c r="FQX42" s="92"/>
      <c r="FQY42" s="92"/>
      <c r="FQZ42" s="92"/>
      <c r="FRA42" s="92"/>
      <c r="FRB42" s="92"/>
      <c r="FRC42" s="92"/>
      <c r="FRD42" s="92"/>
      <c r="FRE42" s="92"/>
      <c r="FRF42" s="92"/>
      <c r="FRG42" s="92"/>
      <c r="FRH42" s="92"/>
      <c r="FRI42" s="92"/>
      <c r="FRJ42" s="92"/>
      <c r="FRK42" s="92"/>
      <c r="FRL42" s="92"/>
      <c r="FRM42" s="92"/>
      <c r="FRN42" s="92"/>
      <c r="FRO42" s="92"/>
      <c r="FRP42" s="92"/>
      <c r="FRQ42" s="92"/>
      <c r="FRR42" s="92"/>
      <c r="FRS42" s="92"/>
      <c r="FRT42" s="92"/>
      <c r="FRU42" s="92"/>
      <c r="FRV42" s="92"/>
      <c r="FRW42" s="92"/>
      <c r="FRX42" s="92"/>
      <c r="FRY42" s="92"/>
      <c r="FRZ42" s="92"/>
      <c r="FSA42" s="92"/>
      <c r="FSB42" s="92"/>
      <c r="FSC42" s="92"/>
      <c r="FSD42" s="92"/>
      <c r="FSE42" s="92"/>
      <c r="FSF42" s="92"/>
      <c r="FSG42" s="92"/>
      <c r="FSH42" s="92"/>
      <c r="FSI42" s="92"/>
      <c r="FSJ42" s="92"/>
      <c r="FSK42" s="92"/>
      <c r="FSL42" s="92"/>
      <c r="FSM42" s="92"/>
      <c r="FSN42" s="92"/>
      <c r="FSO42" s="92"/>
      <c r="FSP42" s="92"/>
      <c r="FSQ42" s="92"/>
      <c r="FSR42" s="92"/>
      <c r="FSS42" s="92"/>
      <c r="FST42" s="92"/>
      <c r="FSU42" s="92"/>
      <c r="FSV42" s="92"/>
      <c r="FSW42" s="92"/>
      <c r="FSX42" s="92"/>
      <c r="FSY42" s="92"/>
      <c r="FSZ42" s="92"/>
      <c r="FTA42" s="92"/>
      <c r="FTB42" s="92"/>
      <c r="FTC42" s="92"/>
      <c r="FTD42" s="92"/>
      <c r="FTE42" s="92"/>
      <c r="FTF42" s="92"/>
      <c r="FTG42" s="92"/>
      <c r="FTH42" s="92"/>
      <c r="FTI42" s="92"/>
      <c r="FTJ42" s="92"/>
      <c r="FTK42" s="92"/>
      <c r="FTL42" s="92"/>
      <c r="FTM42" s="92"/>
      <c r="FTN42" s="92"/>
      <c r="FTO42" s="92"/>
      <c r="FTP42" s="92"/>
      <c r="FTQ42" s="92"/>
      <c r="FTR42" s="92"/>
      <c r="FTS42" s="92"/>
      <c r="FTT42" s="92"/>
      <c r="FTU42" s="92"/>
      <c r="FTV42" s="92"/>
      <c r="FTW42" s="92"/>
      <c r="FTX42" s="92"/>
      <c r="FTY42" s="92"/>
      <c r="FTZ42" s="92"/>
      <c r="FUA42" s="92"/>
      <c r="FUB42" s="92"/>
      <c r="FUC42" s="92"/>
      <c r="FUD42" s="92"/>
      <c r="FUE42" s="92"/>
      <c r="FUF42" s="92"/>
      <c r="FUG42" s="92"/>
      <c r="FUH42" s="92"/>
      <c r="FUI42" s="92"/>
      <c r="FUJ42" s="92"/>
      <c r="FUK42" s="92"/>
      <c r="FUL42" s="92"/>
      <c r="FUM42" s="92"/>
      <c r="FUN42" s="92"/>
      <c r="FUO42" s="92"/>
      <c r="FUP42" s="92"/>
      <c r="FUQ42" s="92"/>
      <c r="FUR42" s="92"/>
      <c r="FUS42" s="92"/>
      <c r="FUT42" s="92"/>
      <c r="FUU42" s="92"/>
      <c r="FUV42" s="92"/>
      <c r="FUW42" s="92"/>
      <c r="FUX42" s="92"/>
      <c r="FUY42" s="92"/>
      <c r="FUZ42" s="92"/>
      <c r="FVA42" s="92"/>
      <c r="FVB42" s="92"/>
      <c r="FVC42" s="92"/>
      <c r="FVD42" s="92"/>
      <c r="FVE42" s="92"/>
      <c r="FVF42" s="92"/>
      <c r="FVG42" s="92"/>
      <c r="FVH42" s="92"/>
      <c r="FVI42" s="92"/>
      <c r="FVJ42" s="92"/>
      <c r="FVK42" s="92"/>
      <c r="FVL42" s="92"/>
      <c r="FVM42" s="92"/>
      <c r="FVN42" s="92"/>
      <c r="FVO42" s="92"/>
      <c r="FVP42" s="92"/>
      <c r="FVQ42" s="92"/>
      <c r="FVR42" s="92"/>
      <c r="FVS42" s="92"/>
      <c r="FVT42" s="92"/>
      <c r="FVU42" s="92"/>
      <c r="FVV42" s="92"/>
      <c r="FVW42" s="92"/>
      <c r="FVX42" s="92"/>
      <c r="FVY42" s="92"/>
      <c r="FVZ42" s="92"/>
      <c r="FWA42" s="92"/>
      <c r="FWB42" s="92"/>
      <c r="FWC42" s="92"/>
      <c r="FWD42" s="92"/>
      <c r="FWE42" s="92"/>
      <c r="FWF42" s="92"/>
      <c r="FWG42" s="92"/>
      <c r="FWH42" s="92"/>
      <c r="FWI42" s="92"/>
      <c r="FWJ42" s="92"/>
      <c r="FWK42" s="92"/>
      <c r="FWL42" s="92"/>
      <c r="FWM42" s="92"/>
      <c r="FWN42" s="92"/>
      <c r="FWO42" s="92"/>
      <c r="FWP42" s="92"/>
      <c r="FWQ42" s="92"/>
      <c r="FWR42" s="92"/>
      <c r="FWS42" s="92"/>
      <c r="FWT42" s="92"/>
      <c r="FWU42" s="92"/>
      <c r="FWV42" s="92"/>
      <c r="FWW42" s="92"/>
      <c r="FWX42" s="92"/>
      <c r="FWY42" s="92"/>
      <c r="FWZ42" s="92"/>
      <c r="FXA42" s="92"/>
      <c r="FXB42" s="92"/>
      <c r="FXC42" s="92"/>
      <c r="FXD42" s="92"/>
      <c r="FXE42" s="92"/>
      <c r="FXF42" s="92"/>
      <c r="FXG42" s="92"/>
      <c r="FXH42" s="92"/>
      <c r="FXI42" s="92"/>
      <c r="FXJ42" s="92"/>
      <c r="FXK42" s="92"/>
      <c r="FXL42" s="92"/>
      <c r="FXM42" s="92"/>
      <c r="FXN42" s="92"/>
      <c r="FXO42" s="92"/>
      <c r="FXP42" s="92"/>
      <c r="FXQ42" s="92"/>
      <c r="FXR42" s="92"/>
      <c r="FXS42" s="92"/>
      <c r="FXT42" s="92"/>
      <c r="FXU42" s="92"/>
      <c r="FXV42" s="92"/>
      <c r="FXW42" s="92"/>
      <c r="FXX42" s="92"/>
      <c r="FXY42" s="92"/>
      <c r="FXZ42" s="92"/>
      <c r="FYA42" s="92"/>
      <c r="FYB42" s="92"/>
      <c r="FYC42" s="92"/>
      <c r="FYD42" s="92"/>
      <c r="FYE42" s="92"/>
      <c r="FYF42" s="92"/>
      <c r="FYG42" s="92"/>
      <c r="FYH42" s="92"/>
      <c r="FYI42" s="92"/>
      <c r="FYJ42" s="92"/>
      <c r="FYK42" s="92"/>
      <c r="FYL42" s="92"/>
      <c r="FYM42" s="92"/>
      <c r="FYN42" s="92"/>
      <c r="FYO42" s="92"/>
      <c r="FYP42" s="92"/>
      <c r="FYQ42" s="92"/>
      <c r="FYR42" s="92"/>
      <c r="FYS42" s="92"/>
      <c r="FYT42" s="92"/>
      <c r="FYU42" s="92"/>
      <c r="FYV42" s="92"/>
      <c r="FYW42" s="92"/>
      <c r="FYX42" s="92"/>
      <c r="FYY42" s="92"/>
      <c r="FYZ42" s="92"/>
      <c r="FZA42" s="92"/>
      <c r="FZB42" s="92"/>
      <c r="FZC42" s="92"/>
      <c r="FZD42" s="92"/>
      <c r="FZE42" s="92"/>
      <c r="FZF42" s="92"/>
      <c r="FZG42" s="92"/>
      <c r="FZH42" s="92"/>
      <c r="FZI42" s="92"/>
      <c r="FZJ42" s="92"/>
      <c r="FZK42" s="92"/>
      <c r="FZL42" s="92"/>
      <c r="FZM42" s="92"/>
      <c r="FZN42" s="92"/>
      <c r="FZO42" s="92"/>
      <c r="FZP42" s="92"/>
      <c r="FZQ42" s="92"/>
      <c r="FZR42" s="92"/>
      <c r="FZS42" s="92"/>
      <c r="FZT42" s="92"/>
      <c r="FZU42" s="92"/>
      <c r="FZV42" s="92"/>
      <c r="FZW42" s="92"/>
      <c r="FZX42" s="92"/>
      <c r="FZY42" s="92"/>
      <c r="FZZ42" s="92"/>
      <c r="GAA42" s="92"/>
      <c r="GAB42" s="92"/>
      <c r="GAC42" s="92"/>
      <c r="GAD42" s="92"/>
      <c r="GAE42" s="92"/>
      <c r="GAF42" s="92"/>
      <c r="GAG42" s="92"/>
      <c r="GAH42" s="92"/>
      <c r="GAI42" s="92"/>
      <c r="GAJ42" s="92"/>
      <c r="GAK42" s="92"/>
      <c r="GAL42" s="92"/>
      <c r="GAM42" s="92"/>
      <c r="GAN42" s="92"/>
      <c r="GAO42" s="92"/>
      <c r="GAP42" s="92"/>
      <c r="GAQ42" s="92"/>
      <c r="GAR42" s="92"/>
      <c r="GAS42" s="92"/>
      <c r="GAT42" s="92"/>
      <c r="GAU42" s="92"/>
      <c r="GAV42" s="92"/>
      <c r="GAW42" s="92"/>
      <c r="GAX42" s="92"/>
      <c r="GAY42" s="92"/>
      <c r="GAZ42" s="92"/>
      <c r="GBA42" s="92"/>
      <c r="GBB42" s="92"/>
      <c r="GBC42" s="92"/>
      <c r="GBD42" s="92"/>
      <c r="GBE42" s="92"/>
      <c r="GBF42" s="92"/>
      <c r="GBG42" s="92"/>
      <c r="GBH42" s="92"/>
      <c r="GBI42" s="92"/>
      <c r="GBJ42" s="92"/>
      <c r="GBK42" s="92"/>
      <c r="GBL42" s="92"/>
      <c r="GBM42" s="92"/>
      <c r="GBN42" s="92"/>
      <c r="GBO42" s="92"/>
      <c r="GBP42" s="92"/>
      <c r="GBQ42" s="92"/>
      <c r="GBR42" s="92"/>
      <c r="GBS42" s="92"/>
      <c r="GBT42" s="92"/>
      <c r="GBU42" s="92"/>
      <c r="GBV42" s="92"/>
      <c r="GBW42" s="92"/>
      <c r="GBX42" s="92"/>
      <c r="GBY42" s="92"/>
      <c r="GBZ42" s="92"/>
      <c r="GCA42" s="92"/>
      <c r="GCB42" s="92"/>
      <c r="GCC42" s="92"/>
      <c r="GCD42" s="92"/>
      <c r="GCE42" s="92"/>
      <c r="GCF42" s="92"/>
      <c r="GCG42" s="92"/>
      <c r="GCH42" s="92"/>
      <c r="GCI42" s="92"/>
      <c r="GCJ42" s="92"/>
      <c r="GCK42" s="92"/>
      <c r="GCL42" s="92"/>
      <c r="GCM42" s="92"/>
      <c r="GCN42" s="92"/>
      <c r="GCO42" s="92"/>
      <c r="GCP42" s="92"/>
      <c r="GCQ42" s="92"/>
      <c r="GCR42" s="92"/>
      <c r="GCS42" s="92"/>
      <c r="GCT42" s="92"/>
      <c r="GCU42" s="92"/>
      <c r="GCV42" s="92"/>
      <c r="GCW42" s="92"/>
      <c r="GCX42" s="92"/>
      <c r="GCY42" s="92"/>
      <c r="GCZ42" s="92"/>
      <c r="GDA42" s="92"/>
      <c r="GDB42" s="92"/>
      <c r="GDC42" s="92"/>
      <c r="GDD42" s="92"/>
      <c r="GDE42" s="92"/>
      <c r="GDF42" s="92"/>
      <c r="GDG42" s="92"/>
      <c r="GDH42" s="92"/>
      <c r="GDI42" s="92"/>
      <c r="GDJ42" s="92"/>
      <c r="GDK42" s="92"/>
      <c r="GDL42" s="92"/>
      <c r="GDM42" s="92"/>
      <c r="GDN42" s="92"/>
      <c r="GDO42" s="92"/>
      <c r="GDP42" s="92"/>
      <c r="GDQ42" s="92"/>
      <c r="GDR42" s="92"/>
      <c r="GDS42" s="92"/>
      <c r="GDT42" s="92"/>
      <c r="GDU42" s="92"/>
      <c r="GDV42" s="92"/>
      <c r="GDW42" s="92"/>
      <c r="GDX42" s="92"/>
      <c r="GDY42" s="92"/>
      <c r="GDZ42" s="92"/>
      <c r="GEA42" s="92"/>
      <c r="GEB42" s="92"/>
      <c r="GEC42" s="92"/>
      <c r="GED42" s="92"/>
      <c r="GEE42" s="92"/>
      <c r="GEF42" s="92"/>
      <c r="GEG42" s="92"/>
      <c r="GEH42" s="92"/>
      <c r="GEI42" s="92"/>
      <c r="GEJ42" s="92"/>
      <c r="GEK42" s="92"/>
      <c r="GEL42" s="92"/>
      <c r="GEM42" s="92"/>
      <c r="GEN42" s="92"/>
      <c r="GEO42" s="92"/>
      <c r="GEP42" s="92"/>
      <c r="GEQ42" s="92"/>
      <c r="GER42" s="92"/>
      <c r="GES42" s="92"/>
      <c r="GET42" s="92"/>
      <c r="GEU42" s="92"/>
      <c r="GEV42" s="92"/>
      <c r="GEW42" s="92"/>
      <c r="GEX42" s="92"/>
      <c r="GEY42" s="92"/>
      <c r="GEZ42" s="92"/>
      <c r="GFA42" s="92"/>
      <c r="GFB42" s="92"/>
      <c r="GFC42" s="92"/>
      <c r="GFD42" s="92"/>
      <c r="GFE42" s="92"/>
      <c r="GFF42" s="92"/>
      <c r="GFG42" s="92"/>
      <c r="GFH42" s="92"/>
      <c r="GFI42" s="92"/>
      <c r="GFJ42" s="92"/>
      <c r="GFK42" s="92"/>
      <c r="GFL42" s="92"/>
      <c r="GFM42" s="92"/>
      <c r="GFN42" s="92"/>
      <c r="GFO42" s="92"/>
      <c r="GFP42" s="92"/>
      <c r="GFQ42" s="92"/>
      <c r="GFR42" s="92"/>
      <c r="GFS42" s="92"/>
      <c r="GFT42" s="92"/>
      <c r="GFU42" s="92"/>
      <c r="GFV42" s="92"/>
      <c r="GFW42" s="92"/>
      <c r="GFX42" s="92"/>
      <c r="GFY42" s="92"/>
      <c r="GFZ42" s="92"/>
      <c r="GGA42" s="92"/>
      <c r="GGB42" s="92"/>
      <c r="GGC42" s="92"/>
      <c r="GGD42" s="92"/>
      <c r="GGE42" s="92"/>
      <c r="GGF42" s="92"/>
      <c r="GGG42" s="92"/>
      <c r="GGH42" s="92"/>
      <c r="GGI42" s="92"/>
      <c r="GGJ42" s="92"/>
      <c r="GGK42" s="92"/>
      <c r="GGL42" s="92"/>
      <c r="GGM42" s="92"/>
      <c r="GGN42" s="92"/>
      <c r="GGO42" s="92"/>
      <c r="GGP42" s="92"/>
      <c r="GGQ42" s="92"/>
      <c r="GGR42" s="92"/>
      <c r="GGS42" s="92"/>
      <c r="GGT42" s="92"/>
      <c r="GGU42" s="92"/>
      <c r="GGV42" s="92"/>
      <c r="GGW42" s="92"/>
      <c r="GGX42" s="92"/>
      <c r="GGY42" s="92"/>
      <c r="GGZ42" s="92"/>
      <c r="GHA42" s="92"/>
      <c r="GHB42" s="92"/>
      <c r="GHC42" s="92"/>
      <c r="GHD42" s="92"/>
      <c r="GHE42" s="92"/>
      <c r="GHF42" s="92"/>
      <c r="GHG42" s="92"/>
      <c r="GHH42" s="92"/>
      <c r="GHI42" s="92"/>
      <c r="GHJ42" s="92"/>
      <c r="GHK42" s="92"/>
      <c r="GHL42" s="92"/>
      <c r="GHM42" s="92"/>
      <c r="GHN42" s="92"/>
      <c r="GHO42" s="92"/>
      <c r="GHP42" s="92"/>
      <c r="GHQ42" s="92"/>
      <c r="GHR42" s="92"/>
      <c r="GHS42" s="92"/>
      <c r="GHT42" s="92"/>
      <c r="GHU42" s="92"/>
      <c r="GHV42" s="92"/>
      <c r="GHW42" s="92"/>
      <c r="GHX42" s="92"/>
      <c r="GHY42" s="92"/>
      <c r="GHZ42" s="92"/>
      <c r="GIA42" s="92"/>
      <c r="GIB42" s="92"/>
      <c r="GIC42" s="92"/>
      <c r="GID42" s="92"/>
      <c r="GIE42" s="92"/>
      <c r="GIF42" s="92"/>
      <c r="GIG42" s="92"/>
      <c r="GIH42" s="92"/>
      <c r="GII42" s="92"/>
      <c r="GIJ42" s="92"/>
      <c r="GIK42" s="92"/>
      <c r="GIL42" s="92"/>
      <c r="GIM42" s="92"/>
      <c r="GIN42" s="92"/>
      <c r="GIO42" s="92"/>
      <c r="GIP42" s="92"/>
      <c r="GIQ42" s="92"/>
      <c r="GIR42" s="92"/>
      <c r="GIS42" s="92"/>
      <c r="GIT42" s="92"/>
      <c r="GIU42" s="92"/>
      <c r="GIV42" s="92"/>
      <c r="GIW42" s="92"/>
      <c r="GIX42" s="92"/>
      <c r="GIY42" s="92"/>
      <c r="GIZ42" s="92"/>
      <c r="GJA42" s="92"/>
      <c r="GJB42" s="92"/>
      <c r="GJC42" s="92"/>
      <c r="GJD42" s="92"/>
      <c r="GJE42" s="92"/>
      <c r="GJF42" s="92"/>
      <c r="GJG42" s="92"/>
      <c r="GJH42" s="92"/>
      <c r="GJI42" s="92"/>
      <c r="GJJ42" s="92"/>
      <c r="GJK42" s="92"/>
      <c r="GJL42" s="92"/>
      <c r="GJM42" s="92"/>
      <c r="GJN42" s="92"/>
      <c r="GJO42" s="92"/>
      <c r="GJP42" s="92"/>
      <c r="GJQ42" s="92"/>
      <c r="GJR42" s="92"/>
      <c r="GJS42" s="92"/>
      <c r="GJT42" s="92"/>
      <c r="GJU42" s="92"/>
      <c r="GJV42" s="92"/>
      <c r="GJW42" s="92"/>
      <c r="GJX42" s="92"/>
      <c r="GJY42" s="92"/>
      <c r="GJZ42" s="92"/>
      <c r="GKA42" s="92"/>
      <c r="GKB42" s="92"/>
      <c r="GKC42" s="92"/>
      <c r="GKD42" s="92"/>
      <c r="GKE42" s="92"/>
      <c r="GKF42" s="92"/>
      <c r="GKG42" s="92"/>
      <c r="GKH42" s="92"/>
      <c r="GKI42" s="92"/>
      <c r="GKJ42" s="92"/>
      <c r="GKK42" s="92"/>
      <c r="GKL42" s="92"/>
      <c r="GKM42" s="92"/>
      <c r="GKN42" s="92"/>
      <c r="GKO42" s="92"/>
      <c r="GKP42" s="92"/>
      <c r="GKQ42" s="92"/>
      <c r="GKR42" s="92"/>
      <c r="GKS42" s="92"/>
      <c r="GKT42" s="92"/>
      <c r="GKU42" s="92"/>
      <c r="GKV42" s="92"/>
      <c r="GKW42" s="92"/>
      <c r="GKX42" s="92"/>
      <c r="GKY42" s="92"/>
      <c r="GKZ42" s="92"/>
      <c r="GLA42" s="92"/>
      <c r="GLB42" s="92"/>
      <c r="GLC42" s="92"/>
      <c r="GLD42" s="92"/>
      <c r="GLE42" s="92"/>
      <c r="GLF42" s="92"/>
      <c r="GLG42" s="92"/>
      <c r="GLH42" s="92"/>
      <c r="GLI42" s="92"/>
      <c r="GLJ42" s="92"/>
      <c r="GLK42" s="92"/>
      <c r="GLL42" s="92"/>
      <c r="GLM42" s="92"/>
      <c r="GLN42" s="92"/>
      <c r="GLO42" s="92"/>
      <c r="GLP42" s="92"/>
      <c r="GLQ42" s="92"/>
      <c r="GLR42" s="92"/>
      <c r="GLS42" s="92"/>
      <c r="GLT42" s="92"/>
      <c r="GLU42" s="92"/>
      <c r="GLV42" s="92"/>
      <c r="GLW42" s="92"/>
      <c r="GLX42" s="92"/>
      <c r="GLY42" s="92"/>
      <c r="GLZ42" s="92"/>
      <c r="GMA42" s="92"/>
      <c r="GMB42" s="92"/>
      <c r="GMC42" s="92"/>
      <c r="GMD42" s="92"/>
      <c r="GME42" s="92"/>
      <c r="GMF42" s="92"/>
      <c r="GMG42" s="92"/>
      <c r="GMH42" s="92"/>
      <c r="GMI42" s="92"/>
      <c r="GMJ42" s="92"/>
      <c r="GMK42" s="92"/>
      <c r="GML42" s="92"/>
      <c r="GMM42" s="92"/>
      <c r="GMN42" s="92"/>
      <c r="GMO42" s="92"/>
      <c r="GMP42" s="92"/>
      <c r="GMQ42" s="92"/>
      <c r="GMR42" s="92"/>
      <c r="GMS42" s="92"/>
      <c r="GMT42" s="92"/>
      <c r="GMU42" s="92"/>
      <c r="GMV42" s="92"/>
      <c r="GMW42" s="92"/>
      <c r="GMX42" s="92"/>
      <c r="GMY42" s="92"/>
      <c r="GMZ42" s="92"/>
      <c r="GNA42" s="92"/>
      <c r="GNB42" s="92"/>
      <c r="GNC42" s="92"/>
      <c r="GND42" s="92"/>
      <c r="GNE42" s="92"/>
      <c r="GNF42" s="92"/>
      <c r="GNG42" s="92"/>
      <c r="GNH42" s="92"/>
      <c r="GNI42" s="92"/>
      <c r="GNJ42" s="92"/>
      <c r="GNK42" s="92"/>
      <c r="GNL42" s="92"/>
      <c r="GNM42" s="92"/>
      <c r="GNN42" s="92"/>
      <c r="GNO42" s="92"/>
      <c r="GNP42" s="92"/>
      <c r="GNQ42" s="92"/>
      <c r="GNR42" s="92"/>
      <c r="GNS42" s="92"/>
      <c r="GNT42" s="92"/>
      <c r="GNU42" s="92"/>
      <c r="GNV42" s="92"/>
      <c r="GNW42" s="92"/>
      <c r="GNX42" s="92"/>
      <c r="GNY42" s="92"/>
      <c r="GNZ42" s="92"/>
      <c r="GOA42" s="92"/>
      <c r="GOB42" s="92"/>
      <c r="GOC42" s="92"/>
      <c r="GOD42" s="92"/>
      <c r="GOE42" s="92"/>
      <c r="GOF42" s="92"/>
      <c r="GOG42" s="92"/>
      <c r="GOH42" s="92"/>
      <c r="GOI42" s="92"/>
      <c r="GOJ42" s="92"/>
      <c r="GOK42" s="92"/>
      <c r="GOL42" s="92"/>
      <c r="GOM42" s="92"/>
      <c r="GON42" s="92"/>
      <c r="GOO42" s="92"/>
      <c r="GOP42" s="92"/>
      <c r="GOQ42" s="92"/>
      <c r="GOR42" s="92"/>
      <c r="GOS42" s="92"/>
      <c r="GOT42" s="92"/>
      <c r="GOU42" s="92"/>
      <c r="GOV42" s="92"/>
      <c r="GOW42" s="92"/>
      <c r="GOX42" s="92"/>
      <c r="GOY42" s="92"/>
      <c r="GOZ42" s="92"/>
      <c r="GPA42" s="92"/>
      <c r="GPB42" s="92"/>
      <c r="GPC42" s="92"/>
      <c r="GPD42" s="92"/>
      <c r="GPE42" s="92"/>
      <c r="GPF42" s="92"/>
      <c r="GPG42" s="92"/>
      <c r="GPH42" s="92"/>
      <c r="GPI42" s="92"/>
      <c r="GPJ42" s="92"/>
      <c r="GPK42" s="92"/>
      <c r="GPL42" s="92"/>
      <c r="GPM42" s="92"/>
      <c r="GPN42" s="92"/>
      <c r="GPO42" s="92"/>
      <c r="GPP42" s="92"/>
      <c r="GPQ42" s="92"/>
      <c r="GPR42" s="92"/>
      <c r="GPS42" s="92"/>
      <c r="GPT42" s="92"/>
      <c r="GPU42" s="92"/>
      <c r="GPV42" s="92"/>
      <c r="GPW42" s="92"/>
      <c r="GPX42" s="92"/>
      <c r="GPY42" s="92"/>
      <c r="GPZ42" s="92"/>
      <c r="GQA42" s="92"/>
      <c r="GQB42" s="92"/>
      <c r="GQC42" s="92"/>
      <c r="GQD42" s="92"/>
      <c r="GQE42" s="92"/>
      <c r="GQF42" s="92"/>
      <c r="GQG42" s="92"/>
      <c r="GQH42" s="92"/>
      <c r="GQI42" s="92"/>
      <c r="GQJ42" s="92"/>
      <c r="GQK42" s="92"/>
      <c r="GQL42" s="92"/>
      <c r="GQM42" s="92"/>
      <c r="GQN42" s="92"/>
      <c r="GQO42" s="92"/>
      <c r="GQP42" s="92"/>
      <c r="GQQ42" s="92"/>
      <c r="GQR42" s="92"/>
      <c r="GQS42" s="92"/>
      <c r="GQT42" s="92"/>
      <c r="GQU42" s="92"/>
      <c r="GQV42" s="92"/>
      <c r="GQW42" s="92"/>
      <c r="GQX42" s="92"/>
      <c r="GQY42" s="92"/>
      <c r="GQZ42" s="92"/>
      <c r="GRA42" s="92"/>
      <c r="GRB42" s="92"/>
      <c r="GRC42" s="92"/>
      <c r="GRD42" s="92"/>
      <c r="GRE42" s="92"/>
      <c r="GRF42" s="92"/>
      <c r="GRG42" s="92"/>
      <c r="GRH42" s="92"/>
      <c r="GRI42" s="92"/>
      <c r="GRJ42" s="92"/>
      <c r="GRK42" s="92"/>
      <c r="GRL42" s="92"/>
      <c r="GRM42" s="92"/>
      <c r="GRN42" s="92"/>
      <c r="GRO42" s="92"/>
      <c r="GRP42" s="92"/>
      <c r="GRQ42" s="92"/>
      <c r="GRR42" s="92"/>
      <c r="GRS42" s="92"/>
      <c r="GRT42" s="92"/>
      <c r="GRU42" s="92"/>
      <c r="GRV42" s="92"/>
      <c r="GRW42" s="92"/>
      <c r="GRX42" s="92"/>
      <c r="GRY42" s="92"/>
      <c r="GRZ42" s="92"/>
      <c r="GSA42" s="92"/>
      <c r="GSB42" s="92"/>
      <c r="GSC42" s="92"/>
      <c r="GSD42" s="92"/>
      <c r="GSE42" s="92"/>
      <c r="GSF42" s="92"/>
      <c r="GSG42" s="92"/>
      <c r="GSH42" s="92"/>
      <c r="GSI42" s="92"/>
      <c r="GSJ42" s="92"/>
      <c r="GSK42" s="92"/>
      <c r="GSL42" s="92"/>
      <c r="GSM42" s="92"/>
      <c r="GSN42" s="92"/>
      <c r="GSO42" s="92"/>
      <c r="GSP42" s="92"/>
      <c r="GSQ42" s="92"/>
      <c r="GSR42" s="92"/>
      <c r="GSS42" s="92"/>
      <c r="GST42" s="92"/>
      <c r="GSU42" s="92"/>
      <c r="GSV42" s="92"/>
      <c r="GSW42" s="92"/>
      <c r="GSX42" s="92"/>
      <c r="GSY42" s="92"/>
      <c r="GSZ42" s="92"/>
      <c r="GTA42" s="92"/>
      <c r="GTB42" s="92"/>
      <c r="GTC42" s="92"/>
      <c r="GTD42" s="92"/>
      <c r="GTE42" s="92"/>
      <c r="GTF42" s="92"/>
      <c r="GTG42" s="92"/>
      <c r="GTH42" s="92"/>
      <c r="GTI42" s="92"/>
      <c r="GTJ42" s="92"/>
      <c r="GTK42" s="92"/>
      <c r="GTL42" s="92"/>
      <c r="GTM42" s="92"/>
      <c r="GTN42" s="92"/>
      <c r="GTO42" s="92"/>
      <c r="GTP42" s="92"/>
      <c r="GTQ42" s="92"/>
      <c r="GTR42" s="92"/>
      <c r="GTS42" s="92"/>
      <c r="GTT42" s="92"/>
      <c r="GTU42" s="92"/>
      <c r="GTV42" s="92"/>
      <c r="GTW42" s="92"/>
      <c r="GTX42" s="92"/>
      <c r="GTY42" s="92"/>
      <c r="GTZ42" s="92"/>
      <c r="GUA42" s="92"/>
      <c r="GUB42" s="92"/>
      <c r="GUC42" s="92"/>
      <c r="GUD42" s="92"/>
      <c r="GUE42" s="92"/>
      <c r="GUF42" s="92"/>
      <c r="GUG42" s="92"/>
      <c r="GUH42" s="92"/>
      <c r="GUI42" s="92"/>
      <c r="GUJ42" s="92"/>
      <c r="GUK42" s="92"/>
      <c r="GUL42" s="92"/>
      <c r="GUM42" s="92"/>
      <c r="GUN42" s="92"/>
      <c r="GUO42" s="92"/>
      <c r="GUP42" s="92"/>
      <c r="GUQ42" s="92"/>
      <c r="GUR42" s="92"/>
      <c r="GUS42" s="92"/>
      <c r="GUT42" s="92"/>
      <c r="GUU42" s="92"/>
      <c r="GUV42" s="92"/>
      <c r="GUW42" s="92"/>
      <c r="GUX42" s="92"/>
      <c r="GUY42" s="92"/>
      <c r="GUZ42" s="92"/>
      <c r="GVA42" s="92"/>
      <c r="GVB42" s="92"/>
      <c r="GVC42" s="92"/>
      <c r="GVD42" s="92"/>
      <c r="GVE42" s="92"/>
      <c r="GVF42" s="92"/>
      <c r="GVG42" s="92"/>
      <c r="GVH42" s="92"/>
      <c r="GVI42" s="92"/>
      <c r="GVJ42" s="92"/>
      <c r="GVK42" s="92"/>
      <c r="GVL42" s="92"/>
      <c r="GVM42" s="92"/>
      <c r="GVN42" s="92"/>
      <c r="GVO42" s="92"/>
      <c r="GVP42" s="92"/>
      <c r="GVQ42" s="92"/>
      <c r="GVR42" s="92"/>
      <c r="GVS42" s="92"/>
      <c r="GVT42" s="92"/>
      <c r="GVU42" s="92"/>
      <c r="GVV42" s="92"/>
      <c r="GVW42" s="92"/>
      <c r="GVX42" s="92"/>
      <c r="GVY42" s="92"/>
      <c r="GVZ42" s="92"/>
      <c r="GWA42" s="92"/>
      <c r="GWB42" s="92"/>
      <c r="GWC42" s="92"/>
      <c r="GWD42" s="92"/>
      <c r="GWE42" s="92"/>
      <c r="GWF42" s="92"/>
      <c r="GWG42" s="92"/>
      <c r="GWH42" s="92"/>
      <c r="GWI42" s="92"/>
      <c r="GWJ42" s="92"/>
      <c r="GWK42" s="92"/>
      <c r="GWL42" s="92"/>
      <c r="GWM42" s="92"/>
      <c r="GWN42" s="92"/>
      <c r="GWO42" s="92"/>
      <c r="GWP42" s="92"/>
      <c r="GWQ42" s="92"/>
      <c r="GWR42" s="92"/>
      <c r="GWS42" s="92"/>
      <c r="GWT42" s="92"/>
      <c r="GWU42" s="92"/>
      <c r="GWV42" s="92"/>
      <c r="GWW42" s="92"/>
      <c r="GWX42" s="92"/>
      <c r="GWY42" s="92"/>
      <c r="GWZ42" s="92"/>
      <c r="GXA42" s="92"/>
      <c r="GXB42" s="92"/>
      <c r="GXC42" s="92"/>
      <c r="GXD42" s="92"/>
      <c r="GXE42" s="92"/>
      <c r="GXF42" s="92"/>
      <c r="GXG42" s="92"/>
      <c r="GXH42" s="92"/>
      <c r="GXI42" s="92"/>
      <c r="GXJ42" s="92"/>
      <c r="GXK42" s="92"/>
      <c r="GXL42" s="92"/>
      <c r="GXM42" s="92"/>
      <c r="GXN42" s="92"/>
      <c r="GXO42" s="92"/>
      <c r="GXP42" s="92"/>
      <c r="GXQ42" s="92"/>
      <c r="GXR42" s="92"/>
      <c r="GXS42" s="92"/>
      <c r="GXT42" s="92"/>
      <c r="GXU42" s="92"/>
      <c r="GXV42" s="92"/>
      <c r="GXW42" s="92"/>
      <c r="GXX42" s="92"/>
      <c r="GXY42" s="92"/>
      <c r="GXZ42" s="92"/>
      <c r="GYA42" s="92"/>
      <c r="GYB42" s="92"/>
      <c r="GYC42" s="92"/>
      <c r="GYD42" s="92"/>
      <c r="GYE42" s="92"/>
      <c r="GYF42" s="92"/>
      <c r="GYG42" s="92"/>
      <c r="GYH42" s="92"/>
      <c r="GYI42" s="92"/>
      <c r="GYJ42" s="92"/>
      <c r="GYK42" s="92"/>
      <c r="GYL42" s="92"/>
      <c r="GYM42" s="92"/>
      <c r="GYN42" s="92"/>
      <c r="GYO42" s="92"/>
      <c r="GYP42" s="92"/>
      <c r="GYQ42" s="92"/>
      <c r="GYR42" s="92"/>
      <c r="GYS42" s="92"/>
      <c r="GYT42" s="92"/>
      <c r="GYU42" s="92"/>
      <c r="GYV42" s="92"/>
      <c r="GYW42" s="92"/>
      <c r="GYX42" s="92"/>
      <c r="GYY42" s="92"/>
      <c r="GYZ42" s="92"/>
      <c r="GZA42" s="92"/>
      <c r="GZB42" s="92"/>
      <c r="GZC42" s="92"/>
      <c r="GZD42" s="92"/>
      <c r="GZE42" s="92"/>
      <c r="GZF42" s="92"/>
      <c r="GZG42" s="92"/>
      <c r="GZH42" s="92"/>
      <c r="GZI42" s="92"/>
      <c r="GZJ42" s="92"/>
      <c r="GZK42" s="92"/>
      <c r="GZL42" s="92"/>
      <c r="GZM42" s="92"/>
      <c r="GZN42" s="92"/>
      <c r="GZO42" s="92"/>
      <c r="GZP42" s="92"/>
      <c r="GZQ42" s="92"/>
      <c r="GZR42" s="92"/>
      <c r="GZS42" s="92"/>
      <c r="GZT42" s="92"/>
      <c r="GZU42" s="92"/>
      <c r="GZV42" s="92"/>
      <c r="GZW42" s="92"/>
      <c r="GZX42" s="92"/>
      <c r="GZY42" s="92"/>
      <c r="GZZ42" s="92"/>
      <c r="HAA42" s="92"/>
      <c r="HAB42" s="92"/>
      <c r="HAC42" s="92"/>
      <c r="HAD42" s="92"/>
      <c r="HAE42" s="92"/>
      <c r="HAF42" s="92"/>
      <c r="HAG42" s="92"/>
      <c r="HAH42" s="92"/>
      <c r="HAI42" s="92"/>
      <c r="HAJ42" s="92"/>
      <c r="HAK42" s="92"/>
      <c r="HAL42" s="92"/>
      <c r="HAM42" s="92"/>
      <c r="HAN42" s="92"/>
      <c r="HAO42" s="92"/>
      <c r="HAP42" s="92"/>
      <c r="HAQ42" s="92"/>
      <c r="HAR42" s="92"/>
      <c r="HAS42" s="92"/>
      <c r="HAT42" s="92"/>
      <c r="HAU42" s="92"/>
      <c r="HAV42" s="92"/>
      <c r="HAW42" s="92"/>
      <c r="HAX42" s="92"/>
      <c r="HAY42" s="92"/>
      <c r="HAZ42" s="92"/>
      <c r="HBA42" s="92"/>
      <c r="HBB42" s="92"/>
      <c r="HBC42" s="92"/>
      <c r="HBD42" s="92"/>
      <c r="HBE42" s="92"/>
      <c r="HBF42" s="92"/>
      <c r="HBG42" s="92"/>
      <c r="HBH42" s="92"/>
      <c r="HBI42" s="92"/>
      <c r="HBJ42" s="92"/>
      <c r="HBK42" s="92"/>
      <c r="HBL42" s="92"/>
      <c r="HBM42" s="92"/>
      <c r="HBN42" s="92"/>
      <c r="HBO42" s="92"/>
      <c r="HBP42" s="92"/>
      <c r="HBQ42" s="92"/>
      <c r="HBR42" s="92"/>
      <c r="HBS42" s="92"/>
      <c r="HBT42" s="92"/>
      <c r="HBU42" s="92"/>
      <c r="HBV42" s="92"/>
      <c r="HBW42" s="92"/>
      <c r="HBX42" s="92"/>
      <c r="HBY42" s="92"/>
      <c r="HBZ42" s="92"/>
      <c r="HCA42" s="92"/>
      <c r="HCB42" s="92"/>
      <c r="HCC42" s="92"/>
      <c r="HCD42" s="92"/>
      <c r="HCE42" s="92"/>
      <c r="HCF42" s="92"/>
      <c r="HCG42" s="92"/>
      <c r="HCH42" s="92"/>
      <c r="HCI42" s="92"/>
      <c r="HCJ42" s="92"/>
      <c r="HCK42" s="92"/>
      <c r="HCL42" s="92"/>
      <c r="HCM42" s="92"/>
      <c r="HCN42" s="92"/>
      <c r="HCO42" s="92"/>
      <c r="HCP42" s="92"/>
      <c r="HCQ42" s="92"/>
      <c r="HCR42" s="92"/>
      <c r="HCS42" s="92"/>
      <c r="HCT42" s="92"/>
      <c r="HCU42" s="92"/>
      <c r="HCV42" s="92"/>
      <c r="HCW42" s="92"/>
      <c r="HCX42" s="92"/>
      <c r="HCY42" s="92"/>
      <c r="HCZ42" s="92"/>
      <c r="HDA42" s="92"/>
      <c r="HDB42" s="92"/>
      <c r="HDC42" s="92"/>
      <c r="HDD42" s="92"/>
      <c r="HDE42" s="92"/>
      <c r="HDF42" s="92"/>
      <c r="HDG42" s="92"/>
      <c r="HDH42" s="92"/>
      <c r="HDI42" s="92"/>
      <c r="HDJ42" s="92"/>
      <c r="HDK42" s="92"/>
      <c r="HDL42" s="92"/>
      <c r="HDM42" s="92"/>
      <c r="HDN42" s="92"/>
      <c r="HDO42" s="92"/>
      <c r="HDP42" s="92"/>
      <c r="HDQ42" s="92"/>
      <c r="HDR42" s="92"/>
      <c r="HDS42" s="92"/>
      <c r="HDT42" s="92"/>
      <c r="HDU42" s="92"/>
      <c r="HDV42" s="92"/>
      <c r="HDW42" s="92"/>
      <c r="HDX42" s="92"/>
      <c r="HDY42" s="92"/>
      <c r="HDZ42" s="92"/>
      <c r="HEA42" s="92"/>
      <c r="HEB42" s="92"/>
      <c r="HEC42" s="92"/>
      <c r="HED42" s="92"/>
      <c r="HEE42" s="92"/>
      <c r="HEF42" s="92"/>
      <c r="HEG42" s="92"/>
      <c r="HEH42" s="92"/>
      <c r="HEI42" s="92"/>
      <c r="HEJ42" s="92"/>
      <c r="HEK42" s="92"/>
      <c r="HEL42" s="92"/>
      <c r="HEM42" s="92"/>
      <c r="HEN42" s="92"/>
      <c r="HEO42" s="92"/>
      <c r="HEP42" s="92"/>
      <c r="HEQ42" s="92"/>
      <c r="HER42" s="92"/>
      <c r="HES42" s="92"/>
      <c r="HET42" s="92"/>
      <c r="HEU42" s="92"/>
      <c r="HEV42" s="92"/>
      <c r="HEW42" s="92"/>
      <c r="HEX42" s="92"/>
      <c r="HEY42" s="92"/>
      <c r="HEZ42" s="92"/>
      <c r="HFA42" s="92"/>
      <c r="HFB42" s="92"/>
      <c r="HFC42" s="92"/>
      <c r="HFD42" s="92"/>
      <c r="HFE42" s="92"/>
      <c r="HFF42" s="92"/>
      <c r="HFG42" s="92"/>
      <c r="HFH42" s="92"/>
      <c r="HFI42" s="92"/>
      <c r="HFJ42" s="92"/>
      <c r="HFK42" s="92"/>
      <c r="HFL42" s="92"/>
      <c r="HFM42" s="92"/>
      <c r="HFN42" s="92"/>
      <c r="HFO42" s="92"/>
      <c r="HFP42" s="92"/>
      <c r="HFQ42" s="92"/>
      <c r="HFR42" s="92"/>
      <c r="HFS42" s="92"/>
      <c r="HFT42" s="92"/>
      <c r="HFU42" s="92"/>
      <c r="HFV42" s="92"/>
      <c r="HFW42" s="92"/>
      <c r="HFX42" s="92"/>
      <c r="HFY42" s="92"/>
      <c r="HFZ42" s="92"/>
      <c r="HGA42" s="92"/>
      <c r="HGB42" s="92"/>
      <c r="HGC42" s="92"/>
      <c r="HGD42" s="92"/>
      <c r="HGE42" s="92"/>
      <c r="HGF42" s="92"/>
      <c r="HGG42" s="92"/>
      <c r="HGH42" s="92"/>
      <c r="HGI42" s="92"/>
      <c r="HGJ42" s="92"/>
      <c r="HGK42" s="92"/>
      <c r="HGL42" s="92"/>
      <c r="HGM42" s="92"/>
      <c r="HGN42" s="92"/>
      <c r="HGO42" s="92"/>
      <c r="HGP42" s="92"/>
      <c r="HGQ42" s="92"/>
      <c r="HGR42" s="92"/>
      <c r="HGS42" s="92"/>
      <c r="HGT42" s="92"/>
      <c r="HGU42" s="92"/>
      <c r="HGV42" s="92"/>
      <c r="HGW42" s="92"/>
      <c r="HGX42" s="92"/>
      <c r="HGY42" s="92"/>
      <c r="HGZ42" s="92"/>
      <c r="HHA42" s="92"/>
      <c r="HHB42" s="92"/>
      <c r="HHC42" s="92"/>
      <c r="HHD42" s="92"/>
      <c r="HHE42" s="92"/>
      <c r="HHF42" s="92"/>
      <c r="HHG42" s="92"/>
      <c r="HHH42" s="92"/>
      <c r="HHI42" s="92"/>
      <c r="HHJ42" s="92"/>
      <c r="HHK42" s="92"/>
      <c r="HHL42" s="92"/>
      <c r="HHM42" s="92"/>
      <c r="HHN42" s="92"/>
      <c r="HHO42" s="92"/>
      <c r="HHP42" s="92"/>
      <c r="HHQ42" s="92"/>
      <c r="HHR42" s="92"/>
      <c r="HHS42" s="92"/>
      <c r="HHT42" s="92"/>
      <c r="HHU42" s="92"/>
      <c r="HHV42" s="92"/>
      <c r="HHW42" s="92"/>
      <c r="HHX42" s="92"/>
      <c r="HHY42" s="92"/>
      <c r="HHZ42" s="92"/>
      <c r="HIA42" s="92"/>
      <c r="HIB42" s="92"/>
      <c r="HIC42" s="92"/>
      <c r="HID42" s="92"/>
      <c r="HIE42" s="92"/>
      <c r="HIF42" s="92"/>
      <c r="HIG42" s="92"/>
      <c r="HIH42" s="92"/>
      <c r="HII42" s="92"/>
      <c r="HIJ42" s="92"/>
      <c r="HIK42" s="92"/>
      <c r="HIL42" s="92"/>
      <c r="HIM42" s="92"/>
      <c r="HIN42" s="92"/>
      <c r="HIO42" s="92"/>
      <c r="HIP42" s="92"/>
      <c r="HIQ42" s="92"/>
      <c r="HIR42" s="92"/>
      <c r="HIS42" s="92"/>
      <c r="HIT42" s="92"/>
      <c r="HIU42" s="92"/>
      <c r="HIV42" s="92"/>
      <c r="HIW42" s="92"/>
      <c r="HIX42" s="92"/>
      <c r="HIY42" s="92"/>
      <c r="HIZ42" s="92"/>
      <c r="HJA42" s="92"/>
      <c r="HJB42" s="92"/>
      <c r="HJC42" s="92"/>
      <c r="HJD42" s="92"/>
      <c r="HJE42" s="92"/>
      <c r="HJF42" s="92"/>
      <c r="HJG42" s="92"/>
      <c r="HJH42" s="92"/>
      <c r="HJI42" s="92"/>
      <c r="HJJ42" s="92"/>
      <c r="HJK42" s="92"/>
      <c r="HJL42" s="92"/>
      <c r="HJM42" s="92"/>
      <c r="HJN42" s="92"/>
      <c r="HJO42" s="92"/>
      <c r="HJP42" s="92"/>
      <c r="HJQ42" s="92"/>
      <c r="HJR42" s="92"/>
      <c r="HJS42" s="92"/>
      <c r="HJT42" s="92"/>
      <c r="HJU42" s="92"/>
      <c r="HJV42" s="92"/>
      <c r="HJW42" s="92"/>
      <c r="HJX42" s="92"/>
      <c r="HJY42" s="92"/>
      <c r="HJZ42" s="92"/>
      <c r="HKA42" s="92"/>
      <c r="HKB42" s="92"/>
      <c r="HKC42" s="92"/>
      <c r="HKD42" s="92"/>
      <c r="HKE42" s="92"/>
      <c r="HKF42" s="92"/>
      <c r="HKG42" s="92"/>
      <c r="HKH42" s="92"/>
      <c r="HKI42" s="92"/>
      <c r="HKJ42" s="92"/>
      <c r="HKK42" s="92"/>
      <c r="HKL42" s="92"/>
      <c r="HKM42" s="92"/>
      <c r="HKN42" s="92"/>
      <c r="HKO42" s="92"/>
      <c r="HKP42" s="92"/>
      <c r="HKQ42" s="92"/>
      <c r="HKR42" s="92"/>
      <c r="HKS42" s="92"/>
      <c r="HKT42" s="92"/>
      <c r="HKU42" s="92"/>
      <c r="HKV42" s="92"/>
      <c r="HKW42" s="92"/>
      <c r="HKX42" s="92"/>
      <c r="HKY42" s="92"/>
      <c r="HKZ42" s="92"/>
      <c r="HLA42" s="92"/>
      <c r="HLB42" s="92"/>
      <c r="HLC42" s="92"/>
      <c r="HLD42" s="92"/>
      <c r="HLE42" s="92"/>
      <c r="HLF42" s="92"/>
      <c r="HLG42" s="92"/>
      <c r="HLH42" s="92"/>
      <c r="HLI42" s="92"/>
      <c r="HLJ42" s="92"/>
      <c r="HLK42" s="92"/>
      <c r="HLL42" s="92"/>
      <c r="HLM42" s="92"/>
      <c r="HLN42" s="92"/>
      <c r="HLO42" s="92"/>
      <c r="HLP42" s="92"/>
      <c r="HLQ42" s="92"/>
      <c r="HLR42" s="92"/>
      <c r="HLS42" s="92"/>
      <c r="HLT42" s="92"/>
      <c r="HLU42" s="92"/>
      <c r="HLV42" s="92"/>
      <c r="HLW42" s="92"/>
      <c r="HLX42" s="92"/>
      <c r="HLY42" s="92"/>
      <c r="HLZ42" s="92"/>
      <c r="HMA42" s="92"/>
      <c r="HMB42" s="92"/>
      <c r="HMC42" s="92"/>
      <c r="HMD42" s="92"/>
      <c r="HME42" s="92"/>
      <c r="HMF42" s="92"/>
      <c r="HMG42" s="92"/>
      <c r="HMH42" s="92"/>
      <c r="HMI42" s="92"/>
      <c r="HMJ42" s="92"/>
      <c r="HMK42" s="92"/>
      <c r="HML42" s="92"/>
      <c r="HMM42" s="92"/>
      <c r="HMN42" s="92"/>
      <c r="HMO42" s="92"/>
      <c r="HMP42" s="92"/>
      <c r="HMQ42" s="92"/>
      <c r="HMR42" s="92"/>
      <c r="HMS42" s="92"/>
      <c r="HMT42" s="92"/>
      <c r="HMU42" s="92"/>
      <c r="HMV42" s="92"/>
      <c r="HMW42" s="92"/>
      <c r="HMX42" s="92"/>
      <c r="HMY42" s="92"/>
      <c r="HMZ42" s="92"/>
      <c r="HNA42" s="92"/>
      <c r="HNB42" s="92"/>
      <c r="HNC42" s="92"/>
      <c r="HND42" s="92"/>
      <c r="HNE42" s="92"/>
      <c r="HNF42" s="92"/>
      <c r="HNG42" s="92"/>
      <c r="HNH42" s="92"/>
      <c r="HNI42" s="92"/>
      <c r="HNJ42" s="92"/>
      <c r="HNK42" s="92"/>
      <c r="HNL42" s="92"/>
      <c r="HNM42" s="92"/>
      <c r="HNN42" s="92"/>
      <c r="HNO42" s="92"/>
      <c r="HNP42" s="92"/>
      <c r="HNQ42" s="92"/>
      <c r="HNR42" s="92"/>
      <c r="HNS42" s="92"/>
      <c r="HNT42" s="92"/>
      <c r="HNU42" s="92"/>
      <c r="HNV42" s="92"/>
      <c r="HNW42" s="92"/>
      <c r="HNX42" s="92"/>
      <c r="HNY42" s="92"/>
      <c r="HNZ42" s="92"/>
      <c r="HOA42" s="92"/>
      <c r="HOB42" s="92"/>
      <c r="HOC42" s="92"/>
      <c r="HOD42" s="92"/>
      <c r="HOE42" s="92"/>
      <c r="HOF42" s="92"/>
      <c r="HOG42" s="92"/>
      <c r="HOH42" s="92"/>
      <c r="HOI42" s="92"/>
      <c r="HOJ42" s="92"/>
      <c r="HOK42" s="92"/>
      <c r="HOL42" s="92"/>
      <c r="HOM42" s="92"/>
      <c r="HON42" s="92"/>
      <c r="HOO42" s="92"/>
      <c r="HOP42" s="92"/>
      <c r="HOQ42" s="92"/>
      <c r="HOR42" s="92"/>
      <c r="HOS42" s="92"/>
      <c r="HOT42" s="92"/>
      <c r="HOU42" s="92"/>
      <c r="HOV42" s="92"/>
      <c r="HOW42" s="92"/>
      <c r="HOX42" s="92"/>
      <c r="HOY42" s="92"/>
      <c r="HOZ42" s="92"/>
      <c r="HPA42" s="92"/>
      <c r="HPB42" s="92"/>
      <c r="HPC42" s="92"/>
      <c r="HPD42" s="92"/>
      <c r="HPE42" s="92"/>
      <c r="HPF42" s="92"/>
      <c r="HPG42" s="92"/>
      <c r="HPH42" s="92"/>
      <c r="HPI42" s="92"/>
      <c r="HPJ42" s="92"/>
      <c r="HPK42" s="92"/>
      <c r="HPL42" s="92"/>
      <c r="HPM42" s="92"/>
      <c r="HPN42" s="92"/>
      <c r="HPO42" s="92"/>
      <c r="HPP42" s="92"/>
      <c r="HPQ42" s="92"/>
      <c r="HPR42" s="92"/>
      <c r="HPS42" s="92"/>
      <c r="HPT42" s="92"/>
      <c r="HPU42" s="92"/>
      <c r="HPV42" s="92"/>
      <c r="HPW42" s="92"/>
      <c r="HPX42" s="92"/>
      <c r="HPY42" s="92"/>
      <c r="HPZ42" s="92"/>
      <c r="HQA42" s="92"/>
      <c r="HQB42" s="92"/>
      <c r="HQC42" s="92"/>
      <c r="HQD42" s="92"/>
      <c r="HQE42" s="92"/>
      <c r="HQF42" s="92"/>
      <c r="HQG42" s="92"/>
      <c r="HQH42" s="92"/>
      <c r="HQI42" s="92"/>
      <c r="HQJ42" s="92"/>
      <c r="HQK42" s="92"/>
      <c r="HQL42" s="92"/>
      <c r="HQM42" s="92"/>
      <c r="HQN42" s="92"/>
      <c r="HQO42" s="92"/>
      <c r="HQP42" s="92"/>
      <c r="HQQ42" s="92"/>
      <c r="HQR42" s="92"/>
      <c r="HQS42" s="92"/>
      <c r="HQT42" s="92"/>
      <c r="HQU42" s="92"/>
      <c r="HQV42" s="92"/>
      <c r="HQW42" s="92"/>
      <c r="HQX42" s="92"/>
      <c r="HQY42" s="92"/>
      <c r="HQZ42" s="92"/>
      <c r="HRA42" s="92"/>
      <c r="HRB42" s="92"/>
      <c r="HRC42" s="92"/>
      <c r="HRD42" s="92"/>
      <c r="HRE42" s="92"/>
      <c r="HRF42" s="92"/>
      <c r="HRG42" s="92"/>
      <c r="HRH42" s="92"/>
      <c r="HRI42" s="92"/>
      <c r="HRJ42" s="92"/>
      <c r="HRK42" s="92"/>
      <c r="HRL42" s="92"/>
      <c r="HRM42" s="92"/>
      <c r="HRN42" s="92"/>
      <c r="HRO42" s="92"/>
      <c r="HRP42" s="92"/>
      <c r="HRQ42" s="92"/>
      <c r="HRR42" s="92"/>
      <c r="HRS42" s="92"/>
      <c r="HRT42" s="92"/>
      <c r="HRU42" s="92"/>
      <c r="HRV42" s="92"/>
      <c r="HRW42" s="92"/>
      <c r="HRX42" s="92"/>
      <c r="HRY42" s="92"/>
      <c r="HRZ42" s="92"/>
      <c r="HSA42" s="92"/>
      <c r="HSB42" s="92"/>
      <c r="HSC42" s="92"/>
      <c r="HSD42" s="92"/>
      <c r="HSE42" s="92"/>
      <c r="HSF42" s="92"/>
      <c r="HSG42" s="92"/>
      <c r="HSH42" s="92"/>
      <c r="HSI42" s="92"/>
      <c r="HSJ42" s="92"/>
      <c r="HSK42" s="92"/>
      <c r="HSL42" s="92"/>
      <c r="HSM42" s="92"/>
      <c r="HSN42" s="92"/>
      <c r="HSO42" s="92"/>
      <c r="HSP42" s="92"/>
      <c r="HSQ42" s="92"/>
      <c r="HSR42" s="92"/>
      <c r="HSS42" s="92"/>
      <c r="HST42" s="92"/>
      <c r="HSU42" s="92"/>
      <c r="HSV42" s="92"/>
      <c r="HSW42" s="92"/>
      <c r="HSX42" s="92"/>
      <c r="HSY42" s="92"/>
      <c r="HSZ42" s="92"/>
      <c r="HTA42" s="92"/>
      <c r="HTB42" s="92"/>
      <c r="HTC42" s="92"/>
      <c r="HTD42" s="92"/>
      <c r="HTE42" s="92"/>
      <c r="HTF42" s="92"/>
      <c r="HTG42" s="92"/>
      <c r="HTH42" s="92"/>
      <c r="HTI42" s="92"/>
      <c r="HTJ42" s="92"/>
      <c r="HTK42" s="92"/>
      <c r="HTL42" s="92"/>
      <c r="HTM42" s="92"/>
      <c r="HTN42" s="92"/>
      <c r="HTO42" s="92"/>
      <c r="HTP42" s="92"/>
      <c r="HTQ42" s="92"/>
      <c r="HTR42" s="92"/>
      <c r="HTS42" s="92"/>
      <c r="HTT42" s="92"/>
      <c r="HTU42" s="92"/>
      <c r="HTV42" s="92"/>
      <c r="HTW42" s="92"/>
      <c r="HTX42" s="92"/>
      <c r="HTY42" s="92"/>
      <c r="HTZ42" s="92"/>
      <c r="HUA42" s="92"/>
      <c r="HUB42" s="92"/>
      <c r="HUC42" s="92"/>
      <c r="HUD42" s="92"/>
      <c r="HUE42" s="92"/>
      <c r="HUF42" s="92"/>
      <c r="HUG42" s="92"/>
      <c r="HUH42" s="92"/>
      <c r="HUI42" s="92"/>
      <c r="HUJ42" s="92"/>
      <c r="HUK42" s="92"/>
      <c r="HUL42" s="92"/>
      <c r="HUM42" s="92"/>
      <c r="HUN42" s="92"/>
      <c r="HUO42" s="92"/>
      <c r="HUP42" s="92"/>
      <c r="HUQ42" s="92"/>
      <c r="HUR42" s="92"/>
      <c r="HUS42" s="92"/>
      <c r="HUT42" s="92"/>
      <c r="HUU42" s="92"/>
      <c r="HUV42" s="92"/>
      <c r="HUW42" s="92"/>
      <c r="HUX42" s="92"/>
      <c r="HUY42" s="92"/>
      <c r="HUZ42" s="92"/>
      <c r="HVA42" s="92"/>
      <c r="HVB42" s="92"/>
      <c r="HVC42" s="92"/>
      <c r="HVD42" s="92"/>
      <c r="HVE42" s="92"/>
      <c r="HVF42" s="92"/>
      <c r="HVG42" s="92"/>
      <c r="HVH42" s="92"/>
      <c r="HVI42" s="92"/>
      <c r="HVJ42" s="92"/>
      <c r="HVK42" s="92"/>
      <c r="HVL42" s="92"/>
      <c r="HVM42" s="92"/>
      <c r="HVN42" s="92"/>
      <c r="HVO42" s="92"/>
      <c r="HVP42" s="92"/>
      <c r="HVQ42" s="92"/>
      <c r="HVR42" s="92"/>
      <c r="HVS42" s="92"/>
      <c r="HVT42" s="92"/>
      <c r="HVU42" s="92"/>
      <c r="HVV42" s="92"/>
      <c r="HVW42" s="92"/>
      <c r="HVX42" s="92"/>
      <c r="HVY42" s="92"/>
      <c r="HVZ42" s="92"/>
      <c r="HWA42" s="92"/>
      <c r="HWB42" s="92"/>
      <c r="HWC42" s="92"/>
      <c r="HWD42" s="92"/>
      <c r="HWE42" s="92"/>
      <c r="HWF42" s="92"/>
      <c r="HWG42" s="92"/>
      <c r="HWH42" s="92"/>
      <c r="HWI42" s="92"/>
      <c r="HWJ42" s="92"/>
      <c r="HWK42" s="92"/>
      <c r="HWL42" s="92"/>
      <c r="HWM42" s="92"/>
      <c r="HWN42" s="92"/>
      <c r="HWO42" s="92"/>
      <c r="HWP42" s="92"/>
      <c r="HWQ42" s="92"/>
      <c r="HWR42" s="92"/>
      <c r="HWS42" s="92"/>
      <c r="HWT42" s="92"/>
      <c r="HWU42" s="92"/>
      <c r="HWV42" s="92"/>
      <c r="HWW42" s="92"/>
      <c r="HWX42" s="92"/>
      <c r="HWY42" s="92"/>
      <c r="HWZ42" s="92"/>
      <c r="HXA42" s="92"/>
      <c r="HXB42" s="92"/>
      <c r="HXC42" s="92"/>
      <c r="HXD42" s="92"/>
      <c r="HXE42" s="92"/>
      <c r="HXF42" s="92"/>
      <c r="HXG42" s="92"/>
      <c r="HXH42" s="92"/>
      <c r="HXI42" s="92"/>
      <c r="HXJ42" s="92"/>
      <c r="HXK42" s="92"/>
      <c r="HXL42" s="92"/>
      <c r="HXM42" s="92"/>
      <c r="HXN42" s="92"/>
      <c r="HXO42" s="92"/>
      <c r="HXP42" s="92"/>
      <c r="HXQ42" s="92"/>
      <c r="HXR42" s="92"/>
      <c r="HXS42" s="92"/>
      <c r="HXT42" s="92"/>
      <c r="HXU42" s="92"/>
      <c r="HXV42" s="92"/>
      <c r="HXW42" s="92"/>
      <c r="HXX42" s="92"/>
      <c r="HXY42" s="92"/>
      <c r="HXZ42" s="92"/>
      <c r="HYA42" s="92"/>
      <c r="HYB42" s="92"/>
      <c r="HYC42" s="92"/>
      <c r="HYD42" s="92"/>
      <c r="HYE42" s="92"/>
      <c r="HYF42" s="92"/>
      <c r="HYG42" s="92"/>
      <c r="HYH42" s="92"/>
      <c r="HYI42" s="92"/>
      <c r="HYJ42" s="92"/>
      <c r="HYK42" s="92"/>
      <c r="HYL42" s="92"/>
      <c r="HYM42" s="92"/>
      <c r="HYN42" s="92"/>
      <c r="HYO42" s="92"/>
      <c r="HYP42" s="92"/>
      <c r="HYQ42" s="92"/>
      <c r="HYR42" s="92"/>
      <c r="HYS42" s="92"/>
      <c r="HYT42" s="92"/>
      <c r="HYU42" s="92"/>
      <c r="HYV42" s="92"/>
      <c r="HYW42" s="92"/>
      <c r="HYX42" s="92"/>
      <c r="HYY42" s="92"/>
      <c r="HYZ42" s="92"/>
      <c r="HZA42" s="92"/>
      <c r="HZB42" s="92"/>
      <c r="HZC42" s="92"/>
      <c r="HZD42" s="92"/>
      <c r="HZE42" s="92"/>
      <c r="HZF42" s="92"/>
      <c r="HZG42" s="92"/>
      <c r="HZH42" s="92"/>
      <c r="HZI42" s="92"/>
      <c r="HZJ42" s="92"/>
      <c r="HZK42" s="92"/>
      <c r="HZL42" s="92"/>
      <c r="HZM42" s="92"/>
      <c r="HZN42" s="92"/>
      <c r="HZO42" s="92"/>
      <c r="HZP42" s="92"/>
      <c r="HZQ42" s="92"/>
      <c r="HZR42" s="92"/>
      <c r="HZS42" s="92"/>
      <c r="HZT42" s="92"/>
      <c r="HZU42" s="92"/>
      <c r="HZV42" s="92"/>
      <c r="HZW42" s="92"/>
      <c r="HZX42" s="92"/>
      <c r="HZY42" s="92"/>
      <c r="HZZ42" s="92"/>
      <c r="IAA42" s="92"/>
      <c r="IAB42" s="92"/>
      <c r="IAC42" s="92"/>
      <c r="IAD42" s="92"/>
      <c r="IAE42" s="92"/>
      <c r="IAF42" s="92"/>
      <c r="IAG42" s="92"/>
      <c r="IAH42" s="92"/>
      <c r="IAI42" s="92"/>
      <c r="IAJ42" s="92"/>
      <c r="IAK42" s="92"/>
      <c r="IAL42" s="92"/>
      <c r="IAM42" s="92"/>
      <c r="IAN42" s="92"/>
      <c r="IAO42" s="92"/>
      <c r="IAP42" s="92"/>
      <c r="IAQ42" s="92"/>
      <c r="IAR42" s="92"/>
      <c r="IAS42" s="92"/>
      <c r="IAT42" s="92"/>
      <c r="IAU42" s="92"/>
      <c r="IAV42" s="92"/>
      <c r="IAW42" s="92"/>
      <c r="IAX42" s="92"/>
      <c r="IAY42" s="92"/>
      <c r="IAZ42" s="92"/>
      <c r="IBA42" s="92"/>
      <c r="IBB42" s="92"/>
      <c r="IBC42" s="92"/>
      <c r="IBD42" s="92"/>
      <c r="IBE42" s="92"/>
      <c r="IBF42" s="92"/>
      <c r="IBG42" s="92"/>
      <c r="IBH42" s="92"/>
      <c r="IBI42" s="92"/>
      <c r="IBJ42" s="92"/>
      <c r="IBK42" s="92"/>
      <c r="IBL42" s="92"/>
      <c r="IBM42" s="92"/>
      <c r="IBN42" s="92"/>
      <c r="IBO42" s="92"/>
      <c r="IBP42" s="92"/>
      <c r="IBQ42" s="92"/>
      <c r="IBR42" s="92"/>
      <c r="IBS42" s="92"/>
      <c r="IBT42" s="92"/>
      <c r="IBU42" s="92"/>
      <c r="IBV42" s="92"/>
      <c r="IBW42" s="92"/>
      <c r="IBX42" s="92"/>
      <c r="IBY42" s="92"/>
      <c r="IBZ42" s="92"/>
      <c r="ICA42" s="92"/>
      <c r="ICB42" s="92"/>
      <c r="ICC42" s="92"/>
      <c r="ICD42" s="92"/>
      <c r="ICE42" s="92"/>
      <c r="ICF42" s="92"/>
      <c r="ICG42" s="92"/>
      <c r="ICH42" s="92"/>
      <c r="ICI42" s="92"/>
      <c r="ICJ42" s="92"/>
      <c r="ICK42" s="92"/>
      <c r="ICL42" s="92"/>
      <c r="ICM42" s="92"/>
      <c r="ICN42" s="92"/>
      <c r="ICO42" s="92"/>
      <c r="ICP42" s="92"/>
      <c r="ICQ42" s="92"/>
      <c r="ICR42" s="92"/>
      <c r="ICS42" s="92"/>
      <c r="ICT42" s="92"/>
      <c r="ICU42" s="92"/>
      <c r="ICV42" s="92"/>
      <c r="ICW42" s="92"/>
      <c r="ICX42" s="92"/>
      <c r="ICY42" s="92"/>
      <c r="ICZ42" s="92"/>
      <c r="IDA42" s="92"/>
      <c r="IDB42" s="92"/>
      <c r="IDC42" s="92"/>
      <c r="IDD42" s="92"/>
      <c r="IDE42" s="92"/>
      <c r="IDF42" s="92"/>
      <c r="IDG42" s="92"/>
      <c r="IDH42" s="92"/>
      <c r="IDI42" s="92"/>
      <c r="IDJ42" s="92"/>
      <c r="IDK42" s="92"/>
      <c r="IDL42" s="92"/>
      <c r="IDM42" s="92"/>
      <c r="IDN42" s="92"/>
      <c r="IDO42" s="92"/>
      <c r="IDP42" s="92"/>
      <c r="IDQ42" s="92"/>
      <c r="IDR42" s="92"/>
      <c r="IDS42" s="92"/>
      <c r="IDT42" s="92"/>
      <c r="IDU42" s="92"/>
      <c r="IDV42" s="92"/>
      <c r="IDW42" s="92"/>
      <c r="IDX42" s="92"/>
      <c r="IDY42" s="92"/>
      <c r="IDZ42" s="92"/>
      <c r="IEA42" s="92"/>
      <c r="IEB42" s="92"/>
      <c r="IEC42" s="92"/>
      <c r="IED42" s="92"/>
      <c r="IEE42" s="92"/>
      <c r="IEF42" s="92"/>
      <c r="IEG42" s="92"/>
      <c r="IEH42" s="92"/>
      <c r="IEI42" s="92"/>
      <c r="IEJ42" s="92"/>
      <c r="IEK42" s="92"/>
      <c r="IEL42" s="92"/>
      <c r="IEM42" s="92"/>
      <c r="IEN42" s="92"/>
      <c r="IEO42" s="92"/>
      <c r="IEP42" s="92"/>
      <c r="IEQ42" s="92"/>
      <c r="IER42" s="92"/>
      <c r="IES42" s="92"/>
      <c r="IET42" s="92"/>
      <c r="IEU42" s="92"/>
      <c r="IEV42" s="92"/>
      <c r="IEW42" s="92"/>
      <c r="IEX42" s="92"/>
      <c r="IEY42" s="92"/>
      <c r="IEZ42" s="92"/>
      <c r="IFA42" s="92"/>
      <c r="IFB42" s="92"/>
      <c r="IFC42" s="92"/>
      <c r="IFD42" s="92"/>
      <c r="IFE42" s="92"/>
      <c r="IFF42" s="92"/>
      <c r="IFG42" s="92"/>
      <c r="IFH42" s="92"/>
      <c r="IFI42" s="92"/>
      <c r="IFJ42" s="92"/>
      <c r="IFK42" s="92"/>
      <c r="IFL42" s="92"/>
      <c r="IFM42" s="92"/>
      <c r="IFN42" s="92"/>
      <c r="IFO42" s="92"/>
      <c r="IFP42" s="92"/>
      <c r="IFQ42" s="92"/>
      <c r="IFR42" s="92"/>
      <c r="IFS42" s="92"/>
      <c r="IFT42" s="92"/>
      <c r="IFU42" s="92"/>
      <c r="IFV42" s="92"/>
      <c r="IFW42" s="92"/>
      <c r="IFX42" s="92"/>
      <c r="IFY42" s="92"/>
      <c r="IFZ42" s="92"/>
      <c r="IGA42" s="92"/>
      <c r="IGB42" s="92"/>
      <c r="IGC42" s="92"/>
      <c r="IGD42" s="92"/>
      <c r="IGE42" s="92"/>
      <c r="IGF42" s="92"/>
      <c r="IGG42" s="92"/>
      <c r="IGH42" s="92"/>
      <c r="IGI42" s="92"/>
      <c r="IGJ42" s="92"/>
      <c r="IGK42" s="92"/>
      <c r="IGL42" s="92"/>
      <c r="IGM42" s="92"/>
      <c r="IGN42" s="92"/>
      <c r="IGO42" s="92"/>
      <c r="IGP42" s="92"/>
      <c r="IGQ42" s="92"/>
      <c r="IGR42" s="92"/>
      <c r="IGS42" s="92"/>
      <c r="IGT42" s="92"/>
      <c r="IGU42" s="92"/>
      <c r="IGV42" s="92"/>
      <c r="IGW42" s="92"/>
      <c r="IGX42" s="92"/>
      <c r="IGY42" s="92"/>
      <c r="IGZ42" s="92"/>
      <c r="IHA42" s="92"/>
      <c r="IHB42" s="92"/>
      <c r="IHC42" s="92"/>
      <c r="IHD42" s="92"/>
      <c r="IHE42" s="92"/>
      <c r="IHF42" s="92"/>
      <c r="IHG42" s="92"/>
      <c r="IHH42" s="92"/>
      <c r="IHI42" s="92"/>
      <c r="IHJ42" s="92"/>
      <c r="IHK42" s="92"/>
      <c r="IHL42" s="92"/>
      <c r="IHM42" s="92"/>
      <c r="IHN42" s="92"/>
      <c r="IHO42" s="92"/>
      <c r="IHP42" s="92"/>
      <c r="IHQ42" s="92"/>
      <c r="IHR42" s="92"/>
      <c r="IHS42" s="92"/>
      <c r="IHT42" s="92"/>
      <c r="IHU42" s="92"/>
      <c r="IHV42" s="92"/>
      <c r="IHW42" s="92"/>
      <c r="IHX42" s="92"/>
      <c r="IHY42" s="92"/>
      <c r="IHZ42" s="92"/>
      <c r="IIA42" s="92"/>
      <c r="IIB42" s="92"/>
      <c r="IIC42" s="92"/>
      <c r="IID42" s="92"/>
      <c r="IIE42" s="92"/>
      <c r="IIF42" s="92"/>
      <c r="IIG42" s="92"/>
      <c r="IIH42" s="92"/>
      <c r="III42" s="92"/>
      <c r="IIJ42" s="92"/>
      <c r="IIK42" s="92"/>
      <c r="IIL42" s="92"/>
      <c r="IIM42" s="92"/>
      <c r="IIN42" s="92"/>
      <c r="IIO42" s="92"/>
      <c r="IIP42" s="92"/>
      <c r="IIQ42" s="92"/>
      <c r="IIR42" s="92"/>
      <c r="IIS42" s="92"/>
      <c r="IIT42" s="92"/>
      <c r="IIU42" s="92"/>
      <c r="IIV42" s="92"/>
      <c r="IIW42" s="92"/>
      <c r="IIX42" s="92"/>
      <c r="IIY42" s="92"/>
      <c r="IIZ42" s="92"/>
      <c r="IJA42" s="92"/>
      <c r="IJB42" s="92"/>
      <c r="IJC42" s="92"/>
      <c r="IJD42" s="92"/>
      <c r="IJE42" s="92"/>
      <c r="IJF42" s="92"/>
      <c r="IJG42" s="92"/>
      <c r="IJH42" s="92"/>
      <c r="IJI42" s="92"/>
      <c r="IJJ42" s="92"/>
      <c r="IJK42" s="92"/>
      <c r="IJL42" s="92"/>
      <c r="IJM42" s="92"/>
      <c r="IJN42" s="92"/>
      <c r="IJO42" s="92"/>
      <c r="IJP42" s="92"/>
      <c r="IJQ42" s="92"/>
      <c r="IJR42" s="92"/>
      <c r="IJS42" s="92"/>
      <c r="IJT42" s="92"/>
      <c r="IJU42" s="92"/>
      <c r="IJV42" s="92"/>
      <c r="IJW42" s="92"/>
      <c r="IJX42" s="92"/>
      <c r="IJY42" s="92"/>
      <c r="IJZ42" s="92"/>
      <c r="IKA42" s="92"/>
      <c r="IKB42" s="92"/>
      <c r="IKC42" s="92"/>
      <c r="IKD42" s="92"/>
      <c r="IKE42" s="92"/>
      <c r="IKF42" s="92"/>
      <c r="IKG42" s="92"/>
      <c r="IKH42" s="92"/>
      <c r="IKI42" s="92"/>
      <c r="IKJ42" s="92"/>
      <c r="IKK42" s="92"/>
      <c r="IKL42" s="92"/>
      <c r="IKM42" s="92"/>
      <c r="IKN42" s="92"/>
      <c r="IKO42" s="92"/>
      <c r="IKP42" s="92"/>
      <c r="IKQ42" s="92"/>
      <c r="IKR42" s="92"/>
      <c r="IKS42" s="92"/>
      <c r="IKT42" s="92"/>
      <c r="IKU42" s="92"/>
      <c r="IKV42" s="92"/>
      <c r="IKW42" s="92"/>
      <c r="IKX42" s="92"/>
      <c r="IKY42" s="92"/>
      <c r="IKZ42" s="92"/>
      <c r="ILA42" s="92"/>
      <c r="ILB42" s="92"/>
      <c r="ILC42" s="92"/>
      <c r="ILD42" s="92"/>
      <c r="ILE42" s="92"/>
      <c r="ILF42" s="92"/>
      <c r="ILG42" s="92"/>
      <c r="ILH42" s="92"/>
      <c r="ILI42" s="92"/>
      <c r="ILJ42" s="92"/>
      <c r="ILK42" s="92"/>
      <c r="ILL42" s="92"/>
      <c r="ILM42" s="92"/>
      <c r="ILN42" s="92"/>
      <c r="ILO42" s="92"/>
      <c r="ILP42" s="92"/>
      <c r="ILQ42" s="92"/>
      <c r="ILR42" s="92"/>
      <c r="ILS42" s="92"/>
      <c r="ILT42" s="92"/>
      <c r="ILU42" s="92"/>
      <c r="ILV42" s="92"/>
      <c r="ILW42" s="92"/>
      <c r="ILX42" s="92"/>
      <c r="ILY42" s="92"/>
      <c r="ILZ42" s="92"/>
      <c r="IMA42" s="92"/>
      <c r="IMB42" s="92"/>
      <c r="IMC42" s="92"/>
      <c r="IMD42" s="92"/>
      <c r="IME42" s="92"/>
      <c r="IMF42" s="92"/>
      <c r="IMG42" s="92"/>
      <c r="IMH42" s="92"/>
      <c r="IMI42" s="92"/>
      <c r="IMJ42" s="92"/>
      <c r="IMK42" s="92"/>
      <c r="IML42" s="92"/>
      <c r="IMM42" s="92"/>
      <c r="IMN42" s="92"/>
      <c r="IMO42" s="92"/>
      <c r="IMP42" s="92"/>
      <c r="IMQ42" s="92"/>
      <c r="IMR42" s="92"/>
      <c r="IMS42" s="92"/>
      <c r="IMT42" s="92"/>
      <c r="IMU42" s="92"/>
      <c r="IMV42" s="92"/>
      <c r="IMW42" s="92"/>
      <c r="IMX42" s="92"/>
      <c r="IMY42" s="92"/>
      <c r="IMZ42" s="92"/>
      <c r="INA42" s="92"/>
      <c r="INB42" s="92"/>
      <c r="INC42" s="92"/>
      <c r="IND42" s="92"/>
      <c r="INE42" s="92"/>
      <c r="INF42" s="92"/>
      <c r="ING42" s="92"/>
      <c r="INH42" s="92"/>
      <c r="INI42" s="92"/>
      <c r="INJ42" s="92"/>
      <c r="INK42" s="92"/>
      <c r="INL42" s="92"/>
      <c r="INM42" s="92"/>
      <c r="INN42" s="92"/>
      <c r="INO42" s="92"/>
      <c r="INP42" s="92"/>
      <c r="INQ42" s="92"/>
      <c r="INR42" s="92"/>
      <c r="INS42" s="92"/>
      <c r="INT42" s="92"/>
      <c r="INU42" s="92"/>
      <c r="INV42" s="92"/>
      <c r="INW42" s="92"/>
      <c r="INX42" s="92"/>
      <c r="INY42" s="92"/>
      <c r="INZ42" s="92"/>
      <c r="IOA42" s="92"/>
      <c r="IOB42" s="92"/>
      <c r="IOC42" s="92"/>
      <c r="IOD42" s="92"/>
      <c r="IOE42" s="92"/>
      <c r="IOF42" s="92"/>
      <c r="IOG42" s="92"/>
      <c r="IOH42" s="92"/>
      <c r="IOI42" s="92"/>
      <c r="IOJ42" s="92"/>
      <c r="IOK42" s="92"/>
      <c r="IOL42" s="92"/>
      <c r="IOM42" s="92"/>
      <c r="ION42" s="92"/>
      <c r="IOO42" s="92"/>
      <c r="IOP42" s="92"/>
      <c r="IOQ42" s="92"/>
      <c r="IOR42" s="92"/>
      <c r="IOS42" s="92"/>
      <c r="IOT42" s="92"/>
      <c r="IOU42" s="92"/>
      <c r="IOV42" s="92"/>
      <c r="IOW42" s="92"/>
      <c r="IOX42" s="92"/>
      <c r="IOY42" s="92"/>
      <c r="IOZ42" s="92"/>
      <c r="IPA42" s="92"/>
      <c r="IPB42" s="92"/>
      <c r="IPC42" s="92"/>
      <c r="IPD42" s="92"/>
      <c r="IPE42" s="92"/>
      <c r="IPF42" s="92"/>
      <c r="IPG42" s="92"/>
      <c r="IPH42" s="92"/>
      <c r="IPI42" s="92"/>
      <c r="IPJ42" s="92"/>
      <c r="IPK42" s="92"/>
      <c r="IPL42" s="92"/>
      <c r="IPM42" s="92"/>
      <c r="IPN42" s="92"/>
      <c r="IPO42" s="92"/>
      <c r="IPP42" s="92"/>
      <c r="IPQ42" s="92"/>
      <c r="IPR42" s="92"/>
      <c r="IPS42" s="92"/>
      <c r="IPT42" s="92"/>
      <c r="IPU42" s="92"/>
      <c r="IPV42" s="92"/>
      <c r="IPW42" s="92"/>
      <c r="IPX42" s="92"/>
      <c r="IPY42" s="92"/>
      <c r="IPZ42" s="92"/>
      <c r="IQA42" s="92"/>
      <c r="IQB42" s="92"/>
      <c r="IQC42" s="92"/>
      <c r="IQD42" s="92"/>
      <c r="IQE42" s="92"/>
      <c r="IQF42" s="92"/>
      <c r="IQG42" s="92"/>
      <c r="IQH42" s="92"/>
      <c r="IQI42" s="92"/>
      <c r="IQJ42" s="92"/>
      <c r="IQK42" s="92"/>
      <c r="IQL42" s="92"/>
      <c r="IQM42" s="92"/>
      <c r="IQN42" s="92"/>
      <c r="IQO42" s="92"/>
      <c r="IQP42" s="92"/>
      <c r="IQQ42" s="92"/>
      <c r="IQR42" s="92"/>
      <c r="IQS42" s="92"/>
      <c r="IQT42" s="92"/>
      <c r="IQU42" s="92"/>
      <c r="IQV42" s="92"/>
      <c r="IQW42" s="92"/>
      <c r="IQX42" s="92"/>
      <c r="IQY42" s="92"/>
      <c r="IQZ42" s="92"/>
      <c r="IRA42" s="92"/>
      <c r="IRB42" s="92"/>
      <c r="IRC42" s="92"/>
      <c r="IRD42" s="92"/>
      <c r="IRE42" s="92"/>
      <c r="IRF42" s="92"/>
      <c r="IRG42" s="92"/>
      <c r="IRH42" s="92"/>
      <c r="IRI42" s="92"/>
      <c r="IRJ42" s="92"/>
      <c r="IRK42" s="92"/>
      <c r="IRL42" s="92"/>
      <c r="IRM42" s="92"/>
      <c r="IRN42" s="92"/>
      <c r="IRO42" s="92"/>
      <c r="IRP42" s="92"/>
      <c r="IRQ42" s="92"/>
      <c r="IRR42" s="92"/>
      <c r="IRS42" s="92"/>
      <c r="IRT42" s="92"/>
      <c r="IRU42" s="92"/>
      <c r="IRV42" s="92"/>
      <c r="IRW42" s="92"/>
      <c r="IRX42" s="92"/>
      <c r="IRY42" s="92"/>
      <c r="IRZ42" s="92"/>
      <c r="ISA42" s="92"/>
      <c r="ISB42" s="92"/>
      <c r="ISC42" s="92"/>
      <c r="ISD42" s="92"/>
      <c r="ISE42" s="92"/>
      <c r="ISF42" s="92"/>
      <c r="ISG42" s="92"/>
      <c r="ISH42" s="92"/>
      <c r="ISI42" s="92"/>
      <c r="ISJ42" s="92"/>
      <c r="ISK42" s="92"/>
      <c r="ISL42" s="92"/>
      <c r="ISM42" s="92"/>
      <c r="ISN42" s="92"/>
      <c r="ISO42" s="92"/>
      <c r="ISP42" s="92"/>
      <c r="ISQ42" s="92"/>
      <c r="ISR42" s="92"/>
      <c r="ISS42" s="92"/>
      <c r="IST42" s="92"/>
      <c r="ISU42" s="92"/>
      <c r="ISV42" s="92"/>
      <c r="ISW42" s="92"/>
      <c r="ISX42" s="92"/>
      <c r="ISY42" s="92"/>
      <c r="ISZ42" s="92"/>
      <c r="ITA42" s="92"/>
      <c r="ITB42" s="92"/>
      <c r="ITC42" s="92"/>
      <c r="ITD42" s="92"/>
      <c r="ITE42" s="92"/>
      <c r="ITF42" s="92"/>
      <c r="ITG42" s="92"/>
      <c r="ITH42" s="92"/>
      <c r="ITI42" s="92"/>
      <c r="ITJ42" s="92"/>
      <c r="ITK42" s="92"/>
      <c r="ITL42" s="92"/>
      <c r="ITM42" s="92"/>
      <c r="ITN42" s="92"/>
      <c r="ITO42" s="92"/>
      <c r="ITP42" s="92"/>
      <c r="ITQ42" s="92"/>
      <c r="ITR42" s="92"/>
      <c r="ITS42" s="92"/>
      <c r="ITT42" s="92"/>
      <c r="ITU42" s="92"/>
      <c r="ITV42" s="92"/>
      <c r="ITW42" s="92"/>
      <c r="ITX42" s="92"/>
      <c r="ITY42" s="92"/>
      <c r="ITZ42" s="92"/>
      <c r="IUA42" s="92"/>
      <c r="IUB42" s="92"/>
      <c r="IUC42" s="92"/>
      <c r="IUD42" s="92"/>
      <c r="IUE42" s="92"/>
      <c r="IUF42" s="92"/>
      <c r="IUG42" s="92"/>
      <c r="IUH42" s="92"/>
      <c r="IUI42" s="92"/>
      <c r="IUJ42" s="92"/>
      <c r="IUK42" s="92"/>
      <c r="IUL42" s="92"/>
      <c r="IUM42" s="92"/>
      <c r="IUN42" s="92"/>
      <c r="IUO42" s="92"/>
      <c r="IUP42" s="92"/>
      <c r="IUQ42" s="92"/>
      <c r="IUR42" s="92"/>
      <c r="IUS42" s="92"/>
      <c r="IUT42" s="92"/>
      <c r="IUU42" s="92"/>
      <c r="IUV42" s="92"/>
      <c r="IUW42" s="92"/>
      <c r="IUX42" s="92"/>
      <c r="IUY42" s="92"/>
      <c r="IUZ42" s="92"/>
      <c r="IVA42" s="92"/>
      <c r="IVB42" s="92"/>
      <c r="IVC42" s="92"/>
      <c r="IVD42" s="92"/>
      <c r="IVE42" s="92"/>
      <c r="IVF42" s="92"/>
      <c r="IVG42" s="92"/>
      <c r="IVH42" s="92"/>
      <c r="IVI42" s="92"/>
      <c r="IVJ42" s="92"/>
      <c r="IVK42" s="92"/>
      <c r="IVL42" s="92"/>
      <c r="IVM42" s="92"/>
      <c r="IVN42" s="92"/>
      <c r="IVO42" s="92"/>
      <c r="IVP42" s="92"/>
      <c r="IVQ42" s="92"/>
      <c r="IVR42" s="92"/>
      <c r="IVS42" s="92"/>
      <c r="IVT42" s="92"/>
      <c r="IVU42" s="92"/>
      <c r="IVV42" s="92"/>
      <c r="IVW42" s="92"/>
      <c r="IVX42" s="92"/>
      <c r="IVY42" s="92"/>
      <c r="IVZ42" s="92"/>
      <c r="IWA42" s="92"/>
      <c r="IWB42" s="92"/>
      <c r="IWC42" s="92"/>
      <c r="IWD42" s="92"/>
      <c r="IWE42" s="92"/>
      <c r="IWF42" s="92"/>
      <c r="IWG42" s="92"/>
      <c r="IWH42" s="92"/>
      <c r="IWI42" s="92"/>
      <c r="IWJ42" s="92"/>
      <c r="IWK42" s="92"/>
      <c r="IWL42" s="92"/>
      <c r="IWM42" s="92"/>
      <c r="IWN42" s="92"/>
      <c r="IWO42" s="92"/>
      <c r="IWP42" s="92"/>
      <c r="IWQ42" s="92"/>
      <c r="IWR42" s="92"/>
      <c r="IWS42" s="92"/>
      <c r="IWT42" s="92"/>
      <c r="IWU42" s="92"/>
      <c r="IWV42" s="92"/>
      <c r="IWW42" s="92"/>
      <c r="IWX42" s="92"/>
      <c r="IWY42" s="92"/>
      <c r="IWZ42" s="92"/>
      <c r="IXA42" s="92"/>
      <c r="IXB42" s="92"/>
      <c r="IXC42" s="92"/>
      <c r="IXD42" s="92"/>
      <c r="IXE42" s="92"/>
      <c r="IXF42" s="92"/>
      <c r="IXG42" s="92"/>
      <c r="IXH42" s="92"/>
      <c r="IXI42" s="92"/>
      <c r="IXJ42" s="92"/>
      <c r="IXK42" s="92"/>
      <c r="IXL42" s="92"/>
      <c r="IXM42" s="92"/>
      <c r="IXN42" s="92"/>
      <c r="IXO42" s="92"/>
      <c r="IXP42" s="92"/>
      <c r="IXQ42" s="92"/>
      <c r="IXR42" s="92"/>
      <c r="IXS42" s="92"/>
      <c r="IXT42" s="92"/>
      <c r="IXU42" s="92"/>
      <c r="IXV42" s="92"/>
      <c r="IXW42" s="92"/>
      <c r="IXX42" s="92"/>
      <c r="IXY42" s="92"/>
      <c r="IXZ42" s="92"/>
      <c r="IYA42" s="92"/>
      <c r="IYB42" s="92"/>
      <c r="IYC42" s="92"/>
      <c r="IYD42" s="92"/>
      <c r="IYE42" s="92"/>
      <c r="IYF42" s="92"/>
      <c r="IYG42" s="92"/>
      <c r="IYH42" s="92"/>
      <c r="IYI42" s="92"/>
      <c r="IYJ42" s="92"/>
      <c r="IYK42" s="92"/>
      <c r="IYL42" s="92"/>
      <c r="IYM42" s="92"/>
      <c r="IYN42" s="92"/>
      <c r="IYO42" s="92"/>
      <c r="IYP42" s="92"/>
      <c r="IYQ42" s="92"/>
      <c r="IYR42" s="92"/>
      <c r="IYS42" s="92"/>
      <c r="IYT42" s="92"/>
      <c r="IYU42" s="92"/>
      <c r="IYV42" s="92"/>
      <c r="IYW42" s="92"/>
      <c r="IYX42" s="92"/>
      <c r="IYY42" s="92"/>
      <c r="IYZ42" s="92"/>
      <c r="IZA42" s="92"/>
      <c r="IZB42" s="92"/>
      <c r="IZC42" s="92"/>
      <c r="IZD42" s="92"/>
      <c r="IZE42" s="92"/>
      <c r="IZF42" s="92"/>
      <c r="IZG42" s="92"/>
      <c r="IZH42" s="92"/>
      <c r="IZI42" s="92"/>
      <c r="IZJ42" s="92"/>
      <c r="IZK42" s="92"/>
      <c r="IZL42" s="92"/>
      <c r="IZM42" s="92"/>
      <c r="IZN42" s="92"/>
      <c r="IZO42" s="92"/>
      <c r="IZP42" s="92"/>
      <c r="IZQ42" s="92"/>
      <c r="IZR42" s="92"/>
      <c r="IZS42" s="92"/>
      <c r="IZT42" s="92"/>
      <c r="IZU42" s="92"/>
      <c r="IZV42" s="92"/>
      <c r="IZW42" s="92"/>
      <c r="IZX42" s="92"/>
      <c r="IZY42" s="92"/>
      <c r="IZZ42" s="92"/>
      <c r="JAA42" s="92"/>
      <c r="JAB42" s="92"/>
      <c r="JAC42" s="92"/>
      <c r="JAD42" s="92"/>
      <c r="JAE42" s="92"/>
      <c r="JAF42" s="92"/>
      <c r="JAG42" s="92"/>
      <c r="JAH42" s="92"/>
      <c r="JAI42" s="92"/>
      <c r="JAJ42" s="92"/>
      <c r="JAK42" s="92"/>
      <c r="JAL42" s="92"/>
      <c r="JAM42" s="92"/>
      <c r="JAN42" s="92"/>
      <c r="JAO42" s="92"/>
      <c r="JAP42" s="92"/>
      <c r="JAQ42" s="92"/>
      <c r="JAR42" s="92"/>
      <c r="JAS42" s="92"/>
      <c r="JAT42" s="92"/>
      <c r="JAU42" s="92"/>
      <c r="JAV42" s="92"/>
      <c r="JAW42" s="92"/>
      <c r="JAX42" s="92"/>
      <c r="JAY42" s="92"/>
      <c r="JAZ42" s="92"/>
      <c r="JBA42" s="92"/>
      <c r="JBB42" s="92"/>
      <c r="JBC42" s="92"/>
      <c r="JBD42" s="92"/>
      <c r="JBE42" s="92"/>
      <c r="JBF42" s="92"/>
      <c r="JBG42" s="92"/>
      <c r="JBH42" s="92"/>
      <c r="JBI42" s="92"/>
      <c r="JBJ42" s="92"/>
      <c r="JBK42" s="92"/>
      <c r="JBL42" s="92"/>
      <c r="JBM42" s="92"/>
      <c r="JBN42" s="92"/>
      <c r="JBO42" s="92"/>
      <c r="JBP42" s="92"/>
      <c r="JBQ42" s="92"/>
      <c r="JBR42" s="92"/>
      <c r="JBS42" s="92"/>
      <c r="JBT42" s="92"/>
      <c r="JBU42" s="92"/>
      <c r="JBV42" s="92"/>
      <c r="JBW42" s="92"/>
      <c r="JBX42" s="92"/>
      <c r="JBY42" s="92"/>
      <c r="JBZ42" s="92"/>
      <c r="JCA42" s="92"/>
      <c r="JCB42" s="92"/>
      <c r="JCC42" s="92"/>
      <c r="JCD42" s="92"/>
      <c r="JCE42" s="92"/>
      <c r="JCF42" s="92"/>
      <c r="JCG42" s="92"/>
      <c r="JCH42" s="92"/>
      <c r="JCI42" s="92"/>
      <c r="JCJ42" s="92"/>
      <c r="JCK42" s="92"/>
      <c r="JCL42" s="92"/>
      <c r="JCM42" s="92"/>
      <c r="JCN42" s="92"/>
      <c r="JCO42" s="92"/>
      <c r="JCP42" s="92"/>
      <c r="JCQ42" s="92"/>
      <c r="JCR42" s="92"/>
      <c r="JCS42" s="92"/>
      <c r="JCT42" s="92"/>
      <c r="JCU42" s="92"/>
      <c r="JCV42" s="92"/>
      <c r="JCW42" s="92"/>
      <c r="JCX42" s="92"/>
      <c r="JCY42" s="92"/>
      <c r="JCZ42" s="92"/>
      <c r="JDA42" s="92"/>
      <c r="JDB42" s="92"/>
      <c r="JDC42" s="92"/>
      <c r="JDD42" s="92"/>
      <c r="JDE42" s="92"/>
      <c r="JDF42" s="92"/>
      <c r="JDG42" s="92"/>
      <c r="JDH42" s="92"/>
      <c r="JDI42" s="92"/>
      <c r="JDJ42" s="92"/>
      <c r="JDK42" s="92"/>
      <c r="JDL42" s="92"/>
      <c r="JDM42" s="92"/>
      <c r="JDN42" s="92"/>
      <c r="JDO42" s="92"/>
      <c r="JDP42" s="92"/>
      <c r="JDQ42" s="92"/>
      <c r="JDR42" s="92"/>
      <c r="JDS42" s="92"/>
      <c r="JDT42" s="92"/>
      <c r="JDU42" s="92"/>
      <c r="JDV42" s="92"/>
      <c r="JDW42" s="92"/>
      <c r="JDX42" s="92"/>
      <c r="JDY42" s="92"/>
      <c r="JDZ42" s="92"/>
      <c r="JEA42" s="92"/>
      <c r="JEB42" s="92"/>
      <c r="JEC42" s="92"/>
      <c r="JED42" s="92"/>
      <c r="JEE42" s="92"/>
      <c r="JEF42" s="92"/>
      <c r="JEG42" s="92"/>
      <c r="JEH42" s="92"/>
      <c r="JEI42" s="92"/>
      <c r="JEJ42" s="92"/>
      <c r="JEK42" s="92"/>
      <c r="JEL42" s="92"/>
      <c r="JEM42" s="92"/>
      <c r="JEN42" s="92"/>
      <c r="JEO42" s="92"/>
      <c r="JEP42" s="92"/>
      <c r="JEQ42" s="92"/>
      <c r="JER42" s="92"/>
      <c r="JES42" s="92"/>
      <c r="JET42" s="92"/>
      <c r="JEU42" s="92"/>
      <c r="JEV42" s="92"/>
      <c r="JEW42" s="92"/>
      <c r="JEX42" s="92"/>
      <c r="JEY42" s="92"/>
      <c r="JEZ42" s="92"/>
      <c r="JFA42" s="92"/>
      <c r="JFB42" s="92"/>
      <c r="JFC42" s="92"/>
      <c r="JFD42" s="92"/>
      <c r="JFE42" s="92"/>
      <c r="JFF42" s="92"/>
      <c r="JFG42" s="92"/>
      <c r="JFH42" s="92"/>
      <c r="JFI42" s="92"/>
      <c r="JFJ42" s="92"/>
      <c r="JFK42" s="92"/>
      <c r="JFL42" s="92"/>
      <c r="JFM42" s="92"/>
      <c r="JFN42" s="92"/>
      <c r="JFO42" s="92"/>
      <c r="JFP42" s="92"/>
      <c r="JFQ42" s="92"/>
      <c r="JFR42" s="92"/>
      <c r="JFS42" s="92"/>
      <c r="JFT42" s="92"/>
      <c r="JFU42" s="92"/>
      <c r="JFV42" s="92"/>
      <c r="JFW42" s="92"/>
      <c r="JFX42" s="92"/>
      <c r="JFY42" s="92"/>
      <c r="JFZ42" s="92"/>
      <c r="JGA42" s="92"/>
      <c r="JGB42" s="92"/>
      <c r="JGC42" s="92"/>
      <c r="JGD42" s="92"/>
      <c r="JGE42" s="92"/>
      <c r="JGF42" s="92"/>
      <c r="JGG42" s="92"/>
      <c r="JGH42" s="92"/>
      <c r="JGI42" s="92"/>
      <c r="JGJ42" s="92"/>
      <c r="JGK42" s="92"/>
      <c r="JGL42" s="92"/>
      <c r="JGM42" s="92"/>
      <c r="JGN42" s="92"/>
      <c r="JGO42" s="92"/>
      <c r="JGP42" s="92"/>
      <c r="JGQ42" s="92"/>
      <c r="JGR42" s="92"/>
      <c r="JGS42" s="92"/>
      <c r="JGT42" s="92"/>
      <c r="JGU42" s="92"/>
      <c r="JGV42" s="92"/>
      <c r="JGW42" s="92"/>
      <c r="JGX42" s="92"/>
      <c r="JGY42" s="92"/>
      <c r="JGZ42" s="92"/>
      <c r="JHA42" s="92"/>
      <c r="JHB42" s="92"/>
      <c r="JHC42" s="92"/>
      <c r="JHD42" s="92"/>
      <c r="JHE42" s="92"/>
      <c r="JHF42" s="92"/>
      <c r="JHG42" s="92"/>
      <c r="JHH42" s="92"/>
      <c r="JHI42" s="92"/>
      <c r="JHJ42" s="92"/>
      <c r="JHK42" s="92"/>
      <c r="JHL42" s="92"/>
      <c r="JHM42" s="92"/>
      <c r="JHN42" s="92"/>
      <c r="JHO42" s="92"/>
      <c r="JHP42" s="92"/>
      <c r="JHQ42" s="92"/>
      <c r="JHR42" s="92"/>
      <c r="JHS42" s="92"/>
      <c r="JHT42" s="92"/>
      <c r="JHU42" s="92"/>
      <c r="JHV42" s="92"/>
      <c r="JHW42" s="92"/>
      <c r="JHX42" s="92"/>
      <c r="JHY42" s="92"/>
      <c r="JHZ42" s="92"/>
      <c r="JIA42" s="92"/>
      <c r="JIB42" s="92"/>
      <c r="JIC42" s="92"/>
      <c r="JID42" s="92"/>
      <c r="JIE42" s="92"/>
      <c r="JIF42" s="92"/>
      <c r="JIG42" s="92"/>
      <c r="JIH42" s="92"/>
      <c r="JII42" s="92"/>
      <c r="JIJ42" s="92"/>
      <c r="JIK42" s="92"/>
      <c r="JIL42" s="92"/>
      <c r="JIM42" s="92"/>
      <c r="JIN42" s="92"/>
      <c r="JIO42" s="92"/>
      <c r="JIP42" s="92"/>
      <c r="JIQ42" s="92"/>
      <c r="JIR42" s="92"/>
      <c r="JIS42" s="92"/>
      <c r="JIT42" s="92"/>
      <c r="JIU42" s="92"/>
      <c r="JIV42" s="92"/>
      <c r="JIW42" s="92"/>
      <c r="JIX42" s="92"/>
      <c r="JIY42" s="92"/>
      <c r="JIZ42" s="92"/>
      <c r="JJA42" s="92"/>
      <c r="JJB42" s="92"/>
      <c r="JJC42" s="92"/>
      <c r="JJD42" s="92"/>
      <c r="JJE42" s="92"/>
      <c r="JJF42" s="92"/>
      <c r="JJG42" s="92"/>
      <c r="JJH42" s="92"/>
      <c r="JJI42" s="92"/>
      <c r="JJJ42" s="92"/>
      <c r="JJK42" s="92"/>
      <c r="JJL42" s="92"/>
      <c r="JJM42" s="92"/>
      <c r="JJN42" s="92"/>
      <c r="JJO42" s="92"/>
      <c r="JJP42" s="92"/>
      <c r="JJQ42" s="92"/>
      <c r="JJR42" s="92"/>
      <c r="JJS42" s="92"/>
      <c r="JJT42" s="92"/>
      <c r="JJU42" s="92"/>
      <c r="JJV42" s="92"/>
      <c r="JJW42" s="92"/>
      <c r="JJX42" s="92"/>
      <c r="JJY42" s="92"/>
      <c r="JJZ42" s="92"/>
      <c r="JKA42" s="92"/>
      <c r="JKB42" s="92"/>
      <c r="JKC42" s="92"/>
      <c r="JKD42" s="92"/>
      <c r="JKE42" s="92"/>
      <c r="JKF42" s="92"/>
      <c r="JKG42" s="92"/>
      <c r="JKH42" s="92"/>
      <c r="JKI42" s="92"/>
      <c r="JKJ42" s="92"/>
      <c r="JKK42" s="92"/>
      <c r="JKL42" s="92"/>
      <c r="JKM42" s="92"/>
      <c r="JKN42" s="92"/>
      <c r="JKO42" s="92"/>
      <c r="JKP42" s="92"/>
      <c r="JKQ42" s="92"/>
      <c r="JKR42" s="92"/>
      <c r="JKS42" s="92"/>
      <c r="JKT42" s="92"/>
      <c r="JKU42" s="92"/>
      <c r="JKV42" s="92"/>
      <c r="JKW42" s="92"/>
      <c r="JKX42" s="92"/>
      <c r="JKY42" s="92"/>
      <c r="JKZ42" s="92"/>
      <c r="JLA42" s="92"/>
      <c r="JLB42" s="92"/>
      <c r="JLC42" s="92"/>
      <c r="JLD42" s="92"/>
      <c r="JLE42" s="92"/>
      <c r="JLF42" s="92"/>
      <c r="JLG42" s="92"/>
      <c r="JLH42" s="92"/>
      <c r="JLI42" s="92"/>
      <c r="JLJ42" s="92"/>
      <c r="JLK42" s="92"/>
      <c r="JLL42" s="92"/>
      <c r="JLM42" s="92"/>
      <c r="JLN42" s="92"/>
      <c r="JLO42" s="92"/>
      <c r="JLP42" s="92"/>
      <c r="JLQ42" s="92"/>
      <c r="JLR42" s="92"/>
      <c r="JLS42" s="92"/>
      <c r="JLT42" s="92"/>
      <c r="JLU42" s="92"/>
      <c r="JLV42" s="92"/>
      <c r="JLW42" s="92"/>
      <c r="JLX42" s="92"/>
      <c r="JLY42" s="92"/>
      <c r="JLZ42" s="92"/>
      <c r="JMA42" s="92"/>
      <c r="JMB42" s="92"/>
      <c r="JMC42" s="92"/>
      <c r="JMD42" s="92"/>
      <c r="JME42" s="92"/>
      <c r="JMF42" s="92"/>
      <c r="JMG42" s="92"/>
      <c r="JMH42" s="92"/>
      <c r="JMI42" s="92"/>
      <c r="JMJ42" s="92"/>
      <c r="JMK42" s="92"/>
      <c r="JML42" s="92"/>
      <c r="JMM42" s="92"/>
      <c r="JMN42" s="92"/>
      <c r="JMO42" s="92"/>
      <c r="JMP42" s="92"/>
      <c r="JMQ42" s="92"/>
      <c r="JMR42" s="92"/>
      <c r="JMS42" s="92"/>
      <c r="JMT42" s="92"/>
      <c r="JMU42" s="92"/>
      <c r="JMV42" s="92"/>
      <c r="JMW42" s="92"/>
      <c r="JMX42" s="92"/>
      <c r="JMY42" s="92"/>
      <c r="JMZ42" s="92"/>
      <c r="JNA42" s="92"/>
      <c r="JNB42" s="92"/>
      <c r="JNC42" s="92"/>
      <c r="JND42" s="92"/>
      <c r="JNE42" s="92"/>
      <c r="JNF42" s="92"/>
      <c r="JNG42" s="92"/>
      <c r="JNH42" s="92"/>
      <c r="JNI42" s="92"/>
      <c r="JNJ42" s="92"/>
      <c r="JNK42" s="92"/>
      <c r="JNL42" s="92"/>
      <c r="JNM42" s="92"/>
      <c r="JNN42" s="92"/>
      <c r="JNO42" s="92"/>
      <c r="JNP42" s="92"/>
      <c r="JNQ42" s="92"/>
      <c r="JNR42" s="92"/>
      <c r="JNS42" s="92"/>
      <c r="JNT42" s="92"/>
      <c r="JNU42" s="92"/>
      <c r="JNV42" s="92"/>
      <c r="JNW42" s="92"/>
      <c r="JNX42" s="92"/>
      <c r="JNY42" s="92"/>
      <c r="JNZ42" s="92"/>
      <c r="JOA42" s="92"/>
      <c r="JOB42" s="92"/>
      <c r="JOC42" s="92"/>
      <c r="JOD42" s="92"/>
      <c r="JOE42" s="92"/>
      <c r="JOF42" s="92"/>
      <c r="JOG42" s="92"/>
      <c r="JOH42" s="92"/>
      <c r="JOI42" s="92"/>
      <c r="JOJ42" s="92"/>
      <c r="JOK42" s="92"/>
      <c r="JOL42" s="92"/>
      <c r="JOM42" s="92"/>
      <c r="JON42" s="92"/>
      <c r="JOO42" s="92"/>
      <c r="JOP42" s="92"/>
      <c r="JOQ42" s="92"/>
      <c r="JOR42" s="92"/>
      <c r="JOS42" s="92"/>
      <c r="JOT42" s="92"/>
      <c r="JOU42" s="92"/>
      <c r="JOV42" s="92"/>
      <c r="JOW42" s="92"/>
      <c r="JOX42" s="92"/>
      <c r="JOY42" s="92"/>
      <c r="JOZ42" s="92"/>
      <c r="JPA42" s="92"/>
      <c r="JPB42" s="92"/>
      <c r="JPC42" s="92"/>
      <c r="JPD42" s="92"/>
      <c r="JPE42" s="92"/>
      <c r="JPF42" s="92"/>
      <c r="JPG42" s="92"/>
      <c r="JPH42" s="92"/>
      <c r="JPI42" s="92"/>
      <c r="JPJ42" s="92"/>
      <c r="JPK42" s="92"/>
      <c r="JPL42" s="92"/>
      <c r="JPM42" s="92"/>
      <c r="JPN42" s="92"/>
      <c r="JPO42" s="92"/>
      <c r="JPP42" s="92"/>
      <c r="JPQ42" s="92"/>
      <c r="JPR42" s="92"/>
      <c r="JPS42" s="92"/>
      <c r="JPT42" s="92"/>
      <c r="JPU42" s="92"/>
      <c r="JPV42" s="92"/>
      <c r="JPW42" s="92"/>
      <c r="JPX42" s="92"/>
      <c r="JPY42" s="92"/>
      <c r="JPZ42" s="92"/>
      <c r="JQA42" s="92"/>
      <c r="JQB42" s="92"/>
      <c r="JQC42" s="92"/>
      <c r="JQD42" s="92"/>
      <c r="JQE42" s="92"/>
      <c r="JQF42" s="92"/>
      <c r="JQG42" s="92"/>
      <c r="JQH42" s="92"/>
      <c r="JQI42" s="92"/>
      <c r="JQJ42" s="92"/>
      <c r="JQK42" s="92"/>
      <c r="JQL42" s="92"/>
      <c r="JQM42" s="92"/>
      <c r="JQN42" s="92"/>
      <c r="JQO42" s="92"/>
      <c r="JQP42" s="92"/>
      <c r="JQQ42" s="92"/>
      <c r="JQR42" s="92"/>
      <c r="JQS42" s="92"/>
      <c r="JQT42" s="92"/>
      <c r="JQU42" s="92"/>
      <c r="JQV42" s="92"/>
      <c r="JQW42" s="92"/>
      <c r="JQX42" s="92"/>
      <c r="JQY42" s="92"/>
      <c r="JQZ42" s="92"/>
      <c r="JRA42" s="92"/>
      <c r="JRB42" s="92"/>
      <c r="JRC42" s="92"/>
      <c r="JRD42" s="92"/>
      <c r="JRE42" s="92"/>
      <c r="JRF42" s="92"/>
      <c r="JRG42" s="92"/>
      <c r="JRH42" s="92"/>
      <c r="JRI42" s="92"/>
      <c r="JRJ42" s="92"/>
      <c r="JRK42" s="92"/>
      <c r="JRL42" s="92"/>
      <c r="JRM42" s="92"/>
      <c r="JRN42" s="92"/>
      <c r="JRO42" s="92"/>
      <c r="JRP42" s="92"/>
      <c r="JRQ42" s="92"/>
      <c r="JRR42" s="92"/>
      <c r="JRS42" s="92"/>
      <c r="JRT42" s="92"/>
      <c r="JRU42" s="92"/>
      <c r="JRV42" s="92"/>
      <c r="JRW42" s="92"/>
      <c r="JRX42" s="92"/>
      <c r="JRY42" s="92"/>
      <c r="JRZ42" s="92"/>
      <c r="JSA42" s="92"/>
      <c r="JSB42" s="92"/>
      <c r="JSC42" s="92"/>
      <c r="JSD42" s="92"/>
      <c r="JSE42" s="92"/>
      <c r="JSF42" s="92"/>
      <c r="JSG42" s="92"/>
      <c r="JSH42" s="92"/>
      <c r="JSI42" s="92"/>
      <c r="JSJ42" s="92"/>
      <c r="JSK42" s="92"/>
      <c r="JSL42" s="92"/>
      <c r="JSM42" s="92"/>
      <c r="JSN42" s="92"/>
      <c r="JSO42" s="92"/>
      <c r="JSP42" s="92"/>
      <c r="JSQ42" s="92"/>
      <c r="JSR42" s="92"/>
      <c r="JSS42" s="92"/>
      <c r="JST42" s="92"/>
      <c r="JSU42" s="92"/>
      <c r="JSV42" s="92"/>
      <c r="JSW42" s="92"/>
      <c r="JSX42" s="92"/>
      <c r="JSY42" s="92"/>
      <c r="JSZ42" s="92"/>
      <c r="JTA42" s="92"/>
      <c r="JTB42" s="92"/>
      <c r="JTC42" s="92"/>
      <c r="JTD42" s="92"/>
      <c r="JTE42" s="92"/>
      <c r="JTF42" s="92"/>
      <c r="JTG42" s="92"/>
      <c r="JTH42" s="92"/>
      <c r="JTI42" s="92"/>
      <c r="JTJ42" s="92"/>
      <c r="JTK42" s="92"/>
      <c r="JTL42" s="92"/>
      <c r="JTM42" s="92"/>
      <c r="JTN42" s="92"/>
      <c r="JTO42" s="92"/>
      <c r="JTP42" s="92"/>
      <c r="JTQ42" s="92"/>
      <c r="JTR42" s="92"/>
      <c r="JTS42" s="92"/>
      <c r="JTT42" s="92"/>
      <c r="JTU42" s="92"/>
      <c r="JTV42" s="92"/>
      <c r="JTW42" s="92"/>
      <c r="JTX42" s="92"/>
      <c r="JTY42" s="92"/>
      <c r="JTZ42" s="92"/>
      <c r="JUA42" s="92"/>
      <c r="JUB42" s="92"/>
      <c r="JUC42" s="92"/>
      <c r="JUD42" s="92"/>
      <c r="JUE42" s="92"/>
      <c r="JUF42" s="92"/>
      <c r="JUG42" s="92"/>
      <c r="JUH42" s="92"/>
      <c r="JUI42" s="92"/>
      <c r="JUJ42" s="92"/>
      <c r="JUK42" s="92"/>
      <c r="JUL42" s="92"/>
      <c r="JUM42" s="92"/>
      <c r="JUN42" s="92"/>
      <c r="JUO42" s="92"/>
      <c r="JUP42" s="92"/>
      <c r="JUQ42" s="92"/>
      <c r="JUR42" s="92"/>
      <c r="JUS42" s="92"/>
      <c r="JUT42" s="92"/>
      <c r="JUU42" s="92"/>
      <c r="JUV42" s="92"/>
      <c r="JUW42" s="92"/>
      <c r="JUX42" s="92"/>
      <c r="JUY42" s="92"/>
      <c r="JUZ42" s="92"/>
      <c r="JVA42" s="92"/>
      <c r="JVB42" s="92"/>
      <c r="JVC42" s="92"/>
      <c r="JVD42" s="92"/>
      <c r="JVE42" s="92"/>
      <c r="JVF42" s="92"/>
      <c r="JVG42" s="92"/>
      <c r="JVH42" s="92"/>
      <c r="JVI42" s="92"/>
      <c r="JVJ42" s="92"/>
      <c r="JVK42" s="92"/>
      <c r="JVL42" s="92"/>
      <c r="JVM42" s="92"/>
      <c r="JVN42" s="92"/>
      <c r="JVO42" s="92"/>
      <c r="JVP42" s="92"/>
      <c r="JVQ42" s="92"/>
      <c r="JVR42" s="92"/>
      <c r="JVS42" s="92"/>
      <c r="JVT42" s="92"/>
      <c r="JVU42" s="92"/>
      <c r="JVV42" s="92"/>
      <c r="JVW42" s="92"/>
      <c r="JVX42" s="92"/>
      <c r="JVY42" s="92"/>
      <c r="JVZ42" s="92"/>
      <c r="JWA42" s="92"/>
      <c r="JWB42" s="92"/>
      <c r="JWC42" s="92"/>
      <c r="JWD42" s="92"/>
      <c r="JWE42" s="92"/>
      <c r="JWF42" s="92"/>
      <c r="JWG42" s="92"/>
      <c r="JWH42" s="92"/>
      <c r="JWI42" s="92"/>
      <c r="JWJ42" s="92"/>
      <c r="JWK42" s="92"/>
      <c r="JWL42" s="92"/>
      <c r="JWM42" s="92"/>
      <c r="JWN42" s="92"/>
      <c r="JWO42" s="92"/>
      <c r="JWP42" s="92"/>
      <c r="JWQ42" s="92"/>
      <c r="JWR42" s="92"/>
      <c r="JWS42" s="92"/>
      <c r="JWT42" s="92"/>
      <c r="JWU42" s="92"/>
      <c r="JWV42" s="92"/>
      <c r="JWW42" s="92"/>
      <c r="JWX42" s="92"/>
      <c r="JWY42" s="92"/>
      <c r="JWZ42" s="92"/>
      <c r="JXA42" s="92"/>
      <c r="JXB42" s="92"/>
      <c r="JXC42" s="92"/>
      <c r="JXD42" s="92"/>
      <c r="JXE42" s="92"/>
      <c r="JXF42" s="92"/>
      <c r="JXG42" s="92"/>
      <c r="JXH42" s="92"/>
      <c r="JXI42" s="92"/>
      <c r="JXJ42" s="92"/>
      <c r="JXK42" s="92"/>
      <c r="JXL42" s="92"/>
      <c r="JXM42" s="92"/>
      <c r="JXN42" s="92"/>
      <c r="JXO42" s="92"/>
      <c r="JXP42" s="92"/>
      <c r="JXQ42" s="92"/>
      <c r="JXR42" s="92"/>
      <c r="JXS42" s="92"/>
      <c r="JXT42" s="92"/>
      <c r="JXU42" s="92"/>
      <c r="JXV42" s="92"/>
      <c r="JXW42" s="92"/>
      <c r="JXX42" s="92"/>
      <c r="JXY42" s="92"/>
      <c r="JXZ42" s="92"/>
      <c r="JYA42" s="92"/>
      <c r="JYB42" s="92"/>
      <c r="JYC42" s="92"/>
      <c r="JYD42" s="92"/>
      <c r="JYE42" s="92"/>
      <c r="JYF42" s="92"/>
      <c r="JYG42" s="92"/>
      <c r="JYH42" s="92"/>
      <c r="JYI42" s="92"/>
      <c r="JYJ42" s="92"/>
      <c r="JYK42" s="92"/>
      <c r="JYL42" s="92"/>
      <c r="JYM42" s="92"/>
      <c r="JYN42" s="92"/>
      <c r="JYO42" s="92"/>
      <c r="JYP42" s="92"/>
      <c r="JYQ42" s="92"/>
      <c r="JYR42" s="92"/>
      <c r="JYS42" s="92"/>
      <c r="JYT42" s="92"/>
      <c r="JYU42" s="92"/>
      <c r="JYV42" s="92"/>
      <c r="JYW42" s="92"/>
      <c r="JYX42" s="92"/>
      <c r="JYY42" s="92"/>
      <c r="JYZ42" s="92"/>
      <c r="JZA42" s="92"/>
      <c r="JZB42" s="92"/>
      <c r="JZC42" s="92"/>
      <c r="JZD42" s="92"/>
      <c r="JZE42" s="92"/>
      <c r="JZF42" s="92"/>
      <c r="JZG42" s="92"/>
      <c r="JZH42" s="92"/>
      <c r="JZI42" s="92"/>
      <c r="JZJ42" s="92"/>
      <c r="JZK42" s="92"/>
      <c r="JZL42" s="92"/>
      <c r="JZM42" s="92"/>
      <c r="JZN42" s="92"/>
      <c r="JZO42" s="92"/>
      <c r="JZP42" s="92"/>
      <c r="JZQ42" s="92"/>
      <c r="JZR42" s="92"/>
      <c r="JZS42" s="92"/>
      <c r="JZT42" s="92"/>
      <c r="JZU42" s="92"/>
      <c r="JZV42" s="92"/>
      <c r="JZW42" s="92"/>
      <c r="JZX42" s="92"/>
      <c r="JZY42" s="92"/>
      <c r="JZZ42" s="92"/>
      <c r="KAA42" s="92"/>
      <c r="KAB42" s="92"/>
      <c r="KAC42" s="92"/>
      <c r="KAD42" s="92"/>
      <c r="KAE42" s="92"/>
      <c r="KAF42" s="92"/>
      <c r="KAG42" s="92"/>
      <c r="KAH42" s="92"/>
      <c r="KAI42" s="92"/>
      <c r="KAJ42" s="92"/>
      <c r="KAK42" s="92"/>
      <c r="KAL42" s="92"/>
      <c r="KAM42" s="92"/>
      <c r="KAN42" s="92"/>
      <c r="KAO42" s="92"/>
      <c r="KAP42" s="92"/>
      <c r="KAQ42" s="92"/>
      <c r="KAR42" s="92"/>
      <c r="KAS42" s="92"/>
      <c r="KAT42" s="92"/>
      <c r="KAU42" s="92"/>
      <c r="KAV42" s="92"/>
      <c r="KAW42" s="92"/>
      <c r="KAX42" s="92"/>
      <c r="KAY42" s="92"/>
      <c r="KAZ42" s="92"/>
      <c r="KBA42" s="92"/>
      <c r="KBB42" s="92"/>
      <c r="KBC42" s="92"/>
      <c r="KBD42" s="92"/>
      <c r="KBE42" s="92"/>
      <c r="KBF42" s="92"/>
      <c r="KBG42" s="92"/>
      <c r="KBH42" s="92"/>
      <c r="KBI42" s="92"/>
      <c r="KBJ42" s="92"/>
      <c r="KBK42" s="92"/>
      <c r="KBL42" s="92"/>
      <c r="KBM42" s="92"/>
      <c r="KBN42" s="92"/>
      <c r="KBO42" s="92"/>
      <c r="KBP42" s="92"/>
      <c r="KBQ42" s="92"/>
      <c r="KBR42" s="92"/>
      <c r="KBS42" s="92"/>
      <c r="KBT42" s="92"/>
      <c r="KBU42" s="92"/>
      <c r="KBV42" s="92"/>
      <c r="KBW42" s="92"/>
      <c r="KBX42" s="92"/>
      <c r="KBY42" s="92"/>
      <c r="KBZ42" s="92"/>
      <c r="KCA42" s="92"/>
      <c r="KCB42" s="92"/>
      <c r="KCC42" s="92"/>
      <c r="KCD42" s="92"/>
      <c r="KCE42" s="92"/>
      <c r="KCF42" s="92"/>
      <c r="KCG42" s="92"/>
      <c r="KCH42" s="92"/>
      <c r="KCI42" s="92"/>
      <c r="KCJ42" s="92"/>
      <c r="KCK42" s="92"/>
      <c r="KCL42" s="92"/>
      <c r="KCM42" s="92"/>
      <c r="KCN42" s="92"/>
      <c r="KCO42" s="92"/>
      <c r="KCP42" s="92"/>
      <c r="KCQ42" s="92"/>
      <c r="KCR42" s="92"/>
      <c r="KCS42" s="92"/>
      <c r="KCT42" s="92"/>
      <c r="KCU42" s="92"/>
      <c r="KCV42" s="92"/>
      <c r="KCW42" s="92"/>
      <c r="KCX42" s="92"/>
      <c r="KCY42" s="92"/>
      <c r="KCZ42" s="92"/>
      <c r="KDA42" s="92"/>
      <c r="KDB42" s="92"/>
      <c r="KDC42" s="92"/>
      <c r="KDD42" s="92"/>
      <c r="KDE42" s="92"/>
      <c r="KDF42" s="92"/>
      <c r="KDG42" s="92"/>
      <c r="KDH42" s="92"/>
      <c r="KDI42" s="92"/>
      <c r="KDJ42" s="92"/>
      <c r="KDK42" s="92"/>
      <c r="KDL42" s="92"/>
      <c r="KDM42" s="92"/>
      <c r="KDN42" s="92"/>
      <c r="KDO42" s="92"/>
      <c r="KDP42" s="92"/>
      <c r="KDQ42" s="92"/>
      <c r="KDR42" s="92"/>
      <c r="KDS42" s="92"/>
      <c r="KDT42" s="92"/>
      <c r="KDU42" s="92"/>
      <c r="KDV42" s="92"/>
      <c r="KDW42" s="92"/>
      <c r="KDX42" s="92"/>
      <c r="KDY42" s="92"/>
      <c r="KDZ42" s="92"/>
      <c r="KEA42" s="92"/>
      <c r="KEB42" s="92"/>
      <c r="KEC42" s="92"/>
      <c r="KED42" s="92"/>
      <c r="KEE42" s="92"/>
      <c r="KEF42" s="92"/>
      <c r="KEG42" s="92"/>
      <c r="KEH42" s="92"/>
      <c r="KEI42" s="92"/>
      <c r="KEJ42" s="92"/>
      <c r="KEK42" s="92"/>
      <c r="KEL42" s="92"/>
      <c r="KEM42" s="92"/>
      <c r="KEN42" s="92"/>
      <c r="KEO42" s="92"/>
      <c r="KEP42" s="92"/>
      <c r="KEQ42" s="92"/>
      <c r="KER42" s="92"/>
      <c r="KES42" s="92"/>
      <c r="KET42" s="92"/>
      <c r="KEU42" s="92"/>
      <c r="KEV42" s="92"/>
      <c r="KEW42" s="92"/>
      <c r="KEX42" s="92"/>
      <c r="KEY42" s="92"/>
      <c r="KEZ42" s="92"/>
      <c r="KFA42" s="92"/>
      <c r="KFB42" s="92"/>
      <c r="KFC42" s="92"/>
      <c r="KFD42" s="92"/>
      <c r="KFE42" s="92"/>
      <c r="KFF42" s="92"/>
      <c r="KFG42" s="92"/>
      <c r="KFH42" s="92"/>
      <c r="KFI42" s="92"/>
      <c r="KFJ42" s="92"/>
      <c r="KFK42" s="92"/>
      <c r="KFL42" s="92"/>
      <c r="KFM42" s="92"/>
      <c r="KFN42" s="92"/>
      <c r="KFO42" s="92"/>
      <c r="KFP42" s="92"/>
      <c r="KFQ42" s="92"/>
      <c r="KFR42" s="92"/>
      <c r="KFS42" s="92"/>
      <c r="KFT42" s="92"/>
      <c r="KFU42" s="92"/>
      <c r="KFV42" s="92"/>
      <c r="KFW42" s="92"/>
      <c r="KFX42" s="92"/>
      <c r="KFY42" s="92"/>
      <c r="KFZ42" s="92"/>
      <c r="KGA42" s="92"/>
      <c r="KGB42" s="92"/>
      <c r="KGC42" s="92"/>
      <c r="KGD42" s="92"/>
      <c r="KGE42" s="92"/>
      <c r="KGF42" s="92"/>
      <c r="KGG42" s="92"/>
      <c r="KGH42" s="92"/>
      <c r="KGI42" s="92"/>
      <c r="KGJ42" s="92"/>
      <c r="KGK42" s="92"/>
      <c r="KGL42" s="92"/>
      <c r="KGM42" s="92"/>
      <c r="KGN42" s="92"/>
      <c r="KGO42" s="92"/>
      <c r="KGP42" s="92"/>
      <c r="KGQ42" s="92"/>
      <c r="KGR42" s="92"/>
      <c r="KGS42" s="92"/>
      <c r="KGT42" s="92"/>
      <c r="KGU42" s="92"/>
      <c r="KGV42" s="92"/>
      <c r="KGW42" s="92"/>
      <c r="KGX42" s="92"/>
      <c r="KGY42" s="92"/>
      <c r="KGZ42" s="92"/>
      <c r="KHA42" s="92"/>
      <c r="KHB42" s="92"/>
      <c r="KHC42" s="92"/>
      <c r="KHD42" s="92"/>
      <c r="KHE42" s="92"/>
      <c r="KHF42" s="92"/>
      <c r="KHG42" s="92"/>
      <c r="KHH42" s="92"/>
      <c r="KHI42" s="92"/>
      <c r="KHJ42" s="92"/>
      <c r="KHK42" s="92"/>
      <c r="KHL42" s="92"/>
      <c r="KHM42" s="92"/>
      <c r="KHN42" s="92"/>
      <c r="KHO42" s="92"/>
      <c r="KHP42" s="92"/>
      <c r="KHQ42" s="92"/>
      <c r="KHR42" s="92"/>
      <c r="KHS42" s="92"/>
      <c r="KHT42" s="92"/>
      <c r="KHU42" s="92"/>
      <c r="KHV42" s="92"/>
      <c r="KHW42" s="92"/>
      <c r="KHX42" s="92"/>
      <c r="KHY42" s="92"/>
      <c r="KHZ42" s="92"/>
      <c r="KIA42" s="92"/>
      <c r="KIB42" s="92"/>
      <c r="KIC42" s="92"/>
      <c r="KID42" s="92"/>
      <c r="KIE42" s="92"/>
      <c r="KIF42" s="92"/>
      <c r="KIG42" s="92"/>
      <c r="KIH42" s="92"/>
      <c r="KII42" s="92"/>
      <c r="KIJ42" s="92"/>
      <c r="KIK42" s="92"/>
      <c r="KIL42" s="92"/>
      <c r="KIM42" s="92"/>
      <c r="KIN42" s="92"/>
      <c r="KIO42" s="92"/>
      <c r="KIP42" s="92"/>
      <c r="KIQ42" s="92"/>
      <c r="KIR42" s="92"/>
      <c r="KIS42" s="92"/>
      <c r="KIT42" s="92"/>
      <c r="KIU42" s="92"/>
      <c r="KIV42" s="92"/>
      <c r="KIW42" s="92"/>
      <c r="KIX42" s="92"/>
      <c r="KIY42" s="92"/>
      <c r="KIZ42" s="92"/>
      <c r="KJA42" s="92"/>
      <c r="KJB42" s="92"/>
      <c r="KJC42" s="92"/>
      <c r="KJD42" s="92"/>
      <c r="KJE42" s="92"/>
      <c r="KJF42" s="92"/>
      <c r="KJG42" s="92"/>
      <c r="KJH42" s="92"/>
      <c r="KJI42" s="92"/>
      <c r="KJJ42" s="92"/>
      <c r="KJK42" s="92"/>
      <c r="KJL42" s="92"/>
      <c r="KJM42" s="92"/>
      <c r="KJN42" s="92"/>
      <c r="KJO42" s="92"/>
      <c r="KJP42" s="92"/>
      <c r="KJQ42" s="92"/>
      <c r="KJR42" s="92"/>
      <c r="KJS42" s="92"/>
      <c r="KJT42" s="92"/>
      <c r="KJU42" s="92"/>
      <c r="KJV42" s="92"/>
      <c r="KJW42" s="92"/>
      <c r="KJX42" s="92"/>
      <c r="KJY42" s="92"/>
      <c r="KJZ42" s="92"/>
      <c r="KKA42" s="92"/>
      <c r="KKB42" s="92"/>
      <c r="KKC42" s="92"/>
      <c r="KKD42" s="92"/>
      <c r="KKE42" s="92"/>
      <c r="KKF42" s="92"/>
      <c r="KKG42" s="92"/>
      <c r="KKH42" s="92"/>
      <c r="KKI42" s="92"/>
      <c r="KKJ42" s="92"/>
      <c r="KKK42" s="92"/>
      <c r="KKL42" s="92"/>
      <c r="KKM42" s="92"/>
      <c r="KKN42" s="92"/>
      <c r="KKO42" s="92"/>
      <c r="KKP42" s="92"/>
      <c r="KKQ42" s="92"/>
      <c r="KKR42" s="92"/>
      <c r="KKS42" s="92"/>
      <c r="KKT42" s="92"/>
      <c r="KKU42" s="92"/>
      <c r="KKV42" s="92"/>
      <c r="KKW42" s="92"/>
      <c r="KKX42" s="92"/>
      <c r="KKY42" s="92"/>
      <c r="KKZ42" s="92"/>
      <c r="KLA42" s="92"/>
      <c r="KLB42" s="92"/>
      <c r="KLC42" s="92"/>
      <c r="KLD42" s="92"/>
      <c r="KLE42" s="92"/>
      <c r="KLF42" s="92"/>
      <c r="KLG42" s="92"/>
      <c r="KLH42" s="92"/>
      <c r="KLI42" s="92"/>
      <c r="KLJ42" s="92"/>
      <c r="KLK42" s="92"/>
      <c r="KLL42" s="92"/>
      <c r="KLM42" s="92"/>
      <c r="KLN42" s="92"/>
      <c r="KLO42" s="92"/>
      <c r="KLP42" s="92"/>
      <c r="KLQ42" s="92"/>
      <c r="KLR42" s="92"/>
      <c r="KLS42" s="92"/>
      <c r="KLT42" s="92"/>
      <c r="KLU42" s="92"/>
      <c r="KLV42" s="92"/>
      <c r="KLW42" s="92"/>
      <c r="KLX42" s="92"/>
      <c r="KLY42" s="92"/>
      <c r="KLZ42" s="92"/>
      <c r="KMA42" s="92"/>
      <c r="KMB42" s="92"/>
      <c r="KMC42" s="92"/>
      <c r="KMD42" s="92"/>
      <c r="KME42" s="92"/>
      <c r="KMF42" s="92"/>
      <c r="KMG42" s="92"/>
      <c r="KMH42" s="92"/>
      <c r="KMI42" s="92"/>
      <c r="KMJ42" s="92"/>
      <c r="KMK42" s="92"/>
      <c r="KML42" s="92"/>
      <c r="KMM42" s="92"/>
      <c r="KMN42" s="92"/>
      <c r="KMO42" s="92"/>
      <c r="KMP42" s="92"/>
      <c r="KMQ42" s="92"/>
      <c r="KMR42" s="92"/>
      <c r="KMS42" s="92"/>
      <c r="KMT42" s="92"/>
      <c r="KMU42" s="92"/>
      <c r="KMV42" s="92"/>
      <c r="KMW42" s="92"/>
      <c r="KMX42" s="92"/>
      <c r="KMY42" s="92"/>
      <c r="KMZ42" s="92"/>
      <c r="KNA42" s="92"/>
      <c r="KNB42" s="92"/>
      <c r="KNC42" s="92"/>
      <c r="KND42" s="92"/>
      <c r="KNE42" s="92"/>
      <c r="KNF42" s="92"/>
      <c r="KNG42" s="92"/>
      <c r="KNH42" s="92"/>
      <c r="KNI42" s="92"/>
      <c r="KNJ42" s="92"/>
      <c r="KNK42" s="92"/>
      <c r="KNL42" s="92"/>
      <c r="KNM42" s="92"/>
      <c r="KNN42" s="92"/>
      <c r="KNO42" s="92"/>
      <c r="KNP42" s="92"/>
      <c r="KNQ42" s="92"/>
      <c r="KNR42" s="92"/>
      <c r="KNS42" s="92"/>
      <c r="KNT42" s="92"/>
      <c r="KNU42" s="92"/>
      <c r="KNV42" s="92"/>
      <c r="KNW42" s="92"/>
      <c r="KNX42" s="92"/>
      <c r="KNY42" s="92"/>
      <c r="KNZ42" s="92"/>
      <c r="KOA42" s="92"/>
      <c r="KOB42" s="92"/>
      <c r="KOC42" s="92"/>
      <c r="KOD42" s="92"/>
      <c r="KOE42" s="92"/>
      <c r="KOF42" s="92"/>
      <c r="KOG42" s="92"/>
      <c r="KOH42" s="92"/>
      <c r="KOI42" s="92"/>
      <c r="KOJ42" s="92"/>
      <c r="KOK42" s="92"/>
      <c r="KOL42" s="92"/>
      <c r="KOM42" s="92"/>
      <c r="KON42" s="92"/>
      <c r="KOO42" s="92"/>
      <c r="KOP42" s="92"/>
      <c r="KOQ42" s="92"/>
      <c r="KOR42" s="92"/>
      <c r="KOS42" s="92"/>
      <c r="KOT42" s="92"/>
      <c r="KOU42" s="92"/>
      <c r="KOV42" s="92"/>
      <c r="KOW42" s="92"/>
      <c r="KOX42" s="92"/>
      <c r="KOY42" s="92"/>
      <c r="KOZ42" s="92"/>
      <c r="KPA42" s="92"/>
      <c r="KPB42" s="92"/>
      <c r="KPC42" s="92"/>
      <c r="KPD42" s="92"/>
      <c r="KPE42" s="92"/>
      <c r="KPF42" s="92"/>
      <c r="KPG42" s="92"/>
      <c r="KPH42" s="92"/>
      <c r="KPI42" s="92"/>
      <c r="KPJ42" s="92"/>
      <c r="KPK42" s="92"/>
      <c r="KPL42" s="92"/>
      <c r="KPM42" s="92"/>
      <c r="KPN42" s="92"/>
      <c r="KPO42" s="92"/>
      <c r="KPP42" s="92"/>
      <c r="KPQ42" s="92"/>
      <c r="KPR42" s="92"/>
      <c r="KPS42" s="92"/>
      <c r="KPT42" s="92"/>
      <c r="KPU42" s="92"/>
      <c r="KPV42" s="92"/>
      <c r="KPW42" s="92"/>
      <c r="KPX42" s="92"/>
      <c r="KPY42" s="92"/>
      <c r="KPZ42" s="92"/>
      <c r="KQA42" s="92"/>
      <c r="KQB42" s="92"/>
      <c r="KQC42" s="92"/>
      <c r="KQD42" s="92"/>
      <c r="KQE42" s="92"/>
      <c r="KQF42" s="92"/>
      <c r="KQG42" s="92"/>
      <c r="KQH42" s="92"/>
      <c r="KQI42" s="92"/>
      <c r="KQJ42" s="92"/>
      <c r="KQK42" s="92"/>
      <c r="KQL42" s="92"/>
      <c r="KQM42" s="92"/>
      <c r="KQN42" s="92"/>
      <c r="KQO42" s="92"/>
      <c r="KQP42" s="92"/>
      <c r="KQQ42" s="92"/>
      <c r="KQR42" s="92"/>
      <c r="KQS42" s="92"/>
      <c r="KQT42" s="92"/>
      <c r="KQU42" s="92"/>
      <c r="KQV42" s="92"/>
      <c r="KQW42" s="92"/>
      <c r="KQX42" s="92"/>
      <c r="KQY42" s="92"/>
      <c r="KQZ42" s="92"/>
      <c r="KRA42" s="92"/>
      <c r="KRB42" s="92"/>
      <c r="KRC42" s="92"/>
      <c r="KRD42" s="92"/>
      <c r="KRE42" s="92"/>
      <c r="KRF42" s="92"/>
      <c r="KRG42" s="92"/>
      <c r="KRH42" s="92"/>
      <c r="KRI42" s="92"/>
      <c r="KRJ42" s="92"/>
      <c r="KRK42" s="92"/>
      <c r="KRL42" s="92"/>
      <c r="KRM42" s="92"/>
      <c r="KRN42" s="92"/>
      <c r="KRO42" s="92"/>
      <c r="KRP42" s="92"/>
      <c r="KRQ42" s="92"/>
      <c r="KRR42" s="92"/>
      <c r="KRS42" s="92"/>
      <c r="KRT42" s="92"/>
      <c r="KRU42" s="92"/>
      <c r="KRV42" s="92"/>
      <c r="KRW42" s="92"/>
      <c r="KRX42" s="92"/>
      <c r="KRY42" s="92"/>
      <c r="KRZ42" s="92"/>
      <c r="KSA42" s="92"/>
      <c r="KSB42" s="92"/>
      <c r="KSC42" s="92"/>
      <c r="KSD42" s="92"/>
      <c r="KSE42" s="92"/>
      <c r="KSF42" s="92"/>
      <c r="KSG42" s="92"/>
      <c r="KSH42" s="92"/>
      <c r="KSI42" s="92"/>
      <c r="KSJ42" s="92"/>
      <c r="KSK42" s="92"/>
      <c r="KSL42" s="92"/>
      <c r="KSM42" s="92"/>
      <c r="KSN42" s="92"/>
      <c r="KSO42" s="92"/>
      <c r="KSP42" s="92"/>
      <c r="KSQ42" s="92"/>
      <c r="KSR42" s="92"/>
      <c r="KSS42" s="92"/>
      <c r="KST42" s="92"/>
      <c r="KSU42" s="92"/>
      <c r="KSV42" s="92"/>
      <c r="KSW42" s="92"/>
      <c r="KSX42" s="92"/>
      <c r="KSY42" s="92"/>
      <c r="KSZ42" s="92"/>
      <c r="KTA42" s="92"/>
      <c r="KTB42" s="92"/>
      <c r="KTC42" s="92"/>
      <c r="KTD42" s="92"/>
      <c r="KTE42" s="92"/>
      <c r="KTF42" s="92"/>
      <c r="KTG42" s="92"/>
      <c r="KTH42" s="92"/>
      <c r="KTI42" s="92"/>
      <c r="KTJ42" s="92"/>
      <c r="KTK42" s="92"/>
      <c r="KTL42" s="92"/>
      <c r="KTM42" s="92"/>
      <c r="KTN42" s="92"/>
      <c r="KTO42" s="92"/>
      <c r="KTP42" s="92"/>
      <c r="KTQ42" s="92"/>
      <c r="KTR42" s="92"/>
      <c r="KTS42" s="92"/>
      <c r="KTT42" s="92"/>
      <c r="KTU42" s="92"/>
      <c r="KTV42" s="92"/>
      <c r="KTW42" s="92"/>
      <c r="KTX42" s="92"/>
      <c r="KTY42" s="92"/>
      <c r="KTZ42" s="92"/>
      <c r="KUA42" s="92"/>
      <c r="KUB42" s="92"/>
      <c r="KUC42" s="92"/>
      <c r="KUD42" s="92"/>
      <c r="KUE42" s="92"/>
      <c r="KUF42" s="92"/>
      <c r="KUG42" s="92"/>
      <c r="KUH42" s="92"/>
      <c r="KUI42" s="92"/>
      <c r="KUJ42" s="92"/>
      <c r="KUK42" s="92"/>
      <c r="KUL42" s="92"/>
      <c r="KUM42" s="92"/>
      <c r="KUN42" s="92"/>
      <c r="KUO42" s="92"/>
      <c r="KUP42" s="92"/>
      <c r="KUQ42" s="92"/>
      <c r="KUR42" s="92"/>
      <c r="KUS42" s="92"/>
      <c r="KUT42" s="92"/>
      <c r="KUU42" s="92"/>
      <c r="KUV42" s="92"/>
      <c r="KUW42" s="92"/>
      <c r="KUX42" s="92"/>
      <c r="KUY42" s="92"/>
      <c r="KUZ42" s="92"/>
      <c r="KVA42" s="92"/>
      <c r="KVB42" s="92"/>
      <c r="KVC42" s="92"/>
      <c r="KVD42" s="92"/>
      <c r="KVE42" s="92"/>
      <c r="KVF42" s="92"/>
      <c r="KVG42" s="92"/>
      <c r="KVH42" s="92"/>
      <c r="KVI42" s="92"/>
      <c r="KVJ42" s="92"/>
      <c r="KVK42" s="92"/>
      <c r="KVL42" s="92"/>
      <c r="KVM42" s="92"/>
      <c r="KVN42" s="92"/>
      <c r="KVO42" s="92"/>
      <c r="KVP42" s="92"/>
      <c r="KVQ42" s="92"/>
      <c r="KVR42" s="92"/>
      <c r="KVS42" s="92"/>
      <c r="KVT42" s="92"/>
      <c r="KVU42" s="92"/>
      <c r="KVV42" s="92"/>
      <c r="KVW42" s="92"/>
      <c r="KVX42" s="92"/>
      <c r="KVY42" s="92"/>
      <c r="KVZ42" s="92"/>
      <c r="KWA42" s="92"/>
      <c r="KWB42" s="92"/>
      <c r="KWC42" s="92"/>
      <c r="KWD42" s="92"/>
      <c r="KWE42" s="92"/>
      <c r="KWF42" s="92"/>
      <c r="KWG42" s="92"/>
      <c r="KWH42" s="92"/>
      <c r="KWI42" s="92"/>
      <c r="KWJ42" s="92"/>
      <c r="KWK42" s="92"/>
      <c r="KWL42" s="92"/>
      <c r="KWM42" s="92"/>
      <c r="KWN42" s="92"/>
      <c r="KWO42" s="92"/>
      <c r="KWP42" s="92"/>
      <c r="KWQ42" s="92"/>
      <c r="KWR42" s="92"/>
      <c r="KWS42" s="92"/>
      <c r="KWT42" s="92"/>
      <c r="KWU42" s="92"/>
      <c r="KWV42" s="92"/>
      <c r="KWW42" s="92"/>
      <c r="KWX42" s="92"/>
      <c r="KWY42" s="92"/>
      <c r="KWZ42" s="92"/>
      <c r="KXA42" s="92"/>
      <c r="KXB42" s="92"/>
      <c r="KXC42" s="92"/>
      <c r="KXD42" s="92"/>
      <c r="KXE42" s="92"/>
      <c r="KXF42" s="92"/>
      <c r="KXG42" s="92"/>
      <c r="KXH42" s="92"/>
      <c r="KXI42" s="92"/>
      <c r="KXJ42" s="92"/>
      <c r="KXK42" s="92"/>
      <c r="KXL42" s="92"/>
      <c r="KXM42" s="92"/>
      <c r="KXN42" s="92"/>
      <c r="KXO42" s="92"/>
      <c r="KXP42" s="92"/>
      <c r="KXQ42" s="92"/>
      <c r="KXR42" s="92"/>
      <c r="KXS42" s="92"/>
      <c r="KXT42" s="92"/>
      <c r="KXU42" s="92"/>
      <c r="KXV42" s="92"/>
      <c r="KXW42" s="92"/>
      <c r="KXX42" s="92"/>
      <c r="KXY42" s="92"/>
      <c r="KXZ42" s="92"/>
      <c r="KYA42" s="92"/>
      <c r="KYB42" s="92"/>
      <c r="KYC42" s="92"/>
      <c r="KYD42" s="92"/>
      <c r="KYE42" s="92"/>
      <c r="KYF42" s="92"/>
      <c r="KYG42" s="92"/>
      <c r="KYH42" s="92"/>
      <c r="KYI42" s="92"/>
      <c r="KYJ42" s="92"/>
      <c r="KYK42" s="92"/>
      <c r="KYL42" s="92"/>
      <c r="KYM42" s="92"/>
      <c r="KYN42" s="92"/>
      <c r="KYO42" s="92"/>
      <c r="KYP42" s="92"/>
      <c r="KYQ42" s="92"/>
      <c r="KYR42" s="92"/>
      <c r="KYS42" s="92"/>
      <c r="KYT42" s="92"/>
      <c r="KYU42" s="92"/>
      <c r="KYV42" s="92"/>
      <c r="KYW42" s="92"/>
      <c r="KYX42" s="92"/>
      <c r="KYY42" s="92"/>
      <c r="KYZ42" s="92"/>
      <c r="KZA42" s="92"/>
      <c r="KZB42" s="92"/>
      <c r="KZC42" s="92"/>
      <c r="KZD42" s="92"/>
      <c r="KZE42" s="92"/>
      <c r="KZF42" s="92"/>
      <c r="KZG42" s="92"/>
      <c r="KZH42" s="92"/>
      <c r="KZI42" s="92"/>
      <c r="KZJ42" s="92"/>
      <c r="KZK42" s="92"/>
      <c r="KZL42" s="92"/>
      <c r="KZM42" s="92"/>
      <c r="KZN42" s="92"/>
      <c r="KZO42" s="92"/>
      <c r="KZP42" s="92"/>
      <c r="KZQ42" s="92"/>
      <c r="KZR42" s="92"/>
      <c r="KZS42" s="92"/>
      <c r="KZT42" s="92"/>
      <c r="KZU42" s="92"/>
      <c r="KZV42" s="92"/>
      <c r="KZW42" s="92"/>
      <c r="KZX42" s="92"/>
      <c r="KZY42" s="92"/>
      <c r="KZZ42" s="92"/>
      <c r="LAA42" s="92"/>
      <c r="LAB42" s="92"/>
      <c r="LAC42" s="92"/>
      <c r="LAD42" s="92"/>
      <c r="LAE42" s="92"/>
      <c r="LAF42" s="92"/>
      <c r="LAG42" s="92"/>
      <c r="LAH42" s="92"/>
      <c r="LAI42" s="92"/>
      <c r="LAJ42" s="92"/>
      <c r="LAK42" s="92"/>
      <c r="LAL42" s="92"/>
      <c r="LAM42" s="92"/>
      <c r="LAN42" s="92"/>
      <c r="LAO42" s="92"/>
      <c r="LAP42" s="92"/>
      <c r="LAQ42" s="92"/>
      <c r="LAR42" s="92"/>
      <c r="LAS42" s="92"/>
      <c r="LAT42" s="92"/>
      <c r="LAU42" s="92"/>
      <c r="LAV42" s="92"/>
      <c r="LAW42" s="92"/>
      <c r="LAX42" s="92"/>
      <c r="LAY42" s="92"/>
      <c r="LAZ42" s="92"/>
      <c r="LBA42" s="92"/>
      <c r="LBB42" s="92"/>
      <c r="LBC42" s="92"/>
      <c r="LBD42" s="92"/>
      <c r="LBE42" s="92"/>
      <c r="LBF42" s="92"/>
      <c r="LBG42" s="92"/>
      <c r="LBH42" s="92"/>
      <c r="LBI42" s="92"/>
      <c r="LBJ42" s="92"/>
      <c r="LBK42" s="92"/>
      <c r="LBL42" s="92"/>
      <c r="LBM42" s="92"/>
      <c r="LBN42" s="92"/>
      <c r="LBO42" s="92"/>
      <c r="LBP42" s="92"/>
      <c r="LBQ42" s="92"/>
      <c r="LBR42" s="92"/>
      <c r="LBS42" s="92"/>
      <c r="LBT42" s="92"/>
      <c r="LBU42" s="92"/>
      <c r="LBV42" s="92"/>
      <c r="LBW42" s="92"/>
      <c r="LBX42" s="92"/>
      <c r="LBY42" s="92"/>
      <c r="LBZ42" s="92"/>
      <c r="LCA42" s="92"/>
      <c r="LCB42" s="92"/>
      <c r="LCC42" s="92"/>
      <c r="LCD42" s="92"/>
      <c r="LCE42" s="92"/>
      <c r="LCF42" s="92"/>
      <c r="LCG42" s="92"/>
      <c r="LCH42" s="92"/>
      <c r="LCI42" s="92"/>
      <c r="LCJ42" s="92"/>
      <c r="LCK42" s="92"/>
      <c r="LCL42" s="92"/>
      <c r="LCM42" s="92"/>
      <c r="LCN42" s="92"/>
      <c r="LCO42" s="92"/>
      <c r="LCP42" s="92"/>
      <c r="LCQ42" s="92"/>
      <c r="LCR42" s="92"/>
      <c r="LCS42" s="92"/>
      <c r="LCT42" s="92"/>
      <c r="LCU42" s="92"/>
      <c r="LCV42" s="92"/>
      <c r="LCW42" s="92"/>
      <c r="LCX42" s="92"/>
      <c r="LCY42" s="92"/>
      <c r="LCZ42" s="92"/>
      <c r="LDA42" s="92"/>
      <c r="LDB42" s="92"/>
      <c r="LDC42" s="92"/>
      <c r="LDD42" s="92"/>
      <c r="LDE42" s="92"/>
      <c r="LDF42" s="92"/>
      <c r="LDG42" s="92"/>
      <c r="LDH42" s="92"/>
      <c r="LDI42" s="92"/>
      <c r="LDJ42" s="92"/>
      <c r="LDK42" s="92"/>
      <c r="LDL42" s="92"/>
      <c r="LDM42" s="92"/>
      <c r="LDN42" s="92"/>
      <c r="LDO42" s="92"/>
      <c r="LDP42" s="92"/>
      <c r="LDQ42" s="92"/>
      <c r="LDR42" s="92"/>
      <c r="LDS42" s="92"/>
      <c r="LDT42" s="92"/>
      <c r="LDU42" s="92"/>
      <c r="LDV42" s="92"/>
      <c r="LDW42" s="92"/>
      <c r="LDX42" s="92"/>
      <c r="LDY42" s="92"/>
      <c r="LDZ42" s="92"/>
      <c r="LEA42" s="92"/>
      <c r="LEB42" s="92"/>
      <c r="LEC42" s="92"/>
      <c r="LED42" s="92"/>
      <c r="LEE42" s="92"/>
      <c r="LEF42" s="92"/>
      <c r="LEG42" s="92"/>
      <c r="LEH42" s="92"/>
      <c r="LEI42" s="92"/>
      <c r="LEJ42" s="92"/>
      <c r="LEK42" s="92"/>
      <c r="LEL42" s="92"/>
      <c r="LEM42" s="92"/>
      <c r="LEN42" s="92"/>
      <c r="LEO42" s="92"/>
      <c r="LEP42" s="92"/>
      <c r="LEQ42" s="92"/>
      <c r="LER42" s="92"/>
      <c r="LES42" s="92"/>
      <c r="LET42" s="92"/>
      <c r="LEU42" s="92"/>
      <c r="LEV42" s="92"/>
      <c r="LEW42" s="92"/>
      <c r="LEX42" s="92"/>
      <c r="LEY42" s="92"/>
      <c r="LEZ42" s="92"/>
      <c r="LFA42" s="92"/>
      <c r="LFB42" s="92"/>
      <c r="LFC42" s="92"/>
      <c r="LFD42" s="92"/>
      <c r="LFE42" s="92"/>
      <c r="LFF42" s="92"/>
      <c r="LFG42" s="92"/>
      <c r="LFH42" s="92"/>
      <c r="LFI42" s="92"/>
      <c r="LFJ42" s="92"/>
      <c r="LFK42" s="92"/>
      <c r="LFL42" s="92"/>
      <c r="LFM42" s="92"/>
      <c r="LFN42" s="92"/>
      <c r="LFO42" s="92"/>
      <c r="LFP42" s="92"/>
      <c r="LFQ42" s="92"/>
      <c r="LFR42" s="92"/>
      <c r="LFS42" s="92"/>
      <c r="LFT42" s="92"/>
      <c r="LFU42" s="92"/>
      <c r="LFV42" s="92"/>
      <c r="LFW42" s="92"/>
      <c r="LFX42" s="92"/>
      <c r="LFY42" s="92"/>
      <c r="LFZ42" s="92"/>
      <c r="LGA42" s="92"/>
      <c r="LGB42" s="92"/>
      <c r="LGC42" s="92"/>
      <c r="LGD42" s="92"/>
      <c r="LGE42" s="92"/>
      <c r="LGF42" s="92"/>
      <c r="LGG42" s="92"/>
      <c r="LGH42" s="92"/>
      <c r="LGI42" s="92"/>
      <c r="LGJ42" s="92"/>
      <c r="LGK42" s="92"/>
      <c r="LGL42" s="92"/>
      <c r="LGM42" s="92"/>
      <c r="LGN42" s="92"/>
      <c r="LGO42" s="92"/>
      <c r="LGP42" s="92"/>
      <c r="LGQ42" s="92"/>
      <c r="LGR42" s="92"/>
      <c r="LGS42" s="92"/>
      <c r="LGT42" s="92"/>
      <c r="LGU42" s="92"/>
      <c r="LGV42" s="92"/>
      <c r="LGW42" s="92"/>
      <c r="LGX42" s="92"/>
      <c r="LGY42" s="92"/>
      <c r="LGZ42" s="92"/>
      <c r="LHA42" s="92"/>
      <c r="LHB42" s="92"/>
      <c r="LHC42" s="92"/>
      <c r="LHD42" s="92"/>
      <c r="LHE42" s="92"/>
      <c r="LHF42" s="92"/>
      <c r="LHG42" s="92"/>
      <c r="LHH42" s="92"/>
      <c r="LHI42" s="92"/>
      <c r="LHJ42" s="92"/>
      <c r="LHK42" s="92"/>
      <c r="LHL42" s="92"/>
      <c r="LHM42" s="92"/>
      <c r="LHN42" s="92"/>
      <c r="LHO42" s="92"/>
      <c r="LHP42" s="92"/>
      <c r="LHQ42" s="92"/>
      <c r="LHR42" s="92"/>
      <c r="LHS42" s="92"/>
      <c r="LHT42" s="92"/>
      <c r="LHU42" s="92"/>
      <c r="LHV42" s="92"/>
      <c r="LHW42" s="92"/>
      <c r="LHX42" s="92"/>
      <c r="LHY42" s="92"/>
      <c r="LHZ42" s="92"/>
      <c r="LIA42" s="92"/>
      <c r="LIB42" s="92"/>
      <c r="LIC42" s="92"/>
      <c r="LID42" s="92"/>
      <c r="LIE42" s="92"/>
      <c r="LIF42" s="92"/>
      <c r="LIG42" s="92"/>
      <c r="LIH42" s="92"/>
      <c r="LII42" s="92"/>
      <c r="LIJ42" s="92"/>
      <c r="LIK42" s="92"/>
      <c r="LIL42" s="92"/>
      <c r="LIM42" s="92"/>
      <c r="LIN42" s="92"/>
      <c r="LIO42" s="92"/>
      <c r="LIP42" s="92"/>
      <c r="LIQ42" s="92"/>
      <c r="LIR42" s="92"/>
      <c r="LIS42" s="92"/>
      <c r="LIT42" s="92"/>
      <c r="LIU42" s="92"/>
      <c r="LIV42" s="92"/>
      <c r="LIW42" s="92"/>
      <c r="LIX42" s="92"/>
      <c r="LIY42" s="92"/>
      <c r="LIZ42" s="92"/>
      <c r="LJA42" s="92"/>
      <c r="LJB42" s="92"/>
      <c r="LJC42" s="92"/>
      <c r="LJD42" s="92"/>
      <c r="LJE42" s="92"/>
      <c r="LJF42" s="92"/>
      <c r="LJG42" s="92"/>
      <c r="LJH42" s="92"/>
      <c r="LJI42" s="92"/>
      <c r="LJJ42" s="92"/>
      <c r="LJK42" s="92"/>
      <c r="LJL42" s="92"/>
      <c r="LJM42" s="92"/>
      <c r="LJN42" s="92"/>
      <c r="LJO42" s="92"/>
      <c r="LJP42" s="92"/>
      <c r="LJQ42" s="92"/>
      <c r="LJR42" s="92"/>
      <c r="LJS42" s="92"/>
      <c r="LJT42" s="92"/>
      <c r="LJU42" s="92"/>
      <c r="LJV42" s="92"/>
      <c r="LJW42" s="92"/>
      <c r="LJX42" s="92"/>
      <c r="LJY42" s="92"/>
      <c r="LJZ42" s="92"/>
      <c r="LKA42" s="92"/>
      <c r="LKB42" s="92"/>
      <c r="LKC42" s="92"/>
      <c r="LKD42" s="92"/>
      <c r="LKE42" s="92"/>
      <c r="LKF42" s="92"/>
      <c r="LKG42" s="92"/>
      <c r="LKH42" s="92"/>
      <c r="LKI42" s="92"/>
      <c r="LKJ42" s="92"/>
      <c r="LKK42" s="92"/>
      <c r="LKL42" s="92"/>
      <c r="LKM42" s="92"/>
      <c r="LKN42" s="92"/>
      <c r="LKO42" s="92"/>
      <c r="LKP42" s="92"/>
      <c r="LKQ42" s="92"/>
      <c r="LKR42" s="92"/>
      <c r="LKS42" s="92"/>
      <c r="LKT42" s="92"/>
      <c r="LKU42" s="92"/>
      <c r="LKV42" s="92"/>
      <c r="LKW42" s="92"/>
      <c r="LKX42" s="92"/>
      <c r="LKY42" s="92"/>
      <c r="LKZ42" s="92"/>
      <c r="LLA42" s="92"/>
      <c r="LLB42" s="92"/>
      <c r="LLC42" s="92"/>
      <c r="LLD42" s="92"/>
      <c r="LLE42" s="92"/>
      <c r="LLF42" s="92"/>
      <c r="LLG42" s="92"/>
      <c r="LLH42" s="92"/>
      <c r="LLI42" s="92"/>
      <c r="LLJ42" s="92"/>
      <c r="LLK42" s="92"/>
      <c r="LLL42" s="92"/>
      <c r="LLM42" s="92"/>
      <c r="LLN42" s="92"/>
      <c r="LLO42" s="92"/>
      <c r="LLP42" s="92"/>
      <c r="LLQ42" s="92"/>
      <c r="LLR42" s="92"/>
      <c r="LLS42" s="92"/>
      <c r="LLT42" s="92"/>
      <c r="LLU42" s="92"/>
      <c r="LLV42" s="92"/>
      <c r="LLW42" s="92"/>
      <c r="LLX42" s="92"/>
      <c r="LLY42" s="92"/>
      <c r="LLZ42" s="92"/>
      <c r="LMA42" s="92"/>
      <c r="LMB42" s="92"/>
      <c r="LMC42" s="92"/>
      <c r="LMD42" s="92"/>
      <c r="LME42" s="92"/>
      <c r="LMF42" s="92"/>
      <c r="LMG42" s="92"/>
      <c r="LMH42" s="92"/>
      <c r="LMI42" s="92"/>
      <c r="LMJ42" s="92"/>
      <c r="LMK42" s="92"/>
      <c r="LML42" s="92"/>
      <c r="LMM42" s="92"/>
      <c r="LMN42" s="92"/>
      <c r="LMO42" s="92"/>
      <c r="LMP42" s="92"/>
      <c r="LMQ42" s="92"/>
      <c r="LMR42" s="92"/>
      <c r="LMS42" s="92"/>
      <c r="LMT42" s="92"/>
      <c r="LMU42" s="92"/>
      <c r="LMV42" s="92"/>
      <c r="LMW42" s="92"/>
      <c r="LMX42" s="92"/>
      <c r="LMY42" s="92"/>
      <c r="LMZ42" s="92"/>
      <c r="LNA42" s="92"/>
      <c r="LNB42" s="92"/>
      <c r="LNC42" s="92"/>
      <c r="LND42" s="92"/>
      <c r="LNE42" s="92"/>
      <c r="LNF42" s="92"/>
      <c r="LNG42" s="92"/>
      <c r="LNH42" s="92"/>
      <c r="LNI42" s="92"/>
      <c r="LNJ42" s="92"/>
      <c r="LNK42" s="92"/>
      <c r="LNL42" s="92"/>
      <c r="LNM42" s="92"/>
      <c r="LNN42" s="92"/>
      <c r="LNO42" s="92"/>
      <c r="LNP42" s="92"/>
      <c r="LNQ42" s="92"/>
      <c r="LNR42" s="92"/>
      <c r="LNS42" s="92"/>
      <c r="LNT42" s="92"/>
      <c r="LNU42" s="92"/>
      <c r="LNV42" s="92"/>
      <c r="LNW42" s="92"/>
      <c r="LNX42" s="92"/>
      <c r="LNY42" s="92"/>
      <c r="LNZ42" s="92"/>
      <c r="LOA42" s="92"/>
      <c r="LOB42" s="92"/>
      <c r="LOC42" s="92"/>
      <c r="LOD42" s="92"/>
      <c r="LOE42" s="92"/>
      <c r="LOF42" s="92"/>
      <c r="LOG42" s="92"/>
      <c r="LOH42" s="92"/>
      <c r="LOI42" s="92"/>
      <c r="LOJ42" s="92"/>
      <c r="LOK42" s="92"/>
      <c r="LOL42" s="92"/>
      <c r="LOM42" s="92"/>
      <c r="LON42" s="92"/>
      <c r="LOO42" s="92"/>
      <c r="LOP42" s="92"/>
      <c r="LOQ42" s="92"/>
      <c r="LOR42" s="92"/>
      <c r="LOS42" s="92"/>
      <c r="LOT42" s="92"/>
      <c r="LOU42" s="92"/>
      <c r="LOV42" s="92"/>
      <c r="LOW42" s="92"/>
      <c r="LOX42" s="92"/>
      <c r="LOY42" s="92"/>
      <c r="LOZ42" s="92"/>
      <c r="LPA42" s="92"/>
      <c r="LPB42" s="92"/>
      <c r="LPC42" s="92"/>
      <c r="LPD42" s="92"/>
      <c r="LPE42" s="92"/>
      <c r="LPF42" s="92"/>
      <c r="LPG42" s="92"/>
      <c r="LPH42" s="92"/>
      <c r="LPI42" s="92"/>
      <c r="LPJ42" s="92"/>
      <c r="LPK42" s="92"/>
      <c r="LPL42" s="92"/>
      <c r="LPM42" s="92"/>
      <c r="LPN42" s="92"/>
      <c r="LPO42" s="92"/>
      <c r="LPP42" s="92"/>
      <c r="LPQ42" s="92"/>
      <c r="LPR42" s="92"/>
      <c r="LPS42" s="92"/>
      <c r="LPT42" s="92"/>
      <c r="LPU42" s="92"/>
      <c r="LPV42" s="92"/>
      <c r="LPW42" s="92"/>
      <c r="LPX42" s="92"/>
      <c r="LPY42" s="92"/>
      <c r="LPZ42" s="92"/>
      <c r="LQA42" s="92"/>
      <c r="LQB42" s="92"/>
      <c r="LQC42" s="92"/>
      <c r="LQD42" s="92"/>
      <c r="LQE42" s="92"/>
      <c r="LQF42" s="92"/>
      <c r="LQG42" s="92"/>
      <c r="LQH42" s="92"/>
      <c r="LQI42" s="92"/>
      <c r="LQJ42" s="92"/>
      <c r="LQK42" s="92"/>
      <c r="LQL42" s="92"/>
      <c r="LQM42" s="92"/>
      <c r="LQN42" s="92"/>
      <c r="LQO42" s="92"/>
      <c r="LQP42" s="92"/>
      <c r="LQQ42" s="92"/>
      <c r="LQR42" s="92"/>
      <c r="LQS42" s="92"/>
      <c r="LQT42" s="92"/>
      <c r="LQU42" s="92"/>
      <c r="LQV42" s="92"/>
      <c r="LQW42" s="92"/>
      <c r="LQX42" s="92"/>
      <c r="LQY42" s="92"/>
      <c r="LQZ42" s="92"/>
      <c r="LRA42" s="92"/>
      <c r="LRB42" s="92"/>
      <c r="LRC42" s="92"/>
      <c r="LRD42" s="92"/>
      <c r="LRE42" s="92"/>
      <c r="LRF42" s="92"/>
      <c r="LRG42" s="92"/>
      <c r="LRH42" s="92"/>
      <c r="LRI42" s="92"/>
      <c r="LRJ42" s="92"/>
      <c r="LRK42" s="92"/>
      <c r="LRL42" s="92"/>
      <c r="LRM42" s="92"/>
      <c r="LRN42" s="92"/>
      <c r="LRO42" s="92"/>
      <c r="LRP42" s="92"/>
      <c r="LRQ42" s="92"/>
      <c r="LRR42" s="92"/>
      <c r="LRS42" s="92"/>
      <c r="LRT42" s="92"/>
      <c r="LRU42" s="92"/>
      <c r="LRV42" s="92"/>
      <c r="LRW42" s="92"/>
      <c r="LRX42" s="92"/>
      <c r="LRY42" s="92"/>
      <c r="LRZ42" s="92"/>
      <c r="LSA42" s="92"/>
      <c r="LSB42" s="92"/>
      <c r="LSC42" s="92"/>
      <c r="LSD42" s="92"/>
      <c r="LSE42" s="92"/>
      <c r="LSF42" s="92"/>
      <c r="LSG42" s="92"/>
      <c r="LSH42" s="92"/>
      <c r="LSI42" s="92"/>
      <c r="LSJ42" s="92"/>
      <c r="LSK42" s="92"/>
      <c r="LSL42" s="92"/>
      <c r="LSM42" s="92"/>
      <c r="LSN42" s="92"/>
      <c r="LSO42" s="92"/>
      <c r="LSP42" s="92"/>
      <c r="LSQ42" s="92"/>
      <c r="LSR42" s="92"/>
      <c r="LSS42" s="92"/>
      <c r="LST42" s="92"/>
      <c r="LSU42" s="92"/>
      <c r="LSV42" s="92"/>
      <c r="LSW42" s="92"/>
      <c r="LSX42" s="92"/>
      <c r="LSY42" s="92"/>
      <c r="LSZ42" s="92"/>
      <c r="LTA42" s="92"/>
      <c r="LTB42" s="92"/>
      <c r="LTC42" s="92"/>
      <c r="LTD42" s="92"/>
      <c r="LTE42" s="92"/>
      <c r="LTF42" s="92"/>
      <c r="LTG42" s="92"/>
      <c r="LTH42" s="92"/>
      <c r="LTI42" s="92"/>
      <c r="LTJ42" s="92"/>
      <c r="LTK42" s="92"/>
      <c r="LTL42" s="92"/>
      <c r="LTM42" s="92"/>
      <c r="LTN42" s="92"/>
      <c r="LTO42" s="92"/>
      <c r="LTP42" s="92"/>
      <c r="LTQ42" s="92"/>
      <c r="LTR42" s="92"/>
      <c r="LTS42" s="92"/>
      <c r="LTT42" s="92"/>
      <c r="LTU42" s="92"/>
      <c r="LTV42" s="92"/>
      <c r="LTW42" s="92"/>
      <c r="LTX42" s="92"/>
      <c r="LTY42" s="92"/>
      <c r="LTZ42" s="92"/>
      <c r="LUA42" s="92"/>
      <c r="LUB42" s="92"/>
      <c r="LUC42" s="92"/>
      <c r="LUD42" s="92"/>
      <c r="LUE42" s="92"/>
      <c r="LUF42" s="92"/>
      <c r="LUG42" s="92"/>
      <c r="LUH42" s="92"/>
      <c r="LUI42" s="92"/>
      <c r="LUJ42" s="92"/>
      <c r="LUK42" s="92"/>
      <c r="LUL42" s="92"/>
      <c r="LUM42" s="92"/>
      <c r="LUN42" s="92"/>
      <c r="LUO42" s="92"/>
      <c r="LUP42" s="92"/>
      <c r="LUQ42" s="92"/>
      <c r="LUR42" s="92"/>
      <c r="LUS42" s="92"/>
      <c r="LUT42" s="92"/>
      <c r="LUU42" s="92"/>
      <c r="LUV42" s="92"/>
      <c r="LUW42" s="92"/>
      <c r="LUX42" s="92"/>
      <c r="LUY42" s="92"/>
      <c r="LUZ42" s="92"/>
      <c r="LVA42" s="92"/>
      <c r="LVB42" s="92"/>
      <c r="LVC42" s="92"/>
      <c r="LVD42" s="92"/>
      <c r="LVE42" s="92"/>
      <c r="LVF42" s="92"/>
      <c r="LVG42" s="92"/>
      <c r="LVH42" s="92"/>
      <c r="LVI42" s="92"/>
      <c r="LVJ42" s="92"/>
      <c r="LVK42" s="92"/>
      <c r="LVL42" s="92"/>
      <c r="LVM42" s="92"/>
      <c r="LVN42" s="92"/>
      <c r="LVO42" s="92"/>
      <c r="LVP42" s="92"/>
      <c r="LVQ42" s="92"/>
      <c r="LVR42" s="92"/>
      <c r="LVS42" s="92"/>
      <c r="LVT42" s="92"/>
      <c r="LVU42" s="92"/>
      <c r="LVV42" s="92"/>
      <c r="LVW42" s="92"/>
      <c r="LVX42" s="92"/>
      <c r="LVY42" s="92"/>
      <c r="LVZ42" s="92"/>
      <c r="LWA42" s="92"/>
      <c r="LWB42" s="92"/>
      <c r="LWC42" s="92"/>
      <c r="LWD42" s="92"/>
      <c r="LWE42" s="92"/>
      <c r="LWF42" s="92"/>
      <c r="LWG42" s="92"/>
      <c r="LWH42" s="92"/>
      <c r="LWI42" s="92"/>
      <c r="LWJ42" s="92"/>
      <c r="LWK42" s="92"/>
      <c r="LWL42" s="92"/>
      <c r="LWM42" s="92"/>
      <c r="LWN42" s="92"/>
      <c r="LWO42" s="92"/>
      <c r="LWP42" s="92"/>
      <c r="LWQ42" s="92"/>
      <c r="LWR42" s="92"/>
      <c r="LWS42" s="92"/>
      <c r="LWT42" s="92"/>
      <c r="LWU42" s="92"/>
      <c r="LWV42" s="92"/>
      <c r="LWW42" s="92"/>
      <c r="LWX42" s="92"/>
      <c r="LWY42" s="92"/>
      <c r="LWZ42" s="92"/>
      <c r="LXA42" s="92"/>
      <c r="LXB42" s="92"/>
      <c r="LXC42" s="92"/>
      <c r="LXD42" s="92"/>
      <c r="LXE42" s="92"/>
      <c r="LXF42" s="92"/>
      <c r="LXG42" s="92"/>
      <c r="LXH42" s="92"/>
      <c r="LXI42" s="92"/>
      <c r="LXJ42" s="92"/>
      <c r="LXK42" s="92"/>
      <c r="LXL42" s="92"/>
      <c r="LXM42" s="92"/>
      <c r="LXN42" s="92"/>
      <c r="LXO42" s="92"/>
      <c r="LXP42" s="92"/>
      <c r="LXQ42" s="92"/>
      <c r="LXR42" s="92"/>
      <c r="LXS42" s="92"/>
      <c r="LXT42" s="92"/>
      <c r="LXU42" s="92"/>
      <c r="LXV42" s="92"/>
      <c r="LXW42" s="92"/>
      <c r="LXX42" s="92"/>
      <c r="LXY42" s="92"/>
      <c r="LXZ42" s="92"/>
      <c r="LYA42" s="92"/>
      <c r="LYB42" s="92"/>
      <c r="LYC42" s="92"/>
      <c r="LYD42" s="92"/>
      <c r="LYE42" s="92"/>
      <c r="LYF42" s="92"/>
      <c r="LYG42" s="92"/>
      <c r="LYH42" s="92"/>
      <c r="LYI42" s="92"/>
      <c r="LYJ42" s="92"/>
      <c r="LYK42" s="92"/>
      <c r="LYL42" s="92"/>
      <c r="LYM42" s="92"/>
      <c r="LYN42" s="92"/>
      <c r="LYO42" s="92"/>
      <c r="LYP42" s="92"/>
      <c r="LYQ42" s="92"/>
      <c r="LYR42" s="92"/>
      <c r="LYS42" s="92"/>
      <c r="LYT42" s="92"/>
      <c r="LYU42" s="92"/>
      <c r="LYV42" s="92"/>
      <c r="LYW42" s="92"/>
      <c r="LYX42" s="92"/>
      <c r="LYY42" s="92"/>
      <c r="LYZ42" s="92"/>
      <c r="LZA42" s="92"/>
      <c r="LZB42" s="92"/>
      <c r="LZC42" s="92"/>
      <c r="LZD42" s="92"/>
      <c r="LZE42" s="92"/>
      <c r="LZF42" s="92"/>
      <c r="LZG42" s="92"/>
      <c r="LZH42" s="92"/>
      <c r="LZI42" s="92"/>
      <c r="LZJ42" s="92"/>
      <c r="LZK42" s="92"/>
      <c r="LZL42" s="92"/>
      <c r="LZM42" s="92"/>
      <c r="LZN42" s="92"/>
      <c r="LZO42" s="92"/>
      <c r="LZP42" s="92"/>
      <c r="LZQ42" s="92"/>
      <c r="LZR42" s="92"/>
      <c r="LZS42" s="92"/>
      <c r="LZT42" s="92"/>
      <c r="LZU42" s="92"/>
      <c r="LZV42" s="92"/>
      <c r="LZW42" s="92"/>
      <c r="LZX42" s="92"/>
      <c r="LZY42" s="92"/>
      <c r="LZZ42" s="92"/>
      <c r="MAA42" s="92"/>
      <c r="MAB42" s="92"/>
      <c r="MAC42" s="92"/>
      <c r="MAD42" s="92"/>
      <c r="MAE42" s="92"/>
      <c r="MAF42" s="92"/>
      <c r="MAG42" s="92"/>
      <c r="MAH42" s="92"/>
      <c r="MAI42" s="92"/>
      <c r="MAJ42" s="92"/>
      <c r="MAK42" s="92"/>
      <c r="MAL42" s="92"/>
      <c r="MAM42" s="92"/>
      <c r="MAN42" s="92"/>
      <c r="MAO42" s="92"/>
      <c r="MAP42" s="92"/>
      <c r="MAQ42" s="92"/>
      <c r="MAR42" s="92"/>
      <c r="MAS42" s="92"/>
      <c r="MAT42" s="92"/>
      <c r="MAU42" s="92"/>
      <c r="MAV42" s="92"/>
      <c r="MAW42" s="92"/>
      <c r="MAX42" s="92"/>
      <c r="MAY42" s="92"/>
      <c r="MAZ42" s="92"/>
      <c r="MBA42" s="92"/>
      <c r="MBB42" s="92"/>
      <c r="MBC42" s="92"/>
      <c r="MBD42" s="92"/>
      <c r="MBE42" s="92"/>
      <c r="MBF42" s="92"/>
      <c r="MBG42" s="92"/>
      <c r="MBH42" s="92"/>
      <c r="MBI42" s="92"/>
      <c r="MBJ42" s="92"/>
      <c r="MBK42" s="92"/>
      <c r="MBL42" s="92"/>
      <c r="MBM42" s="92"/>
      <c r="MBN42" s="92"/>
      <c r="MBO42" s="92"/>
      <c r="MBP42" s="92"/>
      <c r="MBQ42" s="92"/>
      <c r="MBR42" s="92"/>
      <c r="MBS42" s="92"/>
      <c r="MBT42" s="92"/>
      <c r="MBU42" s="92"/>
      <c r="MBV42" s="92"/>
      <c r="MBW42" s="92"/>
      <c r="MBX42" s="92"/>
      <c r="MBY42" s="92"/>
      <c r="MBZ42" s="92"/>
      <c r="MCA42" s="92"/>
      <c r="MCB42" s="92"/>
      <c r="MCC42" s="92"/>
      <c r="MCD42" s="92"/>
      <c r="MCE42" s="92"/>
      <c r="MCF42" s="92"/>
      <c r="MCG42" s="92"/>
      <c r="MCH42" s="92"/>
      <c r="MCI42" s="92"/>
      <c r="MCJ42" s="92"/>
      <c r="MCK42" s="92"/>
      <c r="MCL42" s="92"/>
      <c r="MCM42" s="92"/>
      <c r="MCN42" s="92"/>
      <c r="MCO42" s="92"/>
      <c r="MCP42" s="92"/>
      <c r="MCQ42" s="92"/>
      <c r="MCR42" s="92"/>
      <c r="MCS42" s="92"/>
      <c r="MCT42" s="92"/>
      <c r="MCU42" s="92"/>
      <c r="MCV42" s="92"/>
      <c r="MCW42" s="92"/>
      <c r="MCX42" s="92"/>
      <c r="MCY42" s="92"/>
      <c r="MCZ42" s="92"/>
      <c r="MDA42" s="92"/>
      <c r="MDB42" s="92"/>
      <c r="MDC42" s="92"/>
      <c r="MDD42" s="92"/>
      <c r="MDE42" s="92"/>
      <c r="MDF42" s="92"/>
      <c r="MDG42" s="92"/>
      <c r="MDH42" s="92"/>
      <c r="MDI42" s="92"/>
      <c r="MDJ42" s="92"/>
      <c r="MDK42" s="92"/>
      <c r="MDL42" s="92"/>
      <c r="MDM42" s="92"/>
      <c r="MDN42" s="92"/>
      <c r="MDO42" s="92"/>
      <c r="MDP42" s="92"/>
      <c r="MDQ42" s="92"/>
      <c r="MDR42" s="92"/>
      <c r="MDS42" s="92"/>
      <c r="MDT42" s="92"/>
      <c r="MDU42" s="92"/>
      <c r="MDV42" s="92"/>
      <c r="MDW42" s="92"/>
      <c r="MDX42" s="92"/>
      <c r="MDY42" s="92"/>
      <c r="MDZ42" s="92"/>
      <c r="MEA42" s="92"/>
      <c r="MEB42" s="92"/>
      <c r="MEC42" s="92"/>
      <c r="MED42" s="92"/>
      <c r="MEE42" s="92"/>
      <c r="MEF42" s="92"/>
      <c r="MEG42" s="92"/>
      <c r="MEH42" s="92"/>
      <c r="MEI42" s="92"/>
      <c r="MEJ42" s="92"/>
      <c r="MEK42" s="92"/>
      <c r="MEL42" s="92"/>
      <c r="MEM42" s="92"/>
      <c r="MEN42" s="92"/>
      <c r="MEO42" s="92"/>
      <c r="MEP42" s="92"/>
      <c r="MEQ42" s="92"/>
      <c r="MER42" s="92"/>
      <c r="MES42" s="92"/>
      <c r="MET42" s="92"/>
      <c r="MEU42" s="92"/>
      <c r="MEV42" s="92"/>
      <c r="MEW42" s="92"/>
      <c r="MEX42" s="92"/>
      <c r="MEY42" s="92"/>
      <c r="MEZ42" s="92"/>
      <c r="MFA42" s="92"/>
      <c r="MFB42" s="92"/>
      <c r="MFC42" s="92"/>
      <c r="MFD42" s="92"/>
      <c r="MFE42" s="92"/>
      <c r="MFF42" s="92"/>
      <c r="MFG42" s="92"/>
      <c r="MFH42" s="92"/>
      <c r="MFI42" s="92"/>
      <c r="MFJ42" s="92"/>
      <c r="MFK42" s="92"/>
      <c r="MFL42" s="92"/>
      <c r="MFM42" s="92"/>
      <c r="MFN42" s="92"/>
      <c r="MFO42" s="92"/>
      <c r="MFP42" s="92"/>
      <c r="MFQ42" s="92"/>
      <c r="MFR42" s="92"/>
      <c r="MFS42" s="92"/>
      <c r="MFT42" s="92"/>
      <c r="MFU42" s="92"/>
      <c r="MFV42" s="92"/>
      <c r="MFW42" s="92"/>
      <c r="MFX42" s="92"/>
      <c r="MFY42" s="92"/>
      <c r="MFZ42" s="92"/>
      <c r="MGA42" s="92"/>
      <c r="MGB42" s="92"/>
      <c r="MGC42" s="92"/>
      <c r="MGD42" s="92"/>
      <c r="MGE42" s="92"/>
      <c r="MGF42" s="92"/>
      <c r="MGG42" s="92"/>
      <c r="MGH42" s="92"/>
      <c r="MGI42" s="92"/>
      <c r="MGJ42" s="92"/>
      <c r="MGK42" s="92"/>
      <c r="MGL42" s="92"/>
      <c r="MGM42" s="92"/>
      <c r="MGN42" s="92"/>
      <c r="MGO42" s="92"/>
      <c r="MGP42" s="92"/>
      <c r="MGQ42" s="92"/>
      <c r="MGR42" s="92"/>
      <c r="MGS42" s="92"/>
      <c r="MGT42" s="92"/>
      <c r="MGU42" s="92"/>
      <c r="MGV42" s="92"/>
      <c r="MGW42" s="92"/>
      <c r="MGX42" s="92"/>
      <c r="MGY42" s="92"/>
      <c r="MGZ42" s="92"/>
      <c r="MHA42" s="92"/>
      <c r="MHB42" s="92"/>
      <c r="MHC42" s="92"/>
      <c r="MHD42" s="92"/>
      <c r="MHE42" s="92"/>
      <c r="MHF42" s="92"/>
      <c r="MHG42" s="92"/>
      <c r="MHH42" s="92"/>
      <c r="MHI42" s="92"/>
      <c r="MHJ42" s="92"/>
      <c r="MHK42" s="92"/>
      <c r="MHL42" s="92"/>
      <c r="MHM42" s="92"/>
      <c r="MHN42" s="92"/>
      <c r="MHO42" s="92"/>
      <c r="MHP42" s="92"/>
      <c r="MHQ42" s="92"/>
      <c r="MHR42" s="92"/>
      <c r="MHS42" s="92"/>
      <c r="MHT42" s="92"/>
      <c r="MHU42" s="92"/>
      <c r="MHV42" s="92"/>
      <c r="MHW42" s="92"/>
      <c r="MHX42" s="92"/>
      <c r="MHY42" s="92"/>
      <c r="MHZ42" s="92"/>
      <c r="MIA42" s="92"/>
      <c r="MIB42" s="92"/>
      <c r="MIC42" s="92"/>
      <c r="MID42" s="92"/>
      <c r="MIE42" s="92"/>
      <c r="MIF42" s="92"/>
      <c r="MIG42" s="92"/>
      <c r="MIH42" s="92"/>
      <c r="MII42" s="92"/>
      <c r="MIJ42" s="92"/>
      <c r="MIK42" s="92"/>
      <c r="MIL42" s="92"/>
      <c r="MIM42" s="92"/>
      <c r="MIN42" s="92"/>
      <c r="MIO42" s="92"/>
      <c r="MIP42" s="92"/>
      <c r="MIQ42" s="92"/>
      <c r="MIR42" s="92"/>
      <c r="MIS42" s="92"/>
      <c r="MIT42" s="92"/>
      <c r="MIU42" s="92"/>
      <c r="MIV42" s="92"/>
      <c r="MIW42" s="92"/>
      <c r="MIX42" s="92"/>
      <c r="MIY42" s="92"/>
      <c r="MIZ42" s="92"/>
      <c r="MJA42" s="92"/>
      <c r="MJB42" s="92"/>
      <c r="MJC42" s="92"/>
      <c r="MJD42" s="92"/>
      <c r="MJE42" s="92"/>
      <c r="MJF42" s="92"/>
      <c r="MJG42" s="92"/>
      <c r="MJH42" s="92"/>
      <c r="MJI42" s="92"/>
      <c r="MJJ42" s="92"/>
      <c r="MJK42" s="92"/>
      <c r="MJL42" s="92"/>
      <c r="MJM42" s="92"/>
      <c r="MJN42" s="92"/>
      <c r="MJO42" s="92"/>
      <c r="MJP42" s="92"/>
      <c r="MJQ42" s="92"/>
      <c r="MJR42" s="92"/>
      <c r="MJS42" s="92"/>
      <c r="MJT42" s="92"/>
      <c r="MJU42" s="92"/>
      <c r="MJV42" s="92"/>
      <c r="MJW42" s="92"/>
      <c r="MJX42" s="92"/>
      <c r="MJY42" s="92"/>
      <c r="MJZ42" s="92"/>
      <c r="MKA42" s="92"/>
      <c r="MKB42" s="92"/>
      <c r="MKC42" s="92"/>
      <c r="MKD42" s="92"/>
      <c r="MKE42" s="92"/>
      <c r="MKF42" s="92"/>
      <c r="MKG42" s="92"/>
      <c r="MKH42" s="92"/>
      <c r="MKI42" s="92"/>
      <c r="MKJ42" s="92"/>
      <c r="MKK42" s="92"/>
      <c r="MKL42" s="92"/>
      <c r="MKM42" s="92"/>
      <c r="MKN42" s="92"/>
      <c r="MKO42" s="92"/>
      <c r="MKP42" s="92"/>
      <c r="MKQ42" s="92"/>
      <c r="MKR42" s="92"/>
      <c r="MKS42" s="92"/>
      <c r="MKT42" s="92"/>
      <c r="MKU42" s="92"/>
      <c r="MKV42" s="92"/>
      <c r="MKW42" s="92"/>
      <c r="MKX42" s="92"/>
      <c r="MKY42" s="92"/>
      <c r="MKZ42" s="92"/>
      <c r="MLA42" s="92"/>
      <c r="MLB42" s="92"/>
      <c r="MLC42" s="92"/>
      <c r="MLD42" s="92"/>
      <c r="MLE42" s="92"/>
      <c r="MLF42" s="92"/>
      <c r="MLG42" s="92"/>
      <c r="MLH42" s="92"/>
      <c r="MLI42" s="92"/>
      <c r="MLJ42" s="92"/>
      <c r="MLK42" s="92"/>
      <c r="MLL42" s="92"/>
      <c r="MLM42" s="92"/>
      <c r="MLN42" s="92"/>
      <c r="MLO42" s="92"/>
      <c r="MLP42" s="92"/>
      <c r="MLQ42" s="92"/>
      <c r="MLR42" s="92"/>
      <c r="MLS42" s="92"/>
      <c r="MLT42" s="92"/>
      <c r="MLU42" s="92"/>
      <c r="MLV42" s="92"/>
      <c r="MLW42" s="92"/>
      <c r="MLX42" s="92"/>
      <c r="MLY42" s="92"/>
      <c r="MLZ42" s="92"/>
      <c r="MMA42" s="92"/>
      <c r="MMB42" s="92"/>
      <c r="MMC42" s="92"/>
      <c r="MMD42" s="92"/>
      <c r="MME42" s="92"/>
      <c r="MMF42" s="92"/>
      <c r="MMG42" s="92"/>
      <c r="MMH42" s="92"/>
      <c r="MMI42" s="92"/>
      <c r="MMJ42" s="92"/>
      <c r="MMK42" s="92"/>
      <c r="MML42" s="92"/>
      <c r="MMM42" s="92"/>
      <c r="MMN42" s="92"/>
      <c r="MMO42" s="92"/>
      <c r="MMP42" s="92"/>
      <c r="MMQ42" s="92"/>
      <c r="MMR42" s="92"/>
      <c r="MMS42" s="92"/>
      <c r="MMT42" s="92"/>
      <c r="MMU42" s="92"/>
      <c r="MMV42" s="92"/>
      <c r="MMW42" s="92"/>
      <c r="MMX42" s="92"/>
      <c r="MMY42" s="92"/>
      <c r="MMZ42" s="92"/>
      <c r="MNA42" s="92"/>
      <c r="MNB42" s="92"/>
      <c r="MNC42" s="92"/>
      <c r="MND42" s="92"/>
      <c r="MNE42" s="92"/>
      <c r="MNF42" s="92"/>
      <c r="MNG42" s="92"/>
      <c r="MNH42" s="92"/>
      <c r="MNI42" s="92"/>
      <c r="MNJ42" s="92"/>
      <c r="MNK42" s="92"/>
      <c r="MNL42" s="92"/>
      <c r="MNM42" s="92"/>
      <c r="MNN42" s="92"/>
      <c r="MNO42" s="92"/>
      <c r="MNP42" s="92"/>
      <c r="MNQ42" s="92"/>
      <c r="MNR42" s="92"/>
      <c r="MNS42" s="92"/>
      <c r="MNT42" s="92"/>
      <c r="MNU42" s="92"/>
      <c r="MNV42" s="92"/>
      <c r="MNW42" s="92"/>
      <c r="MNX42" s="92"/>
      <c r="MNY42" s="92"/>
      <c r="MNZ42" s="92"/>
      <c r="MOA42" s="92"/>
      <c r="MOB42" s="92"/>
      <c r="MOC42" s="92"/>
      <c r="MOD42" s="92"/>
      <c r="MOE42" s="92"/>
      <c r="MOF42" s="92"/>
      <c r="MOG42" s="92"/>
      <c r="MOH42" s="92"/>
      <c r="MOI42" s="92"/>
      <c r="MOJ42" s="92"/>
      <c r="MOK42" s="92"/>
      <c r="MOL42" s="92"/>
      <c r="MOM42" s="92"/>
      <c r="MON42" s="92"/>
      <c r="MOO42" s="92"/>
      <c r="MOP42" s="92"/>
      <c r="MOQ42" s="92"/>
      <c r="MOR42" s="92"/>
      <c r="MOS42" s="92"/>
      <c r="MOT42" s="92"/>
      <c r="MOU42" s="92"/>
      <c r="MOV42" s="92"/>
      <c r="MOW42" s="92"/>
      <c r="MOX42" s="92"/>
      <c r="MOY42" s="92"/>
      <c r="MOZ42" s="92"/>
      <c r="MPA42" s="92"/>
      <c r="MPB42" s="92"/>
      <c r="MPC42" s="92"/>
      <c r="MPD42" s="92"/>
      <c r="MPE42" s="92"/>
      <c r="MPF42" s="92"/>
      <c r="MPG42" s="92"/>
      <c r="MPH42" s="92"/>
      <c r="MPI42" s="92"/>
      <c r="MPJ42" s="92"/>
      <c r="MPK42" s="92"/>
      <c r="MPL42" s="92"/>
      <c r="MPM42" s="92"/>
      <c r="MPN42" s="92"/>
      <c r="MPO42" s="92"/>
      <c r="MPP42" s="92"/>
      <c r="MPQ42" s="92"/>
      <c r="MPR42" s="92"/>
      <c r="MPS42" s="92"/>
      <c r="MPT42" s="92"/>
      <c r="MPU42" s="92"/>
      <c r="MPV42" s="92"/>
      <c r="MPW42" s="92"/>
      <c r="MPX42" s="92"/>
      <c r="MPY42" s="92"/>
      <c r="MPZ42" s="92"/>
      <c r="MQA42" s="92"/>
      <c r="MQB42" s="92"/>
      <c r="MQC42" s="92"/>
      <c r="MQD42" s="92"/>
      <c r="MQE42" s="92"/>
      <c r="MQF42" s="92"/>
      <c r="MQG42" s="92"/>
      <c r="MQH42" s="92"/>
      <c r="MQI42" s="92"/>
      <c r="MQJ42" s="92"/>
      <c r="MQK42" s="92"/>
      <c r="MQL42" s="92"/>
      <c r="MQM42" s="92"/>
      <c r="MQN42" s="92"/>
      <c r="MQO42" s="92"/>
      <c r="MQP42" s="92"/>
      <c r="MQQ42" s="92"/>
      <c r="MQR42" s="92"/>
      <c r="MQS42" s="92"/>
      <c r="MQT42" s="92"/>
      <c r="MQU42" s="92"/>
      <c r="MQV42" s="92"/>
      <c r="MQW42" s="92"/>
      <c r="MQX42" s="92"/>
      <c r="MQY42" s="92"/>
      <c r="MQZ42" s="92"/>
      <c r="MRA42" s="92"/>
      <c r="MRB42" s="92"/>
      <c r="MRC42" s="92"/>
      <c r="MRD42" s="92"/>
      <c r="MRE42" s="92"/>
      <c r="MRF42" s="92"/>
      <c r="MRG42" s="92"/>
      <c r="MRH42" s="92"/>
      <c r="MRI42" s="92"/>
      <c r="MRJ42" s="92"/>
      <c r="MRK42" s="92"/>
      <c r="MRL42" s="92"/>
      <c r="MRM42" s="92"/>
      <c r="MRN42" s="92"/>
      <c r="MRO42" s="92"/>
      <c r="MRP42" s="92"/>
      <c r="MRQ42" s="92"/>
      <c r="MRR42" s="92"/>
      <c r="MRS42" s="92"/>
      <c r="MRT42" s="92"/>
      <c r="MRU42" s="92"/>
      <c r="MRV42" s="92"/>
      <c r="MRW42" s="92"/>
      <c r="MRX42" s="92"/>
      <c r="MRY42" s="92"/>
      <c r="MRZ42" s="92"/>
      <c r="MSA42" s="92"/>
      <c r="MSB42" s="92"/>
      <c r="MSC42" s="92"/>
      <c r="MSD42" s="92"/>
      <c r="MSE42" s="92"/>
      <c r="MSF42" s="92"/>
      <c r="MSG42" s="92"/>
      <c r="MSH42" s="92"/>
      <c r="MSI42" s="92"/>
      <c r="MSJ42" s="92"/>
      <c r="MSK42" s="92"/>
      <c r="MSL42" s="92"/>
      <c r="MSM42" s="92"/>
      <c r="MSN42" s="92"/>
      <c r="MSO42" s="92"/>
      <c r="MSP42" s="92"/>
      <c r="MSQ42" s="92"/>
      <c r="MSR42" s="92"/>
      <c r="MSS42" s="92"/>
      <c r="MST42" s="92"/>
      <c r="MSU42" s="92"/>
      <c r="MSV42" s="92"/>
      <c r="MSW42" s="92"/>
      <c r="MSX42" s="92"/>
      <c r="MSY42" s="92"/>
      <c r="MSZ42" s="92"/>
      <c r="MTA42" s="92"/>
      <c r="MTB42" s="92"/>
      <c r="MTC42" s="92"/>
      <c r="MTD42" s="92"/>
      <c r="MTE42" s="92"/>
      <c r="MTF42" s="92"/>
      <c r="MTG42" s="92"/>
      <c r="MTH42" s="92"/>
      <c r="MTI42" s="92"/>
      <c r="MTJ42" s="92"/>
      <c r="MTK42" s="92"/>
      <c r="MTL42" s="92"/>
      <c r="MTM42" s="92"/>
      <c r="MTN42" s="92"/>
      <c r="MTO42" s="92"/>
      <c r="MTP42" s="92"/>
      <c r="MTQ42" s="92"/>
      <c r="MTR42" s="92"/>
      <c r="MTS42" s="92"/>
      <c r="MTT42" s="92"/>
      <c r="MTU42" s="92"/>
      <c r="MTV42" s="92"/>
      <c r="MTW42" s="92"/>
      <c r="MTX42" s="92"/>
      <c r="MTY42" s="92"/>
      <c r="MTZ42" s="92"/>
      <c r="MUA42" s="92"/>
      <c r="MUB42" s="92"/>
      <c r="MUC42" s="92"/>
      <c r="MUD42" s="92"/>
      <c r="MUE42" s="92"/>
      <c r="MUF42" s="92"/>
      <c r="MUG42" s="92"/>
      <c r="MUH42" s="92"/>
      <c r="MUI42" s="92"/>
      <c r="MUJ42" s="92"/>
      <c r="MUK42" s="92"/>
      <c r="MUL42" s="92"/>
      <c r="MUM42" s="92"/>
      <c r="MUN42" s="92"/>
      <c r="MUO42" s="92"/>
      <c r="MUP42" s="92"/>
      <c r="MUQ42" s="92"/>
      <c r="MUR42" s="92"/>
      <c r="MUS42" s="92"/>
      <c r="MUT42" s="92"/>
      <c r="MUU42" s="92"/>
      <c r="MUV42" s="92"/>
      <c r="MUW42" s="92"/>
      <c r="MUX42" s="92"/>
      <c r="MUY42" s="92"/>
      <c r="MUZ42" s="92"/>
      <c r="MVA42" s="92"/>
      <c r="MVB42" s="92"/>
      <c r="MVC42" s="92"/>
      <c r="MVD42" s="92"/>
      <c r="MVE42" s="92"/>
      <c r="MVF42" s="92"/>
      <c r="MVG42" s="92"/>
      <c r="MVH42" s="92"/>
      <c r="MVI42" s="92"/>
      <c r="MVJ42" s="92"/>
      <c r="MVK42" s="92"/>
      <c r="MVL42" s="92"/>
      <c r="MVM42" s="92"/>
      <c r="MVN42" s="92"/>
      <c r="MVO42" s="92"/>
      <c r="MVP42" s="92"/>
      <c r="MVQ42" s="92"/>
      <c r="MVR42" s="92"/>
      <c r="MVS42" s="92"/>
      <c r="MVT42" s="92"/>
      <c r="MVU42" s="92"/>
      <c r="MVV42" s="92"/>
      <c r="MVW42" s="92"/>
      <c r="MVX42" s="92"/>
      <c r="MVY42" s="92"/>
      <c r="MVZ42" s="92"/>
      <c r="MWA42" s="92"/>
      <c r="MWB42" s="92"/>
      <c r="MWC42" s="92"/>
      <c r="MWD42" s="92"/>
      <c r="MWE42" s="92"/>
      <c r="MWF42" s="92"/>
      <c r="MWG42" s="92"/>
      <c r="MWH42" s="92"/>
      <c r="MWI42" s="92"/>
      <c r="MWJ42" s="92"/>
      <c r="MWK42" s="92"/>
      <c r="MWL42" s="92"/>
      <c r="MWM42" s="92"/>
      <c r="MWN42" s="92"/>
      <c r="MWO42" s="92"/>
      <c r="MWP42" s="92"/>
      <c r="MWQ42" s="92"/>
      <c r="MWR42" s="92"/>
      <c r="MWS42" s="92"/>
      <c r="MWT42" s="92"/>
      <c r="MWU42" s="92"/>
      <c r="MWV42" s="92"/>
      <c r="MWW42" s="92"/>
      <c r="MWX42" s="92"/>
      <c r="MWY42" s="92"/>
      <c r="MWZ42" s="92"/>
      <c r="MXA42" s="92"/>
      <c r="MXB42" s="92"/>
      <c r="MXC42" s="92"/>
      <c r="MXD42" s="92"/>
      <c r="MXE42" s="92"/>
      <c r="MXF42" s="92"/>
      <c r="MXG42" s="92"/>
      <c r="MXH42" s="92"/>
      <c r="MXI42" s="92"/>
      <c r="MXJ42" s="92"/>
      <c r="MXK42" s="92"/>
      <c r="MXL42" s="92"/>
      <c r="MXM42" s="92"/>
      <c r="MXN42" s="92"/>
      <c r="MXO42" s="92"/>
      <c r="MXP42" s="92"/>
      <c r="MXQ42" s="92"/>
      <c r="MXR42" s="92"/>
      <c r="MXS42" s="92"/>
      <c r="MXT42" s="92"/>
      <c r="MXU42" s="92"/>
      <c r="MXV42" s="92"/>
      <c r="MXW42" s="92"/>
      <c r="MXX42" s="92"/>
      <c r="MXY42" s="92"/>
      <c r="MXZ42" s="92"/>
      <c r="MYA42" s="92"/>
      <c r="MYB42" s="92"/>
      <c r="MYC42" s="92"/>
      <c r="MYD42" s="92"/>
      <c r="MYE42" s="92"/>
      <c r="MYF42" s="92"/>
      <c r="MYG42" s="92"/>
      <c r="MYH42" s="92"/>
      <c r="MYI42" s="92"/>
      <c r="MYJ42" s="92"/>
      <c r="MYK42" s="92"/>
      <c r="MYL42" s="92"/>
      <c r="MYM42" s="92"/>
      <c r="MYN42" s="92"/>
      <c r="MYO42" s="92"/>
      <c r="MYP42" s="92"/>
      <c r="MYQ42" s="92"/>
      <c r="MYR42" s="92"/>
      <c r="MYS42" s="92"/>
      <c r="MYT42" s="92"/>
      <c r="MYU42" s="92"/>
      <c r="MYV42" s="92"/>
      <c r="MYW42" s="92"/>
      <c r="MYX42" s="92"/>
      <c r="MYY42" s="92"/>
      <c r="MYZ42" s="92"/>
      <c r="MZA42" s="92"/>
      <c r="MZB42" s="92"/>
      <c r="MZC42" s="92"/>
      <c r="MZD42" s="92"/>
      <c r="MZE42" s="92"/>
      <c r="MZF42" s="92"/>
      <c r="MZG42" s="92"/>
      <c r="MZH42" s="92"/>
      <c r="MZI42" s="92"/>
      <c r="MZJ42" s="92"/>
      <c r="MZK42" s="92"/>
      <c r="MZL42" s="92"/>
      <c r="MZM42" s="92"/>
      <c r="MZN42" s="92"/>
      <c r="MZO42" s="92"/>
      <c r="MZP42" s="92"/>
      <c r="MZQ42" s="92"/>
      <c r="MZR42" s="92"/>
      <c r="MZS42" s="92"/>
      <c r="MZT42" s="92"/>
      <c r="MZU42" s="92"/>
      <c r="MZV42" s="92"/>
      <c r="MZW42" s="92"/>
      <c r="MZX42" s="92"/>
      <c r="MZY42" s="92"/>
      <c r="MZZ42" s="92"/>
      <c r="NAA42" s="92"/>
      <c r="NAB42" s="92"/>
      <c r="NAC42" s="92"/>
      <c r="NAD42" s="92"/>
      <c r="NAE42" s="92"/>
      <c r="NAF42" s="92"/>
      <c r="NAG42" s="92"/>
      <c r="NAH42" s="92"/>
      <c r="NAI42" s="92"/>
      <c r="NAJ42" s="92"/>
      <c r="NAK42" s="92"/>
      <c r="NAL42" s="92"/>
      <c r="NAM42" s="92"/>
      <c r="NAN42" s="92"/>
      <c r="NAO42" s="92"/>
      <c r="NAP42" s="92"/>
      <c r="NAQ42" s="92"/>
      <c r="NAR42" s="92"/>
      <c r="NAS42" s="92"/>
      <c r="NAT42" s="92"/>
      <c r="NAU42" s="92"/>
      <c r="NAV42" s="92"/>
      <c r="NAW42" s="92"/>
      <c r="NAX42" s="92"/>
      <c r="NAY42" s="92"/>
      <c r="NAZ42" s="92"/>
      <c r="NBA42" s="92"/>
      <c r="NBB42" s="92"/>
      <c r="NBC42" s="92"/>
      <c r="NBD42" s="92"/>
      <c r="NBE42" s="92"/>
      <c r="NBF42" s="92"/>
      <c r="NBG42" s="92"/>
      <c r="NBH42" s="92"/>
      <c r="NBI42" s="92"/>
      <c r="NBJ42" s="92"/>
      <c r="NBK42" s="92"/>
      <c r="NBL42" s="92"/>
      <c r="NBM42" s="92"/>
      <c r="NBN42" s="92"/>
      <c r="NBO42" s="92"/>
      <c r="NBP42" s="92"/>
      <c r="NBQ42" s="92"/>
      <c r="NBR42" s="92"/>
      <c r="NBS42" s="92"/>
      <c r="NBT42" s="92"/>
      <c r="NBU42" s="92"/>
      <c r="NBV42" s="92"/>
      <c r="NBW42" s="92"/>
      <c r="NBX42" s="92"/>
      <c r="NBY42" s="92"/>
      <c r="NBZ42" s="92"/>
      <c r="NCA42" s="92"/>
      <c r="NCB42" s="92"/>
      <c r="NCC42" s="92"/>
      <c r="NCD42" s="92"/>
      <c r="NCE42" s="92"/>
      <c r="NCF42" s="92"/>
      <c r="NCG42" s="92"/>
      <c r="NCH42" s="92"/>
      <c r="NCI42" s="92"/>
      <c r="NCJ42" s="92"/>
      <c r="NCK42" s="92"/>
      <c r="NCL42" s="92"/>
      <c r="NCM42" s="92"/>
      <c r="NCN42" s="92"/>
      <c r="NCO42" s="92"/>
      <c r="NCP42" s="92"/>
      <c r="NCQ42" s="92"/>
      <c r="NCR42" s="92"/>
      <c r="NCS42" s="92"/>
      <c r="NCT42" s="92"/>
      <c r="NCU42" s="92"/>
      <c r="NCV42" s="92"/>
      <c r="NCW42" s="92"/>
      <c r="NCX42" s="92"/>
      <c r="NCY42" s="92"/>
      <c r="NCZ42" s="92"/>
      <c r="NDA42" s="92"/>
      <c r="NDB42" s="92"/>
      <c r="NDC42" s="92"/>
      <c r="NDD42" s="92"/>
      <c r="NDE42" s="92"/>
      <c r="NDF42" s="92"/>
      <c r="NDG42" s="92"/>
      <c r="NDH42" s="92"/>
      <c r="NDI42" s="92"/>
      <c r="NDJ42" s="92"/>
      <c r="NDK42" s="92"/>
      <c r="NDL42" s="92"/>
      <c r="NDM42" s="92"/>
      <c r="NDN42" s="92"/>
      <c r="NDO42" s="92"/>
      <c r="NDP42" s="92"/>
      <c r="NDQ42" s="92"/>
      <c r="NDR42" s="92"/>
      <c r="NDS42" s="92"/>
      <c r="NDT42" s="92"/>
      <c r="NDU42" s="92"/>
      <c r="NDV42" s="92"/>
      <c r="NDW42" s="92"/>
      <c r="NDX42" s="92"/>
      <c r="NDY42" s="92"/>
      <c r="NDZ42" s="92"/>
      <c r="NEA42" s="92"/>
      <c r="NEB42" s="92"/>
      <c r="NEC42" s="92"/>
      <c r="NED42" s="92"/>
      <c r="NEE42" s="92"/>
      <c r="NEF42" s="92"/>
      <c r="NEG42" s="92"/>
      <c r="NEH42" s="92"/>
      <c r="NEI42" s="92"/>
      <c r="NEJ42" s="92"/>
      <c r="NEK42" s="92"/>
      <c r="NEL42" s="92"/>
      <c r="NEM42" s="92"/>
      <c r="NEN42" s="92"/>
      <c r="NEO42" s="92"/>
      <c r="NEP42" s="92"/>
      <c r="NEQ42" s="92"/>
      <c r="NER42" s="92"/>
      <c r="NES42" s="92"/>
      <c r="NET42" s="92"/>
      <c r="NEU42" s="92"/>
      <c r="NEV42" s="92"/>
      <c r="NEW42" s="92"/>
      <c r="NEX42" s="92"/>
      <c r="NEY42" s="92"/>
      <c r="NEZ42" s="92"/>
      <c r="NFA42" s="92"/>
      <c r="NFB42" s="92"/>
      <c r="NFC42" s="92"/>
      <c r="NFD42" s="92"/>
      <c r="NFE42" s="92"/>
      <c r="NFF42" s="92"/>
      <c r="NFG42" s="92"/>
      <c r="NFH42" s="92"/>
      <c r="NFI42" s="92"/>
      <c r="NFJ42" s="92"/>
      <c r="NFK42" s="92"/>
      <c r="NFL42" s="92"/>
      <c r="NFM42" s="92"/>
      <c r="NFN42" s="92"/>
      <c r="NFO42" s="92"/>
      <c r="NFP42" s="92"/>
      <c r="NFQ42" s="92"/>
      <c r="NFR42" s="92"/>
      <c r="NFS42" s="92"/>
      <c r="NFT42" s="92"/>
      <c r="NFU42" s="92"/>
      <c r="NFV42" s="92"/>
      <c r="NFW42" s="92"/>
      <c r="NFX42" s="92"/>
      <c r="NFY42" s="92"/>
      <c r="NFZ42" s="92"/>
      <c r="NGA42" s="92"/>
      <c r="NGB42" s="92"/>
      <c r="NGC42" s="92"/>
      <c r="NGD42" s="92"/>
      <c r="NGE42" s="92"/>
      <c r="NGF42" s="92"/>
      <c r="NGG42" s="92"/>
      <c r="NGH42" s="92"/>
      <c r="NGI42" s="92"/>
      <c r="NGJ42" s="92"/>
      <c r="NGK42" s="92"/>
      <c r="NGL42" s="92"/>
      <c r="NGM42" s="92"/>
      <c r="NGN42" s="92"/>
      <c r="NGO42" s="92"/>
      <c r="NGP42" s="92"/>
      <c r="NGQ42" s="92"/>
      <c r="NGR42" s="92"/>
      <c r="NGS42" s="92"/>
      <c r="NGT42" s="92"/>
      <c r="NGU42" s="92"/>
      <c r="NGV42" s="92"/>
      <c r="NGW42" s="92"/>
      <c r="NGX42" s="92"/>
      <c r="NGY42" s="92"/>
      <c r="NGZ42" s="92"/>
      <c r="NHA42" s="92"/>
      <c r="NHB42" s="92"/>
      <c r="NHC42" s="92"/>
      <c r="NHD42" s="92"/>
      <c r="NHE42" s="92"/>
      <c r="NHF42" s="92"/>
      <c r="NHG42" s="92"/>
      <c r="NHH42" s="92"/>
      <c r="NHI42" s="92"/>
      <c r="NHJ42" s="92"/>
      <c r="NHK42" s="92"/>
      <c r="NHL42" s="92"/>
      <c r="NHM42" s="92"/>
      <c r="NHN42" s="92"/>
      <c r="NHO42" s="92"/>
      <c r="NHP42" s="92"/>
      <c r="NHQ42" s="92"/>
      <c r="NHR42" s="92"/>
      <c r="NHS42" s="92"/>
      <c r="NHT42" s="92"/>
      <c r="NHU42" s="92"/>
      <c r="NHV42" s="92"/>
      <c r="NHW42" s="92"/>
      <c r="NHX42" s="92"/>
      <c r="NHY42" s="92"/>
      <c r="NHZ42" s="92"/>
      <c r="NIA42" s="92"/>
      <c r="NIB42" s="92"/>
      <c r="NIC42" s="92"/>
      <c r="NID42" s="92"/>
      <c r="NIE42" s="92"/>
      <c r="NIF42" s="92"/>
      <c r="NIG42" s="92"/>
      <c r="NIH42" s="92"/>
      <c r="NII42" s="92"/>
      <c r="NIJ42" s="92"/>
      <c r="NIK42" s="92"/>
      <c r="NIL42" s="92"/>
      <c r="NIM42" s="92"/>
      <c r="NIN42" s="92"/>
      <c r="NIO42" s="92"/>
      <c r="NIP42" s="92"/>
      <c r="NIQ42" s="92"/>
      <c r="NIR42" s="92"/>
      <c r="NIS42" s="92"/>
      <c r="NIT42" s="92"/>
      <c r="NIU42" s="92"/>
      <c r="NIV42" s="92"/>
      <c r="NIW42" s="92"/>
      <c r="NIX42" s="92"/>
      <c r="NIY42" s="92"/>
      <c r="NIZ42" s="92"/>
      <c r="NJA42" s="92"/>
      <c r="NJB42" s="92"/>
      <c r="NJC42" s="92"/>
      <c r="NJD42" s="92"/>
      <c r="NJE42" s="92"/>
      <c r="NJF42" s="92"/>
      <c r="NJG42" s="92"/>
      <c r="NJH42" s="92"/>
      <c r="NJI42" s="92"/>
      <c r="NJJ42" s="92"/>
      <c r="NJK42" s="92"/>
      <c r="NJL42" s="92"/>
      <c r="NJM42" s="92"/>
      <c r="NJN42" s="92"/>
      <c r="NJO42" s="92"/>
      <c r="NJP42" s="92"/>
      <c r="NJQ42" s="92"/>
      <c r="NJR42" s="92"/>
      <c r="NJS42" s="92"/>
      <c r="NJT42" s="92"/>
      <c r="NJU42" s="92"/>
      <c r="NJV42" s="92"/>
      <c r="NJW42" s="92"/>
      <c r="NJX42" s="92"/>
      <c r="NJY42" s="92"/>
      <c r="NJZ42" s="92"/>
      <c r="NKA42" s="92"/>
      <c r="NKB42" s="92"/>
      <c r="NKC42" s="92"/>
      <c r="NKD42" s="92"/>
      <c r="NKE42" s="92"/>
      <c r="NKF42" s="92"/>
      <c r="NKG42" s="92"/>
      <c r="NKH42" s="92"/>
      <c r="NKI42" s="92"/>
      <c r="NKJ42" s="92"/>
      <c r="NKK42" s="92"/>
      <c r="NKL42" s="92"/>
      <c r="NKM42" s="92"/>
      <c r="NKN42" s="92"/>
      <c r="NKO42" s="92"/>
      <c r="NKP42" s="92"/>
      <c r="NKQ42" s="92"/>
      <c r="NKR42" s="92"/>
      <c r="NKS42" s="92"/>
      <c r="NKT42" s="92"/>
      <c r="NKU42" s="92"/>
      <c r="NKV42" s="92"/>
      <c r="NKW42" s="92"/>
      <c r="NKX42" s="92"/>
      <c r="NKY42" s="92"/>
      <c r="NKZ42" s="92"/>
      <c r="NLA42" s="92"/>
      <c r="NLB42" s="92"/>
      <c r="NLC42" s="92"/>
      <c r="NLD42" s="92"/>
      <c r="NLE42" s="92"/>
      <c r="NLF42" s="92"/>
      <c r="NLG42" s="92"/>
      <c r="NLH42" s="92"/>
      <c r="NLI42" s="92"/>
      <c r="NLJ42" s="92"/>
      <c r="NLK42" s="92"/>
      <c r="NLL42" s="92"/>
      <c r="NLM42" s="92"/>
      <c r="NLN42" s="92"/>
      <c r="NLO42" s="92"/>
      <c r="NLP42" s="92"/>
      <c r="NLQ42" s="92"/>
      <c r="NLR42" s="92"/>
      <c r="NLS42" s="92"/>
      <c r="NLT42" s="92"/>
      <c r="NLU42" s="92"/>
      <c r="NLV42" s="92"/>
      <c r="NLW42" s="92"/>
      <c r="NLX42" s="92"/>
      <c r="NLY42" s="92"/>
      <c r="NLZ42" s="92"/>
      <c r="NMA42" s="92"/>
      <c r="NMB42" s="92"/>
      <c r="NMC42" s="92"/>
      <c r="NMD42" s="92"/>
      <c r="NME42" s="92"/>
      <c r="NMF42" s="92"/>
      <c r="NMG42" s="92"/>
      <c r="NMH42" s="92"/>
      <c r="NMI42" s="92"/>
      <c r="NMJ42" s="92"/>
      <c r="NMK42" s="92"/>
      <c r="NML42" s="92"/>
      <c r="NMM42" s="92"/>
      <c r="NMN42" s="92"/>
      <c r="NMO42" s="92"/>
      <c r="NMP42" s="92"/>
      <c r="NMQ42" s="92"/>
      <c r="NMR42" s="92"/>
      <c r="NMS42" s="92"/>
      <c r="NMT42" s="92"/>
      <c r="NMU42" s="92"/>
      <c r="NMV42" s="92"/>
      <c r="NMW42" s="92"/>
      <c r="NMX42" s="92"/>
      <c r="NMY42" s="92"/>
      <c r="NMZ42" s="92"/>
      <c r="NNA42" s="92"/>
      <c r="NNB42" s="92"/>
      <c r="NNC42" s="92"/>
      <c r="NND42" s="92"/>
      <c r="NNE42" s="92"/>
      <c r="NNF42" s="92"/>
      <c r="NNG42" s="92"/>
      <c r="NNH42" s="92"/>
      <c r="NNI42" s="92"/>
      <c r="NNJ42" s="92"/>
      <c r="NNK42" s="92"/>
      <c r="NNL42" s="92"/>
      <c r="NNM42" s="92"/>
      <c r="NNN42" s="92"/>
      <c r="NNO42" s="92"/>
      <c r="NNP42" s="92"/>
      <c r="NNQ42" s="92"/>
      <c r="NNR42" s="92"/>
      <c r="NNS42" s="92"/>
      <c r="NNT42" s="92"/>
      <c r="NNU42" s="92"/>
      <c r="NNV42" s="92"/>
      <c r="NNW42" s="92"/>
      <c r="NNX42" s="92"/>
      <c r="NNY42" s="92"/>
      <c r="NNZ42" s="92"/>
      <c r="NOA42" s="92"/>
      <c r="NOB42" s="92"/>
      <c r="NOC42" s="92"/>
      <c r="NOD42" s="92"/>
      <c r="NOE42" s="92"/>
      <c r="NOF42" s="92"/>
      <c r="NOG42" s="92"/>
      <c r="NOH42" s="92"/>
      <c r="NOI42" s="92"/>
      <c r="NOJ42" s="92"/>
      <c r="NOK42" s="92"/>
      <c r="NOL42" s="92"/>
      <c r="NOM42" s="92"/>
      <c r="NON42" s="92"/>
      <c r="NOO42" s="92"/>
      <c r="NOP42" s="92"/>
      <c r="NOQ42" s="92"/>
      <c r="NOR42" s="92"/>
      <c r="NOS42" s="92"/>
      <c r="NOT42" s="92"/>
      <c r="NOU42" s="92"/>
      <c r="NOV42" s="92"/>
      <c r="NOW42" s="92"/>
      <c r="NOX42" s="92"/>
      <c r="NOY42" s="92"/>
      <c r="NOZ42" s="92"/>
      <c r="NPA42" s="92"/>
      <c r="NPB42" s="92"/>
      <c r="NPC42" s="92"/>
      <c r="NPD42" s="92"/>
      <c r="NPE42" s="92"/>
      <c r="NPF42" s="92"/>
      <c r="NPG42" s="92"/>
      <c r="NPH42" s="92"/>
      <c r="NPI42" s="92"/>
      <c r="NPJ42" s="92"/>
      <c r="NPK42" s="92"/>
      <c r="NPL42" s="92"/>
      <c r="NPM42" s="92"/>
      <c r="NPN42" s="92"/>
      <c r="NPO42" s="92"/>
      <c r="NPP42" s="92"/>
      <c r="NPQ42" s="92"/>
      <c r="NPR42" s="92"/>
      <c r="NPS42" s="92"/>
      <c r="NPT42" s="92"/>
      <c r="NPU42" s="92"/>
      <c r="NPV42" s="92"/>
      <c r="NPW42" s="92"/>
      <c r="NPX42" s="92"/>
      <c r="NPY42" s="92"/>
      <c r="NPZ42" s="92"/>
      <c r="NQA42" s="92"/>
      <c r="NQB42" s="92"/>
      <c r="NQC42" s="92"/>
      <c r="NQD42" s="92"/>
      <c r="NQE42" s="92"/>
      <c r="NQF42" s="92"/>
      <c r="NQG42" s="92"/>
      <c r="NQH42" s="92"/>
      <c r="NQI42" s="92"/>
      <c r="NQJ42" s="92"/>
      <c r="NQK42" s="92"/>
      <c r="NQL42" s="92"/>
      <c r="NQM42" s="92"/>
      <c r="NQN42" s="92"/>
      <c r="NQO42" s="92"/>
      <c r="NQP42" s="92"/>
      <c r="NQQ42" s="92"/>
      <c r="NQR42" s="92"/>
      <c r="NQS42" s="92"/>
      <c r="NQT42" s="92"/>
      <c r="NQU42" s="92"/>
      <c r="NQV42" s="92"/>
      <c r="NQW42" s="92"/>
      <c r="NQX42" s="92"/>
      <c r="NQY42" s="92"/>
      <c r="NQZ42" s="92"/>
      <c r="NRA42" s="92"/>
      <c r="NRB42" s="92"/>
      <c r="NRC42" s="92"/>
      <c r="NRD42" s="92"/>
      <c r="NRE42" s="92"/>
    </row>
    <row r="43" spans="1:9937" ht="25" customHeight="1" thickTop="1" x14ac:dyDescent="0.45">
      <c r="A43" s="107" t="s">
        <v>888</v>
      </c>
      <c r="B43" s="62"/>
      <c r="C43" s="396" t="str">
        <f>'HB 1525 State Aid'!C128</f>
        <v>No</v>
      </c>
      <c r="D43" s="396" t="str">
        <f>Estimates!$B$57</f>
        <v>No</v>
      </c>
      <c r="E43" s="360" t="str">
        <f>Estimates!$B$57</f>
        <v>No</v>
      </c>
      <c r="F43" s="381" t="str">
        <f>E43</f>
        <v>No</v>
      </c>
    </row>
    <row r="44" spans="1:9937" ht="25" customHeight="1" x14ac:dyDescent="0.45">
      <c r="A44" s="64" t="s">
        <v>658</v>
      </c>
      <c r="B44" s="63"/>
      <c r="C44" s="396" t="str">
        <f>VLOOKUP($A$3,DATA!A:D,4,FALSE)</f>
        <v>NO</v>
      </c>
      <c r="D44" s="396" t="str">
        <f>VLOOKUP($A$3,DATA!A:D,4,FALSE)</f>
        <v>NO</v>
      </c>
      <c r="E44" s="396" t="str">
        <f>VLOOKUP($A$3,DATA!A:D,4,FALSE)</f>
        <v>NO</v>
      </c>
      <c r="F44" s="396" t="str">
        <f>VLOOKUP($A$3,DATA!A:D,4,FALSE)</f>
        <v>NO</v>
      </c>
    </row>
    <row r="45" spans="1:9937" s="50" customFormat="1" ht="25" customHeight="1" x14ac:dyDescent="0.45">
      <c r="A45" s="64" t="s">
        <v>657</v>
      </c>
      <c r="B45" s="63"/>
      <c r="C45" s="361">
        <f>VLOOKUP($A$3,INITIAL_EST_PY,53,FALSE)</f>
        <v>0</v>
      </c>
      <c r="D45" s="361">
        <f>VLOOKUP($A$3,INITIAL_EST_PY,53,FALSE)</f>
        <v>0</v>
      </c>
      <c r="E45" s="361">
        <f>VLOOKUP($A$3,INITIAL_EST_PY,53,FALSE)</f>
        <v>0</v>
      </c>
      <c r="F45" s="372">
        <f>VLOOKUP($A$3,INITIAL_EST_PY,53,FALSE)</f>
        <v>0</v>
      </c>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c r="KJ45" s="100"/>
      <c r="KK45" s="100"/>
      <c r="KL45" s="100"/>
      <c r="KM45" s="100"/>
      <c r="KN45" s="100"/>
      <c r="KO45" s="100"/>
      <c r="KP45" s="100"/>
      <c r="KQ45" s="100"/>
      <c r="KR45" s="100"/>
      <c r="KS45" s="100"/>
      <c r="KT45" s="100"/>
      <c r="KU45" s="100"/>
      <c r="KV45" s="100"/>
      <c r="KW45" s="100"/>
      <c r="KX45" s="100"/>
      <c r="KY45" s="100"/>
      <c r="KZ45" s="100"/>
      <c r="LA45" s="100"/>
      <c r="LB45" s="100"/>
      <c r="LC45" s="100"/>
      <c r="LD45" s="100"/>
      <c r="LE45" s="100"/>
      <c r="LF45" s="100"/>
      <c r="LG45" s="100"/>
      <c r="LH45" s="100"/>
      <c r="LI45" s="100"/>
      <c r="LJ45" s="100"/>
      <c r="LK45" s="100"/>
      <c r="LL45" s="100"/>
      <c r="LM45" s="100"/>
      <c r="LN45" s="100"/>
      <c r="LO45" s="100"/>
      <c r="LP45" s="100"/>
      <c r="LQ45" s="100"/>
      <c r="LR45" s="100"/>
      <c r="LS45" s="100"/>
      <c r="LT45" s="100"/>
      <c r="LU45" s="100"/>
      <c r="LV45" s="100"/>
      <c r="LW45" s="100"/>
      <c r="LX45" s="100"/>
      <c r="LY45" s="100"/>
      <c r="LZ45" s="100"/>
      <c r="MA45" s="100"/>
      <c r="MB45" s="100"/>
      <c r="MC45" s="100"/>
      <c r="MD45" s="100"/>
      <c r="ME45" s="100"/>
      <c r="MF45" s="100"/>
      <c r="MG45" s="100"/>
      <c r="MH45" s="100"/>
      <c r="MI45" s="100"/>
      <c r="MJ45" s="100"/>
      <c r="MK45" s="100"/>
      <c r="ML45" s="100"/>
      <c r="MM45" s="100"/>
      <c r="MN45" s="100"/>
      <c r="MO45" s="100"/>
      <c r="MP45" s="100"/>
      <c r="MQ45" s="100"/>
      <c r="MR45" s="100"/>
      <c r="MS45" s="100"/>
      <c r="MT45" s="100"/>
      <c r="MU45" s="100"/>
      <c r="MV45" s="100"/>
      <c r="MW45" s="100"/>
      <c r="MX45" s="100"/>
      <c r="MY45" s="100"/>
      <c r="MZ45" s="100"/>
      <c r="NA45" s="100"/>
      <c r="NB45" s="100"/>
      <c r="NC45" s="100"/>
      <c r="ND45" s="100"/>
      <c r="NE45" s="100"/>
      <c r="NF45" s="100"/>
      <c r="NG45" s="100"/>
      <c r="NH45" s="100"/>
      <c r="NI45" s="100"/>
      <c r="NJ45" s="100"/>
      <c r="NK45" s="100"/>
      <c r="NL45" s="100"/>
      <c r="NM45" s="100"/>
      <c r="NN45" s="100"/>
      <c r="NO45" s="100"/>
      <c r="NP45" s="100"/>
      <c r="NQ45" s="100"/>
      <c r="NR45" s="100"/>
      <c r="NS45" s="100"/>
      <c r="NT45" s="100"/>
      <c r="NU45" s="100"/>
      <c r="NV45" s="100"/>
      <c r="NW45" s="100"/>
      <c r="NX45" s="100"/>
      <c r="NY45" s="100"/>
      <c r="NZ45" s="100"/>
      <c r="OA45" s="100"/>
      <c r="OB45" s="100"/>
      <c r="OC45" s="100"/>
      <c r="OD45" s="100"/>
      <c r="OE45" s="100"/>
      <c r="OF45" s="100"/>
      <c r="OG45" s="100"/>
      <c r="OH45" s="100"/>
      <c r="OI45" s="100"/>
      <c r="OJ45" s="100"/>
      <c r="OK45" s="100"/>
      <c r="OL45" s="100"/>
      <c r="OM45" s="100"/>
      <c r="ON45" s="100"/>
      <c r="OO45" s="100"/>
      <c r="OP45" s="100"/>
      <c r="OQ45" s="100"/>
      <c r="OR45" s="100"/>
      <c r="OS45" s="100"/>
      <c r="OT45" s="100"/>
      <c r="OU45" s="100"/>
      <c r="OV45" s="100"/>
      <c r="OW45" s="100"/>
      <c r="OX45" s="100"/>
      <c r="OY45" s="100"/>
      <c r="OZ45" s="100"/>
      <c r="PA45" s="100"/>
      <c r="PB45" s="100"/>
      <c r="PC45" s="100"/>
      <c r="PD45" s="100"/>
      <c r="PE45" s="100"/>
      <c r="PF45" s="100"/>
      <c r="PG45" s="100"/>
      <c r="PH45" s="100"/>
      <c r="PI45" s="100"/>
      <c r="PJ45" s="100"/>
      <c r="PK45" s="100"/>
      <c r="PL45" s="100"/>
      <c r="PM45" s="100"/>
      <c r="PN45" s="100"/>
      <c r="PO45" s="100"/>
      <c r="PP45" s="100"/>
      <c r="PQ45" s="100"/>
      <c r="PR45" s="100"/>
      <c r="PS45" s="100"/>
      <c r="PT45" s="100"/>
      <c r="PU45" s="100"/>
      <c r="PV45" s="100"/>
      <c r="PW45" s="100"/>
      <c r="PX45" s="100"/>
      <c r="PY45" s="100"/>
      <c r="PZ45" s="100"/>
      <c r="QA45" s="100"/>
      <c r="QB45" s="100"/>
      <c r="QC45" s="100"/>
      <c r="QD45" s="100"/>
      <c r="QE45" s="100"/>
      <c r="QF45" s="100"/>
      <c r="QG45" s="100"/>
      <c r="QH45" s="100"/>
      <c r="QI45" s="100"/>
      <c r="QJ45" s="100"/>
      <c r="QK45" s="100"/>
      <c r="QL45" s="100"/>
      <c r="QM45" s="100"/>
      <c r="QN45" s="100"/>
      <c r="QO45" s="100"/>
      <c r="QP45" s="100"/>
      <c r="QQ45" s="100"/>
      <c r="QR45" s="100"/>
      <c r="QS45" s="100"/>
      <c r="QT45" s="100"/>
      <c r="QU45" s="100"/>
      <c r="QV45" s="100"/>
      <c r="QW45" s="100"/>
      <c r="QX45" s="100"/>
      <c r="QY45" s="100"/>
      <c r="QZ45" s="100"/>
      <c r="RA45" s="100"/>
      <c r="RB45" s="100"/>
      <c r="RC45" s="100"/>
      <c r="RD45" s="100"/>
      <c r="RE45" s="100"/>
      <c r="RF45" s="100"/>
      <c r="RG45" s="100"/>
      <c r="RH45" s="100"/>
      <c r="RI45" s="100"/>
      <c r="RJ45" s="100"/>
      <c r="RK45" s="100"/>
      <c r="RL45" s="100"/>
      <c r="RM45" s="100"/>
      <c r="RN45" s="100"/>
      <c r="RO45" s="100"/>
      <c r="RP45" s="100"/>
      <c r="RQ45" s="100"/>
      <c r="RR45" s="100"/>
      <c r="RS45" s="100"/>
      <c r="RT45" s="100"/>
      <c r="RU45" s="100"/>
      <c r="RV45" s="100"/>
      <c r="RW45" s="100"/>
      <c r="RX45" s="100"/>
      <c r="RY45" s="100"/>
      <c r="RZ45" s="100"/>
      <c r="SA45" s="100"/>
      <c r="SB45" s="100"/>
      <c r="SC45" s="100"/>
      <c r="SD45" s="100"/>
      <c r="SE45" s="100"/>
      <c r="SF45" s="100"/>
      <c r="SG45" s="100"/>
      <c r="SH45" s="100"/>
      <c r="SI45" s="100"/>
      <c r="SJ45" s="100"/>
      <c r="SK45" s="100"/>
      <c r="SL45" s="100"/>
      <c r="SM45" s="100"/>
      <c r="SN45" s="100"/>
      <c r="SO45" s="100"/>
      <c r="SP45" s="100"/>
      <c r="SQ45" s="100"/>
      <c r="SR45" s="100"/>
      <c r="SS45" s="100"/>
      <c r="ST45" s="100"/>
      <c r="SU45" s="100"/>
      <c r="SV45" s="100"/>
      <c r="SW45" s="100"/>
      <c r="SX45" s="100"/>
      <c r="SY45" s="100"/>
      <c r="SZ45" s="100"/>
      <c r="TA45" s="100"/>
      <c r="TB45" s="100"/>
      <c r="TC45" s="100"/>
      <c r="TD45" s="100"/>
      <c r="TE45" s="100"/>
      <c r="TF45" s="100"/>
      <c r="TG45" s="100"/>
      <c r="TH45" s="100"/>
      <c r="TI45" s="100"/>
      <c r="TJ45" s="100"/>
      <c r="TK45" s="100"/>
      <c r="TL45" s="100"/>
      <c r="TM45" s="100"/>
      <c r="TN45" s="100"/>
      <c r="TO45" s="100"/>
      <c r="TP45" s="100"/>
      <c r="TQ45" s="100"/>
      <c r="TR45" s="100"/>
      <c r="TS45" s="100"/>
      <c r="TT45" s="100"/>
      <c r="TU45" s="100"/>
      <c r="TV45" s="100"/>
      <c r="TW45" s="100"/>
      <c r="TX45" s="100"/>
      <c r="TY45" s="100"/>
      <c r="TZ45" s="100"/>
      <c r="UA45" s="100"/>
      <c r="UB45" s="100"/>
      <c r="UC45" s="100"/>
      <c r="UD45" s="100"/>
      <c r="UE45" s="100"/>
      <c r="UF45" s="100"/>
      <c r="UG45" s="100"/>
      <c r="UH45" s="100"/>
      <c r="UI45" s="100"/>
      <c r="UJ45" s="100"/>
      <c r="UK45" s="100"/>
      <c r="UL45" s="100"/>
      <c r="UM45" s="100"/>
      <c r="UN45" s="100"/>
      <c r="UO45" s="100"/>
      <c r="UP45" s="100"/>
      <c r="UQ45" s="100"/>
      <c r="UR45" s="100"/>
      <c r="US45" s="100"/>
      <c r="UT45" s="100"/>
      <c r="UU45" s="100"/>
      <c r="UV45" s="100"/>
      <c r="UW45" s="100"/>
      <c r="UX45" s="100"/>
      <c r="UY45" s="100"/>
      <c r="UZ45" s="100"/>
      <c r="VA45" s="100"/>
      <c r="VB45" s="100"/>
      <c r="VC45" s="100"/>
      <c r="VD45" s="100"/>
      <c r="VE45" s="100"/>
      <c r="VF45" s="100"/>
      <c r="VG45" s="100"/>
      <c r="VH45" s="100"/>
      <c r="VI45" s="100"/>
      <c r="VJ45" s="100"/>
      <c r="VK45" s="100"/>
      <c r="VL45" s="100"/>
      <c r="VM45" s="100"/>
      <c r="VN45" s="100"/>
      <c r="VO45" s="100"/>
      <c r="VP45" s="100"/>
      <c r="VQ45" s="100"/>
      <c r="VR45" s="100"/>
      <c r="VS45" s="100"/>
      <c r="VT45" s="100"/>
      <c r="VU45" s="100"/>
      <c r="VV45" s="100"/>
      <c r="VW45" s="100"/>
      <c r="VX45" s="100"/>
      <c r="VY45" s="100"/>
      <c r="VZ45" s="100"/>
      <c r="WA45" s="100"/>
      <c r="WB45" s="100"/>
      <c r="WC45" s="100"/>
      <c r="WD45" s="100"/>
      <c r="WE45" s="100"/>
      <c r="WF45" s="100"/>
      <c r="WG45" s="100"/>
      <c r="WH45" s="100"/>
      <c r="WI45" s="100"/>
      <c r="WJ45" s="100"/>
      <c r="WK45" s="100"/>
      <c r="WL45" s="100"/>
      <c r="WM45" s="100"/>
      <c r="WN45" s="100"/>
      <c r="WO45" s="100"/>
      <c r="WP45" s="100"/>
      <c r="WQ45" s="100"/>
      <c r="WR45" s="100"/>
      <c r="WS45" s="100"/>
      <c r="WT45" s="100"/>
      <c r="WU45" s="100"/>
      <c r="WV45" s="100"/>
      <c r="WW45" s="100"/>
      <c r="WX45" s="100"/>
      <c r="WY45" s="100"/>
      <c r="WZ45" s="100"/>
      <c r="XA45" s="100"/>
      <c r="XB45" s="100"/>
      <c r="XC45" s="100"/>
      <c r="XD45" s="100"/>
      <c r="XE45" s="100"/>
      <c r="XF45" s="100"/>
      <c r="XG45" s="100"/>
      <c r="XH45" s="100"/>
      <c r="XI45" s="100"/>
      <c r="XJ45" s="100"/>
      <c r="XK45" s="100"/>
      <c r="XL45" s="100"/>
      <c r="XM45" s="100"/>
      <c r="XN45" s="100"/>
      <c r="XO45" s="100"/>
      <c r="XP45" s="100"/>
      <c r="XQ45" s="100"/>
      <c r="XR45" s="100"/>
      <c r="XS45" s="100"/>
      <c r="XT45" s="100"/>
      <c r="XU45" s="100"/>
      <c r="XV45" s="100"/>
      <c r="XW45" s="100"/>
      <c r="XX45" s="100"/>
      <c r="XY45" s="100"/>
      <c r="XZ45" s="100"/>
      <c r="YA45" s="100"/>
      <c r="YB45" s="100"/>
      <c r="YC45" s="100"/>
      <c r="YD45" s="100"/>
      <c r="YE45" s="100"/>
      <c r="YF45" s="100"/>
      <c r="YG45" s="100"/>
      <c r="YH45" s="100"/>
      <c r="YI45" s="100"/>
      <c r="YJ45" s="100"/>
      <c r="YK45" s="100"/>
      <c r="YL45" s="100"/>
      <c r="YM45" s="100"/>
      <c r="YN45" s="100"/>
      <c r="YO45" s="100"/>
      <c r="YP45" s="100"/>
      <c r="YQ45" s="100"/>
      <c r="YR45" s="100"/>
      <c r="YS45" s="100"/>
      <c r="YT45" s="100"/>
      <c r="YU45" s="100"/>
      <c r="YV45" s="100"/>
      <c r="YW45" s="100"/>
      <c r="YX45" s="100"/>
      <c r="YY45" s="100"/>
      <c r="YZ45" s="100"/>
      <c r="ZA45" s="100"/>
      <c r="ZB45" s="100"/>
      <c r="ZC45" s="100"/>
      <c r="ZD45" s="100"/>
      <c r="ZE45" s="100"/>
      <c r="ZF45" s="100"/>
      <c r="ZG45" s="100"/>
      <c r="ZH45" s="100"/>
      <c r="ZI45" s="100"/>
      <c r="ZJ45" s="100"/>
      <c r="ZK45" s="100"/>
      <c r="ZL45" s="100"/>
      <c r="ZM45" s="100"/>
      <c r="ZN45" s="100"/>
      <c r="ZO45" s="100"/>
      <c r="ZP45" s="100"/>
      <c r="ZQ45" s="100"/>
      <c r="ZR45" s="100"/>
      <c r="ZS45" s="100"/>
      <c r="ZT45" s="100"/>
      <c r="ZU45" s="100"/>
      <c r="ZV45" s="100"/>
      <c r="ZW45" s="100"/>
      <c r="ZX45" s="100"/>
      <c r="ZY45" s="100"/>
      <c r="ZZ45" s="100"/>
      <c r="AAA45" s="100"/>
      <c r="AAB45" s="100"/>
      <c r="AAC45" s="100"/>
      <c r="AAD45" s="100"/>
      <c r="AAE45" s="100"/>
      <c r="AAF45" s="100"/>
      <c r="AAG45" s="100"/>
      <c r="AAH45" s="100"/>
      <c r="AAI45" s="100"/>
      <c r="AAJ45" s="100"/>
      <c r="AAK45" s="100"/>
      <c r="AAL45" s="100"/>
      <c r="AAM45" s="100"/>
      <c r="AAN45" s="100"/>
      <c r="AAO45" s="100"/>
      <c r="AAP45" s="100"/>
      <c r="AAQ45" s="100"/>
      <c r="AAR45" s="100"/>
      <c r="AAS45" s="100"/>
      <c r="AAT45" s="100"/>
      <c r="AAU45" s="100"/>
      <c r="AAV45" s="100"/>
      <c r="AAW45" s="100"/>
      <c r="AAX45" s="100"/>
      <c r="AAY45" s="100"/>
      <c r="AAZ45" s="100"/>
      <c r="ABA45" s="100"/>
      <c r="ABB45" s="100"/>
      <c r="ABC45" s="100"/>
      <c r="ABD45" s="100"/>
      <c r="ABE45" s="100"/>
      <c r="ABF45" s="100"/>
      <c r="ABG45" s="100"/>
      <c r="ABH45" s="100"/>
      <c r="ABI45" s="100"/>
      <c r="ABJ45" s="100"/>
      <c r="ABK45" s="100"/>
      <c r="ABL45" s="100"/>
      <c r="ABM45" s="100"/>
      <c r="ABN45" s="100"/>
      <c r="ABO45" s="100"/>
      <c r="ABP45" s="100"/>
      <c r="ABQ45" s="100"/>
      <c r="ABR45" s="100"/>
      <c r="ABS45" s="100"/>
      <c r="ABT45" s="100"/>
      <c r="ABU45" s="100"/>
      <c r="ABV45" s="100"/>
      <c r="ABW45" s="100"/>
      <c r="ABX45" s="100"/>
      <c r="ABY45" s="100"/>
      <c r="ABZ45" s="100"/>
      <c r="ACA45" s="100"/>
      <c r="ACB45" s="100"/>
      <c r="ACC45" s="100"/>
      <c r="ACD45" s="100"/>
      <c r="ACE45" s="100"/>
      <c r="ACF45" s="100"/>
      <c r="ACG45" s="100"/>
      <c r="ACH45" s="100"/>
      <c r="ACI45" s="100"/>
      <c r="ACJ45" s="100"/>
      <c r="ACK45" s="100"/>
      <c r="ACL45" s="100"/>
      <c r="ACM45" s="100"/>
      <c r="ACN45" s="100"/>
      <c r="ACO45" s="100"/>
      <c r="ACP45" s="100"/>
      <c r="ACQ45" s="100"/>
      <c r="ACR45" s="100"/>
      <c r="ACS45" s="100"/>
      <c r="ACT45" s="100"/>
      <c r="ACU45" s="100"/>
      <c r="ACV45" s="100"/>
      <c r="ACW45" s="100"/>
      <c r="ACX45" s="100"/>
      <c r="ACY45" s="100"/>
      <c r="ACZ45" s="100"/>
      <c r="ADA45" s="100"/>
      <c r="ADB45" s="100"/>
      <c r="ADC45" s="100"/>
      <c r="ADD45" s="100"/>
      <c r="ADE45" s="100"/>
      <c r="ADF45" s="100"/>
      <c r="ADG45" s="100"/>
      <c r="ADH45" s="100"/>
      <c r="ADI45" s="100"/>
      <c r="ADJ45" s="100"/>
      <c r="ADK45" s="100"/>
      <c r="ADL45" s="100"/>
      <c r="ADM45" s="100"/>
      <c r="ADN45" s="100"/>
      <c r="ADO45" s="100"/>
      <c r="ADP45" s="100"/>
      <c r="ADQ45" s="100"/>
      <c r="ADR45" s="100"/>
      <c r="ADS45" s="100"/>
      <c r="ADT45" s="100"/>
      <c r="ADU45" s="100"/>
      <c r="ADV45" s="100"/>
      <c r="ADW45" s="100"/>
      <c r="ADX45" s="100"/>
      <c r="ADY45" s="100"/>
      <c r="ADZ45" s="100"/>
      <c r="AEA45" s="100"/>
      <c r="AEB45" s="100"/>
      <c r="AEC45" s="100"/>
      <c r="AED45" s="100"/>
      <c r="AEE45" s="100"/>
      <c r="AEF45" s="100"/>
      <c r="AEG45" s="100"/>
      <c r="AEH45" s="100"/>
      <c r="AEI45" s="100"/>
      <c r="AEJ45" s="100"/>
      <c r="AEK45" s="100"/>
      <c r="AEL45" s="100"/>
      <c r="AEM45" s="100"/>
      <c r="AEN45" s="100"/>
      <c r="AEO45" s="100"/>
      <c r="AEP45" s="100"/>
      <c r="AEQ45" s="100"/>
      <c r="AER45" s="100"/>
      <c r="AES45" s="100"/>
      <c r="AET45" s="100"/>
      <c r="AEU45" s="100"/>
      <c r="AEV45" s="100"/>
      <c r="AEW45" s="100"/>
      <c r="AEX45" s="100"/>
      <c r="AEY45" s="100"/>
      <c r="AEZ45" s="100"/>
      <c r="AFA45" s="100"/>
      <c r="AFB45" s="100"/>
      <c r="AFC45" s="100"/>
      <c r="AFD45" s="100"/>
      <c r="AFE45" s="100"/>
      <c r="AFF45" s="100"/>
      <c r="AFG45" s="100"/>
      <c r="AFH45" s="100"/>
      <c r="AFI45" s="100"/>
      <c r="AFJ45" s="100"/>
      <c r="AFK45" s="100"/>
      <c r="AFL45" s="100"/>
      <c r="AFM45" s="100"/>
      <c r="AFN45" s="100"/>
      <c r="AFO45" s="100"/>
      <c r="AFP45" s="100"/>
      <c r="AFQ45" s="100"/>
      <c r="AFR45" s="100"/>
      <c r="AFS45" s="100"/>
      <c r="AFT45" s="100"/>
      <c r="AFU45" s="100"/>
      <c r="AFV45" s="100"/>
      <c r="AFW45" s="100"/>
      <c r="AFX45" s="100"/>
      <c r="AFY45" s="100"/>
      <c r="AFZ45" s="100"/>
      <c r="AGA45" s="100"/>
      <c r="AGB45" s="100"/>
      <c r="AGC45" s="100"/>
      <c r="AGD45" s="100"/>
      <c r="AGE45" s="100"/>
      <c r="AGF45" s="100"/>
      <c r="AGG45" s="100"/>
      <c r="AGH45" s="100"/>
      <c r="AGI45" s="100"/>
      <c r="AGJ45" s="100"/>
      <c r="AGK45" s="100"/>
      <c r="AGL45" s="100"/>
      <c r="AGM45" s="100"/>
      <c r="AGN45" s="100"/>
      <c r="AGO45" s="100"/>
      <c r="AGP45" s="100"/>
      <c r="AGQ45" s="100"/>
      <c r="AGR45" s="100"/>
      <c r="AGS45" s="100"/>
      <c r="AGT45" s="100"/>
      <c r="AGU45" s="100"/>
      <c r="AGV45" s="100"/>
      <c r="AGW45" s="100"/>
      <c r="AGX45" s="100"/>
      <c r="AGY45" s="100"/>
      <c r="AGZ45" s="100"/>
      <c r="AHA45" s="100"/>
      <c r="AHB45" s="100"/>
      <c r="AHC45" s="100"/>
      <c r="AHD45" s="100"/>
      <c r="AHE45" s="100"/>
      <c r="AHF45" s="100"/>
      <c r="AHG45" s="100"/>
      <c r="AHH45" s="100"/>
      <c r="AHI45" s="100"/>
      <c r="AHJ45" s="100"/>
      <c r="AHK45" s="100"/>
      <c r="AHL45" s="100"/>
      <c r="AHM45" s="100"/>
      <c r="AHN45" s="100"/>
      <c r="AHO45" s="100"/>
      <c r="AHP45" s="100"/>
      <c r="AHQ45" s="100"/>
      <c r="AHR45" s="100"/>
      <c r="AHS45" s="100"/>
      <c r="AHT45" s="100"/>
      <c r="AHU45" s="100"/>
      <c r="AHV45" s="100"/>
      <c r="AHW45" s="100"/>
      <c r="AHX45" s="100"/>
      <c r="AHY45" s="100"/>
      <c r="AHZ45" s="100"/>
      <c r="AIA45" s="100"/>
      <c r="AIB45" s="100"/>
      <c r="AIC45" s="100"/>
      <c r="AID45" s="100"/>
      <c r="AIE45" s="100"/>
      <c r="AIF45" s="100"/>
      <c r="AIG45" s="100"/>
      <c r="AIH45" s="100"/>
      <c r="AII45" s="100"/>
      <c r="AIJ45" s="100"/>
      <c r="AIK45" s="100"/>
      <c r="AIL45" s="100"/>
      <c r="AIM45" s="100"/>
      <c r="AIN45" s="100"/>
      <c r="AIO45" s="100"/>
      <c r="AIP45" s="100"/>
      <c r="AIQ45" s="100"/>
      <c r="AIR45" s="100"/>
      <c r="AIS45" s="100"/>
      <c r="AIT45" s="100"/>
      <c r="AIU45" s="100"/>
      <c r="AIV45" s="100"/>
      <c r="AIW45" s="100"/>
      <c r="AIX45" s="100"/>
      <c r="AIY45" s="100"/>
      <c r="AIZ45" s="100"/>
      <c r="AJA45" s="100"/>
      <c r="AJB45" s="100"/>
      <c r="AJC45" s="100"/>
      <c r="AJD45" s="100"/>
      <c r="AJE45" s="100"/>
      <c r="AJF45" s="100"/>
      <c r="AJG45" s="100"/>
      <c r="AJH45" s="100"/>
      <c r="AJI45" s="100"/>
      <c r="AJJ45" s="100"/>
      <c r="AJK45" s="100"/>
      <c r="AJL45" s="100"/>
      <c r="AJM45" s="100"/>
      <c r="AJN45" s="100"/>
      <c r="AJO45" s="100"/>
      <c r="AJP45" s="100"/>
      <c r="AJQ45" s="100"/>
      <c r="AJR45" s="100"/>
      <c r="AJS45" s="100"/>
      <c r="AJT45" s="100"/>
      <c r="AJU45" s="100"/>
      <c r="AJV45" s="100"/>
      <c r="AJW45" s="100"/>
      <c r="AJX45" s="100"/>
      <c r="AJY45" s="100"/>
      <c r="AJZ45" s="100"/>
      <c r="AKA45" s="100"/>
      <c r="AKB45" s="100"/>
      <c r="AKC45" s="100"/>
      <c r="AKD45" s="100"/>
      <c r="AKE45" s="100"/>
      <c r="AKF45" s="100"/>
      <c r="AKG45" s="100"/>
      <c r="AKH45" s="100"/>
      <c r="AKI45" s="100"/>
      <c r="AKJ45" s="100"/>
      <c r="AKK45" s="100"/>
      <c r="AKL45" s="100"/>
      <c r="AKM45" s="100"/>
      <c r="AKN45" s="100"/>
      <c r="AKO45" s="100"/>
      <c r="AKP45" s="100"/>
      <c r="AKQ45" s="100"/>
      <c r="AKR45" s="100"/>
      <c r="AKS45" s="100"/>
      <c r="AKT45" s="100"/>
      <c r="AKU45" s="100"/>
      <c r="AKV45" s="100"/>
      <c r="AKW45" s="100"/>
      <c r="AKX45" s="100"/>
      <c r="AKY45" s="100"/>
      <c r="AKZ45" s="100"/>
      <c r="ALA45" s="100"/>
      <c r="ALB45" s="100"/>
      <c r="ALC45" s="100"/>
      <c r="ALD45" s="100"/>
      <c r="ALE45" s="100"/>
      <c r="ALF45" s="100"/>
      <c r="ALG45" s="100"/>
      <c r="ALH45" s="100"/>
      <c r="ALI45" s="100"/>
      <c r="ALJ45" s="100"/>
      <c r="ALK45" s="100"/>
      <c r="ALL45" s="100"/>
      <c r="ALM45" s="100"/>
      <c r="ALN45" s="100"/>
      <c r="ALO45" s="100"/>
      <c r="ALP45" s="100"/>
      <c r="ALQ45" s="100"/>
      <c r="ALR45" s="100"/>
      <c r="ALS45" s="100"/>
      <c r="ALT45" s="100"/>
      <c r="ALU45" s="100"/>
      <c r="ALV45" s="100"/>
      <c r="ALW45" s="100"/>
      <c r="ALX45" s="100"/>
      <c r="ALY45" s="100"/>
      <c r="ALZ45" s="100"/>
      <c r="AMA45" s="100"/>
      <c r="AMB45" s="100"/>
      <c r="AMC45" s="100"/>
      <c r="AMD45" s="100"/>
      <c r="AME45" s="100"/>
      <c r="AMF45" s="100"/>
      <c r="AMG45" s="100"/>
      <c r="AMH45" s="100"/>
      <c r="AMI45" s="100"/>
      <c r="AMJ45" s="100"/>
      <c r="AMK45" s="100"/>
      <c r="AML45" s="100"/>
      <c r="AMM45" s="100"/>
      <c r="AMN45" s="100"/>
      <c r="AMO45" s="100"/>
      <c r="AMP45" s="100"/>
      <c r="AMQ45" s="100"/>
      <c r="AMR45" s="100"/>
      <c r="AMS45" s="100"/>
      <c r="AMT45" s="100"/>
      <c r="AMU45" s="100"/>
      <c r="AMV45" s="100"/>
      <c r="AMW45" s="100"/>
      <c r="AMX45" s="100"/>
      <c r="AMY45" s="100"/>
      <c r="AMZ45" s="100"/>
      <c r="ANA45" s="100"/>
      <c r="ANB45" s="100"/>
      <c r="ANC45" s="100"/>
      <c r="AND45" s="100"/>
      <c r="ANE45" s="100"/>
      <c r="ANF45" s="100"/>
      <c r="ANG45" s="100"/>
      <c r="ANH45" s="100"/>
      <c r="ANI45" s="100"/>
      <c r="ANJ45" s="100"/>
      <c r="ANK45" s="100"/>
      <c r="ANL45" s="100"/>
      <c r="ANM45" s="100"/>
      <c r="ANN45" s="100"/>
      <c r="ANO45" s="100"/>
      <c r="ANP45" s="100"/>
      <c r="ANQ45" s="100"/>
      <c r="ANR45" s="100"/>
      <c r="ANS45" s="100"/>
      <c r="ANT45" s="100"/>
      <c r="ANU45" s="100"/>
      <c r="ANV45" s="100"/>
      <c r="ANW45" s="100"/>
      <c r="ANX45" s="100"/>
      <c r="ANY45" s="100"/>
      <c r="ANZ45" s="100"/>
      <c r="AOA45" s="100"/>
      <c r="AOB45" s="100"/>
      <c r="AOC45" s="100"/>
      <c r="AOD45" s="100"/>
      <c r="AOE45" s="100"/>
      <c r="AOF45" s="100"/>
      <c r="AOG45" s="100"/>
      <c r="AOH45" s="100"/>
      <c r="AOI45" s="100"/>
      <c r="AOJ45" s="100"/>
      <c r="AOK45" s="100"/>
      <c r="AOL45" s="100"/>
      <c r="AOM45" s="100"/>
      <c r="AON45" s="100"/>
      <c r="AOO45" s="100"/>
      <c r="AOP45" s="100"/>
      <c r="AOQ45" s="100"/>
      <c r="AOR45" s="100"/>
      <c r="AOS45" s="100"/>
      <c r="AOT45" s="100"/>
      <c r="AOU45" s="100"/>
      <c r="AOV45" s="100"/>
      <c r="AOW45" s="100"/>
      <c r="AOX45" s="100"/>
      <c r="AOY45" s="100"/>
      <c r="AOZ45" s="100"/>
      <c r="APA45" s="100"/>
      <c r="APB45" s="100"/>
      <c r="APC45" s="100"/>
      <c r="APD45" s="100"/>
      <c r="APE45" s="100"/>
      <c r="APF45" s="100"/>
      <c r="APG45" s="100"/>
      <c r="APH45" s="100"/>
      <c r="API45" s="100"/>
      <c r="APJ45" s="100"/>
      <c r="APK45" s="100"/>
      <c r="APL45" s="100"/>
      <c r="APM45" s="100"/>
      <c r="APN45" s="100"/>
      <c r="APO45" s="100"/>
      <c r="APP45" s="100"/>
      <c r="APQ45" s="100"/>
      <c r="APR45" s="100"/>
      <c r="APS45" s="100"/>
      <c r="APT45" s="100"/>
      <c r="APU45" s="100"/>
      <c r="APV45" s="100"/>
      <c r="APW45" s="100"/>
      <c r="APX45" s="100"/>
      <c r="APY45" s="100"/>
      <c r="APZ45" s="100"/>
      <c r="AQA45" s="100"/>
      <c r="AQB45" s="100"/>
      <c r="AQC45" s="100"/>
      <c r="AQD45" s="100"/>
      <c r="AQE45" s="100"/>
      <c r="AQF45" s="100"/>
      <c r="AQG45" s="100"/>
      <c r="AQH45" s="100"/>
      <c r="AQI45" s="100"/>
      <c r="AQJ45" s="100"/>
      <c r="AQK45" s="100"/>
      <c r="AQL45" s="100"/>
      <c r="AQM45" s="100"/>
      <c r="AQN45" s="100"/>
      <c r="AQO45" s="100"/>
      <c r="AQP45" s="100"/>
      <c r="AQQ45" s="100"/>
      <c r="AQR45" s="100"/>
      <c r="AQS45" s="100"/>
      <c r="AQT45" s="100"/>
      <c r="AQU45" s="100"/>
      <c r="AQV45" s="100"/>
      <c r="AQW45" s="100"/>
      <c r="AQX45" s="100"/>
      <c r="AQY45" s="100"/>
      <c r="AQZ45" s="100"/>
      <c r="ARA45" s="100"/>
      <c r="ARB45" s="100"/>
      <c r="ARC45" s="100"/>
      <c r="ARD45" s="100"/>
      <c r="ARE45" s="100"/>
      <c r="ARF45" s="100"/>
      <c r="ARG45" s="100"/>
      <c r="ARH45" s="100"/>
      <c r="ARI45" s="100"/>
      <c r="ARJ45" s="100"/>
      <c r="ARK45" s="100"/>
      <c r="ARL45" s="100"/>
      <c r="ARM45" s="100"/>
      <c r="ARN45" s="100"/>
      <c r="ARO45" s="100"/>
      <c r="ARP45" s="100"/>
      <c r="ARQ45" s="100"/>
      <c r="ARR45" s="100"/>
      <c r="ARS45" s="100"/>
      <c r="ART45" s="100"/>
      <c r="ARU45" s="100"/>
      <c r="ARV45" s="100"/>
      <c r="ARW45" s="100"/>
      <c r="ARX45" s="100"/>
      <c r="ARY45" s="100"/>
      <c r="ARZ45" s="100"/>
      <c r="ASA45" s="100"/>
      <c r="ASB45" s="100"/>
      <c r="ASC45" s="100"/>
      <c r="ASD45" s="100"/>
      <c r="ASE45" s="100"/>
      <c r="ASF45" s="100"/>
      <c r="ASG45" s="100"/>
      <c r="ASH45" s="100"/>
      <c r="ASI45" s="100"/>
      <c r="ASJ45" s="100"/>
      <c r="ASK45" s="100"/>
      <c r="ASL45" s="100"/>
      <c r="ASM45" s="100"/>
      <c r="ASN45" s="100"/>
      <c r="ASO45" s="100"/>
      <c r="ASP45" s="100"/>
      <c r="ASQ45" s="100"/>
      <c r="ASR45" s="100"/>
      <c r="ASS45" s="100"/>
      <c r="AST45" s="100"/>
      <c r="ASU45" s="100"/>
      <c r="ASV45" s="100"/>
      <c r="ASW45" s="100"/>
      <c r="ASX45" s="100"/>
      <c r="ASY45" s="100"/>
      <c r="ASZ45" s="100"/>
      <c r="ATA45" s="100"/>
      <c r="ATB45" s="100"/>
      <c r="ATC45" s="100"/>
      <c r="ATD45" s="100"/>
      <c r="ATE45" s="100"/>
      <c r="ATF45" s="100"/>
      <c r="ATG45" s="100"/>
      <c r="ATH45" s="100"/>
      <c r="ATI45" s="100"/>
      <c r="ATJ45" s="100"/>
      <c r="ATK45" s="100"/>
      <c r="ATL45" s="100"/>
      <c r="ATM45" s="100"/>
      <c r="ATN45" s="100"/>
      <c r="ATO45" s="100"/>
      <c r="ATP45" s="100"/>
      <c r="ATQ45" s="100"/>
      <c r="ATR45" s="100"/>
      <c r="ATS45" s="100"/>
      <c r="ATT45" s="100"/>
      <c r="ATU45" s="100"/>
      <c r="ATV45" s="100"/>
      <c r="ATW45" s="100"/>
      <c r="ATX45" s="100"/>
      <c r="ATY45" s="100"/>
      <c r="ATZ45" s="100"/>
      <c r="AUA45" s="100"/>
      <c r="AUB45" s="100"/>
      <c r="AUC45" s="100"/>
      <c r="AUD45" s="100"/>
      <c r="AUE45" s="100"/>
      <c r="AUF45" s="100"/>
      <c r="AUG45" s="100"/>
      <c r="AUH45" s="100"/>
      <c r="AUI45" s="100"/>
      <c r="AUJ45" s="100"/>
      <c r="AUK45" s="100"/>
      <c r="AUL45" s="100"/>
      <c r="AUM45" s="100"/>
      <c r="AUN45" s="100"/>
      <c r="AUO45" s="100"/>
      <c r="AUP45" s="100"/>
      <c r="AUQ45" s="100"/>
      <c r="AUR45" s="100"/>
      <c r="AUS45" s="100"/>
      <c r="AUT45" s="100"/>
      <c r="AUU45" s="100"/>
      <c r="AUV45" s="100"/>
      <c r="AUW45" s="100"/>
      <c r="AUX45" s="100"/>
      <c r="AUY45" s="100"/>
      <c r="AUZ45" s="100"/>
      <c r="AVA45" s="100"/>
      <c r="AVB45" s="100"/>
      <c r="AVC45" s="100"/>
      <c r="AVD45" s="100"/>
      <c r="AVE45" s="100"/>
      <c r="AVF45" s="100"/>
      <c r="AVG45" s="100"/>
      <c r="AVH45" s="100"/>
      <c r="AVI45" s="100"/>
      <c r="AVJ45" s="100"/>
      <c r="AVK45" s="100"/>
      <c r="AVL45" s="100"/>
      <c r="AVM45" s="100"/>
      <c r="AVN45" s="100"/>
      <c r="AVO45" s="100"/>
      <c r="AVP45" s="100"/>
      <c r="AVQ45" s="100"/>
      <c r="AVR45" s="100"/>
      <c r="AVS45" s="100"/>
      <c r="AVT45" s="100"/>
      <c r="AVU45" s="100"/>
      <c r="AVV45" s="100"/>
      <c r="AVW45" s="100"/>
      <c r="AVX45" s="100"/>
      <c r="AVY45" s="100"/>
      <c r="AVZ45" s="100"/>
      <c r="AWA45" s="100"/>
      <c r="AWB45" s="100"/>
      <c r="AWC45" s="100"/>
      <c r="AWD45" s="100"/>
      <c r="AWE45" s="100"/>
      <c r="AWF45" s="100"/>
      <c r="AWG45" s="100"/>
      <c r="AWH45" s="100"/>
      <c r="AWI45" s="100"/>
      <c r="AWJ45" s="100"/>
      <c r="AWK45" s="100"/>
      <c r="AWL45" s="100"/>
      <c r="AWM45" s="100"/>
      <c r="AWN45" s="100"/>
      <c r="AWO45" s="100"/>
      <c r="AWP45" s="100"/>
      <c r="AWQ45" s="100"/>
      <c r="AWR45" s="100"/>
      <c r="AWS45" s="100"/>
      <c r="AWT45" s="100"/>
      <c r="AWU45" s="100"/>
      <c r="AWV45" s="100"/>
      <c r="AWW45" s="100"/>
      <c r="AWX45" s="100"/>
      <c r="AWY45" s="100"/>
      <c r="AWZ45" s="100"/>
      <c r="AXA45" s="100"/>
      <c r="AXB45" s="100"/>
      <c r="AXC45" s="100"/>
      <c r="AXD45" s="100"/>
      <c r="AXE45" s="100"/>
      <c r="AXF45" s="100"/>
      <c r="AXG45" s="100"/>
      <c r="AXH45" s="100"/>
      <c r="AXI45" s="100"/>
      <c r="AXJ45" s="100"/>
      <c r="AXK45" s="100"/>
      <c r="AXL45" s="100"/>
      <c r="AXM45" s="100"/>
      <c r="AXN45" s="100"/>
      <c r="AXO45" s="100"/>
      <c r="AXP45" s="100"/>
      <c r="AXQ45" s="100"/>
      <c r="AXR45" s="100"/>
      <c r="AXS45" s="100"/>
      <c r="AXT45" s="100"/>
      <c r="AXU45" s="100"/>
      <c r="AXV45" s="100"/>
      <c r="AXW45" s="100"/>
      <c r="AXX45" s="100"/>
      <c r="AXY45" s="100"/>
      <c r="AXZ45" s="100"/>
      <c r="AYA45" s="100"/>
      <c r="AYB45" s="100"/>
      <c r="AYC45" s="100"/>
      <c r="AYD45" s="100"/>
      <c r="AYE45" s="100"/>
      <c r="AYF45" s="100"/>
      <c r="AYG45" s="100"/>
      <c r="AYH45" s="100"/>
      <c r="AYI45" s="100"/>
      <c r="AYJ45" s="100"/>
      <c r="AYK45" s="100"/>
      <c r="AYL45" s="100"/>
      <c r="AYM45" s="100"/>
      <c r="AYN45" s="100"/>
      <c r="AYO45" s="100"/>
      <c r="AYP45" s="100"/>
      <c r="AYQ45" s="100"/>
      <c r="AYR45" s="100"/>
      <c r="AYS45" s="100"/>
      <c r="AYT45" s="100"/>
      <c r="AYU45" s="100"/>
      <c r="AYV45" s="100"/>
      <c r="AYW45" s="100"/>
      <c r="AYX45" s="100"/>
      <c r="AYY45" s="100"/>
      <c r="AYZ45" s="100"/>
      <c r="AZA45" s="100"/>
      <c r="AZB45" s="100"/>
      <c r="AZC45" s="100"/>
      <c r="AZD45" s="100"/>
      <c r="AZE45" s="100"/>
      <c r="AZF45" s="100"/>
      <c r="AZG45" s="100"/>
      <c r="AZH45" s="100"/>
      <c r="AZI45" s="100"/>
      <c r="AZJ45" s="100"/>
      <c r="AZK45" s="100"/>
      <c r="AZL45" s="100"/>
      <c r="AZM45" s="100"/>
      <c r="AZN45" s="100"/>
      <c r="AZO45" s="100"/>
      <c r="AZP45" s="100"/>
      <c r="AZQ45" s="100"/>
      <c r="AZR45" s="100"/>
      <c r="AZS45" s="100"/>
      <c r="AZT45" s="100"/>
      <c r="AZU45" s="100"/>
      <c r="AZV45" s="100"/>
      <c r="AZW45" s="100"/>
      <c r="AZX45" s="100"/>
      <c r="AZY45" s="100"/>
      <c r="AZZ45" s="100"/>
      <c r="BAA45" s="100"/>
      <c r="BAB45" s="100"/>
      <c r="BAC45" s="100"/>
      <c r="BAD45" s="100"/>
      <c r="BAE45" s="100"/>
      <c r="BAF45" s="100"/>
      <c r="BAG45" s="100"/>
      <c r="BAH45" s="100"/>
      <c r="BAI45" s="100"/>
      <c r="BAJ45" s="100"/>
      <c r="BAK45" s="100"/>
      <c r="BAL45" s="100"/>
      <c r="BAM45" s="100"/>
      <c r="BAN45" s="100"/>
      <c r="BAO45" s="100"/>
      <c r="BAP45" s="100"/>
      <c r="BAQ45" s="100"/>
      <c r="BAR45" s="100"/>
      <c r="BAS45" s="100"/>
      <c r="BAT45" s="100"/>
      <c r="BAU45" s="100"/>
      <c r="BAV45" s="100"/>
      <c r="BAW45" s="100"/>
      <c r="BAX45" s="100"/>
      <c r="BAY45" s="100"/>
      <c r="BAZ45" s="100"/>
      <c r="BBA45" s="100"/>
      <c r="BBB45" s="100"/>
      <c r="BBC45" s="100"/>
      <c r="BBD45" s="100"/>
      <c r="BBE45" s="100"/>
      <c r="BBF45" s="100"/>
      <c r="BBG45" s="100"/>
      <c r="BBH45" s="100"/>
      <c r="BBI45" s="100"/>
      <c r="BBJ45" s="100"/>
      <c r="BBK45" s="100"/>
      <c r="BBL45" s="100"/>
      <c r="BBM45" s="100"/>
      <c r="BBN45" s="100"/>
      <c r="BBO45" s="100"/>
      <c r="BBP45" s="100"/>
      <c r="BBQ45" s="100"/>
      <c r="BBR45" s="100"/>
      <c r="BBS45" s="100"/>
      <c r="BBT45" s="100"/>
      <c r="BBU45" s="100"/>
      <c r="BBV45" s="100"/>
      <c r="BBW45" s="100"/>
      <c r="BBX45" s="100"/>
      <c r="BBY45" s="100"/>
      <c r="BBZ45" s="100"/>
      <c r="BCA45" s="100"/>
      <c r="BCB45" s="100"/>
      <c r="BCC45" s="100"/>
      <c r="BCD45" s="100"/>
      <c r="BCE45" s="100"/>
      <c r="BCF45" s="100"/>
      <c r="BCG45" s="100"/>
      <c r="BCH45" s="100"/>
      <c r="BCI45" s="100"/>
      <c r="BCJ45" s="100"/>
      <c r="BCK45" s="100"/>
      <c r="BCL45" s="100"/>
      <c r="BCM45" s="100"/>
      <c r="BCN45" s="100"/>
      <c r="BCO45" s="100"/>
      <c r="BCP45" s="100"/>
      <c r="BCQ45" s="100"/>
      <c r="BCR45" s="100"/>
      <c r="BCS45" s="100"/>
      <c r="BCT45" s="100"/>
      <c r="BCU45" s="100"/>
      <c r="BCV45" s="100"/>
      <c r="BCW45" s="100"/>
      <c r="BCX45" s="100"/>
      <c r="BCY45" s="100"/>
      <c r="BCZ45" s="100"/>
      <c r="BDA45" s="100"/>
      <c r="BDB45" s="100"/>
      <c r="BDC45" s="100"/>
      <c r="BDD45" s="100"/>
      <c r="BDE45" s="100"/>
      <c r="BDF45" s="100"/>
      <c r="BDG45" s="100"/>
      <c r="BDH45" s="100"/>
      <c r="BDI45" s="100"/>
      <c r="BDJ45" s="100"/>
      <c r="BDK45" s="100"/>
      <c r="BDL45" s="100"/>
      <c r="BDM45" s="100"/>
      <c r="BDN45" s="100"/>
      <c r="BDO45" s="100"/>
      <c r="BDP45" s="100"/>
      <c r="BDQ45" s="100"/>
      <c r="BDR45" s="100"/>
      <c r="BDS45" s="100"/>
      <c r="BDT45" s="100"/>
      <c r="BDU45" s="100"/>
      <c r="BDV45" s="100"/>
      <c r="BDW45" s="100"/>
      <c r="BDX45" s="100"/>
      <c r="BDY45" s="100"/>
      <c r="BDZ45" s="100"/>
      <c r="BEA45" s="100"/>
      <c r="BEB45" s="100"/>
      <c r="BEC45" s="100"/>
      <c r="BED45" s="100"/>
      <c r="BEE45" s="100"/>
      <c r="BEF45" s="100"/>
      <c r="BEG45" s="100"/>
      <c r="BEH45" s="100"/>
      <c r="BEI45" s="100"/>
      <c r="BEJ45" s="100"/>
      <c r="BEK45" s="100"/>
      <c r="BEL45" s="100"/>
      <c r="BEM45" s="100"/>
      <c r="BEN45" s="100"/>
      <c r="BEO45" s="100"/>
      <c r="BEP45" s="100"/>
      <c r="BEQ45" s="100"/>
      <c r="BER45" s="100"/>
      <c r="BES45" s="100"/>
      <c r="BET45" s="100"/>
      <c r="BEU45" s="100"/>
      <c r="BEV45" s="100"/>
      <c r="BEW45" s="100"/>
      <c r="BEX45" s="100"/>
      <c r="BEY45" s="100"/>
      <c r="BEZ45" s="100"/>
      <c r="BFA45" s="100"/>
      <c r="BFB45" s="100"/>
      <c r="BFC45" s="100"/>
      <c r="BFD45" s="100"/>
      <c r="BFE45" s="100"/>
      <c r="BFF45" s="100"/>
      <c r="BFG45" s="100"/>
      <c r="BFH45" s="100"/>
      <c r="BFI45" s="100"/>
      <c r="BFJ45" s="100"/>
      <c r="BFK45" s="100"/>
      <c r="BFL45" s="100"/>
      <c r="BFM45" s="100"/>
      <c r="BFN45" s="100"/>
      <c r="BFO45" s="100"/>
      <c r="BFP45" s="100"/>
      <c r="BFQ45" s="100"/>
      <c r="BFR45" s="100"/>
      <c r="BFS45" s="100"/>
      <c r="BFT45" s="100"/>
      <c r="BFU45" s="100"/>
      <c r="BFV45" s="100"/>
      <c r="BFW45" s="100"/>
      <c r="BFX45" s="100"/>
      <c r="BFY45" s="100"/>
      <c r="BFZ45" s="100"/>
      <c r="BGA45" s="100"/>
      <c r="BGB45" s="100"/>
      <c r="BGC45" s="100"/>
      <c r="BGD45" s="100"/>
      <c r="BGE45" s="100"/>
      <c r="BGF45" s="100"/>
      <c r="BGG45" s="100"/>
      <c r="BGH45" s="100"/>
      <c r="BGI45" s="100"/>
      <c r="BGJ45" s="100"/>
      <c r="BGK45" s="100"/>
      <c r="BGL45" s="100"/>
      <c r="BGM45" s="100"/>
      <c r="BGN45" s="100"/>
      <c r="BGO45" s="100"/>
      <c r="BGP45" s="100"/>
      <c r="BGQ45" s="100"/>
      <c r="BGR45" s="100"/>
      <c r="BGS45" s="100"/>
      <c r="BGT45" s="100"/>
      <c r="BGU45" s="100"/>
      <c r="BGV45" s="100"/>
      <c r="BGW45" s="100"/>
      <c r="BGX45" s="100"/>
      <c r="BGY45" s="100"/>
      <c r="BGZ45" s="100"/>
      <c r="BHA45" s="100"/>
      <c r="BHB45" s="100"/>
      <c r="BHC45" s="100"/>
      <c r="BHD45" s="100"/>
      <c r="BHE45" s="100"/>
      <c r="BHF45" s="100"/>
      <c r="BHG45" s="100"/>
      <c r="BHH45" s="100"/>
      <c r="BHI45" s="100"/>
      <c r="BHJ45" s="100"/>
      <c r="BHK45" s="100"/>
      <c r="BHL45" s="100"/>
      <c r="BHM45" s="100"/>
      <c r="BHN45" s="100"/>
      <c r="BHO45" s="100"/>
      <c r="BHP45" s="100"/>
      <c r="BHQ45" s="100"/>
      <c r="BHR45" s="100"/>
      <c r="BHS45" s="100"/>
      <c r="BHT45" s="100"/>
      <c r="BHU45" s="100"/>
      <c r="BHV45" s="100"/>
      <c r="BHW45" s="100"/>
      <c r="BHX45" s="100"/>
      <c r="BHY45" s="100"/>
      <c r="BHZ45" s="100"/>
      <c r="BIA45" s="100"/>
      <c r="BIB45" s="100"/>
      <c r="BIC45" s="100"/>
      <c r="BID45" s="100"/>
      <c r="BIE45" s="100"/>
      <c r="BIF45" s="100"/>
      <c r="BIG45" s="100"/>
      <c r="BIH45" s="100"/>
      <c r="BII45" s="100"/>
      <c r="BIJ45" s="100"/>
      <c r="BIK45" s="100"/>
      <c r="BIL45" s="100"/>
      <c r="BIM45" s="100"/>
      <c r="BIN45" s="100"/>
      <c r="BIO45" s="100"/>
      <c r="BIP45" s="100"/>
      <c r="BIQ45" s="100"/>
      <c r="BIR45" s="100"/>
      <c r="BIS45" s="100"/>
      <c r="BIT45" s="100"/>
      <c r="BIU45" s="100"/>
      <c r="BIV45" s="100"/>
      <c r="BIW45" s="100"/>
      <c r="BIX45" s="100"/>
      <c r="BIY45" s="100"/>
      <c r="BIZ45" s="100"/>
      <c r="BJA45" s="100"/>
      <c r="BJB45" s="100"/>
      <c r="BJC45" s="100"/>
      <c r="BJD45" s="100"/>
      <c r="BJE45" s="100"/>
      <c r="BJF45" s="100"/>
      <c r="BJG45" s="100"/>
      <c r="BJH45" s="100"/>
      <c r="BJI45" s="100"/>
      <c r="BJJ45" s="100"/>
      <c r="BJK45" s="100"/>
      <c r="BJL45" s="100"/>
      <c r="BJM45" s="100"/>
      <c r="BJN45" s="100"/>
      <c r="BJO45" s="100"/>
      <c r="BJP45" s="100"/>
      <c r="BJQ45" s="100"/>
      <c r="BJR45" s="100"/>
      <c r="BJS45" s="100"/>
      <c r="BJT45" s="100"/>
      <c r="BJU45" s="100"/>
      <c r="BJV45" s="100"/>
      <c r="BJW45" s="100"/>
      <c r="BJX45" s="100"/>
      <c r="BJY45" s="100"/>
      <c r="BJZ45" s="100"/>
      <c r="BKA45" s="100"/>
      <c r="BKB45" s="100"/>
      <c r="BKC45" s="100"/>
      <c r="BKD45" s="100"/>
      <c r="BKE45" s="100"/>
      <c r="BKF45" s="100"/>
      <c r="BKG45" s="100"/>
      <c r="BKH45" s="100"/>
      <c r="BKI45" s="100"/>
      <c r="BKJ45" s="100"/>
      <c r="BKK45" s="100"/>
      <c r="BKL45" s="100"/>
      <c r="BKM45" s="100"/>
      <c r="BKN45" s="100"/>
      <c r="BKO45" s="100"/>
      <c r="BKP45" s="100"/>
      <c r="BKQ45" s="100"/>
      <c r="BKR45" s="100"/>
      <c r="BKS45" s="100"/>
      <c r="BKT45" s="100"/>
      <c r="BKU45" s="100"/>
      <c r="BKV45" s="100"/>
      <c r="BKW45" s="100"/>
      <c r="BKX45" s="100"/>
      <c r="BKY45" s="100"/>
      <c r="BKZ45" s="100"/>
      <c r="BLA45" s="100"/>
      <c r="BLB45" s="100"/>
      <c r="BLC45" s="100"/>
      <c r="BLD45" s="100"/>
      <c r="BLE45" s="100"/>
      <c r="BLF45" s="100"/>
      <c r="BLG45" s="100"/>
      <c r="BLH45" s="100"/>
      <c r="BLI45" s="100"/>
      <c r="BLJ45" s="100"/>
      <c r="BLK45" s="100"/>
      <c r="BLL45" s="100"/>
      <c r="BLM45" s="100"/>
      <c r="BLN45" s="100"/>
      <c r="BLO45" s="100"/>
      <c r="BLP45" s="100"/>
      <c r="BLQ45" s="100"/>
      <c r="BLR45" s="100"/>
      <c r="BLS45" s="100"/>
      <c r="BLT45" s="100"/>
      <c r="BLU45" s="100"/>
      <c r="BLV45" s="100"/>
      <c r="BLW45" s="100"/>
      <c r="BLX45" s="100"/>
      <c r="BLY45" s="100"/>
      <c r="BLZ45" s="100"/>
      <c r="BMA45" s="100"/>
      <c r="BMB45" s="100"/>
      <c r="BMC45" s="100"/>
      <c r="BMD45" s="100"/>
      <c r="BME45" s="100"/>
      <c r="BMF45" s="100"/>
      <c r="BMG45" s="100"/>
      <c r="BMH45" s="100"/>
      <c r="BMI45" s="100"/>
      <c r="BMJ45" s="100"/>
      <c r="BMK45" s="100"/>
      <c r="BML45" s="100"/>
      <c r="BMM45" s="100"/>
      <c r="BMN45" s="100"/>
      <c r="BMO45" s="100"/>
      <c r="BMP45" s="100"/>
      <c r="BMQ45" s="100"/>
      <c r="BMR45" s="100"/>
      <c r="BMS45" s="100"/>
      <c r="BMT45" s="100"/>
      <c r="BMU45" s="100"/>
      <c r="BMV45" s="100"/>
      <c r="BMW45" s="100"/>
      <c r="BMX45" s="100"/>
      <c r="BMY45" s="100"/>
      <c r="BMZ45" s="100"/>
      <c r="BNA45" s="100"/>
      <c r="BNB45" s="100"/>
      <c r="BNC45" s="100"/>
      <c r="BND45" s="100"/>
      <c r="BNE45" s="100"/>
      <c r="BNF45" s="100"/>
      <c r="BNG45" s="100"/>
      <c r="BNH45" s="100"/>
      <c r="BNI45" s="100"/>
      <c r="BNJ45" s="100"/>
      <c r="BNK45" s="100"/>
      <c r="BNL45" s="100"/>
      <c r="BNM45" s="100"/>
      <c r="BNN45" s="100"/>
      <c r="BNO45" s="100"/>
      <c r="BNP45" s="100"/>
      <c r="BNQ45" s="100"/>
      <c r="BNR45" s="100"/>
      <c r="BNS45" s="100"/>
      <c r="BNT45" s="100"/>
      <c r="BNU45" s="100"/>
      <c r="BNV45" s="100"/>
      <c r="BNW45" s="100"/>
      <c r="BNX45" s="100"/>
      <c r="BNY45" s="100"/>
      <c r="BNZ45" s="100"/>
      <c r="BOA45" s="100"/>
      <c r="BOB45" s="100"/>
      <c r="BOC45" s="100"/>
      <c r="BOD45" s="100"/>
      <c r="BOE45" s="100"/>
      <c r="BOF45" s="100"/>
      <c r="BOG45" s="100"/>
      <c r="BOH45" s="100"/>
      <c r="BOI45" s="100"/>
      <c r="BOJ45" s="100"/>
      <c r="BOK45" s="100"/>
      <c r="BOL45" s="100"/>
      <c r="BOM45" s="100"/>
      <c r="BON45" s="100"/>
      <c r="BOO45" s="100"/>
      <c r="BOP45" s="100"/>
      <c r="BOQ45" s="100"/>
      <c r="BOR45" s="100"/>
      <c r="BOS45" s="100"/>
      <c r="BOT45" s="100"/>
      <c r="BOU45" s="100"/>
      <c r="BOV45" s="100"/>
      <c r="BOW45" s="100"/>
      <c r="BOX45" s="100"/>
      <c r="BOY45" s="100"/>
      <c r="BOZ45" s="100"/>
      <c r="BPA45" s="100"/>
      <c r="BPB45" s="100"/>
      <c r="BPC45" s="100"/>
      <c r="BPD45" s="100"/>
      <c r="BPE45" s="100"/>
      <c r="BPF45" s="100"/>
      <c r="BPG45" s="100"/>
      <c r="BPH45" s="100"/>
      <c r="BPI45" s="100"/>
      <c r="BPJ45" s="100"/>
      <c r="BPK45" s="100"/>
      <c r="BPL45" s="100"/>
      <c r="BPM45" s="100"/>
      <c r="BPN45" s="100"/>
      <c r="BPO45" s="100"/>
      <c r="BPP45" s="100"/>
      <c r="BPQ45" s="100"/>
      <c r="BPR45" s="100"/>
      <c r="BPS45" s="100"/>
      <c r="BPT45" s="100"/>
      <c r="BPU45" s="100"/>
      <c r="BPV45" s="100"/>
      <c r="BPW45" s="100"/>
      <c r="BPX45" s="100"/>
      <c r="BPY45" s="100"/>
      <c r="BPZ45" s="100"/>
      <c r="BQA45" s="100"/>
      <c r="BQB45" s="100"/>
      <c r="BQC45" s="100"/>
      <c r="BQD45" s="100"/>
      <c r="BQE45" s="100"/>
      <c r="BQF45" s="100"/>
      <c r="BQG45" s="100"/>
      <c r="BQH45" s="100"/>
      <c r="BQI45" s="100"/>
      <c r="BQJ45" s="100"/>
      <c r="BQK45" s="100"/>
      <c r="BQL45" s="100"/>
      <c r="BQM45" s="100"/>
      <c r="BQN45" s="100"/>
      <c r="BQO45" s="100"/>
      <c r="BQP45" s="100"/>
      <c r="BQQ45" s="100"/>
      <c r="BQR45" s="100"/>
      <c r="BQS45" s="100"/>
      <c r="BQT45" s="100"/>
      <c r="BQU45" s="100"/>
      <c r="BQV45" s="100"/>
      <c r="BQW45" s="100"/>
      <c r="BQX45" s="100"/>
      <c r="BQY45" s="100"/>
      <c r="BQZ45" s="100"/>
      <c r="BRA45" s="100"/>
      <c r="BRB45" s="100"/>
      <c r="BRC45" s="100"/>
      <c r="BRD45" s="100"/>
      <c r="BRE45" s="100"/>
      <c r="BRF45" s="100"/>
      <c r="BRG45" s="100"/>
      <c r="BRH45" s="100"/>
      <c r="BRI45" s="100"/>
      <c r="BRJ45" s="100"/>
      <c r="BRK45" s="100"/>
      <c r="BRL45" s="100"/>
      <c r="BRM45" s="100"/>
      <c r="BRN45" s="100"/>
      <c r="BRO45" s="100"/>
      <c r="BRP45" s="100"/>
      <c r="BRQ45" s="100"/>
      <c r="BRR45" s="100"/>
      <c r="BRS45" s="100"/>
      <c r="BRT45" s="100"/>
      <c r="BRU45" s="100"/>
      <c r="BRV45" s="100"/>
      <c r="BRW45" s="100"/>
      <c r="BRX45" s="100"/>
      <c r="BRY45" s="100"/>
      <c r="BRZ45" s="100"/>
      <c r="BSA45" s="100"/>
      <c r="BSB45" s="100"/>
      <c r="BSC45" s="100"/>
      <c r="BSD45" s="100"/>
      <c r="BSE45" s="100"/>
      <c r="BSF45" s="100"/>
      <c r="BSG45" s="100"/>
      <c r="BSH45" s="100"/>
      <c r="BSI45" s="100"/>
      <c r="BSJ45" s="100"/>
      <c r="BSK45" s="100"/>
      <c r="BSL45" s="100"/>
      <c r="BSM45" s="100"/>
      <c r="BSN45" s="100"/>
      <c r="BSO45" s="100"/>
      <c r="BSP45" s="100"/>
      <c r="BSQ45" s="100"/>
      <c r="BSR45" s="100"/>
      <c r="BSS45" s="100"/>
      <c r="BST45" s="100"/>
      <c r="BSU45" s="100"/>
      <c r="BSV45" s="100"/>
      <c r="BSW45" s="100"/>
      <c r="BSX45" s="100"/>
      <c r="BSY45" s="100"/>
      <c r="BSZ45" s="100"/>
      <c r="BTA45" s="100"/>
      <c r="BTB45" s="100"/>
      <c r="BTC45" s="100"/>
      <c r="BTD45" s="100"/>
      <c r="BTE45" s="100"/>
      <c r="BTF45" s="100"/>
      <c r="BTG45" s="100"/>
      <c r="BTH45" s="100"/>
      <c r="BTI45" s="100"/>
      <c r="BTJ45" s="100"/>
      <c r="BTK45" s="100"/>
      <c r="BTL45" s="100"/>
      <c r="BTM45" s="100"/>
      <c r="BTN45" s="100"/>
      <c r="BTO45" s="100"/>
      <c r="BTP45" s="100"/>
      <c r="BTQ45" s="100"/>
      <c r="BTR45" s="100"/>
      <c r="BTS45" s="100"/>
      <c r="BTT45" s="100"/>
      <c r="BTU45" s="100"/>
      <c r="BTV45" s="100"/>
      <c r="BTW45" s="100"/>
      <c r="BTX45" s="100"/>
      <c r="BTY45" s="100"/>
      <c r="BTZ45" s="100"/>
      <c r="BUA45" s="100"/>
      <c r="BUB45" s="100"/>
      <c r="BUC45" s="100"/>
      <c r="BUD45" s="100"/>
      <c r="BUE45" s="100"/>
      <c r="BUF45" s="100"/>
      <c r="BUG45" s="100"/>
      <c r="BUH45" s="100"/>
      <c r="BUI45" s="100"/>
      <c r="BUJ45" s="100"/>
      <c r="BUK45" s="100"/>
      <c r="BUL45" s="100"/>
      <c r="BUM45" s="100"/>
      <c r="BUN45" s="100"/>
      <c r="BUO45" s="100"/>
      <c r="BUP45" s="100"/>
      <c r="BUQ45" s="100"/>
      <c r="BUR45" s="100"/>
      <c r="BUS45" s="100"/>
      <c r="BUT45" s="100"/>
      <c r="BUU45" s="100"/>
      <c r="BUV45" s="100"/>
      <c r="BUW45" s="100"/>
      <c r="BUX45" s="100"/>
      <c r="BUY45" s="100"/>
      <c r="BUZ45" s="100"/>
      <c r="BVA45" s="100"/>
      <c r="BVB45" s="100"/>
      <c r="BVC45" s="100"/>
      <c r="BVD45" s="100"/>
      <c r="BVE45" s="100"/>
      <c r="BVF45" s="100"/>
      <c r="BVG45" s="100"/>
      <c r="BVH45" s="100"/>
      <c r="BVI45" s="100"/>
      <c r="BVJ45" s="100"/>
      <c r="BVK45" s="100"/>
      <c r="BVL45" s="100"/>
      <c r="BVM45" s="100"/>
      <c r="BVN45" s="100"/>
      <c r="BVO45" s="100"/>
      <c r="BVP45" s="100"/>
      <c r="BVQ45" s="100"/>
      <c r="BVR45" s="100"/>
      <c r="BVS45" s="100"/>
      <c r="BVT45" s="100"/>
      <c r="BVU45" s="100"/>
      <c r="BVV45" s="100"/>
      <c r="BVW45" s="100"/>
      <c r="BVX45" s="100"/>
      <c r="BVY45" s="100"/>
      <c r="BVZ45" s="100"/>
      <c r="BWA45" s="100"/>
      <c r="BWB45" s="100"/>
      <c r="BWC45" s="100"/>
      <c r="BWD45" s="100"/>
      <c r="BWE45" s="100"/>
      <c r="BWF45" s="100"/>
      <c r="BWG45" s="100"/>
      <c r="BWH45" s="100"/>
      <c r="BWI45" s="100"/>
      <c r="BWJ45" s="100"/>
      <c r="BWK45" s="100"/>
      <c r="BWL45" s="100"/>
      <c r="BWM45" s="100"/>
      <c r="BWN45" s="100"/>
      <c r="BWO45" s="100"/>
      <c r="BWP45" s="100"/>
      <c r="BWQ45" s="100"/>
      <c r="BWR45" s="100"/>
      <c r="BWS45" s="100"/>
      <c r="BWT45" s="100"/>
      <c r="BWU45" s="100"/>
      <c r="BWV45" s="100"/>
      <c r="BWW45" s="100"/>
      <c r="BWX45" s="100"/>
      <c r="BWY45" s="100"/>
      <c r="BWZ45" s="100"/>
      <c r="BXA45" s="100"/>
      <c r="BXB45" s="100"/>
      <c r="BXC45" s="100"/>
      <c r="BXD45" s="100"/>
      <c r="BXE45" s="100"/>
      <c r="BXF45" s="100"/>
      <c r="BXG45" s="100"/>
      <c r="BXH45" s="100"/>
      <c r="BXI45" s="100"/>
      <c r="BXJ45" s="100"/>
      <c r="BXK45" s="100"/>
      <c r="BXL45" s="100"/>
      <c r="BXM45" s="100"/>
      <c r="BXN45" s="100"/>
      <c r="BXO45" s="100"/>
      <c r="BXP45" s="100"/>
      <c r="BXQ45" s="100"/>
      <c r="BXR45" s="100"/>
      <c r="BXS45" s="100"/>
      <c r="BXT45" s="100"/>
      <c r="BXU45" s="100"/>
      <c r="BXV45" s="100"/>
      <c r="BXW45" s="100"/>
      <c r="BXX45" s="100"/>
      <c r="BXY45" s="100"/>
      <c r="BXZ45" s="100"/>
      <c r="BYA45" s="100"/>
      <c r="BYB45" s="100"/>
      <c r="BYC45" s="100"/>
      <c r="BYD45" s="100"/>
      <c r="BYE45" s="100"/>
      <c r="BYF45" s="100"/>
      <c r="BYG45" s="100"/>
      <c r="BYH45" s="100"/>
      <c r="BYI45" s="100"/>
      <c r="BYJ45" s="100"/>
      <c r="BYK45" s="100"/>
      <c r="BYL45" s="100"/>
      <c r="BYM45" s="100"/>
      <c r="BYN45" s="100"/>
      <c r="BYO45" s="100"/>
      <c r="BYP45" s="100"/>
      <c r="BYQ45" s="100"/>
      <c r="BYR45" s="100"/>
      <c r="BYS45" s="100"/>
      <c r="BYT45" s="100"/>
      <c r="BYU45" s="100"/>
      <c r="BYV45" s="100"/>
      <c r="BYW45" s="100"/>
      <c r="BYX45" s="100"/>
      <c r="BYY45" s="100"/>
      <c r="BYZ45" s="100"/>
      <c r="BZA45" s="100"/>
      <c r="BZB45" s="100"/>
      <c r="BZC45" s="100"/>
      <c r="BZD45" s="100"/>
      <c r="BZE45" s="100"/>
      <c r="BZF45" s="100"/>
      <c r="BZG45" s="100"/>
      <c r="BZH45" s="100"/>
      <c r="BZI45" s="100"/>
      <c r="BZJ45" s="100"/>
      <c r="BZK45" s="100"/>
      <c r="BZL45" s="100"/>
      <c r="BZM45" s="100"/>
      <c r="BZN45" s="100"/>
      <c r="BZO45" s="100"/>
      <c r="BZP45" s="100"/>
      <c r="BZQ45" s="100"/>
      <c r="BZR45" s="100"/>
      <c r="BZS45" s="100"/>
      <c r="BZT45" s="100"/>
      <c r="BZU45" s="100"/>
      <c r="BZV45" s="100"/>
      <c r="BZW45" s="100"/>
      <c r="BZX45" s="100"/>
      <c r="BZY45" s="100"/>
      <c r="BZZ45" s="100"/>
      <c r="CAA45" s="100"/>
      <c r="CAB45" s="100"/>
      <c r="CAC45" s="100"/>
      <c r="CAD45" s="100"/>
      <c r="CAE45" s="100"/>
      <c r="CAF45" s="100"/>
      <c r="CAG45" s="100"/>
      <c r="CAH45" s="100"/>
      <c r="CAI45" s="100"/>
      <c r="CAJ45" s="100"/>
      <c r="CAK45" s="100"/>
      <c r="CAL45" s="100"/>
      <c r="CAM45" s="100"/>
      <c r="CAN45" s="100"/>
      <c r="CAO45" s="100"/>
      <c r="CAP45" s="100"/>
      <c r="CAQ45" s="100"/>
      <c r="CAR45" s="100"/>
      <c r="CAS45" s="100"/>
      <c r="CAT45" s="100"/>
      <c r="CAU45" s="100"/>
      <c r="CAV45" s="100"/>
      <c r="CAW45" s="100"/>
      <c r="CAX45" s="100"/>
      <c r="CAY45" s="100"/>
      <c r="CAZ45" s="100"/>
      <c r="CBA45" s="100"/>
      <c r="CBB45" s="100"/>
      <c r="CBC45" s="100"/>
      <c r="CBD45" s="100"/>
      <c r="CBE45" s="100"/>
      <c r="CBF45" s="100"/>
      <c r="CBG45" s="100"/>
      <c r="CBH45" s="100"/>
      <c r="CBI45" s="100"/>
      <c r="CBJ45" s="100"/>
      <c r="CBK45" s="100"/>
      <c r="CBL45" s="100"/>
      <c r="CBM45" s="100"/>
      <c r="CBN45" s="100"/>
      <c r="CBO45" s="100"/>
      <c r="CBP45" s="100"/>
      <c r="CBQ45" s="100"/>
      <c r="CBR45" s="100"/>
      <c r="CBS45" s="100"/>
      <c r="CBT45" s="100"/>
      <c r="CBU45" s="100"/>
      <c r="CBV45" s="100"/>
      <c r="CBW45" s="100"/>
      <c r="CBX45" s="100"/>
      <c r="CBY45" s="100"/>
      <c r="CBZ45" s="100"/>
      <c r="CCA45" s="100"/>
      <c r="CCB45" s="100"/>
      <c r="CCC45" s="100"/>
      <c r="CCD45" s="100"/>
      <c r="CCE45" s="100"/>
      <c r="CCF45" s="100"/>
      <c r="CCG45" s="100"/>
      <c r="CCH45" s="100"/>
      <c r="CCI45" s="100"/>
      <c r="CCJ45" s="100"/>
      <c r="CCK45" s="100"/>
      <c r="CCL45" s="100"/>
      <c r="CCM45" s="100"/>
      <c r="CCN45" s="100"/>
      <c r="CCO45" s="100"/>
      <c r="CCP45" s="100"/>
      <c r="CCQ45" s="100"/>
      <c r="CCR45" s="100"/>
      <c r="CCS45" s="100"/>
      <c r="CCT45" s="100"/>
      <c r="CCU45" s="100"/>
      <c r="CCV45" s="100"/>
      <c r="CCW45" s="100"/>
      <c r="CCX45" s="100"/>
      <c r="CCY45" s="100"/>
      <c r="CCZ45" s="100"/>
      <c r="CDA45" s="100"/>
      <c r="CDB45" s="100"/>
      <c r="CDC45" s="100"/>
      <c r="CDD45" s="100"/>
      <c r="CDE45" s="100"/>
      <c r="CDF45" s="100"/>
      <c r="CDG45" s="100"/>
      <c r="CDH45" s="100"/>
      <c r="CDI45" s="100"/>
      <c r="CDJ45" s="100"/>
      <c r="CDK45" s="100"/>
      <c r="CDL45" s="100"/>
      <c r="CDM45" s="100"/>
      <c r="CDN45" s="100"/>
      <c r="CDO45" s="100"/>
      <c r="CDP45" s="100"/>
      <c r="CDQ45" s="100"/>
      <c r="CDR45" s="100"/>
      <c r="CDS45" s="100"/>
      <c r="CDT45" s="100"/>
      <c r="CDU45" s="100"/>
      <c r="CDV45" s="100"/>
      <c r="CDW45" s="100"/>
      <c r="CDX45" s="100"/>
      <c r="CDY45" s="100"/>
      <c r="CDZ45" s="100"/>
      <c r="CEA45" s="100"/>
      <c r="CEB45" s="100"/>
      <c r="CEC45" s="100"/>
      <c r="CED45" s="100"/>
      <c r="CEE45" s="100"/>
      <c r="CEF45" s="100"/>
      <c r="CEG45" s="100"/>
      <c r="CEH45" s="100"/>
      <c r="CEI45" s="100"/>
      <c r="CEJ45" s="100"/>
      <c r="CEK45" s="100"/>
      <c r="CEL45" s="100"/>
      <c r="CEM45" s="100"/>
      <c r="CEN45" s="100"/>
      <c r="CEO45" s="100"/>
      <c r="CEP45" s="100"/>
      <c r="CEQ45" s="100"/>
      <c r="CER45" s="100"/>
      <c r="CES45" s="100"/>
      <c r="CET45" s="100"/>
      <c r="CEU45" s="100"/>
      <c r="CEV45" s="100"/>
      <c r="CEW45" s="100"/>
      <c r="CEX45" s="100"/>
      <c r="CEY45" s="100"/>
      <c r="CEZ45" s="100"/>
      <c r="CFA45" s="100"/>
      <c r="CFB45" s="100"/>
      <c r="CFC45" s="100"/>
      <c r="CFD45" s="100"/>
      <c r="CFE45" s="100"/>
      <c r="CFF45" s="100"/>
      <c r="CFG45" s="100"/>
      <c r="CFH45" s="100"/>
      <c r="CFI45" s="100"/>
      <c r="CFJ45" s="100"/>
      <c r="CFK45" s="100"/>
      <c r="CFL45" s="100"/>
      <c r="CFM45" s="100"/>
      <c r="CFN45" s="100"/>
      <c r="CFO45" s="100"/>
      <c r="CFP45" s="100"/>
      <c r="CFQ45" s="100"/>
      <c r="CFR45" s="100"/>
      <c r="CFS45" s="100"/>
      <c r="CFT45" s="100"/>
      <c r="CFU45" s="100"/>
      <c r="CFV45" s="100"/>
      <c r="CFW45" s="100"/>
      <c r="CFX45" s="100"/>
      <c r="CFY45" s="100"/>
      <c r="CFZ45" s="100"/>
      <c r="CGA45" s="100"/>
      <c r="CGB45" s="100"/>
      <c r="CGC45" s="100"/>
      <c r="CGD45" s="100"/>
      <c r="CGE45" s="100"/>
      <c r="CGF45" s="100"/>
      <c r="CGG45" s="100"/>
      <c r="CGH45" s="100"/>
      <c r="CGI45" s="100"/>
      <c r="CGJ45" s="100"/>
      <c r="CGK45" s="100"/>
      <c r="CGL45" s="100"/>
      <c r="CGM45" s="100"/>
      <c r="CGN45" s="100"/>
      <c r="CGO45" s="100"/>
      <c r="CGP45" s="100"/>
      <c r="CGQ45" s="100"/>
      <c r="CGR45" s="100"/>
      <c r="CGS45" s="100"/>
      <c r="CGT45" s="100"/>
      <c r="CGU45" s="100"/>
      <c r="CGV45" s="100"/>
      <c r="CGW45" s="100"/>
      <c r="CGX45" s="100"/>
      <c r="CGY45" s="100"/>
      <c r="CGZ45" s="100"/>
      <c r="CHA45" s="100"/>
      <c r="CHB45" s="100"/>
      <c r="CHC45" s="100"/>
      <c r="CHD45" s="100"/>
      <c r="CHE45" s="100"/>
      <c r="CHF45" s="100"/>
      <c r="CHG45" s="100"/>
      <c r="CHH45" s="100"/>
      <c r="CHI45" s="100"/>
      <c r="CHJ45" s="100"/>
      <c r="CHK45" s="100"/>
      <c r="CHL45" s="100"/>
      <c r="CHM45" s="100"/>
      <c r="CHN45" s="100"/>
      <c r="CHO45" s="100"/>
      <c r="CHP45" s="100"/>
      <c r="CHQ45" s="100"/>
      <c r="CHR45" s="100"/>
      <c r="CHS45" s="100"/>
      <c r="CHT45" s="100"/>
      <c r="CHU45" s="100"/>
      <c r="CHV45" s="100"/>
      <c r="CHW45" s="100"/>
      <c r="CHX45" s="100"/>
      <c r="CHY45" s="100"/>
      <c r="CHZ45" s="100"/>
      <c r="CIA45" s="100"/>
      <c r="CIB45" s="100"/>
      <c r="CIC45" s="100"/>
      <c r="CID45" s="100"/>
      <c r="CIE45" s="100"/>
      <c r="CIF45" s="100"/>
      <c r="CIG45" s="100"/>
      <c r="CIH45" s="100"/>
      <c r="CII45" s="100"/>
      <c r="CIJ45" s="100"/>
      <c r="CIK45" s="100"/>
      <c r="CIL45" s="100"/>
      <c r="CIM45" s="100"/>
      <c r="CIN45" s="100"/>
      <c r="CIO45" s="100"/>
      <c r="CIP45" s="100"/>
      <c r="CIQ45" s="100"/>
      <c r="CIR45" s="100"/>
      <c r="CIS45" s="100"/>
      <c r="CIT45" s="100"/>
      <c r="CIU45" s="100"/>
      <c r="CIV45" s="100"/>
      <c r="CIW45" s="100"/>
      <c r="CIX45" s="100"/>
      <c r="CIY45" s="100"/>
      <c r="CIZ45" s="100"/>
      <c r="CJA45" s="100"/>
      <c r="CJB45" s="100"/>
      <c r="CJC45" s="100"/>
      <c r="CJD45" s="100"/>
      <c r="CJE45" s="100"/>
      <c r="CJF45" s="100"/>
      <c r="CJG45" s="100"/>
      <c r="CJH45" s="100"/>
      <c r="CJI45" s="100"/>
      <c r="CJJ45" s="100"/>
      <c r="CJK45" s="100"/>
      <c r="CJL45" s="100"/>
      <c r="CJM45" s="100"/>
      <c r="CJN45" s="100"/>
      <c r="CJO45" s="100"/>
      <c r="CJP45" s="100"/>
      <c r="CJQ45" s="100"/>
      <c r="CJR45" s="100"/>
      <c r="CJS45" s="100"/>
      <c r="CJT45" s="100"/>
      <c r="CJU45" s="100"/>
      <c r="CJV45" s="100"/>
      <c r="CJW45" s="100"/>
      <c r="CJX45" s="100"/>
      <c r="CJY45" s="100"/>
      <c r="CJZ45" s="100"/>
      <c r="CKA45" s="100"/>
      <c r="CKB45" s="100"/>
      <c r="CKC45" s="100"/>
      <c r="CKD45" s="100"/>
      <c r="CKE45" s="100"/>
      <c r="CKF45" s="100"/>
      <c r="CKG45" s="100"/>
      <c r="CKH45" s="100"/>
      <c r="CKI45" s="100"/>
      <c r="CKJ45" s="100"/>
      <c r="CKK45" s="100"/>
      <c r="CKL45" s="100"/>
      <c r="CKM45" s="100"/>
      <c r="CKN45" s="100"/>
      <c r="CKO45" s="100"/>
      <c r="CKP45" s="100"/>
      <c r="CKQ45" s="100"/>
      <c r="CKR45" s="100"/>
      <c r="CKS45" s="100"/>
      <c r="CKT45" s="100"/>
      <c r="CKU45" s="100"/>
      <c r="CKV45" s="100"/>
      <c r="CKW45" s="100"/>
      <c r="CKX45" s="100"/>
      <c r="CKY45" s="100"/>
      <c r="CKZ45" s="100"/>
      <c r="CLA45" s="100"/>
      <c r="CLB45" s="100"/>
      <c r="CLC45" s="100"/>
      <c r="CLD45" s="100"/>
      <c r="CLE45" s="100"/>
      <c r="CLF45" s="100"/>
      <c r="CLG45" s="100"/>
      <c r="CLH45" s="100"/>
      <c r="CLI45" s="100"/>
      <c r="CLJ45" s="100"/>
      <c r="CLK45" s="100"/>
      <c r="CLL45" s="100"/>
      <c r="CLM45" s="100"/>
      <c r="CLN45" s="100"/>
      <c r="CLO45" s="100"/>
      <c r="CLP45" s="100"/>
      <c r="CLQ45" s="100"/>
      <c r="CLR45" s="100"/>
      <c r="CLS45" s="100"/>
      <c r="CLT45" s="100"/>
      <c r="CLU45" s="100"/>
      <c r="CLV45" s="100"/>
      <c r="CLW45" s="100"/>
      <c r="CLX45" s="100"/>
      <c r="CLY45" s="100"/>
      <c r="CLZ45" s="100"/>
      <c r="CMA45" s="100"/>
      <c r="CMB45" s="100"/>
      <c r="CMC45" s="100"/>
      <c r="CMD45" s="100"/>
      <c r="CME45" s="100"/>
      <c r="CMF45" s="100"/>
      <c r="CMG45" s="100"/>
      <c r="CMH45" s="100"/>
      <c r="CMI45" s="100"/>
      <c r="CMJ45" s="100"/>
      <c r="CMK45" s="100"/>
      <c r="CML45" s="100"/>
      <c r="CMM45" s="100"/>
      <c r="CMN45" s="100"/>
      <c r="CMO45" s="100"/>
      <c r="CMP45" s="100"/>
      <c r="CMQ45" s="100"/>
      <c r="CMR45" s="100"/>
      <c r="CMS45" s="100"/>
      <c r="CMT45" s="100"/>
      <c r="CMU45" s="100"/>
      <c r="CMV45" s="100"/>
      <c r="CMW45" s="100"/>
      <c r="CMX45" s="100"/>
      <c r="CMY45" s="100"/>
      <c r="CMZ45" s="100"/>
      <c r="CNA45" s="100"/>
      <c r="CNB45" s="100"/>
      <c r="CNC45" s="100"/>
      <c r="CND45" s="100"/>
      <c r="CNE45" s="100"/>
      <c r="CNF45" s="100"/>
      <c r="CNG45" s="100"/>
      <c r="CNH45" s="100"/>
      <c r="CNI45" s="100"/>
      <c r="CNJ45" s="100"/>
      <c r="CNK45" s="100"/>
      <c r="CNL45" s="100"/>
      <c r="CNM45" s="100"/>
      <c r="CNN45" s="100"/>
      <c r="CNO45" s="100"/>
      <c r="CNP45" s="100"/>
      <c r="CNQ45" s="100"/>
      <c r="CNR45" s="100"/>
      <c r="CNS45" s="100"/>
      <c r="CNT45" s="100"/>
      <c r="CNU45" s="100"/>
      <c r="CNV45" s="100"/>
      <c r="CNW45" s="100"/>
      <c r="CNX45" s="100"/>
      <c r="CNY45" s="100"/>
      <c r="CNZ45" s="100"/>
      <c r="COA45" s="100"/>
      <c r="COB45" s="100"/>
      <c r="COC45" s="100"/>
      <c r="COD45" s="100"/>
      <c r="COE45" s="100"/>
      <c r="COF45" s="100"/>
      <c r="COG45" s="100"/>
      <c r="COH45" s="100"/>
      <c r="COI45" s="100"/>
      <c r="COJ45" s="100"/>
      <c r="COK45" s="100"/>
      <c r="COL45" s="100"/>
      <c r="COM45" s="100"/>
      <c r="CON45" s="100"/>
      <c r="COO45" s="100"/>
      <c r="COP45" s="100"/>
      <c r="COQ45" s="100"/>
      <c r="COR45" s="100"/>
      <c r="COS45" s="100"/>
      <c r="COT45" s="100"/>
      <c r="COU45" s="100"/>
      <c r="COV45" s="100"/>
      <c r="COW45" s="100"/>
      <c r="COX45" s="100"/>
      <c r="COY45" s="100"/>
      <c r="COZ45" s="100"/>
      <c r="CPA45" s="100"/>
      <c r="CPB45" s="100"/>
      <c r="CPC45" s="100"/>
      <c r="CPD45" s="100"/>
      <c r="CPE45" s="100"/>
      <c r="CPF45" s="100"/>
      <c r="CPG45" s="100"/>
      <c r="CPH45" s="100"/>
      <c r="CPI45" s="100"/>
      <c r="CPJ45" s="100"/>
      <c r="CPK45" s="100"/>
      <c r="CPL45" s="100"/>
      <c r="CPM45" s="100"/>
      <c r="CPN45" s="100"/>
      <c r="CPO45" s="100"/>
      <c r="CPP45" s="100"/>
      <c r="CPQ45" s="100"/>
      <c r="CPR45" s="100"/>
      <c r="CPS45" s="100"/>
      <c r="CPT45" s="100"/>
      <c r="CPU45" s="100"/>
      <c r="CPV45" s="100"/>
      <c r="CPW45" s="100"/>
      <c r="CPX45" s="100"/>
      <c r="CPY45" s="100"/>
      <c r="CPZ45" s="100"/>
      <c r="CQA45" s="100"/>
      <c r="CQB45" s="100"/>
      <c r="CQC45" s="100"/>
      <c r="CQD45" s="100"/>
      <c r="CQE45" s="100"/>
      <c r="CQF45" s="100"/>
      <c r="CQG45" s="100"/>
      <c r="CQH45" s="100"/>
      <c r="CQI45" s="100"/>
      <c r="CQJ45" s="100"/>
      <c r="CQK45" s="100"/>
      <c r="CQL45" s="100"/>
      <c r="CQM45" s="100"/>
      <c r="CQN45" s="100"/>
      <c r="CQO45" s="100"/>
      <c r="CQP45" s="100"/>
      <c r="CQQ45" s="100"/>
      <c r="CQR45" s="100"/>
      <c r="CQS45" s="100"/>
      <c r="CQT45" s="100"/>
      <c r="CQU45" s="100"/>
      <c r="CQV45" s="100"/>
      <c r="CQW45" s="100"/>
      <c r="CQX45" s="100"/>
      <c r="CQY45" s="100"/>
      <c r="CQZ45" s="100"/>
      <c r="CRA45" s="100"/>
      <c r="CRB45" s="100"/>
      <c r="CRC45" s="100"/>
      <c r="CRD45" s="100"/>
      <c r="CRE45" s="100"/>
      <c r="CRF45" s="100"/>
      <c r="CRG45" s="100"/>
      <c r="CRH45" s="100"/>
      <c r="CRI45" s="100"/>
      <c r="CRJ45" s="100"/>
      <c r="CRK45" s="100"/>
      <c r="CRL45" s="100"/>
      <c r="CRM45" s="100"/>
      <c r="CRN45" s="100"/>
      <c r="CRO45" s="100"/>
      <c r="CRP45" s="100"/>
      <c r="CRQ45" s="100"/>
      <c r="CRR45" s="100"/>
      <c r="CRS45" s="100"/>
      <c r="CRT45" s="100"/>
      <c r="CRU45" s="100"/>
      <c r="CRV45" s="100"/>
      <c r="CRW45" s="100"/>
      <c r="CRX45" s="100"/>
      <c r="CRY45" s="100"/>
      <c r="CRZ45" s="100"/>
      <c r="CSA45" s="100"/>
      <c r="CSB45" s="100"/>
      <c r="CSC45" s="100"/>
      <c r="CSD45" s="100"/>
      <c r="CSE45" s="100"/>
      <c r="CSF45" s="100"/>
      <c r="CSG45" s="100"/>
      <c r="CSH45" s="100"/>
      <c r="CSI45" s="100"/>
      <c r="CSJ45" s="100"/>
      <c r="CSK45" s="100"/>
      <c r="CSL45" s="100"/>
      <c r="CSM45" s="100"/>
      <c r="CSN45" s="100"/>
      <c r="CSO45" s="100"/>
      <c r="CSP45" s="100"/>
      <c r="CSQ45" s="100"/>
      <c r="CSR45" s="100"/>
      <c r="CSS45" s="100"/>
      <c r="CST45" s="100"/>
      <c r="CSU45" s="100"/>
      <c r="CSV45" s="100"/>
      <c r="CSW45" s="100"/>
      <c r="CSX45" s="100"/>
      <c r="CSY45" s="100"/>
      <c r="CSZ45" s="100"/>
      <c r="CTA45" s="100"/>
      <c r="CTB45" s="100"/>
      <c r="CTC45" s="100"/>
      <c r="CTD45" s="100"/>
      <c r="CTE45" s="100"/>
      <c r="CTF45" s="100"/>
      <c r="CTG45" s="100"/>
      <c r="CTH45" s="100"/>
      <c r="CTI45" s="100"/>
      <c r="CTJ45" s="100"/>
      <c r="CTK45" s="100"/>
      <c r="CTL45" s="100"/>
      <c r="CTM45" s="100"/>
      <c r="CTN45" s="100"/>
      <c r="CTO45" s="100"/>
      <c r="CTP45" s="100"/>
      <c r="CTQ45" s="100"/>
      <c r="CTR45" s="100"/>
      <c r="CTS45" s="100"/>
      <c r="CTT45" s="100"/>
      <c r="CTU45" s="100"/>
      <c r="CTV45" s="100"/>
      <c r="CTW45" s="100"/>
      <c r="CTX45" s="100"/>
      <c r="CTY45" s="100"/>
      <c r="CTZ45" s="100"/>
      <c r="CUA45" s="100"/>
      <c r="CUB45" s="100"/>
      <c r="CUC45" s="100"/>
      <c r="CUD45" s="100"/>
      <c r="CUE45" s="100"/>
      <c r="CUF45" s="100"/>
      <c r="CUG45" s="100"/>
      <c r="CUH45" s="100"/>
      <c r="CUI45" s="100"/>
      <c r="CUJ45" s="100"/>
      <c r="CUK45" s="100"/>
      <c r="CUL45" s="100"/>
      <c r="CUM45" s="100"/>
      <c r="CUN45" s="100"/>
      <c r="CUO45" s="100"/>
      <c r="CUP45" s="100"/>
      <c r="CUQ45" s="100"/>
      <c r="CUR45" s="100"/>
      <c r="CUS45" s="100"/>
      <c r="CUT45" s="100"/>
      <c r="CUU45" s="100"/>
      <c r="CUV45" s="100"/>
      <c r="CUW45" s="100"/>
      <c r="CUX45" s="100"/>
      <c r="CUY45" s="100"/>
      <c r="CUZ45" s="100"/>
      <c r="CVA45" s="100"/>
      <c r="CVB45" s="100"/>
      <c r="CVC45" s="100"/>
      <c r="CVD45" s="100"/>
      <c r="CVE45" s="100"/>
      <c r="CVF45" s="100"/>
      <c r="CVG45" s="100"/>
      <c r="CVH45" s="100"/>
      <c r="CVI45" s="100"/>
      <c r="CVJ45" s="100"/>
      <c r="CVK45" s="100"/>
      <c r="CVL45" s="100"/>
      <c r="CVM45" s="100"/>
      <c r="CVN45" s="100"/>
      <c r="CVO45" s="100"/>
      <c r="CVP45" s="100"/>
      <c r="CVQ45" s="100"/>
      <c r="CVR45" s="100"/>
      <c r="CVS45" s="100"/>
      <c r="CVT45" s="100"/>
      <c r="CVU45" s="100"/>
      <c r="CVV45" s="100"/>
      <c r="CVW45" s="100"/>
      <c r="CVX45" s="100"/>
      <c r="CVY45" s="100"/>
      <c r="CVZ45" s="100"/>
      <c r="CWA45" s="100"/>
      <c r="CWB45" s="100"/>
      <c r="CWC45" s="100"/>
      <c r="CWD45" s="100"/>
      <c r="CWE45" s="100"/>
      <c r="CWF45" s="100"/>
      <c r="CWG45" s="100"/>
      <c r="CWH45" s="100"/>
      <c r="CWI45" s="100"/>
      <c r="CWJ45" s="100"/>
      <c r="CWK45" s="100"/>
      <c r="CWL45" s="100"/>
      <c r="CWM45" s="100"/>
      <c r="CWN45" s="100"/>
      <c r="CWO45" s="100"/>
      <c r="CWP45" s="100"/>
      <c r="CWQ45" s="100"/>
      <c r="CWR45" s="100"/>
      <c r="CWS45" s="100"/>
      <c r="CWT45" s="100"/>
      <c r="CWU45" s="100"/>
      <c r="CWV45" s="100"/>
      <c r="CWW45" s="100"/>
      <c r="CWX45" s="100"/>
      <c r="CWY45" s="100"/>
      <c r="CWZ45" s="100"/>
      <c r="CXA45" s="100"/>
      <c r="CXB45" s="100"/>
      <c r="CXC45" s="100"/>
      <c r="CXD45" s="100"/>
      <c r="CXE45" s="100"/>
      <c r="CXF45" s="100"/>
      <c r="CXG45" s="100"/>
      <c r="CXH45" s="100"/>
      <c r="CXI45" s="100"/>
      <c r="CXJ45" s="100"/>
      <c r="CXK45" s="100"/>
      <c r="CXL45" s="100"/>
      <c r="CXM45" s="100"/>
      <c r="CXN45" s="100"/>
      <c r="CXO45" s="100"/>
      <c r="CXP45" s="100"/>
      <c r="CXQ45" s="100"/>
      <c r="CXR45" s="100"/>
      <c r="CXS45" s="100"/>
      <c r="CXT45" s="100"/>
      <c r="CXU45" s="100"/>
      <c r="CXV45" s="100"/>
      <c r="CXW45" s="100"/>
      <c r="CXX45" s="100"/>
      <c r="CXY45" s="100"/>
      <c r="CXZ45" s="100"/>
      <c r="CYA45" s="100"/>
      <c r="CYB45" s="100"/>
      <c r="CYC45" s="100"/>
      <c r="CYD45" s="100"/>
      <c r="CYE45" s="100"/>
      <c r="CYF45" s="100"/>
      <c r="CYG45" s="100"/>
      <c r="CYH45" s="100"/>
      <c r="CYI45" s="100"/>
      <c r="CYJ45" s="100"/>
      <c r="CYK45" s="100"/>
      <c r="CYL45" s="100"/>
      <c r="CYM45" s="100"/>
      <c r="CYN45" s="100"/>
      <c r="CYO45" s="100"/>
      <c r="CYP45" s="100"/>
      <c r="CYQ45" s="100"/>
      <c r="CYR45" s="100"/>
      <c r="CYS45" s="100"/>
      <c r="CYT45" s="100"/>
      <c r="CYU45" s="100"/>
      <c r="CYV45" s="100"/>
      <c r="CYW45" s="100"/>
      <c r="CYX45" s="100"/>
      <c r="CYY45" s="100"/>
      <c r="CYZ45" s="100"/>
      <c r="CZA45" s="100"/>
      <c r="CZB45" s="100"/>
      <c r="CZC45" s="100"/>
      <c r="CZD45" s="100"/>
      <c r="CZE45" s="100"/>
      <c r="CZF45" s="100"/>
      <c r="CZG45" s="100"/>
      <c r="CZH45" s="100"/>
      <c r="CZI45" s="100"/>
      <c r="CZJ45" s="100"/>
      <c r="CZK45" s="100"/>
      <c r="CZL45" s="100"/>
      <c r="CZM45" s="100"/>
      <c r="CZN45" s="100"/>
      <c r="CZO45" s="100"/>
      <c r="CZP45" s="100"/>
      <c r="CZQ45" s="100"/>
      <c r="CZR45" s="100"/>
      <c r="CZS45" s="100"/>
      <c r="CZT45" s="100"/>
      <c r="CZU45" s="100"/>
      <c r="CZV45" s="100"/>
      <c r="CZW45" s="100"/>
      <c r="CZX45" s="100"/>
      <c r="CZY45" s="100"/>
      <c r="CZZ45" s="100"/>
      <c r="DAA45" s="100"/>
      <c r="DAB45" s="100"/>
      <c r="DAC45" s="100"/>
      <c r="DAD45" s="100"/>
      <c r="DAE45" s="100"/>
      <c r="DAF45" s="100"/>
      <c r="DAG45" s="100"/>
      <c r="DAH45" s="100"/>
      <c r="DAI45" s="100"/>
      <c r="DAJ45" s="100"/>
      <c r="DAK45" s="100"/>
      <c r="DAL45" s="100"/>
      <c r="DAM45" s="100"/>
      <c r="DAN45" s="100"/>
      <c r="DAO45" s="100"/>
      <c r="DAP45" s="100"/>
      <c r="DAQ45" s="100"/>
      <c r="DAR45" s="100"/>
      <c r="DAS45" s="100"/>
      <c r="DAT45" s="100"/>
      <c r="DAU45" s="100"/>
      <c r="DAV45" s="100"/>
      <c r="DAW45" s="100"/>
      <c r="DAX45" s="100"/>
      <c r="DAY45" s="100"/>
      <c r="DAZ45" s="100"/>
      <c r="DBA45" s="100"/>
      <c r="DBB45" s="100"/>
      <c r="DBC45" s="100"/>
      <c r="DBD45" s="100"/>
      <c r="DBE45" s="100"/>
      <c r="DBF45" s="100"/>
      <c r="DBG45" s="100"/>
      <c r="DBH45" s="100"/>
      <c r="DBI45" s="100"/>
      <c r="DBJ45" s="100"/>
      <c r="DBK45" s="100"/>
      <c r="DBL45" s="100"/>
      <c r="DBM45" s="100"/>
      <c r="DBN45" s="100"/>
      <c r="DBO45" s="100"/>
      <c r="DBP45" s="100"/>
      <c r="DBQ45" s="100"/>
      <c r="DBR45" s="100"/>
      <c r="DBS45" s="100"/>
      <c r="DBT45" s="100"/>
      <c r="DBU45" s="100"/>
      <c r="DBV45" s="100"/>
      <c r="DBW45" s="100"/>
      <c r="DBX45" s="100"/>
      <c r="DBY45" s="100"/>
      <c r="DBZ45" s="100"/>
      <c r="DCA45" s="100"/>
      <c r="DCB45" s="100"/>
      <c r="DCC45" s="100"/>
      <c r="DCD45" s="100"/>
      <c r="DCE45" s="100"/>
      <c r="DCF45" s="100"/>
      <c r="DCG45" s="100"/>
      <c r="DCH45" s="100"/>
      <c r="DCI45" s="100"/>
      <c r="DCJ45" s="100"/>
      <c r="DCK45" s="100"/>
      <c r="DCL45" s="100"/>
      <c r="DCM45" s="100"/>
      <c r="DCN45" s="100"/>
      <c r="DCO45" s="100"/>
      <c r="DCP45" s="100"/>
      <c r="DCQ45" s="100"/>
      <c r="DCR45" s="100"/>
      <c r="DCS45" s="100"/>
      <c r="DCT45" s="100"/>
      <c r="DCU45" s="100"/>
      <c r="DCV45" s="100"/>
      <c r="DCW45" s="100"/>
      <c r="DCX45" s="100"/>
      <c r="DCY45" s="100"/>
      <c r="DCZ45" s="100"/>
      <c r="DDA45" s="100"/>
      <c r="DDB45" s="100"/>
      <c r="DDC45" s="100"/>
      <c r="DDD45" s="100"/>
      <c r="DDE45" s="100"/>
      <c r="DDF45" s="100"/>
      <c r="DDG45" s="100"/>
      <c r="DDH45" s="100"/>
      <c r="DDI45" s="100"/>
      <c r="DDJ45" s="100"/>
      <c r="DDK45" s="100"/>
      <c r="DDL45" s="100"/>
      <c r="DDM45" s="100"/>
      <c r="DDN45" s="100"/>
      <c r="DDO45" s="100"/>
      <c r="DDP45" s="100"/>
      <c r="DDQ45" s="100"/>
      <c r="DDR45" s="100"/>
      <c r="DDS45" s="100"/>
      <c r="DDT45" s="100"/>
      <c r="DDU45" s="100"/>
      <c r="DDV45" s="100"/>
      <c r="DDW45" s="100"/>
      <c r="DDX45" s="100"/>
      <c r="DDY45" s="100"/>
      <c r="DDZ45" s="100"/>
      <c r="DEA45" s="100"/>
      <c r="DEB45" s="100"/>
      <c r="DEC45" s="100"/>
      <c r="DED45" s="100"/>
      <c r="DEE45" s="100"/>
      <c r="DEF45" s="100"/>
      <c r="DEG45" s="100"/>
      <c r="DEH45" s="100"/>
      <c r="DEI45" s="100"/>
      <c r="DEJ45" s="100"/>
      <c r="DEK45" s="100"/>
      <c r="DEL45" s="100"/>
      <c r="DEM45" s="100"/>
      <c r="DEN45" s="100"/>
      <c r="DEO45" s="100"/>
      <c r="DEP45" s="100"/>
      <c r="DEQ45" s="100"/>
      <c r="DER45" s="100"/>
      <c r="DES45" s="100"/>
      <c r="DET45" s="100"/>
      <c r="DEU45" s="100"/>
      <c r="DEV45" s="100"/>
      <c r="DEW45" s="100"/>
      <c r="DEX45" s="100"/>
      <c r="DEY45" s="100"/>
      <c r="DEZ45" s="100"/>
      <c r="DFA45" s="100"/>
      <c r="DFB45" s="100"/>
      <c r="DFC45" s="100"/>
      <c r="DFD45" s="100"/>
      <c r="DFE45" s="100"/>
      <c r="DFF45" s="100"/>
      <c r="DFG45" s="100"/>
      <c r="DFH45" s="100"/>
      <c r="DFI45" s="100"/>
      <c r="DFJ45" s="100"/>
      <c r="DFK45" s="100"/>
      <c r="DFL45" s="100"/>
      <c r="DFM45" s="100"/>
      <c r="DFN45" s="100"/>
      <c r="DFO45" s="100"/>
      <c r="DFP45" s="100"/>
      <c r="DFQ45" s="100"/>
      <c r="DFR45" s="100"/>
      <c r="DFS45" s="100"/>
      <c r="DFT45" s="100"/>
      <c r="DFU45" s="100"/>
      <c r="DFV45" s="100"/>
      <c r="DFW45" s="100"/>
      <c r="DFX45" s="100"/>
      <c r="DFY45" s="100"/>
      <c r="DFZ45" s="100"/>
      <c r="DGA45" s="100"/>
      <c r="DGB45" s="100"/>
      <c r="DGC45" s="100"/>
      <c r="DGD45" s="100"/>
      <c r="DGE45" s="100"/>
      <c r="DGF45" s="100"/>
      <c r="DGG45" s="100"/>
      <c r="DGH45" s="100"/>
      <c r="DGI45" s="100"/>
      <c r="DGJ45" s="100"/>
      <c r="DGK45" s="100"/>
      <c r="DGL45" s="100"/>
      <c r="DGM45" s="100"/>
      <c r="DGN45" s="100"/>
      <c r="DGO45" s="100"/>
      <c r="DGP45" s="100"/>
      <c r="DGQ45" s="100"/>
      <c r="DGR45" s="100"/>
      <c r="DGS45" s="100"/>
      <c r="DGT45" s="100"/>
      <c r="DGU45" s="100"/>
      <c r="DGV45" s="100"/>
      <c r="DGW45" s="100"/>
      <c r="DGX45" s="100"/>
      <c r="DGY45" s="100"/>
      <c r="DGZ45" s="100"/>
      <c r="DHA45" s="100"/>
      <c r="DHB45" s="100"/>
      <c r="DHC45" s="100"/>
      <c r="DHD45" s="100"/>
      <c r="DHE45" s="100"/>
      <c r="DHF45" s="100"/>
      <c r="DHG45" s="100"/>
      <c r="DHH45" s="100"/>
      <c r="DHI45" s="100"/>
      <c r="DHJ45" s="100"/>
      <c r="DHK45" s="100"/>
      <c r="DHL45" s="100"/>
      <c r="DHM45" s="100"/>
      <c r="DHN45" s="100"/>
      <c r="DHO45" s="100"/>
      <c r="DHP45" s="100"/>
      <c r="DHQ45" s="100"/>
      <c r="DHR45" s="100"/>
      <c r="DHS45" s="100"/>
      <c r="DHT45" s="100"/>
      <c r="DHU45" s="100"/>
      <c r="DHV45" s="100"/>
      <c r="DHW45" s="100"/>
      <c r="DHX45" s="100"/>
      <c r="DHY45" s="100"/>
      <c r="DHZ45" s="100"/>
      <c r="DIA45" s="100"/>
      <c r="DIB45" s="100"/>
      <c r="DIC45" s="100"/>
      <c r="DID45" s="100"/>
      <c r="DIE45" s="100"/>
      <c r="DIF45" s="100"/>
      <c r="DIG45" s="100"/>
      <c r="DIH45" s="100"/>
      <c r="DII45" s="100"/>
      <c r="DIJ45" s="100"/>
      <c r="DIK45" s="100"/>
      <c r="DIL45" s="100"/>
      <c r="DIM45" s="100"/>
      <c r="DIN45" s="100"/>
      <c r="DIO45" s="100"/>
      <c r="DIP45" s="100"/>
      <c r="DIQ45" s="100"/>
      <c r="DIR45" s="100"/>
      <c r="DIS45" s="100"/>
      <c r="DIT45" s="100"/>
      <c r="DIU45" s="100"/>
      <c r="DIV45" s="100"/>
      <c r="DIW45" s="100"/>
      <c r="DIX45" s="100"/>
      <c r="DIY45" s="100"/>
      <c r="DIZ45" s="100"/>
      <c r="DJA45" s="100"/>
      <c r="DJB45" s="100"/>
      <c r="DJC45" s="100"/>
      <c r="DJD45" s="100"/>
      <c r="DJE45" s="100"/>
      <c r="DJF45" s="100"/>
      <c r="DJG45" s="100"/>
      <c r="DJH45" s="100"/>
      <c r="DJI45" s="100"/>
      <c r="DJJ45" s="100"/>
      <c r="DJK45" s="100"/>
      <c r="DJL45" s="100"/>
      <c r="DJM45" s="100"/>
      <c r="DJN45" s="100"/>
      <c r="DJO45" s="100"/>
      <c r="DJP45" s="100"/>
      <c r="DJQ45" s="100"/>
      <c r="DJR45" s="100"/>
      <c r="DJS45" s="100"/>
      <c r="DJT45" s="100"/>
      <c r="DJU45" s="100"/>
      <c r="DJV45" s="100"/>
      <c r="DJW45" s="100"/>
      <c r="DJX45" s="100"/>
      <c r="DJY45" s="100"/>
      <c r="DJZ45" s="100"/>
      <c r="DKA45" s="100"/>
      <c r="DKB45" s="100"/>
      <c r="DKC45" s="100"/>
      <c r="DKD45" s="100"/>
      <c r="DKE45" s="100"/>
      <c r="DKF45" s="100"/>
      <c r="DKG45" s="100"/>
      <c r="DKH45" s="100"/>
      <c r="DKI45" s="100"/>
      <c r="DKJ45" s="100"/>
      <c r="DKK45" s="100"/>
      <c r="DKL45" s="100"/>
      <c r="DKM45" s="100"/>
      <c r="DKN45" s="100"/>
      <c r="DKO45" s="100"/>
      <c r="DKP45" s="100"/>
      <c r="DKQ45" s="100"/>
      <c r="DKR45" s="100"/>
      <c r="DKS45" s="100"/>
      <c r="DKT45" s="100"/>
      <c r="DKU45" s="100"/>
      <c r="DKV45" s="100"/>
      <c r="DKW45" s="100"/>
      <c r="DKX45" s="100"/>
      <c r="DKY45" s="100"/>
      <c r="DKZ45" s="100"/>
      <c r="DLA45" s="100"/>
      <c r="DLB45" s="100"/>
      <c r="DLC45" s="100"/>
      <c r="DLD45" s="100"/>
      <c r="DLE45" s="100"/>
      <c r="DLF45" s="100"/>
      <c r="DLG45" s="100"/>
      <c r="DLH45" s="100"/>
      <c r="DLI45" s="100"/>
      <c r="DLJ45" s="100"/>
      <c r="DLK45" s="100"/>
      <c r="DLL45" s="100"/>
      <c r="DLM45" s="100"/>
      <c r="DLN45" s="100"/>
      <c r="DLO45" s="100"/>
      <c r="DLP45" s="100"/>
      <c r="DLQ45" s="100"/>
      <c r="DLR45" s="100"/>
      <c r="DLS45" s="100"/>
      <c r="DLT45" s="100"/>
      <c r="DLU45" s="100"/>
      <c r="DLV45" s="100"/>
      <c r="DLW45" s="100"/>
      <c r="DLX45" s="100"/>
      <c r="DLY45" s="100"/>
      <c r="DLZ45" s="100"/>
      <c r="DMA45" s="100"/>
      <c r="DMB45" s="100"/>
      <c r="DMC45" s="100"/>
      <c r="DMD45" s="100"/>
      <c r="DME45" s="100"/>
      <c r="DMF45" s="100"/>
      <c r="DMG45" s="100"/>
      <c r="DMH45" s="100"/>
      <c r="DMI45" s="100"/>
      <c r="DMJ45" s="100"/>
      <c r="DMK45" s="100"/>
      <c r="DML45" s="100"/>
      <c r="DMM45" s="100"/>
      <c r="DMN45" s="100"/>
      <c r="DMO45" s="100"/>
      <c r="DMP45" s="100"/>
      <c r="DMQ45" s="100"/>
      <c r="DMR45" s="100"/>
      <c r="DMS45" s="100"/>
      <c r="DMT45" s="100"/>
      <c r="DMU45" s="100"/>
      <c r="DMV45" s="100"/>
      <c r="DMW45" s="100"/>
      <c r="DMX45" s="100"/>
      <c r="DMY45" s="100"/>
      <c r="DMZ45" s="100"/>
      <c r="DNA45" s="100"/>
      <c r="DNB45" s="100"/>
      <c r="DNC45" s="100"/>
      <c r="DND45" s="100"/>
      <c r="DNE45" s="100"/>
      <c r="DNF45" s="100"/>
      <c r="DNG45" s="100"/>
      <c r="DNH45" s="100"/>
      <c r="DNI45" s="100"/>
      <c r="DNJ45" s="100"/>
      <c r="DNK45" s="100"/>
      <c r="DNL45" s="100"/>
      <c r="DNM45" s="100"/>
      <c r="DNN45" s="100"/>
      <c r="DNO45" s="100"/>
      <c r="DNP45" s="100"/>
      <c r="DNQ45" s="100"/>
      <c r="DNR45" s="100"/>
      <c r="DNS45" s="100"/>
      <c r="DNT45" s="100"/>
      <c r="DNU45" s="100"/>
      <c r="DNV45" s="100"/>
      <c r="DNW45" s="100"/>
      <c r="DNX45" s="100"/>
      <c r="DNY45" s="100"/>
      <c r="DNZ45" s="100"/>
      <c r="DOA45" s="100"/>
      <c r="DOB45" s="100"/>
      <c r="DOC45" s="100"/>
      <c r="DOD45" s="100"/>
      <c r="DOE45" s="100"/>
      <c r="DOF45" s="100"/>
      <c r="DOG45" s="100"/>
      <c r="DOH45" s="100"/>
      <c r="DOI45" s="100"/>
      <c r="DOJ45" s="100"/>
      <c r="DOK45" s="100"/>
      <c r="DOL45" s="100"/>
      <c r="DOM45" s="100"/>
      <c r="DON45" s="100"/>
      <c r="DOO45" s="100"/>
      <c r="DOP45" s="100"/>
      <c r="DOQ45" s="100"/>
      <c r="DOR45" s="100"/>
      <c r="DOS45" s="100"/>
      <c r="DOT45" s="100"/>
      <c r="DOU45" s="100"/>
      <c r="DOV45" s="100"/>
      <c r="DOW45" s="100"/>
      <c r="DOX45" s="100"/>
      <c r="DOY45" s="100"/>
      <c r="DOZ45" s="100"/>
      <c r="DPA45" s="100"/>
      <c r="DPB45" s="100"/>
      <c r="DPC45" s="100"/>
      <c r="DPD45" s="100"/>
      <c r="DPE45" s="100"/>
      <c r="DPF45" s="100"/>
      <c r="DPG45" s="100"/>
      <c r="DPH45" s="100"/>
      <c r="DPI45" s="100"/>
      <c r="DPJ45" s="100"/>
      <c r="DPK45" s="100"/>
      <c r="DPL45" s="100"/>
      <c r="DPM45" s="100"/>
      <c r="DPN45" s="100"/>
      <c r="DPO45" s="100"/>
      <c r="DPP45" s="100"/>
      <c r="DPQ45" s="100"/>
      <c r="DPR45" s="100"/>
      <c r="DPS45" s="100"/>
      <c r="DPT45" s="100"/>
      <c r="DPU45" s="100"/>
      <c r="DPV45" s="100"/>
      <c r="DPW45" s="100"/>
      <c r="DPX45" s="100"/>
      <c r="DPY45" s="100"/>
      <c r="DPZ45" s="100"/>
      <c r="DQA45" s="100"/>
      <c r="DQB45" s="100"/>
      <c r="DQC45" s="100"/>
      <c r="DQD45" s="100"/>
      <c r="DQE45" s="100"/>
      <c r="DQF45" s="100"/>
      <c r="DQG45" s="100"/>
      <c r="DQH45" s="100"/>
      <c r="DQI45" s="100"/>
      <c r="DQJ45" s="100"/>
      <c r="DQK45" s="100"/>
      <c r="DQL45" s="100"/>
      <c r="DQM45" s="100"/>
      <c r="DQN45" s="100"/>
      <c r="DQO45" s="100"/>
      <c r="DQP45" s="100"/>
      <c r="DQQ45" s="100"/>
      <c r="DQR45" s="100"/>
      <c r="DQS45" s="100"/>
      <c r="DQT45" s="100"/>
      <c r="DQU45" s="100"/>
      <c r="DQV45" s="100"/>
      <c r="DQW45" s="100"/>
      <c r="DQX45" s="100"/>
      <c r="DQY45" s="100"/>
      <c r="DQZ45" s="100"/>
      <c r="DRA45" s="100"/>
      <c r="DRB45" s="100"/>
      <c r="DRC45" s="100"/>
      <c r="DRD45" s="100"/>
      <c r="DRE45" s="100"/>
      <c r="DRF45" s="100"/>
      <c r="DRG45" s="100"/>
      <c r="DRH45" s="100"/>
      <c r="DRI45" s="100"/>
      <c r="DRJ45" s="100"/>
      <c r="DRK45" s="100"/>
      <c r="DRL45" s="100"/>
      <c r="DRM45" s="100"/>
      <c r="DRN45" s="100"/>
      <c r="DRO45" s="100"/>
      <c r="DRP45" s="100"/>
      <c r="DRQ45" s="100"/>
      <c r="DRR45" s="100"/>
      <c r="DRS45" s="100"/>
      <c r="DRT45" s="100"/>
      <c r="DRU45" s="100"/>
      <c r="DRV45" s="100"/>
      <c r="DRW45" s="100"/>
      <c r="DRX45" s="100"/>
      <c r="DRY45" s="100"/>
      <c r="DRZ45" s="100"/>
      <c r="DSA45" s="100"/>
      <c r="DSB45" s="100"/>
      <c r="DSC45" s="100"/>
      <c r="DSD45" s="100"/>
      <c r="DSE45" s="100"/>
      <c r="DSF45" s="100"/>
      <c r="DSG45" s="100"/>
      <c r="DSH45" s="100"/>
      <c r="DSI45" s="100"/>
      <c r="DSJ45" s="100"/>
      <c r="DSK45" s="100"/>
      <c r="DSL45" s="100"/>
      <c r="DSM45" s="100"/>
      <c r="DSN45" s="100"/>
      <c r="DSO45" s="100"/>
      <c r="DSP45" s="100"/>
      <c r="DSQ45" s="100"/>
      <c r="DSR45" s="100"/>
      <c r="DSS45" s="100"/>
      <c r="DST45" s="100"/>
      <c r="DSU45" s="100"/>
      <c r="DSV45" s="100"/>
      <c r="DSW45" s="100"/>
      <c r="DSX45" s="100"/>
      <c r="DSY45" s="100"/>
      <c r="DSZ45" s="100"/>
      <c r="DTA45" s="100"/>
      <c r="DTB45" s="100"/>
      <c r="DTC45" s="100"/>
      <c r="DTD45" s="100"/>
      <c r="DTE45" s="100"/>
      <c r="DTF45" s="100"/>
      <c r="DTG45" s="100"/>
      <c r="DTH45" s="100"/>
      <c r="DTI45" s="100"/>
      <c r="DTJ45" s="100"/>
      <c r="DTK45" s="100"/>
      <c r="DTL45" s="100"/>
      <c r="DTM45" s="100"/>
      <c r="DTN45" s="100"/>
      <c r="DTO45" s="100"/>
      <c r="DTP45" s="100"/>
      <c r="DTQ45" s="100"/>
      <c r="DTR45" s="100"/>
      <c r="DTS45" s="100"/>
      <c r="DTT45" s="100"/>
      <c r="DTU45" s="100"/>
      <c r="DTV45" s="100"/>
      <c r="DTW45" s="100"/>
      <c r="DTX45" s="100"/>
      <c r="DTY45" s="100"/>
      <c r="DTZ45" s="100"/>
      <c r="DUA45" s="100"/>
      <c r="DUB45" s="100"/>
      <c r="DUC45" s="100"/>
      <c r="DUD45" s="100"/>
      <c r="DUE45" s="100"/>
      <c r="DUF45" s="100"/>
      <c r="DUG45" s="100"/>
      <c r="DUH45" s="100"/>
      <c r="DUI45" s="100"/>
      <c r="DUJ45" s="100"/>
      <c r="DUK45" s="100"/>
      <c r="DUL45" s="100"/>
      <c r="DUM45" s="100"/>
      <c r="DUN45" s="100"/>
      <c r="DUO45" s="100"/>
      <c r="DUP45" s="100"/>
      <c r="DUQ45" s="100"/>
      <c r="DUR45" s="100"/>
      <c r="DUS45" s="100"/>
      <c r="DUT45" s="100"/>
      <c r="DUU45" s="100"/>
      <c r="DUV45" s="100"/>
      <c r="DUW45" s="100"/>
      <c r="DUX45" s="100"/>
      <c r="DUY45" s="100"/>
      <c r="DUZ45" s="100"/>
      <c r="DVA45" s="100"/>
      <c r="DVB45" s="100"/>
      <c r="DVC45" s="100"/>
      <c r="DVD45" s="100"/>
      <c r="DVE45" s="100"/>
      <c r="DVF45" s="100"/>
      <c r="DVG45" s="100"/>
      <c r="DVH45" s="100"/>
      <c r="DVI45" s="100"/>
      <c r="DVJ45" s="100"/>
      <c r="DVK45" s="100"/>
      <c r="DVL45" s="100"/>
      <c r="DVM45" s="100"/>
      <c r="DVN45" s="100"/>
      <c r="DVO45" s="100"/>
      <c r="DVP45" s="100"/>
      <c r="DVQ45" s="100"/>
      <c r="DVR45" s="100"/>
      <c r="DVS45" s="100"/>
      <c r="DVT45" s="100"/>
      <c r="DVU45" s="100"/>
      <c r="DVV45" s="100"/>
      <c r="DVW45" s="100"/>
      <c r="DVX45" s="100"/>
      <c r="DVY45" s="100"/>
      <c r="DVZ45" s="100"/>
      <c r="DWA45" s="100"/>
      <c r="DWB45" s="100"/>
      <c r="DWC45" s="100"/>
      <c r="DWD45" s="100"/>
      <c r="DWE45" s="100"/>
      <c r="DWF45" s="100"/>
      <c r="DWG45" s="100"/>
      <c r="DWH45" s="100"/>
      <c r="DWI45" s="100"/>
      <c r="DWJ45" s="100"/>
      <c r="DWK45" s="100"/>
      <c r="DWL45" s="100"/>
      <c r="DWM45" s="100"/>
      <c r="DWN45" s="100"/>
      <c r="DWO45" s="100"/>
      <c r="DWP45" s="100"/>
      <c r="DWQ45" s="100"/>
      <c r="DWR45" s="100"/>
      <c r="DWS45" s="100"/>
      <c r="DWT45" s="100"/>
      <c r="DWU45" s="100"/>
      <c r="DWV45" s="100"/>
      <c r="DWW45" s="100"/>
      <c r="DWX45" s="100"/>
      <c r="DWY45" s="100"/>
      <c r="DWZ45" s="100"/>
      <c r="DXA45" s="100"/>
      <c r="DXB45" s="100"/>
      <c r="DXC45" s="100"/>
      <c r="DXD45" s="100"/>
      <c r="DXE45" s="100"/>
      <c r="DXF45" s="100"/>
      <c r="DXG45" s="100"/>
      <c r="DXH45" s="100"/>
      <c r="DXI45" s="100"/>
      <c r="DXJ45" s="100"/>
      <c r="DXK45" s="100"/>
      <c r="DXL45" s="100"/>
      <c r="DXM45" s="100"/>
      <c r="DXN45" s="100"/>
      <c r="DXO45" s="100"/>
      <c r="DXP45" s="100"/>
      <c r="DXQ45" s="100"/>
      <c r="DXR45" s="100"/>
      <c r="DXS45" s="100"/>
      <c r="DXT45" s="100"/>
      <c r="DXU45" s="100"/>
      <c r="DXV45" s="100"/>
      <c r="DXW45" s="100"/>
      <c r="DXX45" s="100"/>
      <c r="DXY45" s="100"/>
      <c r="DXZ45" s="100"/>
      <c r="DYA45" s="100"/>
      <c r="DYB45" s="100"/>
      <c r="DYC45" s="100"/>
      <c r="DYD45" s="100"/>
      <c r="DYE45" s="100"/>
      <c r="DYF45" s="100"/>
      <c r="DYG45" s="100"/>
      <c r="DYH45" s="100"/>
      <c r="DYI45" s="100"/>
      <c r="DYJ45" s="100"/>
      <c r="DYK45" s="100"/>
      <c r="DYL45" s="100"/>
      <c r="DYM45" s="100"/>
      <c r="DYN45" s="100"/>
      <c r="DYO45" s="100"/>
      <c r="DYP45" s="100"/>
      <c r="DYQ45" s="100"/>
      <c r="DYR45" s="100"/>
      <c r="DYS45" s="100"/>
      <c r="DYT45" s="100"/>
      <c r="DYU45" s="100"/>
      <c r="DYV45" s="100"/>
      <c r="DYW45" s="100"/>
      <c r="DYX45" s="100"/>
      <c r="DYY45" s="100"/>
      <c r="DYZ45" s="100"/>
      <c r="DZA45" s="100"/>
      <c r="DZB45" s="100"/>
      <c r="DZC45" s="100"/>
      <c r="DZD45" s="100"/>
      <c r="DZE45" s="100"/>
      <c r="DZF45" s="100"/>
      <c r="DZG45" s="100"/>
      <c r="DZH45" s="100"/>
      <c r="DZI45" s="100"/>
      <c r="DZJ45" s="100"/>
      <c r="DZK45" s="100"/>
      <c r="DZL45" s="100"/>
      <c r="DZM45" s="100"/>
      <c r="DZN45" s="100"/>
      <c r="DZO45" s="100"/>
      <c r="DZP45" s="100"/>
      <c r="DZQ45" s="100"/>
      <c r="DZR45" s="100"/>
      <c r="DZS45" s="100"/>
      <c r="DZT45" s="100"/>
      <c r="DZU45" s="100"/>
      <c r="DZV45" s="100"/>
      <c r="DZW45" s="100"/>
      <c r="DZX45" s="100"/>
      <c r="DZY45" s="100"/>
      <c r="DZZ45" s="100"/>
      <c r="EAA45" s="100"/>
      <c r="EAB45" s="100"/>
      <c r="EAC45" s="100"/>
      <c r="EAD45" s="100"/>
      <c r="EAE45" s="100"/>
      <c r="EAF45" s="100"/>
      <c r="EAG45" s="100"/>
      <c r="EAH45" s="100"/>
      <c r="EAI45" s="100"/>
      <c r="EAJ45" s="100"/>
      <c r="EAK45" s="100"/>
      <c r="EAL45" s="100"/>
      <c r="EAM45" s="100"/>
      <c r="EAN45" s="100"/>
      <c r="EAO45" s="100"/>
      <c r="EAP45" s="100"/>
      <c r="EAQ45" s="100"/>
      <c r="EAR45" s="100"/>
      <c r="EAS45" s="100"/>
      <c r="EAT45" s="100"/>
      <c r="EAU45" s="100"/>
      <c r="EAV45" s="100"/>
      <c r="EAW45" s="100"/>
      <c r="EAX45" s="100"/>
      <c r="EAY45" s="100"/>
      <c r="EAZ45" s="100"/>
      <c r="EBA45" s="100"/>
      <c r="EBB45" s="100"/>
      <c r="EBC45" s="100"/>
      <c r="EBD45" s="100"/>
      <c r="EBE45" s="100"/>
      <c r="EBF45" s="100"/>
      <c r="EBG45" s="100"/>
      <c r="EBH45" s="100"/>
      <c r="EBI45" s="100"/>
      <c r="EBJ45" s="100"/>
      <c r="EBK45" s="100"/>
      <c r="EBL45" s="100"/>
      <c r="EBM45" s="100"/>
      <c r="EBN45" s="100"/>
      <c r="EBO45" s="100"/>
      <c r="EBP45" s="100"/>
      <c r="EBQ45" s="100"/>
      <c r="EBR45" s="100"/>
      <c r="EBS45" s="100"/>
      <c r="EBT45" s="100"/>
      <c r="EBU45" s="100"/>
      <c r="EBV45" s="100"/>
      <c r="EBW45" s="100"/>
      <c r="EBX45" s="100"/>
      <c r="EBY45" s="100"/>
      <c r="EBZ45" s="100"/>
      <c r="ECA45" s="100"/>
      <c r="ECB45" s="100"/>
      <c r="ECC45" s="100"/>
      <c r="ECD45" s="100"/>
      <c r="ECE45" s="100"/>
      <c r="ECF45" s="100"/>
      <c r="ECG45" s="100"/>
      <c r="ECH45" s="100"/>
      <c r="ECI45" s="100"/>
      <c r="ECJ45" s="100"/>
      <c r="ECK45" s="100"/>
      <c r="ECL45" s="100"/>
      <c r="ECM45" s="100"/>
      <c r="ECN45" s="100"/>
      <c r="ECO45" s="100"/>
      <c r="ECP45" s="100"/>
      <c r="ECQ45" s="100"/>
      <c r="ECR45" s="100"/>
      <c r="ECS45" s="100"/>
      <c r="ECT45" s="100"/>
      <c r="ECU45" s="100"/>
      <c r="ECV45" s="100"/>
      <c r="ECW45" s="100"/>
      <c r="ECX45" s="100"/>
      <c r="ECY45" s="100"/>
      <c r="ECZ45" s="100"/>
      <c r="EDA45" s="100"/>
      <c r="EDB45" s="100"/>
      <c r="EDC45" s="100"/>
      <c r="EDD45" s="100"/>
      <c r="EDE45" s="100"/>
      <c r="EDF45" s="100"/>
      <c r="EDG45" s="100"/>
      <c r="EDH45" s="100"/>
      <c r="EDI45" s="100"/>
      <c r="EDJ45" s="100"/>
      <c r="EDK45" s="100"/>
      <c r="EDL45" s="100"/>
      <c r="EDM45" s="100"/>
      <c r="EDN45" s="100"/>
      <c r="EDO45" s="100"/>
      <c r="EDP45" s="100"/>
      <c r="EDQ45" s="100"/>
      <c r="EDR45" s="100"/>
      <c r="EDS45" s="100"/>
      <c r="EDT45" s="100"/>
      <c r="EDU45" s="100"/>
      <c r="EDV45" s="100"/>
      <c r="EDW45" s="100"/>
      <c r="EDX45" s="100"/>
      <c r="EDY45" s="100"/>
      <c r="EDZ45" s="100"/>
      <c r="EEA45" s="100"/>
      <c r="EEB45" s="100"/>
      <c r="EEC45" s="100"/>
      <c r="EED45" s="100"/>
      <c r="EEE45" s="100"/>
      <c r="EEF45" s="100"/>
      <c r="EEG45" s="100"/>
      <c r="EEH45" s="100"/>
      <c r="EEI45" s="100"/>
      <c r="EEJ45" s="100"/>
      <c r="EEK45" s="100"/>
      <c r="EEL45" s="100"/>
      <c r="EEM45" s="100"/>
      <c r="EEN45" s="100"/>
      <c r="EEO45" s="100"/>
      <c r="EEP45" s="100"/>
      <c r="EEQ45" s="100"/>
      <c r="EER45" s="100"/>
      <c r="EES45" s="100"/>
      <c r="EET45" s="100"/>
      <c r="EEU45" s="100"/>
      <c r="EEV45" s="100"/>
      <c r="EEW45" s="100"/>
      <c r="EEX45" s="100"/>
      <c r="EEY45" s="100"/>
      <c r="EEZ45" s="100"/>
      <c r="EFA45" s="100"/>
      <c r="EFB45" s="100"/>
      <c r="EFC45" s="100"/>
      <c r="EFD45" s="100"/>
      <c r="EFE45" s="100"/>
      <c r="EFF45" s="100"/>
      <c r="EFG45" s="100"/>
      <c r="EFH45" s="100"/>
      <c r="EFI45" s="100"/>
      <c r="EFJ45" s="100"/>
      <c r="EFK45" s="100"/>
      <c r="EFL45" s="100"/>
      <c r="EFM45" s="100"/>
      <c r="EFN45" s="100"/>
      <c r="EFO45" s="100"/>
      <c r="EFP45" s="100"/>
      <c r="EFQ45" s="100"/>
      <c r="EFR45" s="100"/>
      <c r="EFS45" s="100"/>
      <c r="EFT45" s="100"/>
      <c r="EFU45" s="100"/>
      <c r="EFV45" s="100"/>
      <c r="EFW45" s="100"/>
      <c r="EFX45" s="100"/>
      <c r="EFY45" s="100"/>
      <c r="EFZ45" s="100"/>
      <c r="EGA45" s="100"/>
      <c r="EGB45" s="100"/>
      <c r="EGC45" s="100"/>
      <c r="EGD45" s="100"/>
      <c r="EGE45" s="100"/>
      <c r="EGF45" s="100"/>
      <c r="EGG45" s="100"/>
      <c r="EGH45" s="100"/>
      <c r="EGI45" s="100"/>
      <c r="EGJ45" s="100"/>
      <c r="EGK45" s="100"/>
      <c r="EGL45" s="100"/>
      <c r="EGM45" s="100"/>
      <c r="EGN45" s="100"/>
      <c r="EGO45" s="100"/>
      <c r="EGP45" s="100"/>
      <c r="EGQ45" s="100"/>
      <c r="EGR45" s="100"/>
      <c r="EGS45" s="100"/>
      <c r="EGT45" s="100"/>
      <c r="EGU45" s="100"/>
      <c r="EGV45" s="100"/>
      <c r="EGW45" s="100"/>
      <c r="EGX45" s="100"/>
      <c r="EGY45" s="100"/>
      <c r="EGZ45" s="100"/>
      <c r="EHA45" s="100"/>
      <c r="EHB45" s="100"/>
      <c r="EHC45" s="100"/>
      <c r="EHD45" s="100"/>
      <c r="EHE45" s="100"/>
      <c r="EHF45" s="100"/>
      <c r="EHG45" s="100"/>
      <c r="EHH45" s="100"/>
      <c r="EHI45" s="100"/>
      <c r="EHJ45" s="100"/>
      <c r="EHK45" s="100"/>
      <c r="EHL45" s="100"/>
      <c r="EHM45" s="100"/>
      <c r="EHN45" s="100"/>
      <c r="EHO45" s="100"/>
      <c r="EHP45" s="100"/>
      <c r="EHQ45" s="100"/>
      <c r="EHR45" s="100"/>
      <c r="EHS45" s="100"/>
      <c r="EHT45" s="100"/>
      <c r="EHU45" s="100"/>
      <c r="EHV45" s="100"/>
      <c r="EHW45" s="100"/>
      <c r="EHX45" s="100"/>
      <c r="EHY45" s="100"/>
      <c r="EHZ45" s="100"/>
      <c r="EIA45" s="100"/>
      <c r="EIB45" s="100"/>
      <c r="EIC45" s="100"/>
      <c r="EID45" s="100"/>
      <c r="EIE45" s="100"/>
      <c r="EIF45" s="100"/>
      <c r="EIG45" s="100"/>
      <c r="EIH45" s="100"/>
      <c r="EII45" s="100"/>
      <c r="EIJ45" s="100"/>
      <c r="EIK45" s="100"/>
      <c r="EIL45" s="100"/>
      <c r="EIM45" s="100"/>
      <c r="EIN45" s="100"/>
      <c r="EIO45" s="100"/>
      <c r="EIP45" s="100"/>
      <c r="EIQ45" s="100"/>
      <c r="EIR45" s="100"/>
      <c r="EIS45" s="100"/>
      <c r="EIT45" s="100"/>
      <c r="EIU45" s="100"/>
      <c r="EIV45" s="100"/>
      <c r="EIW45" s="100"/>
      <c r="EIX45" s="100"/>
      <c r="EIY45" s="100"/>
      <c r="EIZ45" s="100"/>
      <c r="EJA45" s="100"/>
      <c r="EJB45" s="100"/>
      <c r="EJC45" s="100"/>
      <c r="EJD45" s="100"/>
      <c r="EJE45" s="100"/>
      <c r="EJF45" s="100"/>
      <c r="EJG45" s="100"/>
      <c r="EJH45" s="100"/>
      <c r="EJI45" s="100"/>
      <c r="EJJ45" s="100"/>
      <c r="EJK45" s="100"/>
      <c r="EJL45" s="100"/>
      <c r="EJM45" s="100"/>
      <c r="EJN45" s="100"/>
      <c r="EJO45" s="100"/>
      <c r="EJP45" s="100"/>
      <c r="EJQ45" s="100"/>
      <c r="EJR45" s="100"/>
      <c r="EJS45" s="100"/>
      <c r="EJT45" s="100"/>
      <c r="EJU45" s="100"/>
      <c r="EJV45" s="100"/>
      <c r="EJW45" s="100"/>
      <c r="EJX45" s="100"/>
      <c r="EJY45" s="100"/>
      <c r="EJZ45" s="100"/>
      <c r="EKA45" s="100"/>
      <c r="EKB45" s="100"/>
      <c r="EKC45" s="100"/>
      <c r="EKD45" s="100"/>
      <c r="EKE45" s="100"/>
      <c r="EKF45" s="100"/>
      <c r="EKG45" s="100"/>
      <c r="EKH45" s="100"/>
      <c r="EKI45" s="100"/>
      <c r="EKJ45" s="100"/>
      <c r="EKK45" s="100"/>
      <c r="EKL45" s="100"/>
      <c r="EKM45" s="100"/>
      <c r="EKN45" s="100"/>
      <c r="EKO45" s="100"/>
      <c r="EKP45" s="100"/>
      <c r="EKQ45" s="100"/>
      <c r="EKR45" s="100"/>
      <c r="EKS45" s="100"/>
      <c r="EKT45" s="100"/>
      <c r="EKU45" s="100"/>
      <c r="EKV45" s="100"/>
      <c r="EKW45" s="100"/>
      <c r="EKX45" s="100"/>
      <c r="EKY45" s="100"/>
      <c r="EKZ45" s="100"/>
      <c r="ELA45" s="100"/>
      <c r="ELB45" s="100"/>
      <c r="ELC45" s="100"/>
      <c r="ELD45" s="100"/>
      <c r="ELE45" s="100"/>
      <c r="ELF45" s="100"/>
      <c r="ELG45" s="100"/>
      <c r="ELH45" s="100"/>
      <c r="ELI45" s="100"/>
      <c r="ELJ45" s="100"/>
      <c r="ELK45" s="100"/>
      <c r="ELL45" s="100"/>
      <c r="ELM45" s="100"/>
      <c r="ELN45" s="100"/>
      <c r="ELO45" s="100"/>
      <c r="ELP45" s="100"/>
      <c r="ELQ45" s="100"/>
      <c r="ELR45" s="100"/>
      <c r="ELS45" s="100"/>
      <c r="ELT45" s="100"/>
      <c r="ELU45" s="100"/>
      <c r="ELV45" s="100"/>
      <c r="ELW45" s="100"/>
      <c r="ELX45" s="100"/>
      <c r="ELY45" s="100"/>
      <c r="ELZ45" s="100"/>
      <c r="EMA45" s="100"/>
      <c r="EMB45" s="100"/>
      <c r="EMC45" s="100"/>
      <c r="EMD45" s="100"/>
      <c r="EME45" s="100"/>
      <c r="EMF45" s="100"/>
      <c r="EMG45" s="100"/>
      <c r="EMH45" s="100"/>
      <c r="EMI45" s="100"/>
      <c r="EMJ45" s="100"/>
      <c r="EMK45" s="100"/>
      <c r="EML45" s="100"/>
      <c r="EMM45" s="100"/>
      <c r="EMN45" s="100"/>
      <c r="EMO45" s="100"/>
      <c r="EMP45" s="100"/>
      <c r="EMQ45" s="100"/>
      <c r="EMR45" s="100"/>
      <c r="EMS45" s="100"/>
      <c r="EMT45" s="100"/>
      <c r="EMU45" s="100"/>
      <c r="EMV45" s="100"/>
      <c r="EMW45" s="100"/>
      <c r="EMX45" s="100"/>
      <c r="EMY45" s="100"/>
      <c r="EMZ45" s="100"/>
      <c r="ENA45" s="100"/>
      <c r="ENB45" s="100"/>
      <c r="ENC45" s="100"/>
      <c r="END45" s="100"/>
      <c r="ENE45" s="100"/>
      <c r="ENF45" s="100"/>
      <c r="ENG45" s="100"/>
      <c r="ENH45" s="100"/>
      <c r="ENI45" s="100"/>
      <c r="ENJ45" s="100"/>
      <c r="ENK45" s="100"/>
      <c r="ENL45" s="100"/>
      <c r="ENM45" s="100"/>
      <c r="ENN45" s="100"/>
      <c r="ENO45" s="100"/>
      <c r="ENP45" s="100"/>
      <c r="ENQ45" s="100"/>
      <c r="ENR45" s="100"/>
      <c r="ENS45" s="100"/>
      <c r="ENT45" s="100"/>
      <c r="ENU45" s="100"/>
      <c r="ENV45" s="100"/>
      <c r="ENW45" s="100"/>
      <c r="ENX45" s="100"/>
      <c r="ENY45" s="100"/>
      <c r="ENZ45" s="100"/>
      <c r="EOA45" s="100"/>
      <c r="EOB45" s="100"/>
      <c r="EOC45" s="100"/>
      <c r="EOD45" s="100"/>
      <c r="EOE45" s="100"/>
      <c r="EOF45" s="100"/>
      <c r="EOG45" s="100"/>
      <c r="EOH45" s="100"/>
      <c r="EOI45" s="100"/>
      <c r="EOJ45" s="100"/>
      <c r="EOK45" s="100"/>
      <c r="EOL45" s="100"/>
      <c r="EOM45" s="100"/>
      <c r="EON45" s="100"/>
      <c r="EOO45" s="100"/>
      <c r="EOP45" s="100"/>
      <c r="EOQ45" s="100"/>
      <c r="EOR45" s="100"/>
      <c r="EOS45" s="100"/>
      <c r="EOT45" s="100"/>
      <c r="EOU45" s="100"/>
      <c r="EOV45" s="100"/>
      <c r="EOW45" s="100"/>
      <c r="EOX45" s="100"/>
      <c r="EOY45" s="100"/>
      <c r="EOZ45" s="100"/>
      <c r="EPA45" s="100"/>
      <c r="EPB45" s="100"/>
      <c r="EPC45" s="100"/>
      <c r="EPD45" s="100"/>
      <c r="EPE45" s="100"/>
      <c r="EPF45" s="100"/>
      <c r="EPG45" s="100"/>
      <c r="EPH45" s="100"/>
      <c r="EPI45" s="100"/>
      <c r="EPJ45" s="100"/>
      <c r="EPK45" s="100"/>
      <c r="EPL45" s="100"/>
      <c r="EPM45" s="100"/>
      <c r="EPN45" s="100"/>
      <c r="EPO45" s="100"/>
      <c r="EPP45" s="100"/>
      <c r="EPQ45" s="100"/>
      <c r="EPR45" s="100"/>
      <c r="EPS45" s="100"/>
      <c r="EPT45" s="100"/>
      <c r="EPU45" s="100"/>
      <c r="EPV45" s="100"/>
      <c r="EPW45" s="100"/>
      <c r="EPX45" s="100"/>
      <c r="EPY45" s="100"/>
      <c r="EPZ45" s="100"/>
      <c r="EQA45" s="100"/>
      <c r="EQB45" s="100"/>
      <c r="EQC45" s="100"/>
      <c r="EQD45" s="100"/>
      <c r="EQE45" s="100"/>
      <c r="EQF45" s="100"/>
      <c r="EQG45" s="100"/>
      <c r="EQH45" s="100"/>
      <c r="EQI45" s="100"/>
      <c r="EQJ45" s="100"/>
      <c r="EQK45" s="100"/>
      <c r="EQL45" s="100"/>
      <c r="EQM45" s="100"/>
      <c r="EQN45" s="100"/>
      <c r="EQO45" s="100"/>
      <c r="EQP45" s="100"/>
      <c r="EQQ45" s="100"/>
      <c r="EQR45" s="100"/>
      <c r="EQS45" s="100"/>
      <c r="EQT45" s="100"/>
      <c r="EQU45" s="100"/>
      <c r="EQV45" s="100"/>
      <c r="EQW45" s="100"/>
      <c r="EQX45" s="100"/>
      <c r="EQY45" s="100"/>
      <c r="EQZ45" s="100"/>
      <c r="ERA45" s="100"/>
      <c r="ERB45" s="100"/>
      <c r="ERC45" s="100"/>
      <c r="ERD45" s="100"/>
      <c r="ERE45" s="100"/>
      <c r="ERF45" s="100"/>
      <c r="ERG45" s="100"/>
      <c r="ERH45" s="100"/>
      <c r="ERI45" s="100"/>
      <c r="ERJ45" s="100"/>
      <c r="ERK45" s="100"/>
      <c r="ERL45" s="100"/>
      <c r="ERM45" s="100"/>
      <c r="ERN45" s="100"/>
      <c r="ERO45" s="100"/>
      <c r="ERP45" s="100"/>
      <c r="ERQ45" s="100"/>
      <c r="ERR45" s="100"/>
      <c r="ERS45" s="100"/>
      <c r="ERT45" s="100"/>
      <c r="ERU45" s="100"/>
      <c r="ERV45" s="100"/>
      <c r="ERW45" s="100"/>
      <c r="ERX45" s="100"/>
      <c r="ERY45" s="100"/>
      <c r="ERZ45" s="100"/>
      <c r="ESA45" s="100"/>
      <c r="ESB45" s="100"/>
      <c r="ESC45" s="100"/>
      <c r="ESD45" s="100"/>
      <c r="ESE45" s="100"/>
      <c r="ESF45" s="100"/>
      <c r="ESG45" s="100"/>
      <c r="ESH45" s="100"/>
      <c r="ESI45" s="100"/>
      <c r="ESJ45" s="100"/>
      <c r="ESK45" s="100"/>
      <c r="ESL45" s="100"/>
      <c r="ESM45" s="100"/>
      <c r="ESN45" s="100"/>
      <c r="ESO45" s="100"/>
      <c r="ESP45" s="100"/>
      <c r="ESQ45" s="100"/>
      <c r="ESR45" s="100"/>
      <c r="ESS45" s="100"/>
      <c r="EST45" s="100"/>
      <c r="ESU45" s="100"/>
      <c r="ESV45" s="100"/>
      <c r="ESW45" s="100"/>
      <c r="ESX45" s="100"/>
      <c r="ESY45" s="100"/>
      <c r="ESZ45" s="100"/>
      <c r="ETA45" s="100"/>
      <c r="ETB45" s="100"/>
      <c r="ETC45" s="100"/>
      <c r="ETD45" s="100"/>
      <c r="ETE45" s="100"/>
      <c r="ETF45" s="100"/>
      <c r="ETG45" s="100"/>
      <c r="ETH45" s="100"/>
      <c r="ETI45" s="100"/>
      <c r="ETJ45" s="100"/>
      <c r="ETK45" s="100"/>
      <c r="ETL45" s="100"/>
      <c r="ETM45" s="100"/>
      <c r="ETN45" s="100"/>
      <c r="ETO45" s="100"/>
      <c r="ETP45" s="100"/>
      <c r="ETQ45" s="100"/>
      <c r="ETR45" s="100"/>
      <c r="ETS45" s="100"/>
      <c r="ETT45" s="100"/>
      <c r="ETU45" s="100"/>
      <c r="ETV45" s="100"/>
      <c r="ETW45" s="100"/>
      <c r="ETX45" s="100"/>
      <c r="ETY45" s="100"/>
      <c r="ETZ45" s="100"/>
      <c r="EUA45" s="100"/>
      <c r="EUB45" s="100"/>
      <c r="EUC45" s="100"/>
      <c r="EUD45" s="100"/>
      <c r="EUE45" s="100"/>
      <c r="EUF45" s="100"/>
      <c r="EUG45" s="100"/>
      <c r="EUH45" s="100"/>
      <c r="EUI45" s="100"/>
      <c r="EUJ45" s="100"/>
      <c r="EUK45" s="100"/>
      <c r="EUL45" s="100"/>
      <c r="EUM45" s="100"/>
      <c r="EUN45" s="100"/>
      <c r="EUO45" s="100"/>
      <c r="EUP45" s="100"/>
      <c r="EUQ45" s="100"/>
      <c r="EUR45" s="100"/>
      <c r="EUS45" s="100"/>
      <c r="EUT45" s="100"/>
      <c r="EUU45" s="100"/>
      <c r="EUV45" s="100"/>
      <c r="EUW45" s="100"/>
      <c r="EUX45" s="100"/>
      <c r="EUY45" s="100"/>
      <c r="EUZ45" s="100"/>
      <c r="EVA45" s="100"/>
      <c r="EVB45" s="100"/>
      <c r="EVC45" s="100"/>
      <c r="EVD45" s="100"/>
      <c r="EVE45" s="100"/>
      <c r="EVF45" s="100"/>
      <c r="EVG45" s="100"/>
      <c r="EVH45" s="100"/>
      <c r="EVI45" s="100"/>
      <c r="EVJ45" s="100"/>
      <c r="EVK45" s="100"/>
      <c r="EVL45" s="100"/>
      <c r="EVM45" s="100"/>
      <c r="EVN45" s="100"/>
      <c r="EVO45" s="100"/>
      <c r="EVP45" s="100"/>
      <c r="EVQ45" s="100"/>
      <c r="EVR45" s="100"/>
      <c r="EVS45" s="100"/>
      <c r="EVT45" s="100"/>
      <c r="EVU45" s="100"/>
      <c r="EVV45" s="100"/>
      <c r="EVW45" s="100"/>
      <c r="EVX45" s="100"/>
      <c r="EVY45" s="100"/>
      <c r="EVZ45" s="100"/>
      <c r="EWA45" s="100"/>
      <c r="EWB45" s="100"/>
      <c r="EWC45" s="100"/>
      <c r="EWD45" s="100"/>
      <c r="EWE45" s="100"/>
      <c r="EWF45" s="100"/>
      <c r="EWG45" s="100"/>
      <c r="EWH45" s="100"/>
      <c r="EWI45" s="100"/>
      <c r="EWJ45" s="100"/>
      <c r="EWK45" s="100"/>
      <c r="EWL45" s="100"/>
      <c r="EWM45" s="100"/>
      <c r="EWN45" s="100"/>
      <c r="EWO45" s="100"/>
      <c r="EWP45" s="100"/>
      <c r="EWQ45" s="100"/>
      <c r="EWR45" s="100"/>
      <c r="EWS45" s="100"/>
      <c r="EWT45" s="100"/>
      <c r="EWU45" s="100"/>
      <c r="EWV45" s="100"/>
      <c r="EWW45" s="100"/>
      <c r="EWX45" s="100"/>
      <c r="EWY45" s="100"/>
      <c r="EWZ45" s="100"/>
      <c r="EXA45" s="100"/>
      <c r="EXB45" s="100"/>
      <c r="EXC45" s="100"/>
      <c r="EXD45" s="100"/>
      <c r="EXE45" s="100"/>
      <c r="EXF45" s="100"/>
      <c r="EXG45" s="100"/>
      <c r="EXH45" s="100"/>
      <c r="EXI45" s="100"/>
      <c r="EXJ45" s="100"/>
      <c r="EXK45" s="100"/>
      <c r="EXL45" s="100"/>
      <c r="EXM45" s="100"/>
      <c r="EXN45" s="100"/>
      <c r="EXO45" s="100"/>
      <c r="EXP45" s="100"/>
      <c r="EXQ45" s="100"/>
      <c r="EXR45" s="100"/>
      <c r="EXS45" s="100"/>
      <c r="EXT45" s="100"/>
      <c r="EXU45" s="100"/>
      <c r="EXV45" s="100"/>
      <c r="EXW45" s="100"/>
      <c r="EXX45" s="100"/>
      <c r="EXY45" s="100"/>
      <c r="EXZ45" s="100"/>
      <c r="EYA45" s="100"/>
      <c r="EYB45" s="100"/>
      <c r="EYC45" s="100"/>
      <c r="EYD45" s="100"/>
      <c r="EYE45" s="100"/>
      <c r="EYF45" s="100"/>
      <c r="EYG45" s="100"/>
      <c r="EYH45" s="100"/>
      <c r="EYI45" s="100"/>
      <c r="EYJ45" s="100"/>
      <c r="EYK45" s="100"/>
      <c r="EYL45" s="100"/>
      <c r="EYM45" s="100"/>
      <c r="EYN45" s="100"/>
      <c r="EYO45" s="100"/>
      <c r="EYP45" s="100"/>
      <c r="EYQ45" s="100"/>
      <c r="EYR45" s="100"/>
      <c r="EYS45" s="100"/>
      <c r="EYT45" s="100"/>
      <c r="EYU45" s="100"/>
      <c r="EYV45" s="100"/>
      <c r="EYW45" s="100"/>
      <c r="EYX45" s="100"/>
      <c r="EYY45" s="100"/>
      <c r="EYZ45" s="100"/>
      <c r="EZA45" s="100"/>
      <c r="EZB45" s="100"/>
      <c r="EZC45" s="100"/>
      <c r="EZD45" s="100"/>
      <c r="EZE45" s="100"/>
      <c r="EZF45" s="100"/>
      <c r="EZG45" s="100"/>
      <c r="EZH45" s="100"/>
      <c r="EZI45" s="100"/>
      <c r="EZJ45" s="100"/>
      <c r="EZK45" s="100"/>
      <c r="EZL45" s="100"/>
      <c r="EZM45" s="100"/>
      <c r="EZN45" s="100"/>
      <c r="EZO45" s="100"/>
      <c r="EZP45" s="100"/>
      <c r="EZQ45" s="100"/>
      <c r="EZR45" s="100"/>
      <c r="EZS45" s="100"/>
      <c r="EZT45" s="100"/>
      <c r="EZU45" s="100"/>
      <c r="EZV45" s="100"/>
      <c r="EZW45" s="100"/>
      <c r="EZX45" s="100"/>
      <c r="EZY45" s="100"/>
      <c r="EZZ45" s="100"/>
      <c r="FAA45" s="100"/>
      <c r="FAB45" s="100"/>
      <c r="FAC45" s="100"/>
      <c r="FAD45" s="100"/>
      <c r="FAE45" s="100"/>
      <c r="FAF45" s="100"/>
      <c r="FAG45" s="100"/>
      <c r="FAH45" s="100"/>
      <c r="FAI45" s="100"/>
      <c r="FAJ45" s="100"/>
      <c r="FAK45" s="100"/>
      <c r="FAL45" s="100"/>
      <c r="FAM45" s="100"/>
      <c r="FAN45" s="100"/>
      <c r="FAO45" s="100"/>
      <c r="FAP45" s="100"/>
      <c r="FAQ45" s="100"/>
      <c r="FAR45" s="100"/>
      <c r="FAS45" s="100"/>
      <c r="FAT45" s="100"/>
      <c r="FAU45" s="100"/>
      <c r="FAV45" s="100"/>
      <c r="FAW45" s="100"/>
      <c r="FAX45" s="100"/>
      <c r="FAY45" s="100"/>
      <c r="FAZ45" s="100"/>
      <c r="FBA45" s="100"/>
      <c r="FBB45" s="100"/>
      <c r="FBC45" s="100"/>
      <c r="FBD45" s="100"/>
      <c r="FBE45" s="100"/>
      <c r="FBF45" s="100"/>
      <c r="FBG45" s="100"/>
      <c r="FBH45" s="100"/>
      <c r="FBI45" s="100"/>
      <c r="FBJ45" s="100"/>
      <c r="FBK45" s="100"/>
      <c r="FBL45" s="100"/>
      <c r="FBM45" s="100"/>
      <c r="FBN45" s="100"/>
      <c r="FBO45" s="100"/>
      <c r="FBP45" s="100"/>
      <c r="FBQ45" s="100"/>
      <c r="FBR45" s="100"/>
      <c r="FBS45" s="100"/>
      <c r="FBT45" s="100"/>
      <c r="FBU45" s="100"/>
      <c r="FBV45" s="100"/>
      <c r="FBW45" s="100"/>
      <c r="FBX45" s="100"/>
      <c r="FBY45" s="100"/>
      <c r="FBZ45" s="100"/>
      <c r="FCA45" s="100"/>
      <c r="FCB45" s="100"/>
      <c r="FCC45" s="100"/>
      <c r="FCD45" s="100"/>
      <c r="FCE45" s="100"/>
      <c r="FCF45" s="100"/>
      <c r="FCG45" s="100"/>
      <c r="FCH45" s="100"/>
      <c r="FCI45" s="100"/>
      <c r="FCJ45" s="100"/>
      <c r="FCK45" s="100"/>
      <c r="FCL45" s="100"/>
      <c r="FCM45" s="100"/>
      <c r="FCN45" s="100"/>
      <c r="FCO45" s="100"/>
      <c r="FCP45" s="100"/>
      <c r="FCQ45" s="100"/>
      <c r="FCR45" s="100"/>
      <c r="FCS45" s="100"/>
      <c r="FCT45" s="100"/>
      <c r="FCU45" s="100"/>
      <c r="FCV45" s="100"/>
      <c r="FCW45" s="100"/>
      <c r="FCX45" s="100"/>
      <c r="FCY45" s="100"/>
      <c r="FCZ45" s="100"/>
      <c r="FDA45" s="100"/>
      <c r="FDB45" s="100"/>
      <c r="FDC45" s="100"/>
      <c r="FDD45" s="100"/>
      <c r="FDE45" s="100"/>
      <c r="FDF45" s="100"/>
      <c r="FDG45" s="100"/>
      <c r="FDH45" s="100"/>
      <c r="FDI45" s="100"/>
      <c r="FDJ45" s="100"/>
      <c r="FDK45" s="100"/>
      <c r="FDL45" s="100"/>
      <c r="FDM45" s="100"/>
      <c r="FDN45" s="100"/>
      <c r="FDO45" s="100"/>
      <c r="FDP45" s="100"/>
      <c r="FDQ45" s="100"/>
      <c r="FDR45" s="100"/>
      <c r="FDS45" s="100"/>
      <c r="FDT45" s="100"/>
      <c r="FDU45" s="100"/>
      <c r="FDV45" s="100"/>
      <c r="FDW45" s="100"/>
      <c r="FDX45" s="100"/>
      <c r="FDY45" s="100"/>
      <c r="FDZ45" s="100"/>
      <c r="FEA45" s="100"/>
      <c r="FEB45" s="100"/>
      <c r="FEC45" s="100"/>
      <c r="FED45" s="100"/>
      <c r="FEE45" s="100"/>
      <c r="FEF45" s="100"/>
      <c r="FEG45" s="100"/>
      <c r="FEH45" s="100"/>
      <c r="FEI45" s="100"/>
      <c r="FEJ45" s="100"/>
      <c r="FEK45" s="100"/>
      <c r="FEL45" s="100"/>
      <c r="FEM45" s="100"/>
      <c r="FEN45" s="100"/>
      <c r="FEO45" s="100"/>
      <c r="FEP45" s="100"/>
      <c r="FEQ45" s="100"/>
      <c r="FER45" s="100"/>
      <c r="FES45" s="100"/>
      <c r="FET45" s="100"/>
      <c r="FEU45" s="100"/>
      <c r="FEV45" s="100"/>
      <c r="FEW45" s="100"/>
      <c r="FEX45" s="100"/>
      <c r="FEY45" s="100"/>
      <c r="FEZ45" s="100"/>
      <c r="FFA45" s="100"/>
      <c r="FFB45" s="100"/>
      <c r="FFC45" s="100"/>
      <c r="FFD45" s="100"/>
      <c r="FFE45" s="100"/>
      <c r="FFF45" s="100"/>
      <c r="FFG45" s="100"/>
      <c r="FFH45" s="100"/>
      <c r="FFI45" s="100"/>
      <c r="FFJ45" s="100"/>
      <c r="FFK45" s="100"/>
      <c r="FFL45" s="100"/>
      <c r="FFM45" s="100"/>
      <c r="FFN45" s="100"/>
      <c r="FFO45" s="100"/>
      <c r="FFP45" s="100"/>
      <c r="FFQ45" s="100"/>
      <c r="FFR45" s="100"/>
      <c r="FFS45" s="100"/>
      <c r="FFT45" s="100"/>
      <c r="FFU45" s="100"/>
      <c r="FFV45" s="100"/>
      <c r="FFW45" s="100"/>
      <c r="FFX45" s="100"/>
      <c r="FFY45" s="100"/>
      <c r="FFZ45" s="100"/>
      <c r="FGA45" s="100"/>
      <c r="FGB45" s="100"/>
      <c r="FGC45" s="100"/>
      <c r="FGD45" s="100"/>
      <c r="FGE45" s="100"/>
      <c r="FGF45" s="100"/>
      <c r="FGG45" s="100"/>
      <c r="FGH45" s="100"/>
      <c r="FGI45" s="100"/>
      <c r="FGJ45" s="100"/>
      <c r="FGK45" s="100"/>
      <c r="FGL45" s="100"/>
      <c r="FGM45" s="100"/>
      <c r="FGN45" s="100"/>
      <c r="FGO45" s="100"/>
      <c r="FGP45" s="100"/>
      <c r="FGQ45" s="100"/>
      <c r="FGR45" s="100"/>
      <c r="FGS45" s="100"/>
      <c r="FGT45" s="100"/>
      <c r="FGU45" s="100"/>
      <c r="FGV45" s="100"/>
      <c r="FGW45" s="100"/>
      <c r="FGX45" s="100"/>
      <c r="FGY45" s="100"/>
      <c r="FGZ45" s="100"/>
      <c r="FHA45" s="100"/>
      <c r="FHB45" s="100"/>
      <c r="FHC45" s="100"/>
      <c r="FHD45" s="100"/>
      <c r="FHE45" s="100"/>
      <c r="FHF45" s="100"/>
      <c r="FHG45" s="100"/>
      <c r="FHH45" s="100"/>
      <c r="FHI45" s="100"/>
      <c r="FHJ45" s="100"/>
      <c r="FHK45" s="100"/>
      <c r="FHL45" s="100"/>
      <c r="FHM45" s="100"/>
      <c r="FHN45" s="100"/>
      <c r="FHO45" s="100"/>
      <c r="FHP45" s="100"/>
      <c r="FHQ45" s="100"/>
      <c r="FHR45" s="100"/>
      <c r="FHS45" s="100"/>
      <c r="FHT45" s="100"/>
      <c r="FHU45" s="100"/>
      <c r="FHV45" s="100"/>
      <c r="FHW45" s="100"/>
      <c r="FHX45" s="100"/>
      <c r="FHY45" s="100"/>
      <c r="FHZ45" s="100"/>
      <c r="FIA45" s="100"/>
      <c r="FIB45" s="100"/>
      <c r="FIC45" s="100"/>
      <c r="FID45" s="100"/>
      <c r="FIE45" s="100"/>
      <c r="FIF45" s="100"/>
      <c r="FIG45" s="100"/>
      <c r="FIH45" s="100"/>
      <c r="FII45" s="100"/>
      <c r="FIJ45" s="100"/>
      <c r="FIK45" s="100"/>
      <c r="FIL45" s="100"/>
      <c r="FIM45" s="100"/>
      <c r="FIN45" s="100"/>
      <c r="FIO45" s="100"/>
      <c r="FIP45" s="100"/>
      <c r="FIQ45" s="100"/>
      <c r="FIR45" s="100"/>
      <c r="FIS45" s="100"/>
      <c r="FIT45" s="100"/>
      <c r="FIU45" s="100"/>
      <c r="FIV45" s="100"/>
      <c r="FIW45" s="100"/>
      <c r="FIX45" s="100"/>
      <c r="FIY45" s="100"/>
      <c r="FIZ45" s="100"/>
      <c r="FJA45" s="100"/>
      <c r="FJB45" s="100"/>
      <c r="FJC45" s="100"/>
      <c r="FJD45" s="100"/>
      <c r="FJE45" s="100"/>
      <c r="FJF45" s="100"/>
      <c r="FJG45" s="100"/>
      <c r="FJH45" s="100"/>
      <c r="FJI45" s="100"/>
      <c r="FJJ45" s="100"/>
      <c r="FJK45" s="100"/>
      <c r="FJL45" s="100"/>
      <c r="FJM45" s="100"/>
      <c r="FJN45" s="100"/>
      <c r="FJO45" s="100"/>
      <c r="FJP45" s="100"/>
      <c r="FJQ45" s="100"/>
      <c r="FJR45" s="100"/>
      <c r="FJS45" s="100"/>
      <c r="FJT45" s="100"/>
      <c r="FJU45" s="100"/>
      <c r="FJV45" s="100"/>
      <c r="FJW45" s="100"/>
      <c r="FJX45" s="100"/>
      <c r="FJY45" s="100"/>
      <c r="FJZ45" s="100"/>
      <c r="FKA45" s="100"/>
      <c r="FKB45" s="100"/>
      <c r="FKC45" s="100"/>
      <c r="FKD45" s="100"/>
      <c r="FKE45" s="100"/>
      <c r="FKF45" s="100"/>
      <c r="FKG45" s="100"/>
      <c r="FKH45" s="100"/>
      <c r="FKI45" s="100"/>
      <c r="FKJ45" s="100"/>
      <c r="FKK45" s="100"/>
      <c r="FKL45" s="100"/>
      <c r="FKM45" s="100"/>
      <c r="FKN45" s="100"/>
      <c r="FKO45" s="100"/>
      <c r="FKP45" s="100"/>
      <c r="FKQ45" s="100"/>
      <c r="FKR45" s="100"/>
      <c r="FKS45" s="100"/>
      <c r="FKT45" s="100"/>
      <c r="FKU45" s="100"/>
      <c r="FKV45" s="100"/>
      <c r="FKW45" s="100"/>
      <c r="FKX45" s="100"/>
      <c r="FKY45" s="100"/>
      <c r="FKZ45" s="100"/>
      <c r="FLA45" s="100"/>
      <c r="FLB45" s="100"/>
      <c r="FLC45" s="100"/>
      <c r="FLD45" s="100"/>
      <c r="FLE45" s="100"/>
      <c r="FLF45" s="100"/>
      <c r="FLG45" s="100"/>
      <c r="FLH45" s="100"/>
      <c r="FLI45" s="100"/>
      <c r="FLJ45" s="100"/>
      <c r="FLK45" s="100"/>
      <c r="FLL45" s="100"/>
      <c r="FLM45" s="100"/>
      <c r="FLN45" s="100"/>
      <c r="FLO45" s="100"/>
      <c r="FLP45" s="100"/>
      <c r="FLQ45" s="100"/>
      <c r="FLR45" s="100"/>
      <c r="FLS45" s="100"/>
      <c r="FLT45" s="100"/>
      <c r="FLU45" s="100"/>
      <c r="FLV45" s="100"/>
      <c r="FLW45" s="100"/>
      <c r="FLX45" s="100"/>
      <c r="FLY45" s="100"/>
      <c r="FLZ45" s="100"/>
      <c r="FMA45" s="100"/>
      <c r="FMB45" s="100"/>
      <c r="FMC45" s="100"/>
      <c r="FMD45" s="100"/>
      <c r="FME45" s="100"/>
      <c r="FMF45" s="100"/>
      <c r="FMG45" s="100"/>
      <c r="FMH45" s="100"/>
      <c r="FMI45" s="100"/>
      <c r="FMJ45" s="100"/>
      <c r="FMK45" s="100"/>
      <c r="FML45" s="100"/>
      <c r="FMM45" s="100"/>
      <c r="FMN45" s="100"/>
      <c r="FMO45" s="100"/>
      <c r="FMP45" s="100"/>
      <c r="FMQ45" s="100"/>
      <c r="FMR45" s="100"/>
      <c r="FMS45" s="100"/>
      <c r="FMT45" s="100"/>
      <c r="FMU45" s="100"/>
      <c r="FMV45" s="100"/>
      <c r="FMW45" s="100"/>
      <c r="FMX45" s="100"/>
      <c r="FMY45" s="100"/>
      <c r="FMZ45" s="100"/>
      <c r="FNA45" s="100"/>
      <c r="FNB45" s="100"/>
      <c r="FNC45" s="100"/>
      <c r="FND45" s="100"/>
      <c r="FNE45" s="100"/>
      <c r="FNF45" s="100"/>
      <c r="FNG45" s="100"/>
      <c r="FNH45" s="100"/>
      <c r="FNI45" s="100"/>
      <c r="FNJ45" s="100"/>
      <c r="FNK45" s="100"/>
      <c r="FNL45" s="100"/>
      <c r="FNM45" s="100"/>
      <c r="FNN45" s="100"/>
      <c r="FNO45" s="100"/>
      <c r="FNP45" s="100"/>
      <c r="FNQ45" s="100"/>
      <c r="FNR45" s="100"/>
      <c r="FNS45" s="100"/>
      <c r="FNT45" s="100"/>
      <c r="FNU45" s="100"/>
      <c r="FNV45" s="100"/>
      <c r="FNW45" s="100"/>
      <c r="FNX45" s="100"/>
      <c r="FNY45" s="100"/>
      <c r="FNZ45" s="100"/>
      <c r="FOA45" s="100"/>
      <c r="FOB45" s="100"/>
      <c r="FOC45" s="100"/>
      <c r="FOD45" s="100"/>
      <c r="FOE45" s="100"/>
      <c r="FOF45" s="100"/>
      <c r="FOG45" s="100"/>
      <c r="FOH45" s="100"/>
      <c r="FOI45" s="100"/>
      <c r="FOJ45" s="100"/>
      <c r="FOK45" s="100"/>
      <c r="FOL45" s="100"/>
      <c r="FOM45" s="100"/>
      <c r="FON45" s="100"/>
      <c r="FOO45" s="100"/>
      <c r="FOP45" s="100"/>
      <c r="FOQ45" s="100"/>
      <c r="FOR45" s="100"/>
      <c r="FOS45" s="100"/>
      <c r="FOT45" s="100"/>
      <c r="FOU45" s="100"/>
      <c r="FOV45" s="100"/>
      <c r="FOW45" s="100"/>
      <c r="FOX45" s="100"/>
      <c r="FOY45" s="100"/>
      <c r="FOZ45" s="100"/>
      <c r="FPA45" s="100"/>
      <c r="FPB45" s="100"/>
      <c r="FPC45" s="100"/>
      <c r="FPD45" s="100"/>
      <c r="FPE45" s="100"/>
      <c r="FPF45" s="100"/>
      <c r="FPG45" s="100"/>
      <c r="FPH45" s="100"/>
      <c r="FPI45" s="100"/>
      <c r="FPJ45" s="100"/>
      <c r="FPK45" s="100"/>
      <c r="FPL45" s="100"/>
      <c r="FPM45" s="100"/>
      <c r="FPN45" s="100"/>
      <c r="FPO45" s="100"/>
      <c r="FPP45" s="100"/>
      <c r="FPQ45" s="100"/>
      <c r="FPR45" s="100"/>
      <c r="FPS45" s="100"/>
      <c r="FPT45" s="100"/>
      <c r="FPU45" s="100"/>
      <c r="FPV45" s="100"/>
      <c r="FPW45" s="100"/>
      <c r="FPX45" s="100"/>
      <c r="FPY45" s="100"/>
      <c r="FPZ45" s="100"/>
      <c r="FQA45" s="100"/>
      <c r="FQB45" s="100"/>
      <c r="FQC45" s="100"/>
      <c r="FQD45" s="100"/>
      <c r="FQE45" s="100"/>
      <c r="FQF45" s="100"/>
      <c r="FQG45" s="100"/>
      <c r="FQH45" s="100"/>
      <c r="FQI45" s="100"/>
      <c r="FQJ45" s="100"/>
      <c r="FQK45" s="100"/>
      <c r="FQL45" s="100"/>
      <c r="FQM45" s="100"/>
      <c r="FQN45" s="100"/>
      <c r="FQO45" s="100"/>
      <c r="FQP45" s="100"/>
      <c r="FQQ45" s="100"/>
      <c r="FQR45" s="100"/>
      <c r="FQS45" s="100"/>
      <c r="FQT45" s="100"/>
      <c r="FQU45" s="100"/>
      <c r="FQV45" s="100"/>
      <c r="FQW45" s="100"/>
      <c r="FQX45" s="100"/>
      <c r="FQY45" s="100"/>
      <c r="FQZ45" s="100"/>
      <c r="FRA45" s="100"/>
      <c r="FRB45" s="100"/>
      <c r="FRC45" s="100"/>
      <c r="FRD45" s="100"/>
      <c r="FRE45" s="100"/>
      <c r="FRF45" s="100"/>
      <c r="FRG45" s="100"/>
      <c r="FRH45" s="100"/>
      <c r="FRI45" s="100"/>
      <c r="FRJ45" s="100"/>
      <c r="FRK45" s="100"/>
      <c r="FRL45" s="100"/>
      <c r="FRM45" s="100"/>
      <c r="FRN45" s="100"/>
      <c r="FRO45" s="100"/>
      <c r="FRP45" s="100"/>
      <c r="FRQ45" s="100"/>
      <c r="FRR45" s="100"/>
      <c r="FRS45" s="100"/>
      <c r="FRT45" s="100"/>
      <c r="FRU45" s="100"/>
      <c r="FRV45" s="100"/>
      <c r="FRW45" s="100"/>
      <c r="FRX45" s="100"/>
      <c r="FRY45" s="100"/>
      <c r="FRZ45" s="100"/>
      <c r="FSA45" s="100"/>
      <c r="FSB45" s="100"/>
      <c r="FSC45" s="100"/>
      <c r="FSD45" s="100"/>
      <c r="FSE45" s="100"/>
      <c r="FSF45" s="100"/>
      <c r="FSG45" s="100"/>
      <c r="FSH45" s="100"/>
      <c r="FSI45" s="100"/>
      <c r="FSJ45" s="100"/>
      <c r="FSK45" s="100"/>
      <c r="FSL45" s="100"/>
      <c r="FSM45" s="100"/>
      <c r="FSN45" s="100"/>
      <c r="FSO45" s="100"/>
      <c r="FSP45" s="100"/>
      <c r="FSQ45" s="100"/>
      <c r="FSR45" s="100"/>
      <c r="FSS45" s="100"/>
      <c r="FST45" s="100"/>
      <c r="FSU45" s="100"/>
      <c r="FSV45" s="100"/>
      <c r="FSW45" s="100"/>
      <c r="FSX45" s="100"/>
      <c r="FSY45" s="100"/>
      <c r="FSZ45" s="100"/>
      <c r="FTA45" s="100"/>
      <c r="FTB45" s="100"/>
      <c r="FTC45" s="100"/>
      <c r="FTD45" s="100"/>
      <c r="FTE45" s="100"/>
      <c r="FTF45" s="100"/>
      <c r="FTG45" s="100"/>
      <c r="FTH45" s="100"/>
      <c r="FTI45" s="100"/>
      <c r="FTJ45" s="100"/>
      <c r="FTK45" s="100"/>
      <c r="FTL45" s="100"/>
      <c r="FTM45" s="100"/>
      <c r="FTN45" s="100"/>
      <c r="FTO45" s="100"/>
      <c r="FTP45" s="100"/>
      <c r="FTQ45" s="100"/>
      <c r="FTR45" s="100"/>
      <c r="FTS45" s="100"/>
      <c r="FTT45" s="100"/>
      <c r="FTU45" s="100"/>
      <c r="FTV45" s="100"/>
      <c r="FTW45" s="100"/>
      <c r="FTX45" s="100"/>
      <c r="FTY45" s="100"/>
      <c r="FTZ45" s="100"/>
      <c r="FUA45" s="100"/>
      <c r="FUB45" s="100"/>
      <c r="FUC45" s="100"/>
      <c r="FUD45" s="100"/>
      <c r="FUE45" s="100"/>
      <c r="FUF45" s="100"/>
      <c r="FUG45" s="100"/>
      <c r="FUH45" s="100"/>
      <c r="FUI45" s="100"/>
      <c r="FUJ45" s="100"/>
      <c r="FUK45" s="100"/>
      <c r="FUL45" s="100"/>
      <c r="FUM45" s="100"/>
      <c r="FUN45" s="100"/>
      <c r="FUO45" s="100"/>
      <c r="FUP45" s="100"/>
      <c r="FUQ45" s="100"/>
      <c r="FUR45" s="100"/>
      <c r="FUS45" s="100"/>
      <c r="FUT45" s="100"/>
      <c r="FUU45" s="100"/>
      <c r="FUV45" s="100"/>
      <c r="FUW45" s="100"/>
      <c r="FUX45" s="100"/>
      <c r="FUY45" s="100"/>
      <c r="FUZ45" s="100"/>
      <c r="FVA45" s="100"/>
      <c r="FVB45" s="100"/>
      <c r="FVC45" s="100"/>
      <c r="FVD45" s="100"/>
      <c r="FVE45" s="100"/>
      <c r="FVF45" s="100"/>
      <c r="FVG45" s="100"/>
      <c r="FVH45" s="100"/>
      <c r="FVI45" s="100"/>
      <c r="FVJ45" s="100"/>
      <c r="FVK45" s="100"/>
      <c r="FVL45" s="100"/>
      <c r="FVM45" s="100"/>
      <c r="FVN45" s="100"/>
      <c r="FVO45" s="100"/>
      <c r="FVP45" s="100"/>
      <c r="FVQ45" s="100"/>
      <c r="FVR45" s="100"/>
      <c r="FVS45" s="100"/>
      <c r="FVT45" s="100"/>
      <c r="FVU45" s="100"/>
      <c r="FVV45" s="100"/>
      <c r="FVW45" s="100"/>
      <c r="FVX45" s="100"/>
      <c r="FVY45" s="100"/>
      <c r="FVZ45" s="100"/>
      <c r="FWA45" s="100"/>
      <c r="FWB45" s="100"/>
      <c r="FWC45" s="100"/>
      <c r="FWD45" s="100"/>
      <c r="FWE45" s="100"/>
      <c r="FWF45" s="100"/>
      <c r="FWG45" s="100"/>
      <c r="FWH45" s="100"/>
      <c r="FWI45" s="100"/>
      <c r="FWJ45" s="100"/>
      <c r="FWK45" s="100"/>
      <c r="FWL45" s="100"/>
      <c r="FWM45" s="100"/>
      <c r="FWN45" s="100"/>
      <c r="FWO45" s="100"/>
      <c r="FWP45" s="100"/>
      <c r="FWQ45" s="100"/>
      <c r="FWR45" s="100"/>
      <c r="FWS45" s="100"/>
      <c r="FWT45" s="100"/>
      <c r="FWU45" s="100"/>
      <c r="FWV45" s="100"/>
      <c r="FWW45" s="100"/>
      <c r="FWX45" s="100"/>
      <c r="FWY45" s="100"/>
      <c r="FWZ45" s="100"/>
      <c r="FXA45" s="100"/>
      <c r="FXB45" s="100"/>
      <c r="FXC45" s="100"/>
      <c r="FXD45" s="100"/>
      <c r="FXE45" s="100"/>
      <c r="FXF45" s="100"/>
      <c r="FXG45" s="100"/>
      <c r="FXH45" s="100"/>
      <c r="FXI45" s="100"/>
      <c r="FXJ45" s="100"/>
      <c r="FXK45" s="100"/>
      <c r="FXL45" s="100"/>
      <c r="FXM45" s="100"/>
      <c r="FXN45" s="100"/>
      <c r="FXO45" s="100"/>
      <c r="FXP45" s="100"/>
      <c r="FXQ45" s="100"/>
      <c r="FXR45" s="100"/>
      <c r="FXS45" s="100"/>
      <c r="FXT45" s="100"/>
      <c r="FXU45" s="100"/>
      <c r="FXV45" s="100"/>
      <c r="FXW45" s="100"/>
      <c r="FXX45" s="100"/>
      <c r="FXY45" s="100"/>
      <c r="FXZ45" s="100"/>
      <c r="FYA45" s="100"/>
      <c r="FYB45" s="100"/>
      <c r="FYC45" s="100"/>
      <c r="FYD45" s="100"/>
      <c r="FYE45" s="100"/>
      <c r="FYF45" s="100"/>
      <c r="FYG45" s="100"/>
      <c r="FYH45" s="100"/>
      <c r="FYI45" s="100"/>
      <c r="FYJ45" s="100"/>
      <c r="FYK45" s="100"/>
      <c r="FYL45" s="100"/>
      <c r="FYM45" s="100"/>
      <c r="FYN45" s="100"/>
      <c r="FYO45" s="100"/>
      <c r="FYP45" s="100"/>
      <c r="FYQ45" s="100"/>
      <c r="FYR45" s="100"/>
      <c r="FYS45" s="100"/>
      <c r="FYT45" s="100"/>
      <c r="FYU45" s="100"/>
      <c r="FYV45" s="100"/>
      <c r="FYW45" s="100"/>
      <c r="FYX45" s="100"/>
      <c r="FYY45" s="100"/>
      <c r="FYZ45" s="100"/>
      <c r="FZA45" s="100"/>
      <c r="FZB45" s="100"/>
      <c r="FZC45" s="100"/>
      <c r="FZD45" s="100"/>
      <c r="FZE45" s="100"/>
      <c r="FZF45" s="100"/>
      <c r="FZG45" s="100"/>
      <c r="FZH45" s="100"/>
      <c r="FZI45" s="100"/>
      <c r="FZJ45" s="100"/>
      <c r="FZK45" s="100"/>
      <c r="FZL45" s="100"/>
      <c r="FZM45" s="100"/>
      <c r="FZN45" s="100"/>
      <c r="FZO45" s="100"/>
      <c r="FZP45" s="100"/>
      <c r="FZQ45" s="100"/>
      <c r="FZR45" s="100"/>
      <c r="FZS45" s="100"/>
      <c r="FZT45" s="100"/>
      <c r="FZU45" s="100"/>
      <c r="FZV45" s="100"/>
      <c r="FZW45" s="100"/>
      <c r="FZX45" s="100"/>
      <c r="FZY45" s="100"/>
      <c r="FZZ45" s="100"/>
      <c r="GAA45" s="100"/>
      <c r="GAB45" s="100"/>
      <c r="GAC45" s="100"/>
      <c r="GAD45" s="100"/>
      <c r="GAE45" s="100"/>
      <c r="GAF45" s="100"/>
      <c r="GAG45" s="100"/>
      <c r="GAH45" s="100"/>
      <c r="GAI45" s="100"/>
      <c r="GAJ45" s="100"/>
      <c r="GAK45" s="100"/>
      <c r="GAL45" s="100"/>
      <c r="GAM45" s="100"/>
      <c r="GAN45" s="100"/>
      <c r="GAO45" s="100"/>
      <c r="GAP45" s="100"/>
      <c r="GAQ45" s="100"/>
      <c r="GAR45" s="100"/>
      <c r="GAS45" s="100"/>
      <c r="GAT45" s="100"/>
      <c r="GAU45" s="100"/>
      <c r="GAV45" s="100"/>
      <c r="GAW45" s="100"/>
      <c r="GAX45" s="100"/>
      <c r="GAY45" s="100"/>
      <c r="GAZ45" s="100"/>
      <c r="GBA45" s="100"/>
      <c r="GBB45" s="100"/>
      <c r="GBC45" s="100"/>
      <c r="GBD45" s="100"/>
      <c r="GBE45" s="100"/>
      <c r="GBF45" s="100"/>
      <c r="GBG45" s="100"/>
      <c r="GBH45" s="100"/>
      <c r="GBI45" s="100"/>
      <c r="GBJ45" s="100"/>
      <c r="GBK45" s="100"/>
      <c r="GBL45" s="100"/>
      <c r="GBM45" s="100"/>
      <c r="GBN45" s="100"/>
      <c r="GBO45" s="100"/>
      <c r="GBP45" s="100"/>
      <c r="GBQ45" s="100"/>
      <c r="GBR45" s="100"/>
      <c r="GBS45" s="100"/>
      <c r="GBT45" s="100"/>
      <c r="GBU45" s="100"/>
      <c r="GBV45" s="100"/>
      <c r="GBW45" s="100"/>
      <c r="GBX45" s="100"/>
      <c r="GBY45" s="100"/>
      <c r="GBZ45" s="100"/>
      <c r="GCA45" s="100"/>
      <c r="GCB45" s="100"/>
      <c r="GCC45" s="100"/>
      <c r="GCD45" s="100"/>
      <c r="GCE45" s="100"/>
      <c r="GCF45" s="100"/>
      <c r="GCG45" s="100"/>
      <c r="GCH45" s="100"/>
      <c r="GCI45" s="100"/>
      <c r="GCJ45" s="100"/>
      <c r="GCK45" s="100"/>
      <c r="GCL45" s="100"/>
      <c r="GCM45" s="100"/>
      <c r="GCN45" s="100"/>
      <c r="GCO45" s="100"/>
      <c r="GCP45" s="100"/>
      <c r="GCQ45" s="100"/>
      <c r="GCR45" s="100"/>
      <c r="GCS45" s="100"/>
      <c r="GCT45" s="100"/>
      <c r="GCU45" s="100"/>
      <c r="GCV45" s="100"/>
      <c r="GCW45" s="100"/>
      <c r="GCX45" s="100"/>
      <c r="GCY45" s="100"/>
      <c r="GCZ45" s="100"/>
      <c r="GDA45" s="100"/>
      <c r="GDB45" s="100"/>
      <c r="GDC45" s="100"/>
      <c r="GDD45" s="100"/>
      <c r="GDE45" s="100"/>
      <c r="GDF45" s="100"/>
      <c r="GDG45" s="100"/>
      <c r="GDH45" s="100"/>
      <c r="GDI45" s="100"/>
      <c r="GDJ45" s="100"/>
      <c r="GDK45" s="100"/>
      <c r="GDL45" s="100"/>
      <c r="GDM45" s="100"/>
      <c r="GDN45" s="100"/>
      <c r="GDO45" s="100"/>
      <c r="GDP45" s="100"/>
      <c r="GDQ45" s="100"/>
      <c r="GDR45" s="100"/>
      <c r="GDS45" s="100"/>
      <c r="GDT45" s="100"/>
      <c r="GDU45" s="100"/>
      <c r="GDV45" s="100"/>
      <c r="GDW45" s="100"/>
      <c r="GDX45" s="100"/>
      <c r="GDY45" s="100"/>
      <c r="GDZ45" s="100"/>
      <c r="GEA45" s="100"/>
      <c r="GEB45" s="100"/>
      <c r="GEC45" s="100"/>
      <c r="GED45" s="100"/>
      <c r="GEE45" s="100"/>
      <c r="GEF45" s="100"/>
      <c r="GEG45" s="100"/>
      <c r="GEH45" s="100"/>
      <c r="GEI45" s="100"/>
      <c r="GEJ45" s="100"/>
      <c r="GEK45" s="100"/>
      <c r="GEL45" s="100"/>
      <c r="GEM45" s="100"/>
      <c r="GEN45" s="100"/>
      <c r="GEO45" s="100"/>
      <c r="GEP45" s="100"/>
      <c r="GEQ45" s="100"/>
      <c r="GER45" s="100"/>
      <c r="GES45" s="100"/>
      <c r="GET45" s="100"/>
      <c r="GEU45" s="100"/>
      <c r="GEV45" s="100"/>
      <c r="GEW45" s="100"/>
      <c r="GEX45" s="100"/>
      <c r="GEY45" s="100"/>
      <c r="GEZ45" s="100"/>
      <c r="GFA45" s="100"/>
      <c r="GFB45" s="100"/>
      <c r="GFC45" s="100"/>
      <c r="GFD45" s="100"/>
      <c r="GFE45" s="100"/>
      <c r="GFF45" s="100"/>
      <c r="GFG45" s="100"/>
      <c r="GFH45" s="100"/>
      <c r="GFI45" s="100"/>
      <c r="GFJ45" s="100"/>
      <c r="GFK45" s="100"/>
      <c r="GFL45" s="100"/>
      <c r="GFM45" s="100"/>
      <c r="GFN45" s="100"/>
      <c r="GFO45" s="100"/>
      <c r="GFP45" s="100"/>
      <c r="GFQ45" s="100"/>
      <c r="GFR45" s="100"/>
      <c r="GFS45" s="100"/>
      <c r="GFT45" s="100"/>
      <c r="GFU45" s="100"/>
      <c r="GFV45" s="100"/>
      <c r="GFW45" s="100"/>
      <c r="GFX45" s="100"/>
      <c r="GFY45" s="100"/>
      <c r="GFZ45" s="100"/>
      <c r="GGA45" s="100"/>
      <c r="GGB45" s="100"/>
      <c r="GGC45" s="100"/>
      <c r="GGD45" s="100"/>
      <c r="GGE45" s="100"/>
      <c r="GGF45" s="100"/>
      <c r="GGG45" s="100"/>
      <c r="GGH45" s="100"/>
      <c r="GGI45" s="100"/>
      <c r="GGJ45" s="100"/>
      <c r="GGK45" s="100"/>
      <c r="GGL45" s="100"/>
      <c r="GGM45" s="100"/>
      <c r="GGN45" s="100"/>
      <c r="GGO45" s="100"/>
      <c r="GGP45" s="100"/>
      <c r="GGQ45" s="100"/>
      <c r="GGR45" s="100"/>
      <c r="GGS45" s="100"/>
      <c r="GGT45" s="100"/>
      <c r="GGU45" s="100"/>
      <c r="GGV45" s="100"/>
      <c r="GGW45" s="100"/>
      <c r="GGX45" s="100"/>
      <c r="GGY45" s="100"/>
      <c r="GGZ45" s="100"/>
      <c r="GHA45" s="100"/>
      <c r="GHB45" s="100"/>
      <c r="GHC45" s="100"/>
      <c r="GHD45" s="100"/>
      <c r="GHE45" s="100"/>
      <c r="GHF45" s="100"/>
      <c r="GHG45" s="100"/>
      <c r="GHH45" s="100"/>
      <c r="GHI45" s="100"/>
      <c r="GHJ45" s="100"/>
      <c r="GHK45" s="100"/>
      <c r="GHL45" s="100"/>
      <c r="GHM45" s="100"/>
      <c r="GHN45" s="100"/>
      <c r="GHO45" s="100"/>
      <c r="GHP45" s="100"/>
      <c r="GHQ45" s="100"/>
      <c r="GHR45" s="100"/>
      <c r="GHS45" s="100"/>
      <c r="GHT45" s="100"/>
      <c r="GHU45" s="100"/>
      <c r="GHV45" s="100"/>
      <c r="GHW45" s="100"/>
      <c r="GHX45" s="100"/>
      <c r="GHY45" s="100"/>
      <c r="GHZ45" s="100"/>
      <c r="GIA45" s="100"/>
      <c r="GIB45" s="100"/>
      <c r="GIC45" s="100"/>
      <c r="GID45" s="100"/>
      <c r="GIE45" s="100"/>
      <c r="GIF45" s="100"/>
      <c r="GIG45" s="100"/>
      <c r="GIH45" s="100"/>
      <c r="GII45" s="100"/>
      <c r="GIJ45" s="100"/>
      <c r="GIK45" s="100"/>
      <c r="GIL45" s="100"/>
      <c r="GIM45" s="100"/>
      <c r="GIN45" s="100"/>
      <c r="GIO45" s="100"/>
      <c r="GIP45" s="100"/>
      <c r="GIQ45" s="100"/>
      <c r="GIR45" s="100"/>
      <c r="GIS45" s="100"/>
      <c r="GIT45" s="100"/>
      <c r="GIU45" s="100"/>
      <c r="GIV45" s="100"/>
      <c r="GIW45" s="100"/>
      <c r="GIX45" s="100"/>
      <c r="GIY45" s="100"/>
      <c r="GIZ45" s="100"/>
      <c r="GJA45" s="100"/>
      <c r="GJB45" s="100"/>
      <c r="GJC45" s="100"/>
      <c r="GJD45" s="100"/>
      <c r="GJE45" s="100"/>
      <c r="GJF45" s="100"/>
      <c r="GJG45" s="100"/>
      <c r="GJH45" s="100"/>
      <c r="GJI45" s="100"/>
      <c r="GJJ45" s="100"/>
      <c r="GJK45" s="100"/>
      <c r="GJL45" s="100"/>
      <c r="GJM45" s="100"/>
      <c r="GJN45" s="100"/>
      <c r="GJO45" s="100"/>
      <c r="GJP45" s="100"/>
      <c r="GJQ45" s="100"/>
      <c r="GJR45" s="100"/>
      <c r="GJS45" s="100"/>
      <c r="GJT45" s="100"/>
      <c r="GJU45" s="100"/>
      <c r="GJV45" s="100"/>
      <c r="GJW45" s="100"/>
      <c r="GJX45" s="100"/>
      <c r="GJY45" s="100"/>
      <c r="GJZ45" s="100"/>
      <c r="GKA45" s="100"/>
      <c r="GKB45" s="100"/>
      <c r="GKC45" s="100"/>
      <c r="GKD45" s="100"/>
      <c r="GKE45" s="100"/>
      <c r="GKF45" s="100"/>
      <c r="GKG45" s="100"/>
      <c r="GKH45" s="100"/>
      <c r="GKI45" s="100"/>
      <c r="GKJ45" s="100"/>
      <c r="GKK45" s="100"/>
      <c r="GKL45" s="100"/>
      <c r="GKM45" s="100"/>
      <c r="GKN45" s="100"/>
      <c r="GKO45" s="100"/>
      <c r="GKP45" s="100"/>
      <c r="GKQ45" s="100"/>
      <c r="GKR45" s="100"/>
      <c r="GKS45" s="100"/>
      <c r="GKT45" s="100"/>
      <c r="GKU45" s="100"/>
      <c r="GKV45" s="100"/>
      <c r="GKW45" s="100"/>
      <c r="GKX45" s="100"/>
      <c r="GKY45" s="100"/>
      <c r="GKZ45" s="100"/>
      <c r="GLA45" s="100"/>
      <c r="GLB45" s="100"/>
      <c r="GLC45" s="100"/>
      <c r="GLD45" s="100"/>
      <c r="GLE45" s="100"/>
      <c r="GLF45" s="100"/>
      <c r="GLG45" s="100"/>
      <c r="GLH45" s="100"/>
      <c r="GLI45" s="100"/>
      <c r="GLJ45" s="100"/>
      <c r="GLK45" s="100"/>
      <c r="GLL45" s="100"/>
      <c r="GLM45" s="100"/>
      <c r="GLN45" s="100"/>
      <c r="GLO45" s="100"/>
      <c r="GLP45" s="100"/>
      <c r="GLQ45" s="100"/>
      <c r="GLR45" s="100"/>
      <c r="GLS45" s="100"/>
      <c r="GLT45" s="100"/>
      <c r="GLU45" s="100"/>
      <c r="GLV45" s="100"/>
      <c r="GLW45" s="100"/>
      <c r="GLX45" s="100"/>
      <c r="GLY45" s="100"/>
      <c r="GLZ45" s="100"/>
      <c r="GMA45" s="100"/>
      <c r="GMB45" s="100"/>
      <c r="GMC45" s="100"/>
      <c r="GMD45" s="100"/>
      <c r="GME45" s="100"/>
      <c r="GMF45" s="100"/>
      <c r="GMG45" s="100"/>
      <c r="GMH45" s="100"/>
      <c r="GMI45" s="100"/>
      <c r="GMJ45" s="100"/>
      <c r="GMK45" s="100"/>
      <c r="GML45" s="100"/>
      <c r="GMM45" s="100"/>
      <c r="GMN45" s="100"/>
      <c r="GMO45" s="100"/>
      <c r="GMP45" s="100"/>
      <c r="GMQ45" s="100"/>
      <c r="GMR45" s="100"/>
      <c r="GMS45" s="100"/>
      <c r="GMT45" s="100"/>
      <c r="GMU45" s="100"/>
      <c r="GMV45" s="100"/>
      <c r="GMW45" s="100"/>
      <c r="GMX45" s="100"/>
      <c r="GMY45" s="100"/>
      <c r="GMZ45" s="100"/>
      <c r="GNA45" s="100"/>
      <c r="GNB45" s="100"/>
      <c r="GNC45" s="100"/>
      <c r="GND45" s="100"/>
      <c r="GNE45" s="100"/>
      <c r="GNF45" s="100"/>
      <c r="GNG45" s="100"/>
      <c r="GNH45" s="100"/>
      <c r="GNI45" s="100"/>
      <c r="GNJ45" s="100"/>
      <c r="GNK45" s="100"/>
      <c r="GNL45" s="100"/>
      <c r="GNM45" s="100"/>
      <c r="GNN45" s="100"/>
      <c r="GNO45" s="100"/>
      <c r="GNP45" s="100"/>
      <c r="GNQ45" s="100"/>
      <c r="GNR45" s="100"/>
      <c r="GNS45" s="100"/>
      <c r="GNT45" s="100"/>
      <c r="GNU45" s="100"/>
      <c r="GNV45" s="100"/>
      <c r="GNW45" s="100"/>
      <c r="GNX45" s="100"/>
      <c r="GNY45" s="100"/>
      <c r="GNZ45" s="100"/>
      <c r="GOA45" s="100"/>
      <c r="GOB45" s="100"/>
      <c r="GOC45" s="100"/>
      <c r="GOD45" s="100"/>
      <c r="GOE45" s="100"/>
      <c r="GOF45" s="100"/>
      <c r="GOG45" s="100"/>
      <c r="GOH45" s="100"/>
      <c r="GOI45" s="100"/>
      <c r="GOJ45" s="100"/>
      <c r="GOK45" s="100"/>
      <c r="GOL45" s="100"/>
      <c r="GOM45" s="100"/>
      <c r="GON45" s="100"/>
      <c r="GOO45" s="100"/>
      <c r="GOP45" s="100"/>
      <c r="GOQ45" s="100"/>
      <c r="GOR45" s="100"/>
      <c r="GOS45" s="100"/>
      <c r="GOT45" s="100"/>
      <c r="GOU45" s="100"/>
      <c r="GOV45" s="100"/>
      <c r="GOW45" s="100"/>
      <c r="GOX45" s="100"/>
      <c r="GOY45" s="100"/>
      <c r="GOZ45" s="100"/>
      <c r="GPA45" s="100"/>
      <c r="GPB45" s="100"/>
      <c r="GPC45" s="100"/>
      <c r="GPD45" s="100"/>
      <c r="GPE45" s="100"/>
      <c r="GPF45" s="100"/>
      <c r="GPG45" s="100"/>
      <c r="GPH45" s="100"/>
      <c r="GPI45" s="100"/>
      <c r="GPJ45" s="100"/>
      <c r="GPK45" s="100"/>
      <c r="GPL45" s="100"/>
      <c r="GPM45" s="100"/>
      <c r="GPN45" s="100"/>
      <c r="GPO45" s="100"/>
      <c r="GPP45" s="100"/>
      <c r="GPQ45" s="100"/>
      <c r="GPR45" s="100"/>
      <c r="GPS45" s="100"/>
      <c r="GPT45" s="100"/>
      <c r="GPU45" s="100"/>
      <c r="GPV45" s="100"/>
      <c r="GPW45" s="100"/>
      <c r="GPX45" s="100"/>
      <c r="GPY45" s="100"/>
      <c r="GPZ45" s="100"/>
      <c r="GQA45" s="100"/>
      <c r="GQB45" s="100"/>
      <c r="GQC45" s="100"/>
      <c r="GQD45" s="100"/>
      <c r="GQE45" s="100"/>
      <c r="GQF45" s="100"/>
      <c r="GQG45" s="100"/>
      <c r="GQH45" s="100"/>
      <c r="GQI45" s="100"/>
      <c r="GQJ45" s="100"/>
      <c r="GQK45" s="100"/>
      <c r="GQL45" s="100"/>
      <c r="GQM45" s="100"/>
      <c r="GQN45" s="100"/>
      <c r="GQO45" s="100"/>
      <c r="GQP45" s="100"/>
      <c r="GQQ45" s="100"/>
      <c r="GQR45" s="100"/>
      <c r="GQS45" s="100"/>
      <c r="GQT45" s="100"/>
      <c r="GQU45" s="100"/>
      <c r="GQV45" s="100"/>
      <c r="GQW45" s="100"/>
      <c r="GQX45" s="100"/>
      <c r="GQY45" s="100"/>
      <c r="GQZ45" s="100"/>
      <c r="GRA45" s="100"/>
      <c r="GRB45" s="100"/>
      <c r="GRC45" s="100"/>
      <c r="GRD45" s="100"/>
      <c r="GRE45" s="100"/>
      <c r="GRF45" s="100"/>
      <c r="GRG45" s="100"/>
      <c r="GRH45" s="100"/>
      <c r="GRI45" s="100"/>
      <c r="GRJ45" s="100"/>
      <c r="GRK45" s="100"/>
      <c r="GRL45" s="100"/>
      <c r="GRM45" s="100"/>
      <c r="GRN45" s="100"/>
      <c r="GRO45" s="100"/>
      <c r="GRP45" s="100"/>
      <c r="GRQ45" s="100"/>
      <c r="GRR45" s="100"/>
      <c r="GRS45" s="100"/>
      <c r="GRT45" s="100"/>
      <c r="GRU45" s="100"/>
      <c r="GRV45" s="100"/>
      <c r="GRW45" s="100"/>
      <c r="GRX45" s="100"/>
      <c r="GRY45" s="100"/>
      <c r="GRZ45" s="100"/>
      <c r="GSA45" s="100"/>
      <c r="GSB45" s="100"/>
      <c r="GSC45" s="100"/>
      <c r="GSD45" s="100"/>
      <c r="GSE45" s="100"/>
      <c r="GSF45" s="100"/>
      <c r="GSG45" s="100"/>
      <c r="GSH45" s="100"/>
      <c r="GSI45" s="100"/>
      <c r="GSJ45" s="100"/>
      <c r="GSK45" s="100"/>
      <c r="GSL45" s="100"/>
      <c r="GSM45" s="100"/>
      <c r="GSN45" s="100"/>
      <c r="GSO45" s="100"/>
      <c r="GSP45" s="100"/>
      <c r="GSQ45" s="100"/>
      <c r="GSR45" s="100"/>
      <c r="GSS45" s="100"/>
      <c r="GST45" s="100"/>
      <c r="GSU45" s="100"/>
      <c r="GSV45" s="100"/>
      <c r="GSW45" s="100"/>
      <c r="GSX45" s="100"/>
      <c r="GSY45" s="100"/>
      <c r="GSZ45" s="100"/>
      <c r="GTA45" s="100"/>
      <c r="GTB45" s="100"/>
      <c r="GTC45" s="100"/>
      <c r="GTD45" s="100"/>
      <c r="GTE45" s="100"/>
      <c r="GTF45" s="100"/>
      <c r="GTG45" s="100"/>
      <c r="GTH45" s="100"/>
      <c r="GTI45" s="100"/>
      <c r="GTJ45" s="100"/>
      <c r="GTK45" s="100"/>
      <c r="GTL45" s="100"/>
      <c r="GTM45" s="100"/>
      <c r="GTN45" s="100"/>
      <c r="GTO45" s="100"/>
      <c r="GTP45" s="100"/>
      <c r="GTQ45" s="100"/>
      <c r="GTR45" s="100"/>
      <c r="GTS45" s="100"/>
      <c r="GTT45" s="100"/>
      <c r="GTU45" s="100"/>
      <c r="GTV45" s="100"/>
      <c r="GTW45" s="100"/>
      <c r="GTX45" s="100"/>
      <c r="GTY45" s="100"/>
      <c r="GTZ45" s="100"/>
      <c r="GUA45" s="100"/>
      <c r="GUB45" s="100"/>
      <c r="GUC45" s="100"/>
      <c r="GUD45" s="100"/>
      <c r="GUE45" s="100"/>
      <c r="GUF45" s="100"/>
      <c r="GUG45" s="100"/>
      <c r="GUH45" s="100"/>
      <c r="GUI45" s="100"/>
      <c r="GUJ45" s="100"/>
      <c r="GUK45" s="100"/>
      <c r="GUL45" s="100"/>
      <c r="GUM45" s="100"/>
      <c r="GUN45" s="100"/>
      <c r="GUO45" s="100"/>
      <c r="GUP45" s="100"/>
      <c r="GUQ45" s="100"/>
      <c r="GUR45" s="100"/>
      <c r="GUS45" s="100"/>
      <c r="GUT45" s="100"/>
      <c r="GUU45" s="100"/>
      <c r="GUV45" s="100"/>
      <c r="GUW45" s="100"/>
      <c r="GUX45" s="100"/>
      <c r="GUY45" s="100"/>
      <c r="GUZ45" s="100"/>
      <c r="GVA45" s="100"/>
      <c r="GVB45" s="100"/>
      <c r="GVC45" s="100"/>
      <c r="GVD45" s="100"/>
      <c r="GVE45" s="100"/>
      <c r="GVF45" s="100"/>
      <c r="GVG45" s="100"/>
      <c r="GVH45" s="100"/>
      <c r="GVI45" s="100"/>
      <c r="GVJ45" s="100"/>
      <c r="GVK45" s="100"/>
      <c r="GVL45" s="100"/>
      <c r="GVM45" s="100"/>
      <c r="GVN45" s="100"/>
      <c r="GVO45" s="100"/>
      <c r="GVP45" s="100"/>
      <c r="GVQ45" s="100"/>
      <c r="GVR45" s="100"/>
      <c r="GVS45" s="100"/>
      <c r="GVT45" s="100"/>
      <c r="GVU45" s="100"/>
      <c r="GVV45" s="100"/>
      <c r="GVW45" s="100"/>
      <c r="GVX45" s="100"/>
      <c r="GVY45" s="100"/>
      <c r="GVZ45" s="100"/>
      <c r="GWA45" s="100"/>
      <c r="GWB45" s="100"/>
      <c r="GWC45" s="100"/>
      <c r="GWD45" s="100"/>
      <c r="GWE45" s="100"/>
      <c r="GWF45" s="100"/>
      <c r="GWG45" s="100"/>
      <c r="GWH45" s="100"/>
      <c r="GWI45" s="100"/>
      <c r="GWJ45" s="100"/>
      <c r="GWK45" s="100"/>
      <c r="GWL45" s="100"/>
      <c r="GWM45" s="100"/>
      <c r="GWN45" s="100"/>
      <c r="GWO45" s="100"/>
      <c r="GWP45" s="100"/>
      <c r="GWQ45" s="100"/>
      <c r="GWR45" s="100"/>
      <c r="GWS45" s="100"/>
      <c r="GWT45" s="100"/>
      <c r="GWU45" s="100"/>
      <c r="GWV45" s="100"/>
      <c r="GWW45" s="100"/>
      <c r="GWX45" s="100"/>
      <c r="GWY45" s="100"/>
      <c r="GWZ45" s="100"/>
      <c r="GXA45" s="100"/>
      <c r="GXB45" s="100"/>
      <c r="GXC45" s="100"/>
      <c r="GXD45" s="100"/>
      <c r="GXE45" s="100"/>
      <c r="GXF45" s="100"/>
      <c r="GXG45" s="100"/>
      <c r="GXH45" s="100"/>
      <c r="GXI45" s="100"/>
      <c r="GXJ45" s="100"/>
      <c r="GXK45" s="100"/>
      <c r="GXL45" s="100"/>
      <c r="GXM45" s="100"/>
      <c r="GXN45" s="100"/>
      <c r="GXO45" s="100"/>
      <c r="GXP45" s="100"/>
      <c r="GXQ45" s="100"/>
      <c r="GXR45" s="100"/>
      <c r="GXS45" s="100"/>
      <c r="GXT45" s="100"/>
      <c r="GXU45" s="100"/>
      <c r="GXV45" s="100"/>
      <c r="GXW45" s="100"/>
      <c r="GXX45" s="100"/>
      <c r="GXY45" s="100"/>
      <c r="GXZ45" s="100"/>
      <c r="GYA45" s="100"/>
      <c r="GYB45" s="100"/>
      <c r="GYC45" s="100"/>
      <c r="GYD45" s="100"/>
      <c r="GYE45" s="100"/>
      <c r="GYF45" s="100"/>
      <c r="GYG45" s="100"/>
      <c r="GYH45" s="100"/>
      <c r="GYI45" s="100"/>
      <c r="GYJ45" s="100"/>
      <c r="GYK45" s="100"/>
      <c r="GYL45" s="100"/>
      <c r="GYM45" s="100"/>
      <c r="GYN45" s="100"/>
      <c r="GYO45" s="100"/>
      <c r="GYP45" s="100"/>
      <c r="GYQ45" s="100"/>
      <c r="GYR45" s="100"/>
      <c r="GYS45" s="100"/>
      <c r="GYT45" s="100"/>
      <c r="GYU45" s="100"/>
      <c r="GYV45" s="100"/>
      <c r="GYW45" s="100"/>
      <c r="GYX45" s="100"/>
      <c r="GYY45" s="100"/>
      <c r="GYZ45" s="100"/>
      <c r="GZA45" s="100"/>
      <c r="GZB45" s="100"/>
      <c r="GZC45" s="100"/>
      <c r="GZD45" s="100"/>
      <c r="GZE45" s="100"/>
      <c r="GZF45" s="100"/>
      <c r="GZG45" s="100"/>
      <c r="GZH45" s="100"/>
      <c r="GZI45" s="100"/>
      <c r="GZJ45" s="100"/>
      <c r="GZK45" s="100"/>
      <c r="GZL45" s="100"/>
      <c r="GZM45" s="100"/>
      <c r="GZN45" s="100"/>
      <c r="GZO45" s="100"/>
      <c r="GZP45" s="100"/>
      <c r="GZQ45" s="100"/>
      <c r="GZR45" s="100"/>
      <c r="GZS45" s="100"/>
      <c r="GZT45" s="100"/>
      <c r="GZU45" s="100"/>
      <c r="GZV45" s="100"/>
      <c r="GZW45" s="100"/>
      <c r="GZX45" s="100"/>
      <c r="GZY45" s="100"/>
      <c r="GZZ45" s="100"/>
      <c r="HAA45" s="100"/>
      <c r="HAB45" s="100"/>
      <c r="HAC45" s="100"/>
      <c r="HAD45" s="100"/>
      <c r="HAE45" s="100"/>
      <c r="HAF45" s="100"/>
      <c r="HAG45" s="100"/>
      <c r="HAH45" s="100"/>
      <c r="HAI45" s="100"/>
      <c r="HAJ45" s="100"/>
      <c r="HAK45" s="100"/>
      <c r="HAL45" s="100"/>
      <c r="HAM45" s="100"/>
      <c r="HAN45" s="100"/>
      <c r="HAO45" s="100"/>
      <c r="HAP45" s="100"/>
      <c r="HAQ45" s="100"/>
      <c r="HAR45" s="100"/>
      <c r="HAS45" s="100"/>
      <c r="HAT45" s="100"/>
      <c r="HAU45" s="100"/>
      <c r="HAV45" s="100"/>
      <c r="HAW45" s="100"/>
      <c r="HAX45" s="100"/>
      <c r="HAY45" s="100"/>
      <c r="HAZ45" s="100"/>
      <c r="HBA45" s="100"/>
      <c r="HBB45" s="100"/>
      <c r="HBC45" s="100"/>
      <c r="HBD45" s="100"/>
      <c r="HBE45" s="100"/>
      <c r="HBF45" s="100"/>
      <c r="HBG45" s="100"/>
      <c r="HBH45" s="100"/>
      <c r="HBI45" s="100"/>
      <c r="HBJ45" s="100"/>
      <c r="HBK45" s="100"/>
      <c r="HBL45" s="100"/>
      <c r="HBM45" s="100"/>
      <c r="HBN45" s="100"/>
      <c r="HBO45" s="100"/>
      <c r="HBP45" s="100"/>
      <c r="HBQ45" s="100"/>
      <c r="HBR45" s="100"/>
      <c r="HBS45" s="100"/>
      <c r="HBT45" s="100"/>
      <c r="HBU45" s="100"/>
      <c r="HBV45" s="100"/>
      <c r="HBW45" s="100"/>
      <c r="HBX45" s="100"/>
      <c r="HBY45" s="100"/>
      <c r="HBZ45" s="100"/>
      <c r="HCA45" s="100"/>
      <c r="HCB45" s="100"/>
      <c r="HCC45" s="100"/>
      <c r="HCD45" s="100"/>
      <c r="HCE45" s="100"/>
      <c r="HCF45" s="100"/>
      <c r="HCG45" s="100"/>
      <c r="HCH45" s="100"/>
      <c r="HCI45" s="100"/>
      <c r="HCJ45" s="100"/>
      <c r="HCK45" s="100"/>
      <c r="HCL45" s="100"/>
      <c r="HCM45" s="100"/>
      <c r="HCN45" s="100"/>
      <c r="HCO45" s="100"/>
      <c r="HCP45" s="100"/>
      <c r="HCQ45" s="100"/>
      <c r="HCR45" s="100"/>
      <c r="HCS45" s="100"/>
      <c r="HCT45" s="100"/>
      <c r="HCU45" s="100"/>
      <c r="HCV45" s="100"/>
      <c r="HCW45" s="100"/>
      <c r="HCX45" s="100"/>
      <c r="HCY45" s="100"/>
      <c r="HCZ45" s="100"/>
      <c r="HDA45" s="100"/>
      <c r="HDB45" s="100"/>
      <c r="HDC45" s="100"/>
      <c r="HDD45" s="100"/>
      <c r="HDE45" s="100"/>
      <c r="HDF45" s="100"/>
      <c r="HDG45" s="100"/>
      <c r="HDH45" s="100"/>
      <c r="HDI45" s="100"/>
      <c r="HDJ45" s="100"/>
      <c r="HDK45" s="100"/>
      <c r="HDL45" s="100"/>
      <c r="HDM45" s="100"/>
      <c r="HDN45" s="100"/>
      <c r="HDO45" s="100"/>
      <c r="HDP45" s="100"/>
      <c r="HDQ45" s="100"/>
      <c r="HDR45" s="100"/>
      <c r="HDS45" s="100"/>
      <c r="HDT45" s="100"/>
      <c r="HDU45" s="100"/>
      <c r="HDV45" s="100"/>
      <c r="HDW45" s="100"/>
      <c r="HDX45" s="100"/>
      <c r="HDY45" s="100"/>
      <c r="HDZ45" s="100"/>
      <c r="HEA45" s="100"/>
      <c r="HEB45" s="100"/>
      <c r="HEC45" s="100"/>
      <c r="HED45" s="100"/>
      <c r="HEE45" s="100"/>
      <c r="HEF45" s="100"/>
      <c r="HEG45" s="100"/>
      <c r="HEH45" s="100"/>
      <c r="HEI45" s="100"/>
      <c r="HEJ45" s="100"/>
      <c r="HEK45" s="100"/>
      <c r="HEL45" s="100"/>
      <c r="HEM45" s="100"/>
      <c r="HEN45" s="100"/>
      <c r="HEO45" s="100"/>
      <c r="HEP45" s="100"/>
      <c r="HEQ45" s="100"/>
      <c r="HER45" s="100"/>
      <c r="HES45" s="100"/>
      <c r="HET45" s="100"/>
      <c r="HEU45" s="100"/>
      <c r="HEV45" s="100"/>
      <c r="HEW45" s="100"/>
      <c r="HEX45" s="100"/>
      <c r="HEY45" s="100"/>
      <c r="HEZ45" s="100"/>
      <c r="HFA45" s="100"/>
      <c r="HFB45" s="100"/>
      <c r="HFC45" s="100"/>
      <c r="HFD45" s="100"/>
      <c r="HFE45" s="100"/>
      <c r="HFF45" s="100"/>
      <c r="HFG45" s="100"/>
      <c r="HFH45" s="100"/>
      <c r="HFI45" s="100"/>
      <c r="HFJ45" s="100"/>
      <c r="HFK45" s="100"/>
      <c r="HFL45" s="100"/>
      <c r="HFM45" s="100"/>
      <c r="HFN45" s="100"/>
      <c r="HFO45" s="100"/>
      <c r="HFP45" s="100"/>
      <c r="HFQ45" s="100"/>
      <c r="HFR45" s="100"/>
      <c r="HFS45" s="100"/>
      <c r="HFT45" s="100"/>
      <c r="HFU45" s="100"/>
      <c r="HFV45" s="100"/>
      <c r="HFW45" s="100"/>
      <c r="HFX45" s="100"/>
      <c r="HFY45" s="100"/>
      <c r="HFZ45" s="100"/>
      <c r="HGA45" s="100"/>
      <c r="HGB45" s="100"/>
      <c r="HGC45" s="100"/>
      <c r="HGD45" s="100"/>
      <c r="HGE45" s="100"/>
      <c r="HGF45" s="100"/>
      <c r="HGG45" s="100"/>
      <c r="HGH45" s="100"/>
      <c r="HGI45" s="100"/>
      <c r="HGJ45" s="100"/>
      <c r="HGK45" s="100"/>
      <c r="HGL45" s="100"/>
      <c r="HGM45" s="100"/>
      <c r="HGN45" s="100"/>
      <c r="HGO45" s="100"/>
      <c r="HGP45" s="100"/>
      <c r="HGQ45" s="100"/>
      <c r="HGR45" s="100"/>
      <c r="HGS45" s="100"/>
      <c r="HGT45" s="100"/>
      <c r="HGU45" s="100"/>
      <c r="HGV45" s="100"/>
      <c r="HGW45" s="100"/>
      <c r="HGX45" s="100"/>
      <c r="HGY45" s="100"/>
      <c r="HGZ45" s="100"/>
      <c r="HHA45" s="100"/>
      <c r="HHB45" s="100"/>
      <c r="HHC45" s="100"/>
      <c r="HHD45" s="100"/>
      <c r="HHE45" s="100"/>
      <c r="HHF45" s="100"/>
      <c r="HHG45" s="100"/>
      <c r="HHH45" s="100"/>
      <c r="HHI45" s="100"/>
      <c r="HHJ45" s="100"/>
      <c r="HHK45" s="100"/>
      <c r="HHL45" s="100"/>
      <c r="HHM45" s="100"/>
      <c r="HHN45" s="100"/>
      <c r="HHO45" s="100"/>
      <c r="HHP45" s="100"/>
      <c r="HHQ45" s="100"/>
      <c r="HHR45" s="100"/>
      <c r="HHS45" s="100"/>
      <c r="HHT45" s="100"/>
      <c r="HHU45" s="100"/>
      <c r="HHV45" s="100"/>
      <c r="HHW45" s="100"/>
      <c r="HHX45" s="100"/>
      <c r="HHY45" s="100"/>
      <c r="HHZ45" s="100"/>
      <c r="HIA45" s="100"/>
      <c r="HIB45" s="100"/>
      <c r="HIC45" s="100"/>
      <c r="HID45" s="100"/>
      <c r="HIE45" s="100"/>
      <c r="HIF45" s="100"/>
      <c r="HIG45" s="100"/>
      <c r="HIH45" s="100"/>
      <c r="HII45" s="100"/>
      <c r="HIJ45" s="100"/>
      <c r="HIK45" s="100"/>
      <c r="HIL45" s="100"/>
      <c r="HIM45" s="100"/>
      <c r="HIN45" s="100"/>
      <c r="HIO45" s="100"/>
      <c r="HIP45" s="100"/>
      <c r="HIQ45" s="100"/>
      <c r="HIR45" s="100"/>
      <c r="HIS45" s="100"/>
      <c r="HIT45" s="100"/>
      <c r="HIU45" s="100"/>
      <c r="HIV45" s="100"/>
      <c r="HIW45" s="100"/>
      <c r="HIX45" s="100"/>
      <c r="HIY45" s="100"/>
      <c r="HIZ45" s="100"/>
      <c r="HJA45" s="100"/>
      <c r="HJB45" s="100"/>
      <c r="HJC45" s="100"/>
      <c r="HJD45" s="100"/>
      <c r="HJE45" s="100"/>
      <c r="HJF45" s="100"/>
      <c r="HJG45" s="100"/>
      <c r="HJH45" s="100"/>
      <c r="HJI45" s="100"/>
      <c r="HJJ45" s="100"/>
      <c r="HJK45" s="100"/>
      <c r="HJL45" s="100"/>
      <c r="HJM45" s="100"/>
      <c r="HJN45" s="100"/>
      <c r="HJO45" s="100"/>
      <c r="HJP45" s="100"/>
      <c r="HJQ45" s="100"/>
      <c r="HJR45" s="100"/>
      <c r="HJS45" s="100"/>
      <c r="HJT45" s="100"/>
      <c r="HJU45" s="100"/>
      <c r="HJV45" s="100"/>
      <c r="HJW45" s="100"/>
      <c r="HJX45" s="100"/>
      <c r="HJY45" s="100"/>
      <c r="HJZ45" s="100"/>
      <c r="HKA45" s="100"/>
      <c r="HKB45" s="100"/>
      <c r="HKC45" s="100"/>
      <c r="HKD45" s="100"/>
      <c r="HKE45" s="100"/>
      <c r="HKF45" s="100"/>
      <c r="HKG45" s="100"/>
      <c r="HKH45" s="100"/>
      <c r="HKI45" s="100"/>
      <c r="HKJ45" s="100"/>
      <c r="HKK45" s="100"/>
      <c r="HKL45" s="100"/>
      <c r="HKM45" s="100"/>
      <c r="HKN45" s="100"/>
      <c r="HKO45" s="100"/>
      <c r="HKP45" s="100"/>
      <c r="HKQ45" s="100"/>
      <c r="HKR45" s="100"/>
      <c r="HKS45" s="100"/>
      <c r="HKT45" s="100"/>
      <c r="HKU45" s="100"/>
      <c r="HKV45" s="100"/>
      <c r="HKW45" s="100"/>
      <c r="HKX45" s="100"/>
      <c r="HKY45" s="100"/>
      <c r="HKZ45" s="100"/>
      <c r="HLA45" s="100"/>
      <c r="HLB45" s="100"/>
      <c r="HLC45" s="100"/>
      <c r="HLD45" s="100"/>
      <c r="HLE45" s="100"/>
      <c r="HLF45" s="100"/>
      <c r="HLG45" s="100"/>
      <c r="HLH45" s="100"/>
      <c r="HLI45" s="100"/>
      <c r="HLJ45" s="100"/>
      <c r="HLK45" s="100"/>
      <c r="HLL45" s="100"/>
      <c r="HLM45" s="100"/>
      <c r="HLN45" s="100"/>
      <c r="HLO45" s="100"/>
      <c r="HLP45" s="100"/>
      <c r="HLQ45" s="100"/>
      <c r="HLR45" s="100"/>
      <c r="HLS45" s="100"/>
      <c r="HLT45" s="100"/>
      <c r="HLU45" s="100"/>
      <c r="HLV45" s="100"/>
      <c r="HLW45" s="100"/>
      <c r="HLX45" s="100"/>
      <c r="HLY45" s="100"/>
      <c r="HLZ45" s="100"/>
      <c r="HMA45" s="100"/>
      <c r="HMB45" s="100"/>
      <c r="HMC45" s="100"/>
      <c r="HMD45" s="100"/>
      <c r="HME45" s="100"/>
      <c r="HMF45" s="100"/>
      <c r="HMG45" s="100"/>
      <c r="HMH45" s="100"/>
      <c r="HMI45" s="100"/>
      <c r="HMJ45" s="100"/>
      <c r="HMK45" s="100"/>
      <c r="HML45" s="100"/>
      <c r="HMM45" s="100"/>
      <c r="HMN45" s="100"/>
      <c r="HMO45" s="100"/>
      <c r="HMP45" s="100"/>
      <c r="HMQ45" s="100"/>
      <c r="HMR45" s="100"/>
      <c r="HMS45" s="100"/>
      <c r="HMT45" s="100"/>
      <c r="HMU45" s="100"/>
      <c r="HMV45" s="100"/>
      <c r="HMW45" s="100"/>
      <c r="HMX45" s="100"/>
      <c r="HMY45" s="100"/>
      <c r="HMZ45" s="100"/>
      <c r="HNA45" s="100"/>
      <c r="HNB45" s="100"/>
      <c r="HNC45" s="100"/>
      <c r="HND45" s="100"/>
      <c r="HNE45" s="100"/>
      <c r="HNF45" s="100"/>
      <c r="HNG45" s="100"/>
      <c r="HNH45" s="100"/>
      <c r="HNI45" s="100"/>
      <c r="HNJ45" s="100"/>
      <c r="HNK45" s="100"/>
      <c r="HNL45" s="100"/>
      <c r="HNM45" s="100"/>
      <c r="HNN45" s="100"/>
      <c r="HNO45" s="100"/>
      <c r="HNP45" s="100"/>
      <c r="HNQ45" s="100"/>
      <c r="HNR45" s="100"/>
      <c r="HNS45" s="100"/>
      <c r="HNT45" s="100"/>
      <c r="HNU45" s="100"/>
      <c r="HNV45" s="100"/>
      <c r="HNW45" s="100"/>
      <c r="HNX45" s="100"/>
      <c r="HNY45" s="100"/>
      <c r="HNZ45" s="100"/>
      <c r="HOA45" s="100"/>
      <c r="HOB45" s="100"/>
      <c r="HOC45" s="100"/>
      <c r="HOD45" s="100"/>
      <c r="HOE45" s="100"/>
      <c r="HOF45" s="100"/>
      <c r="HOG45" s="100"/>
      <c r="HOH45" s="100"/>
      <c r="HOI45" s="100"/>
      <c r="HOJ45" s="100"/>
      <c r="HOK45" s="100"/>
      <c r="HOL45" s="100"/>
      <c r="HOM45" s="100"/>
      <c r="HON45" s="100"/>
      <c r="HOO45" s="100"/>
      <c r="HOP45" s="100"/>
      <c r="HOQ45" s="100"/>
      <c r="HOR45" s="100"/>
      <c r="HOS45" s="100"/>
      <c r="HOT45" s="100"/>
      <c r="HOU45" s="100"/>
      <c r="HOV45" s="100"/>
      <c r="HOW45" s="100"/>
      <c r="HOX45" s="100"/>
      <c r="HOY45" s="100"/>
      <c r="HOZ45" s="100"/>
      <c r="HPA45" s="100"/>
      <c r="HPB45" s="100"/>
      <c r="HPC45" s="100"/>
      <c r="HPD45" s="100"/>
      <c r="HPE45" s="100"/>
      <c r="HPF45" s="100"/>
      <c r="HPG45" s="100"/>
      <c r="HPH45" s="100"/>
      <c r="HPI45" s="100"/>
      <c r="HPJ45" s="100"/>
      <c r="HPK45" s="100"/>
      <c r="HPL45" s="100"/>
      <c r="HPM45" s="100"/>
      <c r="HPN45" s="100"/>
      <c r="HPO45" s="100"/>
      <c r="HPP45" s="100"/>
      <c r="HPQ45" s="100"/>
      <c r="HPR45" s="100"/>
      <c r="HPS45" s="100"/>
      <c r="HPT45" s="100"/>
      <c r="HPU45" s="100"/>
      <c r="HPV45" s="100"/>
      <c r="HPW45" s="100"/>
      <c r="HPX45" s="100"/>
      <c r="HPY45" s="100"/>
      <c r="HPZ45" s="100"/>
      <c r="HQA45" s="100"/>
      <c r="HQB45" s="100"/>
      <c r="HQC45" s="100"/>
      <c r="HQD45" s="100"/>
      <c r="HQE45" s="100"/>
      <c r="HQF45" s="100"/>
      <c r="HQG45" s="100"/>
      <c r="HQH45" s="100"/>
      <c r="HQI45" s="100"/>
      <c r="HQJ45" s="100"/>
      <c r="HQK45" s="100"/>
      <c r="HQL45" s="100"/>
      <c r="HQM45" s="100"/>
      <c r="HQN45" s="100"/>
      <c r="HQO45" s="100"/>
      <c r="HQP45" s="100"/>
      <c r="HQQ45" s="100"/>
      <c r="HQR45" s="100"/>
      <c r="HQS45" s="100"/>
      <c r="HQT45" s="100"/>
      <c r="HQU45" s="100"/>
      <c r="HQV45" s="100"/>
      <c r="HQW45" s="100"/>
      <c r="HQX45" s="100"/>
      <c r="HQY45" s="100"/>
      <c r="HQZ45" s="100"/>
      <c r="HRA45" s="100"/>
      <c r="HRB45" s="100"/>
      <c r="HRC45" s="100"/>
      <c r="HRD45" s="100"/>
      <c r="HRE45" s="100"/>
      <c r="HRF45" s="100"/>
      <c r="HRG45" s="100"/>
      <c r="HRH45" s="100"/>
      <c r="HRI45" s="100"/>
      <c r="HRJ45" s="100"/>
      <c r="HRK45" s="100"/>
      <c r="HRL45" s="100"/>
      <c r="HRM45" s="100"/>
      <c r="HRN45" s="100"/>
      <c r="HRO45" s="100"/>
      <c r="HRP45" s="100"/>
      <c r="HRQ45" s="100"/>
      <c r="HRR45" s="100"/>
      <c r="HRS45" s="100"/>
      <c r="HRT45" s="100"/>
      <c r="HRU45" s="100"/>
      <c r="HRV45" s="100"/>
      <c r="HRW45" s="100"/>
      <c r="HRX45" s="100"/>
      <c r="HRY45" s="100"/>
      <c r="HRZ45" s="100"/>
      <c r="HSA45" s="100"/>
      <c r="HSB45" s="100"/>
      <c r="HSC45" s="100"/>
      <c r="HSD45" s="100"/>
      <c r="HSE45" s="100"/>
      <c r="HSF45" s="100"/>
      <c r="HSG45" s="100"/>
      <c r="HSH45" s="100"/>
      <c r="HSI45" s="100"/>
      <c r="HSJ45" s="100"/>
      <c r="HSK45" s="100"/>
      <c r="HSL45" s="100"/>
      <c r="HSM45" s="100"/>
      <c r="HSN45" s="100"/>
      <c r="HSO45" s="100"/>
      <c r="HSP45" s="100"/>
      <c r="HSQ45" s="100"/>
      <c r="HSR45" s="100"/>
      <c r="HSS45" s="100"/>
      <c r="HST45" s="100"/>
      <c r="HSU45" s="100"/>
      <c r="HSV45" s="100"/>
      <c r="HSW45" s="100"/>
      <c r="HSX45" s="100"/>
      <c r="HSY45" s="100"/>
      <c r="HSZ45" s="100"/>
      <c r="HTA45" s="100"/>
      <c r="HTB45" s="100"/>
      <c r="HTC45" s="100"/>
      <c r="HTD45" s="100"/>
      <c r="HTE45" s="100"/>
      <c r="HTF45" s="100"/>
      <c r="HTG45" s="100"/>
      <c r="HTH45" s="100"/>
      <c r="HTI45" s="100"/>
      <c r="HTJ45" s="100"/>
      <c r="HTK45" s="100"/>
      <c r="HTL45" s="100"/>
      <c r="HTM45" s="100"/>
      <c r="HTN45" s="100"/>
      <c r="HTO45" s="100"/>
      <c r="HTP45" s="100"/>
      <c r="HTQ45" s="100"/>
      <c r="HTR45" s="100"/>
      <c r="HTS45" s="100"/>
      <c r="HTT45" s="100"/>
      <c r="HTU45" s="100"/>
      <c r="HTV45" s="100"/>
      <c r="HTW45" s="100"/>
      <c r="HTX45" s="100"/>
      <c r="HTY45" s="100"/>
      <c r="HTZ45" s="100"/>
      <c r="HUA45" s="100"/>
      <c r="HUB45" s="100"/>
      <c r="HUC45" s="100"/>
      <c r="HUD45" s="100"/>
      <c r="HUE45" s="100"/>
      <c r="HUF45" s="100"/>
      <c r="HUG45" s="100"/>
      <c r="HUH45" s="100"/>
      <c r="HUI45" s="100"/>
      <c r="HUJ45" s="100"/>
      <c r="HUK45" s="100"/>
      <c r="HUL45" s="100"/>
      <c r="HUM45" s="100"/>
      <c r="HUN45" s="100"/>
      <c r="HUO45" s="100"/>
      <c r="HUP45" s="100"/>
      <c r="HUQ45" s="100"/>
      <c r="HUR45" s="100"/>
      <c r="HUS45" s="100"/>
      <c r="HUT45" s="100"/>
      <c r="HUU45" s="100"/>
      <c r="HUV45" s="100"/>
      <c r="HUW45" s="100"/>
      <c r="HUX45" s="100"/>
      <c r="HUY45" s="100"/>
      <c r="HUZ45" s="100"/>
      <c r="HVA45" s="100"/>
      <c r="HVB45" s="100"/>
      <c r="HVC45" s="100"/>
      <c r="HVD45" s="100"/>
      <c r="HVE45" s="100"/>
      <c r="HVF45" s="100"/>
      <c r="HVG45" s="100"/>
      <c r="HVH45" s="100"/>
      <c r="HVI45" s="100"/>
      <c r="HVJ45" s="100"/>
      <c r="HVK45" s="100"/>
      <c r="HVL45" s="100"/>
      <c r="HVM45" s="100"/>
      <c r="HVN45" s="100"/>
      <c r="HVO45" s="100"/>
      <c r="HVP45" s="100"/>
      <c r="HVQ45" s="100"/>
      <c r="HVR45" s="100"/>
      <c r="HVS45" s="100"/>
      <c r="HVT45" s="100"/>
      <c r="HVU45" s="100"/>
      <c r="HVV45" s="100"/>
      <c r="HVW45" s="100"/>
      <c r="HVX45" s="100"/>
      <c r="HVY45" s="100"/>
      <c r="HVZ45" s="100"/>
      <c r="HWA45" s="100"/>
      <c r="HWB45" s="100"/>
      <c r="HWC45" s="100"/>
      <c r="HWD45" s="100"/>
      <c r="HWE45" s="100"/>
      <c r="HWF45" s="100"/>
      <c r="HWG45" s="100"/>
      <c r="HWH45" s="100"/>
      <c r="HWI45" s="100"/>
      <c r="HWJ45" s="100"/>
      <c r="HWK45" s="100"/>
      <c r="HWL45" s="100"/>
      <c r="HWM45" s="100"/>
      <c r="HWN45" s="100"/>
      <c r="HWO45" s="100"/>
      <c r="HWP45" s="100"/>
      <c r="HWQ45" s="100"/>
      <c r="HWR45" s="100"/>
      <c r="HWS45" s="100"/>
      <c r="HWT45" s="100"/>
      <c r="HWU45" s="100"/>
      <c r="HWV45" s="100"/>
      <c r="HWW45" s="100"/>
      <c r="HWX45" s="100"/>
      <c r="HWY45" s="100"/>
      <c r="HWZ45" s="100"/>
      <c r="HXA45" s="100"/>
      <c r="HXB45" s="100"/>
      <c r="HXC45" s="100"/>
      <c r="HXD45" s="100"/>
      <c r="HXE45" s="100"/>
      <c r="HXF45" s="100"/>
      <c r="HXG45" s="100"/>
      <c r="HXH45" s="100"/>
      <c r="HXI45" s="100"/>
      <c r="HXJ45" s="100"/>
      <c r="HXK45" s="100"/>
      <c r="HXL45" s="100"/>
      <c r="HXM45" s="100"/>
      <c r="HXN45" s="100"/>
      <c r="HXO45" s="100"/>
      <c r="HXP45" s="100"/>
      <c r="HXQ45" s="100"/>
      <c r="HXR45" s="100"/>
      <c r="HXS45" s="100"/>
      <c r="HXT45" s="100"/>
      <c r="HXU45" s="100"/>
      <c r="HXV45" s="100"/>
      <c r="HXW45" s="100"/>
      <c r="HXX45" s="100"/>
      <c r="HXY45" s="100"/>
      <c r="HXZ45" s="100"/>
      <c r="HYA45" s="100"/>
      <c r="HYB45" s="100"/>
      <c r="HYC45" s="100"/>
      <c r="HYD45" s="100"/>
      <c r="HYE45" s="100"/>
      <c r="HYF45" s="100"/>
      <c r="HYG45" s="100"/>
      <c r="HYH45" s="100"/>
      <c r="HYI45" s="100"/>
      <c r="HYJ45" s="100"/>
      <c r="HYK45" s="100"/>
      <c r="HYL45" s="100"/>
      <c r="HYM45" s="100"/>
      <c r="HYN45" s="100"/>
      <c r="HYO45" s="100"/>
      <c r="HYP45" s="100"/>
      <c r="HYQ45" s="100"/>
      <c r="HYR45" s="100"/>
      <c r="HYS45" s="100"/>
      <c r="HYT45" s="100"/>
      <c r="HYU45" s="100"/>
      <c r="HYV45" s="100"/>
      <c r="HYW45" s="100"/>
      <c r="HYX45" s="100"/>
      <c r="HYY45" s="100"/>
      <c r="HYZ45" s="100"/>
      <c r="HZA45" s="100"/>
      <c r="HZB45" s="100"/>
      <c r="HZC45" s="100"/>
      <c r="HZD45" s="100"/>
      <c r="HZE45" s="100"/>
      <c r="HZF45" s="100"/>
      <c r="HZG45" s="100"/>
      <c r="HZH45" s="100"/>
      <c r="HZI45" s="100"/>
      <c r="HZJ45" s="100"/>
      <c r="HZK45" s="100"/>
      <c r="HZL45" s="100"/>
      <c r="HZM45" s="100"/>
      <c r="HZN45" s="100"/>
      <c r="HZO45" s="100"/>
      <c r="HZP45" s="100"/>
      <c r="HZQ45" s="100"/>
      <c r="HZR45" s="100"/>
      <c r="HZS45" s="100"/>
      <c r="HZT45" s="100"/>
      <c r="HZU45" s="100"/>
      <c r="HZV45" s="100"/>
      <c r="HZW45" s="100"/>
      <c r="HZX45" s="100"/>
      <c r="HZY45" s="100"/>
      <c r="HZZ45" s="100"/>
      <c r="IAA45" s="100"/>
      <c r="IAB45" s="100"/>
      <c r="IAC45" s="100"/>
      <c r="IAD45" s="100"/>
      <c r="IAE45" s="100"/>
      <c r="IAF45" s="100"/>
      <c r="IAG45" s="100"/>
      <c r="IAH45" s="100"/>
      <c r="IAI45" s="100"/>
      <c r="IAJ45" s="100"/>
      <c r="IAK45" s="100"/>
      <c r="IAL45" s="100"/>
      <c r="IAM45" s="100"/>
      <c r="IAN45" s="100"/>
      <c r="IAO45" s="100"/>
      <c r="IAP45" s="100"/>
      <c r="IAQ45" s="100"/>
      <c r="IAR45" s="100"/>
      <c r="IAS45" s="100"/>
      <c r="IAT45" s="100"/>
      <c r="IAU45" s="100"/>
      <c r="IAV45" s="100"/>
      <c r="IAW45" s="100"/>
      <c r="IAX45" s="100"/>
      <c r="IAY45" s="100"/>
      <c r="IAZ45" s="100"/>
      <c r="IBA45" s="100"/>
      <c r="IBB45" s="100"/>
      <c r="IBC45" s="100"/>
      <c r="IBD45" s="100"/>
      <c r="IBE45" s="100"/>
      <c r="IBF45" s="100"/>
      <c r="IBG45" s="100"/>
      <c r="IBH45" s="100"/>
      <c r="IBI45" s="100"/>
      <c r="IBJ45" s="100"/>
      <c r="IBK45" s="100"/>
      <c r="IBL45" s="100"/>
      <c r="IBM45" s="100"/>
      <c r="IBN45" s="100"/>
      <c r="IBO45" s="100"/>
      <c r="IBP45" s="100"/>
      <c r="IBQ45" s="100"/>
      <c r="IBR45" s="100"/>
      <c r="IBS45" s="100"/>
      <c r="IBT45" s="100"/>
      <c r="IBU45" s="100"/>
      <c r="IBV45" s="100"/>
      <c r="IBW45" s="100"/>
      <c r="IBX45" s="100"/>
      <c r="IBY45" s="100"/>
      <c r="IBZ45" s="100"/>
      <c r="ICA45" s="100"/>
      <c r="ICB45" s="100"/>
      <c r="ICC45" s="100"/>
      <c r="ICD45" s="100"/>
      <c r="ICE45" s="100"/>
      <c r="ICF45" s="100"/>
      <c r="ICG45" s="100"/>
      <c r="ICH45" s="100"/>
      <c r="ICI45" s="100"/>
      <c r="ICJ45" s="100"/>
      <c r="ICK45" s="100"/>
      <c r="ICL45" s="100"/>
      <c r="ICM45" s="100"/>
      <c r="ICN45" s="100"/>
      <c r="ICO45" s="100"/>
      <c r="ICP45" s="100"/>
      <c r="ICQ45" s="100"/>
      <c r="ICR45" s="100"/>
      <c r="ICS45" s="100"/>
      <c r="ICT45" s="100"/>
      <c r="ICU45" s="100"/>
      <c r="ICV45" s="100"/>
      <c r="ICW45" s="100"/>
      <c r="ICX45" s="100"/>
      <c r="ICY45" s="100"/>
      <c r="ICZ45" s="100"/>
      <c r="IDA45" s="100"/>
      <c r="IDB45" s="100"/>
      <c r="IDC45" s="100"/>
      <c r="IDD45" s="100"/>
      <c r="IDE45" s="100"/>
      <c r="IDF45" s="100"/>
      <c r="IDG45" s="100"/>
      <c r="IDH45" s="100"/>
      <c r="IDI45" s="100"/>
      <c r="IDJ45" s="100"/>
      <c r="IDK45" s="100"/>
      <c r="IDL45" s="100"/>
      <c r="IDM45" s="100"/>
      <c r="IDN45" s="100"/>
      <c r="IDO45" s="100"/>
      <c r="IDP45" s="100"/>
      <c r="IDQ45" s="100"/>
      <c r="IDR45" s="100"/>
      <c r="IDS45" s="100"/>
      <c r="IDT45" s="100"/>
      <c r="IDU45" s="100"/>
      <c r="IDV45" s="100"/>
      <c r="IDW45" s="100"/>
      <c r="IDX45" s="100"/>
      <c r="IDY45" s="100"/>
      <c r="IDZ45" s="100"/>
      <c r="IEA45" s="100"/>
      <c r="IEB45" s="100"/>
      <c r="IEC45" s="100"/>
      <c r="IED45" s="100"/>
      <c r="IEE45" s="100"/>
      <c r="IEF45" s="100"/>
      <c r="IEG45" s="100"/>
      <c r="IEH45" s="100"/>
      <c r="IEI45" s="100"/>
      <c r="IEJ45" s="100"/>
      <c r="IEK45" s="100"/>
      <c r="IEL45" s="100"/>
      <c r="IEM45" s="100"/>
      <c r="IEN45" s="100"/>
      <c r="IEO45" s="100"/>
      <c r="IEP45" s="100"/>
      <c r="IEQ45" s="100"/>
      <c r="IER45" s="100"/>
      <c r="IES45" s="100"/>
      <c r="IET45" s="100"/>
      <c r="IEU45" s="100"/>
      <c r="IEV45" s="100"/>
      <c r="IEW45" s="100"/>
      <c r="IEX45" s="100"/>
      <c r="IEY45" s="100"/>
      <c r="IEZ45" s="100"/>
      <c r="IFA45" s="100"/>
      <c r="IFB45" s="100"/>
      <c r="IFC45" s="100"/>
      <c r="IFD45" s="100"/>
      <c r="IFE45" s="100"/>
      <c r="IFF45" s="100"/>
      <c r="IFG45" s="100"/>
      <c r="IFH45" s="100"/>
      <c r="IFI45" s="100"/>
      <c r="IFJ45" s="100"/>
      <c r="IFK45" s="100"/>
      <c r="IFL45" s="100"/>
      <c r="IFM45" s="100"/>
      <c r="IFN45" s="100"/>
      <c r="IFO45" s="100"/>
      <c r="IFP45" s="100"/>
      <c r="IFQ45" s="100"/>
      <c r="IFR45" s="100"/>
      <c r="IFS45" s="100"/>
      <c r="IFT45" s="100"/>
      <c r="IFU45" s="100"/>
      <c r="IFV45" s="100"/>
      <c r="IFW45" s="100"/>
      <c r="IFX45" s="100"/>
      <c r="IFY45" s="100"/>
      <c r="IFZ45" s="100"/>
      <c r="IGA45" s="100"/>
      <c r="IGB45" s="100"/>
      <c r="IGC45" s="100"/>
      <c r="IGD45" s="100"/>
      <c r="IGE45" s="100"/>
      <c r="IGF45" s="100"/>
      <c r="IGG45" s="100"/>
      <c r="IGH45" s="100"/>
      <c r="IGI45" s="100"/>
      <c r="IGJ45" s="100"/>
      <c r="IGK45" s="100"/>
      <c r="IGL45" s="100"/>
      <c r="IGM45" s="100"/>
      <c r="IGN45" s="100"/>
      <c r="IGO45" s="100"/>
      <c r="IGP45" s="100"/>
      <c r="IGQ45" s="100"/>
      <c r="IGR45" s="100"/>
      <c r="IGS45" s="100"/>
      <c r="IGT45" s="100"/>
      <c r="IGU45" s="100"/>
      <c r="IGV45" s="100"/>
      <c r="IGW45" s="100"/>
      <c r="IGX45" s="100"/>
      <c r="IGY45" s="100"/>
      <c r="IGZ45" s="100"/>
      <c r="IHA45" s="100"/>
      <c r="IHB45" s="100"/>
      <c r="IHC45" s="100"/>
      <c r="IHD45" s="100"/>
      <c r="IHE45" s="100"/>
      <c r="IHF45" s="100"/>
      <c r="IHG45" s="100"/>
      <c r="IHH45" s="100"/>
      <c r="IHI45" s="100"/>
      <c r="IHJ45" s="100"/>
      <c r="IHK45" s="100"/>
      <c r="IHL45" s="100"/>
      <c r="IHM45" s="100"/>
      <c r="IHN45" s="100"/>
      <c r="IHO45" s="100"/>
      <c r="IHP45" s="100"/>
      <c r="IHQ45" s="100"/>
      <c r="IHR45" s="100"/>
      <c r="IHS45" s="100"/>
      <c r="IHT45" s="100"/>
      <c r="IHU45" s="100"/>
      <c r="IHV45" s="100"/>
      <c r="IHW45" s="100"/>
      <c r="IHX45" s="100"/>
      <c r="IHY45" s="100"/>
      <c r="IHZ45" s="100"/>
      <c r="IIA45" s="100"/>
      <c r="IIB45" s="100"/>
      <c r="IIC45" s="100"/>
      <c r="IID45" s="100"/>
      <c r="IIE45" s="100"/>
      <c r="IIF45" s="100"/>
      <c r="IIG45" s="100"/>
      <c r="IIH45" s="100"/>
      <c r="III45" s="100"/>
      <c r="IIJ45" s="100"/>
      <c r="IIK45" s="100"/>
      <c r="IIL45" s="100"/>
      <c r="IIM45" s="100"/>
      <c r="IIN45" s="100"/>
      <c r="IIO45" s="100"/>
      <c r="IIP45" s="100"/>
      <c r="IIQ45" s="100"/>
      <c r="IIR45" s="100"/>
      <c r="IIS45" s="100"/>
      <c r="IIT45" s="100"/>
      <c r="IIU45" s="100"/>
      <c r="IIV45" s="100"/>
      <c r="IIW45" s="100"/>
      <c r="IIX45" s="100"/>
      <c r="IIY45" s="100"/>
      <c r="IIZ45" s="100"/>
      <c r="IJA45" s="100"/>
      <c r="IJB45" s="100"/>
      <c r="IJC45" s="100"/>
      <c r="IJD45" s="100"/>
      <c r="IJE45" s="100"/>
      <c r="IJF45" s="100"/>
      <c r="IJG45" s="100"/>
      <c r="IJH45" s="100"/>
      <c r="IJI45" s="100"/>
      <c r="IJJ45" s="100"/>
      <c r="IJK45" s="100"/>
      <c r="IJL45" s="100"/>
      <c r="IJM45" s="100"/>
      <c r="IJN45" s="100"/>
      <c r="IJO45" s="100"/>
      <c r="IJP45" s="100"/>
      <c r="IJQ45" s="100"/>
      <c r="IJR45" s="100"/>
      <c r="IJS45" s="100"/>
      <c r="IJT45" s="100"/>
      <c r="IJU45" s="100"/>
      <c r="IJV45" s="100"/>
      <c r="IJW45" s="100"/>
      <c r="IJX45" s="100"/>
      <c r="IJY45" s="100"/>
      <c r="IJZ45" s="100"/>
      <c r="IKA45" s="100"/>
      <c r="IKB45" s="100"/>
      <c r="IKC45" s="100"/>
      <c r="IKD45" s="100"/>
      <c r="IKE45" s="100"/>
      <c r="IKF45" s="100"/>
      <c r="IKG45" s="100"/>
      <c r="IKH45" s="100"/>
      <c r="IKI45" s="100"/>
      <c r="IKJ45" s="100"/>
      <c r="IKK45" s="100"/>
      <c r="IKL45" s="100"/>
      <c r="IKM45" s="100"/>
      <c r="IKN45" s="100"/>
      <c r="IKO45" s="100"/>
      <c r="IKP45" s="100"/>
      <c r="IKQ45" s="100"/>
      <c r="IKR45" s="100"/>
      <c r="IKS45" s="100"/>
      <c r="IKT45" s="100"/>
      <c r="IKU45" s="100"/>
      <c r="IKV45" s="100"/>
      <c r="IKW45" s="100"/>
      <c r="IKX45" s="100"/>
      <c r="IKY45" s="100"/>
      <c r="IKZ45" s="100"/>
      <c r="ILA45" s="100"/>
      <c r="ILB45" s="100"/>
      <c r="ILC45" s="100"/>
      <c r="ILD45" s="100"/>
      <c r="ILE45" s="100"/>
      <c r="ILF45" s="100"/>
      <c r="ILG45" s="100"/>
      <c r="ILH45" s="100"/>
      <c r="ILI45" s="100"/>
      <c r="ILJ45" s="100"/>
      <c r="ILK45" s="100"/>
      <c r="ILL45" s="100"/>
      <c r="ILM45" s="100"/>
      <c r="ILN45" s="100"/>
      <c r="ILO45" s="100"/>
      <c r="ILP45" s="100"/>
      <c r="ILQ45" s="100"/>
      <c r="ILR45" s="100"/>
      <c r="ILS45" s="100"/>
      <c r="ILT45" s="100"/>
      <c r="ILU45" s="100"/>
      <c r="ILV45" s="100"/>
      <c r="ILW45" s="100"/>
      <c r="ILX45" s="100"/>
      <c r="ILY45" s="100"/>
      <c r="ILZ45" s="100"/>
      <c r="IMA45" s="100"/>
      <c r="IMB45" s="100"/>
      <c r="IMC45" s="100"/>
      <c r="IMD45" s="100"/>
      <c r="IME45" s="100"/>
      <c r="IMF45" s="100"/>
      <c r="IMG45" s="100"/>
      <c r="IMH45" s="100"/>
      <c r="IMI45" s="100"/>
      <c r="IMJ45" s="100"/>
      <c r="IMK45" s="100"/>
      <c r="IML45" s="100"/>
      <c r="IMM45" s="100"/>
      <c r="IMN45" s="100"/>
      <c r="IMO45" s="100"/>
      <c r="IMP45" s="100"/>
      <c r="IMQ45" s="100"/>
      <c r="IMR45" s="100"/>
      <c r="IMS45" s="100"/>
      <c r="IMT45" s="100"/>
      <c r="IMU45" s="100"/>
      <c r="IMV45" s="100"/>
      <c r="IMW45" s="100"/>
      <c r="IMX45" s="100"/>
      <c r="IMY45" s="100"/>
      <c r="IMZ45" s="100"/>
      <c r="INA45" s="100"/>
      <c r="INB45" s="100"/>
      <c r="INC45" s="100"/>
      <c r="IND45" s="100"/>
      <c r="INE45" s="100"/>
      <c r="INF45" s="100"/>
      <c r="ING45" s="100"/>
      <c r="INH45" s="100"/>
      <c r="INI45" s="100"/>
      <c r="INJ45" s="100"/>
      <c r="INK45" s="100"/>
      <c r="INL45" s="100"/>
      <c r="INM45" s="100"/>
      <c r="INN45" s="100"/>
      <c r="INO45" s="100"/>
      <c r="INP45" s="100"/>
      <c r="INQ45" s="100"/>
      <c r="INR45" s="100"/>
      <c r="INS45" s="100"/>
      <c r="INT45" s="100"/>
      <c r="INU45" s="100"/>
      <c r="INV45" s="100"/>
      <c r="INW45" s="100"/>
      <c r="INX45" s="100"/>
      <c r="INY45" s="100"/>
      <c r="INZ45" s="100"/>
      <c r="IOA45" s="100"/>
      <c r="IOB45" s="100"/>
      <c r="IOC45" s="100"/>
      <c r="IOD45" s="100"/>
      <c r="IOE45" s="100"/>
      <c r="IOF45" s="100"/>
      <c r="IOG45" s="100"/>
      <c r="IOH45" s="100"/>
      <c r="IOI45" s="100"/>
      <c r="IOJ45" s="100"/>
      <c r="IOK45" s="100"/>
      <c r="IOL45" s="100"/>
      <c r="IOM45" s="100"/>
      <c r="ION45" s="100"/>
      <c r="IOO45" s="100"/>
      <c r="IOP45" s="100"/>
      <c r="IOQ45" s="100"/>
      <c r="IOR45" s="100"/>
      <c r="IOS45" s="100"/>
      <c r="IOT45" s="100"/>
      <c r="IOU45" s="100"/>
      <c r="IOV45" s="100"/>
      <c r="IOW45" s="100"/>
      <c r="IOX45" s="100"/>
      <c r="IOY45" s="100"/>
      <c r="IOZ45" s="100"/>
      <c r="IPA45" s="100"/>
      <c r="IPB45" s="100"/>
      <c r="IPC45" s="100"/>
      <c r="IPD45" s="100"/>
      <c r="IPE45" s="100"/>
      <c r="IPF45" s="100"/>
      <c r="IPG45" s="100"/>
      <c r="IPH45" s="100"/>
      <c r="IPI45" s="100"/>
      <c r="IPJ45" s="100"/>
      <c r="IPK45" s="100"/>
      <c r="IPL45" s="100"/>
      <c r="IPM45" s="100"/>
      <c r="IPN45" s="100"/>
      <c r="IPO45" s="100"/>
      <c r="IPP45" s="100"/>
      <c r="IPQ45" s="100"/>
      <c r="IPR45" s="100"/>
      <c r="IPS45" s="100"/>
      <c r="IPT45" s="100"/>
      <c r="IPU45" s="100"/>
      <c r="IPV45" s="100"/>
      <c r="IPW45" s="100"/>
      <c r="IPX45" s="100"/>
      <c r="IPY45" s="100"/>
      <c r="IPZ45" s="100"/>
      <c r="IQA45" s="100"/>
      <c r="IQB45" s="100"/>
      <c r="IQC45" s="100"/>
      <c r="IQD45" s="100"/>
      <c r="IQE45" s="100"/>
      <c r="IQF45" s="100"/>
      <c r="IQG45" s="100"/>
      <c r="IQH45" s="100"/>
      <c r="IQI45" s="100"/>
      <c r="IQJ45" s="100"/>
      <c r="IQK45" s="100"/>
      <c r="IQL45" s="100"/>
      <c r="IQM45" s="100"/>
      <c r="IQN45" s="100"/>
      <c r="IQO45" s="100"/>
      <c r="IQP45" s="100"/>
      <c r="IQQ45" s="100"/>
      <c r="IQR45" s="100"/>
      <c r="IQS45" s="100"/>
      <c r="IQT45" s="100"/>
      <c r="IQU45" s="100"/>
      <c r="IQV45" s="100"/>
      <c r="IQW45" s="100"/>
      <c r="IQX45" s="100"/>
      <c r="IQY45" s="100"/>
      <c r="IQZ45" s="100"/>
      <c r="IRA45" s="100"/>
      <c r="IRB45" s="100"/>
      <c r="IRC45" s="100"/>
      <c r="IRD45" s="100"/>
      <c r="IRE45" s="100"/>
      <c r="IRF45" s="100"/>
      <c r="IRG45" s="100"/>
      <c r="IRH45" s="100"/>
      <c r="IRI45" s="100"/>
      <c r="IRJ45" s="100"/>
      <c r="IRK45" s="100"/>
      <c r="IRL45" s="100"/>
      <c r="IRM45" s="100"/>
      <c r="IRN45" s="100"/>
      <c r="IRO45" s="100"/>
      <c r="IRP45" s="100"/>
      <c r="IRQ45" s="100"/>
      <c r="IRR45" s="100"/>
      <c r="IRS45" s="100"/>
      <c r="IRT45" s="100"/>
      <c r="IRU45" s="100"/>
      <c r="IRV45" s="100"/>
      <c r="IRW45" s="100"/>
      <c r="IRX45" s="100"/>
      <c r="IRY45" s="100"/>
      <c r="IRZ45" s="100"/>
      <c r="ISA45" s="100"/>
      <c r="ISB45" s="100"/>
      <c r="ISC45" s="100"/>
      <c r="ISD45" s="100"/>
      <c r="ISE45" s="100"/>
      <c r="ISF45" s="100"/>
      <c r="ISG45" s="100"/>
      <c r="ISH45" s="100"/>
      <c r="ISI45" s="100"/>
      <c r="ISJ45" s="100"/>
      <c r="ISK45" s="100"/>
      <c r="ISL45" s="100"/>
      <c r="ISM45" s="100"/>
      <c r="ISN45" s="100"/>
      <c r="ISO45" s="100"/>
      <c r="ISP45" s="100"/>
      <c r="ISQ45" s="100"/>
      <c r="ISR45" s="100"/>
      <c r="ISS45" s="100"/>
      <c r="IST45" s="100"/>
      <c r="ISU45" s="100"/>
      <c r="ISV45" s="100"/>
      <c r="ISW45" s="100"/>
      <c r="ISX45" s="100"/>
      <c r="ISY45" s="100"/>
      <c r="ISZ45" s="100"/>
      <c r="ITA45" s="100"/>
      <c r="ITB45" s="100"/>
      <c r="ITC45" s="100"/>
      <c r="ITD45" s="100"/>
      <c r="ITE45" s="100"/>
      <c r="ITF45" s="100"/>
      <c r="ITG45" s="100"/>
      <c r="ITH45" s="100"/>
      <c r="ITI45" s="100"/>
      <c r="ITJ45" s="100"/>
      <c r="ITK45" s="100"/>
      <c r="ITL45" s="100"/>
      <c r="ITM45" s="100"/>
      <c r="ITN45" s="100"/>
      <c r="ITO45" s="100"/>
      <c r="ITP45" s="100"/>
      <c r="ITQ45" s="100"/>
      <c r="ITR45" s="100"/>
      <c r="ITS45" s="100"/>
      <c r="ITT45" s="100"/>
      <c r="ITU45" s="100"/>
      <c r="ITV45" s="100"/>
      <c r="ITW45" s="100"/>
      <c r="ITX45" s="100"/>
      <c r="ITY45" s="100"/>
      <c r="ITZ45" s="100"/>
      <c r="IUA45" s="100"/>
      <c r="IUB45" s="100"/>
      <c r="IUC45" s="100"/>
      <c r="IUD45" s="100"/>
      <c r="IUE45" s="100"/>
      <c r="IUF45" s="100"/>
      <c r="IUG45" s="100"/>
      <c r="IUH45" s="100"/>
      <c r="IUI45" s="100"/>
      <c r="IUJ45" s="100"/>
      <c r="IUK45" s="100"/>
      <c r="IUL45" s="100"/>
      <c r="IUM45" s="100"/>
      <c r="IUN45" s="100"/>
      <c r="IUO45" s="100"/>
      <c r="IUP45" s="100"/>
      <c r="IUQ45" s="100"/>
      <c r="IUR45" s="100"/>
      <c r="IUS45" s="100"/>
      <c r="IUT45" s="100"/>
      <c r="IUU45" s="100"/>
      <c r="IUV45" s="100"/>
      <c r="IUW45" s="100"/>
      <c r="IUX45" s="100"/>
      <c r="IUY45" s="100"/>
      <c r="IUZ45" s="100"/>
      <c r="IVA45" s="100"/>
      <c r="IVB45" s="100"/>
      <c r="IVC45" s="100"/>
      <c r="IVD45" s="100"/>
      <c r="IVE45" s="100"/>
      <c r="IVF45" s="100"/>
      <c r="IVG45" s="100"/>
      <c r="IVH45" s="100"/>
      <c r="IVI45" s="100"/>
      <c r="IVJ45" s="100"/>
      <c r="IVK45" s="100"/>
      <c r="IVL45" s="100"/>
      <c r="IVM45" s="100"/>
      <c r="IVN45" s="100"/>
      <c r="IVO45" s="100"/>
      <c r="IVP45" s="100"/>
      <c r="IVQ45" s="100"/>
      <c r="IVR45" s="100"/>
      <c r="IVS45" s="100"/>
      <c r="IVT45" s="100"/>
      <c r="IVU45" s="100"/>
      <c r="IVV45" s="100"/>
      <c r="IVW45" s="100"/>
      <c r="IVX45" s="100"/>
      <c r="IVY45" s="100"/>
      <c r="IVZ45" s="100"/>
      <c r="IWA45" s="100"/>
      <c r="IWB45" s="100"/>
      <c r="IWC45" s="100"/>
      <c r="IWD45" s="100"/>
      <c r="IWE45" s="100"/>
      <c r="IWF45" s="100"/>
      <c r="IWG45" s="100"/>
      <c r="IWH45" s="100"/>
      <c r="IWI45" s="100"/>
      <c r="IWJ45" s="100"/>
      <c r="IWK45" s="100"/>
      <c r="IWL45" s="100"/>
      <c r="IWM45" s="100"/>
      <c r="IWN45" s="100"/>
      <c r="IWO45" s="100"/>
      <c r="IWP45" s="100"/>
      <c r="IWQ45" s="100"/>
      <c r="IWR45" s="100"/>
      <c r="IWS45" s="100"/>
      <c r="IWT45" s="100"/>
      <c r="IWU45" s="100"/>
      <c r="IWV45" s="100"/>
      <c r="IWW45" s="100"/>
      <c r="IWX45" s="100"/>
      <c r="IWY45" s="100"/>
      <c r="IWZ45" s="100"/>
      <c r="IXA45" s="100"/>
      <c r="IXB45" s="100"/>
      <c r="IXC45" s="100"/>
      <c r="IXD45" s="100"/>
      <c r="IXE45" s="100"/>
      <c r="IXF45" s="100"/>
      <c r="IXG45" s="100"/>
      <c r="IXH45" s="100"/>
      <c r="IXI45" s="100"/>
      <c r="IXJ45" s="100"/>
      <c r="IXK45" s="100"/>
      <c r="IXL45" s="100"/>
      <c r="IXM45" s="100"/>
      <c r="IXN45" s="100"/>
      <c r="IXO45" s="100"/>
      <c r="IXP45" s="100"/>
      <c r="IXQ45" s="100"/>
      <c r="IXR45" s="100"/>
      <c r="IXS45" s="100"/>
      <c r="IXT45" s="100"/>
      <c r="IXU45" s="100"/>
      <c r="IXV45" s="100"/>
      <c r="IXW45" s="100"/>
      <c r="IXX45" s="100"/>
      <c r="IXY45" s="100"/>
      <c r="IXZ45" s="100"/>
      <c r="IYA45" s="100"/>
      <c r="IYB45" s="100"/>
      <c r="IYC45" s="100"/>
      <c r="IYD45" s="100"/>
      <c r="IYE45" s="100"/>
      <c r="IYF45" s="100"/>
      <c r="IYG45" s="100"/>
      <c r="IYH45" s="100"/>
      <c r="IYI45" s="100"/>
      <c r="IYJ45" s="100"/>
      <c r="IYK45" s="100"/>
      <c r="IYL45" s="100"/>
      <c r="IYM45" s="100"/>
      <c r="IYN45" s="100"/>
      <c r="IYO45" s="100"/>
      <c r="IYP45" s="100"/>
      <c r="IYQ45" s="100"/>
      <c r="IYR45" s="100"/>
      <c r="IYS45" s="100"/>
      <c r="IYT45" s="100"/>
      <c r="IYU45" s="100"/>
      <c r="IYV45" s="100"/>
      <c r="IYW45" s="100"/>
      <c r="IYX45" s="100"/>
      <c r="IYY45" s="100"/>
      <c r="IYZ45" s="100"/>
      <c r="IZA45" s="100"/>
      <c r="IZB45" s="100"/>
      <c r="IZC45" s="100"/>
      <c r="IZD45" s="100"/>
      <c r="IZE45" s="100"/>
      <c r="IZF45" s="100"/>
      <c r="IZG45" s="100"/>
      <c r="IZH45" s="100"/>
      <c r="IZI45" s="100"/>
      <c r="IZJ45" s="100"/>
      <c r="IZK45" s="100"/>
      <c r="IZL45" s="100"/>
      <c r="IZM45" s="100"/>
      <c r="IZN45" s="100"/>
      <c r="IZO45" s="100"/>
      <c r="IZP45" s="100"/>
      <c r="IZQ45" s="100"/>
      <c r="IZR45" s="100"/>
      <c r="IZS45" s="100"/>
      <c r="IZT45" s="100"/>
      <c r="IZU45" s="100"/>
      <c r="IZV45" s="100"/>
      <c r="IZW45" s="100"/>
      <c r="IZX45" s="100"/>
      <c r="IZY45" s="100"/>
      <c r="IZZ45" s="100"/>
      <c r="JAA45" s="100"/>
      <c r="JAB45" s="100"/>
      <c r="JAC45" s="100"/>
      <c r="JAD45" s="100"/>
      <c r="JAE45" s="100"/>
      <c r="JAF45" s="100"/>
      <c r="JAG45" s="100"/>
      <c r="JAH45" s="100"/>
      <c r="JAI45" s="100"/>
      <c r="JAJ45" s="100"/>
      <c r="JAK45" s="100"/>
      <c r="JAL45" s="100"/>
      <c r="JAM45" s="100"/>
      <c r="JAN45" s="100"/>
      <c r="JAO45" s="100"/>
      <c r="JAP45" s="100"/>
      <c r="JAQ45" s="100"/>
      <c r="JAR45" s="100"/>
      <c r="JAS45" s="100"/>
      <c r="JAT45" s="100"/>
      <c r="JAU45" s="100"/>
      <c r="JAV45" s="100"/>
      <c r="JAW45" s="100"/>
      <c r="JAX45" s="100"/>
      <c r="JAY45" s="100"/>
      <c r="JAZ45" s="100"/>
      <c r="JBA45" s="100"/>
      <c r="JBB45" s="100"/>
      <c r="JBC45" s="100"/>
      <c r="JBD45" s="100"/>
      <c r="JBE45" s="100"/>
      <c r="JBF45" s="100"/>
      <c r="JBG45" s="100"/>
      <c r="JBH45" s="100"/>
      <c r="JBI45" s="100"/>
      <c r="JBJ45" s="100"/>
      <c r="JBK45" s="100"/>
      <c r="JBL45" s="100"/>
      <c r="JBM45" s="100"/>
      <c r="JBN45" s="100"/>
      <c r="JBO45" s="100"/>
      <c r="JBP45" s="100"/>
      <c r="JBQ45" s="100"/>
      <c r="JBR45" s="100"/>
      <c r="JBS45" s="100"/>
      <c r="JBT45" s="100"/>
      <c r="JBU45" s="100"/>
      <c r="JBV45" s="100"/>
      <c r="JBW45" s="100"/>
      <c r="JBX45" s="100"/>
      <c r="JBY45" s="100"/>
      <c r="JBZ45" s="100"/>
      <c r="JCA45" s="100"/>
      <c r="JCB45" s="100"/>
      <c r="JCC45" s="100"/>
      <c r="JCD45" s="100"/>
      <c r="JCE45" s="100"/>
      <c r="JCF45" s="100"/>
      <c r="JCG45" s="100"/>
      <c r="JCH45" s="100"/>
      <c r="JCI45" s="100"/>
      <c r="JCJ45" s="100"/>
      <c r="JCK45" s="100"/>
      <c r="JCL45" s="100"/>
      <c r="JCM45" s="100"/>
      <c r="JCN45" s="100"/>
      <c r="JCO45" s="100"/>
      <c r="JCP45" s="100"/>
      <c r="JCQ45" s="100"/>
      <c r="JCR45" s="100"/>
      <c r="JCS45" s="100"/>
      <c r="JCT45" s="100"/>
      <c r="JCU45" s="100"/>
      <c r="JCV45" s="100"/>
      <c r="JCW45" s="100"/>
      <c r="JCX45" s="100"/>
      <c r="JCY45" s="100"/>
      <c r="JCZ45" s="100"/>
      <c r="JDA45" s="100"/>
      <c r="JDB45" s="100"/>
      <c r="JDC45" s="100"/>
      <c r="JDD45" s="100"/>
      <c r="JDE45" s="100"/>
      <c r="JDF45" s="100"/>
      <c r="JDG45" s="100"/>
      <c r="JDH45" s="100"/>
      <c r="JDI45" s="100"/>
      <c r="JDJ45" s="100"/>
      <c r="JDK45" s="100"/>
      <c r="JDL45" s="100"/>
      <c r="JDM45" s="100"/>
      <c r="JDN45" s="100"/>
      <c r="JDO45" s="100"/>
      <c r="JDP45" s="100"/>
      <c r="JDQ45" s="100"/>
      <c r="JDR45" s="100"/>
      <c r="JDS45" s="100"/>
      <c r="JDT45" s="100"/>
      <c r="JDU45" s="100"/>
      <c r="JDV45" s="100"/>
      <c r="JDW45" s="100"/>
      <c r="JDX45" s="100"/>
      <c r="JDY45" s="100"/>
      <c r="JDZ45" s="100"/>
      <c r="JEA45" s="100"/>
      <c r="JEB45" s="100"/>
      <c r="JEC45" s="100"/>
      <c r="JED45" s="100"/>
      <c r="JEE45" s="100"/>
      <c r="JEF45" s="100"/>
      <c r="JEG45" s="100"/>
      <c r="JEH45" s="100"/>
      <c r="JEI45" s="100"/>
      <c r="JEJ45" s="100"/>
      <c r="JEK45" s="100"/>
      <c r="JEL45" s="100"/>
      <c r="JEM45" s="100"/>
      <c r="JEN45" s="100"/>
      <c r="JEO45" s="100"/>
      <c r="JEP45" s="100"/>
      <c r="JEQ45" s="100"/>
      <c r="JER45" s="100"/>
      <c r="JES45" s="100"/>
      <c r="JET45" s="100"/>
      <c r="JEU45" s="100"/>
      <c r="JEV45" s="100"/>
      <c r="JEW45" s="100"/>
      <c r="JEX45" s="100"/>
      <c r="JEY45" s="100"/>
      <c r="JEZ45" s="100"/>
      <c r="JFA45" s="100"/>
      <c r="JFB45" s="100"/>
      <c r="JFC45" s="100"/>
      <c r="JFD45" s="100"/>
      <c r="JFE45" s="100"/>
      <c r="JFF45" s="100"/>
      <c r="JFG45" s="100"/>
      <c r="JFH45" s="100"/>
      <c r="JFI45" s="100"/>
      <c r="JFJ45" s="100"/>
      <c r="JFK45" s="100"/>
      <c r="JFL45" s="100"/>
      <c r="JFM45" s="100"/>
      <c r="JFN45" s="100"/>
      <c r="JFO45" s="100"/>
      <c r="JFP45" s="100"/>
      <c r="JFQ45" s="100"/>
      <c r="JFR45" s="100"/>
      <c r="JFS45" s="100"/>
      <c r="JFT45" s="100"/>
      <c r="JFU45" s="100"/>
      <c r="JFV45" s="100"/>
      <c r="JFW45" s="100"/>
      <c r="JFX45" s="100"/>
      <c r="JFY45" s="100"/>
      <c r="JFZ45" s="100"/>
      <c r="JGA45" s="100"/>
      <c r="JGB45" s="100"/>
      <c r="JGC45" s="100"/>
      <c r="JGD45" s="100"/>
      <c r="JGE45" s="100"/>
      <c r="JGF45" s="100"/>
      <c r="JGG45" s="100"/>
      <c r="JGH45" s="100"/>
      <c r="JGI45" s="100"/>
      <c r="JGJ45" s="100"/>
      <c r="JGK45" s="100"/>
      <c r="JGL45" s="100"/>
      <c r="JGM45" s="100"/>
      <c r="JGN45" s="100"/>
      <c r="JGO45" s="100"/>
      <c r="JGP45" s="100"/>
      <c r="JGQ45" s="100"/>
      <c r="JGR45" s="100"/>
      <c r="JGS45" s="100"/>
      <c r="JGT45" s="100"/>
      <c r="JGU45" s="100"/>
      <c r="JGV45" s="100"/>
      <c r="JGW45" s="100"/>
      <c r="JGX45" s="100"/>
      <c r="JGY45" s="100"/>
      <c r="JGZ45" s="100"/>
      <c r="JHA45" s="100"/>
      <c r="JHB45" s="100"/>
      <c r="JHC45" s="100"/>
      <c r="JHD45" s="100"/>
      <c r="JHE45" s="100"/>
      <c r="JHF45" s="100"/>
      <c r="JHG45" s="100"/>
      <c r="JHH45" s="100"/>
      <c r="JHI45" s="100"/>
      <c r="JHJ45" s="100"/>
      <c r="JHK45" s="100"/>
      <c r="JHL45" s="100"/>
      <c r="JHM45" s="100"/>
      <c r="JHN45" s="100"/>
      <c r="JHO45" s="100"/>
      <c r="JHP45" s="100"/>
      <c r="JHQ45" s="100"/>
      <c r="JHR45" s="100"/>
      <c r="JHS45" s="100"/>
      <c r="JHT45" s="100"/>
      <c r="JHU45" s="100"/>
      <c r="JHV45" s="100"/>
      <c r="JHW45" s="100"/>
      <c r="JHX45" s="100"/>
      <c r="JHY45" s="100"/>
      <c r="JHZ45" s="100"/>
      <c r="JIA45" s="100"/>
      <c r="JIB45" s="100"/>
      <c r="JIC45" s="100"/>
      <c r="JID45" s="100"/>
      <c r="JIE45" s="100"/>
      <c r="JIF45" s="100"/>
      <c r="JIG45" s="100"/>
      <c r="JIH45" s="100"/>
      <c r="JII45" s="100"/>
      <c r="JIJ45" s="100"/>
      <c r="JIK45" s="100"/>
      <c r="JIL45" s="100"/>
      <c r="JIM45" s="100"/>
      <c r="JIN45" s="100"/>
      <c r="JIO45" s="100"/>
      <c r="JIP45" s="100"/>
      <c r="JIQ45" s="100"/>
      <c r="JIR45" s="100"/>
      <c r="JIS45" s="100"/>
      <c r="JIT45" s="100"/>
      <c r="JIU45" s="100"/>
      <c r="JIV45" s="100"/>
      <c r="JIW45" s="100"/>
      <c r="JIX45" s="100"/>
      <c r="JIY45" s="100"/>
      <c r="JIZ45" s="100"/>
      <c r="JJA45" s="100"/>
      <c r="JJB45" s="100"/>
      <c r="JJC45" s="100"/>
      <c r="JJD45" s="100"/>
      <c r="JJE45" s="100"/>
      <c r="JJF45" s="100"/>
      <c r="JJG45" s="100"/>
      <c r="JJH45" s="100"/>
      <c r="JJI45" s="100"/>
      <c r="JJJ45" s="100"/>
      <c r="JJK45" s="100"/>
      <c r="JJL45" s="100"/>
      <c r="JJM45" s="100"/>
      <c r="JJN45" s="100"/>
      <c r="JJO45" s="100"/>
      <c r="JJP45" s="100"/>
      <c r="JJQ45" s="100"/>
      <c r="JJR45" s="100"/>
      <c r="JJS45" s="100"/>
      <c r="JJT45" s="100"/>
      <c r="JJU45" s="100"/>
      <c r="JJV45" s="100"/>
      <c r="JJW45" s="100"/>
      <c r="JJX45" s="100"/>
      <c r="JJY45" s="100"/>
      <c r="JJZ45" s="100"/>
      <c r="JKA45" s="100"/>
      <c r="JKB45" s="100"/>
      <c r="JKC45" s="100"/>
      <c r="JKD45" s="100"/>
      <c r="JKE45" s="100"/>
      <c r="JKF45" s="100"/>
      <c r="JKG45" s="100"/>
      <c r="JKH45" s="100"/>
      <c r="JKI45" s="100"/>
      <c r="JKJ45" s="100"/>
      <c r="JKK45" s="100"/>
      <c r="JKL45" s="100"/>
      <c r="JKM45" s="100"/>
      <c r="JKN45" s="100"/>
      <c r="JKO45" s="100"/>
      <c r="JKP45" s="100"/>
      <c r="JKQ45" s="100"/>
      <c r="JKR45" s="100"/>
      <c r="JKS45" s="100"/>
      <c r="JKT45" s="100"/>
      <c r="JKU45" s="100"/>
      <c r="JKV45" s="100"/>
      <c r="JKW45" s="100"/>
      <c r="JKX45" s="100"/>
      <c r="JKY45" s="100"/>
      <c r="JKZ45" s="100"/>
      <c r="JLA45" s="100"/>
      <c r="JLB45" s="100"/>
      <c r="JLC45" s="100"/>
      <c r="JLD45" s="100"/>
      <c r="JLE45" s="100"/>
      <c r="JLF45" s="100"/>
      <c r="JLG45" s="100"/>
      <c r="JLH45" s="100"/>
      <c r="JLI45" s="100"/>
      <c r="JLJ45" s="100"/>
      <c r="JLK45" s="100"/>
      <c r="JLL45" s="100"/>
      <c r="JLM45" s="100"/>
      <c r="JLN45" s="100"/>
      <c r="JLO45" s="100"/>
      <c r="JLP45" s="100"/>
      <c r="JLQ45" s="100"/>
      <c r="JLR45" s="100"/>
      <c r="JLS45" s="100"/>
      <c r="JLT45" s="100"/>
      <c r="JLU45" s="100"/>
      <c r="JLV45" s="100"/>
      <c r="JLW45" s="100"/>
      <c r="JLX45" s="100"/>
      <c r="JLY45" s="100"/>
      <c r="JLZ45" s="100"/>
      <c r="JMA45" s="100"/>
      <c r="JMB45" s="100"/>
      <c r="JMC45" s="100"/>
      <c r="JMD45" s="100"/>
      <c r="JME45" s="100"/>
      <c r="JMF45" s="100"/>
      <c r="JMG45" s="100"/>
      <c r="JMH45" s="100"/>
      <c r="JMI45" s="100"/>
      <c r="JMJ45" s="100"/>
      <c r="JMK45" s="100"/>
      <c r="JML45" s="100"/>
      <c r="JMM45" s="100"/>
      <c r="JMN45" s="100"/>
      <c r="JMO45" s="100"/>
      <c r="JMP45" s="100"/>
      <c r="JMQ45" s="100"/>
      <c r="JMR45" s="100"/>
      <c r="JMS45" s="100"/>
      <c r="JMT45" s="100"/>
      <c r="JMU45" s="100"/>
      <c r="JMV45" s="100"/>
      <c r="JMW45" s="100"/>
      <c r="JMX45" s="100"/>
      <c r="JMY45" s="100"/>
      <c r="JMZ45" s="100"/>
      <c r="JNA45" s="100"/>
      <c r="JNB45" s="100"/>
      <c r="JNC45" s="100"/>
      <c r="JND45" s="100"/>
      <c r="JNE45" s="100"/>
      <c r="JNF45" s="100"/>
      <c r="JNG45" s="100"/>
      <c r="JNH45" s="100"/>
      <c r="JNI45" s="100"/>
      <c r="JNJ45" s="100"/>
      <c r="JNK45" s="100"/>
      <c r="JNL45" s="100"/>
      <c r="JNM45" s="100"/>
      <c r="JNN45" s="100"/>
      <c r="JNO45" s="100"/>
      <c r="JNP45" s="100"/>
      <c r="JNQ45" s="100"/>
      <c r="JNR45" s="100"/>
      <c r="JNS45" s="100"/>
      <c r="JNT45" s="100"/>
      <c r="JNU45" s="100"/>
      <c r="JNV45" s="100"/>
      <c r="JNW45" s="100"/>
      <c r="JNX45" s="100"/>
      <c r="JNY45" s="100"/>
      <c r="JNZ45" s="100"/>
      <c r="JOA45" s="100"/>
      <c r="JOB45" s="100"/>
      <c r="JOC45" s="100"/>
      <c r="JOD45" s="100"/>
      <c r="JOE45" s="100"/>
      <c r="JOF45" s="100"/>
      <c r="JOG45" s="100"/>
      <c r="JOH45" s="100"/>
      <c r="JOI45" s="100"/>
      <c r="JOJ45" s="100"/>
      <c r="JOK45" s="100"/>
      <c r="JOL45" s="100"/>
      <c r="JOM45" s="100"/>
      <c r="JON45" s="100"/>
      <c r="JOO45" s="100"/>
      <c r="JOP45" s="100"/>
      <c r="JOQ45" s="100"/>
      <c r="JOR45" s="100"/>
      <c r="JOS45" s="100"/>
      <c r="JOT45" s="100"/>
      <c r="JOU45" s="100"/>
      <c r="JOV45" s="100"/>
      <c r="JOW45" s="100"/>
      <c r="JOX45" s="100"/>
      <c r="JOY45" s="100"/>
      <c r="JOZ45" s="100"/>
      <c r="JPA45" s="100"/>
      <c r="JPB45" s="100"/>
      <c r="JPC45" s="100"/>
      <c r="JPD45" s="100"/>
      <c r="JPE45" s="100"/>
      <c r="JPF45" s="100"/>
      <c r="JPG45" s="100"/>
      <c r="JPH45" s="100"/>
      <c r="JPI45" s="100"/>
      <c r="JPJ45" s="100"/>
      <c r="JPK45" s="100"/>
      <c r="JPL45" s="100"/>
      <c r="JPM45" s="100"/>
      <c r="JPN45" s="100"/>
      <c r="JPO45" s="100"/>
      <c r="JPP45" s="100"/>
      <c r="JPQ45" s="100"/>
      <c r="JPR45" s="100"/>
      <c r="JPS45" s="100"/>
      <c r="JPT45" s="100"/>
      <c r="JPU45" s="100"/>
      <c r="JPV45" s="100"/>
      <c r="JPW45" s="100"/>
      <c r="JPX45" s="100"/>
      <c r="JPY45" s="100"/>
      <c r="JPZ45" s="100"/>
      <c r="JQA45" s="100"/>
      <c r="JQB45" s="100"/>
      <c r="JQC45" s="100"/>
      <c r="JQD45" s="100"/>
      <c r="JQE45" s="100"/>
      <c r="JQF45" s="100"/>
      <c r="JQG45" s="100"/>
      <c r="JQH45" s="100"/>
      <c r="JQI45" s="100"/>
      <c r="JQJ45" s="100"/>
      <c r="JQK45" s="100"/>
      <c r="JQL45" s="100"/>
      <c r="JQM45" s="100"/>
      <c r="JQN45" s="100"/>
      <c r="JQO45" s="100"/>
      <c r="JQP45" s="100"/>
      <c r="JQQ45" s="100"/>
      <c r="JQR45" s="100"/>
      <c r="JQS45" s="100"/>
      <c r="JQT45" s="100"/>
      <c r="JQU45" s="100"/>
      <c r="JQV45" s="100"/>
      <c r="JQW45" s="100"/>
      <c r="JQX45" s="100"/>
      <c r="JQY45" s="100"/>
      <c r="JQZ45" s="100"/>
      <c r="JRA45" s="100"/>
      <c r="JRB45" s="100"/>
      <c r="JRC45" s="100"/>
      <c r="JRD45" s="100"/>
      <c r="JRE45" s="100"/>
      <c r="JRF45" s="100"/>
      <c r="JRG45" s="100"/>
      <c r="JRH45" s="100"/>
      <c r="JRI45" s="100"/>
      <c r="JRJ45" s="100"/>
      <c r="JRK45" s="100"/>
      <c r="JRL45" s="100"/>
      <c r="JRM45" s="100"/>
      <c r="JRN45" s="100"/>
      <c r="JRO45" s="100"/>
      <c r="JRP45" s="100"/>
      <c r="JRQ45" s="100"/>
      <c r="JRR45" s="100"/>
      <c r="JRS45" s="100"/>
      <c r="JRT45" s="100"/>
      <c r="JRU45" s="100"/>
      <c r="JRV45" s="100"/>
      <c r="JRW45" s="100"/>
      <c r="JRX45" s="100"/>
      <c r="JRY45" s="100"/>
      <c r="JRZ45" s="100"/>
      <c r="JSA45" s="100"/>
      <c r="JSB45" s="100"/>
      <c r="JSC45" s="100"/>
      <c r="JSD45" s="100"/>
      <c r="JSE45" s="100"/>
      <c r="JSF45" s="100"/>
      <c r="JSG45" s="100"/>
      <c r="JSH45" s="100"/>
      <c r="JSI45" s="100"/>
      <c r="JSJ45" s="100"/>
      <c r="JSK45" s="100"/>
      <c r="JSL45" s="100"/>
      <c r="JSM45" s="100"/>
      <c r="JSN45" s="100"/>
      <c r="JSO45" s="100"/>
      <c r="JSP45" s="100"/>
      <c r="JSQ45" s="100"/>
      <c r="JSR45" s="100"/>
      <c r="JSS45" s="100"/>
      <c r="JST45" s="100"/>
      <c r="JSU45" s="100"/>
      <c r="JSV45" s="100"/>
      <c r="JSW45" s="100"/>
      <c r="JSX45" s="100"/>
      <c r="JSY45" s="100"/>
      <c r="JSZ45" s="100"/>
      <c r="JTA45" s="100"/>
      <c r="JTB45" s="100"/>
      <c r="JTC45" s="100"/>
      <c r="JTD45" s="100"/>
      <c r="JTE45" s="100"/>
      <c r="JTF45" s="100"/>
      <c r="JTG45" s="100"/>
      <c r="JTH45" s="100"/>
      <c r="JTI45" s="100"/>
      <c r="JTJ45" s="100"/>
      <c r="JTK45" s="100"/>
      <c r="JTL45" s="100"/>
      <c r="JTM45" s="100"/>
      <c r="JTN45" s="100"/>
      <c r="JTO45" s="100"/>
      <c r="JTP45" s="100"/>
      <c r="JTQ45" s="100"/>
      <c r="JTR45" s="100"/>
      <c r="JTS45" s="100"/>
      <c r="JTT45" s="100"/>
      <c r="JTU45" s="100"/>
      <c r="JTV45" s="100"/>
      <c r="JTW45" s="100"/>
      <c r="JTX45" s="100"/>
      <c r="JTY45" s="100"/>
      <c r="JTZ45" s="100"/>
      <c r="JUA45" s="100"/>
      <c r="JUB45" s="100"/>
      <c r="JUC45" s="100"/>
      <c r="JUD45" s="100"/>
      <c r="JUE45" s="100"/>
      <c r="JUF45" s="100"/>
      <c r="JUG45" s="100"/>
      <c r="JUH45" s="100"/>
      <c r="JUI45" s="100"/>
      <c r="JUJ45" s="100"/>
      <c r="JUK45" s="100"/>
      <c r="JUL45" s="100"/>
      <c r="JUM45" s="100"/>
      <c r="JUN45" s="100"/>
      <c r="JUO45" s="100"/>
      <c r="JUP45" s="100"/>
      <c r="JUQ45" s="100"/>
      <c r="JUR45" s="100"/>
      <c r="JUS45" s="100"/>
      <c r="JUT45" s="100"/>
      <c r="JUU45" s="100"/>
      <c r="JUV45" s="100"/>
      <c r="JUW45" s="100"/>
      <c r="JUX45" s="100"/>
      <c r="JUY45" s="100"/>
      <c r="JUZ45" s="100"/>
      <c r="JVA45" s="100"/>
      <c r="JVB45" s="100"/>
      <c r="JVC45" s="100"/>
      <c r="JVD45" s="100"/>
      <c r="JVE45" s="100"/>
      <c r="JVF45" s="100"/>
      <c r="JVG45" s="100"/>
      <c r="JVH45" s="100"/>
      <c r="JVI45" s="100"/>
      <c r="JVJ45" s="100"/>
      <c r="JVK45" s="100"/>
      <c r="JVL45" s="100"/>
      <c r="JVM45" s="100"/>
      <c r="JVN45" s="100"/>
      <c r="JVO45" s="100"/>
      <c r="JVP45" s="100"/>
      <c r="JVQ45" s="100"/>
      <c r="JVR45" s="100"/>
      <c r="JVS45" s="100"/>
      <c r="JVT45" s="100"/>
      <c r="JVU45" s="100"/>
      <c r="JVV45" s="100"/>
      <c r="JVW45" s="100"/>
      <c r="JVX45" s="100"/>
      <c r="JVY45" s="100"/>
      <c r="JVZ45" s="100"/>
      <c r="JWA45" s="100"/>
      <c r="JWB45" s="100"/>
      <c r="JWC45" s="100"/>
      <c r="JWD45" s="100"/>
      <c r="JWE45" s="100"/>
      <c r="JWF45" s="100"/>
      <c r="JWG45" s="100"/>
      <c r="JWH45" s="100"/>
      <c r="JWI45" s="100"/>
      <c r="JWJ45" s="100"/>
      <c r="JWK45" s="100"/>
      <c r="JWL45" s="100"/>
      <c r="JWM45" s="100"/>
      <c r="JWN45" s="100"/>
      <c r="JWO45" s="100"/>
      <c r="JWP45" s="100"/>
      <c r="JWQ45" s="100"/>
      <c r="JWR45" s="100"/>
      <c r="JWS45" s="100"/>
      <c r="JWT45" s="100"/>
      <c r="JWU45" s="100"/>
      <c r="JWV45" s="100"/>
      <c r="JWW45" s="100"/>
      <c r="JWX45" s="100"/>
      <c r="JWY45" s="100"/>
      <c r="JWZ45" s="100"/>
      <c r="JXA45" s="100"/>
      <c r="JXB45" s="100"/>
      <c r="JXC45" s="100"/>
      <c r="JXD45" s="100"/>
      <c r="JXE45" s="100"/>
      <c r="JXF45" s="100"/>
      <c r="JXG45" s="100"/>
      <c r="JXH45" s="100"/>
      <c r="JXI45" s="100"/>
      <c r="JXJ45" s="100"/>
      <c r="JXK45" s="100"/>
      <c r="JXL45" s="100"/>
      <c r="JXM45" s="100"/>
      <c r="JXN45" s="100"/>
      <c r="JXO45" s="100"/>
      <c r="JXP45" s="100"/>
      <c r="JXQ45" s="100"/>
      <c r="JXR45" s="100"/>
      <c r="JXS45" s="100"/>
      <c r="JXT45" s="100"/>
      <c r="JXU45" s="100"/>
      <c r="JXV45" s="100"/>
      <c r="JXW45" s="100"/>
      <c r="JXX45" s="100"/>
      <c r="JXY45" s="100"/>
      <c r="JXZ45" s="100"/>
      <c r="JYA45" s="100"/>
      <c r="JYB45" s="100"/>
      <c r="JYC45" s="100"/>
      <c r="JYD45" s="100"/>
      <c r="JYE45" s="100"/>
      <c r="JYF45" s="100"/>
      <c r="JYG45" s="100"/>
      <c r="JYH45" s="100"/>
      <c r="JYI45" s="100"/>
      <c r="JYJ45" s="100"/>
      <c r="JYK45" s="100"/>
      <c r="JYL45" s="100"/>
      <c r="JYM45" s="100"/>
      <c r="JYN45" s="100"/>
      <c r="JYO45" s="100"/>
      <c r="JYP45" s="100"/>
      <c r="JYQ45" s="100"/>
      <c r="JYR45" s="100"/>
      <c r="JYS45" s="100"/>
      <c r="JYT45" s="100"/>
      <c r="JYU45" s="100"/>
      <c r="JYV45" s="100"/>
      <c r="JYW45" s="100"/>
      <c r="JYX45" s="100"/>
      <c r="JYY45" s="100"/>
      <c r="JYZ45" s="100"/>
      <c r="JZA45" s="100"/>
      <c r="JZB45" s="100"/>
      <c r="JZC45" s="100"/>
      <c r="JZD45" s="100"/>
      <c r="JZE45" s="100"/>
      <c r="JZF45" s="100"/>
      <c r="JZG45" s="100"/>
      <c r="JZH45" s="100"/>
      <c r="JZI45" s="100"/>
      <c r="JZJ45" s="100"/>
      <c r="JZK45" s="100"/>
      <c r="JZL45" s="100"/>
      <c r="JZM45" s="100"/>
      <c r="JZN45" s="100"/>
      <c r="JZO45" s="100"/>
      <c r="JZP45" s="100"/>
      <c r="JZQ45" s="100"/>
      <c r="JZR45" s="100"/>
      <c r="JZS45" s="100"/>
      <c r="JZT45" s="100"/>
      <c r="JZU45" s="100"/>
      <c r="JZV45" s="100"/>
      <c r="JZW45" s="100"/>
      <c r="JZX45" s="100"/>
      <c r="JZY45" s="100"/>
      <c r="JZZ45" s="100"/>
      <c r="KAA45" s="100"/>
      <c r="KAB45" s="100"/>
      <c r="KAC45" s="100"/>
      <c r="KAD45" s="100"/>
      <c r="KAE45" s="100"/>
      <c r="KAF45" s="100"/>
      <c r="KAG45" s="100"/>
      <c r="KAH45" s="100"/>
      <c r="KAI45" s="100"/>
      <c r="KAJ45" s="100"/>
      <c r="KAK45" s="100"/>
      <c r="KAL45" s="100"/>
      <c r="KAM45" s="100"/>
      <c r="KAN45" s="100"/>
      <c r="KAO45" s="100"/>
      <c r="KAP45" s="100"/>
      <c r="KAQ45" s="100"/>
      <c r="KAR45" s="100"/>
      <c r="KAS45" s="100"/>
      <c r="KAT45" s="100"/>
      <c r="KAU45" s="100"/>
      <c r="KAV45" s="100"/>
      <c r="KAW45" s="100"/>
      <c r="KAX45" s="100"/>
      <c r="KAY45" s="100"/>
      <c r="KAZ45" s="100"/>
      <c r="KBA45" s="100"/>
      <c r="KBB45" s="100"/>
      <c r="KBC45" s="100"/>
      <c r="KBD45" s="100"/>
      <c r="KBE45" s="100"/>
      <c r="KBF45" s="100"/>
      <c r="KBG45" s="100"/>
      <c r="KBH45" s="100"/>
      <c r="KBI45" s="100"/>
      <c r="KBJ45" s="100"/>
      <c r="KBK45" s="100"/>
      <c r="KBL45" s="100"/>
      <c r="KBM45" s="100"/>
      <c r="KBN45" s="100"/>
      <c r="KBO45" s="100"/>
      <c r="KBP45" s="100"/>
      <c r="KBQ45" s="100"/>
      <c r="KBR45" s="100"/>
      <c r="KBS45" s="100"/>
      <c r="KBT45" s="100"/>
      <c r="KBU45" s="100"/>
      <c r="KBV45" s="100"/>
      <c r="KBW45" s="100"/>
      <c r="KBX45" s="100"/>
      <c r="KBY45" s="100"/>
      <c r="KBZ45" s="100"/>
      <c r="KCA45" s="100"/>
      <c r="KCB45" s="100"/>
      <c r="KCC45" s="100"/>
      <c r="KCD45" s="100"/>
      <c r="KCE45" s="100"/>
      <c r="KCF45" s="100"/>
      <c r="KCG45" s="100"/>
      <c r="KCH45" s="100"/>
      <c r="KCI45" s="100"/>
      <c r="KCJ45" s="100"/>
      <c r="KCK45" s="100"/>
      <c r="KCL45" s="100"/>
      <c r="KCM45" s="100"/>
      <c r="KCN45" s="100"/>
      <c r="KCO45" s="100"/>
      <c r="KCP45" s="100"/>
      <c r="KCQ45" s="100"/>
      <c r="KCR45" s="100"/>
      <c r="KCS45" s="100"/>
      <c r="KCT45" s="100"/>
      <c r="KCU45" s="100"/>
      <c r="KCV45" s="100"/>
      <c r="KCW45" s="100"/>
      <c r="KCX45" s="100"/>
      <c r="KCY45" s="100"/>
      <c r="KCZ45" s="100"/>
      <c r="KDA45" s="100"/>
      <c r="KDB45" s="100"/>
      <c r="KDC45" s="100"/>
      <c r="KDD45" s="100"/>
      <c r="KDE45" s="100"/>
      <c r="KDF45" s="100"/>
      <c r="KDG45" s="100"/>
      <c r="KDH45" s="100"/>
      <c r="KDI45" s="100"/>
      <c r="KDJ45" s="100"/>
      <c r="KDK45" s="100"/>
      <c r="KDL45" s="100"/>
      <c r="KDM45" s="100"/>
      <c r="KDN45" s="100"/>
      <c r="KDO45" s="100"/>
      <c r="KDP45" s="100"/>
      <c r="KDQ45" s="100"/>
      <c r="KDR45" s="100"/>
      <c r="KDS45" s="100"/>
      <c r="KDT45" s="100"/>
      <c r="KDU45" s="100"/>
      <c r="KDV45" s="100"/>
      <c r="KDW45" s="100"/>
      <c r="KDX45" s="100"/>
      <c r="KDY45" s="100"/>
      <c r="KDZ45" s="100"/>
      <c r="KEA45" s="100"/>
      <c r="KEB45" s="100"/>
      <c r="KEC45" s="100"/>
      <c r="KED45" s="100"/>
      <c r="KEE45" s="100"/>
      <c r="KEF45" s="100"/>
      <c r="KEG45" s="100"/>
      <c r="KEH45" s="100"/>
      <c r="KEI45" s="100"/>
      <c r="KEJ45" s="100"/>
      <c r="KEK45" s="100"/>
      <c r="KEL45" s="100"/>
      <c r="KEM45" s="100"/>
      <c r="KEN45" s="100"/>
      <c r="KEO45" s="100"/>
      <c r="KEP45" s="100"/>
      <c r="KEQ45" s="100"/>
      <c r="KER45" s="100"/>
      <c r="KES45" s="100"/>
      <c r="KET45" s="100"/>
      <c r="KEU45" s="100"/>
      <c r="KEV45" s="100"/>
      <c r="KEW45" s="100"/>
      <c r="KEX45" s="100"/>
      <c r="KEY45" s="100"/>
      <c r="KEZ45" s="100"/>
      <c r="KFA45" s="100"/>
      <c r="KFB45" s="100"/>
      <c r="KFC45" s="100"/>
      <c r="KFD45" s="100"/>
      <c r="KFE45" s="100"/>
      <c r="KFF45" s="100"/>
      <c r="KFG45" s="100"/>
      <c r="KFH45" s="100"/>
      <c r="KFI45" s="100"/>
      <c r="KFJ45" s="100"/>
      <c r="KFK45" s="100"/>
      <c r="KFL45" s="100"/>
      <c r="KFM45" s="100"/>
      <c r="KFN45" s="100"/>
      <c r="KFO45" s="100"/>
      <c r="KFP45" s="100"/>
      <c r="KFQ45" s="100"/>
      <c r="KFR45" s="100"/>
      <c r="KFS45" s="100"/>
      <c r="KFT45" s="100"/>
      <c r="KFU45" s="100"/>
      <c r="KFV45" s="100"/>
      <c r="KFW45" s="100"/>
      <c r="KFX45" s="100"/>
      <c r="KFY45" s="100"/>
      <c r="KFZ45" s="100"/>
      <c r="KGA45" s="100"/>
      <c r="KGB45" s="100"/>
      <c r="KGC45" s="100"/>
      <c r="KGD45" s="100"/>
      <c r="KGE45" s="100"/>
      <c r="KGF45" s="100"/>
      <c r="KGG45" s="100"/>
      <c r="KGH45" s="100"/>
      <c r="KGI45" s="100"/>
      <c r="KGJ45" s="100"/>
      <c r="KGK45" s="100"/>
      <c r="KGL45" s="100"/>
      <c r="KGM45" s="100"/>
      <c r="KGN45" s="100"/>
      <c r="KGO45" s="100"/>
      <c r="KGP45" s="100"/>
      <c r="KGQ45" s="100"/>
      <c r="KGR45" s="100"/>
      <c r="KGS45" s="100"/>
      <c r="KGT45" s="100"/>
      <c r="KGU45" s="100"/>
      <c r="KGV45" s="100"/>
      <c r="KGW45" s="100"/>
      <c r="KGX45" s="100"/>
      <c r="KGY45" s="100"/>
      <c r="KGZ45" s="100"/>
      <c r="KHA45" s="100"/>
      <c r="KHB45" s="100"/>
      <c r="KHC45" s="100"/>
      <c r="KHD45" s="100"/>
      <c r="KHE45" s="100"/>
      <c r="KHF45" s="100"/>
      <c r="KHG45" s="100"/>
      <c r="KHH45" s="100"/>
      <c r="KHI45" s="100"/>
      <c r="KHJ45" s="100"/>
      <c r="KHK45" s="100"/>
      <c r="KHL45" s="100"/>
      <c r="KHM45" s="100"/>
      <c r="KHN45" s="100"/>
      <c r="KHO45" s="100"/>
      <c r="KHP45" s="100"/>
      <c r="KHQ45" s="100"/>
      <c r="KHR45" s="100"/>
      <c r="KHS45" s="100"/>
      <c r="KHT45" s="100"/>
      <c r="KHU45" s="100"/>
      <c r="KHV45" s="100"/>
      <c r="KHW45" s="100"/>
      <c r="KHX45" s="100"/>
      <c r="KHY45" s="100"/>
      <c r="KHZ45" s="100"/>
      <c r="KIA45" s="100"/>
      <c r="KIB45" s="100"/>
      <c r="KIC45" s="100"/>
      <c r="KID45" s="100"/>
      <c r="KIE45" s="100"/>
      <c r="KIF45" s="100"/>
      <c r="KIG45" s="100"/>
      <c r="KIH45" s="100"/>
      <c r="KII45" s="100"/>
      <c r="KIJ45" s="100"/>
      <c r="KIK45" s="100"/>
      <c r="KIL45" s="100"/>
      <c r="KIM45" s="100"/>
      <c r="KIN45" s="100"/>
      <c r="KIO45" s="100"/>
      <c r="KIP45" s="100"/>
      <c r="KIQ45" s="100"/>
      <c r="KIR45" s="100"/>
      <c r="KIS45" s="100"/>
      <c r="KIT45" s="100"/>
      <c r="KIU45" s="100"/>
      <c r="KIV45" s="100"/>
      <c r="KIW45" s="100"/>
      <c r="KIX45" s="100"/>
      <c r="KIY45" s="100"/>
      <c r="KIZ45" s="100"/>
      <c r="KJA45" s="100"/>
      <c r="KJB45" s="100"/>
      <c r="KJC45" s="100"/>
      <c r="KJD45" s="100"/>
      <c r="KJE45" s="100"/>
      <c r="KJF45" s="100"/>
      <c r="KJG45" s="100"/>
      <c r="KJH45" s="100"/>
      <c r="KJI45" s="100"/>
      <c r="KJJ45" s="100"/>
      <c r="KJK45" s="100"/>
      <c r="KJL45" s="100"/>
      <c r="KJM45" s="100"/>
      <c r="KJN45" s="100"/>
      <c r="KJO45" s="100"/>
      <c r="KJP45" s="100"/>
      <c r="KJQ45" s="100"/>
      <c r="KJR45" s="100"/>
      <c r="KJS45" s="100"/>
      <c r="KJT45" s="100"/>
      <c r="KJU45" s="100"/>
      <c r="KJV45" s="100"/>
      <c r="KJW45" s="100"/>
      <c r="KJX45" s="100"/>
      <c r="KJY45" s="100"/>
      <c r="KJZ45" s="100"/>
      <c r="KKA45" s="100"/>
      <c r="KKB45" s="100"/>
      <c r="KKC45" s="100"/>
      <c r="KKD45" s="100"/>
      <c r="KKE45" s="100"/>
      <c r="KKF45" s="100"/>
      <c r="KKG45" s="100"/>
      <c r="KKH45" s="100"/>
      <c r="KKI45" s="100"/>
      <c r="KKJ45" s="100"/>
      <c r="KKK45" s="100"/>
      <c r="KKL45" s="100"/>
      <c r="KKM45" s="100"/>
      <c r="KKN45" s="100"/>
      <c r="KKO45" s="100"/>
      <c r="KKP45" s="100"/>
      <c r="KKQ45" s="100"/>
      <c r="KKR45" s="100"/>
      <c r="KKS45" s="100"/>
      <c r="KKT45" s="100"/>
      <c r="KKU45" s="100"/>
      <c r="KKV45" s="100"/>
      <c r="KKW45" s="100"/>
      <c r="KKX45" s="100"/>
      <c r="KKY45" s="100"/>
      <c r="KKZ45" s="100"/>
      <c r="KLA45" s="100"/>
      <c r="KLB45" s="100"/>
      <c r="KLC45" s="100"/>
      <c r="KLD45" s="100"/>
      <c r="KLE45" s="100"/>
      <c r="KLF45" s="100"/>
      <c r="KLG45" s="100"/>
      <c r="KLH45" s="100"/>
      <c r="KLI45" s="100"/>
      <c r="KLJ45" s="100"/>
      <c r="KLK45" s="100"/>
      <c r="KLL45" s="100"/>
      <c r="KLM45" s="100"/>
      <c r="KLN45" s="100"/>
      <c r="KLO45" s="100"/>
      <c r="KLP45" s="100"/>
      <c r="KLQ45" s="100"/>
      <c r="KLR45" s="100"/>
      <c r="KLS45" s="100"/>
      <c r="KLT45" s="100"/>
      <c r="KLU45" s="100"/>
      <c r="KLV45" s="100"/>
      <c r="KLW45" s="100"/>
      <c r="KLX45" s="100"/>
      <c r="KLY45" s="100"/>
      <c r="KLZ45" s="100"/>
      <c r="KMA45" s="100"/>
      <c r="KMB45" s="100"/>
      <c r="KMC45" s="100"/>
      <c r="KMD45" s="100"/>
      <c r="KME45" s="100"/>
      <c r="KMF45" s="100"/>
      <c r="KMG45" s="100"/>
      <c r="KMH45" s="100"/>
      <c r="KMI45" s="100"/>
      <c r="KMJ45" s="100"/>
      <c r="KMK45" s="100"/>
      <c r="KML45" s="100"/>
      <c r="KMM45" s="100"/>
      <c r="KMN45" s="100"/>
      <c r="KMO45" s="100"/>
      <c r="KMP45" s="100"/>
      <c r="KMQ45" s="100"/>
      <c r="KMR45" s="100"/>
      <c r="KMS45" s="100"/>
      <c r="KMT45" s="100"/>
      <c r="KMU45" s="100"/>
      <c r="KMV45" s="100"/>
      <c r="KMW45" s="100"/>
      <c r="KMX45" s="100"/>
      <c r="KMY45" s="100"/>
      <c r="KMZ45" s="100"/>
      <c r="KNA45" s="100"/>
      <c r="KNB45" s="100"/>
      <c r="KNC45" s="100"/>
      <c r="KND45" s="100"/>
      <c r="KNE45" s="100"/>
      <c r="KNF45" s="100"/>
      <c r="KNG45" s="100"/>
      <c r="KNH45" s="100"/>
      <c r="KNI45" s="100"/>
      <c r="KNJ45" s="100"/>
      <c r="KNK45" s="100"/>
      <c r="KNL45" s="100"/>
      <c r="KNM45" s="100"/>
      <c r="KNN45" s="100"/>
      <c r="KNO45" s="100"/>
      <c r="KNP45" s="100"/>
      <c r="KNQ45" s="100"/>
      <c r="KNR45" s="100"/>
      <c r="KNS45" s="100"/>
      <c r="KNT45" s="100"/>
      <c r="KNU45" s="100"/>
      <c r="KNV45" s="100"/>
      <c r="KNW45" s="100"/>
      <c r="KNX45" s="100"/>
      <c r="KNY45" s="100"/>
      <c r="KNZ45" s="100"/>
      <c r="KOA45" s="100"/>
      <c r="KOB45" s="100"/>
      <c r="KOC45" s="100"/>
      <c r="KOD45" s="100"/>
      <c r="KOE45" s="100"/>
      <c r="KOF45" s="100"/>
      <c r="KOG45" s="100"/>
      <c r="KOH45" s="100"/>
      <c r="KOI45" s="100"/>
      <c r="KOJ45" s="100"/>
      <c r="KOK45" s="100"/>
      <c r="KOL45" s="100"/>
      <c r="KOM45" s="100"/>
      <c r="KON45" s="100"/>
      <c r="KOO45" s="100"/>
      <c r="KOP45" s="100"/>
      <c r="KOQ45" s="100"/>
      <c r="KOR45" s="100"/>
      <c r="KOS45" s="100"/>
      <c r="KOT45" s="100"/>
      <c r="KOU45" s="100"/>
      <c r="KOV45" s="100"/>
      <c r="KOW45" s="100"/>
      <c r="KOX45" s="100"/>
      <c r="KOY45" s="100"/>
      <c r="KOZ45" s="100"/>
      <c r="KPA45" s="100"/>
      <c r="KPB45" s="100"/>
      <c r="KPC45" s="100"/>
      <c r="KPD45" s="100"/>
      <c r="KPE45" s="100"/>
      <c r="KPF45" s="100"/>
      <c r="KPG45" s="100"/>
      <c r="KPH45" s="100"/>
      <c r="KPI45" s="100"/>
      <c r="KPJ45" s="100"/>
      <c r="KPK45" s="100"/>
      <c r="KPL45" s="100"/>
      <c r="KPM45" s="100"/>
      <c r="KPN45" s="100"/>
      <c r="KPO45" s="100"/>
      <c r="KPP45" s="100"/>
      <c r="KPQ45" s="100"/>
      <c r="KPR45" s="100"/>
      <c r="KPS45" s="100"/>
      <c r="KPT45" s="100"/>
      <c r="KPU45" s="100"/>
      <c r="KPV45" s="100"/>
      <c r="KPW45" s="100"/>
      <c r="KPX45" s="100"/>
      <c r="KPY45" s="100"/>
      <c r="KPZ45" s="100"/>
      <c r="KQA45" s="100"/>
      <c r="KQB45" s="100"/>
      <c r="KQC45" s="100"/>
      <c r="KQD45" s="100"/>
      <c r="KQE45" s="100"/>
      <c r="KQF45" s="100"/>
      <c r="KQG45" s="100"/>
      <c r="KQH45" s="100"/>
      <c r="KQI45" s="100"/>
      <c r="KQJ45" s="100"/>
      <c r="KQK45" s="100"/>
      <c r="KQL45" s="100"/>
      <c r="KQM45" s="100"/>
      <c r="KQN45" s="100"/>
      <c r="KQO45" s="100"/>
      <c r="KQP45" s="100"/>
      <c r="KQQ45" s="100"/>
      <c r="KQR45" s="100"/>
      <c r="KQS45" s="100"/>
      <c r="KQT45" s="100"/>
      <c r="KQU45" s="100"/>
      <c r="KQV45" s="100"/>
      <c r="KQW45" s="100"/>
      <c r="KQX45" s="100"/>
      <c r="KQY45" s="100"/>
      <c r="KQZ45" s="100"/>
      <c r="KRA45" s="100"/>
      <c r="KRB45" s="100"/>
      <c r="KRC45" s="100"/>
      <c r="KRD45" s="100"/>
      <c r="KRE45" s="100"/>
      <c r="KRF45" s="100"/>
      <c r="KRG45" s="100"/>
      <c r="KRH45" s="100"/>
      <c r="KRI45" s="100"/>
      <c r="KRJ45" s="100"/>
      <c r="KRK45" s="100"/>
      <c r="KRL45" s="100"/>
      <c r="KRM45" s="100"/>
      <c r="KRN45" s="100"/>
      <c r="KRO45" s="100"/>
      <c r="KRP45" s="100"/>
      <c r="KRQ45" s="100"/>
      <c r="KRR45" s="100"/>
      <c r="KRS45" s="100"/>
      <c r="KRT45" s="100"/>
      <c r="KRU45" s="100"/>
      <c r="KRV45" s="100"/>
      <c r="KRW45" s="100"/>
      <c r="KRX45" s="100"/>
      <c r="KRY45" s="100"/>
      <c r="KRZ45" s="100"/>
      <c r="KSA45" s="100"/>
      <c r="KSB45" s="100"/>
      <c r="KSC45" s="100"/>
      <c r="KSD45" s="100"/>
      <c r="KSE45" s="100"/>
      <c r="KSF45" s="100"/>
      <c r="KSG45" s="100"/>
      <c r="KSH45" s="100"/>
      <c r="KSI45" s="100"/>
      <c r="KSJ45" s="100"/>
      <c r="KSK45" s="100"/>
      <c r="KSL45" s="100"/>
      <c r="KSM45" s="100"/>
      <c r="KSN45" s="100"/>
      <c r="KSO45" s="100"/>
      <c r="KSP45" s="100"/>
      <c r="KSQ45" s="100"/>
      <c r="KSR45" s="100"/>
      <c r="KSS45" s="100"/>
      <c r="KST45" s="100"/>
      <c r="KSU45" s="100"/>
      <c r="KSV45" s="100"/>
      <c r="KSW45" s="100"/>
      <c r="KSX45" s="100"/>
      <c r="KSY45" s="100"/>
      <c r="KSZ45" s="100"/>
      <c r="KTA45" s="100"/>
      <c r="KTB45" s="100"/>
      <c r="KTC45" s="100"/>
      <c r="KTD45" s="100"/>
      <c r="KTE45" s="100"/>
      <c r="KTF45" s="100"/>
      <c r="KTG45" s="100"/>
      <c r="KTH45" s="100"/>
      <c r="KTI45" s="100"/>
      <c r="KTJ45" s="100"/>
      <c r="KTK45" s="100"/>
      <c r="KTL45" s="100"/>
      <c r="KTM45" s="100"/>
      <c r="KTN45" s="100"/>
      <c r="KTO45" s="100"/>
      <c r="KTP45" s="100"/>
      <c r="KTQ45" s="100"/>
      <c r="KTR45" s="100"/>
      <c r="KTS45" s="100"/>
      <c r="KTT45" s="100"/>
      <c r="KTU45" s="100"/>
      <c r="KTV45" s="100"/>
      <c r="KTW45" s="100"/>
      <c r="KTX45" s="100"/>
      <c r="KTY45" s="100"/>
      <c r="KTZ45" s="100"/>
      <c r="KUA45" s="100"/>
      <c r="KUB45" s="100"/>
      <c r="KUC45" s="100"/>
      <c r="KUD45" s="100"/>
      <c r="KUE45" s="100"/>
      <c r="KUF45" s="100"/>
      <c r="KUG45" s="100"/>
      <c r="KUH45" s="100"/>
      <c r="KUI45" s="100"/>
      <c r="KUJ45" s="100"/>
      <c r="KUK45" s="100"/>
      <c r="KUL45" s="100"/>
      <c r="KUM45" s="100"/>
      <c r="KUN45" s="100"/>
      <c r="KUO45" s="100"/>
      <c r="KUP45" s="100"/>
      <c r="KUQ45" s="100"/>
      <c r="KUR45" s="100"/>
      <c r="KUS45" s="100"/>
      <c r="KUT45" s="100"/>
      <c r="KUU45" s="100"/>
      <c r="KUV45" s="100"/>
      <c r="KUW45" s="100"/>
      <c r="KUX45" s="100"/>
      <c r="KUY45" s="100"/>
      <c r="KUZ45" s="100"/>
      <c r="KVA45" s="100"/>
      <c r="KVB45" s="100"/>
      <c r="KVC45" s="100"/>
      <c r="KVD45" s="100"/>
      <c r="KVE45" s="100"/>
      <c r="KVF45" s="100"/>
      <c r="KVG45" s="100"/>
      <c r="KVH45" s="100"/>
      <c r="KVI45" s="100"/>
      <c r="KVJ45" s="100"/>
      <c r="KVK45" s="100"/>
      <c r="KVL45" s="100"/>
      <c r="KVM45" s="100"/>
      <c r="KVN45" s="100"/>
      <c r="KVO45" s="100"/>
      <c r="KVP45" s="100"/>
      <c r="KVQ45" s="100"/>
      <c r="KVR45" s="100"/>
      <c r="KVS45" s="100"/>
      <c r="KVT45" s="100"/>
      <c r="KVU45" s="100"/>
      <c r="KVV45" s="100"/>
      <c r="KVW45" s="100"/>
      <c r="KVX45" s="100"/>
      <c r="KVY45" s="100"/>
      <c r="KVZ45" s="100"/>
      <c r="KWA45" s="100"/>
      <c r="KWB45" s="100"/>
      <c r="KWC45" s="100"/>
      <c r="KWD45" s="100"/>
      <c r="KWE45" s="100"/>
      <c r="KWF45" s="100"/>
      <c r="KWG45" s="100"/>
      <c r="KWH45" s="100"/>
      <c r="KWI45" s="100"/>
      <c r="KWJ45" s="100"/>
      <c r="KWK45" s="100"/>
      <c r="KWL45" s="100"/>
      <c r="KWM45" s="100"/>
      <c r="KWN45" s="100"/>
      <c r="KWO45" s="100"/>
      <c r="KWP45" s="100"/>
      <c r="KWQ45" s="100"/>
      <c r="KWR45" s="100"/>
      <c r="KWS45" s="100"/>
      <c r="KWT45" s="100"/>
      <c r="KWU45" s="100"/>
      <c r="KWV45" s="100"/>
      <c r="KWW45" s="100"/>
      <c r="KWX45" s="100"/>
      <c r="KWY45" s="100"/>
      <c r="KWZ45" s="100"/>
      <c r="KXA45" s="100"/>
      <c r="KXB45" s="100"/>
      <c r="KXC45" s="100"/>
      <c r="KXD45" s="100"/>
      <c r="KXE45" s="100"/>
      <c r="KXF45" s="100"/>
      <c r="KXG45" s="100"/>
      <c r="KXH45" s="100"/>
      <c r="KXI45" s="100"/>
      <c r="KXJ45" s="100"/>
      <c r="KXK45" s="100"/>
      <c r="KXL45" s="100"/>
      <c r="KXM45" s="100"/>
      <c r="KXN45" s="100"/>
      <c r="KXO45" s="100"/>
      <c r="KXP45" s="100"/>
      <c r="KXQ45" s="100"/>
      <c r="KXR45" s="100"/>
      <c r="KXS45" s="100"/>
      <c r="KXT45" s="100"/>
      <c r="KXU45" s="100"/>
      <c r="KXV45" s="100"/>
      <c r="KXW45" s="100"/>
      <c r="KXX45" s="100"/>
      <c r="KXY45" s="100"/>
      <c r="KXZ45" s="100"/>
      <c r="KYA45" s="100"/>
      <c r="KYB45" s="100"/>
      <c r="KYC45" s="100"/>
      <c r="KYD45" s="100"/>
      <c r="KYE45" s="100"/>
      <c r="KYF45" s="100"/>
      <c r="KYG45" s="100"/>
      <c r="KYH45" s="100"/>
      <c r="KYI45" s="100"/>
      <c r="KYJ45" s="100"/>
      <c r="KYK45" s="100"/>
      <c r="KYL45" s="100"/>
      <c r="KYM45" s="100"/>
      <c r="KYN45" s="100"/>
      <c r="KYO45" s="100"/>
      <c r="KYP45" s="100"/>
      <c r="KYQ45" s="100"/>
      <c r="KYR45" s="100"/>
      <c r="KYS45" s="100"/>
      <c r="KYT45" s="100"/>
      <c r="KYU45" s="100"/>
      <c r="KYV45" s="100"/>
      <c r="KYW45" s="100"/>
      <c r="KYX45" s="100"/>
      <c r="KYY45" s="100"/>
      <c r="KYZ45" s="100"/>
      <c r="KZA45" s="100"/>
      <c r="KZB45" s="100"/>
      <c r="KZC45" s="100"/>
      <c r="KZD45" s="100"/>
      <c r="KZE45" s="100"/>
      <c r="KZF45" s="100"/>
      <c r="KZG45" s="100"/>
      <c r="KZH45" s="100"/>
      <c r="KZI45" s="100"/>
      <c r="KZJ45" s="100"/>
      <c r="KZK45" s="100"/>
      <c r="KZL45" s="100"/>
      <c r="KZM45" s="100"/>
      <c r="KZN45" s="100"/>
      <c r="KZO45" s="100"/>
      <c r="KZP45" s="100"/>
      <c r="KZQ45" s="100"/>
      <c r="KZR45" s="100"/>
      <c r="KZS45" s="100"/>
      <c r="KZT45" s="100"/>
      <c r="KZU45" s="100"/>
      <c r="KZV45" s="100"/>
      <c r="KZW45" s="100"/>
      <c r="KZX45" s="100"/>
      <c r="KZY45" s="100"/>
      <c r="KZZ45" s="100"/>
      <c r="LAA45" s="100"/>
      <c r="LAB45" s="100"/>
      <c r="LAC45" s="100"/>
      <c r="LAD45" s="100"/>
      <c r="LAE45" s="100"/>
      <c r="LAF45" s="100"/>
      <c r="LAG45" s="100"/>
      <c r="LAH45" s="100"/>
      <c r="LAI45" s="100"/>
      <c r="LAJ45" s="100"/>
      <c r="LAK45" s="100"/>
      <c r="LAL45" s="100"/>
      <c r="LAM45" s="100"/>
      <c r="LAN45" s="100"/>
      <c r="LAO45" s="100"/>
      <c r="LAP45" s="100"/>
      <c r="LAQ45" s="100"/>
      <c r="LAR45" s="100"/>
      <c r="LAS45" s="100"/>
      <c r="LAT45" s="100"/>
      <c r="LAU45" s="100"/>
      <c r="LAV45" s="100"/>
      <c r="LAW45" s="100"/>
      <c r="LAX45" s="100"/>
      <c r="LAY45" s="100"/>
      <c r="LAZ45" s="100"/>
      <c r="LBA45" s="100"/>
      <c r="LBB45" s="100"/>
      <c r="LBC45" s="100"/>
      <c r="LBD45" s="100"/>
      <c r="LBE45" s="100"/>
      <c r="LBF45" s="100"/>
      <c r="LBG45" s="100"/>
      <c r="LBH45" s="100"/>
      <c r="LBI45" s="100"/>
      <c r="LBJ45" s="100"/>
      <c r="LBK45" s="100"/>
      <c r="LBL45" s="100"/>
      <c r="LBM45" s="100"/>
      <c r="LBN45" s="100"/>
      <c r="LBO45" s="100"/>
      <c r="LBP45" s="100"/>
      <c r="LBQ45" s="100"/>
      <c r="LBR45" s="100"/>
      <c r="LBS45" s="100"/>
      <c r="LBT45" s="100"/>
      <c r="LBU45" s="100"/>
      <c r="LBV45" s="100"/>
      <c r="LBW45" s="100"/>
      <c r="LBX45" s="100"/>
      <c r="LBY45" s="100"/>
      <c r="LBZ45" s="100"/>
      <c r="LCA45" s="100"/>
      <c r="LCB45" s="100"/>
      <c r="LCC45" s="100"/>
      <c r="LCD45" s="100"/>
      <c r="LCE45" s="100"/>
      <c r="LCF45" s="100"/>
      <c r="LCG45" s="100"/>
      <c r="LCH45" s="100"/>
      <c r="LCI45" s="100"/>
      <c r="LCJ45" s="100"/>
      <c r="LCK45" s="100"/>
      <c r="LCL45" s="100"/>
      <c r="LCM45" s="100"/>
      <c r="LCN45" s="100"/>
      <c r="LCO45" s="100"/>
      <c r="LCP45" s="100"/>
      <c r="LCQ45" s="100"/>
      <c r="LCR45" s="100"/>
      <c r="LCS45" s="100"/>
      <c r="LCT45" s="100"/>
      <c r="LCU45" s="100"/>
      <c r="LCV45" s="100"/>
      <c r="LCW45" s="100"/>
      <c r="LCX45" s="100"/>
      <c r="LCY45" s="100"/>
      <c r="LCZ45" s="100"/>
      <c r="LDA45" s="100"/>
      <c r="LDB45" s="100"/>
      <c r="LDC45" s="100"/>
      <c r="LDD45" s="100"/>
      <c r="LDE45" s="100"/>
      <c r="LDF45" s="100"/>
      <c r="LDG45" s="100"/>
      <c r="LDH45" s="100"/>
      <c r="LDI45" s="100"/>
      <c r="LDJ45" s="100"/>
      <c r="LDK45" s="100"/>
      <c r="LDL45" s="100"/>
      <c r="LDM45" s="100"/>
      <c r="LDN45" s="100"/>
      <c r="LDO45" s="100"/>
      <c r="LDP45" s="100"/>
      <c r="LDQ45" s="100"/>
      <c r="LDR45" s="100"/>
      <c r="LDS45" s="100"/>
      <c r="LDT45" s="100"/>
      <c r="LDU45" s="100"/>
      <c r="LDV45" s="100"/>
      <c r="LDW45" s="100"/>
      <c r="LDX45" s="100"/>
      <c r="LDY45" s="100"/>
      <c r="LDZ45" s="100"/>
      <c r="LEA45" s="100"/>
      <c r="LEB45" s="100"/>
      <c r="LEC45" s="100"/>
      <c r="LED45" s="100"/>
      <c r="LEE45" s="100"/>
      <c r="LEF45" s="100"/>
      <c r="LEG45" s="100"/>
      <c r="LEH45" s="100"/>
      <c r="LEI45" s="100"/>
      <c r="LEJ45" s="100"/>
      <c r="LEK45" s="100"/>
      <c r="LEL45" s="100"/>
      <c r="LEM45" s="100"/>
      <c r="LEN45" s="100"/>
      <c r="LEO45" s="100"/>
      <c r="LEP45" s="100"/>
      <c r="LEQ45" s="100"/>
      <c r="LER45" s="100"/>
      <c r="LES45" s="100"/>
      <c r="LET45" s="100"/>
      <c r="LEU45" s="100"/>
      <c r="LEV45" s="100"/>
      <c r="LEW45" s="100"/>
      <c r="LEX45" s="100"/>
      <c r="LEY45" s="100"/>
      <c r="LEZ45" s="100"/>
      <c r="LFA45" s="100"/>
      <c r="LFB45" s="100"/>
      <c r="LFC45" s="100"/>
      <c r="LFD45" s="100"/>
      <c r="LFE45" s="100"/>
      <c r="LFF45" s="100"/>
      <c r="LFG45" s="100"/>
      <c r="LFH45" s="100"/>
      <c r="LFI45" s="100"/>
      <c r="LFJ45" s="100"/>
      <c r="LFK45" s="100"/>
      <c r="LFL45" s="100"/>
      <c r="LFM45" s="100"/>
      <c r="LFN45" s="100"/>
      <c r="LFO45" s="100"/>
      <c r="LFP45" s="100"/>
      <c r="LFQ45" s="100"/>
      <c r="LFR45" s="100"/>
      <c r="LFS45" s="100"/>
      <c r="LFT45" s="100"/>
      <c r="LFU45" s="100"/>
      <c r="LFV45" s="100"/>
      <c r="LFW45" s="100"/>
      <c r="LFX45" s="100"/>
      <c r="LFY45" s="100"/>
      <c r="LFZ45" s="100"/>
      <c r="LGA45" s="100"/>
      <c r="LGB45" s="100"/>
      <c r="LGC45" s="100"/>
      <c r="LGD45" s="100"/>
      <c r="LGE45" s="100"/>
      <c r="LGF45" s="100"/>
      <c r="LGG45" s="100"/>
      <c r="LGH45" s="100"/>
      <c r="LGI45" s="100"/>
      <c r="LGJ45" s="100"/>
      <c r="LGK45" s="100"/>
      <c r="LGL45" s="100"/>
      <c r="LGM45" s="100"/>
      <c r="LGN45" s="100"/>
      <c r="LGO45" s="100"/>
      <c r="LGP45" s="100"/>
      <c r="LGQ45" s="100"/>
      <c r="LGR45" s="100"/>
      <c r="LGS45" s="100"/>
      <c r="LGT45" s="100"/>
      <c r="LGU45" s="100"/>
      <c r="LGV45" s="100"/>
      <c r="LGW45" s="100"/>
      <c r="LGX45" s="100"/>
      <c r="LGY45" s="100"/>
      <c r="LGZ45" s="100"/>
      <c r="LHA45" s="100"/>
      <c r="LHB45" s="100"/>
      <c r="LHC45" s="100"/>
      <c r="LHD45" s="100"/>
      <c r="LHE45" s="100"/>
      <c r="LHF45" s="100"/>
      <c r="LHG45" s="100"/>
      <c r="LHH45" s="100"/>
      <c r="LHI45" s="100"/>
      <c r="LHJ45" s="100"/>
      <c r="LHK45" s="100"/>
      <c r="LHL45" s="100"/>
      <c r="LHM45" s="100"/>
      <c r="LHN45" s="100"/>
      <c r="LHO45" s="100"/>
      <c r="LHP45" s="100"/>
      <c r="LHQ45" s="100"/>
      <c r="LHR45" s="100"/>
      <c r="LHS45" s="100"/>
      <c r="LHT45" s="100"/>
      <c r="LHU45" s="100"/>
      <c r="LHV45" s="100"/>
      <c r="LHW45" s="100"/>
      <c r="LHX45" s="100"/>
      <c r="LHY45" s="100"/>
      <c r="LHZ45" s="100"/>
      <c r="LIA45" s="100"/>
      <c r="LIB45" s="100"/>
      <c r="LIC45" s="100"/>
      <c r="LID45" s="100"/>
      <c r="LIE45" s="100"/>
      <c r="LIF45" s="100"/>
      <c r="LIG45" s="100"/>
      <c r="LIH45" s="100"/>
      <c r="LII45" s="100"/>
      <c r="LIJ45" s="100"/>
      <c r="LIK45" s="100"/>
      <c r="LIL45" s="100"/>
      <c r="LIM45" s="100"/>
      <c r="LIN45" s="100"/>
      <c r="LIO45" s="100"/>
      <c r="LIP45" s="100"/>
      <c r="LIQ45" s="100"/>
      <c r="LIR45" s="100"/>
      <c r="LIS45" s="100"/>
      <c r="LIT45" s="100"/>
      <c r="LIU45" s="100"/>
      <c r="LIV45" s="100"/>
      <c r="LIW45" s="100"/>
      <c r="LIX45" s="100"/>
      <c r="LIY45" s="100"/>
      <c r="LIZ45" s="100"/>
      <c r="LJA45" s="100"/>
      <c r="LJB45" s="100"/>
      <c r="LJC45" s="100"/>
      <c r="LJD45" s="100"/>
      <c r="LJE45" s="100"/>
      <c r="LJF45" s="100"/>
      <c r="LJG45" s="100"/>
      <c r="LJH45" s="100"/>
      <c r="LJI45" s="100"/>
      <c r="LJJ45" s="100"/>
      <c r="LJK45" s="100"/>
      <c r="LJL45" s="100"/>
      <c r="LJM45" s="100"/>
      <c r="LJN45" s="100"/>
      <c r="LJO45" s="100"/>
      <c r="LJP45" s="100"/>
      <c r="LJQ45" s="100"/>
      <c r="LJR45" s="100"/>
      <c r="LJS45" s="100"/>
      <c r="LJT45" s="100"/>
      <c r="LJU45" s="100"/>
      <c r="LJV45" s="100"/>
      <c r="LJW45" s="100"/>
      <c r="LJX45" s="100"/>
      <c r="LJY45" s="100"/>
      <c r="LJZ45" s="100"/>
      <c r="LKA45" s="100"/>
      <c r="LKB45" s="100"/>
      <c r="LKC45" s="100"/>
      <c r="LKD45" s="100"/>
      <c r="LKE45" s="100"/>
      <c r="LKF45" s="100"/>
      <c r="LKG45" s="100"/>
      <c r="LKH45" s="100"/>
      <c r="LKI45" s="100"/>
      <c r="LKJ45" s="100"/>
      <c r="LKK45" s="100"/>
      <c r="LKL45" s="100"/>
      <c r="LKM45" s="100"/>
      <c r="LKN45" s="100"/>
      <c r="LKO45" s="100"/>
      <c r="LKP45" s="100"/>
      <c r="LKQ45" s="100"/>
      <c r="LKR45" s="100"/>
      <c r="LKS45" s="100"/>
      <c r="LKT45" s="100"/>
      <c r="LKU45" s="100"/>
      <c r="LKV45" s="100"/>
      <c r="LKW45" s="100"/>
      <c r="LKX45" s="100"/>
      <c r="LKY45" s="100"/>
      <c r="LKZ45" s="100"/>
      <c r="LLA45" s="100"/>
      <c r="LLB45" s="100"/>
      <c r="LLC45" s="100"/>
      <c r="LLD45" s="100"/>
      <c r="LLE45" s="100"/>
      <c r="LLF45" s="100"/>
      <c r="LLG45" s="100"/>
      <c r="LLH45" s="100"/>
      <c r="LLI45" s="100"/>
      <c r="LLJ45" s="100"/>
      <c r="LLK45" s="100"/>
      <c r="LLL45" s="100"/>
      <c r="LLM45" s="100"/>
      <c r="LLN45" s="100"/>
      <c r="LLO45" s="100"/>
      <c r="LLP45" s="100"/>
      <c r="LLQ45" s="100"/>
      <c r="LLR45" s="100"/>
      <c r="LLS45" s="100"/>
      <c r="LLT45" s="100"/>
      <c r="LLU45" s="100"/>
      <c r="LLV45" s="100"/>
      <c r="LLW45" s="100"/>
      <c r="LLX45" s="100"/>
      <c r="LLY45" s="100"/>
      <c r="LLZ45" s="100"/>
      <c r="LMA45" s="100"/>
      <c r="LMB45" s="100"/>
      <c r="LMC45" s="100"/>
      <c r="LMD45" s="100"/>
      <c r="LME45" s="100"/>
      <c r="LMF45" s="100"/>
      <c r="LMG45" s="100"/>
      <c r="LMH45" s="100"/>
      <c r="LMI45" s="100"/>
      <c r="LMJ45" s="100"/>
      <c r="LMK45" s="100"/>
      <c r="LML45" s="100"/>
      <c r="LMM45" s="100"/>
      <c r="LMN45" s="100"/>
      <c r="LMO45" s="100"/>
      <c r="LMP45" s="100"/>
      <c r="LMQ45" s="100"/>
      <c r="LMR45" s="100"/>
      <c r="LMS45" s="100"/>
      <c r="LMT45" s="100"/>
      <c r="LMU45" s="100"/>
      <c r="LMV45" s="100"/>
      <c r="LMW45" s="100"/>
      <c r="LMX45" s="100"/>
      <c r="LMY45" s="100"/>
      <c r="LMZ45" s="100"/>
      <c r="LNA45" s="100"/>
      <c r="LNB45" s="100"/>
      <c r="LNC45" s="100"/>
      <c r="LND45" s="100"/>
      <c r="LNE45" s="100"/>
      <c r="LNF45" s="100"/>
      <c r="LNG45" s="100"/>
      <c r="LNH45" s="100"/>
      <c r="LNI45" s="100"/>
      <c r="LNJ45" s="100"/>
      <c r="LNK45" s="100"/>
      <c r="LNL45" s="100"/>
      <c r="LNM45" s="100"/>
      <c r="LNN45" s="100"/>
      <c r="LNO45" s="100"/>
      <c r="LNP45" s="100"/>
      <c r="LNQ45" s="100"/>
      <c r="LNR45" s="100"/>
      <c r="LNS45" s="100"/>
      <c r="LNT45" s="100"/>
      <c r="LNU45" s="100"/>
      <c r="LNV45" s="100"/>
      <c r="LNW45" s="100"/>
      <c r="LNX45" s="100"/>
      <c r="LNY45" s="100"/>
      <c r="LNZ45" s="100"/>
      <c r="LOA45" s="100"/>
      <c r="LOB45" s="100"/>
      <c r="LOC45" s="100"/>
      <c r="LOD45" s="100"/>
      <c r="LOE45" s="100"/>
      <c r="LOF45" s="100"/>
      <c r="LOG45" s="100"/>
      <c r="LOH45" s="100"/>
      <c r="LOI45" s="100"/>
      <c r="LOJ45" s="100"/>
      <c r="LOK45" s="100"/>
      <c r="LOL45" s="100"/>
      <c r="LOM45" s="100"/>
      <c r="LON45" s="100"/>
      <c r="LOO45" s="100"/>
      <c r="LOP45" s="100"/>
      <c r="LOQ45" s="100"/>
      <c r="LOR45" s="100"/>
      <c r="LOS45" s="100"/>
      <c r="LOT45" s="100"/>
      <c r="LOU45" s="100"/>
      <c r="LOV45" s="100"/>
      <c r="LOW45" s="100"/>
      <c r="LOX45" s="100"/>
      <c r="LOY45" s="100"/>
      <c r="LOZ45" s="100"/>
      <c r="LPA45" s="100"/>
      <c r="LPB45" s="100"/>
      <c r="LPC45" s="100"/>
      <c r="LPD45" s="100"/>
      <c r="LPE45" s="100"/>
      <c r="LPF45" s="100"/>
      <c r="LPG45" s="100"/>
      <c r="LPH45" s="100"/>
      <c r="LPI45" s="100"/>
      <c r="LPJ45" s="100"/>
      <c r="LPK45" s="100"/>
      <c r="LPL45" s="100"/>
      <c r="LPM45" s="100"/>
      <c r="LPN45" s="100"/>
      <c r="LPO45" s="100"/>
      <c r="LPP45" s="100"/>
      <c r="LPQ45" s="100"/>
      <c r="LPR45" s="100"/>
      <c r="LPS45" s="100"/>
      <c r="LPT45" s="100"/>
      <c r="LPU45" s="100"/>
      <c r="LPV45" s="100"/>
      <c r="LPW45" s="100"/>
      <c r="LPX45" s="100"/>
      <c r="LPY45" s="100"/>
      <c r="LPZ45" s="100"/>
      <c r="LQA45" s="100"/>
      <c r="LQB45" s="100"/>
      <c r="LQC45" s="100"/>
      <c r="LQD45" s="100"/>
      <c r="LQE45" s="100"/>
      <c r="LQF45" s="100"/>
      <c r="LQG45" s="100"/>
      <c r="LQH45" s="100"/>
      <c r="LQI45" s="100"/>
      <c r="LQJ45" s="100"/>
      <c r="LQK45" s="100"/>
      <c r="LQL45" s="100"/>
      <c r="LQM45" s="100"/>
      <c r="LQN45" s="100"/>
      <c r="LQO45" s="100"/>
      <c r="LQP45" s="100"/>
      <c r="LQQ45" s="100"/>
      <c r="LQR45" s="100"/>
      <c r="LQS45" s="100"/>
      <c r="LQT45" s="100"/>
      <c r="LQU45" s="100"/>
      <c r="LQV45" s="100"/>
      <c r="LQW45" s="100"/>
      <c r="LQX45" s="100"/>
      <c r="LQY45" s="100"/>
      <c r="LQZ45" s="100"/>
      <c r="LRA45" s="100"/>
      <c r="LRB45" s="100"/>
      <c r="LRC45" s="100"/>
      <c r="LRD45" s="100"/>
      <c r="LRE45" s="100"/>
      <c r="LRF45" s="100"/>
      <c r="LRG45" s="100"/>
      <c r="LRH45" s="100"/>
      <c r="LRI45" s="100"/>
      <c r="LRJ45" s="100"/>
      <c r="LRK45" s="100"/>
      <c r="LRL45" s="100"/>
      <c r="LRM45" s="100"/>
      <c r="LRN45" s="100"/>
      <c r="LRO45" s="100"/>
      <c r="LRP45" s="100"/>
      <c r="LRQ45" s="100"/>
      <c r="LRR45" s="100"/>
      <c r="LRS45" s="100"/>
      <c r="LRT45" s="100"/>
      <c r="LRU45" s="100"/>
      <c r="LRV45" s="100"/>
      <c r="LRW45" s="100"/>
      <c r="LRX45" s="100"/>
      <c r="LRY45" s="100"/>
      <c r="LRZ45" s="100"/>
      <c r="LSA45" s="100"/>
      <c r="LSB45" s="100"/>
      <c r="LSC45" s="100"/>
      <c r="LSD45" s="100"/>
      <c r="LSE45" s="100"/>
      <c r="LSF45" s="100"/>
      <c r="LSG45" s="100"/>
      <c r="LSH45" s="100"/>
      <c r="LSI45" s="100"/>
      <c r="LSJ45" s="100"/>
      <c r="LSK45" s="100"/>
      <c r="LSL45" s="100"/>
      <c r="LSM45" s="100"/>
      <c r="LSN45" s="100"/>
      <c r="LSO45" s="100"/>
      <c r="LSP45" s="100"/>
      <c r="LSQ45" s="100"/>
      <c r="LSR45" s="100"/>
      <c r="LSS45" s="100"/>
      <c r="LST45" s="100"/>
      <c r="LSU45" s="100"/>
      <c r="LSV45" s="100"/>
      <c r="LSW45" s="100"/>
      <c r="LSX45" s="100"/>
      <c r="LSY45" s="100"/>
      <c r="LSZ45" s="100"/>
      <c r="LTA45" s="100"/>
      <c r="LTB45" s="100"/>
      <c r="LTC45" s="100"/>
      <c r="LTD45" s="100"/>
      <c r="LTE45" s="100"/>
      <c r="LTF45" s="100"/>
      <c r="LTG45" s="100"/>
      <c r="LTH45" s="100"/>
      <c r="LTI45" s="100"/>
      <c r="LTJ45" s="100"/>
      <c r="LTK45" s="100"/>
      <c r="LTL45" s="100"/>
      <c r="LTM45" s="100"/>
      <c r="LTN45" s="100"/>
      <c r="LTO45" s="100"/>
      <c r="LTP45" s="100"/>
      <c r="LTQ45" s="100"/>
      <c r="LTR45" s="100"/>
      <c r="LTS45" s="100"/>
      <c r="LTT45" s="100"/>
      <c r="LTU45" s="100"/>
      <c r="LTV45" s="100"/>
      <c r="LTW45" s="100"/>
      <c r="LTX45" s="100"/>
      <c r="LTY45" s="100"/>
      <c r="LTZ45" s="100"/>
      <c r="LUA45" s="100"/>
      <c r="LUB45" s="100"/>
      <c r="LUC45" s="100"/>
      <c r="LUD45" s="100"/>
      <c r="LUE45" s="100"/>
      <c r="LUF45" s="100"/>
      <c r="LUG45" s="100"/>
      <c r="LUH45" s="100"/>
      <c r="LUI45" s="100"/>
      <c r="LUJ45" s="100"/>
      <c r="LUK45" s="100"/>
      <c r="LUL45" s="100"/>
      <c r="LUM45" s="100"/>
      <c r="LUN45" s="100"/>
      <c r="LUO45" s="100"/>
      <c r="LUP45" s="100"/>
      <c r="LUQ45" s="100"/>
      <c r="LUR45" s="100"/>
      <c r="LUS45" s="100"/>
      <c r="LUT45" s="100"/>
      <c r="LUU45" s="100"/>
      <c r="LUV45" s="100"/>
      <c r="LUW45" s="100"/>
      <c r="LUX45" s="100"/>
      <c r="LUY45" s="100"/>
      <c r="LUZ45" s="100"/>
      <c r="LVA45" s="100"/>
      <c r="LVB45" s="100"/>
      <c r="LVC45" s="100"/>
      <c r="LVD45" s="100"/>
      <c r="LVE45" s="100"/>
      <c r="LVF45" s="100"/>
      <c r="LVG45" s="100"/>
      <c r="LVH45" s="100"/>
      <c r="LVI45" s="100"/>
      <c r="LVJ45" s="100"/>
      <c r="LVK45" s="100"/>
      <c r="LVL45" s="100"/>
      <c r="LVM45" s="100"/>
      <c r="LVN45" s="100"/>
      <c r="LVO45" s="100"/>
      <c r="LVP45" s="100"/>
      <c r="LVQ45" s="100"/>
      <c r="LVR45" s="100"/>
      <c r="LVS45" s="100"/>
      <c r="LVT45" s="100"/>
      <c r="LVU45" s="100"/>
      <c r="LVV45" s="100"/>
      <c r="LVW45" s="100"/>
      <c r="LVX45" s="100"/>
      <c r="LVY45" s="100"/>
      <c r="LVZ45" s="100"/>
      <c r="LWA45" s="100"/>
      <c r="LWB45" s="100"/>
      <c r="LWC45" s="100"/>
      <c r="LWD45" s="100"/>
      <c r="LWE45" s="100"/>
      <c r="LWF45" s="100"/>
      <c r="LWG45" s="100"/>
      <c r="LWH45" s="100"/>
      <c r="LWI45" s="100"/>
      <c r="LWJ45" s="100"/>
      <c r="LWK45" s="100"/>
      <c r="LWL45" s="100"/>
      <c r="LWM45" s="100"/>
      <c r="LWN45" s="100"/>
      <c r="LWO45" s="100"/>
      <c r="LWP45" s="100"/>
      <c r="LWQ45" s="100"/>
      <c r="LWR45" s="100"/>
      <c r="LWS45" s="100"/>
      <c r="LWT45" s="100"/>
      <c r="LWU45" s="100"/>
      <c r="LWV45" s="100"/>
      <c r="LWW45" s="100"/>
      <c r="LWX45" s="100"/>
      <c r="LWY45" s="100"/>
      <c r="LWZ45" s="100"/>
      <c r="LXA45" s="100"/>
      <c r="LXB45" s="100"/>
      <c r="LXC45" s="100"/>
      <c r="LXD45" s="100"/>
      <c r="LXE45" s="100"/>
      <c r="LXF45" s="100"/>
      <c r="LXG45" s="100"/>
      <c r="LXH45" s="100"/>
      <c r="LXI45" s="100"/>
      <c r="LXJ45" s="100"/>
      <c r="LXK45" s="100"/>
      <c r="LXL45" s="100"/>
      <c r="LXM45" s="100"/>
      <c r="LXN45" s="100"/>
      <c r="LXO45" s="100"/>
      <c r="LXP45" s="100"/>
      <c r="LXQ45" s="100"/>
      <c r="LXR45" s="100"/>
      <c r="LXS45" s="100"/>
      <c r="LXT45" s="100"/>
      <c r="LXU45" s="100"/>
      <c r="LXV45" s="100"/>
      <c r="LXW45" s="100"/>
      <c r="LXX45" s="100"/>
      <c r="LXY45" s="100"/>
      <c r="LXZ45" s="100"/>
      <c r="LYA45" s="100"/>
      <c r="LYB45" s="100"/>
      <c r="LYC45" s="100"/>
      <c r="LYD45" s="100"/>
      <c r="LYE45" s="100"/>
      <c r="LYF45" s="100"/>
      <c r="LYG45" s="100"/>
      <c r="LYH45" s="100"/>
      <c r="LYI45" s="100"/>
      <c r="LYJ45" s="100"/>
      <c r="LYK45" s="100"/>
      <c r="LYL45" s="100"/>
      <c r="LYM45" s="100"/>
      <c r="LYN45" s="100"/>
      <c r="LYO45" s="100"/>
      <c r="LYP45" s="100"/>
      <c r="LYQ45" s="100"/>
      <c r="LYR45" s="100"/>
      <c r="LYS45" s="100"/>
      <c r="LYT45" s="100"/>
      <c r="LYU45" s="100"/>
      <c r="LYV45" s="100"/>
      <c r="LYW45" s="100"/>
      <c r="LYX45" s="100"/>
      <c r="LYY45" s="100"/>
      <c r="LYZ45" s="100"/>
      <c r="LZA45" s="100"/>
      <c r="LZB45" s="100"/>
      <c r="LZC45" s="100"/>
      <c r="LZD45" s="100"/>
      <c r="LZE45" s="100"/>
      <c r="LZF45" s="100"/>
      <c r="LZG45" s="100"/>
      <c r="LZH45" s="100"/>
      <c r="LZI45" s="100"/>
      <c r="LZJ45" s="100"/>
      <c r="LZK45" s="100"/>
      <c r="LZL45" s="100"/>
      <c r="LZM45" s="100"/>
      <c r="LZN45" s="100"/>
      <c r="LZO45" s="100"/>
      <c r="LZP45" s="100"/>
      <c r="LZQ45" s="100"/>
      <c r="LZR45" s="100"/>
      <c r="LZS45" s="100"/>
      <c r="LZT45" s="100"/>
      <c r="LZU45" s="100"/>
      <c r="LZV45" s="100"/>
      <c r="LZW45" s="100"/>
      <c r="LZX45" s="100"/>
      <c r="LZY45" s="100"/>
      <c r="LZZ45" s="100"/>
      <c r="MAA45" s="100"/>
      <c r="MAB45" s="100"/>
      <c r="MAC45" s="100"/>
      <c r="MAD45" s="100"/>
      <c r="MAE45" s="100"/>
      <c r="MAF45" s="100"/>
      <c r="MAG45" s="100"/>
      <c r="MAH45" s="100"/>
      <c r="MAI45" s="100"/>
      <c r="MAJ45" s="100"/>
      <c r="MAK45" s="100"/>
      <c r="MAL45" s="100"/>
      <c r="MAM45" s="100"/>
      <c r="MAN45" s="100"/>
      <c r="MAO45" s="100"/>
      <c r="MAP45" s="100"/>
      <c r="MAQ45" s="100"/>
      <c r="MAR45" s="100"/>
      <c r="MAS45" s="100"/>
      <c r="MAT45" s="100"/>
      <c r="MAU45" s="100"/>
      <c r="MAV45" s="100"/>
      <c r="MAW45" s="100"/>
      <c r="MAX45" s="100"/>
      <c r="MAY45" s="100"/>
      <c r="MAZ45" s="100"/>
      <c r="MBA45" s="100"/>
      <c r="MBB45" s="100"/>
      <c r="MBC45" s="100"/>
      <c r="MBD45" s="100"/>
      <c r="MBE45" s="100"/>
      <c r="MBF45" s="100"/>
      <c r="MBG45" s="100"/>
      <c r="MBH45" s="100"/>
      <c r="MBI45" s="100"/>
      <c r="MBJ45" s="100"/>
      <c r="MBK45" s="100"/>
      <c r="MBL45" s="100"/>
      <c r="MBM45" s="100"/>
      <c r="MBN45" s="100"/>
      <c r="MBO45" s="100"/>
      <c r="MBP45" s="100"/>
      <c r="MBQ45" s="100"/>
      <c r="MBR45" s="100"/>
      <c r="MBS45" s="100"/>
      <c r="MBT45" s="100"/>
      <c r="MBU45" s="100"/>
      <c r="MBV45" s="100"/>
      <c r="MBW45" s="100"/>
      <c r="MBX45" s="100"/>
      <c r="MBY45" s="100"/>
      <c r="MBZ45" s="100"/>
      <c r="MCA45" s="100"/>
      <c r="MCB45" s="100"/>
      <c r="MCC45" s="100"/>
      <c r="MCD45" s="100"/>
      <c r="MCE45" s="100"/>
      <c r="MCF45" s="100"/>
      <c r="MCG45" s="100"/>
      <c r="MCH45" s="100"/>
      <c r="MCI45" s="100"/>
      <c r="MCJ45" s="100"/>
      <c r="MCK45" s="100"/>
      <c r="MCL45" s="100"/>
      <c r="MCM45" s="100"/>
      <c r="MCN45" s="100"/>
      <c r="MCO45" s="100"/>
      <c r="MCP45" s="100"/>
      <c r="MCQ45" s="100"/>
      <c r="MCR45" s="100"/>
      <c r="MCS45" s="100"/>
      <c r="MCT45" s="100"/>
      <c r="MCU45" s="100"/>
      <c r="MCV45" s="100"/>
      <c r="MCW45" s="100"/>
      <c r="MCX45" s="100"/>
      <c r="MCY45" s="100"/>
      <c r="MCZ45" s="100"/>
      <c r="MDA45" s="100"/>
      <c r="MDB45" s="100"/>
      <c r="MDC45" s="100"/>
      <c r="MDD45" s="100"/>
      <c r="MDE45" s="100"/>
      <c r="MDF45" s="100"/>
      <c r="MDG45" s="100"/>
      <c r="MDH45" s="100"/>
      <c r="MDI45" s="100"/>
      <c r="MDJ45" s="100"/>
      <c r="MDK45" s="100"/>
      <c r="MDL45" s="100"/>
      <c r="MDM45" s="100"/>
      <c r="MDN45" s="100"/>
      <c r="MDO45" s="100"/>
      <c r="MDP45" s="100"/>
      <c r="MDQ45" s="100"/>
      <c r="MDR45" s="100"/>
      <c r="MDS45" s="100"/>
      <c r="MDT45" s="100"/>
      <c r="MDU45" s="100"/>
      <c r="MDV45" s="100"/>
      <c r="MDW45" s="100"/>
      <c r="MDX45" s="100"/>
      <c r="MDY45" s="100"/>
      <c r="MDZ45" s="100"/>
      <c r="MEA45" s="100"/>
      <c r="MEB45" s="100"/>
      <c r="MEC45" s="100"/>
      <c r="MED45" s="100"/>
      <c r="MEE45" s="100"/>
      <c r="MEF45" s="100"/>
      <c r="MEG45" s="100"/>
      <c r="MEH45" s="100"/>
      <c r="MEI45" s="100"/>
      <c r="MEJ45" s="100"/>
      <c r="MEK45" s="100"/>
      <c r="MEL45" s="100"/>
      <c r="MEM45" s="100"/>
      <c r="MEN45" s="100"/>
      <c r="MEO45" s="100"/>
      <c r="MEP45" s="100"/>
      <c r="MEQ45" s="100"/>
      <c r="MER45" s="100"/>
      <c r="MES45" s="100"/>
      <c r="MET45" s="100"/>
      <c r="MEU45" s="100"/>
      <c r="MEV45" s="100"/>
      <c r="MEW45" s="100"/>
      <c r="MEX45" s="100"/>
      <c r="MEY45" s="100"/>
      <c r="MEZ45" s="100"/>
      <c r="MFA45" s="100"/>
      <c r="MFB45" s="100"/>
      <c r="MFC45" s="100"/>
      <c r="MFD45" s="100"/>
      <c r="MFE45" s="100"/>
      <c r="MFF45" s="100"/>
      <c r="MFG45" s="100"/>
      <c r="MFH45" s="100"/>
      <c r="MFI45" s="100"/>
      <c r="MFJ45" s="100"/>
      <c r="MFK45" s="100"/>
      <c r="MFL45" s="100"/>
      <c r="MFM45" s="100"/>
      <c r="MFN45" s="100"/>
      <c r="MFO45" s="100"/>
      <c r="MFP45" s="100"/>
      <c r="MFQ45" s="100"/>
      <c r="MFR45" s="100"/>
      <c r="MFS45" s="100"/>
      <c r="MFT45" s="100"/>
      <c r="MFU45" s="100"/>
      <c r="MFV45" s="100"/>
      <c r="MFW45" s="100"/>
      <c r="MFX45" s="100"/>
      <c r="MFY45" s="100"/>
      <c r="MFZ45" s="100"/>
      <c r="MGA45" s="100"/>
      <c r="MGB45" s="100"/>
      <c r="MGC45" s="100"/>
      <c r="MGD45" s="100"/>
      <c r="MGE45" s="100"/>
      <c r="MGF45" s="100"/>
      <c r="MGG45" s="100"/>
      <c r="MGH45" s="100"/>
      <c r="MGI45" s="100"/>
      <c r="MGJ45" s="100"/>
      <c r="MGK45" s="100"/>
      <c r="MGL45" s="100"/>
      <c r="MGM45" s="100"/>
      <c r="MGN45" s="100"/>
      <c r="MGO45" s="100"/>
      <c r="MGP45" s="100"/>
      <c r="MGQ45" s="100"/>
      <c r="MGR45" s="100"/>
      <c r="MGS45" s="100"/>
      <c r="MGT45" s="100"/>
      <c r="MGU45" s="100"/>
      <c r="MGV45" s="100"/>
      <c r="MGW45" s="100"/>
      <c r="MGX45" s="100"/>
      <c r="MGY45" s="100"/>
      <c r="MGZ45" s="100"/>
      <c r="MHA45" s="100"/>
      <c r="MHB45" s="100"/>
      <c r="MHC45" s="100"/>
      <c r="MHD45" s="100"/>
      <c r="MHE45" s="100"/>
      <c r="MHF45" s="100"/>
      <c r="MHG45" s="100"/>
      <c r="MHH45" s="100"/>
      <c r="MHI45" s="100"/>
      <c r="MHJ45" s="100"/>
      <c r="MHK45" s="100"/>
      <c r="MHL45" s="100"/>
      <c r="MHM45" s="100"/>
      <c r="MHN45" s="100"/>
      <c r="MHO45" s="100"/>
      <c r="MHP45" s="100"/>
      <c r="MHQ45" s="100"/>
      <c r="MHR45" s="100"/>
      <c r="MHS45" s="100"/>
      <c r="MHT45" s="100"/>
      <c r="MHU45" s="100"/>
      <c r="MHV45" s="100"/>
      <c r="MHW45" s="100"/>
      <c r="MHX45" s="100"/>
      <c r="MHY45" s="100"/>
      <c r="MHZ45" s="100"/>
      <c r="MIA45" s="100"/>
      <c r="MIB45" s="100"/>
      <c r="MIC45" s="100"/>
      <c r="MID45" s="100"/>
      <c r="MIE45" s="100"/>
      <c r="MIF45" s="100"/>
      <c r="MIG45" s="100"/>
      <c r="MIH45" s="100"/>
      <c r="MII45" s="100"/>
      <c r="MIJ45" s="100"/>
      <c r="MIK45" s="100"/>
      <c r="MIL45" s="100"/>
      <c r="MIM45" s="100"/>
      <c r="MIN45" s="100"/>
      <c r="MIO45" s="100"/>
      <c r="MIP45" s="100"/>
      <c r="MIQ45" s="100"/>
      <c r="MIR45" s="100"/>
      <c r="MIS45" s="100"/>
      <c r="MIT45" s="100"/>
      <c r="MIU45" s="100"/>
      <c r="MIV45" s="100"/>
      <c r="MIW45" s="100"/>
      <c r="MIX45" s="100"/>
      <c r="MIY45" s="100"/>
      <c r="MIZ45" s="100"/>
      <c r="MJA45" s="100"/>
      <c r="MJB45" s="100"/>
      <c r="MJC45" s="100"/>
      <c r="MJD45" s="100"/>
      <c r="MJE45" s="100"/>
      <c r="MJF45" s="100"/>
      <c r="MJG45" s="100"/>
      <c r="MJH45" s="100"/>
      <c r="MJI45" s="100"/>
      <c r="MJJ45" s="100"/>
      <c r="MJK45" s="100"/>
      <c r="MJL45" s="100"/>
      <c r="MJM45" s="100"/>
      <c r="MJN45" s="100"/>
      <c r="MJO45" s="100"/>
      <c r="MJP45" s="100"/>
      <c r="MJQ45" s="100"/>
      <c r="MJR45" s="100"/>
      <c r="MJS45" s="100"/>
      <c r="MJT45" s="100"/>
      <c r="MJU45" s="100"/>
      <c r="MJV45" s="100"/>
      <c r="MJW45" s="100"/>
      <c r="MJX45" s="100"/>
      <c r="MJY45" s="100"/>
      <c r="MJZ45" s="100"/>
      <c r="MKA45" s="100"/>
      <c r="MKB45" s="100"/>
      <c r="MKC45" s="100"/>
      <c r="MKD45" s="100"/>
      <c r="MKE45" s="100"/>
      <c r="MKF45" s="100"/>
      <c r="MKG45" s="100"/>
      <c r="MKH45" s="100"/>
      <c r="MKI45" s="100"/>
      <c r="MKJ45" s="100"/>
      <c r="MKK45" s="100"/>
      <c r="MKL45" s="100"/>
      <c r="MKM45" s="100"/>
      <c r="MKN45" s="100"/>
      <c r="MKO45" s="100"/>
      <c r="MKP45" s="100"/>
      <c r="MKQ45" s="100"/>
      <c r="MKR45" s="100"/>
      <c r="MKS45" s="100"/>
      <c r="MKT45" s="100"/>
      <c r="MKU45" s="100"/>
      <c r="MKV45" s="100"/>
      <c r="MKW45" s="100"/>
      <c r="MKX45" s="100"/>
      <c r="MKY45" s="100"/>
      <c r="MKZ45" s="100"/>
      <c r="MLA45" s="100"/>
      <c r="MLB45" s="100"/>
      <c r="MLC45" s="100"/>
      <c r="MLD45" s="100"/>
      <c r="MLE45" s="100"/>
      <c r="MLF45" s="100"/>
      <c r="MLG45" s="100"/>
      <c r="MLH45" s="100"/>
      <c r="MLI45" s="100"/>
      <c r="MLJ45" s="100"/>
      <c r="MLK45" s="100"/>
      <c r="MLL45" s="100"/>
      <c r="MLM45" s="100"/>
      <c r="MLN45" s="100"/>
      <c r="MLO45" s="100"/>
      <c r="MLP45" s="100"/>
      <c r="MLQ45" s="100"/>
      <c r="MLR45" s="100"/>
      <c r="MLS45" s="100"/>
      <c r="MLT45" s="100"/>
      <c r="MLU45" s="100"/>
      <c r="MLV45" s="100"/>
      <c r="MLW45" s="100"/>
      <c r="MLX45" s="100"/>
      <c r="MLY45" s="100"/>
      <c r="MLZ45" s="100"/>
      <c r="MMA45" s="100"/>
      <c r="MMB45" s="100"/>
      <c r="MMC45" s="100"/>
      <c r="MMD45" s="100"/>
      <c r="MME45" s="100"/>
      <c r="MMF45" s="100"/>
      <c r="MMG45" s="100"/>
      <c r="MMH45" s="100"/>
      <c r="MMI45" s="100"/>
      <c r="MMJ45" s="100"/>
      <c r="MMK45" s="100"/>
      <c r="MML45" s="100"/>
      <c r="MMM45" s="100"/>
      <c r="MMN45" s="100"/>
      <c r="MMO45" s="100"/>
      <c r="MMP45" s="100"/>
      <c r="MMQ45" s="100"/>
      <c r="MMR45" s="100"/>
      <c r="MMS45" s="100"/>
      <c r="MMT45" s="100"/>
      <c r="MMU45" s="100"/>
      <c r="MMV45" s="100"/>
      <c r="MMW45" s="100"/>
      <c r="MMX45" s="100"/>
      <c r="MMY45" s="100"/>
      <c r="MMZ45" s="100"/>
      <c r="MNA45" s="100"/>
      <c r="MNB45" s="100"/>
      <c r="MNC45" s="100"/>
      <c r="MND45" s="100"/>
      <c r="MNE45" s="100"/>
      <c r="MNF45" s="100"/>
      <c r="MNG45" s="100"/>
      <c r="MNH45" s="100"/>
      <c r="MNI45" s="100"/>
      <c r="MNJ45" s="100"/>
      <c r="MNK45" s="100"/>
      <c r="MNL45" s="100"/>
      <c r="MNM45" s="100"/>
      <c r="MNN45" s="100"/>
      <c r="MNO45" s="100"/>
      <c r="MNP45" s="100"/>
      <c r="MNQ45" s="100"/>
      <c r="MNR45" s="100"/>
      <c r="MNS45" s="100"/>
      <c r="MNT45" s="100"/>
      <c r="MNU45" s="100"/>
      <c r="MNV45" s="100"/>
      <c r="MNW45" s="100"/>
      <c r="MNX45" s="100"/>
      <c r="MNY45" s="100"/>
      <c r="MNZ45" s="100"/>
      <c r="MOA45" s="100"/>
      <c r="MOB45" s="100"/>
      <c r="MOC45" s="100"/>
      <c r="MOD45" s="100"/>
      <c r="MOE45" s="100"/>
      <c r="MOF45" s="100"/>
      <c r="MOG45" s="100"/>
      <c r="MOH45" s="100"/>
      <c r="MOI45" s="100"/>
      <c r="MOJ45" s="100"/>
      <c r="MOK45" s="100"/>
      <c r="MOL45" s="100"/>
      <c r="MOM45" s="100"/>
      <c r="MON45" s="100"/>
      <c r="MOO45" s="100"/>
      <c r="MOP45" s="100"/>
      <c r="MOQ45" s="100"/>
      <c r="MOR45" s="100"/>
      <c r="MOS45" s="100"/>
      <c r="MOT45" s="100"/>
      <c r="MOU45" s="100"/>
      <c r="MOV45" s="100"/>
      <c r="MOW45" s="100"/>
      <c r="MOX45" s="100"/>
      <c r="MOY45" s="100"/>
      <c r="MOZ45" s="100"/>
      <c r="MPA45" s="100"/>
      <c r="MPB45" s="100"/>
      <c r="MPC45" s="100"/>
      <c r="MPD45" s="100"/>
      <c r="MPE45" s="100"/>
      <c r="MPF45" s="100"/>
      <c r="MPG45" s="100"/>
      <c r="MPH45" s="100"/>
      <c r="MPI45" s="100"/>
      <c r="MPJ45" s="100"/>
      <c r="MPK45" s="100"/>
      <c r="MPL45" s="100"/>
      <c r="MPM45" s="100"/>
      <c r="MPN45" s="100"/>
      <c r="MPO45" s="100"/>
      <c r="MPP45" s="100"/>
      <c r="MPQ45" s="100"/>
      <c r="MPR45" s="100"/>
      <c r="MPS45" s="100"/>
      <c r="MPT45" s="100"/>
      <c r="MPU45" s="100"/>
      <c r="MPV45" s="100"/>
      <c r="MPW45" s="100"/>
      <c r="MPX45" s="100"/>
      <c r="MPY45" s="100"/>
      <c r="MPZ45" s="100"/>
      <c r="MQA45" s="100"/>
      <c r="MQB45" s="100"/>
      <c r="MQC45" s="100"/>
      <c r="MQD45" s="100"/>
      <c r="MQE45" s="100"/>
      <c r="MQF45" s="100"/>
      <c r="MQG45" s="100"/>
      <c r="MQH45" s="100"/>
      <c r="MQI45" s="100"/>
      <c r="MQJ45" s="100"/>
      <c r="MQK45" s="100"/>
      <c r="MQL45" s="100"/>
      <c r="MQM45" s="100"/>
      <c r="MQN45" s="100"/>
      <c r="MQO45" s="100"/>
      <c r="MQP45" s="100"/>
      <c r="MQQ45" s="100"/>
      <c r="MQR45" s="100"/>
      <c r="MQS45" s="100"/>
      <c r="MQT45" s="100"/>
      <c r="MQU45" s="100"/>
      <c r="MQV45" s="100"/>
      <c r="MQW45" s="100"/>
      <c r="MQX45" s="100"/>
      <c r="MQY45" s="100"/>
      <c r="MQZ45" s="100"/>
      <c r="MRA45" s="100"/>
      <c r="MRB45" s="100"/>
      <c r="MRC45" s="100"/>
      <c r="MRD45" s="100"/>
      <c r="MRE45" s="100"/>
      <c r="MRF45" s="100"/>
      <c r="MRG45" s="100"/>
      <c r="MRH45" s="100"/>
      <c r="MRI45" s="100"/>
      <c r="MRJ45" s="100"/>
      <c r="MRK45" s="100"/>
      <c r="MRL45" s="100"/>
      <c r="MRM45" s="100"/>
      <c r="MRN45" s="100"/>
      <c r="MRO45" s="100"/>
      <c r="MRP45" s="100"/>
      <c r="MRQ45" s="100"/>
      <c r="MRR45" s="100"/>
      <c r="MRS45" s="100"/>
      <c r="MRT45" s="100"/>
      <c r="MRU45" s="100"/>
      <c r="MRV45" s="100"/>
      <c r="MRW45" s="100"/>
      <c r="MRX45" s="100"/>
      <c r="MRY45" s="100"/>
      <c r="MRZ45" s="100"/>
      <c r="MSA45" s="100"/>
      <c r="MSB45" s="100"/>
      <c r="MSC45" s="100"/>
      <c r="MSD45" s="100"/>
      <c r="MSE45" s="100"/>
      <c r="MSF45" s="100"/>
      <c r="MSG45" s="100"/>
      <c r="MSH45" s="100"/>
      <c r="MSI45" s="100"/>
      <c r="MSJ45" s="100"/>
      <c r="MSK45" s="100"/>
      <c r="MSL45" s="100"/>
      <c r="MSM45" s="100"/>
      <c r="MSN45" s="100"/>
      <c r="MSO45" s="100"/>
      <c r="MSP45" s="100"/>
      <c r="MSQ45" s="100"/>
      <c r="MSR45" s="100"/>
      <c r="MSS45" s="100"/>
      <c r="MST45" s="100"/>
      <c r="MSU45" s="100"/>
      <c r="MSV45" s="100"/>
      <c r="MSW45" s="100"/>
      <c r="MSX45" s="100"/>
      <c r="MSY45" s="100"/>
      <c r="MSZ45" s="100"/>
      <c r="MTA45" s="100"/>
      <c r="MTB45" s="100"/>
      <c r="MTC45" s="100"/>
      <c r="MTD45" s="100"/>
      <c r="MTE45" s="100"/>
      <c r="MTF45" s="100"/>
      <c r="MTG45" s="100"/>
      <c r="MTH45" s="100"/>
      <c r="MTI45" s="100"/>
      <c r="MTJ45" s="100"/>
      <c r="MTK45" s="100"/>
      <c r="MTL45" s="100"/>
      <c r="MTM45" s="100"/>
      <c r="MTN45" s="100"/>
      <c r="MTO45" s="100"/>
      <c r="MTP45" s="100"/>
      <c r="MTQ45" s="100"/>
      <c r="MTR45" s="100"/>
      <c r="MTS45" s="100"/>
      <c r="MTT45" s="100"/>
      <c r="MTU45" s="100"/>
      <c r="MTV45" s="100"/>
      <c r="MTW45" s="100"/>
      <c r="MTX45" s="100"/>
      <c r="MTY45" s="100"/>
      <c r="MTZ45" s="100"/>
      <c r="MUA45" s="100"/>
      <c r="MUB45" s="100"/>
      <c r="MUC45" s="100"/>
      <c r="MUD45" s="100"/>
      <c r="MUE45" s="100"/>
      <c r="MUF45" s="100"/>
      <c r="MUG45" s="100"/>
      <c r="MUH45" s="100"/>
      <c r="MUI45" s="100"/>
      <c r="MUJ45" s="100"/>
      <c r="MUK45" s="100"/>
      <c r="MUL45" s="100"/>
      <c r="MUM45" s="100"/>
      <c r="MUN45" s="100"/>
      <c r="MUO45" s="100"/>
      <c r="MUP45" s="100"/>
      <c r="MUQ45" s="100"/>
      <c r="MUR45" s="100"/>
      <c r="MUS45" s="100"/>
      <c r="MUT45" s="100"/>
      <c r="MUU45" s="100"/>
      <c r="MUV45" s="100"/>
      <c r="MUW45" s="100"/>
      <c r="MUX45" s="100"/>
      <c r="MUY45" s="100"/>
      <c r="MUZ45" s="100"/>
      <c r="MVA45" s="100"/>
      <c r="MVB45" s="100"/>
      <c r="MVC45" s="100"/>
      <c r="MVD45" s="100"/>
      <c r="MVE45" s="100"/>
      <c r="MVF45" s="100"/>
      <c r="MVG45" s="100"/>
      <c r="MVH45" s="100"/>
      <c r="MVI45" s="100"/>
      <c r="MVJ45" s="100"/>
      <c r="MVK45" s="100"/>
      <c r="MVL45" s="100"/>
      <c r="MVM45" s="100"/>
      <c r="MVN45" s="100"/>
      <c r="MVO45" s="100"/>
      <c r="MVP45" s="100"/>
      <c r="MVQ45" s="100"/>
      <c r="MVR45" s="100"/>
      <c r="MVS45" s="100"/>
      <c r="MVT45" s="100"/>
      <c r="MVU45" s="100"/>
      <c r="MVV45" s="100"/>
      <c r="MVW45" s="100"/>
      <c r="MVX45" s="100"/>
      <c r="MVY45" s="100"/>
      <c r="MVZ45" s="100"/>
      <c r="MWA45" s="100"/>
      <c r="MWB45" s="100"/>
      <c r="MWC45" s="100"/>
      <c r="MWD45" s="100"/>
      <c r="MWE45" s="100"/>
      <c r="MWF45" s="100"/>
      <c r="MWG45" s="100"/>
      <c r="MWH45" s="100"/>
      <c r="MWI45" s="100"/>
      <c r="MWJ45" s="100"/>
      <c r="MWK45" s="100"/>
      <c r="MWL45" s="100"/>
      <c r="MWM45" s="100"/>
      <c r="MWN45" s="100"/>
      <c r="MWO45" s="100"/>
      <c r="MWP45" s="100"/>
      <c r="MWQ45" s="100"/>
      <c r="MWR45" s="100"/>
      <c r="MWS45" s="100"/>
      <c r="MWT45" s="100"/>
      <c r="MWU45" s="100"/>
      <c r="MWV45" s="100"/>
      <c r="MWW45" s="100"/>
      <c r="MWX45" s="100"/>
      <c r="MWY45" s="100"/>
      <c r="MWZ45" s="100"/>
      <c r="MXA45" s="100"/>
      <c r="MXB45" s="100"/>
      <c r="MXC45" s="100"/>
      <c r="MXD45" s="100"/>
      <c r="MXE45" s="100"/>
      <c r="MXF45" s="100"/>
      <c r="MXG45" s="100"/>
      <c r="MXH45" s="100"/>
      <c r="MXI45" s="100"/>
      <c r="MXJ45" s="100"/>
      <c r="MXK45" s="100"/>
      <c r="MXL45" s="100"/>
      <c r="MXM45" s="100"/>
      <c r="MXN45" s="100"/>
      <c r="MXO45" s="100"/>
      <c r="MXP45" s="100"/>
      <c r="MXQ45" s="100"/>
      <c r="MXR45" s="100"/>
      <c r="MXS45" s="100"/>
      <c r="MXT45" s="100"/>
      <c r="MXU45" s="100"/>
      <c r="MXV45" s="100"/>
      <c r="MXW45" s="100"/>
      <c r="MXX45" s="100"/>
      <c r="MXY45" s="100"/>
      <c r="MXZ45" s="100"/>
      <c r="MYA45" s="100"/>
      <c r="MYB45" s="100"/>
      <c r="MYC45" s="100"/>
      <c r="MYD45" s="100"/>
      <c r="MYE45" s="100"/>
      <c r="MYF45" s="100"/>
      <c r="MYG45" s="100"/>
      <c r="MYH45" s="100"/>
      <c r="MYI45" s="100"/>
      <c r="MYJ45" s="100"/>
      <c r="MYK45" s="100"/>
      <c r="MYL45" s="100"/>
      <c r="MYM45" s="100"/>
      <c r="MYN45" s="100"/>
      <c r="MYO45" s="100"/>
      <c r="MYP45" s="100"/>
      <c r="MYQ45" s="100"/>
      <c r="MYR45" s="100"/>
      <c r="MYS45" s="100"/>
      <c r="MYT45" s="100"/>
      <c r="MYU45" s="100"/>
      <c r="MYV45" s="100"/>
      <c r="MYW45" s="100"/>
      <c r="MYX45" s="100"/>
      <c r="MYY45" s="100"/>
      <c r="MYZ45" s="100"/>
      <c r="MZA45" s="100"/>
      <c r="MZB45" s="100"/>
      <c r="MZC45" s="100"/>
      <c r="MZD45" s="100"/>
      <c r="MZE45" s="100"/>
      <c r="MZF45" s="100"/>
      <c r="MZG45" s="100"/>
      <c r="MZH45" s="100"/>
      <c r="MZI45" s="100"/>
      <c r="MZJ45" s="100"/>
      <c r="MZK45" s="100"/>
      <c r="MZL45" s="100"/>
      <c r="MZM45" s="100"/>
      <c r="MZN45" s="100"/>
      <c r="MZO45" s="100"/>
      <c r="MZP45" s="100"/>
      <c r="MZQ45" s="100"/>
      <c r="MZR45" s="100"/>
      <c r="MZS45" s="100"/>
      <c r="MZT45" s="100"/>
      <c r="MZU45" s="100"/>
      <c r="MZV45" s="100"/>
      <c r="MZW45" s="100"/>
      <c r="MZX45" s="100"/>
      <c r="MZY45" s="100"/>
      <c r="MZZ45" s="100"/>
      <c r="NAA45" s="100"/>
      <c r="NAB45" s="100"/>
      <c r="NAC45" s="100"/>
      <c r="NAD45" s="100"/>
      <c r="NAE45" s="100"/>
      <c r="NAF45" s="100"/>
      <c r="NAG45" s="100"/>
      <c r="NAH45" s="100"/>
      <c r="NAI45" s="100"/>
      <c r="NAJ45" s="100"/>
      <c r="NAK45" s="100"/>
      <c r="NAL45" s="100"/>
      <c r="NAM45" s="100"/>
      <c r="NAN45" s="100"/>
      <c r="NAO45" s="100"/>
      <c r="NAP45" s="100"/>
      <c r="NAQ45" s="100"/>
      <c r="NAR45" s="100"/>
      <c r="NAS45" s="100"/>
      <c r="NAT45" s="100"/>
      <c r="NAU45" s="100"/>
      <c r="NAV45" s="100"/>
      <c r="NAW45" s="100"/>
      <c r="NAX45" s="100"/>
      <c r="NAY45" s="100"/>
      <c r="NAZ45" s="100"/>
      <c r="NBA45" s="100"/>
      <c r="NBB45" s="100"/>
      <c r="NBC45" s="100"/>
      <c r="NBD45" s="100"/>
      <c r="NBE45" s="100"/>
      <c r="NBF45" s="100"/>
      <c r="NBG45" s="100"/>
      <c r="NBH45" s="100"/>
      <c r="NBI45" s="100"/>
      <c r="NBJ45" s="100"/>
      <c r="NBK45" s="100"/>
      <c r="NBL45" s="100"/>
      <c r="NBM45" s="100"/>
      <c r="NBN45" s="100"/>
      <c r="NBO45" s="100"/>
      <c r="NBP45" s="100"/>
      <c r="NBQ45" s="100"/>
      <c r="NBR45" s="100"/>
      <c r="NBS45" s="100"/>
      <c r="NBT45" s="100"/>
      <c r="NBU45" s="100"/>
      <c r="NBV45" s="100"/>
      <c r="NBW45" s="100"/>
      <c r="NBX45" s="100"/>
      <c r="NBY45" s="100"/>
      <c r="NBZ45" s="100"/>
      <c r="NCA45" s="100"/>
      <c r="NCB45" s="100"/>
      <c r="NCC45" s="100"/>
      <c r="NCD45" s="100"/>
      <c r="NCE45" s="100"/>
      <c r="NCF45" s="100"/>
      <c r="NCG45" s="100"/>
      <c r="NCH45" s="100"/>
      <c r="NCI45" s="100"/>
      <c r="NCJ45" s="100"/>
      <c r="NCK45" s="100"/>
      <c r="NCL45" s="100"/>
      <c r="NCM45" s="100"/>
      <c r="NCN45" s="100"/>
      <c r="NCO45" s="100"/>
      <c r="NCP45" s="100"/>
      <c r="NCQ45" s="100"/>
      <c r="NCR45" s="100"/>
      <c r="NCS45" s="100"/>
      <c r="NCT45" s="100"/>
      <c r="NCU45" s="100"/>
      <c r="NCV45" s="100"/>
      <c r="NCW45" s="100"/>
      <c r="NCX45" s="100"/>
      <c r="NCY45" s="100"/>
      <c r="NCZ45" s="100"/>
      <c r="NDA45" s="100"/>
      <c r="NDB45" s="100"/>
      <c r="NDC45" s="100"/>
      <c r="NDD45" s="100"/>
      <c r="NDE45" s="100"/>
      <c r="NDF45" s="100"/>
      <c r="NDG45" s="100"/>
      <c r="NDH45" s="100"/>
      <c r="NDI45" s="100"/>
      <c r="NDJ45" s="100"/>
      <c r="NDK45" s="100"/>
      <c r="NDL45" s="100"/>
      <c r="NDM45" s="100"/>
      <c r="NDN45" s="100"/>
      <c r="NDO45" s="100"/>
      <c r="NDP45" s="100"/>
      <c r="NDQ45" s="100"/>
      <c r="NDR45" s="100"/>
      <c r="NDS45" s="100"/>
      <c r="NDT45" s="100"/>
      <c r="NDU45" s="100"/>
      <c r="NDV45" s="100"/>
      <c r="NDW45" s="100"/>
      <c r="NDX45" s="100"/>
      <c r="NDY45" s="100"/>
      <c r="NDZ45" s="100"/>
      <c r="NEA45" s="100"/>
      <c r="NEB45" s="100"/>
      <c r="NEC45" s="100"/>
      <c r="NED45" s="100"/>
      <c r="NEE45" s="100"/>
      <c r="NEF45" s="100"/>
      <c r="NEG45" s="100"/>
      <c r="NEH45" s="100"/>
      <c r="NEI45" s="100"/>
      <c r="NEJ45" s="100"/>
      <c r="NEK45" s="100"/>
      <c r="NEL45" s="100"/>
      <c r="NEM45" s="100"/>
      <c r="NEN45" s="100"/>
      <c r="NEO45" s="100"/>
      <c r="NEP45" s="100"/>
      <c r="NEQ45" s="100"/>
      <c r="NER45" s="100"/>
      <c r="NES45" s="100"/>
      <c r="NET45" s="100"/>
      <c r="NEU45" s="100"/>
      <c r="NEV45" s="100"/>
      <c r="NEW45" s="100"/>
      <c r="NEX45" s="100"/>
      <c r="NEY45" s="100"/>
      <c r="NEZ45" s="100"/>
      <c r="NFA45" s="100"/>
      <c r="NFB45" s="100"/>
      <c r="NFC45" s="100"/>
      <c r="NFD45" s="100"/>
      <c r="NFE45" s="100"/>
      <c r="NFF45" s="100"/>
      <c r="NFG45" s="100"/>
      <c r="NFH45" s="100"/>
      <c r="NFI45" s="100"/>
      <c r="NFJ45" s="100"/>
      <c r="NFK45" s="100"/>
      <c r="NFL45" s="100"/>
      <c r="NFM45" s="100"/>
      <c r="NFN45" s="100"/>
      <c r="NFO45" s="100"/>
      <c r="NFP45" s="100"/>
      <c r="NFQ45" s="100"/>
      <c r="NFR45" s="100"/>
      <c r="NFS45" s="100"/>
      <c r="NFT45" s="100"/>
      <c r="NFU45" s="100"/>
      <c r="NFV45" s="100"/>
      <c r="NFW45" s="100"/>
      <c r="NFX45" s="100"/>
      <c r="NFY45" s="100"/>
      <c r="NFZ45" s="100"/>
      <c r="NGA45" s="100"/>
      <c r="NGB45" s="100"/>
      <c r="NGC45" s="100"/>
      <c r="NGD45" s="100"/>
      <c r="NGE45" s="100"/>
      <c r="NGF45" s="100"/>
      <c r="NGG45" s="100"/>
      <c r="NGH45" s="100"/>
      <c r="NGI45" s="100"/>
      <c r="NGJ45" s="100"/>
      <c r="NGK45" s="100"/>
      <c r="NGL45" s="100"/>
      <c r="NGM45" s="100"/>
      <c r="NGN45" s="100"/>
      <c r="NGO45" s="100"/>
      <c r="NGP45" s="100"/>
      <c r="NGQ45" s="100"/>
      <c r="NGR45" s="100"/>
      <c r="NGS45" s="100"/>
      <c r="NGT45" s="100"/>
      <c r="NGU45" s="100"/>
      <c r="NGV45" s="100"/>
      <c r="NGW45" s="100"/>
      <c r="NGX45" s="100"/>
      <c r="NGY45" s="100"/>
      <c r="NGZ45" s="100"/>
      <c r="NHA45" s="100"/>
      <c r="NHB45" s="100"/>
      <c r="NHC45" s="100"/>
      <c r="NHD45" s="100"/>
      <c r="NHE45" s="100"/>
      <c r="NHF45" s="100"/>
      <c r="NHG45" s="100"/>
      <c r="NHH45" s="100"/>
      <c r="NHI45" s="100"/>
      <c r="NHJ45" s="100"/>
      <c r="NHK45" s="100"/>
      <c r="NHL45" s="100"/>
      <c r="NHM45" s="100"/>
      <c r="NHN45" s="100"/>
      <c r="NHO45" s="100"/>
      <c r="NHP45" s="100"/>
      <c r="NHQ45" s="100"/>
      <c r="NHR45" s="100"/>
      <c r="NHS45" s="100"/>
      <c r="NHT45" s="100"/>
      <c r="NHU45" s="100"/>
      <c r="NHV45" s="100"/>
      <c r="NHW45" s="100"/>
      <c r="NHX45" s="100"/>
      <c r="NHY45" s="100"/>
      <c r="NHZ45" s="100"/>
      <c r="NIA45" s="100"/>
      <c r="NIB45" s="100"/>
      <c r="NIC45" s="100"/>
      <c r="NID45" s="100"/>
      <c r="NIE45" s="100"/>
      <c r="NIF45" s="100"/>
      <c r="NIG45" s="100"/>
      <c r="NIH45" s="100"/>
      <c r="NII45" s="100"/>
      <c r="NIJ45" s="100"/>
      <c r="NIK45" s="100"/>
      <c r="NIL45" s="100"/>
      <c r="NIM45" s="100"/>
      <c r="NIN45" s="100"/>
      <c r="NIO45" s="100"/>
      <c r="NIP45" s="100"/>
      <c r="NIQ45" s="100"/>
      <c r="NIR45" s="100"/>
      <c r="NIS45" s="100"/>
      <c r="NIT45" s="100"/>
      <c r="NIU45" s="100"/>
      <c r="NIV45" s="100"/>
      <c r="NIW45" s="100"/>
      <c r="NIX45" s="100"/>
      <c r="NIY45" s="100"/>
      <c r="NIZ45" s="100"/>
      <c r="NJA45" s="100"/>
      <c r="NJB45" s="100"/>
      <c r="NJC45" s="100"/>
      <c r="NJD45" s="100"/>
      <c r="NJE45" s="100"/>
      <c r="NJF45" s="100"/>
      <c r="NJG45" s="100"/>
      <c r="NJH45" s="100"/>
      <c r="NJI45" s="100"/>
      <c r="NJJ45" s="100"/>
      <c r="NJK45" s="100"/>
      <c r="NJL45" s="100"/>
      <c r="NJM45" s="100"/>
      <c r="NJN45" s="100"/>
      <c r="NJO45" s="100"/>
      <c r="NJP45" s="100"/>
      <c r="NJQ45" s="100"/>
      <c r="NJR45" s="100"/>
      <c r="NJS45" s="100"/>
      <c r="NJT45" s="100"/>
      <c r="NJU45" s="100"/>
      <c r="NJV45" s="100"/>
      <c r="NJW45" s="100"/>
      <c r="NJX45" s="100"/>
      <c r="NJY45" s="100"/>
      <c r="NJZ45" s="100"/>
      <c r="NKA45" s="100"/>
      <c r="NKB45" s="100"/>
      <c r="NKC45" s="100"/>
      <c r="NKD45" s="100"/>
      <c r="NKE45" s="100"/>
      <c r="NKF45" s="100"/>
      <c r="NKG45" s="100"/>
      <c r="NKH45" s="100"/>
      <c r="NKI45" s="100"/>
      <c r="NKJ45" s="100"/>
      <c r="NKK45" s="100"/>
      <c r="NKL45" s="100"/>
      <c r="NKM45" s="100"/>
      <c r="NKN45" s="100"/>
      <c r="NKO45" s="100"/>
      <c r="NKP45" s="100"/>
      <c r="NKQ45" s="100"/>
      <c r="NKR45" s="100"/>
      <c r="NKS45" s="100"/>
      <c r="NKT45" s="100"/>
      <c r="NKU45" s="100"/>
      <c r="NKV45" s="100"/>
      <c r="NKW45" s="100"/>
      <c r="NKX45" s="100"/>
      <c r="NKY45" s="100"/>
      <c r="NKZ45" s="100"/>
      <c r="NLA45" s="100"/>
      <c r="NLB45" s="100"/>
      <c r="NLC45" s="100"/>
      <c r="NLD45" s="100"/>
      <c r="NLE45" s="100"/>
      <c r="NLF45" s="100"/>
      <c r="NLG45" s="100"/>
      <c r="NLH45" s="100"/>
      <c r="NLI45" s="100"/>
      <c r="NLJ45" s="100"/>
      <c r="NLK45" s="100"/>
      <c r="NLL45" s="100"/>
      <c r="NLM45" s="100"/>
      <c r="NLN45" s="100"/>
      <c r="NLO45" s="100"/>
      <c r="NLP45" s="100"/>
      <c r="NLQ45" s="100"/>
      <c r="NLR45" s="100"/>
      <c r="NLS45" s="100"/>
      <c r="NLT45" s="100"/>
      <c r="NLU45" s="100"/>
      <c r="NLV45" s="100"/>
      <c r="NLW45" s="100"/>
      <c r="NLX45" s="100"/>
      <c r="NLY45" s="100"/>
      <c r="NLZ45" s="100"/>
      <c r="NMA45" s="100"/>
      <c r="NMB45" s="100"/>
      <c r="NMC45" s="100"/>
      <c r="NMD45" s="100"/>
      <c r="NME45" s="100"/>
      <c r="NMF45" s="100"/>
      <c r="NMG45" s="100"/>
      <c r="NMH45" s="100"/>
      <c r="NMI45" s="100"/>
      <c r="NMJ45" s="100"/>
      <c r="NMK45" s="100"/>
      <c r="NML45" s="100"/>
      <c r="NMM45" s="100"/>
      <c r="NMN45" s="100"/>
      <c r="NMO45" s="100"/>
      <c r="NMP45" s="100"/>
      <c r="NMQ45" s="100"/>
      <c r="NMR45" s="100"/>
      <c r="NMS45" s="100"/>
      <c r="NMT45" s="100"/>
      <c r="NMU45" s="100"/>
      <c r="NMV45" s="100"/>
      <c r="NMW45" s="100"/>
      <c r="NMX45" s="100"/>
      <c r="NMY45" s="100"/>
      <c r="NMZ45" s="100"/>
      <c r="NNA45" s="100"/>
      <c r="NNB45" s="100"/>
      <c r="NNC45" s="100"/>
      <c r="NND45" s="100"/>
      <c r="NNE45" s="100"/>
      <c r="NNF45" s="100"/>
      <c r="NNG45" s="100"/>
      <c r="NNH45" s="100"/>
      <c r="NNI45" s="100"/>
      <c r="NNJ45" s="100"/>
      <c r="NNK45" s="100"/>
      <c r="NNL45" s="100"/>
      <c r="NNM45" s="100"/>
      <c r="NNN45" s="100"/>
      <c r="NNO45" s="100"/>
      <c r="NNP45" s="100"/>
      <c r="NNQ45" s="100"/>
      <c r="NNR45" s="100"/>
      <c r="NNS45" s="100"/>
      <c r="NNT45" s="100"/>
      <c r="NNU45" s="100"/>
      <c r="NNV45" s="100"/>
      <c r="NNW45" s="100"/>
      <c r="NNX45" s="100"/>
      <c r="NNY45" s="100"/>
      <c r="NNZ45" s="100"/>
      <c r="NOA45" s="100"/>
      <c r="NOB45" s="100"/>
      <c r="NOC45" s="100"/>
      <c r="NOD45" s="100"/>
      <c r="NOE45" s="100"/>
      <c r="NOF45" s="100"/>
      <c r="NOG45" s="100"/>
      <c r="NOH45" s="100"/>
      <c r="NOI45" s="100"/>
      <c r="NOJ45" s="100"/>
      <c r="NOK45" s="100"/>
      <c r="NOL45" s="100"/>
      <c r="NOM45" s="100"/>
      <c r="NON45" s="100"/>
      <c r="NOO45" s="100"/>
      <c r="NOP45" s="100"/>
      <c r="NOQ45" s="100"/>
      <c r="NOR45" s="100"/>
      <c r="NOS45" s="100"/>
      <c r="NOT45" s="100"/>
      <c r="NOU45" s="100"/>
      <c r="NOV45" s="100"/>
      <c r="NOW45" s="100"/>
      <c r="NOX45" s="100"/>
      <c r="NOY45" s="100"/>
      <c r="NOZ45" s="100"/>
      <c r="NPA45" s="100"/>
      <c r="NPB45" s="100"/>
      <c r="NPC45" s="100"/>
      <c r="NPD45" s="100"/>
      <c r="NPE45" s="100"/>
      <c r="NPF45" s="100"/>
      <c r="NPG45" s="100"/>
      <c r="NPH45" s="100"/>
      <c r="NPI45" s="100"/>
      <c r="NPJ45" s="100"/>
      <c r="NPK45" s="100"/>
      <c r="NPL45" s="100"/>
      <c r="NPM45" s="100"/>
      <c r="NPN45" s="100"/>
      <c r="NPO45" s="100"/>
      <c r="NPP45" s="100"/>
      <c r="NPQ45" s="100"/>
      <c r="NPR45" s="100"/>
      <c r="NPS45" s="100"/>
      <c r="NPT45" s="100"/>
      <c r="NPU45" s="100"/>
      <c r="NPV45" s="100"/>
      <c r="NPW45" s="100"/>
      <c r="NPX45" s="100"/>
      <c r="NPY45" s="100"/>
      <c r="NPZ45" s="100"/>
      <c r="NQA45" s="100"/>
      <c r="NQB45" s="100"/>
      <c r="NQC45" s="100"/>
      <c r="NQD45" s="100"/>
      <c r="NQE45" s="100"/>
      <c r="NQF45" s="100"/>
      <c r="NQG45" s="100"/>
      <c r="NQH45" s="100"/>
      <c r="NQI45" s="100"/>
      <c r="NQJ45" s="100"/>
      <c r="NQK45" s="100"/>
      <c r="NQL45" s="100"/>
      <c r="NQM45" s="100"/>
      <c r="NQN45" s="100"/>
      <c r="NQO45" s="100"/>
      <c r="NQP45" s="100"/>
      <c r="NQQ45" s="100"/>
      <c r="NQR45" s="100"/>
      <c r="NQS45" s="100"/>
      <c r="NQT45" s="100"/>
      <c r="NQU45" s="100"/>
      <c r="NQV45" s="100"/>
      <c r="NQW45" s="100"/>
      <c r="NQX45" s="100"/>
      <c r="NQY45" s="100"/>
      <c r="NQZ45" s="100"/>
      <c r="NRA45" s="100"/>
      <c r="NRB45" s="100"/>
      <c r="NRC45" s="100"/>
      <c r="NRD45" s="100"/>
      <c r="NRE45" s="100"/>
    </row>
    <row r="46" spans="1:9937" s="50" customFormat="1" ht="25" customHeight="1" thickBot="1" x14ac:dyDescent="0.5">
      <c r="A46" s="185" t="s">
        <v>656</v>
      </c>
      <c r="B46" s="186"/>
      <c r="C46" s="361">
        <f>VLOOKUP($A$3,INITIAL_EST_PY,95,FALSE)</f>
        <v>0</v>
      </c>
      <c r="D46" s="361">
        <f>VLOOKUP($A$3,INITIAL_EST_PY,95,FALSE)</f>
        <v>0</v>
      </c>
      <c r="E46" s="362">
        <f>VLOOKUP($A$3,INITIAL_EST_PY,95,FALSE)</f>
        <v>0</v>
      </c>
      <c r="F46" s="382">
        <f>VLOOKUP($A$3,INITIAL_EST_PY,95,FALSE)</f>
        <v>0</v>
      </c>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c r="IW46" s="100"/>
      <c r="IX46" s="100"/>
      <c r="IY46" s="100"/>
      <c r="IZ46" s="100"/>
      <c r="JA46" s="100"/>
      <c r="JB46" s="100"/>
      <c r="JC46" s="100"/>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c r="KJ46" s="100"/>
      <c r="KK46" s="100"/>
      <c r="KL46" s="100"/>
      <c r="KM46" s="100"/>
      <c r="KN46" s="100"/>
      <c r="KO46" s="100"/>
      <c r="KP46" s="100"/>
      <c r="KQ46" s="100"/>
      <c r="KR46" s="100"/>
      <c r="KS46" s="100"/>
      <c r="KT46" s="100"/>
      <c r="KU46" s="100"/>
      <c r="KV46" s="100"/>
      <c r="KW46" s="100"/>
      <c r="KX46" s="100"/>
      <c r="KY46" s="100"/>
      <c r="KZ46" s="100"/>
      <c r="LA46" s="100"/>
      <c r="LB46" s="100"/>
      <c r="LC46" s="100"/>
      <c r="LD46" s="100"/>
      <c r="LE46" s="100"/>
      <c r="LF46" s="100"/>
      <c r="LG46" s="100"/>
      <c r="LH46" s="100"/>
      <c r="LI46" s="100"/>
      <c r="LJ46" s="100"/>
      <c r="LK46" s="100"/>
      <c r="LL46" s="100"/>
      <c r="LM46" s="100"/>
      <c r="LN46" s="100"/>
      <c r="LO46" s="100"/>
      <c r="LP46" s="100"/>
      <c r="LQ46" s="100"/>
      <c r="LR46" s="100"/>
      <c r="LS46" s="100"/>
      <c r="LT46" s="100"/>
      <c r="LU46" s="100"/>
      <c r="LV46" s="100"/>
      <c r="LW46" s="100"/>
      <c r="LX46" s="100"/>
      <c r="LY46" s="100"/>
      <c r="LZ46" s="100"/>
      <c r="MA46" s="100"/>
      <c r="MB46" s="100"/>
      <c r="MC46" s="100"/>
      <c r="MD46" s="100"/>
      <c r="ME46" s="100"/>
      <c r="MF46" s="100"/>
      <c r="MG46" s="100"/>
      <c r="MH46" s="100"/>
      <c r="MI46" s="100"/>
      <c r="MJ46" s="100"/>
      <c r="MK46" s="100"/>
      <c r="ML46" s="100"/>
      <c r="MM46" s="100"/>
      <c r="MN46" s="100"/>
      <c r="MO46" s="100"/>
      <c r="MP46" s="100"/>
      <c r="MQ46" s="100"/>
      <c r="MR46" s="100"/>
      <c r="MS46" s="100"/>
      <c r="MT46" s="100"/>
      <c r="MU46" s="100"/>
      <c r="MV46" s="100"/>
      <c r="MW46" s="100"/>
      <c r="MX46" s="100"/>
      <c r="MY46" s="100"/>
      <c r="MZ46" s="100"/>
      <c r="NA46" s="100"/>
      <c r="NB46" s="100"/>
      <c r="NC46" s="100"/>
      <c r="ND46" s="100"/>
      <c r="NE46" s="100"/>
      <c r="NF46" s="100"/>
      <c r="NG46" s="100"/>
      <c r="NH46" s="100"/>
      <c r="NI46" s="100"/>
      <c r="NJ46" s="100"/>
      <c r="NK46" s="100"/>
      <c r="NL46" s="100"/>
      <c r="NM46" s="100"/>
      <c r="NN46" s="100"/>
      <c r="NO46" s="100"/>
      <c r="NP46" s="100"/>
      <c r="NQ46" s="100"/>
      <c r="NR46" s="100"/>
      <c r="NS46" s="100"/>
      <c r="NT46" s="100"/>
      <c r="NU46" s="100"/>
      <c r="NV46" s="100"/>
      <c r="NW46" s="100"/>
      <c r="NX46" s="100"/>
      <c r="NY46" s="100"/>
      <c r="NZ46" s="100"/>
      <c r="OA46" s="100"/>
      <c r="OB46" s="100"/>
      <c r="OC46" s="100"/>
      <c r="OD46" s="100"/>
      <c r="OE46" s="100"/>
      <c r="OF46" s="100"/>
      <c r="OG46" s="100"/>
      <c r="OH46" s="100"/>
      <c r="OI46" s="100"/>
      <c r="OJ46" s="100"/>
      <c r="OK46" s="100"/>
      <c r="OL46" s="100"/>
      <c r="OM46" s="100"/>
      <c r="ON46" s="100"/>
      <c r="OO46" s="100"/>
      <c r="OP46" s="100"/>
      <c r="OQ46" s="100"/>
      <c r="OR46" s="100"/>
      <c r="OS46" s="100"/>
      <c r="OT46" s="100"/>
      <c r="OU46" s="100"/>
      <c r="OV46" s="100"/>
      <c r="OW46" s="100"/>
      <c r="OX46" s="100"/>
      <c r="OY46" s="100"/>
      <c r="OZ46" s="100"/>
      <c r="PA46" s="100"/>
      <c r="PB46" s="100"/>
      <c r="PC46" s="100"/>
      <c r="PD46" s="100"/>
      <c r="PE46" s="100"/>
      <c r="PF46" s="100"/>
      <c r="PG46" s="100"/>
      <c r="PH46" s="100"/>
      <c r="PI46" s="100"/>
      <c r="PJ46" s="100"/>
      <c r="PK46" s="100"/>
      <c r="PL46" s="100"/>
      <c r="PM46" s="100"/>
      <c r="PN46" s="100"/>
      <c r="PO46" s="100"/>
      <c r="PP46" s="100"/>
      <c r="PQ46" s="100"/>
      <c r="PR46" s="100"/>
      <c r="PS46" s="100"/>
      <c r="PT46" s="100"/>
      <c r="PU46" s="100"/>
      <c r="PV46" s="100"/>
      <c r="PW46" s="100"/>
      <c r="PX46" s="100"/>
      <c r="PY46" s="100"/>
      <c r="PZ46" s="100"/>
      <c r="QA46" s="100"/>
      <c r="QB46" s="100"/>
      <c r="QC46" s="100"/>
      <c r="QD46" s="100"/>
      <c r="QE46" s="100"/>
      <c r="QF46" s="100"/>
      <c r="QG46" s="100"/>
      <c r="QH46" s="100"/>
      <c r="QI46" s="100"/>
      <c r="QJ46" s="100"/>
      <c r="QK46" s="100"/>
      <c r="QL46" s="100"/>
      <c r="QM46" s="100"/>
      <c r="QN46" s="100"/>
      <c r="QO46" s="100"/>
      <c r="QP46" s="100"/>
      <c r="QQ46" s="100"/>
      <c r="QR46" s="100"/>
      <c r="QS46" s="100"/>
      <c r="QT46" s="100"/>
      <c r="QU46" s="100"/>
      <c r="QV46" s="100"/>
      <c r="QW46" s="100"/>
      <c r="QX46" s="100"/>
      <c r="QY46" s="100"/>
      <c r="QZ46" s="100"/>
      <c r="RA46" s="100"/>
      <c r="RB46" s="100"/>
      <c r="RC46" s="100"/>
      <c r="RD46" s="100"/>
      <c r="RE46" s="100"/>
      <c r="RF46" s="100"/>
      <c r="RG46" s="100"/>
      <c r="RH46" s="100"/>
      <c r="RI46" s="100"/>
      <c r="RJ46" s="100"/>
      <c r="RK46" s="100"/>
      <c r="RL46" s="100"/>
      <c r="RM46" s="100"/>
      <c r="RN46" s="100"/>
      <c r="RO46" s="100"/>
      <c r="RP46" s="100"/>
      <c r="RQ46" s="100"/>
      <c r="RR46" s="100"/>
      <c r="RS46" s="100"/>
      <c r="RT46" s="100"/>
      <c r="RU46" s="100"/>
      <c r="RV46" s="100"/>
      <c r="RW46" s="100"/>
      <c r="RX46" s="100"/>
      <c r="RY46" s="100"/>
      <c r="RZ46" s="100"/>
      <c r="SA46" s="100"/>
      <c r="SB46" s="100"/>
      <c r="SC46" s="100"/>
      <c r="SD46" s="100"/>
      <c r="SE46" s="100"/>
      <c r="SF46" s="100"/>
      <c r="SG46" s="100"/>
      <c r="SH46" s="100"/>
      <c r="SI46" s="100"/>
      <c r="SJ46" s="100"/>
      <c r="SK46" s="100"/>
      <c r="SL46" s="100"/>
      <c r="SM46" s="100"/>
      <c r="SN46" s="100"/>
      <c r="SO46" s="100"/>
      <c r="SP46" s="100"/>
      <c r="SQ46" s="100"/>
      <c r="SR46" s="100"/>
      <c r="SS46" s="100"/>
      <c r="ST46" s="100"/>
      <c r="SU46" s="100"/>
      <c r="SV46" s="100"/>
      <c r="SW46" s="100"/>
      <c r="SX46" s="100"/>
      <c r="SY46" s="100"/>
      <c r="SZ46" s="100"/>
      <c r="TA46" s="100"/>
      <c r="TB46" s="100"/>
      <c r="TC46" s="100"/>
      <c r="TD46" s="100"/>
      <c r="TE46" s="100"/>
      <c r="TF46" s="100"/>
      <c r="TG46" s="100"/>
      <c r="TH46" s="100"/>
      <c r="TI46" s="100"/>
      <c r="TJ46" s="100"/>
      <c r="TK46" s="100"/>
      <c r="TL46" s="100"/>
      <c r="TM46" s="100"/>
      <c r="TN46" s="100"/>
      <c r="TO46" s="100"/>
      <c r="TP46" s="100"/>
      <c r="TQ46" s="100"/>
      <c r="TR46" s="100"/>
      <c r="TS46" s="100"/>
      <c r="TT46" s="100"/>
      <c r="TU46" s="100"/>
      <c r="TV46" s="100"/>
      <c r="TW46" s="100"/>
      <c r="TX46" s="100"/>
      <c r="TY46" s="100"/>
      <c r="TZ46" s="100"/>
      <c r="UA46" s="100"/>
      <c r="UB46" s="100"/>
      <c r="UC46" s="100"/>
      <c r="UD46" s="100"/>
      <c r="UE46" s="100"/>
      <c r="UF46" s="100"/>
      <c r="UG46" s="100"/>
      <c r="UH46" s="100"/>
      <c r="UI46" s="100"/>
      <c r="UJ46" s="100"/>
      <c r="UK46" s="100"/>
      <c r="UL46" s="100"/>
      <c r="UM46" s="100"/>
      <c r="UN46" s="100"/>
      <c r="UO46" s="100"/>
      <c r="UP46" s="100"/>
      <c r="UQ46" s="100"/>
      <c r="UR46" s="100"/>
      <c r="US46" s="100"/>
      <c r="UT46" s="100"/>
      <c r="UU46" s="100"/>
      <c r="UV46" s="100"/>
      <c r="UW46" s="100"/>
      <c r="UX46" s="100"/>
      <c r="UY46" s="100"/>
      <c r="UZ46" s="100"/>
      <c r="VA46" s="100"/>
      <c r="VB46" s="100"/>
      <c r="VC46" s="100"/>
      <c r="VD46" s="100"/>
      <c r="VE46" s="100"/>
      <c r="VF46" s="100"/>
      <c r="VG46" s="100"/>
      <c r="VH46" s="100"/>
      <c r="VI46" s="100"/>
      <c r="VJ46" s="100"/>
      <c r="VK46" s="100"/>
      <c r="VL46" s="100"/>
      <c r="VM46" s="100"/>
      <c r="VN46" s="100"/>
      <c r="VO46" s="100"/>
      <c r="VP46" s="100"/>
      <c r="VQ46" s="100"/>
      <c r="VR46" s="100"/>
      <c r="VS46" s="100"/>
      <c r="VT46" s="100"/>
      <c r="VU46" s="100"/>
      <c r="VV46" s="100"/>
      <c r="VW46" s="100"/>
      <c r="VX46" s="100"/>
      <c r="VY46" s="100"/>
      <c r="VZ46" s="100"/>
      <c r="WA46" s="100"/>
      <c r="WB46" s="100"/>
      <c r="WC46" s="100"/>
      <c r="WD46" s="100"/>
      <c r="WE46" s="100"/>
      <c r="WF46" s="100"/>
      <c r="WG46" s="100"/>
      <c r="WH46" s="100"/>
      <c r="WI46" s="100"/>
      <c r="WJ46" s="100"/>
      <c r="WK46" s="100"/>
      <c r="WL46" s="100"/>
      <c r="WM46" s="100"/>
      <c r="WN46" s="100"/>
      <c r="WO46" s="100"/>
      <c r="WP46" s="100"/>
      <c r="WQ46" s="100"/>
      <c r="WR46" s="100"/>
      <c r="WS46" s="100"/>
      <c r="WT46" s="100"/>
      <c r="WU46" s="100"/>
      <c r="WV46" s="100"/>
      <c r="WW46" s="100"/>
      <c r="WX46" s="100"/>
      <c r="WY46" s="100"/>
      <c r="WZ46" s="100"/>
      <c r="XA46" s="100"/>
      <c r="XB46" s="100"/>
      <c r="XC46" s="100"/>
      <c r="XD46" s="100"/>
      <c r="XE46" s="100"/>
      <c r="XF46" s="100"/>
      <c r="XG46" s="100"/>
      <c r="XH46" s="100"/>
      <c r="XI46" s="100"/>
      <c r="XJ46" s="100"/>
      <c r="XK46" s="100"/>
      <c r="XL46" s="100"/>
      <c r="XM46" s="100"/>
      <c r="XN46" s="100"/>
      <c r="XO46" s="100"/>
      <c r="XP46" s="100"/>
      <c r="XQ46" s="100"/>
      <c r="XR46" s="100"/>
      <c r="XS46" s="100"/>
      <c r="XT46" s="100"/>
      <c r="XU46" s="100"/>
      <c r="XV46" s="100"/>
      <c r="XW46" s="100"/>
      <c r="XX46" s="100"/>
      <c r="XY46" s="100"/>
      <c r="XZ46" s="100"/>
      <c r="YA46" s="100"/>
      <c r="YB46" s="100"/>
      <c r="YC46" s="100"/>
      <c r="YD46" s="100"/>
      <c r="YE46" s="100"/>
      <c r="YF46" s="100"/>
      <c r="YG46" s="100"/>
      <c r="YH46" s="100"/>
      <c r="YI46" s="100"/>
      <c r="YJ46" s="100"/>
      <c r="YK46" s="100"/>
      <c r="YL46" s="100"/>
      <c r="YM46" s="100"/>
      <c r="YN46" s="100"/>
      <c r="YO46" s="100"/>
      <c r="YP46" s="100"/>
      <c r="YQ46" s="100"/>
      <c r="YR46" s="100"/>
      <c r="YS46" s="100"/>
      <c r="YT46" s="100"/>
      <c r="YU46" s="100"/>
      <c r="YV46" s="100"/>
      <c r="YW46" s="100"/>
      <c r="YX46" s="100"/>
      <c r="YY46" s="100"/>
      <c r="YZ46" s="100"/>
      <c r="ZA46" s="100"/>
      <c r="ZB46" s="100"/>
      <c r="ZC46" s="100"/>
      <c r="ZD46" s="100"/>
      <c r="ZE46" s="100"/>
      <c r="ZF46" s="100"/>
      <c r="ZG46" s="100"/>
      <c r="ZH46" s="100"/>
      <c r="ZI46" s="100"/>
      <c r="ZJ46" s="100"/>
      <c r="ZK46" s="100"/>
      <c r="ZL46" s="100"/>
      <c r="ZM46" s="100"/>
      <c r="ZN46" s="100"/>
      <c r="ZO46" s="100"/>
      <c r="ZP46" s="100"/>
      <c r="ZQ46" s="100"/>
      <c r="ZR46" s="100"/>
      <c r="ZS46" s="100"/>
      <c r="ZT46" s="100"/>
      <c r="ZU46" s="100"/>
      <c r="ZV46" s="100"/>
      <c r="ZW46" s="100"/>
      <c r="ZX46" s="100"/>
      <c r="ZY46" s="100"/>
      <c r="ZZ46" s="100"/>
      <c r="AAA46" s="100"/>
      <c r="AAB46" s="100"/>
      <c r="AAC46" s="100"/>
      <c r="AAD46" s="100"/>
      <c r="AAE46" s="100"/>
      <c r="AAF46" s="100"/>
      <c r="AAG46" s="100"/>
      <c r="AAH46" s="100"/>
      <c r="AAI46" s="100"/>
      <c r="AAJ46" s="100"/>
      <c r="AAK46" s="100"/>
      <c r="AAL46" s="100"/>
      <c r="AAM46" s="100"/>
      <c r="AAN46" s="100"/>
      <c r="AAO46" s="100"/>
      <c r="AAP46" s="100"/>
      <c r="AAQ46" s="100"/>
      <c r="AAR46" s="100"/>
      <c r="AAS46" s="100"/>
      <c r="AAT46" s="100"/>
      <c r="AAU46" s="100"/>
      <c r="AAV46" s="100"/>
      <c r="AAW46" s="100"/>
      <c r="AAX46" s="100"/>
      <c r="AAY46" s="100"/>
      <c r="AAZ46" s="100"/>
      <c r="ABA46" s="100"/>
      <c r="ABB46" s="100"/>
      <c r="ABC46" s="100"/>
      <c r="ABD46" s="100"/>
      <c r="ABE46" s="100"/>
      <c r="ABF46" s="100"/>
      <c r="ABG46" s="100"/>
      <c r="ABH46" s="100"/>
      <c r="ABI46" s="100"/>
      <c r="ABJ46" s="100"/>
      <c r="ABK46" s="100"/>
      <c r="ABL46" s="100"/>
      <c r="ABM46" s="100"/>
      <c r="ABN46" s="100"/>
      <c r="ABO46" s="100"/>
      <c r="ABP46" s="100"/>
      <c r="ABQ46" s="100"/>
      <c r="ABR46" s="100"/>
      <c r="ABS46" s="100"/>
      <c r="ABT46" s="100"/>
      <c r="ABU46" s="100"/>
      <c r="ABV46" s="100"/>
      <c r="ABW46" s="100"/>
      <c r="ABX46" s="100"/>
      <c r="ABY46" s="100"/>
      <c r="ABZ46" s="100"/>
      <c r="ACA46" s="100"/>
      <c r="ACB46" s="100"/>
      <c r="ACC46" s="100"/>
      <c r="ACD46" s="100"/>
      <c r="ACE46" s="100"/>
      <c r="ACF46" s="100"/>
      <c r="ACG46" s="100"/>
      <c r="ACH46" s="100"/>
      <c r="ACI46" s="100"/>
      <c r="ACJ46" s="100"/>
      <c r="ACK46" s="100"/>
      <c r="ACL46" s="100"/>
      <c r="ACM46" s="100"/>
      <c r="ACN46" s="100"/>
      <c r="ACO46" s="100"/>
      <c r="ACP46" s="100"/>
      <c r="ACQ46" s="100"/>
      <c r="ACR46" s="100"/>
      <c r="ACS46" s="100"/>
      <c r="ACT46" s="100"/>
      <c r="ACU46" s="100"/>
      <c r="ACV46" s="100"/>
      <c r="ACW46" s="100"/>
      <c r="ACX46" s="100"/>
      <c r="ACY46" s="100"/>
      <c r="ACZ46" s="100"/>
      <c r="ADA46" s="100"/>
      <c r="ADB46" s="100"/>
      <c r="ADC46" s="100"/>
      <c r="ADD46" s="100"/>
      <c r="ADE46" s="100"/>
      <c r="ADF46" s="100"/>
      <c r="ADG46" s="100"/>
      <c r="ADH46" s="100"/>
      <c r="ADI46" s="100"/>
      <c r="ADJ46" s="100"/>
      <c r="ADK46" s="100"/>
      <c r="ADL46" s="100"/>
      <c r="ADM46" s="100"/>
      <c r="ADN46" s="100"/>
      <c r="ADO46" s="100"/>
      <c r="ADP46" s="100"/>
      <c r="ADQ46" s="100"/>
      <c r="ADR46" s="100"/>
      <c r="ADS46" s="100"/>
      <c r="ADT46" s="100"/>
      <c r="ADU46" s="100"/>
      <c r="ADV46" s="100"/>
      <c r="ADW46" s="100"/>
      <c r="ADX46" s="100"/>
      <c r="ADY46" s="100"/>
      <c r="ADZ46" s="100"/>
      <c r="AEA46" s="100"/>
      <c r="AEB46" s="100"/>
      <c r="AEC46" s="100"/>
      <c r="AED46" s="100"/>
      <c r="AEE46" s="100"/>
      <c r="AEF46" s="100"/>
      <c r="AEG46" s="100"/>
      <c r="AEH46" s="100"/>
      <c r="AEI46" s="100"/>
      <c r="AEJ46" s="100"/>
      <c r="AEK46" s="100"/>
      <c r="AEL46" s="100"/>
      <c r="AEM46" s="100"/>
      <c r="AEN46" s="100"/>
      <c r="AEO46" s="100"/>
      <c r="AEP46" s="100"/>
      <c r="AEQ46" s="100"/>
      <c r="AER46" s="100"/>
      <c r="AES46" s="100"/>
      <c r="AET46" s="100"/>
      <c r="AEU46" s="100"/>
      <c r="AEV46" s="100"/>
      <c r="AEW46" s="100"/>
      <c r="AEX46" s="100"/>
      <c r="AEY46" s="100"/>
      <c r="AEZ46" s="100"/>
      <c r="AFA46" s="100"/>
      <c r="AFB46" s="100"/>
      <c r="AFC46" s="100"/>
      <c r="AFD46" s="100"/>
      <c r="AFE46" s="100"/>
      <c r="AFF46" s="100"/>
      <c r="AFG46" s="100"/>
      <c r="AFH46" s="100"/>
      <c r="AFI46" s="100"/>
      <c r="AFJ46" s="100"/>
      <c r="AFK46" s="100"/>
      <c r="AFL46" s="100"/>
      <c r="AFM46" s="100"/>
      <c r="AFN46" s="100"/>
      <c r="AFO46" s="100"/>
      <c r="AFP46" s="100"/>
      <c r="AFQ46" s="100"/>
      <c r="AFR46" s="100"/>
      <c r="AFS46" s="100"/>
      <c r="AFT46" s="100"/>
      <c r="AFU46" s="100"/>
      <c r="AFV46" s="100"/>
      <c r="AFW46" s="100"/>
      <c r="AFX46" s="100"/>
      <c r="AFY46" s="100"/>
      <c r="AFZ46" s="100"/>
      <c r="AGA46" s="100"/>
      <c r="AGB46" s="100"/>
      <c r="AGC46" s="100"/>
      <c r="AGD46" s="100"/>
      <c r="AGE46" s="100"/>
      <c r="AGF46" s="100"/>
      <c r="AGG46" s="100"/>
      <c r="AGH46" s="100"/>
      <c r="AGI46" s="100"/>
      <c r="AGJ46" s="100"/>
      <c r="AGK46" s="100"/>
      <c r="AGL46" s="100"/>
      <c r="AGM46" s="100"/>
      <c r="AGN46" s="100"/>
      <c r="AGO46" s="100"/>
      <c r="AGP46" s="100"/>
      <c r="AGQ46" s="100"/>
      <c r="AGR46" s="100"/>
      <c r="AGS46" s="100"/>
      <c r="AGT46" s="100"/>
      <c r="AGU46" s="100"/>
      <c r="AGV46" s="100"/>
      <c r="AGW46" s="100"/>
      <c r="AGX46" s="100"/>
      <c r="AGY46" s="100"/>
      <c r="AGZ46" s="100"/>
      <c r="AHA46" s="100"/>
      <c r="AHB46" s="100"/>
      <c r="AHC46" s="100"/>
      <c r="AHD46" s="100"/>
      <c r="AHE46" s="100"/>
      <c r="AHF46" s="100"/>
      <c r="AHG46" s="100"/>
      <c r="AHH46" s="100"/>
      <c r="AHI46" s="100"/>
      <c r="AHJ46" s="100"/>
      <c r="AHK46" s="100"/>
      <c r="AHL46" s="100"/>
      <c r="AHM46" s="100"/>
      <c r="AHN46" s="100"/>
      <c r="AHO46" s="100"/>
      <c r="AHP46" s="100"/>
      <c r="AHQ46" s="100"/>
      <c r="AHR46" s="100"/>
      <c r="AHS46" s="100"/>
      <c r="AHT46" s="100"/>
      <c r="AHU46" s="100"/>
      <c r="AHV46" s="100"/>
      <c r="AHW46" s="100"/>
      <c r="AHX46" s="100"/>
      <c r="AHY46" s="100"/>
      <c r="AHZ46" s="100"/>
      <c r="AIA46" s="100"/>
      <c r="AIB46" s="100"/>
      <c r="AIC46" s="100"/>
      <c r="AID46" s="100"/>
      <c r="AIE46" s="100"/>
      <c r="AIF46" s="100"/>
      <c r="AIG46" s="100"/>
      <c r="AIH46" s="100"/>
      <c r="AII46" s="100"/>
      <c r="AIJ46" s="100"/>
      <c r="AIK46" s="100"/>
      <c r="AIL46" s="100"/>
      <c r="AIM46" s="100"/>
      <c r="AIN46" s="100"/>
      <c r="AIO46" s="100"/>
      <c r="AIP46" s="100"/>
      <c r="AIQ46" s="100"/>
      <c r="AIR46" s="100"/>
      <c r="AIS46" s="100"/>
      <c r="AIT46" s="100"/>
      <c r="AIU46" s="100"/>
      <c r="AIV46" s="100"/>
      <c r="AIW46" s="100"/>
      <c r="AIX46" s="100"/>
      <c r="AIY46" s="100"/>
      <c r="AIZ46" s="100"/>
      <c r="AJA46" s="100"/>
      <c r="AJB46" s="100"/>
      <c r="AJC46" s="100"/>
      <c r="AJD46" s="100"/>
      <c r="AJE46" s="100"/>
      <c r="AJF46" s="100"/>
      <c r="AJG46" s="100"/>
      <c r="AJH46" s="100"/>
      <c r="AJI46" s="100"/>
      <c r="AJJ46" s="100"/>
      <c r="AJK46" s="100"/>
      <c r="AJL46" s="100"/>
      <c r="AJM46" s="100"/>
      <c r="AJN46" s="100"/>
      <c r="AJO46" s="100"/>
      <c r="AJP46" s="100"/>
      <c r="AJQ46" s="100"/>
      <c r="AJR46" s="100"/>
      <c r="AJS46" s="100"/>
      <c r="AJT46" s="100"/>
      <c r="AJU46" s="100"/>
      <c r="AJV46" s="100"/>
      <c r="AJW46" s="100"/>
      <c r="AJX46" s="100"/>
      <c r="AJY46" s="100"/>
      <c r="AJZ46" s="100"/>
      <c r="AKA46" s="100"/>
      <c r="AKB46" s="100"/>
      <c r="AKC46" s="100"/>
      <c r="AKD46" s="100"/>
      <c r="AKE46" s="100"/>
      <c r="AKF46" s="100"/>
      <c r="AKG46" s="100"/>
      <c r="AKH46" s="100"/>
      <c r="AKI46" s="100"/>
      <c r="AKJ46" s="100"/>
      <c r="AKK46" s="100"/>
      <c r="AKL46" s="100"/>
      <c r="AKM46" s="100"/>
      <c r="AKN46" s="100"/>
      <c r="AKO46" s="100"/>
      <c r="AKP46" s="100"/>
      <c r="AKQ46" s="100"/>
      <c r="AKR46" s="100"/>
      <c r="AKS46" s="100"/>
      <c r="AKT46" s="100"/>
      <c r="AKU46" s="100"/>
      <c r="AKV46" s="100"/>
      <c r="AKW46" s="100"/>
      <c r="AKX46" s="100"/>
      <c r="AKY46" s="100"/>
      <c r="AKZ46" s="100"/>
      <c r="ALA46" s="100"/>
      <c r="ALB46" s="100"/>
      <c r="ALC46" s="100"/>
      <c r="ALD46" s="100"/>
      <c r="ALE46" s="100"/>
      <c r="ALF46" s="100"/>
      <c r="ALG46" s="100"/>
      <c r="ALH46" s="100"/>
      <c r="ALI46" s="100"/>
      <c r="ALJ46" s="100"/>
      <c r="ALK46" s="100"/>
      <c r="ALL46" s="100"/>
      <c r="ALM46" s="100"/>
      <c r="ALN46" s="100"/>
      <c r="ALO46" s="100"/>
      <c r="ALP46" s="100"/>
      <c r="ALQ46" s="100"/>
      <c r="ALR46" s="100"/>
      <c r="ALS46" s="100"/>
      <c r="ALT46" s="100"/>
      <c r="ALU46" s="100"/>
      <c r="ALV46" s="100"/>
      <c r="ALW46" s="100"/>
      <c r="ALX46" s="100"/>
      <c r="ALY46" s="100"/>
      <c r="ALZ46" s="100"/>
      <c r="AMA46" s="100"/>
      <c r="AMB46" s="100"/>
      <c r="AMC46" s="100"/>
      <c r="AMD46" s="100"/>
      <c r="AME46" s="100"/>
      <c r="AMF46" s="100"/>
      <c r="AMG46" s="100"/>
      <c r="AMH46" s="100"/>
      <c r="AMI46" s="100"/>
      <c r="AMJ46" s="100"/>
      <c r="AMK46" s="100"/>
      <c r="AML46" s="100"/>
      <c r="AMM46" s="100"/>
      <c r="AMN46" s="100"/>
      <c r="AMO46" s="100"/>
      <c r="AMP46" s="100"/>
      <c r="AMQ46" s="100"/>
      <c r="AMR46" s="100"/>
      <c r="AMS46" s="100"/>
      <c r="AMT46" s="100"/>
      <c r="AMU46" s="100"/>
      <c r="AMV46" s="100"/>
      <c r="AMW46" s="100"/>
      <c r="AMX46" s="100"/>
      <c r="AMY46" s="100"/>
      <c r="AMZ46" s="100"/>
      <c r="ANA46" s="100"/>
      <c r="ANB46" s="100"/>
      <c r="ANC46" s="100"/>
      <c r="AND46" s="100"/>
      <c r="ANE46" s="100"/>
      <c r="ANF46" s="100"/>
      <c r="ANG46" s="100"/>
      <c r="ANH46" s="100"/>
      <c r="ANI46" s="100"/>
      <c r="ANJ46" s="100"/>
      <c r="ANK46" s="100"/>
      <c r="ANL46" s="100"/>
      <c r="ANM46" s="100"/>
      <c r="ANN46" s="100"/>
      <c r="ANO46" s="100"/>
      <c r="ANP46" s="100"/>
      <c r="ANQ46" s="100"/>
      <c r="ANR46" s="100"/>
      <c r="ANS46" s="100"/>
      <c r="ANT46" s="100"/>
      <c r="ANU46" s="100"/>
      <c r="ANV46" s="100"/>
      <c r="ANW46" s="100"/>
      <c r="ANX46" s="100"/>
      <c r="ANY46" s="100"/>
      <c r="ANZ46" s="100"/>
      <c r="AOA46" s="100"/>
      <c r="AOB46" s="100"/>
      <c r="AOC46" s="100"/>
      <c r="AOD46" s="100"/>
      <c r="AOE46" s="100"/>
      <c r="AOF46" s="100"/>
      <c r="AOG46" s="100"/>
      <c r="AOH46" s="100"/>
      <c r="AOI46" s="100"/>
      <c r="AOJ46" s="100"/>
      <c r="AOK46" s="100"/>
      <c r="AOL46" s="100"/>
      <c r="AOM46" s="100"/>
      <c r="AON46" s="100"/>
      <c r="AOO46" s="100"/>
      <c r="AOP46" s="100"/>
      <c r="AOQ46" s="100"/>
      <c r="AOR46" s="100"/>
      <c r="AOS46" s="100"/>
      <c r="AOT46" s="100"/>
      <c r="AOU46" s="100"/>
      <c r="AOV46" s="100"/>
      <c r="AOW46" s="100"/>
      <c r="AOX46" s="100"/>
      <c r="AOY46" s="100"/>
      <c r="AOZ46" s="100"/>
      <c r="APA46" s="100"/>
      <c r="APB46" s="100"/>
      <c r="APC46" s="100"/>
      <c r="APD46" s="100"/>
      <c r="APE46" s="100"/>
      <c r="APF46" s="100"/>
      <c r="APG46" s="100"/>
      <c r="APH46" s="100"/>
      <c r="API46" s="100"/>
      <c r="APJ46" s="100"/>
      <c r="APK46" s="100"/>
      <c r="APL46" s="100"/>
      <c r="APM46" s="100"/>
      <c r="APN46" s="100"/>
      <c r="APO46" s="100"/>
      <c r="APP46" s="100"/>
      <c r="APQ46" s="100"/>
      <c r="APR46" s="100"/>
      <c r="APS46" s="100"/>
      <c r="APT46" s="100"/>
      <c r="APU46" s="100"/>
      <c r="APV46" s="100"/>
      <c r="APW46" s="100"/>
      <c r="APX46" s="100"/>
      <c r="APY46" s="100"/>
      <c r="APZ46" s="100"/>
      <c r="AQA46" s="100"/>
      <c r="AQB46" s="100"/>
      <c r="AQC46" s="100"/>
      <c r="AQD46" s="100"/>
      <c r="AQE46" s="100"/>
      <c r="AQF46" s="100"/>
      <c r="AQG46" s="100"/>
      <c r="AQH46" s="100"/>
      <c r="AQI46" s="100"/>
      <c r="AQJ46" s="100"/>
      <c r="AQK46" s="100"/>
      <c r="AQL46" s="100"/>
      <c r="AQM46" s="100"/>
      <c r="AQN46" s="100"/>
      <c r="AQO46" s="100"/>
      <c r="AQP46" s="100"/>
      <c r="AQQ46" s="100"/>
      <c r="AQR46" s="100"/>
      <c r="AQS46" s="100"/>
      <c r="AQT46" s="100"/>
      <c r="AQU46" s="100"/>
      <c r="AQV46" s="100"/>
      <c r="AQW46" s="100"/>
      <c r="AQX46" s="100"/>
      <c r="AQY46" s="100"/>
      <c r="AQZ46" s="100"/>
      <c r="ARA46" s="100"/>
      <c r="ARB46" s="100"/>
      <c r="ARC46" s="100"/>
      <c r="ARD46" s="100"/>
      <c r="ARE46" s="100"/>
      <c r="ARF46" s="100"/>
      <c r="ARG46" s="100"/>
      <c r="ARH46" s="100"/>
      <c r="ARI46" s="100"/>
      <c r="ARJ46" s="100"/>
      <c r="ARK46" s="100"/>
      <c r="ARL46" s="100"/>
      <c r="ARM46" s="100"/>
      <c r="ARN46" s="100"/>
      <c r="ARO46" s="100"/>
      <c r="ARP46" s="100"/>
      <c r="ARQ46" s="100"/>
      <c r="ARR46" s="100"/>
      <c r="ARS46" s="100"/>
      <c r="ART46" s="100"/>
      <c r="ARU46" s="100"/>
      <c r="ARV46" s="100"/>
      <c r="ARW46" s="100"/>
      <c r="ARX46" s="100"/>
      <c r="ARY46" s="100"/>
      <c r="ARZ46" s="100"/>
      <c r="ASA46" s="100"/>
      <c r="ASB46" s="100"/>
      <c r="ASC46" s="100"/>
      <c r="ASD46" s="100"/>
      <c r="ASE46" s="100"/>
      <c r="ASF46" s="100"/>
      <c r="ASG46" s="100"/>
      <c r="ASH46" s="100"/>
      <c r="ASI46" s="100"/>
      <c r="ASJ46" s="100"/>
      <c r="ASK46" s="100"/>
      <c r="ASL46" s="100"/>
      <c r="ASM46" s="100"/>
      <c r="ASN46" s="100"/>
      <c r="ASO46" s="100"/>
      <c r="ASP46" s="100"/>
      <c r="ASQ46" s="100"/>
      <c r="ASR46" s="100"/>
      <c r="ASS46" s="100"/>
      <c r="AST46" s="100"/>
      <c r="ASU46" s="100"/>
      <c r="ASV46" s="100"/>
      <c r="ASW46" s="100"/>
      <c r="ASX46" s="100"/>
      <c r="ASY46" s="100"/>
      <c r="ASZ46" s="100"/>
      <c r="ATA46" s="100"/>
      <c r="ATB46" s="100"/>
      <c r="ATC46" s="100"/>
      <c r="ATD46" s="100"/>
      <c r="ATE46" s="100"/>
      <c r="ATF46" s="100"/>
      <c r="ATG46" s="100"/>
      <c r="ATH46" s="100"/>
      <c r="ATI46" s="100"/>
      <c r="ATJ46" s="100"/>
      <c r="ATK46" s="100"/>
      <c r="ATL46" s="100"/>
      <c r="ATM46" s="100"/>
      <c r="ATN46" s="100"/>
      <c r="ATO46" s="100"/>
      <c r="ATP46" s="100"/>
      <c r="ATQ46" s="100"/>
      <c r="ATR46" s="100"/>
      <c r="ATS46" s="100"/>
      <c r="ATT46" s="100"/>
      <c r="ATU46" s="100"/>
      <c r="ATV46" s="100"/>
      <c r="ATW46" s="100"/>
      <c r="ATX46" s="100"/>
      <c r="ATY46" s="100"/>
      <c r="ATZ46" s="100"/>
      <c r="AUA46" s="100"/>
      <c r="AUB46" s="100"/>
      <c r="AUC46" s="100"/>
      <c r="AUD46" s="100"/>
      <c r="AUE46" s="100"/>
      <c r="AUF46" s="100"/>
      <c r="AUG46" s="100"/>
      <c r="AUH46" s="100"/>
      <c r="AUI46" s="100"/>
      <c r="AUJ46" s="100"/>
      <c r="AUK46" s="100"/>
      <c r="AUL46" s="100"/>
      <c r="AUM46" s="100"/>
      <c r="AUN46" s="100"/>
      <c r="AUO46" s="100"/>
      <c r="AUP46" s="100"/>
      <c r="AUQ46" s="100"/>
      <c r="AUR46" s="100"/>
      <c r="AUS46" s="100"/>
      <c r="AUT46" s="100"/>
      <c r="AUU46" s="100"/>
      <c r="AUV46" s="100"/>
      <c r="AUW46" s="100"/>
      <c r="AUX46" s="100"/>
      <c r="AUY46" s="100"/>
      <c r="AUZ46" s="100"/>
      <c r="AVA46" s="100"/>
      <c r="AVB46" s="100"/>
      <c r="AVC46" s="100"/>
      <c r="AVD46" s="100"/>
      <c r="AVE46" s="100"/>
      <c r="AVF46" s="100"/>
      <c r="AVG46" s="100"/>
      <c r="AVH46" s="100"/>
      <c r="AVI46" s="100"/>
      <c r="AVJ46" s="100"/>
      <c r="AVK46" s="100"/>
      <c r="AVL46" s="100"/>
      <c r="AVM46" s="100"/>
      <c r="AVN46" s="100"/>
      <c r="AVO46" s="100"/>
      <c r="AVP46" s="100"/>
      <c r="AVQ46" s="100"/>
      <c r="AVR46" s="100"/>
      <c r="AVS46" s="100"/>
      <c r="AVT46" s="100"/>
      <c r="AVU46" s="100"/>
      <c r="AVV46" s="100"/>
      <c r="AVW46" s="100"/>
      <c r="AVX46" s="100"/>
      <c r="AVY46" s="100"/>
      <c r="AVZ46" s="100"/>
      <c r="AWA46" s="100"/>
      <c r="AWB46" s="100"/>
      <c r="AWC46" s="100"/>
      <c r="AWD46" s="100"/>
      <c r="AWE46" s="100"/>
      <c r="AWF46" s="100"/>
      <c r="AWG46" s="100"/>
      <c r="AWH46" s="100"/>
      <c r="AWI46" s="100"/>
      <c r="AWJ46" s="100"/>
      <c r="AWK46" s="100"/>
      <c r="AWL46" s="100"/>
      <c r="AWM46" s="100"/>
      <c r="AWN46" s="100"/>
      <c r="AWO46" s="100"/>
      <c r="AWP46" s="100"/>
      <c r="AWQ46" s="100"/>
      <c r="AWR46" s="100"/>
      <c r="AWS46" s="100"/>
      <c r="AWT46" s="100"/>
      <c r="AWU46" s="100"/>
      <c r="AWV46" s="100"/>
      <c r="AWW46" s="100"/>
      <c r="AWX46" s="100"/>
      <c r="AWY46" s="100"/>
      <c r="AWZ46" s="100"/>
      <c r="AXA46" s="100"/>
      <c r="AXB46" s="100"/>
      <c r="AXC46" s="100"/>
      <c r="AXD46" s="100"/>
      <c r="AXE46" s="100"/>
      <c r="AXF46" s="100"/>
      <c r="AXG46" s="100"/>
      <c r="AXH46" s="100"/>
      <c r="AXI46" s="100"/>
      <c r="AXJ46" s="100"/>
      <c r="AXK46" s="100"/>
      <c r="AXL46" s="100"/>
      <c r="AXM46" s="100"/>
      <c r="AXN46" s="100"/>
      <c r="AXO46" s="100"/>
      <c r="AXP46" s="100"/>
      <c r="AXQ46" s="100"/>
      <c r="AXR46" s="100"/>
      <c r="AXS46" s="100"/>
      <c r="AXT46" s="100"/>
      <c r="AXU46" s="100"/>
      <c r="AXV46" s="100"/>
      <c r="AXW46" s="100"/>
      <c r="AXX46" s="100"/>
      <c r="AXY46" s="100"/>
      <c r="AXZ46" s="100"/>
      <c r="AYA46" s="100"/>
      <c r="AYB46" s="100"/>
      <c r="AYC46" s="100"/>
      <c r="AYD46" s="100"/>
      <c r="AYE46" s="100"/>
      <c r="AYF46" s="100"/>
      <c r="AYG46" s="100"/>
      <c r="AYH46" s="100"/>
      <c r="AYI46" s="100"/>
      <c r="AYJ46" s="100"/>
      <c r="AYK46" s="100"/>
      <c r="AYL46" s="100"/>
      <c r="AYM46" s="100"/>
      <c r="AYN46" s="100"/>
      <c r="AYO46" s="100"/>
      <c r="AYP46" s="100"/>
      <c r="AYQ46" s="100"/>
      <c r="AYR46" s="100"/>
      <c r="AYS46" s="100"/>
      <c r="AYT46" s="100"/>
      <c r="AYU46" s="100"/>
      <c r="AYV46" s="100"/>
      <c r="AYW46" s="100"/>
      <c r="AYX46" s="100"/>
      <c r="AYY46" s="100"/>
      <c r="AYZ46" s="100"/>
      <c r="AZA46" s="100"/>
      <c r="AZB46" s="100"/>
      <c r="AZC46" s="100"/>
      <c r="AZD46" s="100"/>
      <c r="AZE46" s="100"/>
      <c r="AZF46" s="100"/>
      <c r="AZG46" s="100"/>
      <c r="AZH46" s="100"/>
      <c r="AZI46" s="100"/>
      <c r="AZJ46" s="100"/>
      <c r="AZK46" s="100"/>
      <c r="AZL46" s="100"/>
      <c r="AZM46" s="100"/>
      <c r="AZN46" s="100"/>
      <c r="AZO46" s="100"/>
      <c r="AZP46" s="100"/>
      <c r="AZQ46" s="100"/>
      <c r="AZR46" s="100"/>
      <c r="AZS46" s="100"/>
      <c r="AZT46" s="100"/>
      <c r="AZU46" s="100"/>
      <c r="AZV46" s="100"/>
      <c r="AZW46" s="100"/>
      <c r="AZX46" s="100"/>
      <c r="AZY46" s="100"/>
      <c r="AZZ46" s="100"/>
      <c r="BAA46" s="100"/>
      <c r="BAB46" s="100"/>
      <c r="BAC46" s="100"/>
      <c r="BAD46" s="100"/>
      <c r="BAE46" s="100"/>
      <c r="BAF46" s="100"/>
      <c r="BAG46" s="100"/>
      <c r="BAH46" s="100"/>
      <c r="BAI46" s="100"/>
      <c r="BAJ46" s="100"/>
      <c r="BAK46" s="100"/>
      <c r="BAL46" s="100"/>
      <c r="BAM46" s="100"/>
      <c r="BAN46" s="100"/>
      <c r="BAO46" s="100"/>
      <c r="BAP46" s="100"/>
      <c r="BAQ46" s="100"/>
      <c r="BAR46" s="100"/>
      <c r="BAS46" s="100"/>
      <c r="BAT46" s="100"/>
      <c r="BAU46" s="100"/>
      <c r="BAV46" s="100"/>
      <c r="BAW46" s="100"/>
      <c r="BAX46" s="100"/>
      <c r="BAY46" s="100"/>
      <c r="BAZ46" s="100"/>
      <c r="BBA46" s="100"/>
      <c r="BBB46" s="100"/>
      <c r="BBC46" s="100"/>
      <c r="BBD46" s="100"/>
      <c r="BBE46" s="100"/>
      <c r="BBF46" s="100"/>
      <c r="BBG46" s="100"/>
      <c r="BBH46" s="100"/>
      <c r="BBI46" s="100"/>
      <c r="BBJ46" s="100"/>
      <c r="BBK46" s="100"/>
      <c r="BBL46" s="100"/>
      <c r="BBM46" s="100"/>
      <c r="BBN46" s="100"/>
      <c r="BBO46" s="100"/>
      <c r="BBP46" s="100"/>
      <c r="BBQ46" s="100"/>
      <c r="BBR46" s="100"/>
      <c r="BBS46" s="100"/>
      <c r="BBT46" s="100"/>
      <c r="BBU46" s="100"/>
      <c r="BBV46" s="100"/>
      <c r="BBW46" s="100"/>
      <c r="BBX46" s="100"/>
      <c r="BBY46" s="100"/>
      <c r="BBZ46" s="100"/>
      <c r="BCA46" s="100"/>
      <c r="BCB46" s="100"/>
      <c r="BCC46" s="100"/>
      <c r="BCD46" s="100"/>
      <c r="BCE46" s="100"/>
      <c r="BCF46" s="100"/>
      <c r="BCG46" s="100"/>
      <c r="BCH46" s="100"/>
      <c r="BCI46" s="100"/>
      <c r="BCJ46" s="100"/>
      <c r="BCK46" s="100"/>
      <c r="BCL46" s="100"/>
      <c r="BCM46" s="100"/>
      <c r="BCN46" s="100"/>
      <c r="BCO46" s="100"/>
      <c r="BCP46" s="100"/>
      <c r="BCQ46" s="100"/>
      <c r="BCR46" s="100"/>
      <c r="BCS46" s="100"/>
      <c r="BCT46" s="100"/>
      <c r="BCU46" s="100"/>
      <c r="BCV46" s="100"/>
      <c r="BCW46" s="100"/>
      <c r="BCX46" s="100"/>
      <c r="BCY46" s="100"/>
      <c r="BCZ46" s="100"/>
      <c r="BDA46" s="100"/>
      <c r="BDB46" s="100"/>
      <c r="BDC46" s="100"/>
      <c r="BDD46" s="100"/>
      <c r="BDE46" s="100"/>
      <c r="BDF46" s="100"/>
      <c r="BDG46" s="100"/>
      <c r="BDH46" s="100"/>
      <c r="BDI46" s="100"/>
      <c r="BDJ46" s="100"/>
      <c r="BDK46" s="100"/>
      <c r="BDL46" s="100"/>
      <c r="BDM46" s="100"/>
      <c r="BDN46" s="100"/>
      <c r="BDO46" s="100"/>
      <c r="BDP46" s="100"/>
      <c r="BDQ46" s="100"/>
      <c r="BDR46" s="100"/>
      <c r="BDS46" s="100"/>
      <c r="BDT46" s="100"/>
      <c r="BDU46" s="100"/>
      <c r="BDV46" s="100"/>
      <c r="BDW46" s="100"/>
      <c r="BDX46" s="100"/>
      <c r="BDY46" s="100"/>
      <c r="BDZ46" s="100"/>
      <c r="BEA46" s="100"/>
      <c r="BEB46" s="100"/>
      <c r="BEC46" s="100"/>
      <c r="BED46" s="100"/>
      <c r="BEE46" s="100"/>
      <c r="BEF46" s="100"/>
      <c r="BEG46" s="100"/>
      <c r="BEH46" s="100"/>
      <c r="BEI46" s="100"/>
      <c r="BEJ46" s="100"/>
      <c r="BEK46" s="100"/>
      <c r="BEL46" s="100"/>
      <c r="BEM46" s="100"/>
      <c r="BEN46" s="100"/>
      <c r="BEO46" s="100"/>
      <c r="BEP46" s="100"/>
      <c r="BEQ46" s="100"/>
      <c r="BER46" s="100"/>
      <c r="BES46" s="100"/>
      <c r="BET46" s="100"/>
      <c r="BEU46" s="100"/>
      <c r="BEV46" s="100"/>
      <c r="BEW46" s="100"/>
      <c r="BEX46" s="100"/>
      <c r="BEY46" s="100"/>
      <c r="BEZ46" s="100"/>
      <c r="BFA46" s="100"/>
      <c r="BFB46" s="100"/>
      <c r="BFC46" s="100"/>
      <c r="BFD46" s="100"/>
      <c r="BFE46" s="100"/>
      <c r="BFF46" s="100"/>
      <c r="BFG46" s="100"/>
      <c r="BFH46" s="100"/>
      <c r="BFI46" s="100"/>
      <c r="BFJ46" s="100"/>
      <c r="BFK46" s="100"/>
      <c r="BFL46" s="100"/>
      <c r="BFM46" s="100"/>
      <c r="BFN46" s="100"/>
      <c r="BFO46" s="100"/>
      <c r="BFP46" s="100"/>
      <c r="BFQ46" s="100"/>
      <c r="BFR46" s="100"/>
      <c r="BFS46" s="100"/>
      <c r="BFT46" s="100"/>
      <c r="BFU46" s="100"/>
      <c r="BFV46" s="100"/>
      <c r="BFW46" s="100"/>
      <c r="BFX46" s="100"/>
      <c r="BFY46" s="100"/>
      <c r="BFZ46" s="100"/>
      <c r="BGA46" s="100"/>
      <c r="BGB46" s="100"/>
      <c r="BGC46" s="100"/>
      <c r="BGD46" s="100"/>
      <c r="BGE46" s="100"/>
      <c r="BGF46" s="100"/>
      <c r="BGG46" s="100"/>
      <c r="BGH46" s="100"/>
      <c r="BGI46" s="100"/>
      <c r="BGJ46" s="100"/>
      <c r="BGK46" s="100"/>
      <c r="BGL46" s="100"/>
      <c r="BGM46" s="100"/>
      <c r="BGN46" s="100"/>
      <c r="BGO46" s="100"/>
      <c r="BGP46" s="100"/>
      <c r="BGQ46" s="100"/>
      <c r="BGR46" s="100"/>
      <c r="BGS46" s="100"/>
      <c r="BGT46" s="100"/>
      <c r="BGU46" s="100"/>
      <c r="BGV46" s="100"/>
      <c r="BGW46" s="100"/>
      <c r="BGX46" s="100"/>
      <c r="BGY46" s="100"/>
      <c r="BGZ46" s="100"/>
      <c r="BHA46" s="100"/>
      <c r="BHB46" s="100"/>
      <c r="BHC46" s="100"/>
      <c r="BHD46" s="100"/>
      <c r="BHE46" s="100"/>
      <c r="BHF46" s="100"/>
      <c r="BHG46" s="100"/>
      <c r="BHH46" s="100"/>
      <c r="BHI46" s="100"/>
      <c r="BHJ46" s="100"/>
      <c r="BHK46" s="100"/>
      <c r="BHL46" s="100"/>
      <c r="BHM46" s="100"/>
      <c r="BHN46" s="100"/>
      <c r="BHO46" s="100"/>
      <c r="BHP46" s="100"/>
      <c r="BHQ46" s="100"/>
      <c r="BHR46" s="100"/>
      <c r="BHS46" s="100"/>
      <c r="BHT46" s="100"/>
      <c r="BHU46" s="100"/>
      <c r="BHV46" s="100"/>
      <c r="BHW46" s="100"/>
      <c r="BHX46" s="100"/>
      <c r="BHY46" s="100"/>
      <c r="BHZ46" s="100"/>
      <c r="BIA46" s="100"/>
      <c r="BIB46" s="100"/>
      <c r="BIC46" s="100"/>
      <c r="BID46" s="100"/>
      <c r="BIE46" s="100"/>
      <c r="BIF46" s="100"/>
      <c r="BIG46" s="100"/>
      <c r="BIH46" s="100"/>
      <c r="BII46" s="100"/>
      <c r="BIJ46" s="100"/>
      <c r="BIK46" s="100"/>
      <c r="BIL46" s="100"/>
      <c r="BIM46" s="100"/>
      <c r="BIN46" s="100"/>
      <c r="BIO46" s="100"/>
      <c r="BIP46" s="100"/>
      <c r="BIQ46" s="100"/>
      <c r="BIR46" s="100"/>
      <c r="BIS46" s="100"/>
      <c r="BIT46" s="100"/>
      <c r="BIU46" s="100"/>
      <c r="BIV46" s="100"/>
      <c r="BIW46" s="100"/>
      <c r="BIX46" s="100"/>
      <c r="BIY46" s="100"/>
      <c r="BIZ46" s="100"/>
      <c r="BJA46" s="100"/>
      <c r="BJB46" s="100"/>
      <c r="BJC46" s="100"/>
      <c r="BJD46" s="100"/>
      <c r="BJE46" s="100"/>
      <c r="BJF46" s="100"/>
      <c r="BJG46" s="100"/>
      <c r="BJH46" s="100"/>
      <c r="BJI46" s="100"/>
      <c r="BJJ46" s="100"/>
      <c r="BJK46" s="100"/>
      <c r="BJL46" s="100"/>
      <c r="BJM46" s="100"/>
      <c r="BJN46" s="100"/>
      <c r="BJO46" s="100"/>
      <c r="BJP46" s="100"/>
      <c r="BJQ46" s="100"/>
      <c r="BJR46" s="100"/>
      <c r="BJS46" s="100"/>
      <c r="BJT46" s="100"/>
      <c r="BJU46" s="100"/>
      <c r="BJV46" s="100"/>
      <c r="BJW46" s="100"/>
      <c r="BJX46" s="100"/>
      <c r="BJY46" s="100"/>
      <c r="BJZ46" s="100"/>
      <c r="BKA46" s="100"/>
      <c r="BKB46" s="100"/>
      <c r="BKC46" s="100"/>
      <c r="BKD46" s="100"/>
      <c r="BKE46" s="100"/>
      <c r="BKF46" s="100"/>
      <c r="BKG46" s="100"/>
      <c r="BKH46" s="100"/>
      <c r="BKI46" s="100"/>
      <c r="BKJ46" s="100"/>
      <c r="BKK46" s="100"/>
      <c r="BKL46" s="100"/>
      <c r="BKM46" s="100"/>
      <c r="BKN46" s="100"/>
      <c r="BKO46" s="100"/>
      <c r="BKP46" s="100"/>
      <c r="BKQ46" s="100"/>
      <c r="BKR46" s="100"/>
      <c r="BKS46" s="100"/>
      <c r="BKT46" s="100"/>
      <c r="BKU46" s="100"/>
      <c r="BKV46" s="100"/>
      <c r="BKW46" s="100"/>
      <c r="BKX46" s="100"/>
      <c r="BKY46" s="100"/>
      <c r="BKZ46" s="100"/>
      <c r="BLA46" s="100"/>
      <c r="BLB46" s="100"/>
      <c r="BLC46" s="100"/>
      <c r="BLD46" s="100"/>
      <c r="BLE46" s="100"/>
      <c r="BLF46" s="100"/>
      <c r="BLG46" s="100"/>
      <c r="BLH46" s="100"/>
      <c r="BLI46" s="100"/>
      <c r="BLJ46" s="100"/>
      <c r="BLK46" s="100"/>
      <c r="BLL46" s="100"/>
      <c r="BLM46" s="100"/>
      <c r="BLN46" s="100"/>
      <c r="BLO46" s="100"/>
      <c r="BLP46" s="100"/>
      <c r="BLQ46" s="100"/>
      <c r="BLR46" s="100"/>
      <c r="BLS46" s="100"/>
      <c r="BLT46" s="100"/>
      <c r="BLU46" s="100"/>
      <c r="BLV46" s="100"/>
      <c r="BLW46" s="100"/>
      <c r="BLX46" s="100"/>
      <c r="BLY46" s="100"/>
      <c r="BLZ46" s="100"/>
      <c r="BMA46" s="100"/>
      <c r="BMB46" s="100"/>
      <c r="BMC46" s="100"/>
      <c r="BMD46" s="100"/>
      <c r="BME46" s="100"/>
      <c r="BMF46" s="100"/>
      <c r="BMG46" s="100"/>
      <c r="BMH46" s="100"/>
      <c r="BMI46" s="100"/>
      <c r="BMJ46" s="100"/>
      <c r="BMK46" s="100"/>
      <c r="BML46" s="100"/>
      <c r="BMM46" s="100"/>
      <c r="BMN46" s="100"/>
      <c r="BMO46" s="100"/>
      <c r="BMP46" s="100"/>
      <c r="BMQ46" s="100"/>
      <c r="BMR46" s="100"/>
      <c r="BMS46" s="100"/>
      <c r="BMT46" s="100"/>
      <c r="BMU46" s="100"/>
      <c r="BMV46" s="100"/>
      <c r="BMW46" s="100"/>
      <c r="BMX46" s="100"/>
      <c r="BMY46" s="100"/>
      <c r="BMZ46" s="100"/>
      <c r="BNA46" s="100"/>
      <c r="BNB46" s="100"/>
      <c r="BNC46" s="100"/>
      <c r="BND46" s="100"/>
      <c r="BNE46" s="100"/>
      <c r="BNF46" s="100"/>
      <c r="BNG46" s="100"/>
      <c r="BNH46" s="100"/>
      <c r="BNI46" s="100"/>
      <c r="BNJ46" s="100"/>
      <c r="BNK46" s="100"/>
      <c r="BNL46" s="100"/>
      <c r="BNM46" s="100"/>
      <c r="BNN46" s="100"/>
      <c r="BNO46" s="100"/>
      <c r="BNP46" s="100"/>
      <c r="BNQ46" s="100"/>
      <c r="BNR46" s="100"/>
      <c r="BNS46" s="100"/>
      <c r="BNT46" s="100"/>
      <c r="BNU46" s="100"/>
      <c r="BNV46" s="100"/>
      <c r="BNW46" s="100"/>
      <c r="BNX46" s="100"/>
      <c r="BNY46" s="100"/>
      <c r="BNZ46" s="100"/>
      <c r="BOA46" s="100"/>
      <c r="BOB46" s="100"/>
      <c r="BOC46" s="100"/>
      <c r="BOD46" s="100"/>
      <c r="BOE46" s="100"/>
      <c r="BOF46" s="100"/>
      <c r="BOG46" s="100"/>
      <c r="BOH46" s="100"/>
      <c r="BOI46" s="100"/>
      <c r="BOJ46" s="100"/>
      <c r="BOK46" s="100"/>
      <c r="BOL46" s="100"/>
      <c r="BOM46" s="100"/>
      <c r="BON46" s="100"/>
      <c r="BOO46" s="100"/>
      <c r="BOP46" s="100"/>
      <c r="BOQ46" s="100"/>
      <c r="BOR46" s="100"/>
      <c r="BOS46" s="100"/>
      <c r="BOT46" s="100"/>
      <c r="BOU46" s="100"/>
      <c r="BOV46" s="100"/>
      <c r="BOW46" s="100"/>
      <c r="BOX46" s="100"/>
      <c r="BOY46" s="100"/>
      <c r="BOZ46" s="100"/>
      <c r="BPA46" s="100"/>
      <c r="BPB46" s="100"/>
      <c r="BPC46" s="100"/>
      <c r="BPD46" s="100"/>
      <c r="BPE46" s="100"/>
      <c r="BPF46" s="100"/>
      <c r="BPG46" s="100"/>
      <c r="BPH46" s="100"/>
      <c r="BPI46" s="100"/>
      <c r="BPJ46" s="100"/>
      <c r="BPK46" s="100"/>
      <c r="BPL46" s="100"/>
      <c r="BPM46" s="100"/>
      <c r="BPN46" s="100"/>
      <c r="BPO46" s="100"/>
      <c r="BPP46" s="100"/>
      <c r="BPQ46" s="100"/>
      <c r="BPR46" s="100"/>
      <c r="BPS46" s="100"/>
      <c r="BPT46" s="100"/>
      <c r="BPU46" s="100"/>
      <c r="BPV46" s="100"/>
      <c r="BPW46" s="100"/>
      <c r="BPX46" s="100"/>
      <c r="BPY46" s="100"/>
      <c r="BPZ46" s="100"/>
      <c r="BQA46" s="100"/>
      <c r="BQB46" s="100"/>
      <c r="BQC46" s="100"/>
      <c r="BQD46" s="100"/>
      <c r="BQE46" s="100"/>
      <c r="BQF46" s="100"/>
      <c r="BQG46" s="100"/>
      <c r="BQH46" s="100"/>
      <c r="BQI46" s="100"/>
      <c r="BQJ46" s="100"/>
      <c r="BQK46" s="100"/>
      <c r="BQL46" s="100"/>
      <c r="BQM46" s="100"/>
      <c r="BQN46" s="100"/>
      <c r="BQO46" s="100"/>
      <c r="BQP46" s="100"/>
      <c r="BQQ46" s="100"/>
      <c r="BQR46" s="100"/>
      <c r="BQS46" s="100"/>
      <c r="BQT46" s="100"/>
      <c r="BQU46" s="100"/>
      <c r="BQV46" s="100"/>
      <c r="BQW46" s="100"/>
      <c r="BQX46" s="100"/>
      <c r="BQY46" s="100"/>
      <c r="BQZ46" s="100"/>
      <c r="BRA46" s="100"/>
      <c r="BRB46" s="100"/>
      <c r="BRC46" s="100"/>
      <c r="BRD46" s="100"/>
      <c r="BRE46" s="100"/>
      <c r="BRF46" s="100"/>
      <c r="BRG46" s="100"/>
      <c r="BRH46" s="100"/>
      <c r="BRI46" s="100"/>
      <c r="BRJ46" s="100"/>
      <c r="BRK46" s="100"/>
      <c r="BRL46" s="100"/>
      <c r="BRM46" s="100"/>
      <c r="BRN46" s="100"/>
      <c r="BRO46" s="100"/>
      <c r="BRP46" s="100"/>
      <c r="BRQ46" s="100"/>
      <c r="BRR46" s="100"/>
      <c r="BRS46" s="100"/>
      <c r="BRT46" s="100"/>
      <c r="BRU46" s="100"/>
      <c r="BRV46" s="100"/>
      <c r="BRW46" s="100"/>
      <c r="BRX46" s="100"/>
      <c r="BRY46" s="100"/>
      <c r="BRZ46" s="100"/>
      <c r="BSA46" s="100"/>
      <c r="BSB46" s="100"/>
      <c r="BSC46" s="100"/>
      <c r="BSD46" s="100"/>
      <c r="BSE46" s="100"/>
      <c r="BSF46" s="100"/>
      <c r="BSG46" s="100"/>
      <c r="BSH46" s="100"/>
      <c r="BSI46" s="100"/>
      <c r="BSJ46" s="100"/>
      <c r="BSK46" s="100"/>
      <c r="BSL46" s="100"/>
      <c r="BSM46" s="100"/>
      <c r="BSN46" s="100"/>
      <c r="BSO46" s="100"/>
      <c r="BSP46" s="100"/>
      <c r="BSQ46" s="100"/>
      <c r="BSR46" s="100"/>
      <c r="BSS46" s="100"/>
      <c r="BST46" s="100"/>
      <c r="BSU46" s="100"/>
      <c r="BSV46" s="100"/>
      <c r="BSW46" s="100"/>
      <c r="BSX46" s="100"/>
      <c r="BSY46" s="100"/>
      <c r="BSZ46" s="100"/>
      <c r="BTA46" s="100"/>
      <c r="BTB46" s="100"/>
      <c r="BTC46" s="100"/>
      <c r="BTD46" s="100"/>
      <c r="BTE46" s="100"/>
      <c r="BTF46" s="100"/>
      <c r="BTG46" s="100"/>
      <c r="BTH46" s="100"/>
      <c r="BTI46" s="100"/>
      <c r="BTJ46" s="100"/>
      <c r="BTK46" s="100"/>
      <c r="BTL46" s="100"/>
      <c r="BTM46" s="100"/>
      <c r="BTN46" s="100"/>
      <c r="BTO46" s="100"/>
      <c r="BTP46" s="100"/>
      <c r="BTQ46" s="100"/>
      <c r="BTR46" s="100"/>
      <c r="BTS46" s="100"/>
      <c r="BTT46" s="100"/>
      <c r="BTU46" s="100"/>
      <c r="BTV46" s="100"/>
      <c r="BTW46" s="100"/>
      <c r="BTX46" s="100"/>
      <c r="BTY46" s="100"/>
      <c r="BTZ46" s="100"/>
      <c r="BUA46" s="100"/>
      <c r="BUB46" s="100"/>
      <c r="BUC46" s="100"/>
      <c r="BUD46" s="100"/>
      <c r="BUE46" s="100"/>
      <c r="BUF46" s="100"/>
      <c r="BUG46" s="100"/>
      <c r="BUH46" s="100"/>
      <c r="BUI46" s="100"/>
      <c r="BUJ46" s="100"/>
      <c r="BUK46" s="100"/>
      <c r="BUL46" s="100"/>
      <c r="BUM46" s="100"/>
      <c r="BUN46" s="100"/>
      <c r="BUO46" s="100"/>
      <c r="BUP46" s="100"/>
      <c r="BUQ46" s="100"/>
      <c r="BUR46" s="100"/>
      <c r="BUS46" s="100"/>
      <c r="BUT46" s="100"/>
      <c r="BUU46" s="100"/>
      <c r="BUV46" s="100"/>
      <c r="BUW46" s="100"/>
      <c r="BUX46" s="100"/>
      <c r="BUY46" s="100"/>
      <c r="BUZ46" s="100"/>
      <c r="BVA46" s="100"/>
      <c r="BVB46" s="100"/>
      <c r="BVC46" s="100"/>
      <c r="BVD46" s="100"/>
      <c r="BVE46" s="100"/>
      <c r="BVF46" s="100"/>
      <c r="BVG46" s="100"/>
      <c r="BVH46" s="100"/>
      <c r="BVI46" s="100"/>
      <c r="BVJ46" s="100"/>
      <c r="BVK46" s="100"/>
      <c r="BVL46" s="100"/>
      <c r="BVM46" s="100"/>
      <c r="BVN46" s="100"/>
      <c r="BVO46" s="100"/>
      <c r="BVP46" s="100"/>
      <c r="BVQ46" s="100"/>
      <c r="BVR46" s="100"/>
      <c r="BVS46" s="100"/>
      <c r="BVT46" s="100"/>
      <c r="BVU46" s="100"/>
      <c r="BVV46" s="100"/>
      <c r="BVW46" s="100"/>
      <c r="BVX46" s="100"/>
      <c r="BVY46" s="100"/>
      <c r="BVZ46" s="100"/>
      <c r="BWA46" s="100"/>
      <c r="BWB46" s="100"/>
      <c r="BWC46" s="100"/>
      <c r="BWD46" s="100"/>
      <c r="BWE46" s="100"/>
      <c r="BWF46" s="100"/>
      <c r="BWG46" s="100"/>
      <c r="BWH46" s="100"/>
      <c r="BWI46" s="100"/>
      <c r="BWJ46" s="100"/>
      <c r="BWK46" s="100"/>
      <c r="BWL46" s="100"/>
      <c r="BWM46" s="100"/>
      <c r="BWN46" s="100"/>
      <c r="BWO46" s="100"/>
      <c r="BWP46" s="100"/>
      <c r="BWQ46" s="100"/>
      <c r="BWR46" s="100"/>
      <c r="BWS46" s="100"/>
      <c r="BWT46" s="100"/>
      <c r="BWU46" s="100"/>
      <c r="BWV46" s="100"/>
      <c r="BWW46" s="100"/>
      <c r="BWX46" s="100"/>
      <c r="BWY46" s="100"/>
      <c r="BWZ46" s="100"/>
      <c r="BXA46" s="100"/>
      <c r="BXB46" s="100"/>
      <c r="BXC46" s="100"/>
      <c r="BXD46" s="100"/>
      <c r="BXE46" s="100"/>
      <c r="BXF46" s="100"/>
      <c r="BXG46" s="100"/>
      <c r="BXH46" s="100"/>
      <c r="BXI46" s="100"/>
      <c r="BXJ46" s="100"/>
      <c r="BXK46" s="100"/>
      <c r="BXL46" s="100"/>
      <c r="BXM46" s="100"/>
      <c r="BXN46" s="100"/>
      <c r="BXO46" s="100"/>
      <c r="BXP46" s="100"/>
      <c r="BXQ46" s="100"/>
      <c r="BXR46" s="100"/>
      <c r="BXS46" s="100"/>
      <c r="BXT46" s="100"/>
      <c r="BXU46" s="100"/>
      <c r="BXV46" s="100"/>
      <c r="BXW46" s="100"/>
      <c r="BXX46" s="100"/>
      <c r="BXY46" s="100"/>
      <c r="BXZ46" s="100"/>
      <c r="BYA46" s="100"/>
      <c r="BYB46" s="100"/>
      <c r="BYC46" s="100"/>
      <c r="BYD46" s="100"/>
      <c r="BYE46" s="100"/>
      <c r="BYF46" s="100"/>
      <c r="BYG46" s="100"/>
      <c r="BYH46" s="100"/>
      <c r="BYI46" s="100"/>
      <c r="BYJ46" s="100"/>
      <c r="BYK46" s="100"/>
      <c r="BYL46" s="100"/>
      <c r="BYM46" s="100"/>
      <c r="BYN46" s="100"/>
      <c r="BYO46" s="100"/>
      <c r="BYP46" s="100"/>
      <c r="BYQ46" s="100"/>
      <c r="BYR46" s="100"/>
      <c r="BYS46" s="100"/>
      <c r="BYT46" s="100"/>
      <c r="BYU46" s="100"/>
      <c r="BYV46" s="100"/>
      <c r="BYW46" s="100"/>
      <c r="BYX46" s="100"/>
      <c r="BYY46" s="100"/>
      <c r="BYZ46" s="100"/>
      <c r="BZA46" s="100"/>
      <c r="BZB46" s="100"/>
      <c r="BZC46" s="100"/>
      <c r="BZD46" s="100"/>
      <c r="BZE46" s="100"/>
      <c r="BZF46" s="100"/>
      <c r="BZG46" s="100"/>
      <c r="BZH46" s="100"/>
      <c r="BZI46" s="100"/>
      <c r="BZJ46" s="100"/>
      <c r="BZK46" s="100"/>
      <c r="BZL46" s="100"/>
      <c r="BZM46" s="100"/>
      <c r="BZN46" s="100"/>
      <c r="BZO46" s="100"/>
      <c r="BZP46" s="100"/>
      <c r="BZQ46" s="100"/>
      <c r="BZR46" s="100"/>
      <c r="BZS46" s="100"/>
      <c r="BZT46" s="100"/>
      <c r="BZU46" s="100"/>
      <c r="BZV46" s="100"/>
      <c r="BZW46" s="100"/>
      <c r="BZX46" s="100"/>
      <c r="BZY46" s="100"/>
      <c r="BZZ46" s="100"/>
      <c r="CAA46" s="100"/>
      <c r="CAB46" s="100"/>
      <c r="CAC46" s="100"/>
      <c r="CAD46" s="100"/>
      <c r="CAE46" s="100"/>
      <c r="CAF46" s="100"/>
      <c r="CAG46" s="100"/>
      <c r="CAH46" s="100"/>
      <c r="CAI46" s="100"/>
      <c r="CAJ46" s="100"/>
      <c r="CAK46" s="100"/>
      <c r="CAL46" s="100"/>
      <c r="CAM46" s="100"/>
      <c r="CAN46" s="100"/>
      <c r="CAO46" s="100"/>
      <c r="CAP46" s="100"/>
      <c r="CAQ46" s="100"/>
      <c r="CAR46" s="100"/>
      <c r="CAS46" s="100"/>
      <c r="CAT46" s="100"/>
      <c r="CAU46" s="100"/>
      <c r="CAV46" s="100"/>
      <c r="CAW46" s="100"/>
      <c r="CAX46" s="100"/>
      <c r="CAY46" s="100"/>
      <c r="CAZ46" s="100"/>
      <c r="CBA46" s="100"/>
      <c r="CBB46" s="100"/>
      <c r="CBC46" s="100"/>
      <c r="CBD46" s="100"/>
      <c r="CBE46" s="100"/>
      <c r="CBF46" s="100"/>
      <c r="CBG46" s="100"/>
      <c r="CBH46" s="100"/>
      <c r="CBI46" s="100"/>
      <c r="CBJ46" s="100"/>
      <c r="CBK46" s="100"/>
      <c r="CBL46" s="100"/>
      <c r="CBM46" s="100"/>
      <c r="CBN46" s="100"/>
      <c r="CBO46" s="100"/>
      <c r="CBP46" s="100"/>
      <c r="CBQ46" s="100"/>
      <c r="CBR46" s="100"/>
      <c r="CBS46" s="100"/>
      <c r="CBT46" s="100"/>
      <c r="CBU46" s="100"/>
      <c r="CBV46" s="100"/>
      <c r="CBW46" s="100"/>
      <c r="CBX46" s="100"/>
      <c r="CBY46" s="100"/>
      <c r="CBZ46" s="100"/>
      <c r="CCA46" s="100"/>
      <c r="CCB46" s="100"/>
      <c r="CCC46" s="100"/>
      <c r="CCD46" s="100"/>
      <c r="CCE46" s="100"/>
      <c r="CCF46" s="100"/>
      <c r="CCG46" s="100"/>
      <c r="CCH46" s="100"/>
      <c r="CCI46" s="100"/>
      <c r="CCJ46" s="100"/>
      <c r="CCK46" s="100"/>
      <c r="CCL46" s="100"/>
      <c r="CCM46" s="100"/>
      <c r="CCN46" s="100"/>
      <c r="CCO46" s="100"/>
      <c r="CCP46" s="100"/>
      <c r="CCQ46" s="100"/>
      <c r="CCR46" s="100"/>
      <c r="CCS46" s="100"/>
      <c r="CCT46" s="100"/>
      <c r="CCU46" s="100"/>
      <c r="CCV46" s="100"/>
      <c r="CCW46" s="100"/>
      <c r="CCX46" s="100"/>
      <c r="CCY46" s="100"/>
      <c r="CCZ46" s="100"/>
      <c r="CDA46" s="100"/>
      <c r="CDB46" s="100"/>
      <c r="CDC46" s="100"/>
      <c r="CDD46" s="100"/>
      <c r="CDE46" s="100"/>
      <c r="CDF46" s="100"/>
      <c r="CDG46" s="100"/>
      <c r="CDH46" s="100"/>
      <c r="CDI46" s="100"/>
      <c r="CDJ46" s="100"/>
      <c r="CDK46" s="100"/>
      <c r="CDL46" s="100"/>
      <c r="CDM46" s="100"/>
      <c r="CDN46" s="100"/>
      <c r="CDO46" s="100"/>
      <c r="CDP46" s="100"/>
      <c r="CDQ46" s="100"/>
      <c r="CDR46" s="100"/>
      <c r="CDS46" s="100"/>
      <c r="CDT46" s="100"/>
      <c r="CDU46" s="100"/>
      <c r="CDV46" s="100"/>
      <c r="CDW46" s="100"/>
      <c r="CDX46" s="100"/>
      <c r="CDY46" s="100"/>
      <c r="CDZ46" s="100"/>
      <c r="CEA46" s="100"/>
      <c r="CEB46" s="100"/>
      <c r="CEC46" s="100"/>
      <c r="CED46" s="100"/>
      <c r="CEE46" s="100"/>
      <c r="CEF46" s="100"/>
      <c r="CEG46" s="100"/>
      <c r="CEH46" s="100"/>
      <c r="CEI46" s="100"/>
      <c r="CEJ46" s="100"/>
      <c r="CEK46" s="100"/>
      <c r="CEL46" s="100"/>
      <c r="CEM46" s="100"/>
      <c r="CEN46" s="100"/>
      <c r="CEO46" s="100"/>
      <c r="CEP46" s="100"/>
      <c r="CEQ46" s="100"/>
      <c r="CER46" s="100"/>
      <c r="CES46" s="100"/>
      <c r="CET46" s="100"/>
      <c r="CEU46" s="100"/>
      <c r="CEV46" s="100"/>
      <c r="CEW46" s="100"/>
      <c r="CEX46" s="100"/>
      <c r="CEY46" s="100"/>
      <c r="CEZ46" s="100"/>
      <c r="CFA46" s="100"/>
      <c r="CFB46" s="100"/>
      <c r="CFC46" s="100"/>
      <c r="CFD46" s="100"/>
      <c r="CFE46" s="100"/>
      <c r="CFF46" s="100"/>
      <c r="CFG46" s="100"/>
      <c r="CFH46" s="100"/>
      <c r="CFI46" s="100"/>
      <c r="CFJ46" s="100"/>
      <c r="CFK46" s="100"/>
      <c r="CFL46" s="100"/>
      <c r="CFM46" s="100"/>
      <c r="CFN46" s="100"/>
      <c r="CFO46" s="100"/>
      <c r="CFP46" s="100"/>
      <c r="CFQ46" s="100"/>
      <c r="CFR46" s="100"/>
      <c r="CFS46" s="100"/>
      <c r="CFT46" s="100"/>
      <c r="CFU46" s="100"/>
      <c r="CFV46" s="100"/>
      <c r="CFW46" s="100"/>
      <c r="CFX46" s="100"/>
      <c r="CFY46" s="100"/>
      <c r="CFZ46" s="100"/>
      <c r="CGA46" s="100"/>
      <c r="CGB46" s="100"/>
      <c r="CGC46" s="100"/>
      <c r="CGD46" s="100"/>
      <c r="CGE46" s="100"/>
      <c r="CGF46" s="100"/>
      <c r="CGG46" s="100"/>
      <c r="CGH46" s="100"/>
      <c r="CGI46" s="100"/>
      <c r="CGJ46" s="100"/>
      <c r="CGK46" s="100"/>
      <c r="CGL46" s="100"/>
      <c r="CGM46" s="100"/>
      <c r="CGN46" s="100"/>
      <c r="CGO46" s="100"/>
      <c r="CGP46" s="100"/>
      <c r="CGQ46" s="100"/>
      <c r="CGR46" s="100"/>
      <c r="CGS46" s="100"/>
      <c r="CGT46" s="100"/>
      <c r="CGU46" s="100"/>
      <c r="CGV46" s="100"/>
      <c r="CGW46" s="100"/>
      <c r="CGX46" s="100"/>
      <c r="CGY46" s="100"/>
      <c r="CGZ46" s="100"/>
      <c r="CHA46" s="100"/>
      <c r="CHB46" s="100"/>
      <c r="CHC46" s="100"/>
      <c r="CHD46" s="100"/>
      <c r="CHE46" s="100"/>
      <c r="CHF46" s="100"/>
      <c r="CHG46" s="100"/>
      <c r="CHH46" s="100"/>
      <c r="CHI46" s="100"/>
      <c r="CHJ46" s="100"/>
      <c r="CHK46" s="100"/>
      <c r="CHL46" s="100"/>
      <c r="CHM46" s="100"/>
      <c r="CHN46" s="100"/>
      <c r="CHO46" s="100"/>
      <c r="CHP46" s="100"/>
      <c r="CHQ46" s="100"/>
      <c r="CHR46" s="100"/>
      <c r="CHS46" s="100"/>
      <c r="CHT46" s="100"/>
      <c r="CHU46" s="100"/>
      <c r="CHV46" s="100"/>
      <c r="CHW46" s="100"/>
      <c r="CHX46" s="100"/>
      <c r="CHY46" s="100"/>
      <c r="CHZ46" s="100"/>
      <c r="CIA46" s="100"/>
      <c r="CIB46" s="100"/>
      <c r="CIC46" s="100"/>
      <c r="CID46" s="100"/>
      <c r="CIE46" s="100"/>
      <c r="CIF46" s="100"/>
      <c r="CIG46" s="100"/>
      <c r="CIH46" s="100"/>
      <c r="CII46" s="100"/>
      <c r="CIJ46" s="100"/>
      <c r="CIK46" s="100"/>
      <c r="CIL46" s="100"/>
      <c r="CIM46" s="100"/>
      <c r="CIN46" s="100"/>
      <c r="CIO46" s="100"/>
      <c r="CIP46" s="100"/>
      <c r="CIQ46" s="100"/>
      <c r="CIR46" s="100"/>
      <c r="CIS46" s="100"/>
      <c r="CIT46" s="100"/>
      <c r="CIU46" s="100"/>
      <c r="CIV46" s="100"/>
      <c r="CIW46" s="100"/>
      <c r="CIX46" s="100"/>
      <c r="CIY46" s="100"/>
      <c r="CIZ46" s="100"/>
      <c r="CJA46" s="100"/>
      <c r="CJB46" s="100"/>
      <c r="CJC46" s="100"/>
      <c r="CJD46" s="100"/>
      <c r="CJE46" s="100"/>
      <c r="CJF46" s="100"/>
      <c r="CJG46" s="100"/>
      <c r="CJH46" s="100"/>
      <c r="CJI46" s="100"/>
      <c r="CJJ46" s="100"/>
      <c r="CJK46" s="100"/>
      <c r="CJL46" s="100"/>
      <c r="CJM46" s="100"/>
      <c r="CJN46" s="100"/>
      <c r="CJO46" s="100"/>
      <c r="CJP46" s="100"/>
      <c r="CJQ46" s="100"/>
      <c r="CJR46" s="100"/>
      <c r="CJS46" s="100"/>
      <c r="CJT46" s="100"/>
      <c r="CJU46" s="100"/>
      <c r="CJV46" s="100"/>
      <c r="CJW46" s="100"/>
      <c r="CJX46" s="100"/>
      <c r="CJY46" s="100"/>
      <c r="CJZ46" s="100"/>
      <c r="CKA46" s="100"/>
      <c r="CKB46" s="100"/>
      <c r="CKC46" s="100"/>
      <c r="CKD46" s="100"/>
      <c r="CKE46" s="100"/>
      <c r="CKF46" s="100"/>
      <c r="CKG46" s="100"/>
      <c r="CKH46" s="100"/>
      <c r="CKI46" s="100"/>
      <c r="CKJ46" s="100"/>
      <c r="CKK46" s="100"/>
      <c r="CKL46" s="100"/>
      <c r="CKM46" s="100"/>
      <c r="CKN46" s="100"/>
      <c r="CKO46" s="100"/>
      <c r="CKP46" s="100"/>
      <c r="CKQ46" s="100"/>
      <c r="CKR46" s="100"/>
      <c r="CKS46" s="100"/>
      <c r="CKT46" s="100"/>
      <c r="CKU46" s="100"/>
      <c r="CKV46" s="100"/>
      <c r="CKW46" s="100"/>
      <c r="CKX46" s="100"/>
      <c r="CKY46" s="100"/>
      <c r="CKZ46" s="100"/>
      <c r="CLA46" s="100"/>
      <c r="CLB46" s="100"/>
      <c r="CLC46" s="100"/>
      <c r="CLD46" s="100"/>
      <c r="CLE46" s="100"/>
      <c r="CLF46" s="100"/>
      <c r="CLG46" s="100"/>
      <c r="CLH46" s="100"/>
      <c r="CLI46" s="100"/>
      <c r="CLJ46" s="100"/>
      <c r="CLK46" s="100"/>
      <c r="CLL46" s="100"/>
      <c r="CLM46" s="100"/>
      <c r="CLN46" s="100"/>
      <c r="CLO46" s="100"/>
      <c r="CLP46" s="100"/>
      <c r="CLQ46" s="100"/>
      <c r="CLR46" s="100"/>
      <c r="CLS46" s="100"/>
      <c r="CLT46" s="100"/>
      <c r="CLU46" s="100"/>
      <c r="CLV46" s="100"/>
      <c r="CLW46" s="100"/>
      <c r="CLX46" s="100"/>
      <c r="CLY46" s="100"/>
      <c r="CLZ46" s="100"/>
      <c r="CMA46" s="100"/>
      <c r="CMB46" s="100"/>
      <c r="CMC46" s="100"/>
      <c r="CMD46" s="100"/>
      <c r="CME46" s="100"/>
      <c r="CMF46" s="100"/>
      <c r="CMG46" s="100"/>
      <c r="CMH46" s="100"/>
      <c r="CMI46" s="100"/>
      <c r="CMJ46" s="100"/>
      <c r="CMK46" s="100"/>
      <c r="CML46" s="100"/>
      <c r="CMM46" s="100"/>
      <c r="CMN46" s="100"/>
      <c r="CMO46" s="100"/>
      <c r="CMP46" s="100"/>
      <c r="CMQ46" s="100"/>
      <c r="CMR46" s="100"/>
      <c r="CMS46" s="100"/>
      <c r="CMT46" s="100"/>
      <c r="CMU46" s="100"/>
      <c r="CMV46" s="100"/>
      <c r="CMW46" s="100"/>
      <c r="CMX46" s="100"/>
      <c r="CMY46" s="100"/>
      <c r="CMZ46" s="100"/>
      <c r="CNA46" s="100"/>
      <c r="CNB46" s="100"/>
      <c r="CNC46" s="100"/>
      <c r="CND46" s="100"/>
      <c r="CNE46" s="100"/>
      <c r="CNF46" s="100"/>
      <c r="CNG46" s="100"/>
      <c r="CNH46" s="100"/>
      <c r="CNI46" s="100"/>
      <c r="CNJ46" s="100"/>
      <c r="CNK46" s="100"/>
      <c r="CNL46" s="100"/>
      <c r="CNM46" s="100"/>
      <c r="CNN46" s="100"/>
      <c r="CNO46" s="100"/>
      <c r="CNP46" s="100"/>
      <c r="CNQ46" s="100"/>
      <c r="CNR46" s="100"/>
      <c r="CNS46" s="100"/>
      <c r="CNT46" s="100"/>
      <c r="CNU46" s="100"/>
      <c r="CNV46" s="100"/>
      <c r="CNW46" s="100"/>
      <c r="CNX46" s="100"/>
      <c r="CNY46" s="100"/>
      <c r="CNZ46" s="100"/>
      <c r="COA46" s="100"/>
      <c r="COB46" s="100"/>
      <c r="COC46" s="100"/>
      <c r="COD46" s="100"/>
      <c r="COE46" s="100"/>
      <c r="COF46" s="100"/>
      <c r="COG46" s="100"/>
      <c r="COH46" s="100"/>
      <c r="COI46" s="100"/>
      <c r="COJ46" s="100"/>
      <c r="COK46" s="100"/>
      <c r="COL46" s="100"/>
      <c r="COM46" s="100"/>
      <c r="CON46" s="100"/>
      <c r="COO46" s="100"/>
      <c r="COP46" s="100"/>
      <c r="COQ46" s="100"/>
      <c r="COR46" s="100"/>
      <c r="COS46" s="100"/>
      <c r="COT46" s="100"/>
      <c r="COU46" s="100"/>
      <c r="COV46" s="100"/>
      <c r="COW46" s="100"/>
      <c r="COX46" s="100"/>
      <c r="COY46" s="100"/>
      <c r="COZ46" s="100"/>
      <c r="CPA46" s="100"/>
      <c r="CPB46" s="100"/>
      <c r="CPC46" s="100"/>
      <c r="CPD46" s="100"/>
      <c r="CPE46" s="100"/>
      <c r="CPF46" s="100"/>
      <c r="CPG46" s="100"/>
      <c r="CPH46" s="100"/>
      <c r="CPI46" s="100"/>
      <c r="CPJ46" s="100"/>
      <c r="CPK46" s="100"/>
      <c r="CPL46" s="100"/>
      <c r="CPM46" s="100"/>
      <c r="CPN46" s="100"/>
      <c r="CPO46" s="100"/>
      <c r="CPP46" s="100"/>
      <c r="CPQ46" s="100"/>
      <c r="CPR46" s="100"/>
      <c r="CPS46" s="100"/>
      <c r="CPT46" s="100"/>
      <c r="CPU46" s="100"/>
      <c r="CPV46" s="100"/>
      <c r="CPW46" s="100"/>
      <c r="CPX46" s="100"/>
      <c r="CPY46" s="100"/>
      <c r="CPZ46" s="100"/>
      <c r="CQA46" s="100"/>
      <c r="CQB46" s="100"/>
      <c r="CQC46" s="100"/>
      <c r="CQD46" s="100"/>
      <c r="CQE46" s="100"/>
      <c r="CQF46" s="100"/>
      <c r="CQG46" s="100"/>
      <c r="CQH46" s="100"/>
      <c r="CQI46" s="100"/>
      <c r="CQJ46" s="100"/>
      <c r="CQK46" s="100"/>
      <c r="CQL46" s="100"/>
      <c r="CQM46" s="100"/>
      <c r="CQN46" s="100"/>
      <c r="CQO46" s="100"/>
      <c r="CQP46" s="100"/>
      <c r="CQQ46" s="100"/>
      <c r="CQR46" s="100"/>
      <c r="CQS46" s="100"/>
      <c r="CQT46" s="100"/>
      <c r="CQU46" s="100"/>
      <c r="CQV46" s="100"/>
      <c r="CQW46" s="100"/>
      <c r="CQX46" s="100"/>
      <c r="CQY46" s="100"/>
      <c r="CQZ46" s="100"/>
      <c r="CRA46" s="100"/>
      <c r="CRB46" s="100"/>
      <c r="CRC46" s="100"/>
      <c r="CRD46" s="100"/>
      <c r="CRE46" s="100"/>
      <c r="CRF46" s="100"/>
      <c r="CRG46" s="100"/>
      <c r="CRH46" s="100"/>
      <c r="CRI46" s="100"/>
      <c r="CRJ46" s="100"/>
      <c r="CRK46" s="100"/>
      <c r="CRL46" s="100"/>
      <c r="CRM46" s="100"/>
      <c r="CRN46" s="100"/>
      <c r="CRO46" s="100"/>
      <c r="CRP46" s="100"/>
      <c r="CRQ46" s="100"/>
      <c r="CRR46" s="100"/>
      <c r="CRS46" s="100"/>
      <c r="CRT46" s="100"/>
      <c r="CRU46" s="100"/>
      <c r="CRV46" s="100"/>
      <c r="CRW46" s="100"/>
      <c r="CRX46" s="100"/>
      <c r="CRY46" s="100"/>
      <c r="CRZ46" s="100"/>
      <c r="CSA46" s="100"/>
      <c r="CSB46" s="100"/>
      <c r="CSC46" s="100"/>
      <c r="CSD46" s="100"/>
      <c r="CSE46" s="100"/>
      <c r="CSF46" s="100"/>
      <c r="CSG46" s="100"/>
      <c r="CSH46" s="100"/>
      <c r="CSI46" s="100"/>
      <c r="CSJ46" s="100"/>
      <c r="CSK46" s="100"/>
      <c r="CSL46" s="100"/>
      <c r="CSM46" s="100"/>
      <c r="CSN46" s="100"/>
      <c r="CSO46" s="100"/>
      <c r="CSP46" s="100"/>
      <c r="CSQ46" s="100"/>
      <c r="CSR46" s="100"/>
      <c r="CSS46" s="100"/>
      <c r="CST46" s="100"/>
      <c r="CSU46" s="100"/>
      <c r="CSV46" s="100"/>
      <c r="CSW46" s="100"/>
      <c r="CSX46" s="100"/>
      <c r="CSY46" s="100"/>
      <c r="CSZ46" s="100"/>
      <c r="CTA46" s="100"/>
      <c r="CTB46" s="100"/>
      <c r="CTC46" s="100"/>
      <c r="CTD46" s="100"/>
      <c r="CTE46" s="100"/>
      <c r="CTF46" s="100"/>
      <c r="CTG46" s="100"/>
      <c r="CTH46" s="100"/>
      <c r="CTI46" s="100"/>
      <c r="CTJ46" s="100"/>
      <c r="CTK46" s="100"/>
      <c r="CTL46" s="100"/>
      <c r="CTM46" s="100"/>
      <c r="CTN46" s="100"/>
      <c r="CTO46" s="100"/>
      <c r="CTP46" s="100"/>
      <c r="CTQ46" s="100"/>
      <c r="CTR46" s="100"/>
      <c r="CTS46" s="100"/>
      <c r="CTT46" s="100"/>
      <c r="CTU46" s="100"/>
      <c r="CTV46" s="100"/>
      <c r="CTW46" s="100"/>
      <c r="CTX46" s="100"/>
      <c r="CTY46" s="100"/>
      <c r="CTZ46" s="100"/>
      <c r="CUA46" s="100"/>
      <c r="CUB46" s="100"/>
      <c r="CUC46" s="100"/>
      <c r="CUD46" s="100"/>
      <c r="CUE46" s="100"/>
      <c r="CUF46" s="100"/>
      <c r="CUG46" s="100"/>
      <c r="CUH46" s="100"/>
      <c r="CUI46" s="100"/>
      <c r="CUJ46" s="100"/>
      <c r="CUK46" s="100"/>
      <c r="CUL46" s="100"/>
      <c r="CUM46" s="100"/>
      <c r="CUN46" s="100"/>
      <c r="CUO46" s="100"/>
      <c r="CUP46" s="100"/>
      <c r="CUQ46" s="100"/>
      <c r="CUR46" s="100"/>
      <c r="CUS46" s="100"/>
      <c r="CUT46" s="100"/>
      <c r="CUU46" s="100"/>
      <c r="CUV46" s="100"/>
      <c r="CUW46" s="100"/>
      <c r="CUX46" s="100"/>
      <c r="CUY46" s="100"/>
      <c r="CUZ46" s="100"/>
      <c r="CVA46" s="100"/>
      <c r="CVB46" s="100"/>
      <c r="CVC46" s="100"/>
      <c r="CVD46" s="100"/>
      <c r="CVE46" s="100"/>
      <c r="CVF46" s="100"/>
      <c r="CVG46" s="100"/>
      <c r="CVH46" s="100"/>
      <c r="CVI46" s="100"/>
      <c r="CVJ46" s="100"/>
      <c r="CVK46" s="100"/>
      <c r="CVL46" s="100"/>
      <c r="CVM46" s="100"/>
      <c r="CVN46" s="100"/>
      <c r="CVO46" s="100"/>
      <c r="CVP46" s="100"/>
      <c r="CVQ46" s="100"/>
      <c r="CVR46" s="100"/>
      <c r="CVS46" s="100"/>
      <c r="CVT46" s="100"/>
      <c r="CVU46" s="100"/>
      <c r="CVV46" s="100"/>
      <c r="CVW46" s="100"/>
      <c r="CVX46" s="100"/>
      <c r="CVY46" s="100"/>
      <c r="CVZ46" s="100"/>
      <c r="CWA46" s="100"/>
      <c r="CWB46" s="100"/>
      <c r="CWC46" s="100"/>
      <c r="CWD46" s="100"/>
      <c r="CWE46" s="100"/>
      <c r="CWF46" s="100"/>
      <c r="CWG46" s="100"/>
      <c r="CWH46" s="100"/>
      <c r="CWI46" s="100"/>
      <c r="CWJ46" s="100"/>
      <c r="CWK46" s="100"/>
      <c r="CWL46" s="100"/>
      <c r="CWM46" s="100"/>
      <c r="CWN46" s="100"/>
      <c r="CWO46" s="100"/>
      <c r="CWP46" s="100"/>
      <c r="CWQ46" s="100"/>
      <c r="CWR46" s="100"/>
      <c r="CWS46" s="100"/>
      <c r="CWT46" s="100"/>
      <c r="CWU46" s="100"/>
      <c r="CWV46" s="100"/>
      <c r="CWW46" s="100"/>
      <c r="CWX46" s="100"/>
      <c r="CWY46" s="100"/>
      <c r="CWZ46" s="100"/>
      <c r="CXA46" s="100"/>
      <c r="CXB46" s="100"/>
      <c r="CXC46" s="100"/>
      <c r="CXD46" s="100"/>
      <c r="CXE46" s="100"/>
      <c r="CXF46" s="100"/>
      <c r="CXG46" s="100"/>
      <c r="CXH46" s="100"/>
      <c r="CXI46" s="100"/>
      <c r="CXJ46" s="100"/>
      <c r="CXK46" s="100"/>
      <c r="CXL46" s="100"/>
      <c r="CXM46" s="100"/>
      <c r="CXN46" s="100"/>
      <c r="CXO46" s="100"/>
      <c r="CXP46" s="100"/>
      <c r="CXQ46" s="100"/>
      <c r="CXR46" s="100"/>
      <c r="CXS46" s="100"/>
      <c r="CXT46" s="100"/>
      <c r="CXU46" s="100"/>
      <c r="CXV46" s="100"/>
      <c r="CXW46" s="100"/>
      <c r="CXX46" s="100"/>
      <c r="CXY46" s="100"/>
      <c r="CXZ46" s="100"/>
      <c r="CYA46" s="100"/>
      <c r="CYB46" s="100"/>
      <c r="CYC46" s="100"/>
      <c r="CYD46" s="100"/>
      <c r="CYE46" s="100"/>
      <c r="CYF46" s="100"/>
      <c r="CYG46" s="100"/>
      <c r="CYH46" s="100"/>
      <c r="CYI46" s="100"/>
      <c r="CYJ46" s="100"/>
      <c r="CYK46" s="100"/>
      <c r="CYL46" s="100"/>
      <c r="CYM46" s="100"/>
      <c r="CYN46" s="100"/>
      <c r="CYO46" s="100"/>
      <c r="CYP46" s="100"/>
      <c r="CYQ46" s="100"/>
      <c r="CYR46" s="100"/>
      <c r="CYS46" s="100"/>
      <c r="CYT46" s="100"/>
      <c r="CYU46" s="100"/>
      <c r="CYV46" s="100"/>
      <c r="CYW46" s="100"/>
      <c r="CYX46" s="100"/>
      <c r="CYY46" s="100"/>
      <c r="CYZ46" s="100"/>
      <c r="CZA46" s="100"/>
      <c r="CZB46" s="100"/>
      <c r="CZC46" s="100"/>
      <c r="CZD46" s="100"/>
      <c r="CZE46" s="100"/>
      <c r="CZF46" s="100"/>
      <c r="CZG46" s="100"/>
      <c r="CZH46" s="100"/>
      <c r="CZI46" s="100"/>
      <c r="CZJ46" s="100"/>
      <c r="CZK46" s="100"/>
      <c r="CZL46" s="100"/>
      <c r="CZM46" s="100"/>
      <c r="CZN46" s="100"/>
      <c r="CZO46" s="100"/>
      <c r="CZP46" s="100"/>
      <c r="CZQ46" s="100"/>
      <c r="CZR46" s="100"/>
      <c r="CZS46" s="100"/>
      <c r="CZT46" s="100"/>
      <c r="CZU46" s="100"/>
      <c r="CZV46" s="100"/>
      <c r="CZW46" s="100"/>
      <c r="CZX46" s="100"/>
      <c r="CZY46" s="100"/>
      <c r="CZZ46" s="100"/>
      <c r="DAA46" s="100"/>
      <c r="DAB46" s="100"/>
      <c r="DAC46" s="100"/>
      <c r="DAD46" s="100"/>
      <c r="DAE46" s="100"/>
      <c r="DAF46" s="100"/>
      <c r="DAG46" s="100"/>
      <c r="DAH46" s="100"/>
      <c r="DAI46" s="100"/>
      <c r="DAJ46" s="100"/>
      <c r="DAK46" s="100"/>
      <c r="DAL46" s="100"/>
      <c r="DAM46" s="100"/>
      <c r="DAN46" s="100"/>
      <c r="DAO46" s="100"/>
      <c r="DAP46" s="100"/>
      <c r="DAQ46" s="100"/>
      <c r="DAR46" s="100"/>
      <c r="DAS46" s="100"/>
      <c r="DAT46" s="100"/>
      <c r="DAU46" s="100"/>
      <c r="DAV46" s="100"/>
      <c r="DAW46" s="100"/>
      <c r="DAX46" s="100"/>
      <c r="DAY46" s="100"/>
      <c r="DAZ46" s="100"/>
      <c r="DBA46" s="100"/>
      <c r="DBB46" s="100"/>
      <c r="DBC46" s="100"/>
      <c r="DBD46" s="100"/>
      <c r="DBE46" s="100"/>
      <c r="DBF46" s="100"/>
      <c r="DBG46" s="100"/>
      <c r="DBH46" s="100"/>
      <c r="DBI46" s="100"/>
      <c r="DBJ46" s="100"/>
      <c r="DBK46" s="100"/>
      <c r="DBL46" s="100"/>
      <c r="DBM46" s="100"/>
      <c r="DBN46" s="100"/>
      <c r="DBO46" s="100"/>
      <c r="DBP46" s="100"/>
      <c r="DBQ46" s="100"/>
      <c r="DBR46" s="100"/>
      <c r="DBS46" s="100"/>
      <c r="DBT46" s="100"/>
      <c r="DBU46" s="100"/>
      <c r="DBV46" s="100"/>
      <c r="DBW46" s="100"/>
      <c r="DBX46" s="100"/>
      <c r="DBY46" s="100"/>
      <c r="DBZ46" s="100"/>
      <c r="DCA46" s="100"/>
      <c r="DCB46" s="100"/>
      <c r="DCC46" s="100"/>
      <c r="DCD46" s="100"/>
      <c r="DCE46" s="100"/>
      <c r="DCF46" s="100"/>
      <c r="DCG46" s="100"/>
      <c r="DCH46" s="100"/>
      <c r="DCI46" s="100"/>
      <c r="DCJ46" s="100"/>
      <c r="DCK46" s="100"/>
      <c r="DCL46" s="100"/>
      <c r="DCM46" s="100"/>
      <c r="DCN46" s="100"/>
      <c r="DCO46" s="100"/>
      <c r="DCP46" s="100"/>
      <c r="DCQ46" s="100"/>
      <c r="DCR46" s="100"/>
      <c r="DCS46" s="100"/>
      <c r="DCT46" s="100"/>
      <c r="DCU46" s="100"/>
      <c r="DCV46" s="100"/>
      <c r="DCW46" s="100"/>
      <c r="DCX46" s="100"/>
      <c r="DCY46" s="100"/>
      <c r="DCZ46" s="100"/>
      <c r="DDA46" s="100"/>
      <c r="DDB46" s="100"/>
      <c r="DDC46" s="100"/>
      <c r="DDD46" s="100"/>
      <c r="DDE46" s="100"/>
      <c r="DDF46" s="100"/>
      <c r="DDG46" s="100"/>
      <c r="DDH46" s="100"/>
      <c r="DDI46" s="100"/>
      <c r="DDJ46" s="100"/>
      <c r="DDK46" s="100"/>
      <c r="DDL46" s="100"/>
      <c r="DDM46" s="100"/>
      <c r="DDN46" s="100"/>
      <c r="DDO46" s="100"/>
      <c r="DDP46" s="100"/>
      <c r="DDQ46" s="100"/>
      <c r="DDR46" s="100"/>
      <c r="DDS46" s="100"/>
      <c r="DDT46" s="100"/>
      <c r="DDU46" s="100"/>
      <c r="DDV46" s="100"/>
      <c r="DDW46" s="100"/>
      <c r="DDX46" s="100"/>
      <c r="DDY46" s="100"/>
      <c r="DDZ46" s="100"/>
      <c r="DEA46" s="100"/>
      <c r="DEB46" s="100"/>
      <c r="DEC46" s="100"/>
      <c r="DED46" s="100"/>
      <c r="DEE46" s="100"/>
      <c r="DEF46" s="100"/>
      <c r="DEG46" s="100"/>
      <c r="DEH46" s="100"/>
      <c r="DEI46" s="100"/>
      <c r="DEJ46" s="100"/>
      <c r="DEK46" s="100"/>
      <c r="DEL46" s="100"/>
      <c r="DEM46" s="100"/>
      <c r="DEN46" s="100"/>
      <c r="DEO46" s="100"/>
      <c r="DEP46" s="100"/>
      <c r="DEQ46" s="100"/>
      <c r="DER46" s="100"/>
      <c r="DES46" s="100"/>
      <c r="DET46" s="100"/>
      <c r="DEU46" s="100"/>
      <c r="DEV46" s="100"/>
      <c r="DEW46" s="100"/>
      <c r="DEX46" s="100"/>
      <c r="DEY46" s="100"/>
      <c r="DEZ46" s="100"/>
      <c r="DFA46" s="100"/>
      <c r="DFB46" s="100"/>
      <c r="DFC46" s="100"/>
      <c r="DFD46" s="100"/>
      <c r="DFE46" s="100"/>
      <c r="DFF46" s="100"/>
      <c r="DFG46" s="100"/>
      <c r="DFH46" s="100"/>
      <c r="DFI46" s="100"/>
      <c r="DFJ46" s="100"/>
      <c r="DFK46" s="100"/>
      <c r="DFL46" s="100"/>
      <c r="DFM46" s="100"/>
      <c r="DFN46" s="100"/>
      <c r="DFO46" s="100"/>
      <c r="DFP46" s="100"/>
      <c r="DFQ46" s="100"/>
      <c r="DFR46" s="100"/>
      <c r="DFS46" s="100"/>
      <c r="DFT46" s="100"/>
      <c r="DFU46" s="100"/>
      <c r="DFV46" s="100"/>
      <c r="DFW46" s="100"/>
      <c r="DFX46" s="100"/>
      <c r="DFY46" s="100"/>
      <c r="DFZ46" s="100"/>
      <c r="DGA46" s="100"/>
      <c r="DGB46" s="100"/>
      <c r="DGC46" s="100"/>
      <c r="DGD46" s="100"/>
      <c r="DGE46" s="100"/>
      <c r="DGF46" s="100"/>
      <c r="DGG46" s="100"/>
      <c r="DGH46" s="100"/>
      <c r="DGI46" s="100"/>
      <c r="DGJ46" s="100"/>
      <c r="DGK46" s="100"/>
      <c r="DGL46" s="100"/>
      <c r="DGM46" s="100"/>
      <c r="DGN46" s="100"/>
      <c r="DGO46" s="100"/>
      <c r="DGP46" s="100"/>
      <c r="DGQ46" s="100"/>
      <c r="DGR46" s="100"/>
      <c r="DGS46" s="100"/>
      <c r="DGT46" s="100"/>
      <c r="DGU46" s="100"/>
      <c r="DGV46" s="100"/>
      <c r="DGW46" s="100"/>
      <c r="DGX46" s="100"/>
      <c r="DGY46" s="100"/>
      <c r="DGZ46" s="100"/>
      <c r="DHA46" s="100"/>
      <c r="DHB46" s="100"/>
      <c r="DHC46" s="100"/>
      <c r="DHD46" s="100"/>
      <c r="DHE46" s="100"/>
      <c r="DHF46" s="100"/>
      <c r="DHG46" s="100"/>
      <c r="DHH46" s="100"/>
      <c r="DHI46" s="100"/>
      <c r="DHJ46" s="100"/>
      <c r="DHK46" s="100"/>
      <c r="DHL46" s="100"/>
      <c r="DHM46" s="100"/>
      <c r="DHN46" s="100"/>
      <c r="DHO46" s="100"/>
      <c r="DHP46" s="100"/>
      <c r="DHQ46" s="100"/>
      <c r="DHR46" s="100"/>
      <c r="DHS46" s="100"/>
      <c r="DHT46" s="100"/>
      <c r="DHU46" s="100"/>
      <c r="DHV46" s="100"/>
      <c r="DHW46" s="100"/>
      <c r="DHX46" s="100"/>
      <c r="DHY46" s="100"/>
      <c r="DHZ46" s="100"/>
      <c r="DIA46" s="100"/>
      <c r="DIB46" s="100"/>
      <c r="DIC46" s="100"/>
      <c r="DID46" s="100"/>
      <c r="DIE46" s="100"/>
      <c r="DIF46" s="100"/>
      <c r="DIG46" s="100"/>
      <c r="DIH46" s="100"/>
      <c r="DII46" s="100"/>
      <c r="DIJ46" s="100"/>
      <c r="DIK46" s="100"/>
      <c r="DIL46" s="100"/>
      <c r="DIM46" s="100"/>
      <c r="DIN46" s="100"/>
      <c r="DIO46" s="100"/>
      <c r="DIP46" s="100"/>
      <c r="DIQ46" s="100"/>
      <c r="DIR46" s="100"/>
      <c r="DIS46" s="100"/>
      <c r="DIT46" s="100"/>
      <c r="DIU46" s="100"/>
      <c r="DIV46" s="100"/>
      <c r="DIW46" s="100"/>
      <c r="DIX46" s="100"/>
      <c r="DIY46" s="100"/>
      <c r="DIZ46" s="100"/>
      <c r="DJA46" s="100"/>
      <c r="DJB46" s="100"/>
      <c r="DJC46" s="100"/>
      <c r="DJD46" s="100"/>
      <c r="DJE46" s="100"/>
      <c r="DJF46" s="100"/>
      <c r="DJG46" s="100"/>
      <c r="DJH46" s="100"/>
      <c r="DJI46" s="100"/>
      <c r="DJJ46" s="100"/>
      <c r="DJK46" s="100"/>
      <c r="DJL46" s="100"/>
      <c r="DJM46" s="100"/>
      <c r="DJN46" s="100"/>
      <c r="DJO46" s="100"/>
      <c r="DJP46" s="100"/>
      <c r="DJQ46" s="100"/>
      <c r="DJR46" s="100"/>
      <c r="DJS46" s="100"/>
      <c r="DJT46" s="100"/>
      <c r="DJU46" s="100"/>
      <c r="DJV46" s="100"/>
      <c r="DJW46" s="100"/>
      <c r="DJX46" s="100"/>
      <c r="DJY46" s="100"/>
      <c r="DJZ46" s="100"/>
      <c r="DKA46" s="100"/>
      <c r="DKB46" s="100"/>
      <c r="DKC46" s="100"/>
      <c r="DKD46" s="100"/>
      <c r="DKE46" s="100"/>
      <c r="DKF46" s="100"/>
      <c r="DKG46" s="100"/>
      <c r="DKH46" s="100"/>
      <c r="DKI46" s="100"/>
      <c r="DKJ46" s="100"/>
      <c r="DKK46" s="100"/>
      <c r="DKL46" s="100"/>
      <c r="DKM46" s="100"/>
      <c r="DKN46" s="100"/>
      <c r="DKO46" s="100"/>
      <c r="DKP46" s="100"/>
      <c r="DKQ46" s="100"/>
      <c r="DKR46" s="100"/>
      <c r="DKS46" s="100"/>
      <c r="DKT46" s="100"/>
      <c r="DKU46" s="100"/>
      <c r="DKV46" s="100"/>
      <c r="DKW46" s="100"/>
      <c r="DKX46" s="100"/>
      <c r="DKY46" s="100"/>
      <c r="DKZ46" s="100"/>
      <c r="DLA46" s="100"/>
      <c r="DLB46" s="100"/>
      <c r="DLC46" s="100"/>
      <c r="DLD46" s="100"/>
      <c r="DLE46" s="100"/>
      <c r="DLF46" s="100"/>
      <c r="DLG46" s="100"/>
      <c r="DLH46" s="100"/>
      <c r="DLI46" s="100"/>
      <c r="DLJ46" s="100"/>
      <c r="DLK46" s="100"/>
      <c r="DLL46" s="100"/>
      <c r="DLM46" s="100"/>
      <c r="DLN46" s="100"/>
      <c r="DLO46" s="100"/>
      <c r="DLP46" s="100"/>
      <c r="DLQ46" s="100"/>
      <c r="DLR46" s="100"/>
      <c r="DLS46" s="100"/>
      <c r="DLT46" s="100"/>
      <c r="DLU46" s="100"/>
      <c r="DLV46" s="100"/>
      <c r="DLW46" s="100"/>
      <c r="DLX46" s="100"/>
      <c r="DLY46" s="100"/>
      <c r="DLZ46" s="100"/>
      <c r="DMA46" s="100"/>
      <c r="DMB46" s="100"/>
      <c r="DMC46" s="100"/>
      <c r="DMD46" s="100"/>
      <c r="DME46" s="100"/>
      <c r="DMF46" s="100"/>
      <c r="DMG46" s="100"/>
      <c r="DMH46" s="100"/>
      <c r="DMI46" s="100"/>
      <c r="DMJ46" s="100"/>
      <c r="DMK46" s="100"/>
      <c r="DML46" s="100"/>
      <c r="DMM46" s="100"/>
      <c r="DMN46" s="100"/>
      <c r="DMO46" s="100"/>
      <c r="DMP46" s="100"/>
      <c r="DMQ46" s="100"/>
      <c r="DMR46" s="100"/>
      <c r="DMS46" s="100"/>
      <c r="DMT46" s="100"/>
      <c r="DMU46" s="100"/>
      <c r="DMV46" s="100"/>
      <c r="DMW46" s="100"/>
      <c r="DMX46" s="100"/>
      <c r="DMY46" s="100"/>
      <c r="DMZ46" s="100"/>
      <c r="DNA46" s="100"/>
      <c r="DNB46" s="100"/>
      <c r="DNC46" s="100"/>
      <c r="DND46" s="100"/>
      <c r="DNE46" s="100"/>
      <c r="DNF46" s="100"/>
      <c r="DNG46" s="100"/>
      <c r="DNH46" s="100"/>
      <c r="DNI46" s="100"/>
      <c r="DNJ46" s="100"/>
      <c r="DNK46" s="100"/>
      <c r="DNL46" s="100"/>
      <c r="DNM46" s="100"/>
      <c r="DNN46" s="100"/>
      <c r="DNO46" s="100"/>
      <c r="DNP46" s="100"/>
      <c r="DNQ46" s="100"/>
      <c r="DNR46" s="100"/>
      <c r="DNS46" s="100"/>
      <c r="DNT46" s="100"/>
      <c r="DNU46" s="100"/>
      <c r="DNV46" s="100"/>
      <c r="DNW46" s="100"/>
      <c r="DNX46" s="100"/>
      <c r="DNY46" s="100"/>
      <c r="DNZ46" s="100"/>
      <c r="DOA46" s="100"/>
      <c r="DOB46" s="100"/>
      <c r="DOC46" s="100"/>
      <c r="DOD46" s="100"/>
      <c r="DOE46" s="100"/>
      <c r="DOF46" s="100"/>
      <c r="DOG46" s="100"/>
      <c r="DOH46" s="100"/>
      <c r="DOI46" s="100"/>
      <c r="DOJ46" s="100"/>
      <c r="DOK46" s="100"/>
      <c r="DOL46" s="100"/>
      <c r="DOM46" s="100"/>
      <c r="DON46" s="100"/>
      <c r="DOO46" s="100"/>
      <c r="DOP46" s="100"/>
      <c r="DOQ46" s="100"/>
      <c r="DOR46" s="100"/>
      <c r="DOS46" s="100"/>
      <c r="DOT46" s="100"/>
      <c r="DOU46" s="100"/>
      <c r="DOV46" s="100"/>
      <c r="DOW46" s="100"/>
      <c r="DOX46" s="100"/>
      <c r="DOY46" s="100"/>
      <c r="DOZ46" s="100"/>
      <c r="DPA46" s="100"/>
      <c r="DPB46" s="100"/>
      <c r="DPC46" s="100"/>
      <c r="DPD46" s="100"/>
      <c r="DPE46" s="100"/>
      <c r="DPF46" s="100"/>
      <c r="DPG46" s="100"/>
      <c r="DPH46" s="100"/>
      <c r="DPI46" s="100"/>
      <c r="DPJ46" s="100"/>
      <c r="DPK46" s="100"/>
      <c r="DPL46" s="100"/>
      <c r="DPM46" s="100"/>
      <c r="DPN46" s="100"/>
      <c r="DPO46" s="100"/>
      <c r="DPP46" s="100"/>
      <c r="DPQ46" s="100"/>
      <c r="DPR46" s="100"/>
      <c r="DPS46" s="100"/>
      <c r="DPT46" s="100"/>
      <c r="DPU46" s="100"/>
      <c r="DPV46" s="100"/>
      <c r="DPW46" s="100"/>
      <c r="DPX46" s="100"/>
      <c r="DPY46" s="100"/>
      <c r="DPZ46" s="100"/>
      <c r="DQA46" s="100"/>
      <c r="DQB46" s="100"/>
      <c r="DQC46" s="100"/>
      <c r="DQD46" s="100"/>
      <c r="DQE46" s="100"/>
      <c r="DQF46" s="100"/>
      <c r="DQG46" s="100"/>
      <c r="DQH46" s="100"/>
      <c r="DQI46" s="100"/>
      <c r="DQJ46" s="100"/>
      <c r="DQK46" s="100"/>
      <c r="DQL46" s="100"/>
      <c r="DQM46" s="100"/>
      <c r="DQN46" s="100"/>
      <c r="DQO46" s="100"/>
      <c r="DQP46" s="100"/>
      <c r="DQQ46" s="100"/>
      <c r="DQR46" s="100"/>
      <c r="DQS46" s="100"/>
      <c r="DQT46" s="100"/>
      <c r="DQU46" s="100"/>
      <c r="DQV46" s="100"/>
      <c r="DQW46" s="100"/>
      <c r="DQX46" s="100"/>
      <c r="DQY46" s="100"/>
      <c r="DQZ46" s="100"/>
      <c r="DRA46" s="100"/>
      <c r="DRB46" s="100"/>
      <c r="DRC46" s="100"/>
      <c r="DRD46" s="100"/>
      <c r="DRE46" s="100"/>
      <c r="DRF46" s="100"/>
      <c r="DRG46" s="100"/>
      <c r="DRH46" s="100"/>
      <c r="DRI46" s="100"/>
      <c r="DRJ46" s="100"/>
      <c r="DRK46" s="100"/>
      <c r="DRL46" s="100"/>
      <c r="DRM46" s="100"/>
      <c r="DRN46" s="100"/>
      <c r="DRO46" s="100"/>
      <c r="DRP46" s="100"/>
      <c r="DRQ46" s="100"/>
      <c r="DRR46" s="100"/>
      <c r="DRS46" s="100"/>
      <c r="DRT46" s="100"/>
      <c r="DRU46" s="100"/>
      <c r="DRV46" s="100"/>
      <c r="DRW46" s="100"/>
      <c r="DRX46" s="100"/>
      <c r="DRY46" s="100"/>
      <c r="DRZ46" s="100"/>
      <c r="DSA46" s="100"/>
      <c r="DSB46" s="100"/>
      <c r="DSC46" s="100"/>
      <c r="DSD46" s="100"/>
      <c r="DSE46" s="100"/>
      <c r="DSF46" s="100"/>
      <c r="DSG46" s="100"/>
      <c r="DSH46" s="100"/>
      <c r="DSI46" s="100"/>
      <c r="DSJ46" s="100"/>
      <c r="DSK46" s="100"/>
      <c r="DSL46" s="100"/>
      <c r="DSM46" s="100"/>
      <c r="DSN46" s="100"/>
      <c r="DSO46" s="100"/>
      <c r="DSP46" s="100"/>
      <c r="DSQ46" s="100"/>
      <c r="DSR46" s="100"/>
      <c r="DSS46" s="100"/>
      <c r="DST46" s="100"/>
      <c r="DSU46" s="100"/>
      <c r="DSV46" s="100"/>
      <c r="DSW46" s="100"/>
      <c r="DSX46" s="100"/>
      <c r="DSY46" s="100"/>
      <c r="DSZ46" s="100"/>
      <c r="DTA46" s="100"/>
      <c r="DTB46" s="100"/>
      <c r="DTC46" s="100"/>
      <c r="DTD46" s="100"/>
      <c r="DTE46" s="100"/>
      <c r="DTF46" s="100"/>
      <c r="DTG46" s="100"/>
      <c r="DTH46" s="100"/>
      <c r="DTI46" s="100"/>
      <c r="DTJ46" s="100"/>
      <c r="DTK46" s="100"/>
      <c r="DTL46" s="100"/>
      <c r="DTM46" s="100"/>
      <c r="DTN46" s="100"/>
      <c r="DTO46" s="100"/>
      <c r="DTP46" s="100"/>
      <c r="DTQ46" s="100"/>
      <c r="DTR46" s="100"/>
      <c r="DTS46" s="100"/>
      <c r="DTT46" s="100"/>
      <c r="DTU46" s="100"/>
      <c r="DTV46" s="100"/>
      <c r="DTW46" s="100"/>
      <c r="DTX46" s="100"/>
      <c r="DTY46" s="100"/>
      <c r="DTZ46" s="100"/>
      <c r="DUA46" s="100"/>
      <c r="DUB46" s="100"/>
      <c r="DUC46" s="100"/>
      <c r="DUD46" s="100"/>
      <c r="DUE46" s="100"/>
      <c r="DUF46" s="100"/>
      <c r="DUG46" s="100"/>
      <c r="DUH46" s="100"/>
      <c r="DUI46" s="100"/>
      <c r="DUJ46" s="100"/>
      <c r="DUK46" s="100"/>
      <c r="DUL46" s="100"/>
      <c r="DUM46" s="100"/>
      <c r="DUN46" s="100"/>
      <c r="DUO46" s="100"/>
      <c r="DUP46" s="100"/>
      <c r="DUQ46" s="100"/>
      <c r="DUR46" s="100"/>
      <c r="DUS46" s="100"/>
      <c r="DUT46" s="100"/>
      <c r="DUU46" s="100"/>
      <c r="DUV46" s="100"/>
      <c r="DUW46" s="100"/>
      <c r="DUX46" s="100"/>
      <c r="DUY46" s="100"/>
      <c r="DUZ46" s="100"/>
      <c r="DVA46" s="100"/>
      <c r="DVB46" s="100"/>
      <c r="DVC46" s="100"/>
      <c r="DVD46" s="100"/>
      <c r="DVE46" s="100"/>
      <c r="DVF46" s="100"/>
      <c r="DVG46" s="100"/>
      <c r="DVH46" s="100"/>
      <c r="DVI46" s="100"/>
      <c r="DVJ46" s="100"/>
      <c r="DVK46" s="100"/>
      <c r="DVL46" s="100"/>
      <c r="DVM46" s="100"/>
      <c r="DVN46" s="100"/>
      <c r="DVO46" s="100"/>
      <c r="DVP46" s="100"/>
      <c r="DVQ46" s="100"/>
      <c r="DVR46" s="100"/>
      <c r="DVS46" s="100"/>
      <c r="DVT46" s="100"/>
      <c r="DVU46" s="100"/>
      <c r="DVV46" s="100"/>
      <c r="DVW46" s="100"/>
      <c r="DVX46" s="100"/>
      <c r="DVY46" s="100"/>
      <c r="DVZ46" s="100"/>
      <c r="DWA46" s="100"/>
      <c r="DWB46" s="100"/>
      <c r="DWC46" s="100"/>
      <c r="DWD46" s="100"/>
      <c r="DWE46" s="100"/>
      <c r="DWF46" s="100"/>
      <c r="DWG46" s="100"/>
      <c r="DWH46" s="100"/>
      <c r="DWI46" s="100"/>
      <c r="DWJ46" s="100"/>
      <c r="DWK46" s="100"/>
      <c r="DWL46" s="100"/>
      <c r="DWM46" s="100"/>
      <c r="DWN46" s="100"/>
      <c r="DWO46" s="100"/>
      <c r="DWP46" s="100"/>
      <c r="DWQ46" s="100"/>
      <c r="DWR46" s="100"/>
      <c r="DWS46" s="100"/>
      <c r="DWT46" s="100"/>
      <c r="DWU46" s="100"/>
      <c r="DWV46" s="100"/>
      <c r="DWW46" s="100"/>
      <c r="DWX46" s="100"/>
      <c r="DWY46" s="100"/>
      <c r="DWZ46" s="100"/>
      <c r="DXA46" s="100"/>
      <c r="DXB46" s="100"/>
      <c r="DXC46" s="100"/>
      <c r="DXD46" s="100"/>
      <c r="DXE46" s="100"/>
      <c r="DXF46" s="100"/>
      <c r="DXG46" s="100"/>
      <c r="DXH46" s="100"/>
      <c r="DXI46" s="100"/>
      <c r="DXJ46" s="100"/>
      <c r="DXK46" s="100"/>
      <c r="DXL46" s="100"/>
      <c r="DXM46" s="100"/>
      <c r="DXN46" s="100"/>
      <c r="DXO46" s="100"/>
      <c r="DXP46" s="100"/>
      <c r="DXQ46" s="100"/>
      <c r="DXR46" s="100"/>
      <c r="DXS46" s="100"/>
      <c r="DXT46" s="100"/>
      <c r="DXU46" s="100"/>
      <c r="DXV46" s="100"/>
      <c r="DXW46" s="100"/>
      <c r="DXX46" s="100"/>
      <c r="DXY46" s="100"/>
      <c r="DXZ46" s="100"/>
      <c r="DYA46" s="100"/>
      <c r="DYB46" s="100"/>
      <c r="DYC46" s="100"/>
      <c r="DYD46" s="100"/>
      <c r="DYE46" s="100"/>
      <c r="DYF46" s="100"/>
      <c r="DYG46" s="100"/>
      <c r="DYH46" s="100"/>
      <c r="DYI46" s="100"/>
      <c r="DYJ46" s="100"/>
      <c r="DYK46" s="100"/>
      <c r="DYL46" s="100"/>
      <c r="DYM46" s="100"/>
      <c r="DYN46" s="100"/>
      <c r="DYO46" s="100"/>
      <c r="DYP46" s="100"/>
      <c r="DYQ46" s="100"/>
      <c r="DYR46" s="100"/>
      <c r="DYS46" s="100"/>
      <c r="DYT46" s="100"/>
      <c r="DYU46" s="100"/>
      <c r="DYV46" s="100"/>
      <c r="DYW46" s="100"/>
      <c r="DYX46" s="100"/>
      <c r="DYY46" s="100"/>
      <c r="DYZ46" s="100"/>
      <c r="DZA46" s="100"/>
      <c r="DZB46" s="100"/>
      <c r="DZC46" s="100"/>
      <c r="DZD46" s="100"/>
      <c r="DZE46" s="100"/>
      <c r="DZF46" s="100"/>
      <c r="DZG46" s="100"/>
      <c r="DZH46" s="100"/>
      <c r="DZI46" s="100"/>
      <c r="DZJ46" s="100"/>
      <c r="DZK46" s="100"/>
      <c r="DZL46" s="100"/>
      <c r="DZM46" s="100"/>
      <c r="DZN46" s="100"/>
      <c r="DZO46" s="100"/>
      <c r="DZP46" s="100"/>
      <c r="DZQ46" s="100"/>
      <c r="DZR46" s="100"/>
      <c r="DZS46" s="100"/>
      <c r="DZT46" s="100"/>
      <c r="DZU46" s="100"/>
      <c r="DZV46" s="100"/>
      <c r="DZW46" s="100"/>
      <c r="DZX46" s="100"/>
      <c r="DZY46" s="100"/>
      <c r="DZZ46" s="100"/>
      <c r="EAA46" s="100"/>
      <c r="EAB46" s="100"/>
      <c r="EAC46" s="100"/>
      <c r="EAD46" s="100"/>
      <c r="EAE46" s="100"/>
      <c r="EAF46" s="100"/>
      <c r="EAG46" s="100"/>
      <c r="EAH46" s="100"/>
      <c r="EAI46" s="100"/>
      <c r="EAJ46" s="100"/>
      <c r="EAK46" s="100"/>
      <c r="EAL46" s="100"/>
      <c r="EAM46" s="100"/>
      <c r="EAN46" s="100"/>
      <c r="EAO46" s="100"/>
      <c r="EAP46" s="100"/>
      <c r="EAQ46" s="100"/>
      <c r="EAR46" s="100"/>
      <c r="EAS46" s="100"/>
      <c r="EAT46" s="100"/>
      <c r="EAU46" s="100"/>
      <c r="EAV46" s="100"/>
      <c r="EAW46" s="100"/>
      <c r="EAX46" s="100"/>
      <c r="EAY46" s="100"/>
      <c r="EAZ46" s="100"/>
      <c r="EBA46" s="100"/>
      <c r="EBB46" s="100"/>
      <c r="EBC46" s="100"/>
      <c r="EBD46" s="100"/>
      <c r="EBE46" s="100"/>
      <c r="EBF46" s="100"/>
      <c r="EBG46" s="100"/>
      <c r="EBH46" s="100"/>
      <c r="EBI46" s="100"/>
      <c r="EBJ46" s="100"/>
      <c r="EBK46" s="100"/>
      <c r="EBL46" s="100"/>
      <c r="EBM46" s="100"/>
      <c r="EBN46" s="100"/>
      <c r="EBO46" s="100"/>
      <c r="EBP46" s="100"/>
      <c r="EBQ46" s="100"/>
      <c r="EBR46" s="100"/>
      <c r="EBS46" s="100"/>
      <c r="EBT46" s="100"/>
      <c r="EBU46" s="100"/>
      <c r="EBV46" s="100"/>
      <c r="EBW46" s="100"/>
      <c r="EBX46" s="100"/>
      <c r="EBY46" s="100"/>
      <c r="EBZ46" s="100"/>
      <c r="ECA46" s="100"/>
      <c r="ECB46" s="100"/>
      <c r="ECC46" s="100"/>
      <c r="ECD46" s="100"/>
      <c r="ECE46" s="100"/>
      <c r="ECF46" s="100"/>
      <c r="ECG46" s="100"/>
      <c r="ECH46" s="100"/>
      <c r="ECI46" s="100"/>
      <c r="ECJ46" s="100"/>
      <c r="ECK46" s="100"/>
      <c r="ECL46" s="100"/>
      <c r="ECM46" s="100"/>
      <c r="ECN46" s="100"/>
      <c r="ECO46" s="100"/>
      <c r="ECP46" s="100"/>
      <c r="ECQ46" s="100"/>
      <c r="ECR46" s="100"/>
      <c r="ECS46" s="100"/>
      <c r="ECT46" s="100"/>
      <c r="ECU46" s="100"/>
      <c r="ECV46" s="100"/>
      <c r="ECW46" s="100"/>
      <c r="ECX46" s="100"/>
      <c r="ECY46" s="100"/>
      <c r="ECZ46" s="100"/>
      <c r="EDA46" s="100"/>
      <c r="EDB46" s="100"/>
      <c r="EDC46" s="100"/>
      <c r="EDD46" s="100"/>
      <c r="EDE46" s="100"/>
      <c r="EDF46" s="100"/>
      <c r="EDG46" s="100"/>
      <c r="EDH46" s="100"/>
      <c r="EDI46" s="100"/>
      <c r="EDJ46" s="100"/>
      <c r="EDK46" s="100"/>
      <c r="EDL46" s="100"/>
      <c r="EDM46" s="100"/>
      <c r="EDN46" s="100"/>
      <c r="EDO46" s="100"/>
      <c r="EDP46" s="100"/>
      <c r="EDQ46" s="100"/>
      <c r="EDR46" s="100"/>
      <c r="EDS46" s="100"/>
      <c r="EDT46" s="100"/>
      <c r="EDU46" s="100"/>
      <c r="EDV46" s="100"/>
      <c r="EDW46" s="100"/>
      <c r="EDX46" s="100"/>
      <c r="EDY46" s="100"/>
      <c r="EDZ46" s="100"/>
      <c r="EEA46" s="100"/>
      <c r="EEB46" s="100"/>
      <c r="EEC46" s="100"/>
      <c r="EED46" s="100"/>
      <c r="EEE46" s="100"/>
      <c r="EEF46" s="100"/>
      <c r="EEG46" s="100"/>
      <c r="EEH46" s="100"/>
      <c r="EEI46" s="100"/>
      <c r="EEJ46" s="100"/>
      <c r="EEK46" s="100"/>
      <c r="EEL46" s="100"/>
      <c r="EEM46" s="100"/>
      <c r="EEN46" s="100"/>
      <c r="EEO46" s="100"/>
      <c r="EEP46" s="100"/>
      <c r="EEQ46" s="100"/>
      <c r="EER46" s="100"/>
      <c r="EES46" s="100"/>
      <c r="EET46" s="100"/>
      <c r="EEU46" s="100"/>
      <c r="EEV46" s="100"/>
      <c r="EEW46" s="100"/>
      <c r="EEX46" s="100"/>
      <c r="EEY46" s="100"/>
      <c r="EEZ46" s="100"/>
      <c r="EFA46" s="100"/>
      <c r="EFB46" s="100"/>
      <c r="EFC46" s="100"/>
      <c r="EFD46" s="100"/>
      <c r="EFE46" s="100"/>
      <c r="EFF46" s="100"/>
      <c r="EFG46" s="100"/>
      <c r="EFH46" s="100"/>
      <c r="EFI46" s="100"/>
      <c r="EFJ46" s="100"/>
      <c r="EFK46" s="100"/>
      <c r="EFL46" s="100"/>
      <c r="EFM46" s="100"/>
      <c r="EFN46" s="100"/>
      <c r="EFO46" s="100"/>
      <c r="EFP46" s="100"/>
      <c r="EFQ46" s="100"/>
      <c r="EFR46" s="100"/>
      <c r="EFS46" s="100"/>
      <c r="EFT46" s="100"/>
      <c r="EFU46" s="100"/>
      <c r="EFV46" s="100"/>
      <c r="EFW46" s="100"/>
      <c r="EFX46" s="100"/>
      <c r="EFY46" s="100"/>
      <c r="EFZ46" s="100"/>
      <c r="EGA46" s="100"/>
      <c r="EGB46" s="100"/>
      <c r="EGC46" s="100"/>
      <c r="EGD46" s="100"/>
      <c r="EGE46" s="100"/>
      <c r="EGF46" s="100"/>
      <c r="EGG46" s="100"/>
      <c r="EGH46" s="100"/>
      <c r="EGI46" s="100"/>
      <c r="EGJ46" s="100"/>
      <c r="EGK46" s="100"/>
      <c r="EGL46" s="100"/>
      <c r="EGM46" s="100"/>
      <c r="EGN46" s="100"/>
      <c r="EGO46" s="100"/>
      <c r="EGP46" s="100"/>
      <c r="EGQ46" s="100"/>
      <c r="EGR46" s="100"/>
      <c r="EGS46" s="100"/>
      <c r="EGT46" s="100"/>
      <c r="EGU46" s="100"/>
      <c r="EGV46" s="100"/>
      <c r="EGW46" s="100"/>
      <c r="EGX46" s="100"/>
      <c r="EGY46" s="100"/>
      <c r="EGZ46" s="100"/>
      <c r="EHA46" s="100"/>
      <c r="EHB46" s="100"/>
      <c r="EHC46" s="100"/>
      <c r="EHD46" s="100"/>
      <c r="EHE46" s="100"/>
      <c r="EHF46" s="100"/>
      <c r="EHG46" s="100"/>
      <c r="EHH46" s="100"/>
      <c r="EHI46" s="100"/>
      <c r="EHJ46" s="100"/>
      <c r="EHK46" s="100"/>
      <c r="EHL46" s="100"/>
      <c r="EHM46" s="100"/>
      <c r="EHN46" s="100"/>
      <c r="EHO46" s="100"/>
      <c r="EHP46" s="100"/>
      <c r="EHQ46" s="100"/>
      <c r="EHR46" s="100"/>
      <c r="EHS46" s="100"/>
      <c r="EHT46" s="100"/>
      <c r="EHU46" s="100"/>
      <c r="EHV46" s="100"/>
      <c r="EHW46" s="100"/>
      <c r="EHX46" s="100"/>
      <c r="EHY46" s="100"/>
      <c r="EHZ46" s="100"/>
      <c r="EIA46" s="100"/>
      <c r="EIB46" s="100"/>
      <c r="EIC46" s="100"/>
      <c r="EID46" s="100"/>
      <c r="EIE46" s="100"/>
      <c r="EIF46" s="100"/>
      <c r="EIG46" s="100"/>
      <c r="EIH46" s="100"/>
      <c r="EII46" s="100"/>
      <c r="EIJ46" s="100"/>
      <c r="EIK46" s="100"/>
      <c r="EIL46" s="100"/>
      <c r="EIM46" s="100"/>
      <c r="EIN46" s="100"/>
      <c r="EIO46" s="100"/>
      <c r="EIP46" s="100"/>
      <c r="EIQ46" s="100"/>
      <c r="EIR46" s="100"/>
      <c r="EIS46" s="100"/>
      <c r="EIT46" s="100"/>
      <c r="EIU46" s="100"/>
      <c r="EIV46" s="100"/>
      <c r="EIW46" s="100"/>
      <c r="EIX46" s="100"/>
      <c r="EIY46" s="100"/>
      <c r="EIZ46" s="100"/>
      <c r="EJA46" s="100"/>
      <c r="EJB46" s="100"/>
      <c r="EJC46" s="100"/>
      <c r="EJD46" s="100"/>
      <c r="EJE46" s="100"/>
      <c r="EJF46" s="100"/>
      <c r="EJG46" s="100"/>
      <c r="EJH46" s="100"/>
      <c r="EJI46" s="100"/>
      <c r="EJJ46" s="100"/>
      <c r="EJK46" s="100"/>
      <c r="EJL46" s="100"/>
      <c r="EJM46" s="100"/>
      <c r="EJN46" s="100"/>
      <c r="EJO46" s="100"/>
      <c r="EJP46" s="100"/>
      <c r="EJQ46" s="100"/>
      <c r="EJR46" s="100"/>
      <c r="EJS46" s="100"/>
      <c r="EJT46" s="100"/>
      <c r="EJU46" s="100"/>
      <c r="EJV46" s="100"/>
      <c r="EJW46" s="100"/>
      <c r="EJX46" s="100"/>
      <c r="EJY46" s="100"/>
      <c r="EJZ46" s="100"/>
      <c r="EKA46" s="100"/>
      <c r="EKB46" s="100"/>
      <c r="EKC46" s="100"/>
      <c r="EKD46" s="100"/>
      <c r="EKE46" s="100"/>
      <c r="EKF46" s="100"/>
      <c r="EKG46" s="100"/>
      <c r="EKH46" s="100"/>
      <c r="EKI46" s="100"/>
      <c r="EKJ46" s="100"/>
      <c r="EKK46" s="100"/>
      <c r="EKL46" s="100"/>
      <c r="EKM46" s="100"/>
      <c r="EKN46" s="100"/>
      <c r="EKO46" s="100"/>
      <c r="EKP46" s="100"/>
      <c r="EKQ46" s="100"/>
      <c r="EKR46" s="100"/>
      <c r="EKS46" s="100"/>
      <c r="EKT46" s="100"/>
      <c r="EKU46" s="100"/>
      <c r="EKV46" s="100"/>
      <c r="EKW46" s="100"/>
      <c r="EKX46" s="100"/>
      <c r="EKY46" s="100"/>
      <c r="EKZ46" s="100"/>
      <c r="ELA46" s="100"/>
      <c r="ELB46" s="100"/>
      <c r="ELC46" s="100"/>
      <c r="ELD46" s="100"/>
      <c r="ELE46" s="100"/>
      <c r="ELF46" s="100"/>
      <c r="ELG46" s="100"/>
      <c r="ELH46" s="100"/>
      <c r="ELI46" s="100"/>
      <c r="ELJ46" s="100"/>
      <c r="ELK46" s="100"/>
      <c r="ELL46" s="100"/>
      <c r="ELM46" s="100"/>
      <c r="ELN46" s="100"/>
      <c r="ELO46" s="100"/>
      <c r="ELP46" s="100"/>
      <c r="ELQ46" s="100"/>
      <c r="ELR46" s="100"/>
      <c r="ELS46" s="100"/>
      <c r="ELT46" s="100"/>
      <c r="ELU46" s="100"/>
      <c r="ELV46" s="100"/>
      <c r="ELW46" s="100"/>
      <c r="ELX46" s="100"/>
      <c r="ELY46" s="100"/>
      <c r="ELZ46" s="100"/>
      <c r="EMA46" s="100"/>
      <c r="EMB46" s="100"/>
      <c r="EMC46" s="100"/>
      <c r="EMD46" s="100"/>
      <c r="EME46" s="100"/>
      <c r="EMF46" s="100"/>
      <c r="EMG46" s="100"/>
      <c r="EMH46" s="100"/>
      <c r="EMI46" s="100"/>
      <c r="EMJ46" s="100"/>
      <c r="EMK46" s="100"/>
      <c r="EML46" s="100"/>
      <c r="EMM46" s="100"/>
      <c r="EMN46" s="100"/>
      <c r="EMO46" s="100"/>
      <c r="EMP46" s="100"/>
      <c r="EMQ46" s="100"/>
      <c r="EMR46" s="100"/>
      <c r="EMS46" s="100"/>
      <c r="EMT46" s="100"/>
      <c r="EMU46" s="100"/>
      <c r="EMV46" s="100"/>
      <c r="EMW46" s="100"/>
      <c r="EMX46" s="100"/>
      <c r="EMY46" s="100"/>
      <c r="EMZ46" s="100"/>
      <c r="ENA46" s="100"/>
      <c r="ENB46" s="100"/>
      <c r="ENC46" s="100"/>
      <c r="END46" s="100"/>
      <c r="ENE46" s="100"/>
      <c r="ENF46" s="100"/>
      <c r="ENG46" s="100"/>
      <c r="ENH46" s="100"/>
      <c r="ENI46" s="100"/>
      <c r="ENJ46" s="100"/>
      <c r="ENK46" s="100"/>
      <c r="ENL46" s="100"/>
      <c r="ENM46" s="100"/>
      <c r="ENN46" s="100"/>
      <c r="ENO46" s="100"/>
      <c r="ENP46" s="100"/>
      <c r="ENQ46" s="100"/>
      <c r="ENR46" s="100"/>
      <c r="ENS46" s="100"/>
      <c r="ENT46" s="100"/>
      <c r="ENU46" s="100"/>
      <c r="ENV46" s="100"/>
      <c r="ENW46" s="100"/>
      <c r="ENX46" s="100"/>
      <c r="ENY46" s="100"/>
      <c r="ENZ46" s="100"/>
      <c r="EOA46" s="100"/>
      <c r="EOB46" s="100"/>
      <c r="EOC46" s="100"/>
      <c r="EOD46" s="100"/>
      <c r="EOE46" s="100"/>
      <c r="EOF46" s="100"/>
      <c r="EOG46" s="100"/>
      <c r="EOH46" s="100"/>
      <c r="EOI46" s="100"/>
      <c r="EOJ46" s="100"/>
      <c r="EOK46" s="100"/>
      <c r="EOL46" s="100"/>
      <c r="EOM46" s="100"/>
      <c r="EON46" s="100"/>
      <c r="EOO46" s="100"/>
      <c r="EOP46" s="100"/>
      <c r="EOQ46" s="100"/>
      <c r="EOR46" s="100"/>
      <c r="EOS46" s="100"/>
      <c r="EOT46" s="100"/>
      <c r="EOU46" s="100"/>
      <c r="EOV46" s="100"/>
      <c r="EOW46" s="100"/>
      <c r="EOX46" s="100"/>
      <c r="EOY46" s="100"/>
      <c r="EOZ46" s="100"/>
      <c r="EPA46" s="100"/>
      <c r="EPB46" s="100"/>
      <c r="EPC46" s="100"/>
      <c r="EPD46" s="100"/>
      <c r="EPE46" s="100"/>
      <c r="EPF46" s="100"/>
      <c r="EPG46" s="100"/>
      <c r="EPH46" s="100"/>
      <c r="EPI46" s="100"/>
      <c r="EPJ46" s="100"/>
      <c r="EPK46" s="100"/>
      <c r="EPL46" s="100"/>
      <c r="EPM46" s="100"/>
      <c r="EPN46" s="100"/>
      <c r="EPO46" s="100"/>
      <c r="EPP46" s="100"/>
      <c r="EPQ46" s="100"/>
      <c r="EPR46" s="100"/>
      <c r="EPS46" s="100"/>
      <c r="EPT46" s="100"/>
      <c r="EPU46" s="100"/>
      <c r="EPV46" s="100"/>
      <c r="EPW46" s="100"/>
      <c r="EPX46" s="100"/>
      <c r="EPY46" s="100"/>
      <c r="EPZ46" s="100"/>
      <c r="EQA46" s="100"/>
      <c r="EQB46" s="100"/>
      <c r="EQC46" s="100"/>
      <c r="EQD46" s="100"/>
      <c r="EQE46" s="100"/>
      <c r="EQF46" s="100"/>
      <c r="EQG46" s="100"/>
      <c r="EQH46" s="100"/>
      <c r="EQI46" s="100"/>
      <c r="EQJ46" s="100"/>
      <c r="EQK46" s="100"/>
      <c r="EQL46" s="100"/>
      <c r="EQM46" s="100"/>
      <c r="EQN46" s="100"/>
      <c r="EQO46" s="100"/>
      <c r="EQP46" s="100"/>
      <c r="EQQ46" s="100"/>
      <c r="EQR46" s="100"/>
      <c r="EQS46" s="100"/>
      <c r="EQT46" s="100"/>
      <c r="EQU46" s="100"/>
      <c r="EQV46" s="100"/>
      <c r="EQW46" s="100"/>
      <c r="EQX46" s="100"/>
      <c r="EQY46" s="100"/>
      <c r="EQZ46" s="100"/>
      <c r="ERA46" s="100"/>
      <c r="ERB46" s="100"/>
      <c r="ERC46" s="100"/>
      <c r="ERD46" s="100"/>
      <c r="ERE46" s="100"/>
      <c r="ERF46" s="100"/>
      <c r="ERG46" s="100"/>
      <c r="ERH46" s="100"/>
      <c r="ERI46" s="100"/>
      <c r="ERJ46" s="100"/>
      <c r="ERK46" s="100"/>
      <c r="ERL46" s="100"/>
      <c r="ERM46" s="100"/>
      <c r="ERN46" s="100"/>
      <c r="ERO46" s="100"/>
      <c r="ERP46" s="100"/>
      <c r="ERQ46" s="100"/>
      <c r="ERR46" s="100"/>
      <c r="ERS46" s="100"/>
      <c r="ERT46" s="100"/>
      <c r="ERU46" s="100"/>
      <c r="ERV46" s="100"/>
      <c r="ERW46" s="100"/>
      <c r="ERX46" s="100"/>
      <c r="ERY46" s="100"/>
      <c r="ERZ46" s="100"/>
      <c r="ESA46" s="100"/>
      <c r="ESB46" s="100"/>
      <c r="ESC46" s="100"/>
      <c r="ESD46" s="100"/>
      <c r="ESE46" s="100"/>
      <c r="ESF46" s="100"/>
      <c r="ESG46" s="100"/>
      <c r="ESH46" s="100"/>
      <c r="ESI46" s="100"/>
      <c r="ESJ46" s="100"/>
      <c r="ESK46" s="100"/>
      <c r="ESL46" s="100"/>
      <c r="ESM46" s="100"/>
      <c r="ESN46" s="100"/>
      <c r="ESO46" s="100"/>
      <c r="ESP46" s="100"/>
      <c r="ESQ46" s="100"/>
      <c r="ESR46" s="100"/>
      <c r="ESS46" s="100"/>
      <c r="EST46" s="100"/>
      <c r="ESU46" s="100"/>
      <c r="ESV46" s="100"/>
      <c r="ESW46" s="100"/>
      <c r="ESX46" s="100"/>
      <c r="ESY46" s="100"/>
      <c r="ESZ46" s="100"/>
      <c r="ETA46" s="100"/>
      <c r="ETB46" s="100"/>
      <c r="ETC46" s="100"/>
      <c r="ETD46" s="100"/>
      <c r="ETE46" s="100"/>
      <c r="ETF46" s="100"/>
      <c r="ETG46" s="100"/>
      <c r="ETH46" s="100"/>
      <c r="ETI46" s="100"/>
      <c r="ETJ46" s="100"/>
      <c r="ETK46" s="100"/>
      <c r="ETL46" s="100"/>
      <c r="ETM46" s="100"/>
      <c r="ETN46" s="100"/>
      <c r="ETO46" s="100"/>
      <c r="ETP46" s="100"/>
      <c r="ETQ46" s="100"/>
      <c r="ETR46" s="100"/>
      <c r="ETS46" s="100"/>
      <c r="ETT46" s="100"/>
      <c r="ETU46" s="100"/>
      <c r="ETV46" s="100"/>
      <c r="ETW46" s="100"/>
      <c r="ETX46" s="100"/>
      <c r="ETY46" s="100"/>
      <c r="ETZ46" s="100"/>
      <c r="EUA46" s="100"/>
      <c r="EUB46" s="100"/>
      <c r="EUC46" s="100"/>
      <c r="EUD46" s="100"/>
      <c r="EUE46" s="100"/>
      <c r="EUF46" s="100"/>
      <c r="EUG46" s="100"/>
      <c r="EUH46" s="100"/>
      <c r="EUI46" s="100"/>
      <c r="EUJ46" s="100"/>
      <c r="EUK46" s="100"/>
      <c r="EUL46" s="100"/>
      <c r="EUM46" s="100"/>
      <c r="EUN46" s="100"/>
      <c r="EUO46" s="100"/>
      <c r="EUP46" s="100"/>
      <c r="EUQ46" s="100"/>
      <c r="EUR46" s="100"/>
      <c r="EUS46" s="100"/>
      <c r="EUT46" s="100"/>
      <c r="EUU46" s="100"/>
      <c r="EUV46" s="100"/>
      <c r="EUW46" s="100"/>
      <c r="EUX46" s="100"/>
      <c r="EUY46" s="100"/>
      <c r="EUZ46" s="100"/>
      <c r="EVA46" s="100"/>
      <c r="EVB46" s="100"/>
      <c r="EVC46" s="100"/>
      <c r="EVD46" s="100"/>
      <c r="EVE46" s="100"/>
      <c r="EVF46" s="100"/>
      <c r="EVG46" s="100"/>
      <c r="EVH46" s="100"/>
      <c r="EVI46" s="100"/>
      <c r="EVJ46" s="100"/>
      <c r="EVK46" s="100"/>
      <c r="EVL46" s="100"/>
      <c r="EVM46" s="100"/>
      <c r="EVN46" s="100"/>
      <c r="EVO46" s="100"/>
      <c r="EVP46" s="100"/>
      <c r="EVQ46" s="100"/>
      <c r="EVR46" s="100"/>
      <c r="EVS46" s="100"/>
      <c r="EVT46" s="100"/>
      <c r="EVU46" s="100"/>
      <c r="EVV46" s="100"/>
      <c r="EVW46" s="100"/>
      <c r="EVX46" s="100"/>
      <c r="EVY46" s="100"/>
      <c r="EVZ46" s="100"/>
      <c r="EWA46" s="100"/>
      <c r="EWB46" s="100"/>
      <c r="EWC46" s="100"/>
      <c r="EWD46" s="100"/>
      <c r="EWE46" s="100"/>
      <c r="EWF46" s="100"/>
      <c r="EWG46" s="100"/>
      <c r="EWH46" s="100"/>
      <c r="EWI46" s="100"/>
      <c r="EWJ46" s="100"/>
      <c r="EWK46" s="100"/>
      <c r="EWL46" s="100"/>
      <c r="EWM46" s="100"/>
      <c r="EWN46" s="100"/>
      <c r="EWO46" s="100"/>
      <c r="EWP46" s="100"/>
      <c r="EWQ46" s="100"/>
      <c r="EWR46" s="100"/>
      <c r="EWS46" s="100"/>
      <c r="EWT46" s="100"/>
      <c r="EWU46" s="100"/>
      <c r="EWV46" s="100"/>
      <c r="EWW46" s="100"/>
      <c r="EWX46" s="100"/>
      <c r="EWY46" s="100"/>
      <c r="EWZ46" s="100"/>
      <c r="EXA46" s="100"/>
      <c r="EXB46" s="100"/>
      <c r="EXC46" s="100"/>
      <c r="EXD46" s="100"/>
      <c r="EXE46" s="100"/>
      <c r="EXF46" s="100"/>
      <c r="EXG46" s="100"/>
      <c r="EXH46" s="100"/>
      <c r="EXI46" s="100"/>
      <c r="EXJ46" s="100"/>
      <c r="EXK46" s="100"/>
      <c r="EXL46" s="100"/>
      <c r="EXM46" s="100"/>
      <c r="EXN46" s="100"/>
      <c r="EXO46" s="100"/>
      <c r="EXP46" s="100"/>
      <c r="EXQ46" s="100"/>
      <c r="EXR46" s="100"/>
      <c r="EXS46" s="100"/>
      <c r="EXT46" s="100"/>
      <c r="EXU46" s="100"/>
      <c r="EXV46" s="100"/>
      <c r="EXW46" s="100"/>
      <c r="EXX46" s="100"/>
      <c r="EXY46" s="100"/>
      <c r="EXZ46" s="100"/>
      <c r="EYA46" s="100"/>
      <c r="EYB46" s="100"/>
      <c r="EYC46" s="100"/>
      <c r="EYD46" s="100"/>
      <c r="EYE46" s="100"/>
      <c r="EYF46" s="100"/>
      <c r="EYG46" s="100"/>
      <c r="EYH46" s="100"/>
      <c r="EYI46" s="100"/>
      <c r="EYJ46" s="100"/>
      <c r="EYK46" s="100"/>
      <c r="EYL46" s="100"/>
      <c r="EYM46" s="100"/>
      <c r="EYN46" s="100"/>
      <c r="EYO46" s="100"/>
      <c r="EYP46" s="100"/>
      <c r="EYQ46" s="100"/>
      <c r="EYR46" s="100"/>
      <c r="EYS46" s="100"/>
      <c r="EYT46" s="100"/>
      <c r="EYU46" s="100"/>
      <c r="EYV46" s="100"/>
      <c r="EYW46" s="100"/>
      <c r="EYX46" s="100"/>
      <c r="EYY46" s="100"/>
      <c r="EYZ46" s="100"/>
      <c r="EZA46" s="100"/>
      <c r="EZB46" s="100"/>
      <c r="EZC46" s="100"/>
      <c r="EZD46" s="100"/>
      <c r="EZE46" s="100"/>
      <c r="EZF46" s="100"/>
      <c r="EZG46" s="100"/>
      <c r="EZH46" s="100"/>
      <c r="EZI46" s="100"/>
      <c r="EZJ46" s="100"/>
      <c r="EZK46" s="100"/>
      <c r="EZL46" s="100"/>
      <c r="EZM46" s="100"/>
      <c r="EZN46" s="100"/>
      <c r="EZO46" s="100"/>
      <c r="EZP46" s="100"/>
      <c r="EZQ46" s="100"/>
      <c r="EZR46" s="100"/>
      <c r="EZS46" s="100"/>
      <c r="EZT46" s="100"/>
      <c r="EZU46" s="100"/>
      <c r="EZV46" s="100"/>
      <c r="EZW46" s="100"/>
      <c r="EZX46" s="100"/>
      <c r="EZY46" s="100"/>
      <c r="EZZ46" s="100"/>
      <c r="FAA46" s="100"/>
      <c r="FAB46" s="100"/>
      <c r="FAC46" s="100"/>
      <c r="FAD46" s="100"/>
      <c r="FAE46" s="100"/>
      <c r="FAF46" s="100"/>
      <c r="FAG46" s="100"/>
      <c r="FAH46" s="100"/>
      <c r="FAI46" s="100"/>
      <c r="FAJ46" s="100"/>
      <c r="FAK46" s="100"/>
      <c r="FAL46" s="100"/>
      <c r="FAM46" s="100"/>
      <c r="FAN46" s="100"/>
      <c r="FAO46" s="100"/>
      <c r="FAP46" s="100"/>
      <c r="FAQ46" s="100"/>
      <c r="FAR46" s="100"/>
      <c r="FAS46" s="100"/>
      <c r="FAT46" s="100"/>
      <c r="FAU46" s="100"/>
      <c r="FAV46" s="100"/>
      <c r="FAW46" s="100"/>
      <c r="FAX46" s="100"/>
      <c r="FAY46" s="100"/>
      <c r="FAZ46" s="100"/>
      <c r="FBA46" s="100"/>
      <c r="FBB46" s="100"/>
      <c r="FBC46" s="100"/>
      <c r="FBD46" s="100"/>
      <c r="FBE46" s="100"/>
      <c r="FBF46" s="100"/>
      <c r="FBG46" s="100"/>
      <c r="FBH46" s="100"/>
      <c r="FBI46" s="100"/>
      <c r="FBJ46" s="100"/>
      <c r="FBK46" s="100"/>
      <c r="FBL46" s="100"/>
      <c r="FBM46" s="100"/>
      <c r="FBN46" s="100"/>
      <c r="FBO46" s="100"/>
      <c r="FBP46" s="100"/>
      <c r="FBQ46" s="100"/>
      <c r="FBR46" s="100"/>
      <c r="FBS46" s="100"/>
      <c r="FBT46" s="100"/>
      <c r="FBU46" s="100"/>
      <c r="FBV46" s="100"/>
      <c r="FBW46" s="100"/>
      <c r="FBX46" s="100"/>
      <c r="FBY46" s="100"/>
      <c r="FBZ46" s="100"/>
      <c r="FCA46" s="100"/>
      <c r="FCB46" s="100"/>
      <c r="FCC46" s="100"/>
      <c r="FCD46" s="100"/>
      <c r="FCE46" s="100"/>
      <c r="FCF46" s="100"/>
      <c r="FCG46" s="100"/>
      <c r="FCH46" s="100"/>
      <c r="FCI46" s="100"/>
      <c r="FCJ46" s="100"/>
      <c r="FCK46" s="100"/>
      <c r="FCL46" s="100"/>
      <c r="FCM46" s="100"/>
      <c r="FCN46" s="100"/>
      <c r="FCO46" s="100"/>
      <c r="FCP46" s="100"/>
      <c r="FCQ46" s="100"/>
      <c r="FCR46" s="100"/>
      <c r="FCS46" s="100"/>
      <c r="FCT46" s="100"/>
      <c r="FCU46" s="100"/>
      <c r="FCV46" s="100"/>
      <c r="FCW46" s="100"/>
      <c r="FCX46" s="100"/>
      <c r="FCY46" s="100"/>
      <c r="FCZ46" s="100"/>
      <c r="FDA46" s="100"/>
      <c r="FDB46" s="100"/>
      <c r="FDC46" s="100"/>
      <c r="FDD46" s="100"/>
      <c r="FDE46" s="100"/>
      <c r="FDF46" s="100"/>
      <c r="FDG46" s="100"/>
      <c r="FDH46" s="100"/>
      <c r="FDI46" s="100"/>
      <c r="FDJ46" s="100"/>
      <c r="FDK46" s="100"/>
      <c r="FDL46" s="100"/>
      <c r="FDM46" s="100"/>
      <c r="FDN46" s="100"/>
      <c r="FDO46" s="100"/>
      <c r="FDP46" s="100"/>
      <c r="FDQ46" s="100"/>
      <c r="FDR46" s="100"/>
      <c r="FDS46" s="100"/>
      <c r="FDT46" s="100"/>
      <c r="FDU46" s="100"/>
      <c r="FDV46" s="100"/>
      <c r="FDW46" s="100"/>
      <c r="FDX46" s="100"/>
      <c r="FDY46" s="100"/>
      <c r="FDZ46" s="100"/>
      <c r="FEA46" s="100"/>
      <c r="FEB46" s="100"/>
      <c r="FEC46" s="100"/>
      <c r="FED46" s="100"/>
      <c r="FEE46" s="100"/>
      <c r="FEF46" s="100"/>
      <c r="FEG46" s="100"/>
      <c r="FEH46" s="100"/>
      <c r="FEI46" s="100"/>
      <c r="FEJ46" s="100"/>
      <c r="FEK46" s="100"/>
      <c r="FEL46" s="100"/>
      <c r="FEM46" s="100"/>
      <c r="FEN46" s="100"/>
      <c r="FEO46" s="100"/>
      <c r="FEP46" s="100"/>
      <c r="FEQ46" s="100"/>
      <c r="FER46" s="100"/>
      <c r="FES46" s="100"/>
      <c r="FET46" s="100"/>
      <c r="FEU46" s="100"/>
      <c r="FEV46" s="100"/>
      <c r="FEW46" s="100"/>
      <c r="FEX46" s="100"/>
      <c r="FEY46" s="100"/>
      <c r="FEZ46" s="100"/>
      <c r="FFA46" s="100"/>
      <c r="FFB46" s="100"/>
      <c r="FFC46" s="100"/>
      <c r="FFD46" s="100"/>
      <c r="FFE46" s="100"/>
      <c r="FFF46" s="100"/>
      <c r="FFG46" s="100"/>
      <c r="FFH46" s="100"/>
      <c r="FFI46" s="100"/>
      <c r="FFJ46" s="100"/>
      <c r="FFK46" s="100"/>
      <c r="FFL46" s="100"/>
      <c r="FFM46" s="100"/>
      <c r="FFN46" s="100"/>
      <c r="FFO46" s="100"/>
      <c r="FFP46" s="100"/>
      <c r="FFQ46" s="100"/>
      <c r="FFR46" s="100"/>
      <c r="FFS46" s="100"/>
      <c r="FFT46" s="100"/>
      <c r="FFU46" s="100"/>
      <c r="FFV46" s="100"/>
      <c r="FFW46" s="100"/>
      <c r="FFX46" s="100"/>
      <c r="FFY46" s="100"/>
      <c r="FFZ46" s="100"/>
      <c r="FGA46" s="100"/>
      <c r="FGB46" s="100"/>
      <c r="FGC46" s="100"/>
      <c r="FGD46" s="100"/>
      <c r="FGE46" s="100"/>
      <c r="FGF46" s="100"/>
      <c r="FGG46" s="100"/>
      <c r="FGH46" s="100"/>
      <c r="FGI46" s="100"/>
      <c r="FGJ46" s="100"/>
      <c r="FGK46" s="100"/>
      <c r="FGL46" s="100"/>
      <c r="FGM46" s="100"/>
      <c r="FGN46" s="100"/>
      <c r="FGO46" s="100"/>
      <c r="FGP46" s="100"/>
      <c r="FGQ46" s="100"/>
      <c r="FGR46" s="100"/>
      <c r="FGS46" s="100"/>
      <c r="FGT46" s="100"/>
      <c r="FGU46" s="100"/>
      <c r="FGV46" s="100"/>
      <c r="FGW46" s="100"/>
      <c r="FGX46" s="100"/>
      <c r="FGY46" s="100"/>
      <c r="FGZ46" s="100"/>
      <c r="FHA46" s="100"/>
      <c r="FHB46" s="100"/>
      <c r="FHC46" s="100"/>
      <c r="FHD46" s="100"/>
      <c r="FHE46" s="100"/>
      <c r="FHF46" s="100"/>
      <c r="FHG46" s="100"/>
      <c r="FHH46" s="100"/>
      <c r="FHI46" s="100"/>
      <c r="FHJ46" s="100"/>
      <c r="FHK46" s="100"/>
      <c r="FHL46" s="100"/>
      <c r="FHM46" s="100"/>
      <c r="FHN46" s="100"/>
      <c r="FHO46" s="100"/>
      <c r="FHP46" s="100"/>
      <c r="FHQ46" s="100"/>
      <c r="FHR46" s="100"/>
      <c r="FHS46" s="100"/>
      <c r="FHT46" s="100"/>
      <c r="FHU46" s="100"/>
      <c r="FHV46" s="100"/>
      <c r="FHW46" s="100"/>
      <c r="FHX46" s="100"/>
      <c r="FHY46" s="100"/>
      <c r="FHZ46" s="100"/>
      <c r="FIA46" s="100"/>
      <c r="FIB46" s="100"/>
      <c r="FIC46" s="100"/>
      <c r="FID46" s="100"/>
      <c r="FIE46" s="100"/>
      <c r="FIF46" s="100"/>
      <c r="FIG46" s="100"/>
      <c r="FIH46" s="100"/>
      <c r="FII46" s="100"/>
      <c r="FIJ46" s="100"/>
      <c r="FIK46" s="100"/>
      <c r="FIL46" s="100"/>
      <c r="FIM46" s="100"/>
      <c r="FIN46" s="100"/>
      <c r="FIO46" s="100"/>
      <c r="FIP46" s="100"/>
      <c r="FIQ46" s="100"/>
      <c r="FIR46" s="100"/>
      <c r="FIS46" s="100"/>
      <c r="FIT46" s="100"/>
      <c r="FIU46" s="100"/>
      <c r="FIV46" s="100"/>
      <c r="FIW46" s="100"/>
      <c r="FIX46" s="100"/>
      <c r="FIY46" s="100"/>
      <c r="FIZ46" s="100"/>
      <c r="FJA46" s="100"/>
      <c r="FJB46" s="100"/>
      <c r="FJC46" s="100"/>
      <c r="FJD46" s="100"/>
      <c r="FJE46" s="100"/>
      <c r="FJF46" s="100"/>
      <c r="FJG46" s="100"/>
      <c r="FJH46" s="100"/>
      <c r="FJI46" s="100"/>
      <c r="FJJ46" s="100"/>
      <c r="FJK46" s="100"/>
      <c r="FJL46" s="100"/>
      <c r="FJM46" s="100"/>
      <c r="FJN46" s="100"/>
      <c r="FJO46" s="100"/>
      <c r="FJP46" s="100"/>
      <c r="FJQ46" s="100"/>
      <c r="FJR46" s="100"/>
      <c r="FJS46" s="100"/>
      <c r="FJT46" s="100"/>
      <c r="FJU46" s="100"/>
      <c r="FJV46" s="100"/>
      <c r="FJW46" s="100"/>
      <c r="FJX46" s="100"/>
      <c r="FJY46" s="100"/>
      <c r="FJZ46" s="100"/>
      <c r="FKA46" s="100"/>
      <c r="FKB46" s="100"/>
      <c r="FKC46" s="100"/>
      <c r="FKD46" s="100"/>
      <c r="FKE46" s="100"/>
      <c r="FKF46" s="100"/>
      <c r="FKG46" s="100"/>
      <c r="FKH46" s="100"/>
      <c r="FKI46" s="100"/>
      <c r="FKJ46" s="100"/>
      <c r="FKK46" s="100"/>
      <c r="FKL46" s="100"/>
      <c r="FKM46" s="100"/>
      <c r="FKN46" s="100"/>
      <c r="FKO46" s="100"/>
      <c r="FKP46" s="100"/>
      <c r="FKQ46" s="100"/>
      <c r="FKR46" s="100"/>
      <c r="FKS46" s="100"/>
      <c r="FKT46" s="100"/>
      <c r="FKU46" s="100"/>
      <c r="FKV46" s="100"/>
      <c r="FKW46" s="100"/>
      <c r="FKX46" s="100"/>
      <c r="FKY46" s="100"/>
      <c r="FKZ46" s="100"/>
      <c r="FLA46" s="100"/>
      <c r="FLB46" s="100"/>
      <c r="FLC46" s="100"/>
      <c r="FLD46" s="100"/>
      <c r="FLE46" s="100"/>
      <c r="FLF46" s="100"/>
      <c r="FLG46" s="100"/>
      <c r="FLH46" s="100"/>
      <c r="FLI46" s="100"/>
      <c r="FLJ46" s="100"/>
      <c r="FLK46" s="100"/>
      <c r="FLL46" s="100"/>
      <c r="FLM46" s="100"/>
      <c r="FLN46" s="100"/>
      <c r="FLO46" s="100"/>
      <c r="FLP46" s="100"/>
      <c r="FLQ46" s="100"/>
      <c r="FLR46" s="100"/>
      <c r="FLS46" s="100"/>
      <c r="FLT46" s="100"/>
      <c r="FLU46" s="100"/>
      <c r="FLV46" s="100"/>
      <c r="FLW46" s="100"/>
      <c r="FLX46" s="100"/>
      <c r="FLY46" s="100"/>
      <c r="FLZ46" s="100"/>
      <c r="FMA46" s="100"/>
      <c r="FMB46" s="100"/>
      <c r="FMC46" s="100"/>
      <c r="FMD46" s="100"/>
      <c r="FME46" s="100"/>
      <c r="FMF46" s="100"/>
      <c r="FMG46" s="100"/>
      <c r="FMH46" s="100"/>
      <c r="FMI46" s="100"/>
      <c r="FMJ46" s="100"/>
      <c r="FMK46" s="100"/>
      <c r="FML46" s="100"/>
      <c r="FMM46" s="100"/>
      <c r="FMN46" s="100"/>
      <c r="FMO46" s="100"/>
      <c r="FMP46" s="100"/>
      <c r="FMQ46" s="100"/>
      <c r="FMR46" s="100"/>
      <c r="FMS46" s="100"/>
      <c r="FMT46" s="100"/>
      <c r="FMU46" s="100"/>
      <c r="FMV46" s="100"/>
      <c r="FMW46" s="100"/>
      <c r="FMX46" s="100"/>
      <c r="FMY46" s="100"/>
      <c r="FMZ46" s="100"/>
      <c r="FNA46" s="100"/>
      <c r="FNB46" s="100"/>
      <c r="FNC46" s="100"/>
      <c r="FND46" s="100"/>
      <c r="FNE46" s="100"/>
      <c r="FNF46" s="100"/>
      <c r="FNG46" s="100"/>
      <c r="FNH46" s="100"/>
      <c r="FNI46" s="100"/>
      <c r="FNJ46" s="100"/>
      <c r="FNK46" s="100"/>
      <c r="FNL46" s="100"/>
      <c r="FNM46" s="100"/>
      <c r="FNN46" s="100"/>
      <c r="FNO46" s="100"/>
      <c r="FNP46" s="100"/>
      <c r="FNQ46" s="100"/>
      <c r="FNR46" s="100"/>
      <c r="FNS46" s="100"/>
      <c r="FNT46" s="100"/>
      <c r="FNU46" s="100"/>
      <c r="FNV46" s="100"/>
      <c r="FNW46" s="100"/>
      <c r="FNX46" s="100"/>
      <c r="FNY46" s="100"/>
      <c r="FNZ46" s="100"/>
      <c r="FOA46" s="100"/>
      <c r="FOB46" s="100"/>
      <c r="FOC46" s="100"/>
      <c r="FOD46" s="100"/>
      <c r="FOE46" s="100"/>
      <c r="FOF46" s="100"/>
      <c r="FOG46" s="100"/>
      <c r="FOH46" s="100"/>
      <c r="FOI46" s="100"/>
      <c r="FOJ46" s="100"/>
      <c r="FOK46" s="100"/>
      <c r="FOL46" s="100"/>
      <c r="FOM46" s="100"/>
      <c r="FON46" s="100"/>
      <c r="FOO46" s="100"/>
      <c r="FOP46" s="100"/>
      <c r="FOQ46" s="100"/>
      <c r="FOR46" s="100"/>
      <c r="FOS46" s="100"/>
      <c r="FOT46" s="100"/>
      <c r="FOU46" s="100"/>
      <c r="FOV46" s="100"/>
      <c r="FOW46" s="100"/>
      <c r="FOX46" s="100"/>
      <c r="FOY46" s="100"/>
      <c r="FOZ46" s="100"/>
      <c r="FPA46" s="100"/>
      <c r="FPB46" s="100"/>
      <c r="FPC46" s="100"/>
      <c r="FPD46" s="100"/>
      <c r="FPE46" s="100"/>
      <c r="FPF46" s="100"/>
      <c r="FPG46" s="100"/>
      <c r="FPH46" s="100"/>
      <c r="FPI46" s="100"/>
      <c r="FPJ46" s="100"/>
      <c r="FPK46" s="100"/>
      <c r="FPL46" s="100"/>
      <c r="FPM46" s="100"/>
      <c r="FPN46" s="100"/>
      <c r="FPO46" s="100"/>
      <c r="FPP46" s="100"/>
      <c r="FPQ46" s="100"/>
      <c r="FPR46" s="100"/>
      <c r="FPS46" s="100"/>
      <c r="FPT46" s="100"/>
      <c r="FPU46" s="100"/>
      <c r="FPV46" s="100"/>
      <c r="FPW46" s="100"/>
      <c r="FPX46" s="100"/>
      <c r="FPY46" s="100"/>
      <c r="FPZ46" s="100"/>
      <c r="FQA46" s="100"/>
      <c r="FQB46" s="100"/>
      <c r="FQC46" s="100"/>
      <c r="FQD46" s="100"/>
      <c r="FQE46" s="100"/>
      <c r="FQF46" s="100"/>
      <c r="FQG46" s="100"/>
      <c r="FQH46" s="100"/>
      <c r="FQI46" s="100"/>
      <c r="FQJ46" s="100"/>
      <c r="FQK46" s="100"/>
      <c r="FQL46" s="100"/>
      <c r="FQM46" s="100"/>
      <c r="FQN46" s="100"/>
      <c r="FQO46" s="100"/>
      <c r="FQP46" s="100"/>
      <c r="FQQ46" s="100"/>
      <c r="FQR46" s="100"/>
      <c r="FQS46" s="100"/>
      <c r="FQT46" s="100"/>
      <c r="FQU46" s="100"/>
      <c r="FQV46" s="100"/>
      <c r="FQW46" s="100"/>
      <c r="FQX46" s="100"/>
      <c r="FQY46" s="100"/>
      <c r="FQZ46" s="100"/>
      <c r="FRA46" s="100"/>
      <c r="FRB46" s="100"/>
      <c r="FRC46" s="100"/>
      <c r="FRD46" s="100"/>
      <c r="FRE46" s="100"/>
      <c r="FRF46" s="100"/>
      <c r="FRG46" s="100"/>
      <c r="FRH46" s="100"/>
      <c r="FRI46" s="100"/>
      <c r="FRJ46" s="100"/>
      <c r="FRK46" s="100"/>
      <c r="FRL46" s="100"/>
      <c r="FRM46" s="100"/>
      <c r="FRN46" s="100"/>
      <c r="FRO46" s="100"/>
      <c r="FRP46" s="100"/>
      <c r="FRQ46" s="100"/>
      <c r="FRR46" s="100"/>
      <c r="FRS46" s="100"/>
      <c r="FRT46" s="100"/>
      <c r="FRU46" s="100"/>
      <c r="FRV46" s="100"/>
      <c r="FRW46" s="100"/>
      <c r="FRX46" s="100"/>
      <c r="FRY46" s="100"/>
      <c r="FRZ46" s="100"/>
      <c r="FSA46" s="100"/>
      <c r="FSB46" s="100"/>
      <c r="FSC46" s="100"/>
      <c r="FSD46" s="100"/>
      <c r="FSE46" s="100"/>
      <c r="FSF46" s="100"/>
      <c r="FSG46" s="100"/>
      <c r="FSH46" s="100"/>
      <c r="FSI46" s="100"/>
      <c r="FSJ46" s="100"/>
      <c r="FSK46" s="100"/>
      <c r="FSL46" s="100"/>
      <c r="FSM46" s="100"/>
      <c r="FSN46" s="100"/>
      <c r="FSO46" s="100"/>
      <c r="FSP46" s="100"/>
      <c r="FSQ46" s="100"/>
      <c r="FSR46" s="100"/>
      <c r="FSS46" s="100"/>
      <c r="FST46" s="100"/>
      <c r="FSU46" s="100"/>
      <c r="FSV46" s="100"/>
      <c r="FSW46" s="100"/>
      <c r="FSX46" s="100"/>
      <c r="FSY46" s="100"/>
      <c r="FSZ46" s="100"/>
      <c r="FTA46" s="100"/>
      <c r="FTB46" s="100"/>
      <c r="FTC46" s="100"/>
      <c r="FTD46" s="100"/>
      <c r="FTE46" s="100"/>
      <c r="FTF46" s="100"/>
      <c r="FTG46" s="100"/>
      <c r="FTH46" s="100"/>
      <c r="FTI46" s="100"/>
      <c r="FTJ46" s="100"/>
      <c r="FTK46" s="100"/>
      <c r="FTL46" s="100"/>
      <c r="FTM46" s="100"/>
      <c r="FTN46" s="100"/>
      <c r="FTO46" s="100"/>
      <c r="FTP46" s="100"/>
      <c r="FTQ46" s="100"/>
      <c r="FTR46" s="100"/>
      <c r="FTS46" s="100"/>
      <c r="FTT46" s="100"/>
      <c r="FTU46" s="100"/>
      <c r="FTV46" s="100"/>
      <c r="FTW46" s="100"/>
      <c r="FTX46" s="100"/>
      <c r="FTY46" s="100"/>
      <c r="FTZ46" s="100"/>
      <c r="FUA46" s="100"/>
      <c r="FUB46" s="100"/>
      <c r="FUC46" s="100"/>
      <c r="FUD46" s="100"/>
      <c r="FUE46" s="100"/>
      <c r="FUF46" s="100"/>
      <c r="FUG46" s="100"/>
      <c r="FUH46" s="100"/>
      <c r="FUI46" s="100"/>
      <c r="FUJ46" s="100"/>
      <c r="FUK46" s="100"/>
      <c r="FUL46" s="100"/>
      <c r="FUM46" s="100"/>
      <c r="FUN46" s="100"/>
      <c r="FUO46" s="100"/>
      <c r="FUP46" s="100"/>
      <c r="FUQ46" s="100"/>
      <c r="FUR46" s="100"/>
      <c r="FUS46" s="100"/>
      <c r="FUT46" s="100"/>
      <c r="FUU46" s="100"/>
      <c r="FUV46" s="100"/>
      <c r="FUW46" s="100"/>
      <c r="FUX46" s="100"/>
      <c r="FUY46" s="100"/>
      <c r="FUZ46" s="100"/>
      <c r="FVA46" s="100"/>
      <c r="FVB46" s="100"/>
      <c r="FVC46" s="100"/>
      <c r="FVD46" s="100"/>
      <c r="FVE46" s="100"/>
      <c r="FVF46" s="100"/>
      <c r="FVG46" s="100"/>
      <c r="FVH46" s="100"/>
      <c r="FVI46" s="100"/>
      <c r="FVJ46" s="100"/>
      <c r="FVK46" s="100"/>
      <c r="FVL46" s="100"/>
      <c r="FVM46" s="100"/>
      <c r="FVN46" s="100"/>
      <c r="FVO46" s="100"/>
      <c r="FVP46" s="100"/>
      <c r="FVQ46" s="100"/>
      <c r="FVR46" s="100"/>
      <c r="FVS46" s="100"/>
      <c r="FVT46" s="100"/>
      <c r="FVU46" s="100"/>
      <c r="FVV46" s="100"/>
      <c r="FVW46" s="100"/>
      <c r="FVX46" s="100"/>
      <c r="FVY46" s="100"/>
      <c r="FVZ46" s="100"/>
      <c r="FWA46" s="100"/>
      <c r="FWB46" s="100"/>
      <c r="FWC46" s="100"/>
      <c r="FWD46" s="100"/>
      <c r="FWE46" s="100"/>
      <c r="FWF46" s="100"/>
      <c r="FWG46" s="100"/>
      <c r="FWH46" s="100"/>
      <c r="FWI46" s="100"/>
      <c r="FWJ46" s="100"/>
      <c r="FWK46" s="100"/>
      <c r="FWL46" s="100"/>
      <c r="FWM46" s="100"/>
      <c r="FWN46" s="100"/>
      <c r="FWO46" s="100"/>
      <c r="FWP46" s="100"/>
      <c r="FWQ46" s="100"/>
      <c r="FWR46" s="100"/>
      <c r="FWS46" s="100"/>
      <c r="FWT46" s="100"/>
      <c r="FWU46" s="100"/>
      <c r="FWV46" s="100"/>
      <c r="FWW46" s="100"/>
      <c r="FWX46" s="100"/>
      <c r="FWY46" s="100"/>
      <c r="FWZ46" s="100"/>
      <c r="FXA46" s="100"/>
      <c r="FXB46" s="100"/>
      <c r="FXC46" s="100"/>
      <c r="FXD46" s="100"/>
      <c r="FXE46" s="100"/>
      <c r="FXF46" s="100"/>
      <c r="FXG46" s="100"/>
      <c r="FXH46" s="100"/>
      <c r="FXI46" s="100"/>
      <c r="FXJ46" s="100"/>
      <c r="FXK46" s="100"/>
      <c r="FXL46" s="100"/>
      <c r="FXM46" s="100"/>
      <c r="FXN46" s="100"/>
      <c r="FXO46" s="100"/>
      <c r="FXP46" s="100"/>
      <c r="FXQ46" s="100"/>
      <c r="FXR46" s="100"/>
      <c r="FXS46" s="100"/>
      <c r="FXT46" s="100"/>
      <c r="FXU46" s="100"/>
      <c r="FXV46" s="100"/>
      <c r="FXW46" s="100"/>
      <c r="FXX46" s="100"/>
      <c r="FXY46" s="100"/>
      <c r="FXZ46" s="100"/>
      <c r="FYA46" s="100"/>
      <c r="FYB46" s="100"/>
      <c r="FYC46" s="100"/>
      <c r="FYD46" s="100"/>
      <c r="FYE46" s="100"/>
      <c r="FYF46" s="100"/>
      <c r="FYG46" s="100"/>
      <c r="FYH46" s="100"/>
      <c r="FYI46" s="100"/>
      <c r="FYJ46" s="100"/>
      <c r="FYK46" s="100"/>
      <c r="FYL46" s="100"/>
      <c r="FYM46" s="100"/>
      <c r="FYN46" s="100"/>
      <c r="FYO46" s="100"/>
      <c r="FYP46" s="100"/>
      <c r="FYQ46" s="100"/>
      <c r="FYR46" s="100"/>
      <c r="FYS46" s="100"/>
      <c r="FYT46" s="100"/>
      <c r="FYU46" s="100"/>
      <c r="FYV46" s="100"/>
      <c r="FYW46" s="100"/>
      <c r="FYX46" s="100"/>
      <c r="FYY46" s="100"/>
      <c r="FYZ46" s="100"/>
      <c r="FZA46" s="100"/>
      <c r="FZB46" s="100"/>
      <c r="FZC46" s="100"/>
      <c r="FZD46" s="100"/>
      <c r="FZE46" s="100"/>
      <c r="FZF46" s="100"/>
      <c r="FZG46" s="100"/>
      <c r="FZH46" s="100"/>
      <c r="FZI46" s="100"/>
      <c r="FZJ46" s="100"/>
      <c r="FZK46" s="100"/>
      <c r="FZL46" s="100"/>
      <c r="FZM46" s="100"/>
      <c r="FZN46" s="100"/>
      <c r="FZO46" s="100"/>
      <c r="FZP46" s="100"/>
      <c r="FZQ46" s="100"/>
      <c r="FZR46" s="100"/>
      <c r="FZS46" s="100"/>
      <c r="FZT46" s="100"/>
      <c r="FZU46" s="100"/>
      <c r="FZV46" s="100"/>
      <c r="FZW46" s="100"/>
      <c r="FZX46" s="100"/>
      <c r="FZY46" s="100"/>
      <c r="FZZ46" s="100"/>
      <c r="GAA46" s="100"/>
      <c r="GAB46" s="100"/>
      <c r="GAC46" s="100"/>
      <c r="GAD46" s="100"/>
      <c r="GAE46" s="100"/>
      <c r="GAF46" s="100"/>
      <c r="GAG46" s="100"/>
      <c r="GAH46" s="100"/>
      <c r="GAI46" s="100"/>
      <c r="GAJ46" s="100"/>
      <c r="GAK46" s="100"/>
      <c r="GAL46" s="100"/>
      <c r="GAM46" s="100"/>
      <c r="GAN46" s="100"/>
      <c r="GAO46" s="100"/>
      <c r="GAP46" s="100"/>
      <c r="GAQ46" s="100"/>
      <c r="GAR46" s="100"/>
      <c r="GAS46" s="100"/>
      <c r="GAT46" s="100"/>
      <c r="GAU46" s="100"/>
      <c r="GAV46" s="100"/>
      <c r="GAW46" s="100"/>
      <c r="GAX46" s="100"/>
      <c r="GAY46" s="100"/>
      <c r="GAZ46" s="100"/>
      <c r="GBA46" s="100"/>
      <c r="GBB46" s="100"/>
      <c r="GBC46" s="100"/>
      <c r="GBD46" s="100"/>
      <c r="GBE46" s="100"/>
      <c r="GBF46" s="100"/>
      <c r="GBG46" s="100"/>
      <c r="GBH46" s="100"/>
      <c r="GBI46" s="100"/>
      <c r="GBJ46" s="100"/>
      <c r="GBK46" s="100"/>
      <c r="GBL46" s="100"/>
      <c r="GBM46" s="100"/>
      <c r="GBN46" s="100"/>
      <c r="GBO46" s="100"/>
      <c r="GBP46" s="100"/>
      <c r="GBQ46" s="100"/>
      <c r="GBR46" s="100"/>
      <c r="GBS46" s="100"/>
      <c r="GBT46" s="100"/>
      <c r="GBU46" s="100"/>
      <c r="GBV46" s="100"/>
      <c r="GBW46" s="100"/>
      <c r="GBX46" s="100"/>
      <c r="GBY46" s="100"/>
      <c r="GBZ46" s="100"/>
      <c r="GCA46" s="100"/>
      <c r="GCB46" s="100"/>
      <c r="GCC46" s="100"/>
      <c r="GCD46" s="100"/>
      <c r="GCE46" s="100"/>
      <c r="GCF46" s="100"/>
      <c r="GCG46" s="100"/>
      <c r="GCH46" s="100"/>
      <c r="GCI46" s="100"/>
      <c r="GCJ46" s="100"/>
      <c r="GCK46" s="100"/>
      <c r="GCL46" s="100"/>
      <c r="GCM46" s="100"/>
      <c r="GCN46" s="100"/>
      <c r="GCO46" s="100"/>
      <c r="GCP46" s="100"/>
      <c r="GCQ46" s="100"/>
      <c r="GCR46" s="100"/>
      <c r="GCS46" s="100"/>
      <c r="GCT46" s="100"/>
      <c r="GCU46" s="100"/>
      <c r="GCV46" s="100"/>
      <c r="GCW46" s="100"/>
      <c r="GCX46" s="100"/>
      <c r="GCY46" s="100"/>
      <c r="GCZ46" s="100"/>
      <c r="GDA46" s="100"/>
      <c r="GDB46" s="100"/>
      <c r="GDC46" s="100"/>
      <c r="GDD46" s="100"/>
      <c r="GDE46" s="100"/>
      <c r="GDF46" s="100"/>
      <c r="GDG46" s="100"/>
      <c r="GDH46" s="100"/>
      <c r="GDI46" s="100"/>
      <c r="GDJ46" s="100"/>
      <c r="GDK46" s="100"/>
      <c r="GDL46" s="100"/>
      <c r="GDM46" s="100"/>
      <c r="GDN46" s="100"/>
      <c r="GDO46" s="100"/>
      <c r="GDP46" s="100"/>
      <c r="GDQ46" s="100"/>
      <c r="GDR46" s="100"/>
      <c r="GDS46" s="100"/>
      <c r="GDT46" s="100"/>
      <c r="GDU46" s="100"/>
      <c r="GDV46" s="100"/>
      <c r="GDW46" s="100"/>
      <c r="GDX46" s="100"/>
      <c r="GDY46" s="100"/>
      <c r="GDZ46" s="100"/>
      <c r="GEA46" s="100"/>
      <c r="GEB46" s="100"/>
      <c r="GEC46" s="100"/>
      <c r="GED46" s="100"/>
      <c r="GEE46" s="100"/>
      <c r="GEF46" s="100"/>
      <c r="GEG46" s="100"/>
      <c r="GEH46" s="100"/>
      <c r="GEI46" s="100"/>
      <c r="GEJ46" s="100"/>
      <c r="GEK46" s="100"/>
      <c r="GEL46" s="100"/>
      <c r="GEM46" s="100"/>
      <c r="GEN46" s="100"/>
      <c r="GEO46" s="100"/>
      <c r="GEP46" s="100"/>
      <c r="GEQ46" s="100"/>
      <c r="GER46" s="100"/>
      <c r="GES46" s="100"/>
      <c r="GET46" s="100"/>
      <c r="GEU46" s="100"/>
      <c r="GEV46" s="100"/>
      <c r="GEW46" s="100"/>
      <c r="GEX46" s="100"/>
      <c r="GEY46" s="100"/>
      <c r="GEZ46" s="100"/>
      <c r="GFA46" s="100"/>
      <c r="GFB46" s="100"/>
      <c r="GFC46" s="100"/>
      <c r="GFD46" s="100"/>
      <c r="GFE46" s="100"/>
      <c r="GFF46" s="100"/>
      <c r="GFG46" s="100"/>
      <c r="GFH46" s="100"/>
      <c r="GFI46" s="100"/>
      <c r="GFJ46" s="100"/>
      <c r="GFK46" s="100"/>
      <c r="GFL46" s="100"/>
      <c r="GFM46" s="100"/>
      <c r="GFN46" s="100"/>
      <c r="GFO46" s="100"/>
      <c r="GFP46" s="100"/>
      <c r="GFQ46" s="100"/>
      <c r="GFR46" s="100"/>
      <c r="GFS46" s="100"/>
      <c r="GFT46" s="100"/>
      <c r="GFU46" s="100"/>
      <c r="GFV46" s="100"/>
      <c r="GFW46" s="100"/>
      <c r="GFX46" s="100"/>
      <c r="GFY46" s="100"/>
      <c r="GFZ46" s="100"/>
      <c r="GGA46" s="100"/>
      <c r="GGB46" s="100"/>
      <c r="GGC46" s="100"/>
      <c r="GGD46" s="100"/>
      <c r="GGE46" s="100"/>
      <c r="GGF46" s="100"/>
      <c r="GGG46" s="100"/>
      <c r="GGH46" s="100"/>
      <c r="GGI46" s="100"/>
      <c r="GGJ46" s="100"/>
      <c r="GGK46" s="100"/>
      <c r="GGL46" s="100"/>
      <c r="GGM46" s="100"/>
      <c r="GGN46" s="100"/>
      <c r="GGO46" s="100"/>
      <c r="GGP46" s="100"/>
      <c r="GGQ46" s="100"/>
      <c r="GGR46" s="100"/>
      <c r="GGS46" s="100"/>
      <c r="GGT46" s="100"/>
      <c r="GGU46" s="100"/>
      <c r="GGV46" s="100"/>
      <c r="GGW46" s="100"/>
      <c r="GGX46" s="100"/>
      <c r="GGY46" s="100"/>
      <c r="GGZ46" s="100"/>
      <c r="GHA46" s="100"/>
      <c r="GHB46" s="100"/>
      <c r="GHC46" s="100"/>
      <c r="GHD46" s="100"/>
      <c r="GHE46" s="100"/>
      <c r="GHF46" s="100"/>
      <c r="GHG46" s="100"/>
      <c r="GHH46" s="100"/>
      <c r="GHI46" s="100"/>
      <c r="GHJ46" s="100"/>
      <c r="GHK46" s="100"/>
      <c r="GHL46" s="100"/>
      <c r="GHM46" s="100"/>
      <c r="GHN46" s="100"/>
      <c r="GHO46" s="100"/>
      <c r="GHP46" s="100"/>
      <c r="GHQ46" s="100"/>
      <c r="GHR46" s="100"/>
      <c r="GHS46" s="100"/>
      <c r="GHT46" s="100"/>
      <c r="GHU46" s="100"/>
      <c r="GHV46" s="100"/>
      <c r="GHW46" s="100"/>
      <c r="GHX46" s="100"/>
      <c r="GHY46" s="100"/>
      <c r="GHZ46" s="100"/>
      <c r="GIA46" s="100"/>
      <c r="GIB46" s="100"/>
      <c r="GIC46" s="100"/>
      <c r="GID46" s="100"/>
      <c r="GIE46" s="100"/>
      <c r="GIF46" s="100"/>
      <c r="GIG46" s="100"/>
      <c r="GIH46" s="100"/>
      <c r="GII46" s="100"/>
      <c r="GIJ46" s="100"/>
      <c r="GIK46" s="100"/>
      <c r="GIL46" s="100"/>
      <c r="GIM46" s="100"/>
      <c r="GIN46" s="100"/>
      <c r="GIO46" s="100"/>
      <c r="GIP46" s="100"/>
      <c r="GIQ46" s="100"/>
      <c r="GIR46" s="100"/>
      <c r="GIS46" s="100"/>
      <c r="GIT46" s="100"/>
      <c r="GIU46" s="100"/>
      <c r="GIV46" s="100"/>
      <c r="GIW46" s="100"/>
      <c r="GIX46" s="100"/>
      <c r="GIY46" s="100"/>
      <c r="GIZ46" s="100"/>
      <c r="GJA46" s="100"/>
      <c r="GJB46" s="100"/>
      <c r="GJC46" s="100"/>
      <c r="GJD46" s="100"/>
      <c r="GJE46" s="100"/>
      <c r="GJF46" s="100"/>
      <c r="GJG46" s="100"/>
      <c r="GJH46" s="100"/>
      <c r="GJI46" s="100"/>
      <c r="GJJ46" s="100"/>
      <c r="GJK46" s="100"/>
      <c r="GJL46" s="100"/>
      <c r="GJM46" s="100"/>
      <c r="GJN46" s="100"/>
      <c r="GJO46" s="100"/>
      <c r="GJP46" s="100"/>
      <c r="GJQ46" s="100"/>
      <c r="GJR46" s="100"/>
      <c r="GJS46" s="100"/>
      <c r="GJT46" s="100"/>
      <c r="GJU46" s="100"/>
      <c r="GJV46" s="100"/>
      <c r="GJW46" s="100"/>
      <c r="GJX46" s="100"/>
      <c r="GJY46" s="100"/>
      <c r="GJZ46" s="100"/>
      <c r="GKA46" s="100"/>
      <c r="GKB46" s="100"/>
      <c r="GKC46" s="100"/>
      <c r="GKD46" s="100"/>
      <c r="GKE46" s="100"/>
      <c r="GKF46" s="100"/>
      <c r="GKG46" s="100"/>
      <c r="GKH46" s="100"/>
      <c r="GKI46" s="100"/>
      <c r="GKJ46" s="100"/>
      <c r="GKK46" s="100"/>
      <c r="GKL46" s="100"/>
      <c r="GKM46" s="100"/>
      <c r="GKN46" s="100"/>
      <c r="GKO46" s="100"/>
      <c r="GKP46" s="100"/>
      <c r="GKQ46" s="100"/>
      <c r="GKR46" s="100"/>
      <c r="GKS46" s="100"/>
      <c r="GKT46" s="100"/>
      <c r="GKU46" s="100"/>
      <c r="GKV46" s="100"/>
      <c r="GKW46" s="100"/>
      <c r="GKX46" s="100"/>
      <c r="GKY46" s="100"/>
      <c r="GKZ46" s="100"/>
      <c r="GLA46" s="100"/>
      <c r="GLB46" s="100"/>
      <c r="GLC46" s="100"/>
      <c r="GLD46" s="100"/>
      <c r="GLE46" s="100"/>
      <c r="GLF46" s="100"/>
      <c r="GLG46" s="100"/>
      <c r="GLH46" s="100"/>
      <c r="GLI46" s="100"/>
      <c r="GLJ46" s="100"/>
      <c r="GLK46" s="100"/>
      <c r="GLL46" s="100"/>
      <c r="GLM46" s="100"/>
      <c r="GLN46" s="100"/>
      <c r="GLO46" s="100"/>
      <c r="GLP46" s="100"/>
      <c r="GLQ46" s="100"/>
      <c r="GLR46" s="100"/>
      <c r="GLS46" s="100"/>
      <c r="GLT46" s="100"/>
      <c r="GLU46" s="100"/>
      <c r="GLV46" s="100"/>
      <c r="GLW46" s="100"/>
      <c r="GLX46" s="100"/>
      <c r="GLY46" s="100"/>
      <c r="GLZ46" s="100"/>
      <c r="GMA46" s="100"/>
      <c r="GMB46" s="100"/>
      <c r="GMC46" s="100"/>
      <c r="GMD46" s="100"/>
      <c r="GME46" s="100"/>
      <c r="GMF46" s="100"/>
      <c r="GMG46" s="100"/>
      <c r="GMH46" s="100"/>
      <c r="GMI46" s="100"/>
      <c r="GMJ46" s="100"/>
      <c r="GMK46" s="100"/>
      <c r="GML46" s="100"/>
      <c r="GMM46" s="100"/>
      <c r="GMN46" s="100"/>
      <c r="GMO46" s="100"/>
      <c r="GMP46" s="100"/>
      <c r="GMQ46" s="100"/>
      <c r="GMR46" s="100"/>
      <c r="GMS46" s="100"/>
      <c r="GMT46" s="100"/>
      <c r="GMU46" s="100"/>
      <c r="GMV46" s="100"/>
      <c r="GMW46" s="100"/>
      <c r="GMX46" s="100"/>
      <c r="GMY46" s="100"/>
      <c r="GMZ46" s="100"/>
      <c r="GNA46" s="100"/>
      <c r="GNB46" s="100"/>
      <c r="GNC46" s="100"/>
      <c r="GND46" s="100"/>
      <c r="GNE46" s="100"/>
      <c r="GNF46" s="100"/>
      <c r="GNG46" s="100"/>
      <c r="GNH46" s="100"/>
      <c r="GNI46" s="100"/>
      <c r="GNJ46" s="100"/>
      <c r="GNK46" s="100"/>
      <c r="GNL46" s="100"/>
      <c r="GNM46" s="100"/>
      <c r="GNN46" s="100"/>
      <c r="GNO46" s="100"/>
      <c r="GNP46" s="100"/>
      <c r="GNQ46" s="100"/>
      <c r="GNR46" s="100"/>
      <c r="GNS46" s="100"/>
      <c r="GNT46" s="100"/>
      <c r="GNU46" s="100"/>
      <c r="GNV46" s="100"/>
      <c r="GNW46" s="100"/>
      <c r="GNX46" s="100"/>
      <c r="GNY46" s="100"/>
      <c r="GNZ46" s="100"/>
      <c r="GOA46" s="100"/>
      <c r="GOB46" s="100"/>
      <c r="GOC46" s="100"/>
      <c r="GOD46" s="100"/>
      <c r="GOE46" s="100"/>
      <c r="GOF46" s="100"/>
      <c r="GOG46" s="100"/>
      <c r="GOH46" s="100"/>
      <c r="GOI46" s="100"/>
      <c r="GOJ46" s="100"/>
      <c r="GOK46" s="100"/>
      <c r="GOL46" s="100"/>
      <c r="GOM46" s="100"/>
      <c r="GON46" s="100"/>
      <c r="GOO46" s="100"/>
      <c r="GOP46" s="100"/>
      <c r="GOQ46" s="100"/>
      <c r="GOR46" s="100"/>
      <c r="GOS46" s="100"/>
      <c r="GOT46" s="100"/>
      <c r="GOU46" s="100"/>
      <c r="GOV46" s="100"/>
      <c r="GOW46" s="100"/>
      <c r="GOX46" s="100"/>
      <c r="GOY46" s="100"/>
      <c r="GOZ46" s="100"/>
      <c r="GPA46" s="100"/>
      <c r="GPB46" s="100"/>
      <c r="GPC46" s="100"/>
      <c r="GPD46" s="100"/>
      <c r="GPE46" s="100"/>
      <c r="GPF46" s="100"/>
      <c r="GPG46" s="100"/>
      <c r="GPH46" s="100"/>
      <c r="GPI46" s="100"/>
      <c r="GPJ46" s="100"/>
      <c r="GPK46" s="100"/>
      <c r="GPL46" s="100"/>
      <c r="GPM46" s="100"/>
      <c r="GPN46" s="100"/>
      <c r="GPO46" s="100"/>
      <c r="GPP46" s="100"/>
      <c r="GPQ46" s="100"/>
      <c r="GPR46" s="100"/>
      <c r="GPS46" s="100"/>
      <c r="GPT46" s="100"/>
      <c r="GPU46" s="100"/>
      <c r="GPV46" s="100"/>
      <c r="GPW46" s="100"/>
      <c r="GPX46" s="100"/>
      <c r="GPY46" s="100"/>
      <c r="GPZ46" s="100"/>
      <c r="GQA46" s="100"/>
      <c r="GQB46" s="100"/>
      <c r="GQC46" s="100"/>
      <c r="GQD46" s="100"/>
      <c r="GQE46" s="100"/>
      <c r="GQF46" s="100"/>
      <c r="GQG46" s="100"/>
      <c r="GQH46" s="100"/>
      <c r="GQI46" s="100"/>
      <c r="GQJ46" s="100"/>
      <c r="GQK46" s="100"/>
      <c r="GQL46" s="100"/>
      <c r="GQM46" s="100"/>
      <c r="GQN46" s="100"/>
      <c r="GQO46" s="100"/>
      <c r="GQP46" s="100"/>
      <c r="GQQ46" s="100"/>
      <c r="GQR46" s="100"/>
      <c r="GQS46" s="100"/>
      <c r="GQT46" s="100"/>
      <c r="GQU46" s="100"/>
      <c r="GQV46" s="100"/>
      <c r="GQW46" s="100"/>
      <c r="GQX46" s="100"/>
      <c r="GQY46" s="100"/>
      <c r="GQZ46" s="100"/>
      <c r="GRA46" s="100"/>
      <c r="GRB46" s="100"/>
      <c r="GRC46" s="100"/>
      <c r="GRD46" s="100"/>
      <c r="GRE46" s="100"/>
      <c r="GRF46" s="100"/>
      <c r="GRG46" s="100"/>
      <c r="GRH46" s="100"/>
      <c r="GRI46" s="100"/>
      <c r="GRJ46" s="100"/>
      <c r="GRK46" s="100"/>
      <c r="GRL46" s="100"/>
      <c r="GRM46" s="100"/>
      <c r="GRN46" s="100"/>
      <c r="GRO46" s="100"/>
      <c r="GRP46" s="100"/>
      <c r="GRQ46" s="100"/>
      <c r="GRR46" s="100"/>
      <c r="GRS46" s="100"/>
      <c r="GRT46" s="100"/>
      <c r="GRU46" s="100"/>
      <c r="GRV46" s="100"/>
      <c r="GRW46" s="100"/>
      <c r="GRX46" s="100"/>
      <c r="GRY46" s="100"/>
      <c r="GRZ46" s="100"/>
      <c r="GSA46" s="100"/>
      <c r="GSB46" s="100"/>
      <c r="GSC46" s="100"/>
      <c r="GSD46" s="100"/>
      <c r="GSE46" s="100"/>
      <c r="GSF46" s="100"/>
      <c r="GSG46" s="100"/>
      <c r="GSH46" s="100"/>
      <c r="GSI46" s="100"/>
      <c r="GSJ46" s="100"/>
      <c r="GSK46" s="100"/>
      <c r="GSL46" s="100"/>
      <c r="GSM46" s="100"/>
      <c r="GSN46" s="100"/>
      <c r="GSO46" s="100"/>
      <c r="GSP46" s="100"/>
      <c r="GSQ46" s="100"/>
      <c r="GSR46" s="100"/>
      <c r="GSS46" s="100"/>
      <c r="GST46" s="100"/>
      <c r="GSU46" s="100"/>
      <c r="GSV46" s="100"/>
      <c r="GSW46" s="100"/>
      <c r="GSX46" s="100"/>
      <c r="GSY46" s="100"/>
      <c r="GSZ46" s="100"/>
      <c r="GTA46" s="100"/>
      <c r="GTB46" s="100"/>
      <c r="GTC46" s="100"/>
      <c r="GTD46" s="100"/>
      <c r="GTE46" s="100"/>
      <c r="GTF46" s="100"/>
      <c r="GTG46" s="100"/>
      <c r="GTH46" s="100"/>
      <c r="GTI46" s="100"/>
      <c r="GTJ46" s="100"/>
      <c r="GTK46" s="100"/>
      <c r="GTL46" s="100"/>
      <c r="GTM46" s="100"/>
      <c r="GTN46" s="100"/>
      <c r="GTO46" s="100"/>
      <c r="GTP46" s="100"/>
      <c r="GTQ46" s="100"/>
      <c r="GTR46" s="100"/>
      <c r="GTS46" s="100"/>
      <c r="GTT46" s="100"/>
      <c r="GTU46" s="100"/>
      <c r="GTV46" s="100"/>
      <c r="GTW46" s="100"/>
      <c r="GTX46" s="100"/>
      <c r="GTY46" s="100"/>
      <c r="GTZ46" s="100"/>
      <c r="GUA46" s="100"/>
      <c r="GUB46" s="100"/>
      <c r="GUC46" s="100"/>
      <c r="GUD46" s="100"/>
      <c r="GUE46" s="100"/>
      <c r="GUF46" s="100"/>
      <c r="GUG46" s="100"/>
      <c r="GUH46" s="100"/>
      <c r="GUI46" s="100"/>
      <c r="GUJ46" s="100"/>
      <c r="GUK46" s="100"/>
      <c r="GUL46" s="100"/>
      <c r="GUM46" s="100"/>
      <c r="GUN46" s="100"/>
      <c r="GUO46" s="100"/>
      <c r="GUP46" s="100"/>
      <c r="GUQ46" s="100"/>
      <c r="GUR46" s="100"/>
      <c r="GUS46" s="100"/>
      <c r="GUT46" s="100"/>
      <c r="GUU46" s="100"/>
      <c r="GUV46" s="100"/>
      <c r="GUW46" s="100"/>
      <c r="GUX46" s="100"/>
      <c r="GUY46" s="100"/>
      <c r="GUZ46" s="100"/>
      <c r="GVA46" s="100"/>
      <c r="GVB46" s="100"/>
      <c r="GVC46" s="100"/>
      <c r="GVD46" s="100"/>
      <c r="GVE46" s="100"/>
      <c r="GVF46" s="100"/>
      <c r="GVG46" s="100"/>
      <c r="GVH46" s="100"/>
      <c r="GVI46" s="100"/>
      <c r="GVJ46" s="100"/>
      <c r="GVK46" s="100"/>
      <c r="GVL46" s="100"/>
      <c r="GVM46" s="100"/>
      <c r="GVN46" s="100"/>
      <c r="GVO46" s="100"/>
      <c r="GVP46" s="100"/>
      <c r="GVQ46" s="100"/>
      <c r="GVR46" s="100"/>
      <c r="GVS46" s="100"/>
      <c r="GVT46" s="100"/>
      <c r="GVU46" s="100"/>
      <c r="GVV46" s="100"/>
      <c r="GVW46" s="100"/>
      <c r="GVX46" s="100"/>
      <c r="GVY46" s="100"/>
      <c r="GVZ46" s="100"/>
      <c r="GWA46" s="100"/>
      <c r="GWB46" s="100"/>
      <c r="GWC46" s="100"/>
      <c r="GWD46" s="100"/>
      <c r="GWE46" s="100"/>
      <c r="GWF46" s="100"/>
      <c r="GWG46" s="100"/>
      <c r="GWH46" s="100"/>
      <c r="GWI46" s="100"/>
      <c r="GWJ46" s="100"/>
      <c r="GWK46" s="100"/>
      <c r="GWL46" s="100"/>
      <c r="GWM46" s="100"/>
      <c r="GWN46" s="100"/>
      <c r="GWO46" s="100"/>
      <c r="GWP46" s="100"/>
      <c r="GWQ46" s="100"/>
      <c r="GWR46" s="100"/>
      <c r="GWS46" s="100"/>
      <c r="GWT46" s="100"/>
      <c r="GWU46" s="100"/>
      <c r="GWV46" s="100"/>
      <c r="GWW46" s="100"/>
      <c r="GWX46" s="100"/>
      <c r="GWY46" s="100"/>
      <c r="GWZ46" s="100"/>
      <c r="GXA46" s="100"/>
      <c r="GXB46" s="100"/>
      <c r="GXC46" s="100"/>
      <c r="GXD46" s="100"/>
      <c r="GXE46" s="100"/>
      <c r="GXF46" s="100"/>
      <c r="GXG46" s="100"/>
      <c r="GXH46" s="100"/>
      <c r="GXI46" s="100"/>
      <c r="GXJ46" s="100"/>
      <c r="GXK46" s="100"/>
      <c r="GXL46" s="100"/>
      <c r="GXM46" s="100"/>
      <c r="GXN46" s="100"/>
      <c r="GXO46" s="100"/>
      <c r="GXP46" s="100"/>
      <c r="GXQ46" s="100"/>
      <c r="GXR46" s="100"/>
      <c r="GXS46" s="100"/>
      <c r="GXT46" s="100"/>
      <c r="GXU46" s="100"/>
      <c r="GXV46" s="100"/>
      <c r="GXW46" s="100"/>
      <c r="GXX46" s="100"/>
      <c r="GXY46" s="100"/>
      <c r="GXZ46" s="100"/>
      <c r="GYA46" s="100"/>
      <c r="GYB46" s="100"/>
      <c r="GYC46" s="100"/>
      <c r="GYD46" s="100"/>
      <c r="GYE46" s="100"/>
      <c r="GYF46" s="100"/>
      <c r="GYG46" s="100"/>
      <c r="GYH46" s="100"/>
      <c r="GYI46" s="100"/>
      <c r="GYJ46" s="100"/>
      <c r="GYK46" s="100"/>
      <c r="GYL46" s="100"/>
      <c r="GYM46" s="100"/>
      <c r="GYN46" s="100"/>
      <c r="GYO46" s="100"/>
      <c r="GYP46" s="100"/>
      <c r="GYQ46" s="100"/>
      <c r="GYR46" s="100"/>
      <c r="GYS46" s="100"/>
      <c r="GYT46" s="100"/>
      <c r="GYU46" s="100"/>
      <c r="GYV46" s="100"/>
      <c r="GYW46" s="100"/>
      <c r="GYX46" s="100"/>
      <c r="GYY46" s="100"/>
      <c r="GYZ46" s="100"/>
      <c r="GZA46" s="100"/>
      <c r="GZB46" s="100"/>
      <c r="GZC46" s="100"/>
      <c r="GZD46" s="100"/>
      <c r="GZE46" s="100"/>
      <c r="GZF46" s="100"/>
      <c r="GZG46" s="100"/>
      <c r="GZH46" s="100"/>
      <c r="GZI46" s="100"/>
      <c r="GZJ46" s="100"/>
      <c r="GZK46" s="100"/>
      <c r="GZL46" s="100"/>
      <c r="GZM46" s="100"/>
      <c r="GZN46" s="100"/>
      <c r="GZO46" s="100"/>
      <c r="GZP46" s="100"/>
      <c r="GZQ46" s="100"/>
      <c r="GZR46" s="100"/>
      <c r="GZS46" s="100"/>
      <c r="GZT46" s="100"/>
      <c r="GZU46" s="100"/>
      <c r="GZV46" s="100"/>
      <c r="GZW46" s="100"/>
      <c r="GZX46" s="100"/>
      <c r="GZY46" s="100"/>
      <c r="GZZ46" s="100"/>
      <c r="HAA46" s="100"/>
      <c r="HAB46" s="100"/>
      <c r="HAC46" s="100"/>
      <c r="HAD46" s="100"/>
      <c r="HAE46" s="100"/>
      <c r="HAF46" s="100"/>
      <c r="HAG46" s="100"/>
      <c r="HAH46" s="100"/>
      <c r="HAI46" s="100"/>
      <c r="HAJ46" s="100"/>
      <c r="HAK46" s="100"/>
      <c r="HAL46" s="100"/>
      <c r="HAM46" s="100"/>
      <c r="HAN46" s="100"/>
      <c r="HAO46" s="100"/>
      <c r="HAP46" s="100"/>
      <c r="HAQ46" s="100"/>
      <c r="HAR46" s="100"/>
      <c r="HAS46" s="100"/>
      <c r="HAT46" s="100"/>
      <c r="HAU46" s="100"/>
      <c r="HAV46" s="100"/>
      <c r="HAW46" s="100"/>
      <c r="HAX46" s="100"/>
      <c r="HAY46" s="100"/>
      <c r="HAZ46" s="100"/>
      <c r="HBA46" s="100"/>
      <c r="HBB46" s="100"/>
      <c r="HBC46" s="100"/>
      <c r="HBD46" s="100"/>
      <c r="HBE46" s="100"/>
      <c r="HBF46" s="100"/>
      <c r="HBG46" s="100"/>
      <c r="HBH46" s="100"/>
      <c r="HBI46" s="100"/>
      <c r="HBJ46" s="100"/>
      <c r="HBK46" s="100"/>
      <c r="HBL46" s="100"/>
      <c r="HBM46" s="100"/>
      <c r="HBN46" s="100"/>
      <c r="HBO46" s="100"/>
      <c r="HBP46" s="100"/>
      <c r="HBQ46" s="100"/>
      <c r="HBR46" s="100"/>
      <c r="HBS46" s="100"/>
      <c r="HBT46" s="100"/>
      <c r="HBU46" s="100"/>
      <c r="HBV46" s="100"/>
      <c r="HBW46" s="100"/>
      <c r="HBX46" s="100"/>
      <c r="HBY46" s="100"/>
      <c r="HBZ46" s="100"/>
      <c r="HCA46" s="100"/>
      <c r="HCB46" s="100"/>
      <c r="HCC46" s="100"/>
      <c r="HCD46" s="100"/>
      <c r="HCE46" s="100"/>
      <c r="HCF46" s="100"/>
      <c r="HCG46" s="100"/>
      <c r="HCH46" s="100"/>
      <c r="HCI46" s="100"/>
      <c r="HCJ46" s="100"/>
      <c r="HCK46" s="100"/>
      <c r="HCL46" s="100"/>
      <c r="HCM46" s="100"/>
      <c r="HCN46" s="100"/>
      <c r="HCO46" s="100"/>
      <c r="HCP46" s="100"/>
      <c r="HCQ46" s="100"/>
      <c r="HCR46" s="100"/>
      <c r="HCS46" s="100"/>
      <c r="HCT46" s="100"/>
      <c r="HCU46" s="100"/>
      <c r="HCV46" s="100"/>
      <c r="HCW46" s="100"/>
      <c r="HCX46" s="100"/>
      <c r="HCY46" s="100"/>
      <c r="HCZ46" s="100"/>
      <c r="HDA46" s="100"/>
      <c r="HDB46" s="100"/>
      <c r="HDC46" s="100"/>
      <c r="HDD46" s="100"/>
      <c r="HDE46" s="100"/>
      <c r="HDF46" s="100"/>
      <c r="HDG46" s="100"/>
      <c r="HDH46" s="100"/>
      <c r="HDI46" s="100"/>
      <c r="HDJ46" s="100"/>
      <c r="HDK46" s="100"/>
      <c r="HDL46" s="100"/>
      <c r="HDM46" s="100"/>
      <c r="HDN46" s="100"/>
      <c r="HDO46" s="100"/>
      <c r="HDP46" s="100"/>
      <c r="HDQ46" s="100"/>
      <c r="HDR46" s="100"/>
      <c r="HDS46" s="100"/>
      <c r="HDT46" s="100"/>
      <c r="HDU46" s="100"/>
      <c r="HDV46" s="100"/>
      <c r="HDW46" s="100"/>
      <c r="HDX46" s="100"/>
      <c r="HDY46" s="100"/>
      <c r="HDZ46" s="100"/>
      <c r="HEA46" s="100"/>
      <c r="HEB46" s="100"/>
      <c r="HEC46" s="100"/>
      <c r="HED46" s="100"/>
      <c r="HEE46" s="100"/>
      <c r="HEF46" s="100"/>
      <c r="HEG46" s="100"/>
      <c r="HEH46" s="100"/>
      <c r="HEI46" s="100"/>
      <c r="HEJ46" s="100"/>
      <c r="HEK46" s="100"/>
      <c r="HEL46" s="100"/>
      <c r="HEM46" s="100"/>
      <c r="HEN46" s="100"/>
      <c r="HEO46" s="100"/>
      <c r="HEP46" s="100"/>
      <c r="HEQ46" s="100"/>
      <c r="HER46" s="100"/>
      <c r="HES46" s="100"/>
      <c r="HET46" s="100"/>
      <c r="HEU46" s="100"/>
      <c r="HEV46" s="100"/>
      <c r="HEW46" s="100"/>
      <c r="HEX46" s="100"/>
      <c r="HEY46" s="100"/>
      <c r="HEZ46" s="100"/>
      <c r="HFA46" s="100"/>
      <c r="HFB46" s="100"/>
      <c r="HFC46" s="100"/>
      <c r="HFD46" s="100"/>
      <c r="HFE46" s="100"/>
      <c r="HFF46" s="100"/>
      <c r="HFG46" s="100"/>
      <c r="HFH46" s="100"/>
      <c r="HFI46" s="100"/>
      <c r="HFJ46" s="100"/>
      <c r="HFK46" s="100"/>
      <c r="HFL46" s="100"/>
      <c r="HFM46" s="100"/>
      <c r="HFN46" s="100"/>
      <c r="HFO46" s="100"/>
      <c r="HFP46" s="100"/>
      <c r="HFQ46" s="100"/>
      <c r="HFR46" s="100"/>
      <c r="HFS46" s="100"/>
      <c r="HFT46" s="100"/>
      <c r="HFU46" s="100"/>
      <c r="HFV46" s="100"/>
      <c r="HFW46" s="100"/>
      <c r="HFX46" s="100"/>
      <c r="HFY46" s="100"/>
      <c r="HFZ46" s="100"/>
      <c r="HGA46" s="100"/>
      <c r="HGB46" s="100"/>
      <c r="HGC46" s="100"/>
      <c r="HGD46" s="100"/>
      <c r="HGE46" s="100"/>
      <c r="HGF46" s="100"/>
      <c r="HGG46" s="100"/>
      <c r="HGH46" s="100"/>
      <c r="HGI46" s="100"/>
      <c r="HGJ46" s="100"/>
      <c r="HGK46" s="100"/>
      <c r="HGL46" s="100"/>
      <c r="HGM46" s="100"/>
      <c r="HGN46" s="100"/>
      <c r="HGO46" s="100"/>
      <c r="HGP46" s="100"/>
      <c r="HGQ46" s="100"/>
      <c r="HGR46" s="100"/>
      <c r="HGS46" s="100"/>
      <c r="HGT46" s="100"/>
      <c r="HGU46" s="100"/>
      <c r="HGV46" s="100"/>
      <c r="HGW46" s="100"/>
      <c r="HGX46" s="100"/>
      <c r="HGY46" s="100"/>
      <c r="HGZ46" s="100"/>
      <c r="HHA46" s="100"/>
      <c r="HHB46" s="100"/>
      <c r="HHC46" s="100"/>
      <c r="HHD46" s="100"/>
      <c r="HHE46" s="100"/>
      <c r="HHF46" s="100"/>
      <c r="HHG46" s="100"/>
      <c r="HHH46" s="100"/>
      <c r="HHI46" s="100"/>
      <c r="HHJ46" s="100"/>
      <c r="HHK46" s="100"/>
      <c r="HHL46" s="100"/>
      <c r="HHM46" s="100"/>
      <c r="HHN46" s="100"/>
      <c r="HHO46" s="100"/>
      <c r="HHP46" s="100"/>
      <c r="HHQ46" s="100"/>
      <c r="HHR46" s="100"/>
      <c r="HHS46" s="100"/>
      <c r="HHT46" s="100"/>
      <c r="HHU46" s="100"/>
      <c r="HHV46" s="100"/>
      <c r="HHW46" s="100"/>
      <c r="HHX46" s="100"/>
      <c r="HHY46" s="100"/>
      <c r="HHZ46" s="100"/>
      <c r="HIA46" s="100"/>
      <c r="HIB46" s="100"/>
      <c r="HIC46" s="100"/>
      <c r="HID46" s="100"/>
      <c r="HIE46" s="100"/>
      <c r="HIF46" s="100"/>
      <c r="HIG46" s="100"/>
      <c r="HIH46" s="100"/>
      <c r="HII46" s="100"/>
      <c r="HIJ46" s="100"/>
      <c r="HIK46" s="100"/>
      <c r="HIL46" s="100"/>
      <c r="HIM46" s="100"/>
      <c r="HIN46" s="100"/>
      <c r="HIO46" s="100"/>
      <c r="HIP46" s="100"/>
      <c r="HIQ46" s="100"/>
      <c r="HIR46" s="100"/>
      <c r="HIS46" s="100"/>
      <c r="HIT46" s="100"/>
      <c r="HIU46" s="100"/>
      <c r="HIV46" s="100"/>
      <c r="HIW46" s="100"/>
      <c r="HIX46" s="100"/>
      <c r="HIY46" s="100"/>
      <c r="HIZ46" s="100"/>
      <c r="HJA46" s="100"/>
      <c r="HJB46" s="100"/>
      <c r="HJC46" s="100"/>
      <c r="HJD46" s="100"/>
      <c r="HJE46" s="100"/>
      <c r="HJF46" s="100"/>
      <c r="HJG46" s="100"/>
      <c r="HJH46" s="100"/>
      <c r="HJI46" s="100"/>
      <c r="HJJ46" s="100"/>
      <c r="HJK46" s="100"/>
      <c r="HJL46" s="100"/>
      <c r="HJM46" s="100"/>
      <c r="HJN46" s="100"/>
      <c r="HJO46" s="100"/>
      <c r="HJP46" s="100"/>
      <c r="HJQ46" s="100"/>
      <c r="HJR46" s="100"/>
      <c r="HJS46" s="100"/>
      <c r="HJT46" s="100"/>
      <c r="HJU46" s="100"/>
      <c r="HJV46" s="100"/>
      <c r="HJW46" s="100"/>
      <c r="HJX46" s="100"/>
      <c r="HJY46" s="100"/>
      <c r="HJZ46" s="100"/>
      <c r="HKA46" s="100"/>
      <c r="HKB46" s="100"/>
      <c r="HKC46" s="100"/>
      <c r="HKD46" s="100"/>
      <c r="HKE46" s="100"/>
      <c r="HKF46" s="100"/>
      <c r="HKG46" s="100"/>
      <c r="HKH46" s="100"/>
      <c r="HKI46" s="100"/>
      <c r="HKJ46" s="100"/>
      <c r="HKK46" s="100"/>
      <c r="HKL46" s="100"/>
      <c r="HKM46" s="100"/>
      <c r="HKN46" s="100"/>
      <c r="HKO46" s="100"/>
      <c r="HKP46" s="100"/>
      <c r="HKQ46" s="100"/>
      <c r="HKR46" s="100"/>
      <c r="HKS46" s="100"/>
      <c r="HKT46" s="100"/>
      <c r="HKU46" s="100"/>
      <c r="HKV46" s="100"/>
      <c r="HKW46" s="100"/>
      <c r="HKX46" s="100"/>
      <c r="HKY46" s="100"/>
      <c r="HKZ46" s="100"/>
      <c r="HLA46" s="100"/>
      <c r="HLB46" s="100"/>
      <c r="HLC46" s="100"/>
      <c r="HLD46" s="100"/>
      <c r="HLE46" s="100"/>
      <c r="HLF46" s="100"/>
      <c r="HLG46" s="100"/>
      <c r="HLH46" s="100"/>
      <c r="HLI46" s="100"/>
      <c r="HLJ46" s="100"/>
      <c r="HLK46" s="100"/>
      <c r="HLL46" s="100"/>
      <c r="HLM46" s="100"/>
      <c r="HLN46" s="100"/>
      <c r="HLO46" s="100"/>
      <c r="HLP46" s="100"/>
      <c r="HLQ46" s="100"/>
      <c r="HLR46" s="100"/>
      <c r="HLS46" s="100"/>
      <c r="HLT46" s="100"/>
      <c r="HLU46" s="100"/>
      <c r="HLV46" s="100"/>
      <c r="HLW46" s="100"/>
      <c r="HLX46" s="100"/>
      <c r="HLY46" s="100"/>
      <c r="HLZ46" s="100"/>
      <c r="HMA46" s="100"/>
      <c r="HMB46" s="100"/>
      <c r="HMC46" s="100"/>
      <c r="HMD46" s="100"/>
      <c r="HME46" s="100"/>
      <c r="HMF46" s="100"/>
      <c r="HMG46" s="100"/>
      <c r="HMH46" s="100"/>
      <c r="HMI46" s="100"/>
      <c r="HMJ46" s="100"/>
      <c r="HMK46" s="100"/>
      <c r="HML46" s="100"/>
      <c r="HMM46" s="100"/>
      <c r="HMN46" s="100"/>
      <c r="HMO46" s="100"/>
      <c r="HMP46" s="100"/>
      <c r="HMQ46" s="100"/>
      <c r="HMR46" s="100"/>
      <c r="HMS46" s="100"/>
      <c r="HMT46" s="100"/>
      <c r="HMU46" s="100"/>
      <c r="HMV46" s="100"/>
      <c r="HMW46" s="100"/>
      <c r="HMX46" s="100"/>
      <c r="HMY46" s="100"/>
      <c r="HMZ46" s="100"/>
      <c r="HNA46" s="100"/>
      <c r="HNB46" s="100"/>
      <c r="HNC46" s="100"/>
      <c r="HND46" s="100"/>
      <c r="HNE46" s="100"/>
      <c r="HNF46" s="100"/>
      <c r="HNG46" s="100"/>
      <c r="HNH46" s="100"/>
      <c r="HNI46" s="100"/>
      <c r="HNJ46" s="100"/>
      <c r="HNK46" s="100"/>
      <c r="HNL46" s="100"/>
      <c r="HNM46" s="100"/>
      <c r="HNN46" s="100"/>
      <c r="HNO46" s="100"/>
      <c r="HNP46" s="100"/>
      <c r="HNQ46" s="100"/>
      <c r="HNR46" s="100"/>
      <c r="HNS46" s="100"/>
      <c r="HNT46" s="100"/>
      <c r="HNU46" s="100"/>
      <c r="HNV46" s="100"/>
      <c r="HNW46" s="100"/>
      <c r="HNX46" s="100"/>
      <c r="HNY46" s="100"/>
      <c r="HNZ46" s="100"/>
      <c r="HOA46" s="100"/>
      <c r="HOB46" s="100"/>
      <c r="HOC46" s="100"/>
      <c r="HOD46" s="100"/>
      <c r="HOE46" s="100"/>
      <c r="HOF46" s="100"/>
      <c r="HOG46" s="100"/>
      <c r="HOH46" s="100"/>
      <c r="HOI46" s="100"/>
      <c r="HOJ46" s="100"/>
      <c r="HOK46" s="100"/>
      <c r="HOL46" s="100"/>
      <c r="HOM46" s="100"/>
      <c r="HON46" s="100"/>
      <c r="HOO46" s="100"/>
      <c r="HOP46" s="100"/>
      <c r="HOQ46" s="100"/>
      <c r="HOR46" s="100"/>
      <c r="HOS46" s="100"/>
      <c r="HOT46" s="100"/>
      <c r="HOU46" s="100"/>
      <c r="HOV46" s="100"/>
      <c r="HOW46" s="100"/>
      <c r="HOX46" s="100"/>
      <c r="HOY46" s="100"/>
      <c r="HOZ46" s="100"/>
      <c r="HPA46" s="100"/>
      <c r="HPB46" s="100"/>
      <c r="HPC46" s="100"/>
      <c r="HPD46" s="100"/>
      <c r="HPE46" s="100"/>
      <c r="HPF46" s="100"/>
      <c r="HPG46" s="100"/>
      <c r="HPH46" s="100"/>
      <c r="HPI46" s="100"/>
      <c r="HPJ46" s="100"/>
      <c r="HPK46" s="100"/>
      <c r="HPL46" s="100"/>
      <c r="HPM46" s="100"/>
      <c r="HPN46" s="100"/>
      <c r="HPO46" s="100"/>
      <c r="HPP46" s="100"/>
      <c r="HPQ46" s="100"/>
      <c r="HPR46" s="100"/>
      <c r="HPS46" s="100"/>
      <c r="HPT46" s="100"/>
      <c r="HPU46" s="100"/>
      <c r="HPV46" s="100"/>
      <c r="HPW46" s="100"/>
      <c r="HPX46" s="100"/>
      <c r="HPY46" s="100"/>
      <c r="HPZ46" s="100"/>
      <c r="HQA46" s="100"/>
      <c r="HQB46" s="100"/>
      <c r="HQC46" s="100"/>
      <c r="HQD46" s="100"/>
      <c r="HQE46" s="100"/>
      <c r="HQF46" s="100"/>
      <c r="HQG46" s="100"/>
      <c r="HQH46" s="100"/>
      <c r="HQI46" s="100"/>
      <c r="HQJ46" s="100"/>
      <c r="HQK46" s="100"/>
      <c r="HQL46" s="100"/>
      <c r="HQM46" s="100"/>
      <c r="HQN46" s="100"/>
      <c r="HQO46" s="100"/>
      <c r="HQP46" s="100"/>
      <c r="HQQ46" s="100"/>
      <c r="HQR46" s="100"/>
      <c r="HQS46" s="100"/>
      <c r="HQT46" s="100"/>
      <c r="HQU46" s="100"/>
      <c r="HQV46" s="100"/>
      <c r="HQW46" s="100"/>
      <c r="HQX46" s="100"/>
      <c r="HQY46" s="100"/>
      <c r="HQZ46" s="100"/>
      <c r="HRA46" s="100"/>
      <c r="HRB46" s="100"/>
      <c r="HRC46" s="100"/>
      <c r="HRD46" s="100"/>
      <c r="HRE46" s="100"/>
      <c r="HRF46" s="100"/>
      <c r="HRG46" s="100"/>
      <c r="HRH46" s="100"/>
      <c r="HRI46" s="100"/>
      <c r="HRJ46" s="100"/>
      <c r="HRK46" s="100"/>
      <c r="HRL46" s="100"/>
      <c r="HRM46" s="100"/>
      <c r="HRN46" s="100"/>
      <c r="HRO46" s="100"/>
      <c r="HRP46" s="100"/>
      <c r="HRQ46" s="100"/>
      <c r="HRR46" s="100"/>
      <c r="HRS46" s="100"/>
      <c r="HRT46" s="100"/>
      <c r="HRU46" s="100"/>
      <c r="HRV46" s="100"/>
      <c r="HRW46" s="100"/>
      <c r="HRX46" s="100"/>
      <c r="HRY46" s="100"/>
      <c r="HRZ46" s="100"/>
      <c r="HSA46" s="100"/>
      <c r="HSB46" s="100"/>
      <c r="HSC46" s="100"/>
      <c r="HSD46" s="100"/>
      <c r="HSE46" s="100"/>
      <c r="HSF46" s="100"/>
      <c r="HSG46" s="100"/>
      <c r="HSH46" s="100"/>
      <c r="HSI46" s="100"/>
      <c r="HSJ46" s="100"/>
      <c r="HSK46" s="100"/>
      <c r="HSL46" s="100"/>
      <c r="HSM46" s="100"/>
      <c r="HSN46" s="100"/>
      <c r="HSO46" s="100"/>
      <c r="HSP46" s="100"/>
      <c r="HSQ46" s="100"/>
      <c r="HSR46" s="100"/>
      <c r="HSS46" s="100"/>
      <c r="HST46" s="100"/>
      <c r="HSU46" s="100"/>
      <c r="HSV46" s="100"/>
      <c r="HSW46" s="100"/>
      <c r="HSX46" s="100"/>
      <c r="HSY46" s="100"/>
      <c r="HSZ46" s="100"/>
      <c r="HTA46" s="100"/>
      <c r="HTB46" s="100"/>
      <c r="HTC46" s="100"/>
      <c r="HTD46" s="100"/>
      <c r="HTE46" s="100"/>
      <c r="HTF46" s="100"/>
      <c r="HTG46" s="100"/>
      <c r="HTH46" s="100"/>
      <c r="HTI46" s="100"/>
      <c r="HTJ46" s="100"/>
      <c r="HTK46" s="100"/>
      <c r="HTL46" s="100"/>
      <c r="HTM46" s="100"/>
      <c r="HTN46" s="100"/>
      <c r="HTO46" s="100"/>
      <c r="HTP46" s="100"/>
      <c r="HTQ46" s="100"/>
      <c r="HTR46" s="100"/>
      <c r="HTS46" s="100"/>
      <c r="HTT46" s="100"/>
      <c r="HTU46" s="100"/>
      <c r="HTV46" s="100"/>
      <c r="HTW46" s="100"/>
      <c r="HTX46" s="100"/>
      <c r="HTY46" s="100"/>
      <c r="HTZ46" s="100"/>
      <c r="HUA46" s="100"/>
      <c r="HUB46" s="100"/>
      <c r="HUC46" s="100"/>
      <c r="HUD46" s="100"/>
      <c r="HUE46" s="100"/>
      <c r="HUF46" s="100"/>
      <c r="HUG46" s="100"/>
      <c r="HUH46" s="100"/>
      <c r="HUI46" s="100"/>
      <c r="HUJ46" s="100"/>
      <c r="HUK46" s="100"/>
      <c r="HUL46" s="100"/>
      <c r="HUM46" s="100"/>
      <c r="HUN46" s="100"/>
      <c r="HUO46" s="100"/>
      <c r="HUP46" s="100"/>
      <c r="HUQ46" s="100"/>
      <c r="HUR46" s="100"/>
      <c r="HUS46" s="100"/>
      <c r="HUT46" s="100"/>
      <c r="HUU46" s="100"/>
      <c r="HUV46" s="100"/>
      <c r="HUW46" s="100"/>
      <c r="HUX46" s="100"/>
      <c r="HUY46" s="100"/>
      <c r="HUZ46" s="100"/>
      <c r="HVA46" s="100"/>
      <c r="HVB46" s="100"/>
      <c r="HVC46" s="100"/>
      <c r="HVD46" s="100"/>
      <c r="HVE46" s="100"/>
      <c r="HVF46" s="100"/>
      <c r="HVG46" s="100"/>
      <c r="HVH46" s="100"/>
      <c r="HVI46" s="100"/>
      <c r="HVJ46" s="100"/>
      <c r="HVK46" s="100"/>
      <c r="HVL46" s="100"/>
      <c r="HVM46" s="100"/>
      <c r="HVN46" s="100"/>
      <c r="HVO46" s="100"/>
      <c r="HVP46" s="100"/>
      <c r="HVQ46" s="100"/>
      <c r="HVR46" s="100"/>
      <c r="HVS46" s="100"/>
      <c r="HVT46" s="100"/>
      <c r="HVU46" s="100"/>
      <c r="HVV46" s="100"/>
      <c r="HVW46" s="100"/>
      <c r="HVX46" s="100"/>
      <c r="HVY46" s="100"/>
      <c r="HVZ46" s="100"/>
      <c r="HWA46" s="100"/>
      <c r="HWB46" s="100"/>
      <c r="HWC46" s="100"/>
      <c r="HWD46" s="100"/>
      <c r="HWE46" s="100"/>
      <c r="HWF46" s="100"/>
      <c r="HWG46" s="100"/>
      <c r="HWH46" s="100"/>
      <c r="HWI46" s="100"/>
      <c r="HWJ46" s="100"/>
      <c r="HWK46" s="100"/>
      <c r="HWL46" s="100"/>
      <c r="HWM46" s="100"/>
      <c r="HWN46" s="100"/>
      <c r="HWO46" s="100"/>
      <c r="HWP46" s="100"/>
      <c r="HWQ46" s="100"/>
      <c r="HWR46" s="100"/>
      <c r="HWS46" s="100"/>
      <c r="HWT46" s="100"/>
      <c r="HWU46" s="100"/>
      <c r="HWV46" s="100"/>
      <c r="HWW46" s="100"/>
      <c r="HWX46" s="100"/>
      <c r="HWY46" s="100"/>
      <c r="HWZ46" s="100"/>
      <c r="HXA46" s="100"/>
      <c r="HXB46" s="100"/>
      <c r="HXC46" s="100"/>
      <c r="HXD46" s="100"/>
      <c r="HXE46" s="100"/>
      <c r="HXF46" s="100"/>
      <c r="HXG46" s="100"/>
      <c r="HXH46" s="100"/>
      <c r="HXI46" s="100"/>
      <c r="HXJ46" s="100"/>
      <c r="HXK46" s="100"/>
      <c r="HXL46" s="100"/>
      <c r="HXM46" s="100"/>
      <c r="HXN46" s="100"/>
      <c r="HXO46" s="100"/>
      <c r="HXP46" s="100"/>
      <c r="HXQ46" s="100"/>
      <c r="HXR46" s="100"/>
      <c r="HXS46" s="100"/>
      <c r="HXT46" s="100"/>
      <c r="HXU46" s="100"/>
      <c r="HXV46" s="100"/>
      <c r="HXW46" s="100"/>
      <c r="HXX46" s="100"/>
      <c r="HXY46" s="100"/>
      <c r="HXZ46" s="100"/>
      <c r="HYA46" s="100"/>
      <c r="HYB46" s="100"/>
      <c r="HYC46" s="100"/>
      <c r="HYD46" s="100"/>
      <c r="HYE46" s="100"/>
      <c r="HYF46" s="100"/>
      <c r="HYG46" s="100"/>
      <c r="HYH46" s="100"/>
      <c r="HYI46" s="100"/>
      <c r="HYJ46" s="100"/>
      <c r="HYK46" s="100"/>
      <c r="HYL46" s="100"/>
      <c r="HYM46" s="100"/>
      <c r="HYN46" s="100"/>
      <c r="HYO46" s="100"/>
      <c r="HYP46" s="100"/>
      <c r="HYQ46" s="100"/>
      <c r="HYR46" s="100"/>
      <c r="HYS46" s="100"/>
      <c r="HYT46" s="100"/>
      <c r="HYU46" s="100"/>
      <c r="HYV46" s="100"/>
      <c r="HYW46" s="100"/>
      <c r="HYX46" s="100"/>
      <c r="HYY46" s="100"/>
      <c r="HYZ46" s="100"/>
      <c r="HZA46" s="100"/>
      <c r="HZB46" s="100"/>
      <c r="HZC46" s="100"/>
      <c r="HZD46" s="100"/>
      <c r="HZE46" s="100"/>
      <c r="HZF46" s="100"/>
      <c r="HZG46" s="100"/>
      <c r="HZH46" s="100"/>
      <c r="HZI46" s="100"/>
      <c r="HZJ46" s="100"/>
      <c r="HZK46" s="100"/>
      <c r="HZL46" s="100"/>
      <c r="HZM46" s="100"/>
      <c r="HZN46" s="100"/>
      <c r="HZO46" s="100"/>
      <c r="HZP46" s="100"/>
      <c r="HZQ46" s="100"/>
      <c r="HZR46" s="100"/>
      <c r="HZS46" s="100"/>
      <c r="HZT46" s="100"/>
      <c r="HZU46" s="100"/>
      <c r="HZV46" s="100"/>
      <c r="HZW46" s="100"/>
      <c r="HZX46" s="100"/>
      <c r="HZY46" s="100"/>
      <c r="HZZ46" s="100"/>
      <c r="IAA46" s="100"/>
      <c r="IAB46" s="100"/>
      <c r="IAC46" s="100"/>
      <c r="IAD46" s="100"/>
      <c r="IAE46" s="100"/>
      <c r="IAF46" s="100"/>
      <c r="IAG46" s="100"/>
      <c r="IAH46" s="100"/>
      <c r="IAI46" s="100"/>
      <c r="IAJ46" s="100"/>
      <c r="IAK46" s="100"/>
      <c r="IAL46" s="100"/>
      <c r="IAM46" s="100"/>
      <c r="IAN46" s="100"/>
      <c r="IAO46" s="100"/>
      <c r="IAP46" s="100"/>
      <c r="IAQ46" s="100"/>
      <c r="IAR46" s="100"/>
      <c r="IAS46" s="100"/>
      <c r="IAT46" s="100"/>
      <c r="IAU46" s="100"/>
      <c r="IAV46" s="100"/>
      <c r="IAW46" s="100"/>
      <c r="IAX46" s="100"/>
      <c r="IAY46" s="100"/>
      <c r="IAZ46" s="100"/>
      <c r="IBA46" s="100"/>
      <c r="IBB46" s="100"/>
      <c r="IBC46" s="100"/>
      <c r="IBD46" s="100"/>
      <c r="IBE46" s="100"/>
      <c r="IBF46" s="100"/>
      <c r="IBG46" s="100"/>
      <c r="IBH46" s="100"/>
      <c r="IBI46" s="100"/>
      <c r="IBJ46" s="100"/>
      <c r="IBK46" s="100"/>
      <c r="IBL46" s="100"/>
      <c r="IBM46" s="100"/>
      <c r="IBN46" s="100"/>
      <c r="IBO46" s="100"/>
      <c r="IBP46" s="100"/>
      <c r="IBQ46" s="100"/>
      <c r="IBR46" s="100"/>
      <c r="IBS46" s="100"/>
      <c r="IBT46" s="100"/>
      <c r="IBU46" s="100"/>
      <c r="IBV46" s="100"/>
      <c r="IBW46" s="100"/>
      <c r="IBX46" s="100"/>
      <c r="IBY46" s="100"/>
      <c r="IBZ46" s="100"/>
      <c r="ICA46" s="100"/>
      <c r="ICB46" s="100"/>
      <c r="ICC46" s="100"/>
      <c r="ICD46" s="100"/>
      <c r="ICE46" s="100"/>
      <c r="ICF46" s="100"/>
      <c r="ICG46" s="100"/>
      <c r="ICH46" s="100"/>
      <c r="ICI46" s="100"/>
      <c r="ICJ46" s="100"/>
      <c r="ICK46" s="100"/>
      <c r="ICL46" s="100"/>
      <c r="ICM46" s="100"/>
      <c r="ICN46" s="100"/>
      <c r="ICO46" s="100"/>
      <c r="ICP46" s="100"/>
      <c r="ICQ46" s="100"/>
      <c r="ICR46" s="100"/>
      <c r="ICS46" s="100"/>
      <c r="ICT46" s="100"/>
      <c r="ICU46" s="100"/>
      <c r="ICV46" s="100"/>
      <c r="ICW46" s="100"/>
      <c r="ICX46" s="100"/>
      <c r="ICY46" s="100"/>
      <c r="ICZ46" s="100"/>
      <c r="IDA46" s="100"/>
      <c r="IDB46" s="100"/>
      <c r="IDC46" s="100"/>
      <c r="IDD46" s="100"/>
      <c r="IDE46" s="100"/>
      <c r="IDF46" s="100"/>
      <c r="IDG46" s="100"/>
      <c r="IDH46" s="100"/>
      <c r="IDI46" s="100"/>
      <c r="IDJ46" s="100"/>
      <c r="IDK46" s="100"/>
      <c r="IDL46" s="100"/>
      <c r="IDM46" s="100"/>
      <c r="IDN46" s="100"/>
      <c r="IDO46" s="100"/>
      <c r="IDP46" s="100"/>
      <c r="IDQ46" s="100"/>
      <c r="IDR46" s="100"/>
      <c r="IDS46" s="100"/>
      <c r="IDT46" s="100"/>
      <c r="IDU46" s="100"/>
      <c r="IDV46" s="100"/>
      <c r="IDW46" s="100"/>
      <c r="IDX46" s="100"/>
      <c r="IDY46" s="100"/>
      <c r="IDZ46" s="100"/>
      <c r="IEA46" s="100"/>
      <c r="IEB46" s="100"/>
      <c r="IEC46" s="100"/>
      <c r="IED46" s="100"/>
      <c r="IEE46" s="100"/>
      <c r="IEF46" s="100"/>
      <c r="IEG46" s="100"/>
      <c r="IEH46" s="100"/>
      <c r="IEI46" s="100"/>
      <c r="IEJ46" s="100"/>
      <c r="IEK46" s="100"/>
      <c r="IEL46" s="100"/>
      <c r="IEM46" s="100"/>
      <c r="IEN46" s="100"/>
      <c r="IEO46" s="100"/>
      <c r="IEP46" s="100"/>
      <c r="IEQ46" s="100"/>
      <c r="IER46" s="100"/>
      <c r="IES46" s="100"/>
      <c r="IET46" s="100"/>
      <c r="IEU46" s="100"/>
      <c r="IEV46" s="100"/>
      <c r="IEW46" s="100"/>
      <c r="IEX46" s="100"/>
      <c r="IEY46" s="100"/>
      <c r="IEZ46" s="100"/>
      <c r="IFA46" s="100"/>
      <c r="IFB46" s="100"/>
      <c r="IFC46" s="100"/>
      <c r="IFD46" s="100"/>
      <c r="IFE46" s="100"/>
      <c r="IFF46" s="100"/>
      <c r="IFG46" s="100"/>
      <c r="IFH46" s="100"/>
      <c r="IFI46" s="100"/>
      <c r="IFJ46" s="100"/>
      <c r="IFK46" s="100"/>
      <c r="IFL46" s="100"/>
      <c r="IFM46" s="100"/>
      <c r="IFN46" s="100"/>
      <c r="IFO46" s="100"/>
      <c r="IFP46" s="100"/>
      <c r="IFQ46" s="100"/>
      <c r="IFR46" s="100"/>
      <c r="IFS46" s="100"/>
      <c r="IFT46" s="100"/>
      <c r="IFU46" s="100"/>
      <c r="IFV46" s="100"/>
      <c r="IFW46" s="100"/>
      <c r="IFX46" s="100"/>
      <c r="IFY46" s="100"/>
      <c r="IFZ46" s="100"/>
      <c r="IGA46" s="100"/>
      <c r="IGB46" s="100"/>
      <c r="IGC46" s="100"/>
      <c r="IGD46" s="100"/>
      <c r="IGE46" s="100"/>
      <c r="IGF46" s="100"/>
      <c r="IGG46" s="100"/>
      <c r="IGH46" s="100"/>
      <c r="IGI46" s="100"/>
      <c r="IGJ46" s="100"/>
      <c r="IGK46" s="100"/>
      <c r="IGL46" s="100"/>
      <c r="IGM46" s="100"/>
      <c r="IGN46" s="100"/>
      <c r="IGO46" s="100"/>
      <c r="IGP46" s="100"/>
      <c r="IGQ46" s="100"/>
      <c r="IGR46" s="100"/>
      <c r="IGS46" s="100"/>
      <c r="IGT46" s="100"/>
      <c r="IGU46" s="100"/>
      <c r="IGV46" s="100"/>
      <c r="IGW46" s="100"/>
      <c r="IGX46" s="100"/>
      <c r="IGY46" s="100"/>
      <c r="IGZ46" s="100"/>
      <c r="IHA46" s="100"/>
      <c r="IHB46" s="100"/>
      <c r="IHC46" s="100"/>
      <c r="IHD46" s="100"/>
      <c r="IHE46" s="100"/>
      <c r="IHF46" s="100"/>
      <c r="IHG46" s="100"/>
      <c r="IHH46" s="100"/>
      <c r="IHI46" s="100"/>
      <c r="IHJ46" s="100"/>
      <c r="IHK46" s="100"/>
      <c r="IHL46" s="100"/>
      <c r="IHM46" s="100"/>
      <c r="IHN46" s="100"/>
      <c r="IHO46" s="100"/>
      <c r="IHP46" s="100"/>
      <c r="IHQ46" s="100"/>
      <c r="IHR46" s="100"/>
      <c r="IHS46" s="100"/>
      <c r="IHT46" s="100"/>
      <c r="IHU46" s="100"/>
      <c r="IHV46" s="100"/>
      <c r="IHW46" s="100"/>
      <c r="IHX46" s="100"/>
      <c r="IHY46" s="100"/>
      <c r="IHZ46" s="100"/>
      <c r="IIA46" s="100"/>
      <c r="IIB46" s="100"/>
      <c r="IIC46" s="100"/>
      <c r="IID46" s="100"/>
      <c r="IIE46" s="100"/>
      <c r="IIF46" s="100"/>
      <c r="IIG46" s="100"/>
      <c r="IIH46" s="100"/>
      <c r="III46" s="100"/>
      <c r="IIJ46" s="100"/>
      <c r="IIK46" s="100"/>
      <c r="IIL46" s="100"/>
      <c r="IIM46" s="100"/>
      <c r="IIN46" s="100"/>
      <c r="IIO46" s="100"/>
      <c r="IIP46" s="100"/>
      <c r="IIQ46" s="100"/>
      <c r="IIR46" s="100"/>
      <c r="IIS46" s="100"/>
      <c r="IIT46" s="100"/>
      <c r="IIU46" s="100"/>
      <c r="IIV46" s="100"/>
      <c r="IIW46" s="100"/>
      <c r="IIX46" s="100"/>
      <c r="IIY46" s="100"/>
      <c r="IIZ46" s="100"/>
      <c r="IJA46" s="100"/>
      <c r="IJB46" s="100"/>
      <c r="IJC46" s="100"/>
      <c r="IJD46" s="100"/>
      <c r="IJE46" s="100"/>
      <c r="IJF46" s="100"/>
      <c r="IJG46" s="100"/>
      <c r="IJH46" s="100"/>
      <c r="IJI46" s="100"/>
      <c r="IJJ46" s="100"/>
      <c r="IJK46" s="100"/>
      <c r="IJL46" s="100"/>
      <c r="IJM46" s="100"/>
      <c r="IJN46" s="100"/>
      <c r="IJO46" s="100"/>
      <c r="IJP46" s="100"/>
      <c r="IJQ46" s="100"/>
      <c r="IJR46" s="100"/>
      <c r="IJS46" s="100"/>
      <c r="IJT46" s="100"/>
      <c r="IJU46" s="100"/>
      <c r="IJV46" s="100"/>
      <c r="IJW46" s="100"/>
      <c r="IJX46" s="100"/>
      <c r="IJY46" s="100"/>
      <c r="IJZ46" s="100"/>
      <c r="IKA46" s="100"/>
      <c r="IKB46" s="100"/>
      <c r="IKC46" s="100"/>
      <c r="IKD46" s="100"/>
      <c r="IKE46" s="100"/>
      <c r="IKF46" s="100"/>
      <c r="IKG46" s="100"/>
      <c r="IKH46" s="100"/>
      <c r="IKI46" s="100"/>
      <c r="IKJ46" s="100"/>
      <c r="IKK46" s="100"/>
      <c r="IKL46" s="100"/>
      <c r="IKM46" s="100"/>
      <c r="IKN46" s="100"/>
      <c r="IKO46" s="100"/>
      <c r="IKP46" s="100"/>
      <c r="IKQ46" s="100"/>
      <c r="IKR46" s="100"/>
      <c r="IKS46" s="100"/>
      <c r="IKT46" s="100"/>
      <c r="IKU46" s="100"/>
      <c r="IKV46" s="100"/>
      <c r="IKW46" s="100"/>
      <c r="IKX46" s="100"/>
      <c r="IKY46" s="100"/>
      <c r="IKZ46" s="100"/>
      <c r="ILA46" s="100"/>
      <c r="ILB46" s="100"/>
      <c r="ILC46" s="100"/>
      <c r="ILD46" s="100"/>
      <c r="ILE46" s="100"/>
      <c r="ILF46" s="100"/>
      <c r="ILG46" s="100"/>
      <c r="ILH46" s="100"/>
      <c r="ILI46" s="100"/>
      <c r="ILJ46" s="100"/>
      <c r="ILK46" s="100"/>
      <c r="ILL46" s="100"/>
      <c r="ILM46" s="100"/>
      <c r="ILN46" s="100"/>
      <c r="ILO46" s="100"/>
      <c r="ILP46" s="100"/>
      <c r="ILQ46" s="100"/>
      <c r="ILR46" s="100"/>
      <c r="ILS46" s="100"/>
      <c r="ILT46" s="100"/>
      <c r="ILU46" s="100"/>
      <c r="ILV46" s="100"/>
      <c r="ILW46" s="100"/>
      <c r="ILX46" s="100"/>
      <c r="ILY46" s="100"/>
      <c r="ILZ46" s="100"/>
      <c r="IMA46" s="100"/>
      <c r="IMB46" s="100"/>
      <c r="IMC46" s="100"/>
      <c r="IMD46" s="100"/>
      <c r="IME46" s="100"/>
      <c r="IMF46" s="100"/>
      <c r="IMG46" s="100"/>
      <c r="IMH46" s="100"/>
      <c r="IMI46" s="100"/>
      <c r="IMJ46" s="100"/>
      <c r="IMK46" s="100"/>
      <c r="IML46" s="100"/>
      <c r="IMM46" s="100"/>
      <c r="IMN46" s="100"/>
      <c r="IMO46" s="100"/>
      <c r="IMP46" s="100"/>
      <c r="IMQ46" s="100"/>
      <c r="IMR46" s="100"/>
      <c r="IMS46" s="100"/>
      <c r="IMT46" s="100"/>
      <c r="IMU46" s="100"/>
      <c r="IMV46" s="100"/>
      <c r="IMW46" s="100"/>
      <c r="IMX46" s="100"/>
      <c r="IMY46" s="100"/>
      <c r="IMZ46" s="100"/>
      <c r="INA46" s="100"/>
      <c r="INB46" s="100"/>
      <c r="INC46" s="100"/>
      <c r="IND46" s="100"/>
      <c r="INE46" s="100"/>
      <c r="INF46" s="100"/>
      <c r="ING46" s="100"/>
      <c r="INH46" s="100"/>
      <c r="INI46" s="100"/>
      <c r="INJ46" s="100"/>
      <c r="INK46" s="100"/>
      <c r="INL46" s="100"/>
      <c r="INM46" s="100"/>
      <c r="INN46" s="100"/>
      <c r="INO46" s="100"/>
      <c r="INP46" s="100"/>
      <c r="INQ46" s="100"/>
      <c r="INR46" s="100"/>
      <c r="INS46" s="100"/>
      <c r="INT46" s="100"/>
      <c r="INU46" s="100"/>
      <c r="INV46" s="100"/>
      <c r="INW46" s="100"/>
      <c r="INX46" s="100"/>
      <c r="INY46" s="100"/>
      <c r="INZ46" s="100"/>
      <c r="IOA46" s="100"/>
      <c r="IOB46" s="100"/>
      <c r="IOC46" s="100"/>
      <c r="IOD46" s="100"/>
      <c r="IOE46" s="100"/>
      <c r="IOF46" s="100"/>
      <c r="IOG46" s="100"/>
      <c r="IOH46" s="100"/>
      <c r="IOI46" s="100"/>
      <c r="IOJ46" s="100"/>
      <c r="IOK46" s="100"/>
      <c r="IOL46" s="100"/>
      <c r="IOM46" s="100"/>
      <c r="ION46" s="100"/>
      <c r="IOO46" s="100"/>
      <c r="IOP46" s="100"/>
      <c r="IOQ46" s="100"/>
      <c r="IOR46" s="100"/>
      <c r="IOS46" s="100"/>
      <c r="IOT46" s="100"/>
      <c r="IOU46" s="100"/>
      <c r="IOV46" s="100"/>
      <c r="IOW46" s="100"/>
      <c r="IOX46" s="100"/>
      <c r="IOY46" s="100"/>
      <c r="IOZ46" s="100"/>
      <c r="IPA46" s="100"/>
      <c r="IPB46" s="100"/>
      <c r="IPC46" s="100"/>
      <c r="IPD46" s="100"/>
      <c r="IPE46" s="100"/>
      <c r="IPF46" s="100"/>
      <c r="IPG46" s="100"/>
      <c r="IPH46" s="100"/>
      <c r="IPI46" s="100"/>
      <c r="IPJ46" s="100"/>
      <c r="IPK46" s="100"/>
      <c r="IPL46" s="100"/>
      <c r="IPM46" s="100"/>
      <c r="IPN46" s="100"/>
      <c r="IPO46" s="100"/>
      <c r="IPP46" s="100"/>
      <c r="IPQ46" s="100"/>
      <c r="IPR46" s="100"/>
      <c r="IPS46" s="100"/>
      <c r="IPT46" s="100"/>
      <c r="IPU46" s="100"/>
      <c r="IPV46" s="100"/>
      <c r="IPW46" s="100"/>
      <c r="IPX46" s="100"/>
      <c r="IPY46" s="100"/>
      <c r="IPZ46" s="100"/>
      <c r="IQA46" s="100"/>
      <c r="IQB46" s="100"/>
      <c r="IQC46" s="100"/>
      <c r="IQD46" s="100"/>
      <c r="IQE46" s="100"/>
      <c r="IQF46" s="100"/>
      <c r="IQG46" s="100"/>
      <c r="IQH46" s="100"/>
      <c r="IQI46" s="100"/>
      <c r="IQJ46" s="100"/>
      <c r="IQK46" s="100"/>
      <c r="IQL46" s="100"/>
      <c r="IQM46" s="100"/>
      <c r="IQN46" s="100"/>
      <c r="IQO46" s="100"/>
      <c r="IQP46" s="100"/>
      <c r="IQQ46" s="100"/>
      <c r="IQR46" s="100"/>
      <c r="IQS46" s="100"/>
      <c r="IQT46" s="100"/>
      <c r="IQU46" s="100"/>
      <c r="IQV46" s="100"/>
      <c r="IQW46" s="100"/>
      <c r="IQX46" s="100"/>
      <c r="IQY46" s="100"/>
      <c r="IQZ46" s="100"/>
      <c r="IRA46" s="100"/>
      <c r="IRB46" s="100"/>
      <c r="IRC46" s="100"/>
      <c r="IRD46" s="100"/>
      <c r="IRE46" s="100"/>
      <c r="IRF46" s="100"/>
      <c r="IRG46" s="100"/>
      <c r="IRH46" s="100"/>
      <c r="IRI46" s="100"/>
      <c r="IRJ46" s="100"/>
      <c r="IRK46" s="100"/>
      <c r="IRL46" s="100"/>
      <c r="IRM46" s="100"/>
      <c r="IRN46" s="100"/>
      <c r="IRO46" s="100"/>
      <c r="IRP46" s="100"/>
      <c r="IRQ46" s="100"/>
      <c r="IRR46" s="100"/>
      <c r="IRS46" s="100"/>
      <c r="IRT46" s="100"/>
      <c r="IRU46" s="100"/>
      <c r="IRV46" s="100"/>
      <c r="IRW46" s="100"/>
      <c r="IRX46" s="100"/>
      <c r="IRY46" s="100"/>
      <c r="IRZ46" s="100"/>
      <c r="ISA46" s="100"/>
      <c r="ISB46" s="100"/>
      <c r="ISC46" s="100"/>
      <c r="ISD46" s="100"/>
      <c r="ISE46" s="100"/>
      <c r="ISF46" s="100"/>
      <c r="ISG46" s="100"/>
      <c r="ISH46" s="100"/>
      <c r="ISI46" s="100"/>
      <c r="ISJ46" s="100"/>
      <c r="ISK46" s="100"/>
      <c r="ISL46" s="100"/>
      <c r="ISM46" s="100"/>
      <c r="ISN46" s="100"/>
      <c r="ISO46" s="100"/>
      <c r="ISP46" s="100"/>
      <c r="ISQ46" s="100"/>
      <c r="ISR46" s="100"/>
      <c r="ISS46" s="100"/>
      <c r="IST46" s="100"/>
      <c r="ISU46" s="100"/>
      <c r="ISV46" s="100"/>
      <c r="ISW46" s="100"/>
      <c r="ISX46" s="100"/>
      <c r="ISY46" s="100"/>
      <c r="ISZ46" s="100"/>
      <c r="ITA46" s="100"/>
      <c r="ITB46" s="100"/>
      <c r="ITC46" s="100"/>
      <c r="ITD46" s="100"/>
      <c r="ITE46" s="100"/>
      <c r="ITF46" s="100"/>
      <c r="ITG46" s="100"/>
      <c r="ITH46" s="100"/>
      <c r="ITI46" s="100"/>
      <c r="ITJ46" s="100"/>
      <c r="ITK46" s="100"/>
      <c r="ITL46" s="100"/>
      <c r="ITM46" s="100"/>
      <c r="ITN46" s="100"/>
      <c r="ITO46" s="100"/>
      <c r="ITP46" s="100"/>
      <c r="ITQ46" s="100"/>
      <c r="ITR46" s="100"/>
      <c r="ITS46" s="100"/>
      <c r="ITT46" s="100"/>
      <c r="ITU46" s="100"/>
      <c r="ITV46" s="100"/>
      <c r="ITW46" s="100"/>
      <c r="ITX46" s="100"/>
      <c r="ITY46" s="100"/>
      <c r="ITZ46" s="100"/>
      <c r="IUA46" s="100"/>
      <c r="IUB46" s="100"/>
      <c r="IUC46" s="100"/>
      <c r="IUD46" s="100"/>
      <c r="IUE46" s="100"/>
      <c r="IUF46" s="100"/>
      <c r="IUG46" s="100"/>
      <c r="IUH46" s="100"/>
      <c r="IUI46" s="100"/>
      <c r="IUJ46" s="100"/>
      <c r="IUK46" s="100"/>
      <c r="IUL46" s="100"/>
      <c r="IUM46" s="100"/>
      <c r="IUN46" s="100"/>
      <c r="IUO46" s="100"/>
      <c r="IUP46" s="100"/>
      <c r="IUQ46" s="100"/>
      <c r="IUR46" s="100"/>
      <c r="IUS46" s="100"/>
      <c r="IUT46" s="100"/>
      <c r="IUU46" s="100"/>
      <c r="IUV46" s="100"/>
      <c r="IUW46" s="100"/>
      <c r="IUX46" s="100"/>
      <c r="IUY46" s="100"/>
      <c r="IUZ46" s="100"/>
      <c r="IVA46" s="100"/>
      <c r="IVB46" s="100"/>
      <c r="IVC46" s="100"/>
      <c r="IVD46" s="100"/>
      <c r="IVE46" s="100"/>
      <c r="IVF46" s="100"/>
      <c r="IVG46" s="100"/>
      <c r="IVH46" s="100"/>
      <c r="IVI46" s="100"/>
      <c r="IVJ46" s="100"/>
      <c r="IVK46" s="100"/>
      <c r="IVL46" s="100"/>
      <c r="IVM46" s="100"/>
      <c r="IVN46" s="100"/>
      <c r="IVO46" s="100"/>
      <c r="IVP46" s="100"/>
      <c r="IVQ46" s="100"/>
      <c r="IVR46" s="100"/>
      <c r="IVS46" s="100"/>
      <c r="IVT46" s="100"/>
      <c r="IVU46" s="100"/>
      <c r="IVV46" s="100"/>
      <c r="IVW46" s="100"/>
      <c r="IVX46" s="100"/>
      <c r="IVY46" s="100"/>
      <c r="IVZ46" s="100"/>
      <c r="IWA46" s="100"/>
      <c r="IWB46" s="100"/>
      <c r="IWC46" s="100"/>
      <c r="IWD46" s="100"/>
      <c r="IWE46" s="100"/>
      <c r="IWF46" s="100"/>
      <c r="IWG46" s="100"/>
      <c r="IWH46" s="100"/>
      <c r="IWI46" s="100"/>
      <c r="IWJ46" s="100"/>
      <c r="IWK46" s="100"/>
      <c r="IWL46" s="100"/>
      <c r="IWM46" s="100"/>
      <c r="IWN46" s="100"/>
      <c r="IWO46" s="100"/>
      <c r="IWP46" s="100"/>
      <c r="IWQ46" s="100"/>
      <c r="IWR46" s="100"/>
      <c r="IWS46" s="100"/>
      <c r="IWT46" s="100"/>
      <c r="IWU46" s="100"/>
      <c r="IWV46" s="100"/>
      <c r="IWW46" s="100"/>
      <c r="IWX46" s="100"/>
      <c r="IWY46" s="100"/>
      <c r="IWZ46" s="100"/>
      <c r="IXA46" s="100"/>
      <c r="IXB46" s="100"/>
      <c r="IXC46" s="100"/>
      <c r="IXD46" s="100"/>
      <c r="IXE46" s="100"/>
      <c r="IXF46" s="100"/>
      <c r="IXG46" s="100"/>
      <c r="IXH46" s="100"/>
      <c r="IXI46" s="100"/>
      <c r="IXJ46" s="100"/>
      <c r="IXK46" s="100"/>
      <c r="IXL46" s="100"/>
      <c r="IXM46" s="100"/>
      <c r="IXN46" s="100"/>
      <c r="IXO46" s="100"/>
      <c r="IXP46" s="100"/>
      <c r="IXQ46" s="100"/>
      <c r="IXR46" s="100"/>
      <c r="IXS46" s="100"/>
      <c r="IXT46" s="100"/>
      <c r="IXU46" s="100"/>
      <c r="IXV46" s="100"/>
      <c r="IXW46" s="100"/>
      <c r="IXX46" s="100"/>
      <c r="IXY46" s="100"/>
      <c r="IXZ46" s="100"/>
      <c r="IYA46" s="100"/>
      <c r="IYB46" s="100"/>
      <c r="IYC46" s="100"/>
      <c r="IYD46" s="100"/>
      <c r="IYE46" s="100"/>
      <c r="IYF46" s="100"/>
      <c r="IYG46" s="100"/>
      <c r="IYH46" s="100"/>
      <c r="IYI46" s="100"/>
      <c r="IYJ46" s="100"/>
      <c r="IYK46" s="100"/>
      <c r="IYL46" s="100"/>
      <c r="IYM46" s="100"/>
      <c r="IYN46" s="100"/>
      <c r="IYO46" s="100"/>
      <c r="IYP46" s="100"/>
      <c r="IYQ46" s="100"/>
      <c r="IYR46" s="100"/>
      <c r="IYS46" s="100"/>
      <c r="IYT46" s="100"/>
      <c r="IYU46" s="100"/>
      <c r="IYV46" s="100"/>
      <c r="IYW46" s="100"/>
      <c r="IYX46" s="100"/>
      <c r="IYY46" s="100"/>
      <c r="IYZ46" s="100"/>
      <c r="IZA46" s="100"/>
      <c r="IZB46" s="100"/>
      <c r="IZC46" s="100"/>
      <c r="IZD46" s="100"/>
      <c r="IZE46" s="100"/>
      <c r="IZF46" s="100"/>
      <c r="IZG46" s="100"/>
      <c r="IZH46" s="100"/>
      <c r="IZI46" s="100"/>
      <c r="IZJ46" s="100"/>
      <c r="IZK46" s="100"/>
      <c r="IZL46" s="100"/>
      <c r="IZM46" s="100"/>
      <c r="IZN46" s="100"/>
      <c r="IZO46" s="100"/>
      <c r="IZP46" s="100"/>
      <c r="IZQ46" s="100"/>
      <c r="IZR46" s="100"/>
      <c r="IZS46" s="100"/>
      <c r="IZT46" s="100"/>
      <c r="IZU46" s="100"/>
      <c r="IZV46" s="100"/>
      <c r="IZW46" s="100"/>
      <c r="IZX46" s="100"/>
      <c r="IZY46" s="100"/>
      <c r="IZZ46" s="100"/>
      <c r="JAA46" s="100"/>
      <c r="JAB46" s="100"/>
      <c r="JAC46" s="100"/>
      <c r="JAD46" s="100"/>
      <c r="JAE46" s="100"/>
      <c r="JAF46" s="100"/>
      <c r="JAG46" s="100"/>
      <c r="JAH46" s="100"/>
      <c r="JAI46" s="100"/>
      <c r="JAJ46" s="100"/>
      <c r="JAK46" s="100"/>
      <c r="JAL46" s="100"/>
      <c r="JAM46" s="100"/>
      <c r="JAN46" s="100"/>
      <c r="JAO46" s="100"/>
      <c r="JAP46" s="100"/>
      <c r="JAQ46" s="100"/>
      <c r="JAR46" s="100"/>
      <c r="JAS46" s="100"/>
      <c r="JAT46" s="100"/>
      <c r="JAU46" s="100"/>
      <c r="JAV46" s="100"/>
      <c r="JAW46" s="100"/>
      <c r="JAX46" s="100"/>
      <c r="JAY46" s="100"/>
      <c r="JAZ46" s="100"/>
      <c r="JBA46" s="100"/>
      <c r="JBB46" s="100"/>
      <c r="JBC46" s="100"/>
      <c r="JBD46" s="100"/>
      <c r="JBE46" s="100"/>
      <c r="JBF46" s="100"/>
      <c r="JBG46" s="100"/>
      <c r="JBH46" s="100"/>
      <c r="JBI46" s="100"/>
      <c r="JBJ46" s="100"/>
      <c r="JBK46" s="100"/>
      <c r="JBL46" s="100"/>
      <c r="JBM46" s="100"/>
      <c r="JBN46" s="100"/>
      <c r="JBO46" s="100"/>
      <c r="JBP46" s="100"/>
      <c r="JBQ46" s="100"/>
      <c r="JBR46" s="100"/>
      <c r="JBS46" s="100"/>
      <c r="JBT46" s="100"/>
      <c r="JBU46" s="100"/>
      <c r="JBV46" s="100"/>
      <c r="JBW46" s="100"/>
      <c r="JBX46" s="100"/>
      <c r="JBY46" s="100"/>
      <c r="JBZ46" s="100"/>
      <c r="JCA46" s="100"/>
      <c r="JCB46" s="100"/>
      <c r="JCC46" s="100"/>
      <c r="JCD46" s="100"/>
      <c r="JCE46" s="100"/>
      <c r="JCF46" s="100"/>
      <c r="JCG46" s="100"/>
      <c r="JCH46" s="100"/>
      <c r="JCI46" s="100"/>
      <c r="JCJ46" s="100"/>
      <c r="JCK46" s="100"/>
      <c r="JCL46" s="100"/>
      <c r="JCM46" s="100"/>
      <c r="JCN46" s="100"/>
      <c r="JCO46" s="100"/>
      <c r="JCP46" s="100"/>
      <c r="JCQ46" s="100"/>
      <c r="JCR46" s="100"/>
      <c r="JCS46" s="100"/>
      <c r="JCT46" s="100"/>
      <c r="JCU46" s="100"/>
      <c r="JCV46" s="100"/>
      <c r="JCW46" s="100"/>
      <c r="JCX46" s="100"/>
      <c r="JCY46" s="100"/>
      <c r="JCZ46" s="100"/>
      <c r="JDA46" s="100"/>
      <c r="JDB46" s="100"/>
      <c r="JDC46" s="100"/>
      <c r="JDD46" s="100"/>
      <c r="JDE46" s="100"/>
      <c r="JDF46" s="100"/>
      <c r="JDG46" s="100"/>
      <c r="JDH46" s="100"/>
      <c r="JDI46" s="100"/>
      <c r="JDJ46" s="100"/>
      <c r="JDK46" s="100"/>
      <c r="JDL46" s="100"/>
      <c r="JDM46" s="100"/>
      <c r="JDN46" s="100"/>
      <c r="JDO46" s="100"/>
      <c r="JDP46" s="100"/>
      <c r="JDQ46" s="100"/>
      <c r="JDR46" s="100"/>
      <c r="JDS46" s="100"/>
      <c r="JDT46" s="100"/>
      <c r="JDU46" s="100"/>
      <c r="JDV46" s="100"/>
      <c r="JDW46" s="100"/>
      <c r="JDX46" s="100"/>
      <c r="JDY46" s="100"/>
      <c r="JDZ46" s="100"/>
      <c r="JEA46" s="100"/>
      <c r="JEB46" s="100"/>
      <c r="JEC46" s="100"/>
      <c r="JED46" s="100"/>
      <c r="JEE46" s="100"/>
      <c r="JEF46" s="100"/>
      <c r="JEG46" s="100"/>
      <c r="JEH46" s="100"/>
      <c r="JEI46" s="100"/>
      <c r="JEJ46" s="100"/>
      <c r="JEK46" s="100"/>
      <c r="JEL46" s="100"/>
      <c r="JEM46" s="100"/>
      <c r="JEN46" s="100"/>
      <c r="JEO46" s="100"/>
      <c r="JEP46" s="100"/>
      <c r="JEQ46" s="100"/>
      <c r="JER46" s="100"/>
      <c r="JES46" s="100"/>
      <c r="JET46" s="100"/>
      <c r="JEU46" s="100"/>
      <c r="JEV46" s="100"/>
      <c r="JEW46" s="100"/>
      <c r="JEX46" s="100"/>
      <c r="JEY46" s="100"/>
      <c r="JEZ46" s="100"/>
      <c r="JFA46" s="100"/>
      <c r="JFB46" s="100"/>
      <c r="JFC46" s="100"/>
      <c r="JFD46" s="100"/>
      <c r="JFE46" s="100"/>
      <c r="JFF46" s="100"/>
      <c r="JFG46" s="100"/>
      <c r="JFH46" s="100"/>
      <c r="JFI46" s="100"/>
      <c r="JFJ46" s="100"/>
      <c r="JFK46" s="100"/>
      <c r="JFL46" s="100"/>
      <c r="JFM46" s="100"/>
      <c r="JFN46" s="100"/>
      <c r="JFO46" s="100"/>
      <c r="JFP46" s="100"/>
      <c r="JFQ46" s="100"/>
      <c r="JFR46" s="100"/>
      <c r="JFS46" s="100"/>
      <c r="JFT46" s="100"/>
      <c r="JFU46" s="100"/>
      <c r="JFV46" s="100"/>
      <c r="JFW46" s="100"/>
      <c r="JFX46" s="100"/>
      <c r="JFY46" s="100"/>
      <c r="JFZ46" s="100"/>
      <c r="JGA46" s="100"/>
      <c r="JGB46" s="100"/>
      <c r="JGC46" s="100"/>
      <c r="JGD46" s="100"/>
      <c r="JGE46" s="100"/>
      <c r="JGF46" s="100"/>
      <c r="JGG46" s="100"/>
      <c r="JGH46" s="100"/>
      <c r="JGI46" s="100"/>
      <c r="JGJ46" s="100"/>
      <c r="JGK46" s="100"/>
      <c r="JGL46" s="100"/>
      <c r="JGM46" s="100"/>
      <c r="JGN46" s="100"/>
      <c r="JGO46" s="100"/>
      <c r="JGP46" s="100"/>
      <c r="JGQ46" s="100"/>
      <c r="JGR46" s="100"/>
      <c r="JGS46" s="100"/>
      <c r="JGT46" s="100"/>
      <c r="JGU46" s="100"/>
      <c r="JGV46" s="100"/>
      <c r="JGW46" s="100"/>
      <c r="JGX46" s="100"/>
      <c r="JGY46" s="100"/>
      <c r="JGZ46" s="100"/>
      <c r="JHA46" s="100"/>
      <c r="JHB46" s="100"/>
      <c r="JHC46" s="100"/>
      <c r="JHD46" s="100"/>
      <c r="JHE46" s="100"/>
      <c r="JHF46" s="100"/>
      <c r="JHG46" s="100"/>
      <c r="JHH46" s="100"/>
      <c r="JHI46" s="100"/>
      <c r="JHJ46" s="100"/>
      <c r="JHK46" s="100"/>
      <c r="JHL46" s="100"/>
      <c r="JHM46" s="100"/>
      <c r="JHN46" s="100"/>
      <c r="JHO46" s="100"/>
      <c r="JHP46" s="100"/>
      <c r="JHQ46" s="100"/>
      <c r="JHR46" s="100"/>
      <c r="JHS46" s="100"/>
      <c r="JHT46" s="100"/>
      <c r="JHU46" s="100"/>
      <c r="JHV46" s="100"/>
      <c r="JHW46" s="100"/>
      <c r="JHX46" s="100"/>
      <c r="JHY46" s="100"/>
      <c r="JHZ46" s="100"/>
      <c r="JIA46" s="100"/>
      <c r="JIB46" s="100"/>
      <c r="JIC46" s="100"/>
      <c r="JID46" s="100"/>
      <c r="JIE46" s="100"/>
      <c r="JIF46" s="100"/>
      <c r="JIG46" s="100"/>
      <c r="JIH46" s="100"/>
      <c r="JII46" s="100"/>
      <c r="JIJ46" s="100"/>
      <c r="JIK46" s="100"/>
      <c r="JIL46" s="100"/>
      <c r="JIM46" s="100"/>
      <c r="JIN46" s="100"/>
      <c r="JIO46" s="100"/>
      <c r="JIP46" s="100"/>
      <c r="JIQ46" s="100"/>
      <c r="JIR46" s="100"/>
      <c r="JIS46" s="100"/>
      <c r="JIT46" s="100"/>
      <c r="JIU46" s="100"/>
      <c r="JIV46" s="100"/>
      <c r="JIW46" s="100"/>
      <c r="JIX46" s="100"/>
      <c r="JIY46" s="100"/>
      <c r="JIZ46" s="100"/>
      <c r="JJA46" s="100"/>
      <c r="JJB46" s="100"/>
      <c r="JJC46" s="100"/>
      <c r="JJD46" s="100"/>
      <c r="JJE46" s="100"/>
      <c r="JJF46" s="100"/>
      <c r="JJG46" s="100"/>
      <c r="JJH46" s="100"/>
      <c r="JJI46" s="100"/>
      <c r="JJJ46" s="100"/>
      <c r="JJK46" s="100"/>
      <c r="JJL46" s="100"/>
      <c r="JJM46" s="100"/>
      <c r="JJN46" s="100"/>
      <c r="JJO46" s="100"/>
      <c r="JJP46" s="100"/>
      <c r="JJQ46" s="100"/>
      <c r="JJR46" s="100"/>
      <c r="JJS46" s="100"/>
      <c r="JJT46" s="100"/>
      <c r="JJU46" s="100"/>
      <c r="JJV46" s="100"/>
      <c r="JJW46" s="100"/>
      <c r="JJX46" s="100"/>
      <c r="JJY46" s="100"/>
      <c r="JJZ46" s="100"/>
      <c r="JKA46" s="100"/>
      <c r="JKB46" s="100"/>
      <c r="JKC46" s="100"/>
      <c r="JKD46" s="100"/>
      <c r="JKE46" s="100"/>
      <c r="JKF46" s="100"/>
      <c r="JKG46" s="100"/>
      <c r="JKH46" s="100"/>
      <c r="JKI46" s="100"/>
      <c r="JKJ46" s="100"/>
      <c r="JKK46" s="100"/>
      <c r="JKL46" s="100"/>
      <c r="JKM46" s="100"/>
      <c r="JKN46" s="100"/>
      <c r="JKO46" s="100"/>
      <c r="JKP46" s="100"/>
      <c r="JKQ46" s="100"/>
      <c r="JKR46" s="100"/>
      <c r="JKS46" s="100"/>
      <c r="JKT46" s="100"/>
      <c r="JKU46" s="100"/>
      <c r="JKV46" s="100"/>
      <c r="JKW46" s="100"/>
      <c r="JKX46" s="100"/>
      <c r="JKY46" s="100"/>
      <c r="JKZ46" s="100"/>
      <c r="JLA46" s="100"/>
      <c r="JLB46" s="100"/>
      <c r="JLC46" s="100"/>
      <c r="JLD46" s="100"/>
      <c r="JLE46" s="100"/>
      <c r="JLF46" s="100"/>
      <c r="JLG46" s="100"/>
      <c r="JLH46" s="100"/>
      <c r="JLI46" s="100"/>
      <c r="JLJ46" s="100"/>
      <c r="JLK46" s="100"/>
      <c r="JLL46" s="100"/>
      <c r="JLM46" s="100"/>
      <c r="JLN46" s="100"/>
      <c r="JLO46" s="100"/>
      <c r="JLP46" s="100"/>
      <c r="JLQ46" s="100"/>
      <c r="JLR46" s="100"/>
      <c r="JLS46" s="100"/>
      <c r="JLT46" s="100"/>
      <c r="JLU46" s="100"/>
      <c r="JLV46" s="100"/>
      <c r="JLW46" s="100"/>
      <c r="JLX46" s="100"/>
      <c r="JLY46" s="100"/>
      <c r="JLZ46" s="100"/>
      <c r="JMA46" s="100"/>
      <c r="JMB46" s="100"/>
      <c r="JMC46" s="100"/>
      <c r="JMD46" s="100"/>
      <c r="JME46" s="100"/>
      <c r="JMF46" s="100"/>
      <c r="JMG46" s="100"/>
      <c r="JMH46" s="100"/>
      <c r="JMI46" s="100"/>
      <c r="JMJ46" s="100"/>
      <c r="JMK46" s="100"/>
      <c r="JML46" s="100"/>
      <c r="JMM46" s="100"/>
      <c r="JMN46" s="100"/>
      <c r="JMO46" s="100"/>
      <c r="JMP46" s="100"/>
      <c r="JMQ46" s="100"/>
      <c r="JMR46" s="100"/>
      <c r="JMS46" s="100"/>
      <c r="JMT46" s="100"/>
      <c r="JMU46" s="100"/>
      <c r="JMV46" s="100"/>
      <c r="JMW46" s="100"/>
      <c r="JMX46" s="100"/>
      <c r="JMY46" s="100"/>
      <c r="JMZ46" s="100"/>
      <c r="JNA46" s="100"/>
      <c r="JNB46" s="100"/>
      <c r="JNC46" s="100"/>
      <c r="JND46" s="100"/>
      <c r="JNE46" s="100"/>
      <c r="JNF46" s="100"/>
      <c r="JNG46" s="100"/>
      <c r="JNH46" s="100"/>
      <c r="JNI46" s="100"/>
      <c r="JNJ46" s="100"/>
      <c r="JNK46" s="100"/>
      <c r="JNL46" s="100"/>
      <c r="JNM46" s="100"/>
      <c r="JNN46" s="100"/>
      <c r="JNO46" s="100"/>
      <c r="JNP46" s="100"/>
      <c r="JNQ46" s="100"/>
      <c r="JNR46" s="100"/>
      <c r="JNS46" s="100"/>
      <c r="JNT46" s="100"/>
      <c r="JNU46" s="100"/>
      <c r="JNV46" s="100"/>
      <c r="JNW46" s="100"/>
      <c r="JNX46" s="100"/>
      <c r="JNY46" s="100"/>
      <c r="JNZ46" s="100"/>
      <c r="JOA46" s="100"/>
      <c r="JOB46" s="100"/>
      <c r="JOC46" s="100"/>
      <c r="JOD46" s="100"/>
      <c r="JOE46" s="100"/>
      <c r="JOF46" s="100"/>
      <c r="JOG46" s="100"/>
      <c r="JOH46" s="100"/>
      <c r="JOI46" s="100"/>
      <c r="JOJ46" s="100"/>
      <c r="JOK46" s="100"/>
      <c r="JOL46" s="100"/>
      <c r="JOM46" s="100"/>
      <c r="JON46" s="100"/>
      <c r="JOO46" s="100"/>
      <c r="JOP46" s="100"/>
      <c r="JOQ46" s="100"/>
      <c r="JOR46" s="100"/>
      <c r="JOS46" s="100"/>
      <c r="JOT46" s="100"/>
      <c r="JOU46" s="100"/>
      <c r="JOV46" s="100"/>
      <c r="JOW46" s="100"/>
      <c r="JOX46" s="100"/>
      <c r="JOY46" s="100"/>
      <c r="JOZ46" s="100"/>
      <c r="JPA46" s="100"/>
      <c r="JPB46" s="100"/>
      <c r="JPC46" s="100"/>
      <c r="JPD46" s="100"/>
      <c r="JPE46" s="100"/>
      <c r="JPF46" s="100"/>
      <c r="JPG46" s="100"/>
      <c r="JPH46" s="100"/>
      <c r="JPI46" s="100"/>
      <c r="JPJ46" s="100"/>
      <c r="JPK46" s="100"/>
      <c r="JPL46" s="100"/>
      <c r="JPM46" s="100"/>
      <c r="JPN46" s="100"/>
      <c r="JPO46" s="100"/>
      <c r="JPP46" s="100"/>
      <c r="JPQ46" s="100"/>
      <c r="JPR46" s="100"/>
      <c r="JPS46" s="100"/>
      <c r="JPT46" s="100"/>
      <c r="JPU46" s="100"/>
      <c r="JPV46" s="100"/>
      <c r="JPW46" s="100"/>
      <c r="JPX46" s="100"/>
      <c r="JPY46" s="100"/>
      <c r="JPZ46" s="100"/>
      <c r="JQA46" s="100"/>
      <c r="JQB46" s="100"/>
      <c r="JQC46" s="100"/>
      <c r="JQD46" s="100"/>
      <c r="JQE46" s="100"/>
      <c r="JQF46" s="100"/>
      <c r="JQG46" s="100"/>
      <c r="JQH46" s="100"/>
      <c r="JQI46" s="100"/>
      <c r="JQJ46" s="100"/>
      <c r="JQK46" s="100"/>
      <c r="JQL46" s="100"/>
      <c r="JQM46" s="100"/>
      <c r="JQN46" s="100"/>
      <c r="JQO46" s="100"/>
      <c r="JQP46" s="100"/>
      <c r="JQQ46" s="100"/>
      <c r="JQR46" s="100"/>
      <c r="JQS46" s="100"/>
      <c r="JQT46" s="100"/>
      <c r="JQU46" s="100"/>
      <c r="JQV46" s="100"/>
      <c r="JQW46" s="100"/>
      <c r="JQX46" s="100"/>
      <c r="JQY46" s="100"/>
      <c r="JQZ46" s="100"/>
      <c r="JRA46" s="100"/>
      <c r="JRB46" s="100"/>
      <c r="JRC46" s="100"/>
      <c r="JRD46" s="100"/>
      <c r="JRE46" s="100"/>
      <c r="JRF46" s="100"/>
      <c r="JRG46" s="100"/>
      <c r="JRH46" s="100"/>
      <c r="JRI46" s="100"/>
      <c r="JRJ46" s="100"/>
      <c r="JRK46" s="100"/>
      <c r="JRL46" s="100"/>
      <c r="JRM46" s="100"/>
      <c r="JRN46" s="100"/>
      <c r="JRO46" s="100"/>
      <c r="JRP46" s="100"/>
      <c r="JRQ46" s="100"/>
      <c r="JRR46" s="100"/>
      <c r="JRS46" s="100"/>
      <c r="JRT46" s="100"/>
      <c r="JRU46" s="100"/>
      <c r="JRV46" s="100"/>
      <c r="JRW46" s="100"/>
      <c r="JRX46" s="100"/>
      <c r="JRY46" s="100"/>
      <c r="JRZ46" s="100"/>
      <c r="JSA46" s="100"/>
      <c r="JSB46" s="100"/>
      <c r="JSC46" s="100"/>
      <c r="JSD46" s="100"/>
      <c r="JSE46" s="100"/>
      <c r="JSF46" s="100"/>
      <c r="JSG46" s="100"/>
      <c r="JSH46" s="100"/>
      <c r="JSI46" s="100"/>
      <c r="JSJ46" s="100"/>
      <c r="JSK46" s="100"/>
      <c r="JSL46" s="100"/>
      <c r="JSM46" s="100"/>
      <c r="JSN46" s="100"/>
      <c r="JSO46" s="100"/>
      <c r="JSP46" s="100"/>
      <c r="JSQ46" s="100"/>
      <c r="JSR46" s="100"/>
      <c r="JSS46" s="100"/>
      <c r="JST46" s="100"/>
      <c r="JSU46" s="100"/>
      <c r="JSV46" s="100"/>
      <c r="JSW46" s="100"/>
      <c r="JSX46" s="100"/>
      <c r="JSY46" s="100"/>
      <c r="JSZ46" s="100"/>
      <c r="JTA46" s="100"/>
      <c r="JTB46" s="100"/>
      <c r="JTC46" s="100"/>
      <c r="JTD46" s="100"/>
      <c r="JTE46" s="100"/>
      <c r="JTF46" s="100"/>
      <c r="JTG46" s="100"/>
      <c r="JTH46" s="100"/>
      <c r="JTI46" s="100"/>
      <c r="JTJ46" s="100"/>
      <c r="JTK46" s="100"/>
      <c r="JTL46" s="100"/>
      <c r="JTM46" s="100"/>
      <c r="JTN46" s="100"/>
      <c r="JTO46" s="100"/>
      <c r="JTP46" s="100"/>
      <c r="JTQ46" s="100"/>
      <c r="JTR46" s="100"/>
      <c r="JTS46" s="100"/>
      <c r="JTT46" s="100"/>
      <c r="JTU46" s="100"/>
      <c r="JTV46" s="100"/>
      <c r="JTW46" s="100"/>
      <c r="JTX46" s="100"/>
      <c r="JTY46" s="100"/>
      <c r="JTZ46" s="100"/>
      <c r="JUA46" s="100"/>
      <c r="JUB46" s="100"/>
      <c r="JUC46" s="100"/>
      <c r="JUD46" s="100"/>
      <c r="JUE46" s="100"/>
      <c r="JUF46" s="100"/>
      <c r="JUG46" s="100"/>
      <c r="JUH46" s="100"/>
      <c r="JUI46" s="100"/>
      <c r="JUJ46" s="100"/>
      <c r="JUK46" s="100"/>
      <c r="JUL46" s="100"/>
      <c r="JUM46" s="100"/>
      <c r="JUN46" s="100"/>
      <c r="JUO46" s="100"/>
      <c r="JUP46" s="100"/>
      <c r="JUQ46" s="100"/>
      <c r="JUR46" s="100"/>
      <c r="JUS46" s="100"/>
      <c r="JUT46" s="100"/>
      <c r="JUU46" s="100"/>
      <c r="JUV46" s="100"/>
      <c r="JUW46" s="100"/>
      <c r="JUX46" s="100"/>
      <c r="JUY46" s="100"/>
      <c r="JUZ46" s="100"/>
      <c r="JVA46" s="100"/>
      <c r="JVB46" s="100"/>
      <c r="JVC46" s="100"/>
      <c r="JVD46" s="100"/>
      <c r="JVE46" s="100"/>
      <c r="JVF46" s="100"/>
      <c r="JVG46" s="100"/>
      <c r="JVH46" s="100"/>
      <c r="JVI46" s="100"/>
      <c r="JVJ46" s="100"/>
      <c r="JVK46" s="100"/>
      <c r="JVL46" s="100"/>
      <c r="JVM46" s="100"/>
      <c r="JVN46" s="100"/>
      <c r="JVO46" s="100"/>
      <c r="JVP46" s="100"/>
      <c r="JVQ46" s="100"/>
      <c r="JVR46" s="100"/>
      <c r="JVS46" s="100"/>
      <c r="JVT46" s="100"/>
      <c r="JVU46" s="100"/>
      <c r="JVV46" s="100"/>
      <c r="JVW46" s="100"/>
      <c r="JVX46" s="100"/>
      <c r="JVY46" s="100"/>
      <c r="JVZ46" s="100"/>
      <c r="JWA46" s="100"/>
      <c r="JWB46" s="100"/>
      <c r="JWC46" s="100"/>
      <c r="JWD46" s="100"/>
      <c r="JWE46" s="100"/>
      <c r="JWF46" s="100"/>
      <c r="JWG46" s="100"/>
      <c r="JWH46" s="100"/>
      <c r="JWI46" s="100"/>
      <c r="JWJ46" s="100"/>
      <c r="JWK46" s="100"/>
      <c r="JWL46" s="100"/>
      <c r="JWM46" s="100"/>
      <c r="JWN46" s="100"/>
      <c r="JWO46" s="100"/>
      <c r="JWP46" s="100"/>
      <c r="JWQ46" s="100"/>
      <c r="JWR46" s="100"/>
      <c r="JWS46" s="100"/>
      <c r="JWT46" s="100"/>
      <c r="JWU46" s="100"/>
      <c r="JWV46" s="100"/>
      <c r="JWW46" s="100"/>
      <c r="JWX46" s="100"/>
      <c r="JWY46" s="100"/>
      <c r="JWZ46" s="100"/>
      <c r="JXA46" s="100"/>
      <c r="JXB46" s="100"/>
      <c r="JXC46" s="100"/>
      <c r="JXD46" s="100"/>
      <c r="JXE46" s="100"/>
      <c r="JXF46" s="100"/>
      <c r="JXG46" s="100"/>
      <c r="JXH46" s="100"/>
      <c r="JXI46" s="100"/>
      <c r="JXJ46" s="100"/>
      <c r="JXK46" s="100"/>
      <c r="JXL46" s="100"/>
      <c r="JXM46" s="100"/>
      <c r="JXN46" s="100"/>
      <c r="JXO46" s="100"/>
      <c r="JXP46" s="100"/>
      <c r="JXQ46" s="100"/>
      <c r="JXR46" s="100"/>
      <c r="JXS46" s="100"/>
      <c r="JXT46" s="100"/>
      <c r="JXU46" s="100"/>
      <c r="JXV46" s="100"/>
      <c r="JXW46" s="100"/>
      <c r="JXX46" s="100"/>
      <c r="JXY46" s="100"/>
      <c r="JXZ46" s="100"/>
      <c r="JYA46" s="100"/>
      <c r="JYB46" s="100"/>
      <c r="JYC46" s="100"/>
      <c r="JYD46" s="100"/>
      <c r="JYE46" s="100"/>
      <c r="JYF46" s="100"/>
      <c r="JYG46" s="100"/>
      <c r="JYH46" s="100"/>
      <c r="JYI46" s="100"/>
      <c r="JYJ46" s="100"/>
      <c r="JYK46" s="100"/>
      <c r="JYL46" s="100"/>
      <c r="JYM46" s="100"/>
      <c r="JYN46" s="100"/>
      <c r="JYO46" s="100"/>
      <c r="JYP46" s="100"/>
      <c r="JYQ46" s="100"/>
      <c r="JYR46" s="100"/>
      <c r="JYS46" s="100"/>
      <c r="JYT46" s="100"/>
      <c r="JYU46" s="100"/>
      <c r="JYV46" s="100"/>
      <c r="JYW46" s="100"/>
      <c r="JYX46" s="100"/>
      <c r="JYY46" s="100"/>
      <c r="JYZ46" s="100"/>
      <c r="JZA46" s="100"/>
      <c r="JZB46" s="100"/>
      <c r="JZC46" s="100"/>
      <c r="JZD46" s="100"/>
      <c r="JZE46" s="100"/>
      <c r="JZF46" s="100"/>
      <c r="JZG46" s="100"/>
      <c r="JZH46" s="100"/>
      <c r="JZI46" s="100"/>
      <c r="JZJ46" s="100"/>
      <c r="JZK46" s="100"/>
      <c r="JZL46" s="100"/>
      <c r="JZM46" s="100"/>
      <c r="JZN46" s="100"/>
      <c r="JZO46" s="100"/>
      <c r="JZP46" s="100"/>
      <c r="JZQ46" s="100"/>
      <c r="JZR46" s="100"/>
      <c r="JZS46" s="100"/>
      <c r="JZT46" s="100"/>
      <c r="JZU46" s="100"/>
      <c r="JZV46" s="100"/>
      <c r="JZW46" s="100"/>
      <c r="JZX46" s="100"/>
      <c r="JZY46" s="100"/>
      <c r="JZZ46" s="100"/>
      <c r="KAA46" s="100"/>
      <c r="KAB46" s="100"/>
      <c r="KAC46" s="100"/>
      <c r="KAD46" s="100"/>
      <c r="KAE46" s="100"/>
      <c r="KAF46" s="100"/>
      <c r="KAG46" s="100"/>
      <c r="KAH46" s="100"/>
      <c r="KAI46" s="100"/>
      <c r="KAJ46" s="100"/>
      <c r="KAK46" s="100"/>
      <c r="KAL46" s="100"/>
      <c r="KAM46" s="100"/>
      <c r="KAN46" s="100"/>
      <c r="KAO46" s="100"/>
      <c r="KAP46" s="100"/>
      <c r="KAQ46" s="100"/>
      <c r="KAR46" s="100"/>
      <c r="KAS46" s="100"/>
      <c r="KAT46" s="100"/>
      <c r="KAU46" s="100"/>
      <c r="KAV46" s="100"/>
      <c r="KAW46" s="100"/>
      <c r="KAX46" s="100"/>
      <c r="KAY46" s="100"/>
      <c r="KAZ46" s="100"/>
      <c r="KBA46" s="100"/>
      <c r="KBB46" s="100"/>
      <c r="KBC46" s="100"/>
      <c r="KBD46" s="100"/>
      <c r="KBE46" s="100"/>
      <c r="KBF46" s="100"/>
      <c r="KBG46" s="100"/>
      <c r="KBH46" s="100"/>
      <c r="KBI46" s="100"/>
      <c r="KBJ46" s="100"/>
      <c r="KBK46" s="100"/>
      <c r="KBL46" s="100"/>
      <c r="KBM46" s="100"/>
      <c r="KBN46" s="100"/>
      <c r="KBO46" s="100"/>
      <c r="KBP46" s="100"/>
      <c r="KBQ46" s="100"/>
      <c r="KBR46" s="100"/>
      <c r="KBS46" s="100"/>
      <c r="KBT46" s="100"/>
      <c r="KBU46" s="100"/>
      <c r="KBV46" s="100"/>
      <c r="KBW46" s="100"/>
      <c r="KBX46" s="100"/>
      <c r="KBY46" s="100"/>
      <c r="KBZ46" s="100"/>
      <c r="KCA46" s="100"/>
      <c r="KCB46" s="100"/>
      <c r="KCC46" s="100"/>
      <c r="KCD46" s="100"/>
      <c r="KCE46" s="100"/>
      <c r="KCF46" s="100"/>
      <c r="KCG46" s="100"/>
      <c r="KCH46" s="100"/>
      <c r="KCI46" s="100"/>
      <c r="KCJ46" s="100"/>
      <c r="KCK46" s="100"/>
      <c r="KCL46" s="100"/>
      <c r="KCM46" s="100"/>
      <c r="KCN46" s="100"/>
      <c r="KCO46" s="100"/>
      <c r="KCP46" s="100"/>
      <c r="KCQ46" s="100"/>
      <c r="KCR46" s="100"/>
      <c r="KCS46" s="100"/>
      <c r="KCT46" s="100"/>
      <c r="KCU46" s="100"/>
      <c r="KCV46" s="100"/>
      <c r="KCW46" s="100"/>
      <c r="KCX46" s="100"/>
      <c r="KCY46" s="100"/>
      <c r="KCZ46" s="100"/>
      <c r="KDA46" s="100"/>
      <c r="KDB46" s="100"/>
      <c r="KDC46" s="100"/>
      <c r="KDD46" s="100"/>
      <c r="KDE46" s="100"/>
      <c r="KDF46" s="100"/>
      <c r="KDG46" s="100"/>
      <c r="KDH46" s="100"/>
      <c r="KDI46" s="100"/>
      <c r="KDJ46" s="100"/>
      <c r="KDK46" s="100"/>
      <c r="KDL46" s="100"/>
      <c r="KDM46" s="100"/>
      <c r="KDN46" s="100"/>
      <c r="KDO46" s="100"/>
      <c r="KDP46" s="100"/>
      <c r="KDQ46" s="100"/>
      <c r="KDR46" s="100"/>
      <c r="KDS46" s="100"/>
      <c r="KDT46" s="100"/>
      <c r="KDU46" s="100"/>
      <c r="KDV46" s="100"/>
      <c r="KDW46" s="100"/>
      <c r="KDX46" s="100"/>
      <c r="KDY46" s="100"/>
      <c r="KDZ46" s="100"/>
      <c r="KEA46" s="100"/>
      <c r="KEB46" s="100"/>
      <c r="KEC46" s="100"/>
      <c r="KED46" s="100"/>
      <c r="KEE46" s="100"/>
      <c r="KEF46" s="100"/>
      <c r="KEG46" s="100"/>
      <c r="KEH46" s="100"/>
      <c r="KEI46" s="100"/>
      <c r="KEJ46" s="100"/>
      <c r="KEK46" s="100"/>
      <c r="KEL46" s="100"/>
      <c r="KEM46" s="100"/>
      <c r="KEN46" s="100"/>
      <c r="KEO46" s="100"/>
      <c r="KEP46" s="100"/>
      <c r="KEQ46" s="100"/>
      <c r="KER46" s="100"/>
      <c r="KES46" s="100"/>
      <c r="KET46" s="100"/>
      <c r="KEU46" s="100"/>
      <c r="KEV46" s="100"/>
      <c r="KEW46" s="100"/>
      <c r="KEX46" s="100"/>
      <c r="KEY46" s="100"/>
      <c r="KEZ46" s="100"/>
      <c r="KFA46" s="100"/>
      <c r="KFB46" s="100"/>
      <c r="KFC46" s="100"/>
      <c r="KFD46" s="100"/>
      <c r="KFE46" s="100"/>
      <c r="KFF46" s="100"/>
      <c r="KFG46" s="100"/>
      <c r="KFH46" s="100"/>
      <c r="KFI46" s="100"/>
      <c r="KFJ46" s="100"/>
      <c r="KFK46" s="100"/>
      <c r="KFL46" s="100"/>
      <c r="KFM46" s="100"/>
      <c r="KFN46" s="100"/>
      <c r="KFO46" s="100"/>
      <c r="KFP46" s="100"/>
      <c r="KFQ46" s="100"/>
      <c r="KFR46" s="100"/>
      <c r="KFS46" s="100"/>
      <c r="KFT46" s="100"/>
      <c r="KFU46" s="100"/>
      <c r="KFV46" s="100"/>
      <c r="KFW46" s="100"/>
      <c r="KFX46" s="100"/>
      <c r="KFY46" s="100"/>
      <c r="KFZ46" s="100"/>
      <c r="KGA46" s="100"/>
      <c r="KGB46" s="100"/>
      <c r="KGC46" s="100"/>
      <c r="KGD46" s="100"/>
      <c r="KGE46" s="100"/>
      <c r="KGF46" s="100"/>
      <c r="KGG46" s="100"/>
      <c r="KGH46" s="100"/>
      <c r="KGI46" s="100"/>
      <c r="KGJ46" s="100"/>
      <c r="KGK46" s="100"/>
      <c r="KGL46" s="100"/>
      <c r="KGM46" s="100"/>
      <c r="KGN46" s="100"/>
      <c r="KGO46" s="100"/>
      <c r="KGP46" s="100"/>
      <c r="KGQ46" s="100"/>
      <c r="KGR46" s="100"/>
      <c r="KGS46" s="100"/>
      <c r="KGT46" s="100"/>
      <c r="KGU46" s="100"/>
      <c r="KGV46" s="100"/>
      <c r="KGW46" s="100"/>
      <c r="KGX46" s="100"/>
      <c r="KGY46" s="100"/>
      <c r="KGZ46" s="100"/>
      <c r="KHA46" s="100"/>
      <c r="KHB46" s="100"/>
      <c r="KHC46" s="100"/>
      <c r="KHD46" s="100"/>
      <c r="KHE46" s="100"/>
      <c r="KHF46" s="100"/>
      <c r="KHG46" s="100"/>
      <c r="KHH46" s="100"/>
      <c r="KHI46" s="100"/>
      <c r="KHJ46" s="100"/>
      <c r="KHK46" s="100"/>
      <c r="KHL46" s="100"/>
      <c r="KHM46" s="100"/>
      <c r="KHN46" s="100"/>
      <c r="KHO46" s="100"/>
      <c r="KHP46" s="100"/>
      <c r="KHQ46" s="100"/>
      <c r="KHR46" s="100"/>
      <c r="KHS46" s="100"/>
      <c r="KHT46" s="100"/>
      <c r="KHU46" s="100"/>
      <c r="KHV46" s="100"/>
      <c r="KHW46" s="100"/>
      <c r="KHX46" s="100"/>
      <c r="KHY46" s="100"/>
      <c r="KHZ46" s="100"/>
      <c r="KIA46" s="100"/>
      <c r="KIB46" s="100"/>
      <c r="KIC46" s="100"/>
      <c r="KID46" s="100"/>
      <c r="KIE46" s="100"/>
      <c r="KIF46" s="100"/>
      <c r="KIG46" s="100"/>
      <c r="KIH46" s="100"/>
      <c r="KII46" s="100"/>
      <c r="KIJ46" s="100"/>
      <c r="KIK46" s="100"/>
      <c r="KIL46" s="100"/>
      <c r="KIM46" s="100"/>
      <c r="KIN46" s="100"/>
      <c r="KIO46" s="100"/>
      <c r="KIP46" s="100"/>
      <c r="KIQ46" s="100"/>
      <c r="KIR46" s="100"/>
      <c r="KIS46" s="100"/>
      <c r="KIT46" s="100"/>
      <c r="KIU46" s="100"/>
      <c r="KIV46" s="100"/>
      <c r="KIW46" s="100"/>
      <c r="KIX46" s="100"/>
      <c r="KIY46" s="100"/>
      <c r="KIZ46" s="100"/>
      <c r="KJA46" s="100"/>
      <c r="KJB46" s="100"/>
      <c r="KJC46" s="100"/>
      <c r="KJD46" s="100"/>
      <c r="KJE46" s="100"/>
      <c r="KJF46" s="100"/>
      <c r="KJG46" s="100"/>
      <c r="KJH46" s="100"/>
      <c r="KJI46" s="100"/>
      <c r="KJJ46" s="100"/>
      <c r="KJK46" s="100"/>
      <c r="KJL46" s="100"/>
      <c r="KJM46" s="100"/>
      <c r="KJN46" s="100"/>
      <c r="KJO46" s="100"/>
      <c r="KJP46" s="100"/>
      <c r="KJQ46" s="100"/>
      <c r="KJR46" s="100"/>
      <c r="KJS46" s="100"/>
      <c r="KJT46" s="100"/>
      <c r="KJU46" s="100"/>
      <c r="KJV46" s="100"/>
      <c r="KJW46" s="100"/>
      <c r="KJX46" s="100"/>
      <c r="KJY46" s="100"/>
      <c r="KJZ46" s="100"/>
      <c r="KKA46" s="100"/>
      <c r="KKB46" s="100"/>
      <c r="KKC46" s="100"/>
      <c r="KKD46" s="100"/>
      <c r="KKE46" s="100"/>
      <c r="KKF46" s="100"/>
      <c r="KKG46" s="100"/>
      <c r="KKH46" s="100"/>
      <c r="KKI46" s="100"/>
      <c r="KKJ46" s="100"/>
      <c r="KKK46" s="100"/>
      <c r="KKL46" s="100"/>
      <c r="KKM46" s="100"/>
      <c r="KKN46" s="100"/>
      <c r="KKO46" s="100"/>
      <c r="KKP46" s="100"/>
      <c r="KKQ46" s="100"/>
      <c r="KKR46" s="100"/>
      <c r="KKS46" s="100"/>
      <c r="KKT46" s="100"/>
      <c r="KKU46" s="100"/>
      <c r="KKV46" s="100"/>
      <c r="KKW46" s="100"/>
      <c r="KKX46" s="100"/>
      <c r="KKY46" s="100"/>
      <c r="KKZ46" s="100"/>
      <c r="KLA46" s="100"/>
      <c r="KLB46" s="100"/>
      <c r="KLC46" s="100"/>
      <c r="KLD46" s="100"/>
      <c r="KLE46" s="100"/>
      <c r="KLF46" s="100"/>
      <c r="KLG46" s="100"/>
      <c r="KLH46" s="100"/>
      <c r="KLI46" s="100"/>
      <c r="KLJ46" s="100"/>
      <c r="KLK46" s="100"/>
      <c r="KLL46" s="100"/>
      <c r="KLM46" s="100"/>
      <c r="KLN46" s="100"/>
      <c r="KLO46" s="100"/>
      <c r="KLP46" s="100"/>
      <c r="KLQ46" s="100"/>
      <c r="KLR46" s="100"/>
      <c r="KLS46" s="100"/>
      <c r="KLT46" s="100"/>
      <c r="KLU46" s="100"/>
      <c r="KLV46" s="100"/>
      <c r="KLW46" s="100"/>
      <c r="KLX46" s="100"/>
      <c r="KLY46" s="100"/>
      <c r="KLZ46" s="100"/>
      <c r="KMA46" s="100"/>
      <c r="KMB46" s="100"/>
      <c r="KMC46" s="100"/>
      <c r="KMD46" s="100"/>
      <c r="KME46" s="100"/>
      <c r="KMF46" s="100"/>
      <c r="KMG46" s="100"/>
      <c r="KMH46" s="100"/>
      <c r="KMI46" s="100"/>
      <c r="KMJ46" s="100"/>
      <c r="KMK46" s="100"/>
      <c r="KML46" s="100"/>
      <c r="KMM46" s="100"/>
      <c r="KMN46" s="100"/>
      <c r="KMO46" s="100"/>
      <c r="KMP46" s="100"/>
      <c r="KMQ46" s="100"/>
      <c r="KMR46" s="100"/>
      <c r="KMS46" s="100"/>
      <c r="KMT46" s="100"/>
      <c r="KMU46" s="100"/>
      <c r="KMV46" s="100"/>
      <c r="KMW46" s="100"/>
      <c r="KMX46" s="100"/>
      <c r="KMY46" s="100"/>
      <c r="KMZ46" s="100"/>
      <c r="KNA46" s="100"/>
      <c r="KNB46" s="100"/>
      <c r="KNC46" s="100"/>
      <c r="KND46" s="100"/>
      <c r="KNE46" s="100"/>
      <c r="KNF46" s="100"/>
      <c r="KNG46" s="100"/>
      <c r="KNH46" s="100"/>
      <c r="KNI46" s="100"/>
      <c r="KNJ46" s="100"/>
      <c r="KNK46" s="100"/>
      <c r="KNL46" s="100"/>
      <c r="KNM46" s="100"/>
      <c r="KNN46" s="100"/>
      <c r="KNO46" s="100"/>
      <c r="KNP46" s="100"/>
      <c r="KNQ46" s="100"/>
      <c r="KNR46" s="100"/>
      <c r="KNS46" s="100"/>
      <c r="KNT46" s="100"/>
      <c r="KNU46" s="100"/>
      <c r="KNV46" s="100"/>
      <c r="KNW46" s="100"/>
      <c r="KNX46" s="100"/>
      <c r="KNY46" s="100"/>
      <c r="KNZ46" s="100"/>
      <c r="KOA46" s="100"/>
      <c r="KOB46" s="100"/>
      <c r="KOC46" s="100"/>
      <c r="KOD46" s="100"/>
      <c r="KOE46" s="100"/>
      <c r="KOF46" s="100"/>
      <c r="KOG46" s="100"/>
      <c r="KOH46" s="100"/>
      <c r="KOI46" s="100"/>
      <c r="KOJ46" s="100"/>
      <c r="KOK46" s="100"/>
      <c r="KOL46" s="100"/>
      <c r="KOM46" s="100"/>
      <c r="KON46" s="100"/>
      <c r="KOO46" s="100"/>
      <c r="KOP46" s="100"/>
      <c r="KOQ46" s="100"/>
      <c r="KOR46" s="100"/>
      <c r="KOS46" s="100"/>
      <c r="KOT46" s="100"/>
      <c r="KOU46" s="100"/>
      <c r="KOV46" s="100"/>
      <c r="KOW46" s="100"/>
      <c r="KOX46" s="100"/>
      <c r="KOY46" s="100"/>
      <c r="KOZ46" s="100"/>
      <c r="KPA46" s="100"/>
      <c r="KPB46" s="100"/>
      <c r="KPC46" s="100"/>
      <c r="KPD46" s="100"/>
      <c r="KPE46" s="100"/>
      <c r="KPF46" s="100"/>
      <c r="KPG46" s="100"/>
      <c r="KPH46" s="100"/>
      <c r="KPI46" s="100"/>
      <c r="KPJ46" s="100"/>
      <c r="KPK46" s="100"/>
      <c r="KPL46" s="100"/>
      <c r="KPM46" s="100"/>
      <c r="KPN46" s="100"/>
      <c r="KPO46" s="100"/>
      <c r="KPP46" s="100"/>
      <c r="KPQ46" s="100"/>
      <c r="KPR46" s="100"/>
      <c r="KPS46" s="100"/>
      <c r="KPT46" s="100"/>
      <c r="KPU46" s="100"/>
      <c r="KPV46" s="100"/>
      <c r="KPW46" s="100"/>
      <c r="KPX46" s="100"/>
      <c r="KPY46" s="100"/>
      <c r="KPZ46" s="100"/>
      <c r="KQA46" s="100"/>
      <c r="KQB46" s="100"/>
      <c r="KQC46" s="100"/>
      <c r="KQD46" s="100"/>
      <c r="KQE46" s="100"/>
      <c r="KQF46" s="100"/>
      <c r="KQG46" s="100"/>
      <c r="KQH46" s="100"/>
      <c r="KQI46" s="100"/>
      <c r="KQJ46" s="100"/>
      <c r="KQK46" s="100"/>
      <c r="KQL46" s="100"/>
      <c r="KQM46" s="100"/>
      <c r="KQN46" s="100"/>
      <c r="KQO46" s="100"/>
      <c r="KQP46" s="100"/>
      <c r="KQQ46" s="100"/>
      <c r="KQR46" s="100"/>
      <c r="KQS46" s="100"/>
      <c r="KQT46" s="100"/>
      <c r="KQU46" s="100"/>
      <c r="KQV46" s="100"/>
      <c r="KQW46" s="100"/>
      <c r="KQX46" s="100"/>
      <c r="KQY46" s="100"/>
      <c r="KQZ46" s="100"/>
      <c r="KRA46" s="100"/>
      <c r="KRB46" s="100"/>
      <c r="KRC46" s="100"/>
      <c r="KRD46" s="100"/>
      <c r="KRE46" s="100"/>
      <c r="KRF46" s="100"/>
      <c r="KRG46" s="100"/>
      <c r="KRH46" s="100"/>
      <c r="KRI46" s="100"/>
      <c r="KRJ46" s="100"/>
      <c r="KRK46" s="100"/>
      <c r="KRL46" s="100"/>
      <c r="KRM46" s="100"/>
      <c r="KRN46" s="100"/>
      <c r="KRO46" s="100"/>
      <c r="KRP46" s="100"/>
      <c r="KRQ46" s="100"/>
      <c r="KRR46" s="100"/>
      <c r="KRS46" s="100"/>
      <c r="KRT46" s="100"/>
      <c r="KRU46" s="100"/>
      <c r="KRV46" s="100"/>
      <c r="KRW46" s="100"/>
      <c r="KRX46" s="100"/>
      <c r="KRY46" s="100"/>
      <c r="KRZ46" s="100"/>
      <c r="KSA46" s="100"/>
      <c r="KSB46" s="100"/>
      <c r="KSC46" s="100"/>
      <c r="KSD46" s="100"/>
      <c r="KSE46" s="100"/>
      <c r="KSF46" s="100"/>
      <c r="KSG46" s="100"/>
      <c r="KSH46" s="100"/>
      <c r="KSI46" s="100"/>
      <c r="KSJ46" s="100"/>
      <c r="KSK46" s="100"/>
      <c r="KSL46" s="100"/>
      <c r="KSM46" s="100"/>
      <c r="KSN46" s="100"/>
      <c r="KSO46" s="100"/>
      <c r="KSP46" s="100"/>
      <c r="KSQ46" s="100"/>
      <c r="KSR46" s="100"/>
      <c r="KSS46" s="100"/>
      <c r="KST46" s="100"/>
      <c r="KSU46" s="100"/>
      <c r="KSV46" s="100"/>
      <c r="KSW46" s="100"/>
      <c r="KSX46" s="100"/>
      <c r="KSY46" s="100"/>
      <c r="KSZ46" s="100"/>
      <c r="KTA46" s="100"/>
      <c r="KTB46" s="100"/>
      <c r="KTC46" s="100"/>
      <c r="KTD46" s="100"/>
      <c r="KTE46" s="100"/>
      <c r="KTF46" s="100"/>
      <c r="KTG46" s="100"/>
      <c r="KTH46" s="100"/>
      <c r="KTI46" s="100"/>
      <c r="KTJ46" s="100"/>
      <c r="KTK46" s="100"/>
      <c r="KTL46" s="100"/>
      <c r="KTM46" s="100"/>
      <c r="KTN46" s="100"/>
      <c r="KTO46" s="100"/>
      <c r="KTP46" s="100"/>
      <c r="KTQ46" s="100"/>
      <c r="KTR46" s="100"/>
      <c r="KTS46" s="100"/>
      <c r="KTT46" s="100"/>
      <c r="KTU46" s="100"/>
      <c r="KTV46" s="100"/>
      <c r="KTW46" s="100"/>
      <c r="KTX46" s="100"/>
      <c r="KTY46" s="100"/>
      <c r="KTZ46" s="100"/>
      <c r="KUA46" s="100"/>
      <c r="KUB46" s="100"/>
      <c r="KUC46" s="100"/>
      <c r="KUD46" s="100"/>
      <c r="KUE46" s="100"/>
      <c r="KUF46" s="100"/>
      <c r="KUG46" s="100"/>
      <c r="KUH46" s="100"/>
      <c r="KUI46" s="100"/>
      <c r="KUJ46" s="100"/>
      <c r="KUK46" s="100"/>
      <c r="KUL46" s="100"/>
      <c r="KUM46" s="100"/>
      <c r="KUN46" s="100"/>
      <c r="KUO46" s="100"/>
      <c r="KUP46" s="100"/>
      <c r="KUQ46" s="100"/>
      <c r="KUR46" s="100"/>
      <c r="KUS46" s="100"/>
      <c r="KUT46" s="100"/>
      <c r="KUU46" s="100"/>
      <c r="KUV46" s="100"/>
      <c r="KUW46" s="100"/>
      <c r="KUX46" s="100"/>
      <c r="KUY46" s="100"/>
      <c r="KUZ46" s="100"/>
      <c r="KVA46" s="100"/>
      <c r="KVB46" s="100"/>
      <c r="KVC46" s="100"/>
      <c r="KVD46" s="100"/>
      <c r="KVE46" s="100"/>
      <c r="KVF46" s="100"/>
      <c r="KVG46" s="100"/>
      <c r="KVH46" s="100"/>
      <c r="KVI46" s="100"/>
      <c r="KVJ46" s="100"/>
      <c r="KVK46" s="100"/>
      <c r="KVL46" s="100"/>
      <c r="KVM46" s="100"/>
      <c r="KVN46" s="100"/>
      <c r="KVO46" s="100"/>
      <c r="KVP46" s="100"/>
      <c r="KVQ46" s="100"/>
      <c r="KVR46" s="100"/>
      <c r="KVS46" s="100"/>
      <c r="KVT46" s="100"/>
      <c r="KVU46" s="100"/>
      <c r="KVV46" s="100"/>
      <c r="KVW46" s="100"/>
      <c r="KVX46" s="100"/>
      <c r="KVY46" s="100"/>
      <c r="KVZ46" s="100"/>
      <c r="KWA46" s="100"/>
      <c r="KWB46" s="100"/>
      <c r="KWC46" s="100"/>
      <c r="KWD46" s="100"/>
      <c r="KWE46" s="100"/>
      <c r="KWF46" s="100"/>
      <c r="KWG46" s="100"/>
      <c r="KWH46" s="100"/>
      <c r="KWI46" s="100"/>
      <c r="KWJ46" s="100"/>
      <c r="KWK46" s="100"/>
      <c r="KWL46" s="100"/>
      <c r="KWM46" s="100"/>
      <c r="KWN46" s="100"/>
      <c r="KWO46" s="100"/>
      <c r="KWP46" s="100"/>
      <c r="KWQ46" s="100"/>
      <c r="KWR46" s="100"/>
      <c r="KWS46" s="100"/>
      <c r="KWT46" s="100"/>
      <c r="KWU46" s="100"/>
      <c r="KWV46" s="100"/>
      <c r="KWW46" s="100"/>
      <c r="KWX46" s="100"/>
      <c r="KWY46" s="100"/>
      <c r="KWZ46" s="100"/>
      <c r="KXA46" s="100"/>
      <c r="KXB46" s="100"/>
      <c r="KXC46" s="100"/>
      <c r="KXD46" s="100"/>
      <c r="KXE46" s="100"/>
      <c r="KXF46" s="100"/>
      <c r="KXG46" s="100"/>
      <c r="KXH46" s="100"/>
      <c r="KXI46" s="100"/>
      <c r="KXJ46" s="100"/>
      <c r="KXK46" s="100"/>
      <c r="KXL46" s="100"/>
      <c r="KXM46" s="100"/>
      <c r="KXN46" s="100"/>
      <c r="KXO46" s="100"/>
      <c r="KXP46" s="100"/>
      <c r="KXQ46" s="100"/>
      <c r="KXR46" s="100"/>
      <c r="KXS46" s="100"/>
      <c r="KXT46" s="100"/>
      <c r="KXU46" s="100"/>
      <c r="KXV46" s="100"/>
      <c r="KXW46" s="100"/>
      <c r="KXX46" s="100"/>
      <c r="KXY46" s="100"/>
      <c r="KXZ46" s="100"/>
      <c r="KYA46" s="100"/>
      <c r="KYB46" s="100"/>
      <c r="KYC46" s="100"/>
      <c r="KYD46" s="100"/>
      <c r="KYE46" s="100"/>
      <c r="KYF46" s="100"/>
      <c r="KYG46" s="100"/>
      <c r="KYH46" s="100"/>
      <c r="KYI46" s="100"/>
      <c r="KYJ46" s="100"/>
      <c r="KYK46" s="100"/>
      <c r="KYL46" s="100"/>
      <c r="KYM46" s="100"/>
      <c r="KYN46" s="100"/>
      <c r="KYO46" s="100"/>
      <c r="KYP46" s="100"/>
      <c r="KYQ46" s="100"/>
      <c r="KYR46" s="100"/>
      <c r="KYS46" s="100"/>
      <c r="KYT46" s="100"/>
      <c r="KYU46" s="100"/>
      <c r="KYV46" s="100"/>
      <c r="KYW46" s="100"/>
      <c r="KYX46" s="100"/>
      <c r="KYY46" s="100"/>
      <c r="KYZ46" s="100"/>
      <c r="KZA46" s="100"/>
      <c r="KZB46" s="100"/>
      <c r="KZC46" s="100"/>
      <c r="KZD46" s="100"/>
      <c r="KZE46" s="100"/>
      <c r="KZF46" s="100"/>
      <c r="KZG46" s="100"/>
      <c r="KZH46" s="100"/>
      <c r="KZI46" s="100"/>
      <c r="KZJ46" s="100"/>
      <c r="KZK46" s="100"/>
      <c r="KZL46" s="100"/>
      <c r="KZM46" s="100"/>
      <c r="KZN46" s="100"/>
      <c r="KZO46" s="100"/>
      <c r="KZP46" s="100"/>
      <c r="KZQ46" s="100"/>
      <c r="KZR46" s="100"/>
      <c r="KZS46" s="100"/>
      <c r="KZT46" s="100"/>
      <c r="KZU46" s="100"/>
      <c r="KZV46" s="100"/>
      <c r="KZW46" s="100"/>
      <c r="KZX46" s="100"/>
      <c r="KZY46" s="100"/>
      <c r="KZZ46" s="100"/>
      <c r="LAA46" s="100"/>
      <c r="LAB46" s="100"/>
      <c r="LAC46" s="100"/>
      <c r="LAD46" s="100"/>
      <c r="LAE46" s="100"/>
      <c r="LAF46" s="100"/>
      <c r="LAG46" s="100"/>
      <c r="LAH46" s="100"/>
      <c r="LAI46" s="100"/>
      <c r="LAJ46" s="100"/>
      <c r="LAK46" s="100"/>
      <c r="LAL46" s="100"/>
      <c r="LAM46" s="100"/>
      <c r="LAN46" s="100"/>
      <c r="LAO46" s="100"/>
      <c r="LAP46" s="100"/>
      <c r="LAQ46" s="100"/>
      <c r="LAR46" s="100"/>
      <c r="LAS46" s="100"/>
      <c r="LAT46" s="100"/>
      <c r="LAU46" s="100"/>
      <c r="LAV46" s="100"/>
      <c r="LAW46" s="100"/>
      <c r="LAX46" s="100"/>
      <c r="LAY46" s="100"/>
      <c r="LAZ46" s="100"/>
      <c r="LBA46" s="100"/>
      <c r="LBB46" s="100"/>
      <c r="LBC46" s="100"/>
      <c r="LBD46" s="100"/>
      <c r="LBE46" s="100"/>
      <c r="LBF46" s="100"/>
      <c r="LBG46" s="100"/>
      <c r="LBH46" s="100"/>
      <c r="LBI46" s="100"/>
      <c r="LBJ46" s="100"/>
      <c r="LBK46" s="100"/>
      <c r="LBL46" s="100"/>
      <c r="LBM46" s="100"/>
      <c r="LBN46" s="100"/>
      <c r="LBO46" s="100"/>
      <c r="LBP46" s="100"/>
      <c r="LBQ46" s="100"/>
      <c r="LBR46" s="100"/>
      <c r="LBS46" s="100"/>
      <c r="LBT46" s="100"/>
      <c r="LBU46" s="100"/>
      <c r="LBV46" s="100"/>
      <c r="LBW46" s="100"/>
      <c r="LBX46" s="100"/>
      <c r="LBY46" s="100"/>
      <c r="LBZ46" s="100"/>
      <c r="LCA46" s="100"/>
      <c r="LCB46" s="100"/>
      <c r="LCC46" s="100"/>
      <c r="LCD46" s="100"/>
      <c r="LCE46" s="100"/>
      <c r="LCF46" s="100"/>
      <c r="LCG46" s="100"/>
      <c r="LCH46" s="100"/>
      <c r="LCI46" s="100"/>
      <c r="LCJ46" s="100"/>
      <c r="LCK46" s="100"/>
      <c r="LCL46" s="100"/>
      <c r="LCM46" s="100"/>
      <c r="LCN46" s="100"/>
      <c r="LCO46" s="100"/>
      <c r="LCP46" s="100"/>
      <c r="LCQ46" s="100"/>
      <c r="LCR46" s="100"/>
      <c r="LCS46" s="100"/>
      <c r="LCT46" s="100"/>
      <c r="LCU46" s="100"/>
      <c r="LCV46" s="100"/>
      <c r="LCW46" s="100"/>
      <c r="LCX46" s="100"/>
      <c r="LCY46" s="100"/>
      <c r="LCZ46" s="100"/>
      <c r="LDA46" s="100"/>
      <c r="LDB46" s="100"/>
      <c r="LDC46" s="100"/>
      <c r="LDD46" s="100"/>
      <c r="LDE46" s="100"/>
      <c r="LDF46" s="100"/>
      <c r="LDG46" s="100"/>
      <c r="LDH46" s="100"/>
      <c r="LDI46" s="100"/>
      <c r="LDJ46" s="100"/>
      <c r="LDK46" s="100"/>
      <c r="LDL46" s="100"/>
      <c r="LDM46" s="100"/>
      <c r="LDN46" s="100"/>
      <c r="LDO46" s="100"/>
      <c r="LDP46" s="100"/>
      <c r="LDQ46" s="100"/>
      <c r="LDR46" s="100"/>
      <c r="LDS46" s="100"/>
      <c r="LDT46" s="100"/>
      <c r="LDU46" s="100"/>
      <c r="LDV46" s="100"/>
      <c r="LDW46" s="100"/>
      <c r="LDX46" s="100"/>
      <c r="LDY46" s="100"/>
      <c r="LDZ46" s="100"/>
      <c r="LEA46" s="100"/>
      <c r="LEB46" s="100"/>
      <c r="LEC46" s="100"/>
      <c r="LED46" s="100"/>
      <c r="LEE46" s="100"/>
      <c r="LEF46" s="100"/>
      <c r="LEG46" s="100"/>
      <c r="LEH46" s="100"/>
      <c r="LEI46" s="100"/>
      <c r="LEJ46" s="100"/>
      <c r="LEK46" s="100"/>
      <c r="LEL46" s="100"/>
      <c r="LEM46" s="100"/>
      <c r="LEN46" s="100"/>
      <c r="LEO46" s="100"/>
      <c r="LEP46" s="100"/>
      <c r="LEQ46" s="100"/>
      <c r="LER46" s="100"/>
      <c r="LES46" s="100"/>
      <c r="LET46" s="100"/>
      <c r="LEU46" s="100"/>
      <c r="LEV46" s="100"/>
      <c r="LEW46" s="100"/>
      <c r="LEX46" s="100"/>
      <c r="LEY46" s="100"/>
      <c r="LEZ46" s="100"/>
      <c r="LFA46" s="100"/>
      <c r="LFB46" s="100"/>
      <c r="LFC46" s="100"/>
      <c r="LFD46" s="100"/>
      <c r="LFE46" s="100"/>
      <c r="LFF46" s="100"/>
      <c r="LFG46" s="100"/>
      <c r="LFH46" s="100"/>
      <c r="LFI46" s="100"/>
      <c r="LFJ46" s="100"/>
      <c r="LFK46" s="100"/>
      <c r="LFL46" s="100"/>
      <c r="LFM46" s="100"/>
      <c r="LFN46" s="100"/>
      <c r="LFO46" s="100"/>
      <c r="LFP46" s="100"/>
      <c r="LFQ46" s="100"/>
      <c r="LFR46" s="100"/>
      <c r="LFS46" s="100"/>
      <c r="LFT46" s="100"/>
      <c r="LFU46" s="100"/>
      <c r="LFV46" s="100"/>
      <c r="LFW46" s="100"/>
      <c r="LFX46" s="100"/>
      <c r="LFY46" s="100"/>
      <c r="LFZ46" s="100"/>
      <c r="LGA46" s="100"/>
      <c r="LGB46" s="100"/>
      <c r="LGC46" s="100"/>
      <c r="LGD46" s="100"/>
      <c r="LGE46" s="100"/>
      <c r="LGF46" s="100"/>
      <c r="LGG46" s="100"/>
      <c r="LGH46" s="100"/>
      <c r="LGI46" s="100"/>
      <c r="LGJ46" s="100"/>
      <c r="LGK46" s="100"/>
      <c r="LGL46" s="100"/>
      <c r="LGM46" s="100"/>
      <c r="LGN46" s="100"/>
      <c r="LGO46" s="100"/>
      <c r="LGP46" s="100"/>
      <c r="LGQ46" s="100"/>
      <c r="LGR46" s="100"/>
      <c r="LGS46" s="100"/>
      <c r="LGT46" s="100"/>
      <c r="LGU46" s="100"/>
      <c r="LGV46" s="100"/>
      <c r="LGW46" s="100"/>
      <c r="LGX46" s="100"/>
      <c r="LGY46" s="100"/>
      <c r="LGZ46" s="100"/>
      <c r="LHA46" s="100"/>
      <c r="LHB46" s="100"/>
      <c r="LHC46" s="100"/>
      <c r="LHD46" s="100"/>
      <c r="LHE46" s="100"/>
      <c r="LHF46" s="100"/>
      <c r="LHG46" s="100"/>
      <c r="LHH46" s="100"/>
      <c r="LHI46" s="100"/>
      <c r="LHJ46" s="100"/>
      <c r="LHK46" s="100"/>
      <c r="LHL46" s="100"/>
      <c r="LHM46" s="100"/>
      <c r="LHN46" s="100"/>
      <c r="LHO46" s="100"/>
      <c r="LHP46" s="100"/>
      <c r="LHQ46" s="100"/>
      <c r="LHR46" s="100"/>
      <c r="LHS46" s="100"/>
      <c r="LHT46" s="100"/>
      <c r="LHU46" s="100"/>
      <c r="LHV46" s="100"/>
      <c r="LHW46" s="100"/>
      <c r="LHX46" s="100"/>
      <c r="LHY46" s="100"/>
      <c r="LHZ46" s="100"/>
      <c r="LIA46" s="100"/>
      <c r="LIB46" s="100"/>
      <c r="LIC46" s="100"/>
      <c r="LID46" s="100"/>
      <c r="LIE46" s="100"/>
      <c r="LIF46" s="100"/>
      <c r="LIG46" s="100"/>
      <c r="LIH46" s="100"/>
      <c r="LII46" s="100"/>
      <c r="LIJ46" s="100"/>
      <c r="LIK46" s="100"/>
      <c r="LIL46" s="100"/>
      <c r="LIM46" s="100"/>
      <c r="LIN46" s="100"/>
      <c r="LIO46" s="100"/>
      <c r="LIP46" s="100"/>
      <c r="LIQ46" s="100"/>
      <c r="LIR46" s="100"/>
      <c r="LIS46" s="100"/>
      <c r="LIT46" s="100"/>
      <c r="LIU46" s="100"/>
      <c r="LIV46" s="100"/>
      <c r="LIW46" s="100"/>
      <c r="LIX46" s="100"/>
      <c r="LIY46" s="100"/>
      <c r="LIZ46" s="100"/>
      <c r="LJA46" s="100"/>
      <c r="LJB46" s="100"/>
      <c r="LJC46" s="100"/>
      <c r="LJD46" s="100"/>
      <c r="LJE46" s="100"/>
      <c r="LJF46" s="100"/>
      <c r="LJG46" s="100"/>
      <c r="LJH46" s="100"/>
      <c r="LJI46" s="100"/>
      <c r="LJJ46" s="100"/>
      <c r="LJK46" s="100"/>
      <c r="LJL46" s="100"/>
      <c r="LJM46" s="100"/>
      <c r="LJN46" s="100"/>
      <c r="LJO46" s="100"/>
      <c r="LJP46" s="100"/>
      <c r="LJQ46" s="100"/>
      <c r="LJR46" s="100"/>
      <c r="LJS46" s="100"/>
      <c r="LJT46" s="100"/>
      <c r="LJU46" s="100"/>
      <c r="LJV46" s="100"/>
      <c r="LJW46" s="100"/>
      <c r="LJX46" s="100"/>
      <c r="LJY46" s="100"/>
      <c r="LJZ46" s="100"/>
      <c r="LKA46" s="100"/>
      <c r="LKB46" s="100"/>
      <c r="LKC46" s="100"/>
      <c r="LKD46" s="100"/>
      <c r="LKE46" s="100"/>
      <c r="LKF46" s="100"/>
      <c r="LKG46" s="100"/>
      <c r="LKH46" s="100"/>
      <c r="LKI46" s="100"/>
      <c r="LKJ46" s="100"/>
      <c r="LKK46" s="100"/>
      <c r="LKL46" s="100"/>
      <c r="LKM46" s="100"/>
      <c r="LKN46" s="100"/>
      <c r="LKO46" s="100"/>
      <c r="LKP46" s="100"/>
      <c r="LKQ46" s="100"/>
      <c r="LKR46" s="100"/>
      <c r="LKS46" s="100"/>
      <c r="LKT46" s="100"/>
      <c r="LKU46" s="100"/>
      <c r="LKV46" s="100"/>
      <c r="LKW46" s="100"/>
      <c r="LKX46" s="100"/>
      <c r="LKY46" s="100"/>
      <c r="LKZ46" s="100"/>
      <c r="LLA46" s="100"/>
      <c r="LLB46" s="100"/>
      <c r="LLC46" s="100"/>
      <c r="LLD46" s="100"/>
      <c r="LLE46" s="100"/>
      <c r="LLF46" s="100"/>
      <c r="LLG46" s="100"/>
      <c r="LLH46" s="100"/>
      <c r="LLI46" s="100"/>
      <c r="LLJ46" s="100"/>
      <c r="LLK46" s="100"/>
      <c r="LLL46" s="100"/>
      <c r="LLM46" s="100"/>
      <c r="LLN46" s="100"/>
      <c r="LLO46" s="100"/>
      <c r="LLP46" s="100"/>
      <c r="LLQ46" s="100"/>
      <c r="LLR46" s="100"/>
      <c r="LLS46" s="100"/>
      <c r="LLT46" s="100"/>
      <c r="LLU46" s="100"/>
      <c r="LLV46" s="100"/>
      <c r="LLW46" s="100"/>
      <c r="LLX46" s="100"/>
      <c r="LLY46" s="100"/>
      <c r="LLZ46" s="100"/>
      <c r="LMA46" s="100"/>
      <c r="LMB46" s="100"/>
      <c r="LMC46" s="100"/>
      <c r="LMD46" s="100"/>
      <c r="LME46" s="100"/>
      <c r="LMF46" s="100"/>
      <c r="LMG46" s="100"/>
      <c r="LMH46" s="100"/>
      <c r="LMI46" s="100"/>
      <c r="LMJ46" s="100"/>
      <c r="LMK46" s="100"/>
      <c r="LML46" s="100"/>
      <c r="LMM46" s="100"/>
      <c r="LMN46" s="100"/>
      <c r="LMO46" s="100"/>
      <c r="LMP46" s="100"/>
      <c r="LMQ46" s="100"/>
      <c r="LMR46" s="100"/>
      <c r="LMS46" s="100"/>
      <c r="LMT46" s="100"/>
      <c r="LMU46" s="100"/>
      <c r="LMV46" s="100"/>
      <c r="LMW46" s="100"/>
      <c r="LMX46" s="100"/>
      <c r="LMY46" s="100"/>
      <c r="LMZ46" s="100"/>
      <c r="LNA46" s="100"/>
      <c r="LNB46" s="100"/>
      <c r="LNC46" s="100"/>
      <c r="LND46" s="100"/>
      <c r="LNE46" s="100"/>
      <c r="LNF46" s="100"/>
      <c r="LNG46" s="100"/>
      <c r="LNH46" s="100"/>
      <c r="LNI46" s="100"/>
      <c r="LNJ46" s="100"/>
      <c r="LNK46" s="100"/>
      <c r="LNL46" s="100"/>
      <c r="LNM46" s="100"/>
      <c r="LNN46" s="100"/>
      <c r="LNO46" s="100"/>
      <c r="LNP46" s="100"/>
      <c r="LNQ46" s="100"/>
      <c r="LNR46" s="100"/>
      <c r="LNS46" s="100"/>
      <c r="LNT46" s="100"/>
      <c r="LNU46" s="100"/>
      <c r="LNV46" s="100"/>
      <c r="LNW46" s="100"/>
      <c r="LNX46" s="100"/>
      <c r="LNY46" s="100"/>
      <c r="LNZ46" s="100"/>
      <c r="LOA46" s="100"/>
      <c r="LOB46" s="100"/>
      <c r="LOC46" s="100"/>
      <c r="LOD46" s="100"/>
      <c r="LOE46" s="100"/>
      <c r="LOF46" s="100"/>
      <c r="LOG46" s="100"/>
      <c r="LOH46" s="100"/>
      <c r="LOI46" s="100"/>
      <c r="LOJ46" s="100"/>
      <c r="LOK46" s="100"/>
      <c r="LOL46" s="100"/>
      <c r="LOM46" s="100"/>
      <c r="LON46" s="100"/>
      <c r="LOO46" s="100"/>
      <c r="LOP46" s="100"/>
      <c r="LOQ46" s="100"/>
      <c r="LOR46" s="100"/>
      <c r="LOS46" s="100"/>
      <c r="LOT46" s="100"/>
      <c r="LOU46" s="100"/>
      <c r="LOV46" s="100"/>
      <c r="LOW46" s="100"/>
      <c r="LOX46" s="100"/>
      <c r="LOY46" s="100"/>
      <c r="LOZ46" s="100"/>
      <c r="LPA46" s="100"/>
      <c r="LPB46" s="100"/>
      <c r="LPC46" s="100"/>
      <c r="LPD46" s="100"/>
      <c r="LPE46" s="100"/>
      <c r="LPF46" s="100"/>
      <c r="LPG46" s="100"/>
      <c r="LPH46" s="100"/>
      <c r="LPI46" s="100"/>
      <c r="LPJ46" s="100"/>
      <c r="LPK46" s="100"/>
      <c r="LPL46" s="100"/>
      <c r="LPM46" s="100"/>
      <c r="LPN46" s="100"/>
      <c r="LPO46" s="100"/>
      <c r="LPP46" s="100"/>
      <c r="LPQ46" s="100"/>
      <c r="LPR46" s="100"/>
      <c r="LPS46" s="100"/>
      <c r="LPT46" s="100"/>
      <c r="LPU46" s="100"/>
      <c r="LPV46" s="100"/>
      <c r="LPW46" s="100"/>
      <c r="LPX46" s="100"/>
      <c r="LPY46" s="100"/>
      <c r="LPZ46" s="100"/>
      <c r="LQA46" s="100"/>
      <c r="LQB46" s="100"/>
      <c r="LQC46" s="100"/>
      <c r="LQD46" s="100"/>
      <c r="LQE46" s="100"/>
      <c r="LQF46" s="100"/>
      <c r="LQG46" s="100"/>
      <c r="LQH46" s="100"/>
      <c r="LQI46" s="100"/>
      <c r="LQJ46" s="100"/>
      <c r="LQK46" s="100"/>
      <c r="LQL46" s="100"/>
      <c r="LQM46" s="100"/>
      <c r="LQN46" s="100"/>
      <c r="LQO46" s="100"/>
      <c r="LQP46" s="100"/>
      <c r="LQQ46" s="100"/>
      <c r="LQR46" s="100"/>
      <c r="LQS46" s="100"/>
      <c r="LQT46" s="100"/>
      <c r="LQU46" s="100"/>
      <c r="LQV46" s="100"/>
      <c r="LQW46" s="100"/>
      <c r="LQX46" s="100"/>
      <c r="LQY46" s="100"/>
      <c r="LQZ46" s="100"/>
      <c r="LRA46" s="100"/>
      <c r="LRB46" s="100"/>
      <c r="LRC46" s="100"/>
      <c r="LRD46" s="100"/>
      <c r="LRE46" s="100"/>
      <c r="LRF46" s="100"/>
      <c r="LRG46" s="100"/>
      <c r="LRH46" s="100"/>
      <c r="LRI46" s="100"/>
      <c r="LRJ46" s="100"/>
      <c r="LRK46" s="100"/>
      <c r="LRL46" s="100"/>
      <c r="LRM46" s="100"/>
      <c r="LRN46" s="100"/>
      <c r="LRO46" s="100"/>
      <c r="LRP46" s="100"/>
      <c r="LRQ46" s="100"/>
      <c r="LRR46" s="100"/>
      <c r="LRS46" s="100"/>
      <c r="LRT46" s="100"/>
      <c r="LRU46" s="100"/>
      <c r="LRV46" s="100"/>
      <c r="LRW46" s="100"/>
      <c r="LRX46" s="100"/>
      <c r="LRY46" s="100"/>
      <c r="LRZ46" s="100"/>
      <c r="LSA46" s="100"/>
      <c r="LSB46" s="100"/>
      <c r="LSC46" s="100"/>
      <c r="LSD46" s="100"/>
      <c r="LSE46" s="100"/>
      <c r="LSF46" s="100"/>
      <c r="LSG46" s="100"/>
      <c r="LSH46" s="100"/>
      <c r="LSI46" s="100"/>
      <c r="LSJ46" s="100"/>
      <c r="LSK46" s="100"/>
      <c r="LSL46" s="100"/>
      <c r="LSM46" s="100"/>
      <c r="LSN46" s="100"/>
      <c r="LSO46" s="100"/>
      <c r="LSP46" s="100"/>
      <c r="LSQ46" s="100"/>
      <c r="LSR46" s="100"/>
      <c r="LSS46" s="100"/>
      <c r="LST46" s="100"/>
      <c r="LSU46" s="100"/>
      <c r="LSV46" s="100"/>
      <c r="LSW46" s="100"/>
      <c r="LSX46" s="100"/>
      <c r="LSY46" s="100"/>
      <c r="LSZ46" s="100"/>
      <c r="LTA46" s="100"/>
      <c r="LTB46" s="100"/>
      <c r="LTC46" s="100"/>
      <c r="LTD46" s="100"/>
      <c r="LTE46" s="100"/>
      <c r="LTF46" s="100"/>
      <c r="LTG46" s="100"/>
      <c r="LTH46" s="100"/>
      <c r="LTI46" s="100"/>
      <c r="LTJ46" s="100"/>
      <c r="LTK46" s="100"/>
      <c r="LTL46" s="100"/>
      <c r="LTM46" s="100"/>
      <c r="LTN46" s="100"/>
      <c r="LTO46" s="100"/>
      <c r="LTP46" s="100"/>
      <c r="LTQ46" s="100"/>
      <c r="LTR46" s="100"/>
      <c r="LTS46" s="100"/>
      <c r="LTT46" s="100"/>
      <c r="LTU46" s="100"/>
      <c r="LTV46" s="100"/>
      <c r="LTW46" s="100"/>
      <c r="LTX46" s="100"/>
      <c r="LTY46" s="100"/>
      <c r="LTZ46" s="100"/>
      <c r="LUA46" s="100"/>
      <c r="LUB46" s="100"/>
      <c r="LUC46" s="100"/>
      <c r="LUD46" s="100"/>
      <c r="LUE46" s="100"/>
      <c r="LUF46" s="100"/>
      <c r="LUG46" s="100"/>
      <c r="LUH46" s="100"/>
      <c r="LUI46" s="100"/>
      <c r="LUJ46" s="100"/>
      <c r="LUK46" s="100"/>
      <c r="LUL46" s="100"/>
      <c r="LUM46" s="100"/>
      <c r="LUN46" s="100"/>
      <c r="LUO46" s="100"/>
      <c r="LUP46" s="100"/>
      <c r="LUQ46" s="100"/>
      <c r="LUR46" s="100"/>
      <c r="LUS46" s="100"/>
      <c r="LUT46" s="100"/>
      <c r="LUU46" s="100"/>
      <c r="LUV46" s="100"/>
      <c r="LUW46" s="100"/>
      <c r="LUX46" s="100"/>
      <c r="LUY46" s="100"/>
      <c r="LUZ46" s="100"/>
      <c r="LVA46" s="100"/>
      <c r="LVB46" s="100"/>
      <c r="LVC46" s="100"/>
      <c r="LVD46" s="100"/>
      <c r="LVE46" s="100"/>
      <c r="LVF46" s="100"/>
      <c r="LVG46" s="100"/>
      <c r="LVH46" s="100"/>
      <c r="LVI46" s="100"/>
      <c r="LVJ46" s="100"/>
      <c r="LVK46" s="100"/>
      <c r="LVL46" s="100"/>
      <c r="LVM46" s="100"/>
      <c r="LVN46" s="100"/>
      <c r="LVO46" s="100"/>
      <c r="LVP46" s="100"/>
      <c r="LVQ46" s="100"/>
      <c r="LVR46" s="100"/>
      <c r="LVS46" s="100"/>
      <c r="LVT46" s="100"/>
      <c r="LVU46" s="100"/>
      <c r="LVV46" s="100"/>
      <c r="LVW46" s="100"/>
      <c r="LVX46" s="100"/>
      <c r="LVY46" s="100"/>
      <c r="LVZ46" s="100"/>
      <c r="LWA46" s="100"/>
      <c r="LWB46" s="100"/>
      <c r="LWC46" s="100"/>
      <c r="LWD46" s="100"/>
      <c r="LWE46" s="100"/>
      <c r="LWF46" s="100"/>
      <c r="LWG46" s="100"/>
      <c r="LWH46" s="100"/>
      <c r="LWI46" s="100"/>
      <c r="LWJ46" s="100"/>
      <c r="LWK46" s="100"/>
      <c r="LWL46" s="100"/>
      <c r="LWM46" s="100"/>
      <c r="LWN46" s="100"/>
      <c r="LWO46" s="100"/>
      <c r="LWP46" s="100"/>
      <c r="LWQ46" s="100"/>
      <c r="LWR46" s="100"/>
      <c r="LWS46" s="100"/>
      <c r="LWT46" s="100"/>
      <c r="LWU46" s="100"/>
      <c r="LWV46" s="100"/>
      <c r="LWW46" s="100"/>
      <c r="LWX46" s="100"/>
      <c r="LWY46" s="100"/>
      <c r="LWZ46" s="100"/>
      <c r="LXA46" s="100"/>
      <c r="LXB46" s="100"/>
      <c r="LXC46" s="100"/>
      <c r="LXD46" s="100"/>
      <c r="LXE46" s="100"/>
      <c r="LXF46" s="100"/>
      <c r="LXG46" s="100"/>
      <c r="LXH46" s="100"/>
      <c r="LXI46" s="100"/>
      <c r="LXJ46" s="100"/>
      <c r="LXK46" s="100"/>
      <c r="LXL46" s="100"/>
      <c r="LXM46" s="100"/>
      <c r="LXN46" s="100"/>
      <c r="LXO46" s="100"/>
      <c r="LXP46" s="100"/>
      <c r="LXQ46" s="100"/>
      <c r="LXR46" s="100"/>
      <c r="LXS46" s="100"/>
      <c r="LXT46" s="100"/>
      <c r="LXU46" s="100"/>
      <c r="LXV46" s="100"/>
      <c r="LXW46" s="100"/>
      <c r="LXX46" s="100"/>
      <c r="LXY46" s="100"/>
      <c r="LXZ46" s="100"/>
      <c r="LYA46" s="100"/>
      <c r="LYB46" s="100"/>
      <c r="LYC46" s="100"/>
      <c r="LYD46" s="100"/>
      <c r="LYE46" s="100"/>
      <c r="LYF46" s="100"/>
      <c r="LYG46" s="100"/>
      <c r="LYH46" s="100"/>
      <c r="LYI46" s="100"/>
      <c r="LYJ46" s="100"/>
      <c r="LYK46" s="100"/>
      <c r="LYL46" s="100"/>
      <c r="LYM46" s="100"/>
      <c r="LYN46" s="100"/>
      <c r="LYO46" s="100"/>
      <c r="LYP46" s="100"/>
      <c r="LYQ46" s="100"/>
      <c r="LYR46" s="100"/>
      <c r="LYS46" s="100"/>
      <c r="LYT46" s="100"/>
      <c r="LYU46" s="100"/>
      <c r="LYV46" s="100"/>
      <c r="LYW46" s="100"/>
      <c r="LYX46" s="100"/>
      <c r="LYY46" s="100"/>
      <c r="LYZ46" s="100"/>
      <c r="LZA46" s="100"/>
      <c r="LZB46" s="100"/>
      <c r="LZC46" s="100"/>
      <c r="LZD46" s="100"/>
      <c r="LZE46" s="100"/>
      <c r="LZF46" s="100"/>
      <c r="LZG46" s="100"/>
      <c r="LZH46" s="100"/>
      <c r="LZI46" s="100"/>
      <c r="LZJ46" s="100"/>
      <c r="LZK46" s="100"/>
      <c r="LZL46" s="100"/>
      <c r="LZM46" s="100"/>
      <c r="LZN46" s="100"/>
      <c r="LZO46" s="100"/>
      <c r="LZP46" s="100"/>
      <c r="LZQ46" s="100"/>
      <c r="LZR46" s="100"/>
      <c r="LZS46" s="100"/>
      <c r="LZT46" s="100"/>
      <c r="LZU46" s="100"/>
      <c r="LZV46" s="100"/>
      <c r="LZW46" s="100"/>
      <c r="LZX46" s="100"/>
      <c r="LZY46" s="100"/>
      <c r="LZZ46" s="100"/>
      <c r="MAA46" s="100"/>
      <c r="MAB46" s="100"/>
      <c r="MAC46" s="100"/>
      <c r="MAD46" s="100"/>
      <c r="MAE46" s="100"/>
      <c r="MAF46" s="100"/>
      <c r="MAG46" s="100"/>
      <c r="MAH46" s="100"/>
      <c r="MAI46" s="100"/>
      <c r="MAJ46" s="100"/>
      <c r="MAK46" s="100"/>
      <c r="MAL46" s="100"/>
      <c r="MAM46" s="100"/>
      <c r="MAN46" s="100"/>
      <c r="MAO46" s="100"/>
      <c r="MAP46" s="100"/>
      <c r="MAQ46" s="100"/>
      <c r="MAR46" s="100"/>
      <c r="MAS46" s="100"/>
      <c r="MAT46" s="100"/>
      <c r="MAU46" s="100"/>
      <c r="MAV46" s="100"/>
      <c r="MAW46" s="100"/>
      <c r="MAX46" s="100"/>
      <c r="MAY46" s="100"/>
      <c r="MAZ46" s="100"/>
      <c r="MBA46" s="100"/>
      <c r="MBB46" s="100"/>
      <c r="MBC46" s="100"/>
      <c r="MBD46" s="100"/>
      <c r="MBE46" s="100"/>
      <c r="MBF46" s="100"/>
      <c r="MBG46" s="100"/>
      <c r="MBH46" s="100"/>
      <c r="MBI46" s="100"/>
      <c r="MBJ46" s="100"/>
      <c r="MBK46" s="100"/>
      <c r="MBL46" s="100"/>
      <c r="MBM46" s="100"/>
      <c r="MBN46" s="100"/>
      <c r="MBO46" s="100"/>
      <c r="MBP46" s="100"/>
      <c r="MBQ46" s="100"/>
      <c r="MBR46" s="100"/>
      <c r="MBS46" s="100"/>
      <c r="MBT46" s="100"/>
      <c r="MBU46" s="100"/>
      <c r="MBV46" s="100"/>
      <c r="MBW46" s="100"/>
      <c r="MBX46" s="100"/>
      <c r="MBY46" s="100"/>
      <c r="MBZ46" s="100"/>
      <c r="MCA46" s="100"/>
      <c r="MCB46" s="100"/>
      <c r="MCC46" s="100"/>
      <c r="MCD46" s="100"/>
      <c r="MCE46" s="100"/>
      <c r="MCF46" s="100"/>
      <c r="MCG46" s="100"/>
      <c r="MCH46" s="100"/>
      <c r="MCI46" s="100"/>
      <c r="MCJ46" s="100"/>
      <c r="MCK46" s="100"/>
      <c r="MCL46" s="100"/>
      <c r="MCM46" s="100"/>
      <c r="MCN46" s="100"/>
      <c r="MCO46" s="100"/>
      <c r="MCP46" s="100"/>
      <c r="MCQ46" s="100"/>
      <c r="MCR46" s="100"/>
      <c r="MCS46" s="100"/>
      <c r="MCT46" s="100"/>
      <c r="MCU46" s="100"/>
      <c r="MCV46" s="100"/>
      <c r="MCW46" s="100"/>
      <c r="MCX46" s="100"/>
      <c r="MCY46" s="100"/>
      <c r="MCZ46" s="100"/>
      <c r="MDA46" s="100"/>
      <c r="MDB46" s="100"/>
      <c r="MDC46" s="100"/>
      <c r="MDD46" s="100"/>
      <c r="MDE46" s="100"/>
      <c r="MDF46" s="100"/>
      <c r="MDG46" s="100"/>
      <c r="MDH46" s="100"/>
      <c r="MDI46" s="100"/>
      <c r="MDJ46" s="100"/>
      <c r="MDK46" s="100"/>
      <c r="MDL46" s="100"/>
      <c r="MDM46" s="100"/>
      <c r="MDN46" s="100"/>
      <c r="MDO46" s="100"/>
      <c r="MDP46" s="100"/>
      <c r="MDQ46" s="100"/>
      <c r="MDR46" s="100"/>
      <c r="MDS46" s="100"/>
      <c r="MDT46" s="100"/>
      <c r="MDU46" s="100"/>
      <c r="MDV46" s="100"/>
      <c r="MDW46" s="100"/>
      <c r="MDX46" s="100"/>
      <c r="MDY46" s="100"/>
      <c r="MDZ46" s="100"/>
      <c r="MEA46" s="100"/>
      <c r="MEB46" s="100"/>
      <c r="MEC46" s="100"/>
      <c r="MED46" s="100"/>
      <c r="MEE46" s="100"/>
      <c r="MEF46" s="100"/>
      <c r="MEG46" s="100"/>
      <c r="MEH46" s="100"/>
      <c r="MEI46" s="100"/>
      <c r="MEJ46" s="100"/>
      <c r="MEK46" s="100"/>
      <c r="MEL46" s="100"/>
      <c r="MEM46" s="100"/>
      <c r="MEN46" s="100"/>
      <c r="MEO46" s="100"/>
      <c r="MEP46" s="100"/>
      <c r="MEQ46" s="100"/>
      <c r="MER46" s="100"/>
      <c r="MES46" s="100"/>
      <c r="MET46" s="100"/>
      <c r="MEU46" s="100"/>
      <c r="MEV46" s="100"/>
      <c r="MEW46" s="100"/>
      <c r="MEX46" s="100"/>
      <c r="MEY46" s="100"/>
      <c r="MEZ46" s="100"/>
      <c r="MFA46" s="100"/>
      <c r="MFB46" s="100"/>
      <c r="MFC46" s="100"/>
      <c r="MFD46" s="100"/>
      <c r="MFE46" s="100"/>
      <c r="MFF46" s="100"/>
      <c r="MFG46" s="100"/>
      <c r="MFH46" s="100"/>
      <c r="MFI46" s="100"/>
      <c r="MFJ46" s="100"/>
      <c r="MFK46" s="100"/>
      <c r="MFL46" s="100"/>
      <c r="MFM46" s="100"/>
      <c r="MFN46" s="100"/>
      <c r="MFO46" s="100"/>
      <c r="MFP46" s="100"/>
      <c r="MFQ46" s="100"/>
      <c r="MFR46" s="100"/>
      <c r="MFS46" s="100"/>
      <c r="MFT46" s="100"/>
      <c r="MFU46" s="100"/>
      <c r="MFV46" s="100"/>
      <c r="MFW46" s="100"/>
      <c r="MFX46" s="100"/>
      <c r="MFY46" s="100"/>
      <c r="MFZ46" s="100"/>
      <c r="MGA46" s="100"/>
      <c r="MGB46" s="100"/>
      <c r="MGC46" s="100"/>
      <c r="MGD46" s="100"/>
      <c r="MGE46" s="100"/>
      <c r="MGF46" s="100"/>
      <c r="MGG46" s="100"/>
      <c r="MGH46" s="100"/>
      <c r="MGI46" s="100"/>
      <c r="MGJ46" s="100"/>
      <c r="MGK46" s="100"/>
      <c r="MGL46" s="100"/>
      <c r="MGM46" s="100"/>
      <c r="MGN46" s="100"/>
      <c r="MGO46" s="100"/>
      <c r="MGP46" s="100"/>
      <c r="MGQ46" s="100"/>
      <c r="MGR46" s="100"/>
      <c r="MGS46" s="100"/>
      <c r="MGT46" s="100"/>
      <c r="MGU46" s="100"/>
      <c r="MGV46" s="100"/>
      <c r="MGW46" s="100"/>
      <c r="MGX46" s="100"/>
      <c r="MGY46" s="100"/>
      <c r="MGZ46" s="100"/>
      <c r="MHA46" s="100"/>
      <c r="MHB46" s="100"/>
      <c r="MHC46" s="100"/>
      <c r="MHD46" s="100"/>
      <c r="MHE46" s="100"/>
      <c r="MHF46" s="100"/>
      <c r="MHG46" s="100"/>
      <c r="MHH46" s="100"/>
      <c r="MHI46" s="100"/>
      <c r="MHJ46" s="100"/>
      <c r="MHK46" s="100"/>
      <c r="MHL46" s="100"/>
      <c r="MHM46" s="100"/>
      <c r="MHN46" s="100"/>
      <c r="MHO46" s="100"/>
      <c r="MHP46" s="100"/>
      <c r="MHQ46" s="100"/>
      <c r="MHR46" s="100"/>
      <c r="MHS46" s="100"/>
      <c r="MHT46" s="100"/>
      <c r="MHU46" s="100"/>
      <c r="MHV46" s="100"/>
      <c r="MHW46" s="100"/>
      <c r="MHX46" s="100"/>
      <c r="MHY46" s="100"/>
      <c r="MHZ46" s="100"/>
      <c r="MIA46" s="100"/>
      <c r="MIB46" s="100"/>
      <c r="MIC46" s="100"/>
      <c r="MID46" s="100"/>
      <c r="MIE46" s="100"/>
      <c r="MIF46" s="100"/>
      <c r="MIG46" s="100"/>
      <c r="MIH46" s="100"/>
      <c r="MII46" s="100"/>
      <c r="MIJ46" s="100"/>
      <c r="MIK46" s="100"/>
      <c r="MIL46" s="100"/>
      <c r="MIM46" s="100"/>
      <c r="MIN46" s="100"/>
      <c r="MIO46" s="100"/>
      <c r="MIP46" s="100"/>
      <c r="MIQ46" s="100"/>
      <c r="MIR46" s="100"/>
      <c r="MIS46" s="100"/>
      <c r="MIT46" s="100"/>
      <c r="MIU46" s="100"/>
      <c r="MIV46" s="100"/>
      <c r="MIW46" s="100"/>
      <c r="MIX46" s="100"/>
      <c r="MIY46" s="100"/>
      <c r="MIZ46" s="100"/>
      <c r="MJA46" s="100"/>
      <c r="MJB46" s="100"/>
      <c r="MJC46" s="100"/>
      <c r="MJD46" s="100"/>
      <c r="MJE46" s="100"/>
      <c r="MJF46" s="100"/>
      <c r="MJG46" s="100"/>
      <c r="MJH46" s="100"/>
      <c r="MJI46" s="100"/>
      <c r="MJJ46" s="100"/>
      <c r="MJK46" s="100"/>
      <c r="MJL46" s="100"/>
      <c r="MJM46" s="100"/>
      <c r="MJN46" s="100"/>
      <c r="MJO46" s="100"/>
      <c r="MJP46" s="100"/>
      <c r="MJQ46" s="100"/>
      <c r="MJR46" s="100"/>
      <c r="MJS46" s="100"/>
      <c r="MJT46" s="100"/>
      <c r="MJU46" s="100"/>
      <c r="MJV46" s="100"/>
      <c r="MJW46" s="100"/>
      <c r="MJX46" s="100"/>
      <c r="MJY46" s="100"/>
      <c r="MJZ46" s="100"/>
      <c r="MKA46" s="100"/>
      <c r="MKB46" s="100"/>
      <c r="MKC46" s="100"/>
      <c r="MKD46" s="100"/>
      <c r="MKE46" s="100"/>
      <c r="MKF46" s="100"/>
      <c r="MKG46" s="100"/>
      <c r="MKH46" s="100"/>
      <c r="MKI46" s="100"/>
      <c r="MKJ46" s="100"/>
      <c r="MKK46" s="100"/>
      <c r="MKL46" s="100"/>
      <c r="MKM46" s="100"/>
      <c r="MKN46" s="100"/>
      <c r="MKO46" s="100"/>
      <c r="MKP46" s="100"/>
      <c r="MKQ46" s="100"/>
      <c r="MKR46" s="100"/>
      <c r="MKS46" s="100"/>
      <c r="MKT46" s="100"/>
      <c r="MKU46" s="100"/>
      <c r="MKV46" s="100"/>
      <c r="MKW46" s="100"/>
      <c r="MKX46" s="100"/>
      <c r="MKY46" s="100"/>
      <c r="MKZ46" s="100"/>
      <c r="MLA46" s="100"/>
      <c r="MLB46" s="100"/>
      <c r="MLC46" s="100"/>
      <c r="MLD46" s="100"/>
      <c r="MLE46" s="100"/>
      <c r="MLF46" s="100"/>
      <c r="MLG46" s="100"/>
      <c r="MLH46" s="100"/>
      <c r="MLI46" s="100"/>
      <c r="MLJ46" s="100"/>
      <c r="MLK46" s="100"/>
      <c r="MLL46" s="100"/>
      <c r="MLM46" s="100"/>
      <c r="MLN46" s="100"/>
      <c r="MLO46" s="100"/>
      <c r="MLP46" s="100"/>
      <c r="MLQ46" s="100"/>
      <c r="MLR46" s="100"/>
      <c r="MLS46" s="100"/>
      <c r="MLT46" s="100"/>
      <c r="MLU46" s="100"/>
      <c r="MLV46" s="100"/>
      <c r="MLW46" s="100"/>
      <c r="MLX46" s="100"/>
      <c r="MLY46" s="100"/>
      <c r="MLZ46" s="100"/>
      <c r="MMA46" s="100"/>
      <c r="MMB46" s="100"/>
      <c r="MMC46" s="100"/>
      <c r="MMD46" s="100"/>
      <c r="MME46" s="100"/>
      <c r="MMF46" s="100"/>
      <c r="MMG46" s="100"/>
      <c r="MMH46" s="100"/>
      <c r="MMI46" s="100"/>
      <c r="MMJ46" s="100"/>
      <c r="MMK46" s="100"/>
      <c r="MML46" s="100"/>
      <c r="MMM46" s="100"/>
      <c r="MMN46" s="100"/>
      <c r="MMO46" s="100"/>
      <c r="MMP46" s="100"/>
      <c r="MMQ46" s="100"/>
      <c r="MMR46" s="100"/>
      <c r="MMS46" s="100"/>
      <c r="MMT46" s="100"/>
      <c r="MMU46" s="100"/>
      <c r="MMV46" s="100"/>
      <c r="MMW46" s="100"/>
      <c r="MMX46" s="100"/>
      <c r="MMY46" s="100"/>
      <c r="MMZ46" s="100"/>
      <c r="MNA46" s="100"/>
      <c r="MNB46" s="100"/>
      <c r="MNC46" s="100"/>
      <c r="MND46" s="100"/>
      <c r="MNE46" s="100"/>
      <c r="MNF46" s="100"/>
      <c r="MNG46" s="100"/>
      <c r="MNH46" s="100"/>
      <c r="MNI46" s="100"/>
      <c r="MNJ46" s="100"/>
      <c r="MNK46" s="100"/>
      <c r="MNL46" s="100"/>
      <c r="MNM46" s="100"/>
      <c r="MNN46" s="100"/>
      <c r="MNO46" s="100"/>
      <c r="MNP46" s="100"/>
      <c r="MNQ46" s="100"/>
      <c r="MNR46" s="100"/>
      <c r="MNS46" s="100"/>
      <c r="MNT46" s="100"/>
      <c r="MNU46" s="100"/>
      <c r="MNV46" s="100"/>
      <c r="MNW46" s="100"/>
      <c r="MNX46" s="100"/>
      <c r="MNY46" s="100"/>
      <c r="MNZ46" s="100"/>
      <c r="MOA46" s="100"/>
      <c r="MOB46" s="100"/>
      <c r="MOC46" s="100"/>
      <c r="MOD46" s="100"/>
      <c r="MOE46" s="100"/>
      <c r="MOF46" s="100"/>
      <c r="MOG46" s="100"/>
      <c r="MOH46" s="100"/>
      <c r="MOI46" s="100"/>
      <c r="MOJ46" s="100"/>
      <c r="MOK46" s="100"/>
      <c r="MOL46" s="100"/>
      <c r="MOM46" s="100"/>
      <c r="MON46" s="100"/>
      <c r="MOO46" s="100"/>
      <c r="MOP46" s="100"/>
      <c r="MOQ46" s="100"/>
      <c r="MOR46" s="100"/>
      <c r="MOS46" s="100"/>
      <c r="MOT46" s="100"/>
      <c r="MOU46" s="100"/>
      <c r="MOV46" s="100"/>
      <c r="MOW46" s="100"/>
      <c r="MOX46" s="100"/>
      <c r="MOY46" s="100"/>
      <c r="MOZ46" s="100"/>
      <c r="MPA46" s="100"/>
      <c r="MPB46" s="100"/>
      <c r="MPC46" s="100"/>
      <c r="MPD46" s="100"/>
      <c r="MPE46" s="100"/>
      <c r="MPF46" s="100"/>
      <c r="MPG46" s="100"/>
      <c r="MPH46" s="100"/>
      <c r="MPI46" s="100"/>
      <c r="MPJ46" s="100"/>
      <c r="MPK46" s="100"/>
      <c r="MPL46" s="100"/>
      <c r="MPM46" s="100"/>
      <c r="MPN46" s="100"/>
      <c r="MPO46" s="100"/>
      <c r="MPP46" s="100"/>
      <c r="MPQ46" s="100"/>
      <c r="MPR46" s="100"/>
      <c r="MPS46" s="100"/>
      <c r="MPT46" s="100"/>
      <c r="MPU46" s="100"/>
      <c r="MPV46" s="100"/>
      <c r="MPW46" s="100"/>
      <c r="MPX46" s="100"/>
      <c r="MPY46" s="100"/>
      <c r="MPZ46" s="100"/>
      <c r="MQA46" s="100"/>
      <c r="MQB46" s="100"/>
      <c r="MQC46" s="100"/>
      <c r="MQD46" s="100"/>
      <c r="MQE46" s="100"/>
      <c r="MQF46" s="100"/>
      <c r="MQG46" s="100"/>
      <c r="MQH46" s="100"/>
      <c r="MQI46" s="100"/>
      <c r="MQJ46" s="100"/>
      <c r="MQK46" s="100"/>
      <c r="MQL46" s="100"/>
      <c r="MQM46" s="100"/>
      <c r="MQN46" s="100"/>
      <c r="MQO46" s="100"/>
      <c r="MQP46" s="100"/>
      <c r="MQQ46" s="100"/>
      <c r="MQR46" s="100"/>
      <c r="MQS46" s="100"/>
      <c r="MQT46" s="100"/>
      <c r="MQU46" s="100"/>
      <c r="MQV46" s="100"/>
      <c r="MQW46" s="100"/>
      <c r="MQX46" s="100"/>
      <c r="MQY46" s="100"/>
      <c r="MQZ46" s="100"/>
      <c r="MRA46" s="100"/>
      <c r="MRB46" s="100"/>
      <c r="MRC46" s="100"/>
      <c r="MRD46" s="100"/>
      <c r="MRE46" s="100"/>
      <c r="MRF46" s="100"/>
      <c r="MRG46" s="100"/>
      <c r="MRH46" s="100"/>
      <c r="MRI46" s="100"/>
      <c r="MRJ46" s="100"/>
      <c r="MRK46" s="100"/>
      <c r="MRL46" s="100"/>
      <c r="MRM46" s="100"/>
      <c r="MRN46" s="100"/>
      <c r="MRO46" s="100"/>
      <c r="MRP46" s="100"/>
      <c r="MRQ46" s="100"/>
      <c r="MRR46" s="100"/>
      <c r="MRS46" s="100"/>
      <c r="MRT46" s="100"/>
      <c r="MRU46" s="100"/>
      <c r="MRV46" s="100"/>
      <c r="MRW46" s="100"/>
      <c r="MRX46" s="100"/>
      <c r="MRY46" s="100"/>
      <c r="MRZ46" s="100"/>
      <c r="MSA46" s="100"/>
      <c r="MSB46" s="100"/>
      <c r="MSC46" s="100"/>
      <c r="MSD46" s="100"/>
      <c r="MSE46" s="100"/>
      <c r="MSF46" s="100"/>
      <c r="MSG46" s="100"/>
      <c r="MSH46" s="100"/>
      <c r="MSI46" s="100"/>
      <c r="MSJ46" s="100"/>
      <c r="MSK46" s="100"/>
      <c r="MSL46" s="100"/>
      <c r="MSM46" s="100"/>
      <c r="MSN46" s="100"/>
      <c r="MSO46" s="100"/>
      <c r="MSP46" s="100"/>
      <c r="MSQ46" s="100"/>
      <c r="MSR46" s="100"/>
      <c r="MSS46" s="100"/>
      <c r="MST46" s="100"/>
      <c r="MSU46" s="100"/>
      <c r="MSV46" s="100"/>
      <c r="MSW46" s="100"/>
      <c r="MSX46" s="100"/>
      <c r="MSY46" s="100"/>
      <c r="MSZ46" s="100"/>
      <c r="MTA46" s="100"/>
      <c r="MTB46" s="100"/>
      <c r="MTC46" s="100"/>
      <c r="MTD46" s="100"/>
      <c r="MTE46" s="100"/>
      <c r="MTF46" s="100"/>
      <c r="MTG46" s="100"/>
      <c r="MTH46" s="100"/>
      <c r="MTI46" s="100"/>
      <c r="MTJ46" s="100"/>
      <c r="MTK46" s="100"/>
      <c r="MTL46" s="100"/>
      <c r="MTM46" s="100"/>
      <c r="MTN46" s="100"/>
      <c r="MTO46" s="100"/>
      <c r="MTP46" s="100"/>
      <c r="MTQ46" s="100"/>
      <c r="MTR46" s="100"/>
      <c r="MTS46" s="100"/>
      <c r="MTT46" s="100"/>
      <c r="MTU46" s="100"/>
      <c r="MTV46" s="100"/>
      <c r="MTW46" s="100"/>
      <c r="MTX46" s="100"/>
      <c r="MTY46" s="100"/>
      <c r="MTZ46" s="100"/>
      <c r="MUA46" s="100"/>
      <c r="MUB46" s="100"/>
      <c r="MUC46" s="100"/>
      <c r="MUD46" s="100"/>
      <c r="MUE46" s="100"/>
      <c r="MUF46" s="100"/>
      <c r="MUG46" s="100"/>
      <c r="MUH46" s="100"/>
      <c r="MUI46" s="100"/>
      <c r="MUJ46" s="100"/>
      <c r="MUK46" s="100"/>
      <c r="MUL46" s="100"/>
      <c r="MUM46" s="100"/>
      <c r="MUN46" s="100"/>
      <c r="MUO46" s="100"/>
      <c r="MUP46" s="100"/>
      <c r="MUQ46" s="100"/>
      <c r="MUR46" s="100"/>
      <c r="MUS46" s="100"/>
      <c r="MUT46" s="100"/>
      <c r="MUU46" s="100"/>
      <c r="MUV46" s="100"/>
      <c r="MUW46" s="100"/>
      <c r="MUX46" s="100"/>
      <c r="MUY46" s="100"/>
      <c r="MUZ46" s="100"/>
      <c r="MVA46" s="100"/>
      <c r="MVB46" s="100"/>
      <c r="MVC46" s="100"/>
      <c r="MVD46" s="100"/>
      <c r="MVE46" s="100"/>
      <c r="MVF46" s="100"/>
      <c r="MVG46" s="100"/>
      <c r="MVH46" s="100"/>
      <c r="MVI46" s="100"/>
      <c r="MVJ46" s="100"/>
      <c r="MVK46" s="100"/>
      <c r="MVL46" s="100"/>
      <c r="MVM46" s="100"/>
      <c r="MVN46" s="100"/>
      <c r="MVO46" s="100"/>
      <c r="MVP46" s="100"/>
      <c r="MVQ46" s="100"/>
      <c r="MVR46" s="100"/>
      <c r="MVS46" s="100"/>
      <c r="MVT46" s="100"/>
      <c r="MVU46" s="100"/>
      <c r="MVV46" s="100"/>
      <c r="MVW46" s="100"/>
      <c r="MVX46" s="100"/>
      <c r="MVY46" s="100"/>
      <c r="MVZ46" s="100"/>
      <c r="MWA46" s="100"/>
      <c r="MWB46" s="100"/>
      <c r="MWC46" s="100"/>
      <c r="MWD46" s="100"/>
      <c r="MWE46" s="100"/>
      <c r="MWF46" s="100"/>
      <c r="MWG46" s="100"/>
      <c r="MWH46" s="100"/>
      <c r="MWI46" s="100"/>
      <c r="MWJ46" s="100"/>
      <c r="MWK46" s="100"/>
      <c r="MWL46" s="100"/>
      <c r="MWM46" s="100"/>
      <c r="MWN46" s="100"/>
      <c r="MWO46" s="100"/>
      <c r="MWP46" s="100"/>
      <c r="MWQ46" s="100"/>
      <c r="MWR46" s="100"/>
      <c r="MWS46" s="100"/>
      <c r="MWT46" s="100"/>
      <c r="MWU46" s="100"/>
      <c r="MWV46" s="100"/>
      <c r="MWW46" s="100"/>
      <c r="MWX46" s="100"/>
      <c r="MWY46" s="100"/>
      <c r="MWZ46" s="100"/>
      <c r="MXA46" s="100"/>
      <c r="MXB46" s="100"/>
      <c r="MXC46" s="100"/>
      <c r="MXD46" s="100"/>
      <c r="MXE46" s="100"/>
      <c r="MXF46" s="100"/>
      <c r="MXG46" s="100"/>
      <c r="MXH46" s="100"/>
      <c r="MXI46" s="100"/>
      <c r="MXJ46" s="100"/>
      <c r="MXK46" s="100"/>
      <c r="MXL46" s="100"/>
      <c r="MXM46" s="100"/>
      <c r="MXN46" s="100"/>
      <c r="MXO46" s="100"/>
      <c r="MXP46" s="100"/>
      <c r="MXQ46" s="100"/>
      <c r="MXR46" s="100"/>
      <c r="MXS46" s="100"/>
      <c r="MXT46" s="100"/>
      <c r="MXU46" s="100"/>
      <c r="MXV46" s="100"/>
      <c r="MXW46" s="100"/>
      <c r="MXX46" s="100"/>
      <c r="MXY46" s="100"/>
      <c r="MXZ46" s="100"/>
      <c r="MYA46" s="100"/>
      <c r="MYB46" s="100"/>
      <c r="MYC46" s="100"/>
      <c r="MYD46" s="100"/>
      <c r="MYE46" s="100"/>
      <c r="MYF46" s="100"/>
      <c r="MYG46" s="100"/>
      <c r="MYH46" s="100"/>
      <c r="MYI46" s="100"/>
      <c r="MYJ46" s="100"/>
      <c r="MYK46" s="100"/>
      <c r="MYL46" s="100"/>
      <c r="MYM46" s="100"/>
      <c r="MYN46" s="100"/>
      <c r="MYO46" s="100"/>
      <c r="MYP46" s="100"/>
      <c r="MYQ46" s="100"/>
      <c r="MYR46" s="100"/>
      <c r="MYS46" s="100"/>
      <c r="MYT46" s="100"/>
      <c r="MYU46" s="100"/>
      <c r="MYV46" s="100"/>
      <c r="MYW46" s="100"/>
      <c r="MYX46" s="100"/>
      <c r="MYY46" s="100"/>
      <c r="MYZ46" s="100"/>
      <c r="MZA46" s="100"/>
      <c r="MZB46" s="100"/>
      <c r="MZC46" s="100"/>
      <c r="MZD46" s="100"/>
      <c r="MZE46" s="100"/>
      <c r="MZF46" s="100"/>
      <c r="MZG46" s="100"/>
      <c r="MZH46" s="100"/>
      <c r="MZI46" s="100"/>
      <c r="MZJ46" s="100"/>
      <c r="MZK46" s="100"/>
      <c r="MZL46" s="100"/>
      <c r="MZM46" s="100"/>
      <c r="MZN46" s="100"/>
      <c r="MZO46" s="100"/>
      <c r="MZP46" s="100"/>
      <c r="MZQ46" s="100"/>
      <c r="MZR46" s="100"/>
      <c r="MZS46" s="100"/>
      <c r="MZT46" s="100"/>
      <c r="MZU46" s="100"/>
      <c r="MZV46" s="100"/>
      <c r="MZW46" s="100"/>
      <c r="MZX46" s="100"/>
      <c r="MZY46" s="100"/>
      <c r="MZZ46" s="100"/>
      <c r="NAA46" s="100"/>
      <c r="NAB46" s="100"/>
      <c r="NAC46" s="100"/>
      <c r="NAD46" s="100"/>
      <c r="NAE46" s="100"/>
      <c r="NAF46" s="100"/>
      <c r="NAG46" s="100"/>
      <c r="NAH46" s="100"/>
      <c r="NAI46" s="100"/>
      <c r="NAJ46" s="100"/>
      <c r="NAK46" s="100"/>
      <c r="NAL46" s="100"/>
      <c r="NAM46" s="100"/>
      <c r="NAN46" s="100"/>
      <c r="NAO46" s="100"/>
      <c r="NAP46" s="100"/>
      <c r="NAQ46" s="100"/>
      <c r="NAR46" s="100"/>
      <c r="NAS46" s="100"/>
      <c r="NAT46" s="100"/>
      <c r="NAU46" s="100"/>
      <c r="NAV46" s="100"/>
      <c r="NAW46" s="100"/>
      <c r="NAX46" s="100"/>
      <c r="NAY46" s="100"/>
      <c r="NAZ46" s="100"/>
      <c r="NBA46" s="100"/>
      <c r="NBB46" s="100"/>
      <c r="NBC46" s="100"/>
      <c r="NBD46" s="100"/>
      <c r="NBE46" s="100"/>
      <c r="NBF46" s="100"/>
      <c r="NBG46" s="100"/>
      <c r="NBH46" s="100"/>
      <c r="NBI46" s="100"/>
      <c r="NBJ46" s="100"/>
      <c r="NBK46" s="100"/>
      <c r="NBL46" s="100"/>
      <c r="NBM46" s="100"/>
      <c r="NBN46" s="100"/>
      <c r="NBO46" s="100"/>
      <c r="NBP46" s="100"/>
      <c r="NBQ46" s="100"/>
      <c r="NBR46" s="100"/>
      <c r="NBS46" s="100"/>
      <c r="NBT46" s="100"/>
      <c r="NBU46" s="100"/>
      <c r="NBV46" s="100"/>
      <c r="NBW46" s="100"/>
      <c r="NBX46" s="100"/>
      <c r="NBY46" s="100"/>
      <c r="NBZ46" s="100"/>
      <c r="NCA46" s="100"/>
      <c r="NCB46" s="100"/>
      <c r="NCC46" s="100"/>
      <c r="NCD46" s="100"/>
      <c r="NCE46" s="100"/>
      <c r="NCF46" s="100"/>
      <c r="NCG46" s="100"/>
      <c r="NCH46" s="100"/>
      <c r="NCI46" s="100"/>
      <c r="NCJ46" s="100"/>
      <c r="NCK46" s="100"/>
      <c r="NCL46" s="100"/>
      <c r="NCM46" s="100"/>
      <c r="NCN46" s="100"/>
      <c r="NCO46" s="100"/>
      <c r="NCP46" s="100"/>
      <c r="NCQ46" s="100"/>
      <c r="NCR46" s="100"/>
      <c r="NCS46" s="100"/>
      <c r="NCT46" s="100"/>
      <c r="NCU46" s="100"/>
      <c r="NCV46" s="100"/>
      <c r="NCW46" s="100"/>
      <c r="NCX46" s="100"/>
      <c r="NCY46" s="100"/>
      <c r="NCZ46" s="100"/>
      <c r="NDA46" s="100"/>
      <c r="NDB46" s="100"/>
      <c r="NDC46" s="100"/>
      <c r="NDD46" s="100"/>
      <c r="NDE46" s="100"/>
      <c r="NDF46" s="100"/>
      <c r="NDG46" s="100"/>
      <c r="NDH46" s="100"/>
      <c r="NDI46" s="100"/>
      <c r="NDJ46" s="100"/>
      <c r="NDK46" s="100"/>
      <c r="NDL46" s="100"/>
      <c r="NDM46" s="100"/>
      <c r="NDN46" s="100"/>
      <c r="NDO46" s="100"/>
      <c r="NDP46" s="100"/>
      <c r="NDQ46" s="100"/>
      <c r="NDR46" s="100"/>
      <c r="NDS46" s="100"/>
      <c r="NDT46" s="100"/>
      <c r="NDU46" s="100"/>
      <c r="NDV46" s="100"/>
      <c r="NDW46" s="100"/>
      <c r="NDX46" s="100"/>
      <c r="NDY46" s="100"/>
      <c r="NDZ46" s="100"/>
      <c r="NEA46" s="100"/>
      <c r="NEB46" s="100"/>
      <c r="NEC46" s="100"/>
      <c r="NED46" s="100"/>
      <c r="NEE46" s="100"/>
      <c r="NEF46" s="100"/>
      <c r="NEG46" s="100"/>
      <c r="NEH46" s="100"/>
      <c r="NEI46" s="100"/>
      <c r="NEJ46" s="100"/>
      <c r="NEK46" s="100"/>
      <c r="NEL46" s="100"/>
      <c r="NEM46" s="100"/>
      <c r="NEN46" s="100"/>
      <c r="NEO46" s="100"/>
      <c r="NEP46" s="100"/>
      <c r="NEQ46" s="100"/>
      <c r="NER46" s="100"/>
      <c r="NES46" s="100"/>
      <c r="NET46" s="100"/>
      <c r="NEU46" s="100"/>
      <c r="NEV46" s="100"/>
      <c r="NEW46" s="100"/>
      <c r="NEX46" s="100"/>
      <c r="NEY46" s="100"/>
      <c r="NEZ46" s="100"/>
      <c r="NFA46" s="100"/>
      <c r="NFB46" s="100"/>
      <c r="NFC46" s="100"/>
      <c r="NFD46" s="100"/>
      <c r="NFE46" s="100"/>
      <c r="NFF46" s="100"/>
      <c r="NFG46" s="100"/>
      <c r="NFH46" s="100"/>
      <c r="NFI46" s="100"/>
      <c r="NFJ46" s="100"/>
      <c r="NFK46" s="100"/>
      <c r="NFL46" s="100"/>
      <c r="NFM46" s="100"/>
      <c r="NFN46" s="100"/>
      <c r="NFO46" s="100"/>
      <c r="NFP46" s="100"/>
      <c r="NFQ46" s="100"/>
      <c r="NFR46" s="100"/>
      <c r="NFS46" s="100"/>
      <c r="NFT46" s="100"/>
      <c r="NFU46" s="100"/>
      <c r="NFV46" s="100"/>
      <c r="NFW46" s="100"/>
      <c r="NFX46" s="100"/>
      <c r="NFY46" s="100"/>
      <c r="NFZ46" s="100"/>
      <c r="NGA46" s="100"/>
      <c r="NGB46" s="100"/>
      <c r="NGC46" s="100"/>
      <c r="NGD46" s="100"/>
      <c r="NGE46" s="100"/>
      <c r="NGF46" s="100"/>
      <c r="NGG46" s="100"/>
      <c r="NGH46" s="100"/>
      <c r="NGI46" s="100"/>
      <c r="NGJ46" s="100"/>
      <c r="NGK46" s="100"/>
      <c r="NGL46" s="100"/>
      <c r="NGM46" s="100"/>
      <c r="NGN46" s="100"/>
      <c r="NGO46" s="100"/>
      <c r="NGP46" s="100"/>
      <c r="NGQ46" s="100"/>
      <c r="NGR46" s="100"/>
      <c r="NGS46" s="100"/>
      <c r="NGT46" s="100"/>
      <c r="NGU46" s="100"/>
      <c r="NGV46" s="100"/>
      <c r="NGW46" s="100"/>
      <c r="NGX46" s="100"/>
      <c r="NGY46" s="100"/>
      <c r="NGZ46" s="100"/>
      <c r="NHA46" s="100"/>
      <c r="NHB46" s="100"/>
      <c r="NHC46" s="100"/>
      <c r="NHD46" s="100"/>
      <c r="NHE46" s="100"/>
      <c r="NHF46" s="100"/>
      <c r="NHG46" s="100"/>
      <c r="NHH46" s="100"/>
      <c r="NHI46" s="100"/>
      <c r="NHJ46" s="100"/>
      <c r="NHK46" s="100"/>
      <c r="NHL46" s="100"/>
      <c r="NHM46" s="100"/>
      <c r="NHN46" s="100"/>
      <c r="NHO46" s="100"/>
      <c r="NHP46" s="100"/>
      <c r="NHQ46" s="100"/>
      <c r="NHR46" s="100"/>
      <c r="NHS46" s="100"/>
      <c r="NHT46" s="100"/>
      <c r="NHU46" s="100"/>
      <c r="NHV46" s="100"/>
      <c r="NHW46" s="100"/>
      <c r="NHX46" s="100"/>
      <c r="NHY46" s="100"/>
      <c r="NHZ46" s="100"/>
      <c r="NIA46" s="100"/>
      <c r="NIB46" s="100"/>
      <c r="NIC46" s="100"/>
      <c r="NID46" s="100"/>
      <c r="NIE46" s="100"/>
      <c r="NIF46" s="100"/>
      <c r="NIG46" s="100"/>
      <c r="NIH46" s="100"/>
      <c r="NII46" s="100"/>
      <c r="NIJ46" s="100"/>
      <c r="NIK46" s="100"/>
      <c r="NIL46" s="100"/>
      <c r="NIM46" s="100"/>
      <c r="NIN46" s="100"/>
      <c r="NIO46" s="100"/>
      <c r="NIP46" s="100"/>
      <c r="NIQ46" s="100"/>
      <c r="NIR46" s="100"/>
      <c r="NIS46" s="100"/>
      <c r="NIT46" s="100"/>
      <c r="NIU46" s="100"/>
      <c r="NIV46" s="100"/>
      <c r="NIW46" s="100"/>
      <c r="NIX46" s="100"/>
      <c r="NIY46" s="100"/>
      <c r="NIZ46" s="100"/>
      <c r="NJA46" s="100"/>
      <c r="NJB46" s="100"/>
      <c r="NJC46" s="100"/>
      <c r="NJD46" s="100"/>
      <c r="NJE46" s="100"/>
      <c r="NJF46" s="100"/>
      <c r="NJG46" s="100"/>
      <c r="NJH46" s="100"/>
      <c r="NJI46" s="100"/>
      <c r="NJJ46" s="100"/>
      <c r="NJK46" s="100"/>
      <c r="NJL46" s="100"/>
      <c r="NJM46" s="100"/>
      <c r="NJN46" s="100"/>
      <c r="NJO46" s="100"/>
      <c r="NJP46" s="100"/>
      <c r="NJQ46" s="100"/>
      <c r="NJR46" s="100"/>
      <c r="NJS46" s="100"/>
      <c r="NJT46" s="100"/>
      <c r="NJU46" s="100"/>
      <c r="NJV46" s="100"/>
      <c r="NJW46" s="100"/>
      <c r="NJX46" s="100"/>
      <c r="NJY46" s="100"/>
      <c r="NJZ46" s="100"/>
      <c r="NKA46" s="100"/>
      <c r="NKB46" s="100"/>
      <c r="NKC46" s="100"/>
      <c r="NKD46" s="100"/>
      <c r="NKE46" s="100"/>
      <c r="NKF46" s="100"/>
      <c r="NKG46" s="100"/>
      <c r="NKH46" s="100"/>
      <c r="NKI46" s="100"/>
      <c r="NKJ46" s="100"/>
      <c r="NKK46" s="100"/>
      <c r="NKL46" s="100"/>
      <c r="NKM46" s="100"/>
      <c r="NKN46" s="100"/>
      <c r="NKO46" s="100"/>
      <c r="NKP46" s="100"/>
      <c r="NKQ46" s="100"/>
      <c r="NKR46" s="100"/>
      <c r="NKS46" s="100"/>
      <c r="NKT46" s="100"/>
      <c r="NKU46" s="100"/>
      <c r="NKV46" s="100"/>
      <c r="NKW46" s="100"/>
      <c r="NKX46" s="100"/>
      <c r="NKY46" s="100"/>
      <c r="NKZ46" s="100"/>
      <c r="NLA46" s="100"/>
      <c r="NLB46" s="100"/>
      <c r="NLC46" s="100"/>
      <c r="NLD46" s="100"/>
      <c r="NLE46" s="100"/>
      <c r="NLF46" s="100"/>
      <c r="NLG46" s="100"/>
      <c r="NLH46" s="100"/>
      <c r="NLI46" s="100"/>
      <c r="NLJ46" s="100"/>
      <c r="NLK46" s="100"/>
      <c r="NLL46" s="100"/>
      <c r="NLM46" s="100"/>
      <c r="NLN46" s="100"/>
      <c r="NLO46" s="100"/>
      <c r="NLP46" s="100"/>
      <c r="NLQ46" s="100"/>
      <c r="NLR46" s="100"/>
      <c r="NLS46" s="100"/>
      <c r="NLT46" s="100"/>
      <c r="NLU46" s="100"/>
      <c r="NLV46" s="100"/>
      <c r="NLW46" s="100"/>
      <c r="NLX46" s="100"/>
      <c r="NLY46" s="100"/>
      <c r="NLZ46" s="100"/>
      <c r="NMA46" s="100"/>
      <c r="NMB46" s="100"/>
      <c r="NMC46" s="100"/>
      <c r="NMD46" s="100"/>
      <c r="NME46" s="100"/>
      <c r="NMF46" s="100"/>
      <c r="NMG46" s="100"/>
      <c r="NMH46" s="100"/>
      <c r="NMI46" s="100"/>
      <c r="NMJ46" s="100"/>
      <c r="NMK46" s="100"/>
      <c r="NML46" s="100"/>
      <c r="NMM46" s="100"/>
      <c r="NMN46" s="100"/>
      <c r="NMO46" s="100"/>
      <c r="NMP46" s="100"/>
      <c r="NMQ46" s="100"/>
      <c r="NMR46" s="100"/>
      <c r="NMS46" s="100"/>
      <c r="NMT46" s="100"/>
      <c r="NMU46" s="100"/>
      <c r="NMV46" s="100"/>
      <c r="NMW46" s="100"/>
      <c r="NMX46" s="100"/>
      <c r="NMY46" s="100"/>
      <c r="NMZ46" s="100"/>
      <c r="NNA46" s="100"/>
      <c r="NNB46" s="100"/>
      <c r="NNC46" s="100"/>
      <c r="NND46" s="100"/>
      <c r="NNE46" s="100"/>
      <c r="NNF46" s="100"/>
      <c r="NNG46" s="100"/>
      <c r="NNH46" s="100"/>
      <c r="NNI46" s="100"/>
      <c r="NNJ46" s="100"/>
      <c r="NNK46" s="100"/>
      <c r="NNL46" s="100"/>
      <c r="NNM46" s="100"/>
      <c r="NNN46" s="100"/>
      <c r="NNO46" s="100"/>
      <c r="NNP46" s="100"/>
      <c r="NNQ46" s="100"/>
      <c r="NNR46" s="100"/>
      <c r="NNS46" s="100"/>
      <c r="NNT46" s="100"/>
      <c r="NNU46" s="100"/>
      <c r="NNV46" s="100"/>
      <c r="NNW46" s="100"/>
      <c r="NNX46" s="100"/>
      <c r="NNY46" s="100"/>
      <c r="NNZ46" s="100"/>
      <c r="NOA46" s="100"/>
      <c r="NOB46" s="100"/>
      <c r="NOC46" s="100"/>
      <c r="NOD46" s="100"/>
      <c r="NOE46" s="100"/>
      <c r="NOF46" s="100"/>
      <c r="NOG46" s="100"/>
      <c r="NOH46" s="100"/>
      <c r="NOI46" s="100"/>
      <c r="NOJ46" s="100"/>
      <c r="NOK46" s="100"/>
      <c r="NOL46" s="100"/>
      <c r="NOM46" s="100"/>
      <c r="NON46" s="100"/>
      <c r="NOO46" s="100"/>
      <c r="NOP46" s="100"/>
      <c r="NOQ46" s="100"/>
      <c r="NOR46" s="100"/>
      <c r="NOS46" s="100"/>
      <c r="NOT46" s="100"/>
      <c r="NOU46" s="100"/>
      <c r="NOV46" s="100"/>
      <c r="NOW46" s="100"/>
      <c r="NOX46" s="100"/>
      <c r="NOY46" s="100"/>
      <c r="NOZ46" s="100"/>
      <c r="NPA46" s="100"/>
      <c r="NPB46" s="100"/>
      <c r="NPC46" s="100"/>
      <c r="NPD46" s="100"/>
      <c r="NPE46" s="100"/>
      <c r="NPF46" s="100"/>
      <c r="NPG46" s="100"/>
      <c r="NPH46" s="100"/>
      <c r="NPI46" s="100"/>
      <c r="NPJ46" s="100"/>
      <c r="NPK46" s="100"/>
      <c r="NPL46" s="100"/>
      <c r="NPM46" s="100"/>
      <c r="NPN46" s="100"/>
      <c r="NPO46" s="100"/>
      <c r="NPP46" s="100"/>
      <c r="NPQ46" s="100"/>
      <c r="NPR46" s="100"/>
      <c r="NPS46" s="100"/>
      <c r="NPT46" s="100"/>
      <c r="NPU46" s="100"/>
      <c r="NPV46" s="100"/>
      <c r="NPW46" s="100"/>
      <c r="NPX46" s="100"/>
      <c r="NPY46" s="100"/>
      <c r="NPZ46" s="100"/>
      <c r="NQA46" s="100"/>
      <c r="NQB46" s="100"/>
      <c r="NQC46" s="100"/>
      <c r="NQD46" s="100"/>
      <c r="NQE46" s="100"/>
      <c r="NQF46" s="100"/>
      <c r="NQG46" s="100"/>
      <c r="NQH46" s="100"/>
      <c r="NQI46" s="100"/>
      <c r="NQJ46" s="100"/>
      <c r="NQK46" s="100"/>
      <c r="NQL46" s="100"/>
      <c r="NQM46" s="100"/>
      <c r="NQN46" s="100"/>
      <c r="NQO46" s="100"/>
      <c r="NQP46" s="100"/>
      <c r="NQQ46" s="100"/>
      <c r="NQR46" s="100"/>
      <c r="NQS46" s="100"/>
      <c r="NQT46" s="100"/>
      <c r="NQU46" s="100"/>
      <c r="NQV46" s="100"/>
      <c r="NQW46" s="100"/>
      <c r="NQX46" s="100"/>
      <c r="NQY46" s="100"/>
      <c r="NQZ46" s="100"/>
      <c r="NRA46" s="100"/>
      <c r="NRB46" s="100"/>
      <c r="NRC46" s="100"/>
      <c r="NRD46" s="100"/>
      <c r="NRE46" s="100"/>
    </row>
    <row r="47" spans="1:9937" ht="25" customHeight="1" thickTop="1" x14ac:dyDescent="0.45">
      <c r="A47" s="187" t="s">
        <v>615</v>
      </c>
      <c r="B47" s="188"/>
      <c r="C47" s="397"/>
      <c r="D47" s="397"/>
      <c r="E47" s="398"/>
      <c r="F47" s="383"/>
    </row>
    <row r="48" spans="1:9937" ht="25" customHeight="1" x14ac:dyDescent="0.45">
      <c r="A48" s="189" t="s">
        <v>602</v>
      </c>
      <c r="B48" s="190"/>
      <c r="C48" s="399">
        <f>VLOOKUP(A3,INITIAL_EST_PY,19,FALSE)</f>
        <v>319.71300000000002</v>
      </c>
      <c r="D48" s="399">
        <f t="shared" ref="D48" si="11">C48</f>
        <v>319.71300000000002</v>
      </c>
      <c r="E48" s="399">
        <f>D48</f>
        <v>319.71300000000002</v>
      </c>
      <c r="F48" s="363">
        <f>E48</f>
        <v>319.71300000000002</v>
      </c>
    </row>
    <row r="49" spans="1:9937" ht="25" customHeight="1" x14ac:dyDescent="0.45">
      <c r="A49" s="189" t="s">
        <v>616</v>
      </c>
      <c r="B49" s="190"/>
      <c r="C49" s="400">
        <f>VLOOKUP(A3,INITIAL_EST_PY,36,FALSE)</f>
        <v>5104</v>
      </c>
      <c r="D49" s="400">
        <f t="shared" ref="D49:D57" si="12">C49</f>
        <v>5104</v>
      </c>
      <c r="E49" s="400">
        <f t="shared" ref="E49:E57" si="13">D49</f>
        <v>5104</v>
      </c>
      <c r="F49" s="628">
        <f t="shared" ref="F49:F57" si="14">E49</f>
        <v>5104</v>
      </c>
    </row>
    <row r="50" spans="1:9937" ht="25" customHeight="1" x14ac:dyDescent="0.45">
      <c r="A50" s="189" t="s">
        <v>617</v>
      </c>
      <c r="B50" s="190"/>
      <c r="C50" s="401">
        <f>VLOOKUP(A3,INITIAL_EST_PY,5,FALSE)</f>
        <v>5392</v>
      </c>
      <c r="D50" s="400">
        <f t="shared" si="12"/>
        <v>5392</v>
      </c>
      <c r="E50" s="400">
        <f t="shared" si="13"/>
        <v>5392</v>
      </c>
      <c r="F50" s="628">
        <f t="shared" si="14"/>
        <v>5392</v>
      </c>
    </row>
    <row r="51" spans="1:9937" ht="25" customHeight="1" x14ac:dyDescent="0.45">
      <c r="A51" s="189" t="s">
        <v>618</v>
      </c>
      <c r="B51" s="190"/>
      <c r="C51" s="400">
        <f>VLOOKUP(A3,INITIAL_EST_PY,12,FALSE)</f>
        <v>6554</v>
      </c>
      <c r="D51" s="400">
        <f>C51</f>
        <v>6554</v>
      </c>
      <c r="E51" s="400">
        <f t="shared" si="13"/>
        <v>6554</v>
      </c>
      <c r="F51" s="628">
        <f t="shared" si="14"/>
        <v>6554</v>
      </c>
    </row>
    <row r="52" spans="1:9937" ht="25" customHeight="1" x14ac:dyDescent="0.45">
      <c r="A52" s="189" t="s">
        <v>605</v>
      </c>
      <c r="B52" s="190"/>
      <c r="C52" s="402">
        <f>VLOOKUP(A3,INITIAL_EST_PY,163,FALSE)</f>
        <v>6.1239999999999996E-2</v>
      </c>
      <c r="D52" s="402">
        <f>C52</f>
        <v>6.1239999999999996E-2</v>
      </c>
      <c r="E52" s="399">
        <f t="shared" si="13"/>
        <v>6.1239999999999996E-2</v>
      </c>
      <c r="F52" s="363">
        <f t="shared" si="14"/>
        <v>6.1239999999999996E-2</v>
      </c>
    </row>
    <row r="53" spans="1:9937" ht="25" customHeight="1" x14ac:dyDescent="0.45">
      <c r="A53" s="189" t="s">
        <v>606</v>
      </c>
      <c r="B53" s="190"/>
      <c r="C53" s="402">
        <f>VLOOKUP(A3,INITIAL_EST_PY,164,FALSE)</f>
        <v>5.4803999999999999E-2</v>
      </c>
      <c r="D53" s="402">
        <f>C53</f>
        <v>5.4803999999999999E-2</v>
      </c>
      <c r="E53" s="399">
        <f t="shared" si="13"/>
        <v>5.4803999999999999E-2</v>
      </c>
      <c r="F53" s="363">
        <f t="shared" si="14"/>
        <v>5.4803999999999999E-2</v>
      </c>
    </row>
    <row r="54" spans="1:9937" ht="25" customHeight="1" x14ac:dyDescent="0.45">
      <c r="A54" s="189" t="s">
        <v>607</v>
      </c>
      <c r="B54" s="190"/>
      <c r="C54" s="403">
        <f>VLOOKUP(A3,INITIAL_EST_PY,211,FALSE)</f>
        <v>0</v>
      </c>
      <c r="D54" s="399">
        <f>C54</f>
        <v>0</v>
      </c>
      <c r="E54" s="399">
        <f t="shared" si="13"/>
        <v>0</v>
      </c>
      <c r="F54" s="363">
        <f t="shared" si="14"/>
        <v>0</v>
      </c>
    </row>
    <row r="55" spans="1:9937" ht="25" customHeight="1" x14ac:dyDescent="0.45">
      <c r="A55" s="189" t="s">
        <v>608</v>
      </c>
      <c r="B55" s="190"/>
      <c r="C55" s="399">
        <v>38.68</v>
      </c>
      <c r="D55" s="399">
        <f t="shared" si="12"/>
        <v>38.68</v>
      </c>
      <c r="E55" s="399">
        <f t="shared" si="13"/>
        <v>38.68</v>
      </c>
      <c r="F55" s="363">
        <f t="shared" si="14"/>
        <v>38.68</v>
      </c>
    </row>
    <row r="56" spans="1:9937" ht="25" customHeight="1" x14ac:dyDescent="0.45">
      <c r="A56" s="189" t="s">
        <v>609</v>
      </c>
      <c r="B56" s="190"/>
      <c r="C56" s="404">
        <v>126.888476</v>
      </c>
      <c r="D56" s="404">
        <f t="shared" si="12"/>
        <v>126.888476</v>
      </c>
      <c r="E56" s="399">
        <f t="shared" si="13"/>
        <v>126.888476</v>
      </c>
      <c r="F56" s="363">
        <f t="shared" si="14"/>
        <v>126.888476</v>
      </c>
    </row>
    <row r="57" spans="1:9937" ht="25" customHeight="1" thickBot="1" x14ac:dyDescent="0.5">
      <c r="A57" s="208" t="s">
        <v>610</v>
      </c>
      <c r="B57" s="185"/>
      <c r="C57" s="405">
        <v>31.95</v>
      </c>
      <c r="D57" s="405">
        <f t="shared" si="12"/>
        <v>31.95</v>
      </c>
      <c r="E57" s="399">
        <f t="shared" si="13"/>
        <v>31.95</v>
      </c>
      <c r="F57" s="363">
        <f t="shared" si="14"/>
        <v>31.95</v>
      </c>
    </row>
    <row r="58" spans="1:9937" s="17" customFormat="1" ht="25" customHeight="1" thickTop="1" x14ac:dyDescent="0.45">
      <c r="A58" s="209" t="s">
        <v>455</v>
      </c>
      <c r="B58" s="210"/>
      <c r="C58" s="406"/>
      <c r="D58" s="407"/>
      <c r="E58" s="407"/>
      <c r="F58" s="367"/>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N58" s="101"/>
      <c r="LO58" s="101"/>
      <c r="LP58" s="10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c r="OQ58" s="101"/>
      <c r="OR58" s="101"/>
      <c r="OS58" s="101"/>
      <c r="OT58" s="101"/>
      <c r="OU58" s="101"/>
      <c r="OV58" s="101"/>
      <c r="OW58" s="101"/>
      <c r="OX58" s="101"/>
      <c r="OY58" s="101"/>
      <c r="OZ58" s="101"/>
      <c r="PA58" s="101"/>
      <c r="PB58" s="101"/>
      <c r="PC58" s="101"/>
      <c r="PD58" s="101"/>
      <c r="PE58" s="101"/>
      <c r="PF58" s="101"/>
      <c r="PG58" s="101"/>
      <c r="PH58" s="101"/>
      <c r="PI58" s="101"/>
      <c r="PJ58" s="101"/>
      <c r="PK58" s="101"/>
      <c r="PL58" s="101"/>
      <c r="PM58" s="101"/>
      <c r="PN58" s="101"/>
      <c r="PO58" s="101"/>
      <c r="PP58" s="101"/>
      <c r="PQ58" s="101"/>
      <c r="PR58" s="101"/>
      <c r="PS58" s="101"/>
      <c r="PT58" s="101"/>
      <c r="PU58" s="101"/>
      <c r="PV58" s="101"/>
      <c r="PW58" s="101"/>
      <c r="PX58" s="101"/>
      <c r="PY58" s="101"/>
      <c r="PZ58" s="101"/>
      <c r="QA58" s="101"/>
      <c r="QB58" s="101"/>
      <c r="QC58" s="101"/>
      <c r="QD58" s="101"/>
      <c r="QE58" s="101"/>
      <c r="QF58" s="101"/>
      <c r="QG58" s="101"/>
      <c r="QH58" s="101"/>
      <c r="QI58" s="101"/>
      <c r="QJ58" s="101"/>
      <c r="QK58" s="101"/>
      <c r="QL58" s="101"/>
      <c r="QM58" s="101"/>
      <c r="QN58" s="101"/>
      <c r="QO58" s="101"/>
      <c r="QP58" s="101"/>
      <c r="QQ58" s="101"/>
      <c r="QR58" s="101"/>
      <c r="QS58" s="101"/>
      <c r="QT58" s="101"/>
      <c r="QU58" s="101"/>
      <c r="QV58" s="101"/>
      <c r="QW58" s="101"/>
      <c r="QX58" s="101"/>
      <c r="QY58" s="101"/>
      <c r="QZ58" s="101"/>
      <c r="RA58" s="101"/>
      <c r="RB58" s="101"/>
      <c r="RC58" s="101"/>
      <c r="RD58" s="101"/>
      <c r="RE58" s="101"/>
      <c r="RF58" s="101"/>
      <c r="RG58" s="101"/>
      <c r="RH58" s="101"/>
      <c r="RI58" s="101"/>
      <c r="RJ58" s="101"/>
      <c r="RK58" s="101"/>
      <c r="RL58" s="101"/>
      <c r="RM58" s="101"/>
      <c r="RN58" s="101"/>
      <c r="RO58" s="101"/>
      <c r="RP58" s="101"/>
      <c r="RQ58" s="101"/>
      <c r="RR58" s="101"/>
      <c r="RS58" s="101"/>
      <c r="RT58" s="101"/>
      <c r="RU58" s="101"/>
      <c r="RV58" s="101"/>
      <c r="RW58" s="101"/>
      <c r="RX58" s="101"/>
      <c r="RY58" s="101"/>
      <c r="RZ58" s="101"/>
      <c r="SA58" s="101"/>
      <c r="SB58" s="101"/>
      <c r="SC58" s="101"/>
      <c r="SD58" s="101"/>
      <c r="SE58" s="101"/>
      <c r="SF58" s="101"/>
      <c r="SG58" s="101"/>
      <c r="SH58" s="101"/>
      <c r="SI58" s="101"/>
      <c r="SJ58" s="101"/>
      <c r="SK58" s="101"/>
      <c r="SL58" s="101"/>
      <c r="SM58" s="101"/>
      <c r="SN58" s="101"/>
      <c r="SO58" s="101"/>
      <c r="SP58" s="101"/>
      <c r="SQ58" s="101"/>
      <c r="SR58" s="101"/>
      <c r="SS58" s="101"/>
      <c r="ST58" s="101"/>
      <c r="SU58" s="101"/>
      <c r="SV58" s="101"/>
      <c r="SW58" s="101"/>
      <c r="SX58" s="101"/>
      <c r="SY58" s="101"/>
      <c r="SZ58" s="101"/>
      <c r="TA58" s="101"/>
      <c r="TB58" s="101"/>
      <c r="TC58" s="101"/>
      <c r="TD58" s="101"/>
      <c r="TE58" s="101"/>
      <c r="TF58" s="101"/>
      <c r="TG58" s="101"/>
      <c r="TH58" s="101"/>
      <c r="TI58" s="101"/>
      <c r="TJ58" s="101"/>
      <c r="TK58" s="101"/>
      <c r="TL58" s="101"/>
      <c r="TM58" s="101"/>
      <c r="TN58" s="101"/>
      <c r="TO58" s="101"/>
      <c r="TP58" s="101"/>
      <c r="TQ58" s="101"/>
      <c r="TR58" s="101"/>
      <c r="TS58" s="101"/>
      <c r="TT58" s="101"/>
      <c r="TU58" s="101"/>
      <c r="TV58" s="101"/>
      <c r="TW58" s="101"/>
      <c r="TX58" s="101"/>
      <c r="TY58" s="101"/>
      <c r="TZ58" s="101"/>
      <c r="UA58" s="101"/>
      <c r="UB58" s="101"/>
      <c r="UC58" s="101"/>
      <c r="UD58" s="101"/>
      <c r="UE58" s="101"/>
      <c r="UF58" s="101"/>
      <c r="UG58" s="101"/>
      <c r="UH58" s="101"/>
      <c r="UI58" s="101"/>
      <c r="UJ58" s="101"/>
      <c r="UK58" s="101"/>
      <c r="UL58" s="101"/>
      <c r="UM58" s="101"/>
      <c r="UN58" s="101"/>
      <c r="UO58" s="101"/>
      <c r="UP58" s="101"/>
      <c r="UQ58" s="101"/>
      <c r="UR58" s="101"/>
      <c r="US58" s="101"/>
      <c r="UT58" s="101"/>
      <c r="UU58" s="101"/>
      <c r="UV58" s="101"/>
      <c r="UW58" s="101"/>
      <c r="UX58" s="101"/>
      <c r="UY58" s="101"/>
      <c r="UZ58" s="101"/>
      <c r="VA58" s="101"/>
      <c r="VB58" s="101"/>
      <c r="VC58" s="101"/>
      <c r="VD58" s="101"/>
      <c r="VE58" s="101"/>
      <c r="VF58" s="101"/>
      <c r="VG58" s="101"/>
      <c r="VH58" s="101"/>
      <c r="VI58" s="101"/>
      <c r="VJ58" s="101"/>
      <c r="VK58" s="101"/>
      <c r="VL58" s="101"/>
      <c r="VM58" s="101"/>
      <c r="VN58" s="101"/>
      <c r="VO58" s="101"/>
      <c r="VP58" s="101"/>
      <c r="VQ58" s="101"/>
      <c r="VR58" s="101"/>
      <c r="VS58" s="101"/>
      <c r="VT58" s="101"/>
      <c r="VU58" s="101"/>
      <c r="VV58" s="101"/>
      <c r="VW58" s="101"/>
      <c r="VX58" s="101"/>
      <c r="VY58" s="101"/>
      <c r="VZ58" s="101"/>
      <c r="WA58" s="101"/>
      <c r="WB58" s="101"/>
      <c r="WC58" s="101"/>
      <c r="WD58" s="101"/>
      <c r="WE58" s="101"/>
      <c r="WF58" s="101"/>
      <c r="WG58" s="101"/>
      <c r="WH58" s="101"/>
      <c r="WI58" s="101"/>
      <c r="WJ58" s="101"/>
      <c r="WK58" s="101"/>
      <c r="WL58" s="101"/>
      <c r="WM58" s="101"/>
      <c r="WN58" s="101"/>
      <c r="WO58" s="101"/>
      <c r="WP58" s="101"/>
      <c r="WQ58" s="101"/>
      <c r="WR58" s="101"/>
      <c r="WS58" s="101"/>
      <c r="WT58" s="101"/>
      <c r="WU58" s="101"/>
      <c r="WV58" s="101"/>
      <c r="WW58" s="101"/>
      <c r="WX58" s="101"/>
      <c r="WY58" s="101"/>
      <c r="WZ58" s="101"/>
      <c r="XA58" s="101"/>
      <c r="XB58" s="101"/>
      <c r="XC58" s="101"/>
      <c r="XD58" s="101"/>
      <c r="XE58" s="101"/>
      <c r="XF58" s="101"/>
      <c r="XG58" s="101"/>
      <c r="XH58" s="101"/>
      <c r="XI58" s="101"/>
      <c r="XJ58" s="101"/>
      <c r="XK58" s="101"/>
      <c r="XL58" s="101"/>
      <c r="XM58" s="101"/>
      <c r="XN58" s="101"/>
      <c r="XO58" s="101"/>
      <c r="XP58" s="101"/>
      <c r="XQ58" s="101"/>
      <c r="XR58" s="101"/>
      <c r="XS58" s="101"/>
      <c r="XT58" s="101"/>
      <c r="XU58" s="101"/>
      <c r="XV58" s="101"/>
      <c r="XW58" s="101"/>
      <c r="XX58" s="101"/>
      <c r="XY58" s="101"/>
      <c r="XZ58" s="101"/>
      <c r="YA58" s="101"/>
      <c r="YB58" s="101"/>
      <c r="YC58" s="101"/>
      <c r="YD58" s="101"/>
      <c r="YE58" s="101"/>
      <c r="YF58" s="101"/>
      <c r="YG58" s="101"/>
      <c r="YH58" s="101"/>
      <c r="YI58" s="101"/>
      <c r="YJ58" s="101"/>
      <c r="YK58" s="101"/>
      <c r="YL58" s="101"/>
      <c r="YM58" s="101"/>
      <c r="YN58" s="101"/>
      <c r="YO58" s="101"/>
      <c r="YP58" s="101"/>
      <c r="YQ58" s="101"/>
      <c r="YR58" s="101"/>
      <c r="YS58" s="101"/>
      <c r="YT58" s="101"/>
      <c r="YU58" s="101"/>
      <c r="YV58" s="101"/>
      <c r="YW58" s="101"/>
      <c r="YX58" s="101"/>
      <c r="YY58" s="101"/>
      <c r="YZ58" s="101"/>
      <c r="ZA58" s="101"/>
      <c r="ZB58" s="101"/>
      <c r="ZC58" s="101"/>
      <c r="ZD58" s="101"/>
      <c r="ZE58" s="101"/>
      <c r="ZF58" s="101"/>
      <c r="ZG58" s="101"/>
      <c r="ZH58" s="101"/>
      <c r="ZI58" s="101"/>
      <c r="ZJ58" s="101"/>
      <c r="ZK58" s="101"/>
      <c r="ZL58" s="101"/>
      <c r="ZM58" s="101"/>
      <c r="ZN58" s="101"/>
      <c r="ZO58" s="101"/>
      <c r="ZP58" s="101"/>
      <c r="ZQ58" s="101"/>
      <c r="ZR58" s="101"/>
      <c r="ZS58" s="101"/>
      <c r="ZT58" s="101"/>
      <c r="ZU58" s="101"/>
      <c r="ZV58" s="101"/>
      <c r="ZW58" s="101"/>
      <c r="ZX58" s="101"/>
      <c r="ZY58" s="101"/>
      <c r="ZZ58" s="101"/>
      <c r="AAA58" s="101"/>
      <c r="AAB58" s="101"/>
      <c r="AAC58" s="101"/>
      <c r="AAD58" s="101"/>
      <c r="AAE58" s="101"/>
      <c r="AAF58" s="101"/>
      <c r="AAG58" s="101"/>
      <c r="AAH58" s="101"/>
      <c r="AAI58" s="101"/>
      <c r="AAJ58" s="101"/>
      <c r="AAK58" s="101"/>
      <c r="AAL58" s="101"/>
      <c r="AAM58" s="101"/>
      <c r="AAN58" s="101"/>
      <c r="AAO58" s="101"/>
      <c r="AAP58" s="101"/>
      <c r="AAQ58" s="101"/>
      <c r="AAR58" s="101"/>
      <c r="AAS58" s="101"/>
      <c r="AAT58" s="101"/>
      <c r="AAU58" s="101"/>
      <c r="AAV58" s="101"/>
      <c r="AAW58" s="101"/>
      <c r="AAX58" s="101"/>
      <c r="AAY58" s="101"/>
      <c r="AAZ58" s="101"/>
      <c r="ABA58" s="101"/>
      <c r="ABB58" s="101"/>
      <c r="ABC58" s="101"/>
      <c r="ABD58" s="101"/>
      <c r="ABE58" s="101"/>
      <c r="ABF58" s="101"/>
      <c r="ABG58" s="101"/>
      <c r="ABH58" s="101"/>
      <c r="ABI58" s="101"/>
      <c r="ABJ58" s="101"/>
      <c r="ABK58" s="101"/>
      <c r="ABL58" s="101"/>
      <c r="ABM58" s="101"/>
      <c r="ABN58" s="101"/>
      <c r="ABO58" s="101"/>
      <c r="ABP58" s="101"/>
      <c r="ABQ58" s="101"/>
      <c r="ABR58" s="101"/>
      <c r="ABS58" s="101"/>
      <c r="ABT58" s="101"/>
      <c r="ABU58" s="101"/>
      <c r="ABV58" s="101"/>
      <c r="ABW58" s="101"/>
      <c r="ABX58" s="101"/>
      <c r="ABY58" s="101"/>
      <c r="ABZ58" s="101"/>
      <c r="ACA58" s="101"/>
      <c r="ACB58" s="101"/>
      <c r="ACC58" s="101"/>
      <c r="ACD58" s="101"/>
      <c r="ACE58" s="101"/>
      <c r="ACF58" s="101"/>
      <c r="ACG58" s="101"/>
      <c r="ACH58" s="101"/>
      <c r="ACI58" s="101"/>
      <c r="ACJ58" s="101"/>
      <c r="ACK58" s="101"/>
      <c r="ACL58" s="101"/>
      <c r="ACM58" s="101"/>
      <c r="ACN58" s="101"/>
      <c r="ACO58" s="101"/>
      <c r="ACP58" s="101"/>
      <c r="ACQ58" s="101"/>
      <c r="ACR58" s="101"/>
      <c r="ACS58" s="101"/>
      <c r="ACT58" s="101"/>
      <c r="ACU58" s="101"/>
      <c r="ACV58" s="101"/>
      <c r="ACW58" s="101"/>
      <c r="ACX58" s="101"/>
      <c r="ACY58" s="101"/>
      <c r="ACZ58" s="101"/>
      <c r="ADA58" s="101"/>
      <c r="ADB58" s="101"/>
      <c r="ADC58" s="101"/>
      <c r="ADD58" s="101"/>
      <c r="ADE58" s="101"/>
      <c r="ADF58" s="101"/>
      <c r="ADG58" s="101"/>
      <c r="ADH58" s="101"/>
      <c r="ADI58" s="101"/>
      <c r="ADJ58" s="101"/>
      <c r="ADK58" s="101"/>
      <c r="ADL58" s="101"/>
      <c r="ADM58" s="101"/>
      <c r="ADN58" s="101"/>
      <c r="ADO58" s="101"/>
      <c r="ADP58" s="101"/>
      <c r="ADQ58" s="101"/>
      <c r="ADR58" s="101"/>
      <c r="ADS58" s="101"/>
      <c r="ADT58" s="101"/>
      <c r="ADU58" s="101"/>
      <c r="ADV58" s="101"/>
      <c r="ADW58" s="101"/>
      <c r="ADX58" s="101"/>
      <c r="ADY58" s="101"/>
      <c r="ADZ58" s="101"/>
      <c r="AEA58" s="101"/>
      <c r="AEB58" s="101"/>
      <c r="AEC58" s="101"/>
      <c r="AED58" s="101"/>
      <c r="AEE58" s="101"/>
      <c r="AEF58" s="101"/>
      <c r="AEG58" s="101"/>
      <c r="AEH58" s="101"/>
      <c r="AEI58" s="101"/>
      <c r="AEJ58" s="101"/>
      <c r="AEK58" s="101"/>
      <c r="AEL58" s="101"/>
      <c r="AEM58" s="101"/>
      <c r="AEN58" s="101"/>
      <c r="AEO58" s="101"/>
      <c r="AEP58" s="101"/>
      <c r="AEQ58" s="101"/>
      <c r="AER58" s="101"/>
      <c r="AES58" s="101"/>
      <c r="AET58" s="101"/>
      <c r="AEU58" s="101"/>
      <c r="AEV58" s="101"/>
      <c r="AEW58" s="101"/>
      <c r="AEX58" s="101"/>
      <c r="AEY58" s="101"/>
      <c r="AEZ58" s="101"/>
      <c r="AFA58" s="101"/>
      <c r="AFB58" s="101"/>
      <c r="AFC58" s="101"/>
      <c r="AFD58" s="101"/>
      <c r="AFE58" s="101"/>
      <c r="AFF58" s="101"/>
      <c r="AFG58" s="101"/>
      <c r="AFH58" s="101"/>
      <c r="AFI58" s="101"/>
      <c r="AFJ58" s="101"/>
      <c r="AFK58" s="101"/>
      <c r="AFL58" s="101"/>
      <c r="AFM58" s="101"/>
      <c r="AFN58" s="101"/>
      <c r="AFO58" s="101"/>
      <c r="AFP58" s="101"/>
      <c r="AFQ58" s="101"/>
      <c r="AFR58" s="101"/>
      <c r="AFS58" s="101"/>
      <c r="AFT58" s="101"/>
      <c r="AFU58" s="101"/>
      <c r="AFV58" s="101"/>
      <c r="AFW58" s="101"/>
      <c r="AFX58" s="101"/>
      <c r="AFY58" s="101"/>
      <c r="AFZ58" s="101"/>
      <c r="AGA58" s="101"/>
      <c r="AGB58" s="101"/>
      <c r="AGC58" s="101"/>
      <c r="AGD58" s="101"/>
      <c r="AGE58" s="101"/>
      <c r="AGF58" s="101"/>
      <c r="AGG58" s="101"/>
      <c r="AGH58" s="101"/>
      <c r="AGI58" s="101"/>
      <c r="AGJ58" s="101"/>
      <c r="AGK58" s="101"/>
      <c r="AGL58" s="101"/>
      <c r="AGM58" s="101"/>
      <c r="AGN58" s="101"/>
      <c r="AGO58" s="101"/>
      <c r="AGP58" s="101"/>
      <c r="AGQ58" s="101"/>
      <c r="AGR58" s="101"/>
      <c r="AGS58" s="101"/>
      <c r="AGT58" s="101"/>
      <c r="AGU58" s="101"/>
      <c r="AGV58" s="101"/>
      <c r="AGW58" s="101"/>
      <c r="AGX58" s="101"/>
      <c r="AGY58" s="101"/>
      <c r="AGZ58" s="101"/>
      <c r="AHA58" s="101"/>
      <c r="AHB58" s="101"/>
      <c r="AHC58" s="101"/>
      <c r="AHD58" s="101"/>
      <c r="AHE58" s="101"/>
      <c r="AHF58" s="101"/>
      <c r="AHG58" s="101"/>
      <c r="AHH58" s="101"/>
      <c r="AHI58" s="101"/>
      <c r="AHJ58" s="101"/>
      <c r="AHK58" s="101"/>
      <c r="AHL58" s="101"/>
      <c r="AHM58" s="101"/>
      <c r="AHN58" s="101"/>
      <c r="AHO58" s="101"/>
      <c r="AHP58" s="101"/>
      <c r="AHQ58" s="101"/>
      <c r="AHR58" s="101"/>
      <c r="AHS58" s="101"/>
      <c r="AHT58" s="101"/>
      <c r="AHU58" s="101"/>
      <c r="AHV58" s="101"/>
      <c r="AHW58" s="101"/>
      <c r="AHX58" s="101"/>
      <c r="AHY58" s="101"/>
      <c r="AHZ58" s="101"/>
      <c r="AIA58" s="101"/>
      <c r="AIB58" s="101"/>
      <c r="AIC58" s="101"/>
      <c r="AID58" s="101"/>
      <c r="AIE58" s="101"/>
      <c r="AIF58" s="101"/>
      <c r="AIG58" s="101"/>
      <c r="AIH58" s="101"/>
      <c r="AII58" s="101"/>
      <c r="AIJ58" s="101"/>
      <c r="AIK58" s="101"/>
      <c r="AIL58" s="101"/>
      <c r="AIM58" s="101"/>
      <c r="AIN58" s="101"/>
      <c r="AIO58" s="101"/>
      <c r="AIP58" s="101"/>
      <c r="AIQ58" s="101"/>
      <c r="AIR58" s="101"/>
      <c r="AIS58" s="101"/>
      <c r="AIT58" s="101"/>
      <c r="AIU58" s="101"/>
      <c r="AIV58" s="101"/>
      <c r="AIW58" s="101"/>
      <c r="AIX58" s="101"/>
      <c r="AIY58" s="101"/>
      <c r="AIZ58" s="101"/>
      <c r="AJA58" s="101"/>
      <c r="AJB58" s="101"/>
      <c r="AJC58" s="101"/>
      <c r="AJD58" s="101"/>
      <c r="AJE58" s="101"/>
      <c r="AJF58" s="101"/>
      <c r="AJG58" s="101"/>
      <c r="AJH58" s="101"/>
      <c r="AJI58" s="101"/>
      <c r="AJJ58" s="101"/>
      <c r="AJK58" s="101"/>
      <c r="AJL58" s="101"/>
      <c r="AJM58" s="101"/>
      <c r="AJN58" s="101"/>
      <c r="AJO58" s="101"/>
      <c r="AJP58" s="101"/>
      <c r="AJQ58" s="101"/>
      <c r="AJR58" s="101"/>
      <c r="AJS58" s="101"/>
      <c r="AJT58" s="101"/>
      <c r="AJU58" s="101"/>
      <c r="AJV58" s="101"/>
      <c r="AJW58" s="101"/>
      <c r="AJX58" s="101"/>
      <c r="AJY58" s="101"/>
      <c r="AJZ58" s="101"/>
      <c r="AKA58" s="101"/>
      <c r="AKB58" s="101"/>
      <c r="AKC58" s="101"/>
      <c r="AKD58" s="101"/>
      <c r="AKE58" s="101"/>
      <c r="AKF58" s="101"/>
      <c r="AKG58" s="101"/>
      <c r="AKH58" s="101"/>
      <c r="AKI58" s="101"/>
      <c r="AKJ58" s="101"/>
      <c r="AKK58" s="101"/>
      <c r="AKL58" s="101"/>
      <c r="AKM58" s="101"/>
      <c r="AKN58" s="101"/>
      <c r="AKO58" s="101"/>
      <c r="AKP58" s="101"/>
      <c r="AKQ58" s="101"/>
      <c r="AKR58" s="101"/>
      <c r="AKS58" s="101"/>
      <c r="AKT58" s="101"/>
      <c r="AKU58" s="101"/>
      <c r="AKV58" s="101"/>
      <c r="AKW58" s="101"/>
      <c r="AKX58" s="101"/>
      <c r="AKY58" s="101"/>
      <c r="AKZ58" s="101"/>
      <c r="ALA58" s="101"/>
      <c r="ALB58" s="101"/>
      <c r="ALC58" s="101"/>
      <c r="ALD58" s="101"/>
      <c r="ALE58" s="101"/>
      <c r="ALF58" s="101"/>
      <c r="ALG58" s="101"/>
      <c r="ALH58" s="101"/>
      <c r="ALI58" s="101"/>
      <c r="ALJ58" s="101"/>
      <c r="ALK58" s="101"/>
      <c r="ALL58" s="101"/>
      <c r="ALM58" s="101"/>
      <c r="ALN58" s="101"/>
      <c r="ALO58" s="101"/>
      <c r="ALP58" s="101"/>
      <c r="ALQ58" s="101"/>
      <c r="ALR58" s="101"/>
      <c r="ALS58" s="101"/>
      <c r="ALT58" s="101"/>
      <c r="ALU58" s="101"/>
      <c r="ALV58" s="101"/>
      <c r="ALW58" s="101"/>
      <c r="ALX58" s="101"/>
      <c r="ALY58" s="101"/>
      <c r="ALZ58" s="101"/>
      <c r="AMA58" s="101"/>
      <c r="AMB58" s="101"/>
      <c r="AMC58" s="101"/>
      <c r="AMD58" s="101"/>
      <c r="AME58" s="101"/>
      <c r="AMF58" s="101"/>
      <c r="AMG58" s="101"/>
      <c r="AMH58" s="101"/>
      <c r="AMI58" s="101"/>
      <c r="AMJ58" s="101"/>
      <c r="AMK58" s="101"/>
      <c r="AML58" s="101"/>
      <c r="AMM58" s="101"/>
      <c r="AMN58" s="101"/>
      <c r="AMO58" s="101"/>
      <c r="AMP58" s="101"/>
      <c r="AMQ58" s="101"/>
      <c r="AMR58" s="101"/>
      <c r="AMS58" s="101"/>
      <c r="AMT58" s="101"/>
      <c r="AMU58" s="101"/>
      <c r="AMV58" s="101"/>
      <c r="AMW58" s="101"/>
      <c r="AMX58" s="101"/>
      <c r="AMY58" s="101"/>
      <c r="AMZ58" s="101"/>
      <c r="ANA58" s="101"/>
      <c r="ANB58" s="101"/>
      <c r="ANC58" s="101"/>
      <c r="AND58" s="101"/>
      <c r="ANE58" s="101"/>
      <c r="ANF58" s="101"/>
      <c r="ANG58" s="101"/>
      <c r="ANH58" s="101"/>
      <c r="ANI58" s="101"/>
      <c r="ANJ58" s="101"/>
      <c r="ANK58" s="101"/>
      <c r="ANL58" s="101"/>
      <c r="ANM58" s="101"/>
      <c r="ANN58" s="101"/>
      <c r="ANO58" s="101"/>
      <c r="ANP58" s="101"/>
      <c r="ANQ58" s="101"/>
      <c r="ANR58" s="101"/>
      <c r="ANS58" s="101"/>
      <c r="ANT58" s="101"/>
      <c r="ANU58" s="101"/>
      <c r="ANV58" s="101"/>
      <c r="ANW58" s="101"/>
      <c r="ANX58" s="101"/>
      <c r="ANY58" s="101"/>
      <c r="ANZ58" s="101"/>
      <c r="AOA58" s="101"/>
      <c r="AOB58" s="101"/>
      <c r="AOC58" s="101"/>
      <c r="AOD58" s="101"/>
      <c r="AOE58" s="101"/>
      <c r="AOF58" s="101"/>
      <c r="AOG58" s="101"/>
      <c r="AOH58" s="101"/>
      <c r="AOI58" s="101"/>
      <c r="AOJ58" s="101"/>
      <c r="AOK58" s="101"/>
      <c r="AOL58" s="101"/>
      <c r="AOM58" s="101"/>
      <c r="AON58" s="101"/>
      <c r="AOO58" s="101"/>
      <c r="AOP58" s="101"/>
      <c r="AOQ58" s="101"/>
      <c r="AOR58" s="101"/>
      <c r="AOS58" s="101"/>
      <c r="AOT58" s="101"/>
      <c r="AOU58" s="101"/>
      <c r="AOV58" s="101"/>
      <c r="AOW58" s="101"/>
      <c r="AOX58" s="101"/>
      <c r="AOY58" s="101"/>
      <c r="AOZ58" s="101"/>
      <c r="APA58" s="101"/>
      <c r="APB58" s="101"/>
      <c r="APC58" s="101"/>
      <c r="APD58" s="101"/>
      <c r="APE58" s="101"/>
      <c r="APF58" s="101"/>
      <c r="APG58" s="101"/>
      <c r="APH58" s="101"/>
      <c r="API58" s="101"/>
      <c r="APJ58" s="101"/>
      <c r="APK58" s="101"/>
      <c r="APL58" s="101"/>
      <c r="APM58" s="101"/>
      <c r="APN58" s="101"/>
      <c r="APO58" s="101"/>
      <c r="APP58" s="101"/>
      <c r="APQ58" s="101"/>
      <c r="APR58" s="101"/>
      <c r="APS58" s="101"/>
      <c r="APT58" s="101"/>
      <c r="APU58" s="101"/>
      <c r="APV58" s="101"/>
      <c r="APW58" s="101"/>
      <c r="APX58" s="101"/>
      <c r="APY58" s="101"/>
      <c r="APZ58" s="101"/>
      <c r="AQA58" s="101"/>
      <c r="AQB58" s="101"/>
      <c r="AQC58" s="101"/>
      <c r="AQD58" s="101"/>
      <c r="AQE58" s="101"/>
      <c r="AQF58" s="101"/>
      <c r="AQG58" s="101"/>
      <c r="AQH58" s="101"/>
      <c r="AQI58" s="101"/>
      <c r="AQJ58" s="101"/>
      <c r="AQK58" s="101"/>
      <c r="AQL58" s="101"/>
      <c r="AQM58" s="101"/>
      <c r="AQN58" s="101"/>
      <c r="AQO58" s="101"/>
      <c r="AQP58" s="101"/>
      <c r="AQQ58" s="101"/>
      <c r="AQR58" s="101"/>
      <c r="AQS58" s="101"/>
      <c r="AQT58" s="101"/>
      <c r="AQU58" s="101"/>
      <c r="AQV58" s="101"/>
      <c r="AQW58" s="101"/>
      <c r="AQX58" s="101"/>
      <c r="AQY58" s="101"/>
      <c r="AQZ58" s="101"/>
      <c r="ARA58" s="101"/>
      <c r="ARB58" s="101"/>
      <c r="ARC58" s="101"/>
      <c r="ARD58" s="101"/>
      <c r="ARE58" s="101"/>
      <c r="ARF58" s="101"/>
      <c r="ARG58" s="101"/>
      <c r="ARH58" s="101"/>
      <c r="ARI58" s="101"/>
      <c r="ARJ58" s="101"/>
      <c r="ARK58" s="101"/>
      <c r="ARL58" s="101"/>
      <c r="ARM58" s="101"/>
      <c r="ARN58" s="101"/>
      <c r="ARO58" s="101"/>
      <c r="ARP58" s="101"/>
      <c r="ARQ58" s="101"/>
      <c r="ARR58" s="101"/>
      <c r="ARS58" s="101"/>
      <c r="ART58" s="101"/>
      <c r="ARU58" s="101"/>
      <c r="ARV58" s="101"/>
      <c r="ARW58" s="101"/>
      <c r="ARX58" s="101"/>
      <c r="ARY58" s="101"/>
      <c r="ARZ58" s="101"/>
      <c r="ASA58" s="101"/>
      <c r="ASB58" s="101"/>
      <c r="ASC58" s="101"/>
      <c r="ASD58" s="101"/>
      <c r="ASE58" s="101"/>
      <c r="ASF58" s="101"/>
      <c r="ASG58" s="101"/>
      <c r="ASH58" s="101"/>
      <c r="ASI58" s="101"/>
      <c r="ASJ58" s="101"/>
      <c r="ASK58" s="101"/>
      <c r="ASL58" s="101"/>
      <c r="ASM58" s="101"/>
      <c r="ASN58" s="101"/>
      <c r="ASO58" s="101"/>
      <c r="ASP58" s="101"/>
      <c r="ASQ58" s="101"/>
      <c r="ASR58" s="101"/>
      <c r="ASS58" s="101"/>
      <c r="AST58" s="101"/>
      <c r="ASU58" s="101"/>
      <c r="ASV58" s="101"/>
      <c r="ASW58" s="101"/>
      <c r="ASX58" s="101"/>
      <c r="ASY58" s="101"/>
      <c r="ASZ58" s="101"/>
      <c r="ATA58" s="101"/>
      <c r="ATB58" s="101"/>
      <c r="ATC58" s="101"/>
      <c r="ATD58" s="101"/>
      <c r="ATE58" s="101"/>
      <c r="ATF58" s="101"/>
      <c r="ATG58" s="101"/>
      <c r="ATH58" s="101"/>
      <c r="ATI58" s="101"/>
      <c r="ATJ58" s="101"/>
      <c r="ATK58" s="101"/>
      <c r="ATL58" s="101"/>
      <c r="ATM58" s="101"/>
      <c r="ATN58" s="101"/>
      <c r="ATO58" s="101"/>
      <c r="ATP58" s="101"/>
      <c r="ATQ58" s="101"/>
      <c r="ATR58" s="101"/>
      <c r="ATS58" s="101"/>
      <c r="ATT58" s="101"/>
      <c r="ATU58" s="101"/>
      <c r="ATV58" s="101"/>
      <c r="ATW58" s="101"/>
      <c r="ATX58" s="101"/>
      <c r="ATY58" s="101"/>
      <c r="ATZ58" s="101"/>
      <c r="AUA58" s="101"/>
      <c r="AUB58" s="101"/>
      <c r="AUC58" s="101"/>
      <c r="AUD58" s="101"/>
      <c r="AUE58" s="101"/>
      <c r="AUF58" s="101"/>
      <c r="AUG58" s="101"/>
      <c r="AUH58" s="101"/>
      <c r="AUI58" s="101"/>
      <c r="AUJ58" s="101"/>
      <c r="AUK58" s="101"/>
      <c r="AUL58" s="101"/>
      <c r="AUM58" s="101"/>
      <c r="AUN58" s="101"/>
      <c r="AUO58" s="101"/>
      <c r="AUP58" s="101"/>
      <c r="AUQ58" s="101"/>
      <c r="AUR58" s="101"/>
      <c r="AUS58" s="101"/>
      <c r="AUT58" s="101"/>
      <c r="AUU58" s="101"/>
      <c r="AUV58" s="101"/>
      <c r="AUW58" s="101"/>
      <c r="AUX58" s="101"/>
      <c r="AUY58" s="101"/>
      <c r="AUZ58" s="101"/>
      <c r="AVA58" s="101"/>
      <c r="AVB58" s="101"/>
      <c r="AVC58" s="101"/>
      <c r="AVD58" s="101"/>
      <c r="AVE58" s="101"/>
      <c r="AVF58" s="101"/>
      <c r="AVG58" s="101"/>
      <c r="AVH58" s="101"/>
      <c r="AVI58" s="101"/>
      <c r="AVJ58" s="101"/>
      <c r="AVK58" s="101"/>
      <c r="AVL58" s="101"/>
      <c r="AVM58" s="101"/>
      <c r="AVN58" s="101"/>
      <c r="AVO58" s="101"/>
      <c r="AVP58" s="101"/>
      <c r="AVQ58" s="101"/>
      <c r="AVR58" s="101"/>
      <c r="AVS58" s="101"/>
      <c r="AVT58" s="101"/>
      <c r="AVU58" s="101"/>
      <c r="AVV58" s="101"/>
      <c r="AVW58" s="101"/>
      <c r="AVX58" s="101"/>
      <c r="AVY58" s="101"/>
      <c r="AVZ58" s="101"/>
      <c r="AWA58" s="101"/>
      <c r="AWB58" s="101"/>
      <c r="AWC58" s="101"/>
      <c r="AWD58" s="101"/>
      <c r="AWE58" s="101"/>
      <c r="AWF58" s="101"/>
      <c r="AWG58" s="101"/>
      <c r="AWH58" s="101"/>
      <c r="AWI58" s="101"/>
      <c r="AWJ58" s="101"/>
      <c r="AWK58" s="101"/>
      <c r="AWL58" s="101"/>
      <c r="AWM58" s="101"/>
      <c r="AWN58" s="101"/>
      <c r="AWO58" s="101"/>
      <c r="AWP58" s="101"/>
      <c r="AWQ58" s="101"/>
      <c r="AWR58" s="101"/>
      <c r="AWS58" s="101"/>
      <c r="AWT58" s="101"/>
      <c r="AWU58" s="101"/>
      <c r="AWV58" s="101"/>
      <c r="AWW58" s="101"/>
      <c r="AWX58" s="101"/>
      <c r="AWY58" s="101"/>
      <c r="AWZ58" s="101"/>
      <c r="AXA58" s="101"/>
      <c r="AXB58" s="101"/>
      <c r="AXC58" s="101"/>
      <c r="AXD58" s="101"/>
      <c r="AXE58" s="101"/>
      <c r="AXF58" s="101"/>
      <c r="AXG58" s="101"/>
      <c r="AXH58" s="101"/>
      <c r="AXI58" s="101"/>
      <c r="AXJ58" s="101"/>
      <c r="AXK58" s="101"/>
      <c r="AXL58" s="101"/>
      <c r="AXM58" s="101"/>
      <c r="AXN58" s="101"/>
      <c r="AXO58" s="101"/>
      <c r="AXP58" s="101"/>
      <c r="AXQ58" s="101"/>
      <c r="AXR58" s="101"/>
      <c r="AXS58" s="101"/>
      <c r="AXT58" s="101"/>
      <c r="AXU58" s="101"/>
      <c r="AXV58" s="101"/>
      <c r="AXW58" s="101"/>
      <c r="AXX58" s="101"/>
      <c r="AXY58" s="101"/>
      <c r="AXZ58" s="101"/>
      <c r="AYA58" s="101"/>
      <c r="AYB58" s="101"/>
      <c r="AYC58" s="101"/>
      <c r="AYD58" s="101"/>
      <c r="AYE58" s="101"/>
      <c r="AYF58" s="101"/>
      <c r="AYG58" s="101"/>
      <c r="AYH58" s="101"/>
      <c r="AYI58" s="101"/>
      <c r="AYJ58" s="101"/>
      <c r="AYK58" s="101"/>
      <c r="AYL58" s="101"/>
      <c r="AYM58" s="101"/>
      <c r="AYN58" s="101"/>
      <c r="AYO58" s="101"/>
      <c r="AYP58" s="101"/>
      <c r="AYQ58" s="101"/>
      <c r="AYR58" s="101"/>
      <c r="AYS58" s="101"/>
      <c r="AYT58" s="101"/>
      <c r="AYU58" s="101"/>
      <c r="AYV58" s="101"/>
      <c r="AYW58" s="101"/>
      <c r="AYX58" s="101"/>
      <c r="AYY58" s="101"/>
      <c r="AYZ58" s="101"/>
      <c r="AZA58" s="101"/>
      <c r="AZB58" s="101"/>
      <c r="AZC58" s="101"/>
      <c r="AZD58" s="101"/>
      <c r="AZE58" s="101"/>
      <c r="AZF58" s="101"/>
      <c r="AZG58" s="101"/>
      <c r="AZH58" s="101"/>
      <c r="AZI58" s="101"/>
      <c r="AZJ58" s="101"/>
      <c r="AZK58" s="101"/>
      <c r="AZL58" s="101"/>
      <c r="AZM58" s="101"/>
      <c r="AZN58" s="101"/>
      <c r="AZO58" s="101"/>
      <c r="AZP58" s="101"/>
      <c r="AZQ58" s="101"/>
      <c r="AZR58" s="101"/>
      <c r="AZS58" s="101"/>
      <c r="AZT58" s="101"/>
      <c r="AZU58" s="101"/>
      <c r="AZV58" s="101"/>
      <c r="AZW58" s="101"/>
      <c r="AZX58" s="101"/>
      <c r="AZY58" s="101"/>
      <c r="AZZ58" s="101"/>
      <c r="BAA58" s="101"/>
      <c r="BAB58" s="101"/>
      <c r="BAC58" s="101"/>
      <c r="BAD58" s="101"/>
      <c r="BAE58" s="101"/>
      <c r="BAF58" s="101"/>
      <c r="BAG58" s="101"/>
      <c r="BAH58" s="101"/>
      <c r="BAI58" s="101"/>
      <c r="BAJ58" s="101"/>
      <c r="BAK58" s="101"/>
      <c r="BAL58" s="101"/>
      <c r="BAM58" s="101"/>
      <c r="BAN58" s="101"/>
      <c r="BAO58" s="101"/>
      <c r="BAP58" s="101"/>
      <c r="BAQ58" s="101"/>
      <c r="BAR58" s="101"/>
      <c r="BAS58" s="101"/>
      <c r="BAT58" s="101"/>
      <c r="BAU58" s="101"/>
      <c r="BAV58" s="101"/>
      <c r="BAW58" s="101"/>
      <c r="BAX58" s="101"/>
      <c r="BAY58" s="101"/>
      <c r="BAZ58" s="101"/>
      <c r="BBA58" s="101"/>
      <c r="BBB58" s="101"/>
      <c r="BBC58" s="101"/>
      <c r="BBD58" s="101"/>
      <c r="BBE58" s="101"/>
      <c r="BBF58" s="101"/>
      <c r="BBG58" s="101"/>
      <c r="BBH58" s="101"/>
      <c r="BBI58" s="101"/>
      <c r="BBJ58" s="101"/>
      <c r="BBK58" s="101"/>
      <c r="BBL58" s="101"/>
      <c r="BBM58" s="101"/>
      <c r="BBN58" s="101"/>
      <c r="BBO58" s="101"/>
      <c r="BBP58" s="101"/>
      <c r="BBQ58" s="101"/>
      <c r="BBR58" s="101"/>
      <c r="BBS58" s="101"/>
      <c r="BBT58" s="101"/>
      <c r="BBU58" s="101"/>
      <c r="BBV58" s="101"/>
      <c r="BBW58" s="101"/>
      <c r="BBX58" s="101"/>
      <c r="BBY58" s="101"/>
      <c r="BBZ58" s="101"/>
      <c r="BCA58" s="101"/>
      <c r="BCB58" s="101"/>
      <c r="BCC58" s="101"/>
      <c r="BCD58" s="101"/>
      <c r="BCE58" s="101"/>
      <c r="BCF58" s="101"/>
      <c r="BCG58" s="101"/>
      <c r="BCH58" s="101"/>
      <c r="BCI58" s="101"/>
      <c r="BCJ58" s="101"/>
      <c r="BCK58" s="101"/>
      <c r="BCL58" s="101"/>
      <c r="BCM58" s="101"/>
      <c r="BCN58" s="101"/>
      <c r="BCO58" s="101"/>
      <c r="BCP58" s="101"/>
      <c r="BCQ58" s="101"/>
      <c r="BCR58" s="101"/>
      <c r="BCS58" s="101"/>
      <c r="BCT58" s="101"/>
      <c r="BCU58" s="101"/>
      <c r="BCV58" s="101"/>
      <c r="BCW58" s="101"/>
      <c r="BCX58" s="101"/>
      <c r="BCY58" s="101"/>
      <c r="BCZ58" s="101"/>
      <c r="BDA58" s="101"/>
      <c r="BDB58" s="101"/>
      <c r="BDC58" s="101"/>
      <c r="BDD58" s="101"/>
      <c r="BDE58" s="101"/>
      <c r="BDF58" s="101"/>
      <c r="BDG58" s="101"/>
      <c r="BDH58" s="101"/>
      <c r="BDI58" s="101"/>
      <c r="BDJ58" s="101"/>
      <c r="BDK58" s="101"/>
      <c r="BDL58" s="101"/>
      <c r="BDM58" s="101"/>
      <c r="BDN58" s="101"/>
      <c r="BDO58" s="101"/>
      <c r="BDP58" s="101"/>
      <c r="BDQ58" s="101"/>
      <c r="BDR58" s="101"/>
      <c r="BDS58" s="101"/>
      <c r="BDT58" s="101"/>
      <c r="BDU58" s="101"/>
      <c r="BDV58" s="101"/>
      <c r="BDW58" s="101"/>
      <c r="BDX58" s="101"/>
      <c r="BDY58" s="101"/>
      <c r="BDZ58" s="101"/>
      <c r="BEA58" s="101"/>
      <c r="BEB58" s="101"/>
      <c r="BEC58" s="101"/>
      <c r="BED58" s="101"/>
      <c r="BEE58" s="101"/>
      <c r="BEF58" s="101"/>
      <c r="BEG58" s="101"/>
      <c r="BEH58" s="101"/>
      <c r="BEI58" s="101"/>
      <c r="BEJ58" s="101"/>
      <c r="BEK58" s="101"/>
      <c r="BEL58" s="101"/>
      <c r="BEM58" s="101"/>
      <c r="BEN58" s="101"/>
      <c r="BEO58" s="101"/>
      <c r="BEP58" s="101"/>
      <c r="BEQ58" s="101"/>
      <c r="BER58" s="101"/>
      <c r="BES58" s="101"/>
      <c r="BET58" s="101"/>
      <c r="BEU58" s="101"/>
      <c r="BEV58" s="101"/>
      <c r="BEW58" s="101"/>
      <c r="BEX58" s="101"/>
      <c r="BEY58" s="101"/>
      <c r="BEZ58" s="101"/>
      <c r="BFA58" s="101"/>
      <c r="BFB58" s="101"/>
      <c r="BFC58" s="101"/>
      <c r="BFD58" s="101"/>
      <c r="BFE58" s="101"/>
      <c r="BFF58" s="101"/>
      <c r="BFG58" s="101"/>
      <c r="BFH58" s="101"/>
      <c r="BFI58" s="101"/>
      <c r="BFJ58" s="101"/>
      <c r="BFK58" s="101"/>
      <c r="BFL58" s="101"/>
      <c r="BFM58" s="101"/>
      <c r="BFN58" s="101"/>
      <c r="BFO58" s="101"/>
      <c r="BFP58" s="101"/>
      <c r="BFQ58" s="101"/>
      <c r="BFR58" s="101"/>
      <c r="BFS58" s="101"/>
      <c r="BFT58" s="101"/>
      <c r="BFU58" s="101"/>
      <c r="BFV58" s="101"/>
      <c r="BFW58" s="101"/>
      <c r="BFX58" s="101"/>
      <c r="BFY58" s="101"/>
      <c r="BFZ58" s="101"/>
      <c r="BGA58" s="101"/>
      <c r="BGB58" s="101"/>
      <c r="BGC58" s="101"/>
      <c r="BGD58" s="101"/>
      <c r="BGE58" s="101"/>
      <c r="BGF58" s="101"/>
      <c r="BGG58" s="101"/>
      <c r="BGH58" s="101"/>
      <c r="BGI58" s="101"/>
      <c r="BGJ58" s="101"/>
      <c r="BGK58" s="101"/>
      <c r="BGL58" s="101"/>
      <c r="BGM58" s="101"/>
      <c r="BGN58" s="101"/>
      <c r="BGO58" s="101"/>
      <c r="BGP58" s="101"/>
      <c r="BGQ58" s="101"/>
      <c r="BGR58" s="101"/>
      <c r="BGS58" s="101"/>
      <c r="BGT58" s="101"/>
      <c r="BGU58" s="101"/>
      <c r="BGV58" s="101"/>
      <c r="BGW58" s="101"/>
      <c r="BGX58" s="101"/>
      <c r="BGY58" s="101"/>
      <c r="BGZ58" s="101"/>
      <c r="BHA58" s="101"/>
      <c r="BHB58" s="101"/>
      <c r="BHC58" s="101"/>
      <c r="BHD58" s="101"/>
      <c r="BHE58" s="101"/>
      <c r="BHF58" s="101"/>
      <c r="BHG58" s="101"/>
      <c r="BHH58" s="101"/>
      <c r="BHI58" s="101"/>
      <c r="BHJ58" s="101"/>
      <c r="BHK58" s="101"/>
      <c r="BHL58" s="101"/>
      <c r="BHM58" s="101"/>
      <c r="BHN58" s="101"/>
      <c r="BHO58" s="101"/>
      <c r="BHP58" s="101"/>
      <c r="BHQ58" s="101"/>
      <c r="BHR58" s="101"/>
      <c r="BHS58" s="101"/>
      <c r="BHT58" s="101"/>
      <c r="BHU58" s="101"/>
      <c r="BHV58" s="101"/>
      <c r="BHW58" s="101"/>
      <c r="BHX58" s="101"/>
      <c r="BHY58" s="101"/>
      <c r="BHZ58" s="101"/>
      <c r="BIA58" s="101"/>
      <c r="BIB58" s="101"/>
      <c r="BIC58" s="101"/>
      <c r="BID58" s="101"/>
      <c r="BIE58" s="101"/>
      <c r="BIF58" s="101"/>
      <c r="BIG58" s="101"/>
      <c r="BIH58" s="101"/>
      <c r="BII58" s="101"/>
      <c r="BIJ58" s="101"/>
      <c r="BIK58" s="101"/>
      <c r="BIL58" s="101"/>
      <c r="BIM58" s="101"/>
      <c r="BIN58" s="101"/>
      <c r="BIO58" s="101"/>
      <c r="BIP58" s="101"/>
      <c r="BIQ58" s="101"/>
      <c r="BIR58" s="101"/>
      <c r="BIS58" s="101"/>
      <c r="BIT58" s="101"/>
      <c r="BIU58" s="101"/>
      <c r="BIV58" s="101"/>
      <c r="BIW58" s="101"/>
      <c r="BIX58" s="101"/>
      <c r="BIY58" s="101"/>
      <c r="BIZ58" s="101"/>
      <c r="BJA58" s="101"/>
      <c r="BJB58" s="101"/>
      <c r="BJC58" s="101"/>
      <c r="BJD58" s="101"/>
      <c r="BJE58" s="101"/>
      <c r="BJF58" s="101"/>
      <c r="BJG58" s="101"/>
      <c r="BJH58" s="101"/>
      <c r="BJI58" s="101"/>
      <c r="BJJ58" s="101"/>
      <c r="BJK58" s="101"/>
      <c r="BJL58" s="101"/>
      <c r="BJM58" s="101"/>
      <c r="BJN58" s="101"/>
      <c r="BJO58" s="101"/>
      <c r="BJP58" s="101"/>
      <c r="BJQ58" s="101"/>
      <c r="BJR58" s="101"/>
      <c r="BJS58" s="101"/>
      <c r="BJT58" s="101"/>
      <c r="BJU58" s="101"/>
      <c r="BJV58" s="101"/>
      <c r="BJW58" s="101"/>
      <c r="BJX58" s="101"/>
      <c r="BJY58" s="101"/>
      <c r="BJZ58" s="101"/>
      <c r="BKA58" s="101"/>
      <c r="BKB58" s="101"/>
      <c r="BKC58" s="101"/>
      <c r="BKD58" s="101"/>
      <c r="BKE58" s="101"/>
      <c r="BKF58" s="101"/>
      <c r="BKG58" s="101"/>
      <c r="BKH58" s="101"/>
      <c r="BKI58" s="101"/>
      <c r="BKJ58" s="101"/>
      <c r="BKK58" s="101"/>
      <c r="BKL58" s="101"/>
      <c r="BKM58" s="101"/>
      <c r="BKN58" s="101"/>
      <c r="BKO58" s="101"/>
      <c r="BKP58" s="101"/>
      <c r="BKQ58" s="101"/>
      <c r="BKR58" s="101"/>
      <c r="BKS58" s="101"/>
      <c r="BKT58" s="101"/>
      <c r="BKU58" s="101"/>
      <c r="BKV58" s="101"/>
      <c r="BKW58" s="101"/>
      <c r="BKX58" s="101"/>
      <c r="BKY58" s="101"/>
      <c r="BKZ58" s="101"/>
      <c r="BLA58" s="101"/>
      <c r="BLB58" s="101"/>
      <c r="BLC58" s="101"/>
      <c r="BLD58" s="101"/>
      <c r="BLE58" s="101"/>
      <c r="BLF58" s="101"/>
      <c r="BLG58" s="101"/>
      <c r="BLH58" s="101"/>
      <c r="BLI58" s="101"/>
      <c r="BLJ58" s="101"/>
      <c r="BLK58" s="101"/>
      <c r="BLL58" s="101"/>
      <c r="BLM58" s="101"/>
      <c r="BLN58" s="101"/>
      <c r="BLO58" s="101"/>
      <c r="BLP58" s="101"/>
      <c r="BLQ58" s="101"/>
      <c r="BLR58" s="101"/>
      <c r="BLS58" s="101"/>
      <c r="BLT58" s="101"/>
      <c r="BLU58" s="101"/>
      <c r="BLV58" s="101"/>
      <c r="BLW58" s="101"/>
      <c r="BLX58" s="101"/>
      <c r="BLY58" s="101"/>
      <c r="BLZ58" s="101"/>
      <c r="BMA58" s="101"/>
      <c r="BMB58" s="101"/>
      <c r="BMC58" s="101"/>
      <c r="BMD58" s="101"/>
      <c r="BME58" s="101"/>
      <c r="BMF58" s="101"/>
      <c r="BMG58" s="101"/>
      <c r="BMH58" s="101"/>
      <c r="BMI58" s="101"/>
      <c r="BMJ58" s="101"/>
      <c r="BMK58" s="101"/>
      <c r="BML58" s="101"/>
      <c r="BMM58" s="101"/>
      <c r="BMN58" s="101"/>
      <c r="BMO58" s="101"/>
      <c r="BMP58" s="101"/>
      <c r="BMQ58" s="101"/>
      <c r="BMR58" s="101"/>
      <c r="BMS58" s="101"/>
      <c r="BMT58" s="101"/>
      <c r="BMU58" s="101"/>
      <c r="BMV58" s="101"/>
      <c r="BMW58" s="101"/>
      <c r="BMX58" s="101"/>
      <c r="BMY58" s="101"/>
      <c r="BMZ58" s="101"/>
      <c r="BNA58" s="101"/>
      <c r="BNB58" s="101"/>
      <c r="BNC58" s="101"/>
      <c r="BND58" s="101"/>
      <c r="BNE58" s="101"/>
      <c r="BNF58" s="101"/>
      <c r="BNG58" s="101"/>
      <c r="BNH58" s="101"/>
      <c r="BNI58" s="101"/>
      <c r="BNJ58" s="101"/>
      <c r="BNK58" s="101"/>
      <c r="BNL58" s="101"/>
      <c r="BNM58" s="101"/>
      <c r="BNN58" s="101"/>
      <c r="BNO58" s="101"/>
      <c r="BNP58" s="101"/>
      <c r="BNQ58" s="101"/>
      <c r="BNR58" s="101"/>
      <c r="BNS58" s="101"/>
      <c r="BNT58" s="101"/>
      <c r="BNU58" s="101"/>
      <c r="BNV58" s="101"/>
      <c r="BNW58" s="101"/>
      <c r="BNX58" s="101"/>
      <c r="BNY58" s="101"/>
      <c r="BNZ58" s="101"/>
      <c r="BOA58" s="101"/>
      <c r="BOB58" s="101"/>
      <c r="BOC58" s="101"/>
      <c r="BOD58" s="101"/>
      <c r="BOE58" s="101"/>
      <c r="BOF58" s="101"/>
      <c r="BOG58" s="101"/>
      <c r="BOH58" s="101"/>
      <c r="BOI58" s="101"/>
      <c r="BOJ58" s="101"/>
      <c r="BOK58" s="101"/>
      <c r="BOL58" s="101"/>
      <c r="BOM58" s="101"/>
      <c r="BON58" s="101"/>
      <c r="BOO58" s="101"/>
      <c r="BOP58" s="101"/>
      <c r="BOQ58" s="101"/>
      <c r="BOR58" s="101"/>
      <c r="BOS58" s="101"/>
      <c r="BOT58" s="101"/>
      <c r="BOU58" s="101"/>
      <c r="BOV58" s="101"/>
      <c r="BOW58" s="101"/>
      <c r="BOX58" s="101"/>
      <c r="BOY58" s="101"/>
      <c r="BOZ58" s="101"/>
      <c r="BPA58" s="101"/>
      <c r="BPB58" s="101"/>
      <c r="BPC58" s="101"/>
      <c r="BPD58" s="101"/>
      <c r="BPE58" s="101"/>
      <c r="BPF58" s="101"/>
      <c r="BPG58" s="101"/>
      <c r="BPH58" s="101"/>
      <c r="BPI58" s="101"/>
      <c r="BPJ58" s="101"/>
      <c r="BPK58" s="101"/>
      <c r="BPL58" s="101"/>
      <c r="BPM58" s="101"/>
      <c r="BPN58" s="101"/>
      <c r="BPO58" s="101"/>
      <c r="BPP58" s="101"/>
      <c r="BPQ58" s="101"/>
      <c r="BPR58" s="101"/>
      <c r="BPS58" s="101"/>
      <c r="BPT58" s="101"/>
      <c r="BPU58" s="101"/>
      <c r="BPV58" s="101"/>
      <c r="BPW58" s="101"/>
      <c r="BPX58" s="101"/>
      <c r="BPY58" s="101"/>
      <c r="BPZ58" s="101"/>
      <c r="BQA58" s="101"/>
      <c r="BQB58" s="101"/>
      <c r="BQC58" s="101"/>
      <c r="BQD58" s="101"/>
      <c r="BQE58" s="101"/>
      <c r="BQF58" s="101"/>
      <c r="BQG58" s="101"/>
      <c r="BQH58" s="101"/>
      <c r="BQI58" s="101"/>
      <c r="BQJ58" s="101"/>
      <c r="BQK58" s="101"/>
      <c r="BQL58" s="101"/>
      <c r="BQM58" s="101"/>
      <c r="BQN58" s="101"/>
      <c r="BQO58" s="101"/>
      <c r="BQP58" s="101"/>
      <c r="BQQ58" s="101"/>
      <c r="BQR58" s="101"/>
      <c r="BQS58" s="101"/>
      <c r="BQT58" s="101"/>
      <c r="BQU58" s="101"/>
      <c r="BQV58" s="101"/>
      <c r="BQW58" s="101"/>
      <c r="BQX58" s="101"/>
      <c r="BQY58" s="101"/>
      <c r="BQZ58" s="101"/>
      <c r="BRA58" s="101"/>
      <c r="BRB58" s="101"/>
      <c r="BRC58" s="101"/>
      <c r="BRD58" s="101"/>
      <c r="BRE58" s="101"/>
      <c r="BRF58" s="101"/>
      <c r="BRG58" s="101"/>
      <c r="BRH58" s="101"/>
      <c r="BRI58" s="101"/>
      <c r="BRJ58" s="101"/>
      <c r="BRK58" s="101"/>
      <c r="BRL58" s="101"/>
      <c r="BRM58" s="101"/>
      <c r="BRN58" s="101"/>
      <c r="BRO58" s="101"/>
      <c r="BRP58" s="101"/>
      <c r="BRQ58" s="101"/>
      <c r="BRR58" s="101"/>
      <c r="BRS58" s="101"/>
      <c r="BRT58" s="101"/>
      <c r="BRU58" s="101"/>
      <c r="BRV58" s="101"/>
      <c r="BRW58" s="101"/>
      <c r="BRX58" s="101"/>
      <c r="BRY58" s="101"/>
      <c r="BRZ58" s="101"/>
      <c r="BSA58" s="101"/>
      <c r="BSB58" s="101"/>
      <c r="BSC58" s="101"/>
      <c r="BSD58" s="101"/>
      <c r="BSE58" s="101"/>
      <c r="BSF58" s="101"/>
      <c r="BSG58" s="101"/>
      <c r="BSH58" s="101"/>
      <c r="BSI58" s="101"/>
      <c r="BSJ58" s="101"/>
      <c r="BSK58" s="101"/>
      <c r="BSL58" s="101"/>
      <c r="BSM58" s="101"/>
      <c r="BSN58" s="101"/>
      <c r="BSO58" s="101"/>
      <c r="BSP58" s="101"/>
      <c r="BSQ58" s="101"/>
      <c r="BSR58" s="101"/>
      <c r="BSS58" s="101"/>
      <c r="BST58" s="101"/>
      <c r="BSU58" s="101"/>
      <c r="BSV58" s="101"/>
      <c r="BSW58" s="101"/>
      <c r="BSX58" s="101"/>
      <c r="BSY58" s="101"/>
      <c r="BSZ58" s="101"/>
      <c r="BTA58" s="101"/>
      <c r="BTB58" s="101"/>
      <c r="BTC58" s="101"/>
      <c r="BTD58" s="101"/>
      <c r="BTE58" s="101"/>
      <c r="BTF58" s="101"/>
      <c r="BTG58" s="101"/>
      <c r="BTH58" s="101"/>
      <c r="BTI58" s="101"/>
      <c r="BTJ58" s="101"/>
      <c r="BTK58" s="101"/>
      <c r="BTL58" s="101"/>
      <c r="BTM58" s="101"/>
      <c r="BTN58" s="101"/>
      <c r="BTO58" s="101"/>
      <c r="BTP58" s="101"/>
      <c r="BTQ58" s="101"/>
      <c r="BTR58" s="101"/>
      <c r="BTS58" s="101"/>
      <c r="BTT58" s="101"/>
      <c r="BTU58" s="101"/>
      <c r="BTV58" s="101"/>
      <c r="BTW58" s="101"/>
      <c r="BTX58" s="101"/>
      <c r="BTY58" s="101"/>
      <c r="BTZ58" s="101"/>
      <c r="BUA58" s="101"/>
      <c r="BUB58" s="101"/>
      <c r="BUC58" s="101"/>
      <c r="BUD58" s="101"/>
      <c r="BUE58" s="101"/>
      <c r="BUF58" s="101"/>
      <c r="BUG58" s="101"/>
      <c r="BUH58" s="101"/>
      <c r="BUI58" s="101"/>
      <c r="BUJ58" s="101"/>
      <c r="BUK58" s="101"/>
      <c r="BUL58" s="101"/>
      <c r="BUM58" s="101"/>
      <c r="BUN58" s="101"/>
      <c r="BUO58" s="101"/>
      <c r="BUP58" s="101"/>
      <c r="BUQ58" s="101"/>
      <c r="BUR58" s="101"/>
      <c r="BUS58" s="101"/>
      <c r="BUT58" s="101"/>
      <c r="BUU58" s="101"/>
      <c r="BUV58" s="101"/>
      <c r="BUW58" s="101"/>
      <c r="BUX58" s="101"/>
      <c r="BUY58" s="101"/>
      <c r="BUZ58" s="101"/>
      <c r="BVA58" s="101"/>
      <c r="BVB58" s="101"/>
      <c r="BVC58" s="101"/>
      <c r="BVD58" s="101"/>
      <c r="BVE58" s="101"/>
      <c r="BVF58" s="101"/>
      <c r="BVG58" s="101"/>
      <c r="BVH58" s="101"/>
      <c r="BVI58" s="101"/>
      <c r="BVJ58" s="101"/>
      <c r="BVK58" s="101"/>
      <c r="BVL58" s="101"/>
      <c r="BVM58" s="101"/>
      <c r="BVN58" s="101"/>
      <c r="BVO58" s="101"/>
      <c r="BVP58" s="101"/>
      <c r="BVQ58" s="101"/>
      <c r="BVR58" s="101"/>
      <c r="BVS58" s="101"/>
      <c r="BVT58" s="101"/>
      <c r="BVU58" s="101"/>
      <c r="BVV58" s="101"/>
      <c r="BVW58" s="101"/>
      <c r="BVX58" s="101"/>
      <c r="BVY58" s="101"/>
      <c r="BVZ58" s="101"/>
      <c r="BWA58" s="101"/>
      <c r="BWB58" s="101"/>
      <c r="BWC58" s="101"/>
      <c r="BWD58" s="101"/>
      <c r="BWE58" s="101"/>
      <c r="BWF58" s="101"/>
      <c r="BWG58" s="101"/>
      <c r="BWH58" s="101"/>
      <c r="BWI58" s="101"/>
      <c r="BWJ58" s="101"/>
      <c r="BWK58" s="101"/>
      <c r="BWL58" s="101"/>
      <c r="BWM58" s="101"/>
      <c r="BWN58" s="101"/>
      <c r="BWO58" s="101"/>
      <c r="BWP58" s="101"/>
      <c r="BWQ58" s="101"/>
      <c r="BWR58" s="101"/>
      <c r="BWS58" s="101"/>
      <c r="BWT58" s="101"/>
      <c r="BWU58" s="101"/>
      <c r="BWV58" s="101"/>
      <c r="BWW58" s="101"/>
      <c r="BWX58" s="101"/>
      <c r="BWY58" s="101"/>
      <c r="BWZ58" s="101"/>
      <c r="BXA58" s="101"/>
      <c r="BXB58" s="101"/>
      <c r="BXC58" s="101"/>
      <c r="BXD58" s="101"/>
      <c r="BXE58" s="101"/>
      <c r="BXF58" s="101"/>
      <c r="BXG58" s="101"/>
      <c r="BXH58" s="101"/>
      <c r="BXI58" s="101"/>
      <c r="BXJ58" s="101"/>
      <c r="BXK58" s="101"/>
      <c r="BXL58" s="101"/>
      <c r="BXM58" s="101"/>
      <c r="BXN58" s="101"/>
      <c r="BXO58" s="101"/>
      <c r="BXP58" s="101"/>
      <c r="BXQ58" s="101"/>
      <c r="BXR58" s="101"/>
      <c r="BXS58" s="101"/>
      <c r="BXT58" s="101"/>
      <c r="BXU58" s="101"/>
      <c r="BXV58" s="101"/>
      <c r="BXW58" s="101"/>
      <c r="BXX58" s="101"/>
      <c r="BXY58" s="101"/>
      <c r="BXZ58" s="101"/>
      <c r="BYA58" s="101"/>
      <c r="BYB58" s="101"/>
      <c r="BYC58" s="101"/>
      <c r="BYD58" s="101"/>
      <c r="BYE58" s="101"/>
      <c r="BYF58" s="101"/>
      <c r="BYG58" s="101"/>
      <c r="BYH58" s="101"/>
      <c r="BYI58" s="101"/>
      <c r="BYJ58" s="101"/>
      <c r="BYK58" s="101"/>
      <c r="BYL58" s="101"/>
      <c r="BYM58" s="101"/>
      <c r="BYN58" s="101"/>
      <c r="BYO58" s="101"/>
      <c r="BYP58" s="101"/>
      <c r="BYQ58" s="101"/>
      <c r="BYR58" s="101"/>
      <c r="BYS58" s="101"/>
      <c r="BYT58" s="101"/>
      <c r="BYU58" s="101"/>
      <c r="BYV58" s="101"/>
      <c r="BYW58" s="101"/>
      <c r="BYX58" s="101"/>
      <c r="BYY58" s="101"/>
      <c r="BYZ58" s="101"/>
      <c r="BZA58" s="101"/>
      <c r="BZB58" s="101"/>
      <c r="BZC58" s="101"/>
      <c r="BZD58" s="101"/>
      <c r="BZE58" s="101"/>
      <c r="BZF58" s="101"/>
      <c r="BZG58" s="101"/>
      <c r="BZH58" s="101"/>
      <c r="BZI58" s="101"/>
      <c r="BZJ58" s="101"/>
      <c r="BZK58" s="101"/>
      <c r="BZL58" s="101"/>
      <c r="BZM58" s="101"/>
      <c r="BZN58" s="101"/>
      <c r="BZO58" s="101"/>
      <c r="BZP58" s="101"/>
      <c r="BZQ58" s="101"/>
      <c r="BZR58" s="101"/>
      <c r="BZS58" s="101"/>
      <c r="BZT58" s="101"/>
      <c r="BZU58" s="101"/>
      <c r="BZV58" s="101"/>
      <c r="BZW58" s="101"/>
      <c r="BZX58" s="101"/>
      <c r="BZY58" s="101"/>
      <c r="BZZ58" s="101"/>
      <c r="CAA58" s="101"/>
      <c r="CAB58" s="101"/>
      <c r="CAC58" s="101"/>
      <c r="CAD58" s="101"/>
      <c r="CAE58" s="101"/>
      <c r="CAF58" s="101"/>
      <c r="CAG58" s="101"/>
      <c r="CAH58" s="101"/>
      <c r="CAI58" s="101"/>
      <c r="CAJ58" s="101"/>
      <c r="CAK58" s="101"/>
      <c r="CAL58" s="101"/>
      <c r="CAM58" s="101"/>
      <c r="CAN58" s="101"/>
      <c r="CAO58" s="101"/>
      <c r="CAP58" s="101"/>
      <c r="CAQ58" s="101"/>
      <c r="CAR58" s="101"/>
      <c r="CAS58" s="101"/>
      <c r="CAT58" s="101"/>
      <c r="CAU58" s="101"/>
      <c r="CAV58" s="101"/>
      <c r="CAW58" s="101"/>
      <c r="CAX58" s="101"/>
      <c r="CAY58" s="101"/>
      <c r="CAZ58" s="101"/>
      <c r="CBA58" s="101"/>
      <c r="CBB58" s="101"/>
      <c r="CBC58" s="101"/>
      <c r="CBD58" s="101"/>
      <c r="CBE58" s="101"/>
      <c r="CBF58" s="101"/>
      <c r="CBG58" s="101"/>
      <c r="CBH58" s="101"/>
      <c r="CBI58" s="101"/>
      <c r="CBJ58" s="101"/>
      <c r="CBK58" s="101"/>
      <c r="CBL58" s="101"/>
      <c r="CBM58" s="101"/>
      <c r="CBN58" s="101"/>
      <c r="CBO58" s="101"/>
      <c r="CBP58" s="101"/>
      <c r="CBQ58" s="101"/>
      <c r="CBR58" s="101"/>
      <c r="CBS58" s="101"/>
      <c r="CBT58" s="101"/>
      <c r="CBU58" s="101"/>
      <c r="CBV58" s="101"/>
      <c r="CBW58" s="101"/>
      <c r="CBX58" s="101"/>
      <c r="CBY58" s="101"/>
      <c r="CBZ58" s="101"/>
      <c r="CCA58" s="101"/>
      <c r="CCB58" s="101"/>
      <c r="CCC58" s="101"/>
      <c r="CCD58" s="101"/>
      <c r="CCE58" s="101"/>
      <c r="CCF58" s="101"/>
      <c r="CCG58" s="101"/>
      <c r="CCH58" s="101"/>
      <c r="CCI58" s="101"/>
      <c r="CCJ58" s="101"/>
      <c r="CCK58" s="101"/>
      <c r="CCL58" s="101"/>
      <c r="CCM58" s="101"/>
      <c r="CCN58" s="101"/>
      <c r="CCO58" s="101"/>
      <c r="CCP58" s="101"/>
      <c r="CCQ58" s="101"/>
      <c r="CCR58" s="101"/>
      <c r="CCS58" s="101"/>
      <c r="CCT58" s="101"/>
      <c r="CCU58" s="101"/>
      <c r="CCV58" s="101"/>
      <c r="CCW58" s="101"/>
      <c r="CCX58" s="101"/>
      <c r="CCY58" s="101"/>
      <c r="CCZ58" s="101"/>
      <c r="CDA58" s="101"/>
      <c r="CDB58" s="101"/>
      <c r="CDC58" s="101"/>
      <c r="CDD58" s="101"/>
      <c r="CDE58" s="101"/>
      <c r="CDF58" s="101"/>
      <c r="CDG58" s="101"/>
      <c r="CDH58" s="101"/>
      <c r="CDI58" s="101"/>
      <c r="CDJ58" s="101"/>
      <c r="CDK58" s="101"/>
      <c r="CDL58" s="101"/>
      <c r="CDM58" s="101"/>
      <c r="CDN58" s="101"/>
      <c r="CDO58" s="101"/>
      <c r="CDP58" s="101"/>
      <c r="CDQ58" s="101"/>
      <c r="CDR58" s="101"/>
      <c r="CDS58" s="101"/>
      <c r="CDT58" s="101"/>
      <c r="CDU58" s="101"/>
      <c r="CDV58" s="101"/>
      <c r="CDW58" s="101"/>
      <c r="CDX58" s="101"/>
      <c r="CDY58" s="101"/>
      <c r="CDZ58" s="101"/>
      <c r="CEA58" s="101"/>
      <c r="CEB58" s="101"/>
      <c r="CEC58" s="101"/>
      <c r="CED58" s="101"/>
      <c r="CEE58" s="101"/>
      <c r="CEF58" s="101"/>
      <c r="CEG58" s="101"/>
      <c r="CEH58" s="101"/>
      <c r="CEI58" s="101"/>
      <c r="CEJ58" s="101"/>
      <c r="CEK58" s="101"/>
      <c r="CEL58" s="101"/>
      <c r="CEM58" s="101"/>
      <c r="CEN58" s="101"/>
      <c r="CEO58" s="101"/>
      <c r="CEP58" s="101"/>
      <c r="CEQ58" s="101"/>
      <c r="CER58" s="101"/>
      <c r="CES58" s="101"/>
      <c r="CET58" s="101"/>
      <c r="CEU58" s="101"/>
      <c r="CEV58" s="101"/>
      <c r="CEW58" s="101"/>
      <c r="CEX58" s="101"/>
      <c r="CEY58" s="101"/>
      <c r="CEZ58" s="101"/>
      <c r="CFA58" s="101"/>
      <c r="CFB58" s="101"/>
      <c r="CFC58" s="101"/>
      <c r="CFD58" s="101"/>
      <c r="CFE58" s="101"/>
      <c r="CFF58" s="101"/>
      <c r="CFG58" s="101"/>
      <c r="CFH58" s="101"/>
      <c r="CFI58" s="101"/>
      <c r="CFJ58" s="101"/>
      <c r="CFK58" s="101"/>
      <c r="CFL58" s="101"/>
      <c r="CFM58" s="101"/>
      <c r="CFN58" s="101"/>
      <c r="CFO58" s="101"/>
      <c r="CFP58" s="101"/>
      <c r="CFQ58" s="101"/>
      <c r="CFR58" s="101"/>
      <c r="CFS58" s="101"/>
      <c r="CFT58" s="101"/>
      <c r="CFU58" s="101"/>
      <c r="CFV58" s="101"/>
      <c r="CFW58" s="101"/>
      <c r="CFX58" s="101"/>
      <c r="CFY58" s="101"/>
      <c r="CFZ58" s="101"/>
      <c r="CGA58" s="101"/>
      <c r="CGB58" s="101"/>
      <c r="CGC58" s="101"/>
      <c r="CGD58" s="101"/>
      <c r="CGE58" s="101"/>
      <c r="CGF58" s="101"/>
      <c r="CGG58" s="101"/>
      <c r="CGH58" s="101"/>
      <c r="CGI58" s="101"/>
      <c r="CGJ58" s="101"/>
      <c r="CGK58" s="101"/>
      <c r="CGL58" s="101"/>
      <c r="CGM58" s="101"/>
      <c r="CGN58" s="101"/>
      <c r="CGO58" s="101"/>
      <c r="CGP58" s="101"/>
      <c r="CGQ58" s="101"/>
      <c r="CGR58" s="101"/>
      <c r="CGS58" s="101"/>
      <c r="CGT58" s="101"/>
      <c r="CGU58" s="101"/>
      <c r="CGV58" s="101"/>
      <c r="CGW58" s="101"/>
      <c r="CGX58" s="101"/>
      <c r="CGY58" s="101"/>
      <c r="CGZ58" s="101"/>
      <c r="CHA58" s="101"/>
      <c r="CHB58" s="101"/>
      <c r="CHC58" s="101"/>
      <c r="CHD58" s="101"/>
      <c r="CHE58" s="101"/>
      <c r="CHF58" s="101"/>
      <c r="CHG58" s="101"/>
      <c r="CHH58" s="101"/>
      <c r="CHI58" s="101"/>
      <c r="CHJ58" s="101"/>
      <c r="CHK58" s="101"/>
      <c r="CHL58" s="101"/>
      <c r="CHM58" s="101"/>
      <c r="CHN58" s="101"/>
      <c r="CHO58" s="101"/>
      <c r="CHP58" s="101"/>
      <c r="CHQ58" s="101"/>
      <c r="CHR58" s="101"/>
      <c r="CHS58" s="101"/>
      <c r="CHT58" s="101"/>
      <c r="CHU58" s="101"/>
      <c r="CHV58" s="101"/>
      <c r="CHW58" s="101"/>
      <c r="CHX58" s="101"/>
      <c r="CHY58" s="101"/>
      <c r="CHZ58" s="101"/>
      <c r="CIA58" s="101"/>
      <c r="CIB58" s="101"/>
      <c r="CIC58" s="101"/>
      <c r="CID58" s="101"/>
      <c r="CIE58" s="101"/>
      <c r="CIF58" s="101"/>
      <c r="CIG58" s="101"/>
      <c r="CIH58" s="101"/>
      <c r="CII58" s="101"/>
      <c r="CIJ58" s="101"/>
      <c r="CIK58" s="101"/>
      <c r="CIL58" s="101"/>
      <c r="CIM58" s="101"/>
      <c r="CIN58" s="101"/>
      <c r="CIO58" s="101"/>
      <c r="CIP58" s="101"/>
      <c r="CIQ58" s="101"/>
      <c r="CIR58" s="101"/>
      <c r="CIS58" s="101"/>
      <c r="CIT58" s="101"/>
      <c r="CIU58" s="101"/>
      <c r="CIV58" s="101"/>
      <c r="CIW58" s="101"/>
      <c r="CIX58" s="101"/>
      <c r="CIY58" s="101"/>
      <c r="CIZ58" s="101"/>
      <c r="CJA58" s="101"/>
      <c r="CJB58" s="101"/>
      <c r="CJC58" s="101"/>
      <c r="CJD58" s="101"/>
      <c r="CJE58" s="101"/>
      <c r="CJF58" s="101"/>
      <c r="CJG58" s="101"/>
      <c r="CJH58" s="101"/>
      <c r="CJI58" s="101"/>
      <c r="CJJ58" s="101"/>
      <c r="CJK58" s="101"/>
      <c r="CJL58" s="101"/>
      <c r="CJM58" s="101"/>
      <c r="CJN58" s="101"/>
      <c r="CJO58" s="101"/>
      <c r="CJP58" s="101"/>
      <c r="CJQ58" s="101"/>
      <c r="CJR58" s="101"/>
      <c r="CJS58" s="101"/>
      <c r="CJT58" s="101"/>
      <c r="CJU58" s="101"/>
      <c r="CJV58" s="101"/>
      <c r="CJW58" s="101"/>
      <c r="CJX58" s="101"/>
      <c r="CJY58" s="101"/>
      <c r="CJZ58" s="101"/>
      <c r="CKA58" s="101"/>
      <c r="CKB58" s="101"/>
      <c r="CKC58" s="101"/>
      <c r="CKD58" s="101"/>
      <c r="CKE58" s="101"/>
      <c r="CKF58" s="101"/>
      <c r="CKG58" s="101"/>
      <c r="CKH58" s="101"/>
      <c r="CKI58" s="101"/>
      <c r="CKJ58" s="101"/>
      <c r="CKK58" s="101"/>
      <c r="CKL58" s="101"/>
      <c r="CKM58" s="101"/>
      <c r="CKN58" s="101"/>
      <c r="CKO58" s="101"/>
      <c r="CKP58" s="101"/>
      <c r="CKQ58" s="101"/>
      <c r="CKR58" s="101"/>
      <c r="CKS58" s="101"/>
      <c r="CKT58" s="101"/>
      <c r="CKU58" s="101"/>
      <c r="CKV58" s="101"/>
      <c r="CKW58" s="101"/>
      <c r="CKX58" s="101"/>
      <c r="CKY58" s="101"/>
      <c r="CKZ58" s="101"/>
      <c r="CLA58" s="101"/>
      <c r="CLB58" s="101"/>
      <c r="CLC58" s="101"/>
      <c r="CLD58" s="101"/>
      <c r="CLE58" s="101"/>
      <c r="CLF58" s="101"/>
      <c r="CLG58" s="101"/>
      <c r="CLH58" s="101"/>
      <c r="CLI58" s="101"/>
      <c r="CLJ58" s="101"/>
      <c r="CLK58" s="101"/>
      <c r="CLL58" s="101"/>
      <c r="CLM58" s="101"/>
      <c r="CLN58" s="101"/>
      <c r="CLO58" s="101"/>
      <c r="CLP58" s="101"/>
      <c r="CLQ58" s="101"/>
      <c r="CLR58" s="101"/>
      <c r="CLS58" s="101"/>
      <c r="CLT58" s="101"/>
      <c r="CLU58" s="101"/>
      <c r="CLV58" s="101"/>
      <c r="CLW58" s="101"/>
      <c r="CLX58" s="101"/>
      <c r="CLY58" s="101"/>
      <c r="CLZ58" s="101"/>
      <c r="CMA58" s="101"/>
      <c r="CMB58" s="101"/>
      <c r="CMC58" s="101"/>
      <c r="CMD58" s="101"/>
      <c r="CME58" s="101"/>
      <c r="CMF58" s="101"/>
      <c r="CMG58" s="101"/>
      <c r="CMH58" s="101"/>
      <c r="CMI58" s="101"/>
      <c r="CMJ58" s="101"/>
      <c r="CMK58" s="101"/>
      <c r="CML58" s="101"/>
      <c r="CMM58" s="101"/>
      <c r="CMN58" s="101"/>
      <c r="CMO58" s="101"/>
      <c r="CMP58" s="101"/>
      <c r="CMQ58" s="101"/>
      <c r="CMR58" s="101"/>
      <c r="CMS58" s="101"/>
      <c r="CMT58" s="101"/>
      <c r="CMU58" s="101"/>
      <c r="CMV58" s="101"/>
      <c r="CMW58" s="101"/>
      <c r="CMX58" s="101"/>
      <c r="CMY58" s="101"/>
      <c r="CMZ58" s="101"/>
      <c r="CNA58" s="101"/>
      <c r="CNB58" s="101"/>
      <c r="CNC58" s="101"/>
      <c r="CND58" s="101"/>
      <c r="CNE58" s="101"/>
      <c r="CNF58" s="101"/>
      <c r="CNG58" s="101"/>
      <c r="CNH58" s="101"/>
      <c r="CNI58" s="101"/>
      <c r="CNJ58" s="101"/>
      <c r="CNK58" s="101"/>
      <c r="CNL58" s="101"/>
      <c r="CNM58" s="101"/>
      <c r="CNN58" s="101"/>
      <c r="CNO58" s="101"/>
      <c r="CNP58" s="101"/>
      <c r="CNQ58" s="101"/>
      <c r="CNR58" s="101"/>
      <c r="CNS58" s="101"/>
      <c r="CNT58" s="101"/>
      <c r="CNU58" s="101"/>
      <c r="CNV58" s="101"/>
      <c r="CNW58" s="101"/>
      <c r="CNX58" s="101"/>
      <c r="CNY58" s="101"/>
      <c r="CNZ58" s="101"/>
      <c r="COA58" s="101"/>
      <c r="COB58" s="101"/>
      <c r="COC58" s="101"/>
      <c r="COD58" s="101"/>
      <c r="COE58" s="101"/>
      <c r="COF58" s="101"/>
      <c r="COG58" s="101"/>
      <c r="COH58" s="101"/>
      <c r="COI58" s="101"/>
      <c r="COJ58" s="101"/>
      <c r="COK58" s="101"/>
      <c r="COL58" s="101"/>
      <c r="COM58" s="101"/>
      <c r="CON58" s="101"/>
      <c r="COO58" s="101"/>
      <c r="COP58" s="101"/>
      <c r="COQ58" s="101"/>
      <c r="COR58" s="101"/>
      <c r="COS58" s="101"/>
      <c r="COT58" s="101"/>
      <c r="COU58" s="101"/>
      <c r="COV58" s="101"/>
      <c r="COW58" s="101"/>
      <c r="COX58" s="101"/>
      <c r="COY58" s="101"/>
      <c r="COZ58" s="101"/>
      <c r="CPA58" s="101"/>
      <c r="CPB58" s="101"/>
      <c r="CPC58" s="101"/>
      <c r="CPD58" s="101"/>
      <c r="CPE58" s="101"/>
      <c r="CPF58" s="101"/>
      <c r="CPG58" s="101"/>
      <c r="CPH58" s="101"/>
      <c r="CPI58" s="101"/>
      <c r="CPJ58" s="101"/>
      <c r="CPK58" s="101"/>
      <c r="CPL58" s="101"/>
      <c r="CPM58" s="101"/>
      <c r="CPN58" s="101"/>
      <c r="CPO58" s="101"/>
      <c r="CPP58" s="101"/>
      <c r="CPQ58" s="101"/>
      <c r="CPR58" s="101"/>
      <c r="CPS58" s="101"/>
      <c r="CPT58" s="101"/>
      <c r="CPU58" s="101"/>
      <c r="CPV58" s="101"/>
      <c r="CPW58" s="101"/>
      <c r="CPX58" s="101"/>
      <c r="CPY58" s="101"/>
      <c r="CPZ58" s="101"/>
      <c r="CQA58" s="101"/>
      <c r="CQB58" s="101"/>
      <c r="CQC58" s="101"/>
      <c r="CQD58" s="101"/>
      <c r="CQE58" s="101"/>
      <c r="CQF58" s="101"/>
      <c r="CQG58" s="101"/>
      <c r="CQH58" s="101"/>
      <c r="CQI58" s="101"/>
      <c r="CQJ58" s="101"/>
      <c r="CQK58" s="101"/>
      <c r="CQL58" s="101"/>
      <c r="CQM58" s="101"/>
      <c r="CQN58" s="101"/>
      <c r="CQO58" s="101"/>
      <c r="CQP58" s="101"/>
      <c r="CQQ58" s="101"/>
      <c r="CQR58" s="101"/>
      <c r="CQS58" s="101"/>
      <c r="CQT58" s="101"/>
      <c r="CQU58" s="101"/>
      <c r="CQV58" s="101"/>
      <c r="CQW58" s="101"/>
      <c r="CQX58" s="101"/>
      <c r="CQY58" s="101"/>
      <c r="CQZ58" s="101"/>
      <c r="CRA58" s="101"/>
      <c r="CRB58" s="101"/>
      <c r="CRC58" s="101"/>
      <c r="CRD58" s="101"/>
      <c r="CRE58" s="101"/>
      <c r="CRF58" s="101"/>
      <c r="CRG58" s="101"/>
      <c r="CRH58" s="101"/>
      <c r="CRI58" s="101"/>
      <c r="CRJ58" s="101"/>
      <c r="CRK58" s="101"/>
      <c r="CRL58" s="101"/>
      <c r="CRM58" s="101"/>
      <c r="CRN58" s="101"/>
      <c r="CRO58" s="101"/>
      <c r="CRP58" s="101"/>
      <c r="CRQ58" s="101"/>
      <c r="CRR58" s="101"/>
      <c r="CRS58" s="101"/>
      <c r="CRT58" s="101"/>
      <c r="CRU58" s="101"/>
      <c r="CRV58" s="101"/>
      <c r="CRW58" s="101"/>
      <c r="CRX58" s="101"/>
      <c r="CRY58" s="101"/>
      <c r="CRZ58" s="101"/>
      <c r="CSA58" s="101"/>
      <c r="CSB58" s="101"/>
      <c r="CSC58" s="101"/>
      <c r="CSD58" s="101"/>
      <c r="CSE58" s="101"/>
      <c r="CSF58" s="101"/>
      <c r="CSG58" s="101"/>
      <c r="CSH58" s="101"/>
      <c r="CSI58" s="101"/>
      <c r="CSJ58" s="101"/>
      <c r="CSK58" s="101"/>
      <c r="CSL58" s="101"/>
      <c r="CSM58" s="101"/>
      <c r="CSN58" s="101"/>
      <c r="CSO58" s="101"/>
      <c r="CSP58" s="101"/>
      <c r="CSQ58" s="101"/>
      <c r="CSR58" s="101"/>
      <c r="CSS58" s="101"/>
      <c r="CST58" s="101"/>
      <c r="CSU58" s="101"/>
      <c r="CSV58" s="101"/>
      <c r="CSW58" s="101"/>
      <c r="CSX58" s="101"/>
      <c r="CSY58" s="101"/>
      <c r="CSZ58" s="101"/>
      <c r="CTA58" s="101"/>
      <c r="CTB58" s="101"/>
      <c r="CTC58" s="101"/>
      <c r="CTD58" s="101"/>
      <c r="CTE58" s="101"/>
      <c r="CTF58" s="101"/>
      <c r="CTG58" s="101"/>
      <c r="CTH58" s="101"/>
      <c r="CTI58" s="101"/>
      <c r="CTJ58" s="101"/>
      <c r="CTK58" s="101"/>
      <c r="CTL58" s="101"/>
      <c r="CTM58" s="101"/>
      <c r="CTN58" s="101"/>
      <c r="CTO58" s="101"/>
      <c r="CTP58" s="101"/>
      <c r="CTQ58" s="101"/>
      <c r="CTR58" s="101"/>
      <c r="CTS58" s="101"/>
      <c r="CTT58" s="101"/>
      <c r="CTU58" s="101"/>
      <c r="CTV58" s="101"/>
      <c r="CTW58" s="101"/>
      <c r="CTX58" s="101"/>
      <c r="CTY58" s="101"/>
      <c r="CTZ58" s="101"/>
      <c r="CUA58" s="101"/>
      <c r="CUB58" s="101"/>
      <c r="CUC58" s="101"/>
      <c r="CUD58" s="101"/>
      <c r="CUE58" s="101"/>
      <c r="CUF58" s="101"/>
      <c r="CUG58" s="101"/>
      <c r="CUH58" s="101"/>
      <c r="CUI58" s="101"/>
      <c r="CUJ58" s="101"/>
      <c r="CUK58" s="101"/>
      <c r="CUL58" s="101"/>
      <c r="CUM58" s="101"/>
      <c r="CUN58" s="101"/>
      <c r="CUO58" s="101"/>
      <c r="CUP58" s="101"/>
      <c r="CUQ58" s="101"/>
      <c r="CUR58" s="101"/>
      <c r="CUS58" s="101"/>
      <c r="CUT58" s="101"/>
      <c r="CUU58" s="101"/>
      <c r="CUV58" s="101"/>
      <c r="CUW58" s="101"/>
      <c r="CUX58" s="101"/>
      <c r="CUY58" s="101"/>
      <c r="CUZ58" s="101"/>
      <c r="CVA58" s="101"/>
      <c r="CVB58" s="101"/>
      <c r="CVC58" s="101"/>
      <c r="CVD58" s="101"/>
      <c r="CVE58" s="101"/>
      <c r="CVF58" s="101"/>
      <c r="CVG58" s="101"/>
      <c r="CVH58" s="101"/>
      <c r="CVI58" s="101"/>
      <c r="CVJ58" s="101"/>
      <c r="CVK58" s="101"/>
      <c r="CVL58" s="101"/>
      <c r="CVM58" s="101"/>
      <c r="CVN58" s="101"/>
      <c r="CVO58" s="101"/>
      <c r="CVP58" s="101"/>
      <c r="CVQ58" s="101"/>
      <c r="CVR58" s="101"/>
      <c r="CVS58" s="101"/>
      <c r="CVT58" s="101"/>
      <c r="CVU58" s="101"/>
      <c r="CVV58" s="101"/>
      <c r="CVW58" s="101"/>
      <c r="CVX58" s="101"/>
      <c r="CVY58" s="101"/>
      <c r="CVZ58" s="101"/>
      <c r="CWA58" s="101"/>
      <c r="CWB58" s="101"/>
      <c r="CWC58" s="101"/>
      <c r="CWD58" s="101"/>
      <c r="CWE58" s="101"/>
      <c r="CWF58" s="101"/>
      <c r="CWG58" s="101"/>
      <c r="CWH58" s="101"/>
      <c r="CWI58" s="101"/>
      <c r="CWJ58" s="101"/>
      <c r="CWK58" s="101"/>
      <c r="CWL58" s="101"/>
      <c r="CWM58" s="101"/>
      <c r="CWN58" s="101"/>
      <c r="CWO58" s="101"/>
      <c r="CWP58" s="101"/>
      <c r="CWQ58" s="101"/>
      <c r="CWR58" s="101"/>
      <c r="CWS58" s="101"/>
      <c r="CWT58" s="101"/>
      <c r="CWU58" s="101"/>
      <c r="CWV58" s="101"/>
      <c r="CWW58" s="101"/>
      <c r="CWX58" s="101"/>
      <c r="CWY58" s="101"/>
      <c r="CWZ58" s="101"/>
      <c r="CXA58" s="101"/>
      <c r="CXB58" s="101"/>
      <c r="CXC58" s="101"/>
      <c r="CXD58" s="101"/>
      <c r="CXE58" s="101"/>
      <c r="CXF58" s="101"/>
      <c r="CXG58" s="101"/>
      <c r="CXH58" s="101"/>
      <c r="CXI58" s="101"/>
      <c r="CXJ58" s="101"/>
      <c r="CXK58" s="101"/>
      <c r="CXL58" s="101"/>
      <c r="CXM58" s="101"/>
      <c r="CXN58" s="101"/>
      <c r="CXO58" s="101"/>
      <c r="CXP58" s="101"/>
      <c r="CXQ58" s="101"/>
      <c r="CXR58" s="101"/>
      <c r="CXS58" s="101"/>
      <c r="CXT58" s="101"/>
      <c r="CXU58" s="101"/>
      <c r="CXV58" s="101"/>
      <c r="CXW58" s="101"/>
      <c r="CXX58" s="101"/>
      <c r="CXY58" s="101"/>
      <c r="CXZ58" s="101"/>
      <c r="CYA58" s="101"/>
      <c r="CYB58" s="101"/>
      <c r="CYC58" s="101"/>
      <c r="CYD58" s="101"/>
      <c r="CYE58" s="101"/>
      <c r="CYF58" s="101"/>
      <c r="CYG58" s="101"/>
      <c r="CYH58" s="101"/>
      <c r="CYI58" s="101"/>
      <c r="CYJ58" s="101"/>
      <c r="CYK58" s="101"/>
      <c r="CYL58" s="101"/>
      <c r="CYM58" s="101"/>
      <c r="CYN58" s="101"/>
      <c r="CYO58" s="101"/>
      <c r="CYP58" s="101"/>
      <c r="CYQ58" s="101"/>
      <c r="CYR58" s="101"/>
      <c r="CYS58" s="101"/>
      <c r="CYT58" s="101"/>
      <c r="CYU58" s="101"/>
      <c r="CYV58" s="101"/>
      <c r="CYW58" s="101"/>
      <c r="CYX58" s="101"/>
      <c r="CYY58" s="101"/>
      <c r="CYZ58" s="101"/>
      <c r="CZA58" s="101"/>
      <c r="CZB58" s="101"/>
      <c r="CZC58" s="101"/>
      <c r="CZD58" s="101"/>
      <c r="CZE58" s="101"/>
      <c r="CZF58" s="101"/>
      <c r="CZG58" s="101"/>
      <c r="CZH58" s="101"/>
      <c r="CZI58" s="101"/>
      <c r="CZJ58" s="101"/>
      <c r="CZK58" s="101"/>
      <c r="CZL58" s="101"/>
      <c r="CZM58" s="101"/>
      <c r="CZN58" s="101"/>
      <c r="CZO58" s="101"/>
      <c r="CZP58" s="101"/>
      <c r="CZQ58" s="101"/>
      <c r="CZR58" s="101"/>
      <c r="CZS58" s="101"/>
      <c r="CZT58" s="101"/>
      <c r="CZU58" s="101"/>
      <c r="CZV58" s="101"/>
      <c r="CZW58" s="101"/>
      <c r="CZX58" s="101"/>
      <c r="CZY58" s="101"/>
      <c r="CZZ58" s="101"/>
      <c r="DAA58" s="101"/>
      <c r="DAB58" s="101"/>
      <c r="DAC58" s="101"/>
      <c r="DAD58" s="101"/>
      <c r="DAE58" s="101"/>
      <c r="DAF58" s="101"/>
      <c r="DAG58" s="101"/>
      <c r="DAH58" s="101"/>
      <c r="DAI58" s="101"/>
      <c r="DAJ58" s="101"/>
      <c r="DAK58" s="101"/>
      <c r="DAL58" s="101"/>
      <c r="DAM58" s="101"/>
      <c r="DAN58" s="101"/>
      <c r="DAO58" s="101"/>
      <c r="DAP58" s="101"/>
      <c r="DAQ58" s="101"/>
      <c r="DAR58" s="101"/>
      <c r="DAS58" s="101"/>
      <c r="DAT58" s="101"/>
      <c r="DAU58" s="101"/>
      <c r="DAV58" s="101"/>
      <c r="DAW58" s="101"/>
      <c r="DAX58" s="101"/>
      <c r="DAY58" s="101"/>
      <c r="DAZ58" s="101"/>
      <c r="DBA58" s="101"/>
      <c r="DBB58" s="101"/>
      <c r="DBC58" s="101"/>
      <c r="DBD58" s="101"/>
      <c r="DBE58" s="101"/>
      <c r="DBF58" s="101"/>
      <c r="DBG58" s="101"/>
      <c r="DBH58" s="101"/>
      <c r="DBI58" s="101"/>
      <c r="DBJ58" s="101"/>
      <c r="DBK58" s="101"/>
      <c r="DBL58" s="101"/>
      <c r="DBM58" s="101"/>
      <c r="DBN58" s="101"/>
      <c r="DBO58" s="101"/>
      <c r="DBP58" s="101"/>
      <c r="DBQ58" s="101"/>
      <c r="DBR58" s="101"/>
      <c r="DBS58" s="101"/>
      <c r="DBT58" s="101"/>
      <c r="DBU58" s="101"/>
      <c r="DBV58" s="101"/>
      <c r="DBW58" s="101"/>
      <c r="DBX58" s="101"/>
      <c r="DBY58" s="101"/>
      <c r="DBZ58" s="101"/>
      <c r="DCA58" s="101"/>
      <c r="DCB58" s="101"/>
      <c r="DCC58" s="101"/>
      <c r="DCD58" s="101"/>
      <c r="DCE58" s="101"/>
      <c r="DCF58" s="101"/>
      <c r="DCG58" s="101"/>
      <c r="DCH58" s="101"/>
      <c r="DCI58" s="101"/>
      <c r="DCJ58" s="101"/>
      <c r="DCK58" s="101"/>
      <c r="DCL58" s="101"/>
      <c r="DCM58" s="101"/>
      <c r="DCN58" s="101"/>
      <c r="DCO58" s="101"/>
      <c r="DCP58" s="101"/>
      <c r="DCQ58" s="101"/>
      <c r="DCR58" s="101"/>
      <c r="DCS58" s="101"/>
      <c r="DCT58" s="101"/>
      <c r="DCU58" s="101"/>
      <c r="DCV58" s="101"/>
      <c r="DCW58" s="101"/>
      <c r="DCX58" s="101"/>
      <c r="DCY58" s="101"/>
      <c r="DCZ58" s="101"/>
      <c r="DDA58" s="101"/>
      <c r="DDB58" s="101"/>
      <c r="DDC58" s="101"/>
      <c r="DDD58" s="101"/>
      <c r="DDE58" s="101"/>
      <c r="DDF58" s="101"/>
      <c r="DDG58" s="101"/>
      <c r="DDH58" s="101"/>
      <c r="DDI58" s="101"/>
      <c r="DDJ58" s="101"/>
      <c r="DDK58" s="101"/>
      <c r="DDL58" s="101"/>
      <c r="DDM58" s="101"/>
      <c r="DDN58" s="101"/>
      <c r="DDO58" s="101"/>
      <c r="DDP58" s="101"/>
      <c r="DDQ58" s="101"/>
      <c r="DDR58" s="101"/>
      <c r="DDS58" s="101"/>
      <c r="DDT58" s="101"/>
      <c r="DDU58" s="101"/>
      <c r="DDV58" s="101"/>
      <c r="DDW58" s="101"/>
      <c r="DDX58" s="101"/>
      <c r="DDY58" s="101"/>
      <c r="DDZ58" s="101"/>
      <c r="DEA58" s="101"/>
      <c r="DEB58" s="101"/>
      <c r="DEC58" s="101"/>
      <c r="DED58" s="101"/>
      <c r="DEE58" s="101"/>
      <c r="DEF58" s="101"/>
      <c r="DEG58" s="101"/>
      <c r="DEH58" s="101"/>
      <c r="DEI58" s="101"/>
      <c r="DEJ58" s="101"/>
      <c r="DEK58" s="101"/>
      <c r="DEL58" s="101"/>
      <c r="DEM58" s="101"/>
      <c r="DEN58" s="101"/>
      <c r="DEO58" s="101"/>
      <c r="DEP58" s="101"/>
      <c r="DEQ58" s="101"/>
      <c r="DER58" s="101"/>
      <c r="DES58" s="101"/>
      <c r="DET58" s="101"/>
      <c r="DEU58" s="101"/>
      <c r="DEV58" s="101"/>
      <c r="DEW58" s="101"/>
      <c r="DEX58" s="101"/>
      <c r="DEY58" s="101"/>
      <c r="DEZ58" s="101"/>
      <c r="DFA58" s="101"/>
      <c r="DFB58" s="101"/>
      <c r="DFC58" s="101"/>
      <c r="DFD58" s="101"/>
      <c r="DFE58" s="101"/>
      <c r="DFF58" s="101"/>
      <c r="DFG58" s="101"/>
      <c r="DFH58" s="101"/>
      <c r="DFI58" s="101"/>
      <c r="DFJ58" s="101"/>
      <c r="DFK58" s="101"/>
      <c r="DFL58" s="101"/>
      <c r="DFM58" s="101"/>
      <c r="DFN58" s="101"/>
      <c r="DFO58" s="101"/>
      <c r="DFP58" s="101"/>
      <c r="DFQ58" s="101"/>
      <c r="DFR58" s="101"/>
      <c r="DFS58" s="101"/>
      <c r="DFT58" s="101"/>
      <c r="DFU58" s="101"/>
      <c r="DFV58" s="101"/>
      <c r="DFW58" s="101"/>
      <c r="DFX58" s="101"/>
      <c r="DFY58" s="101"/>
      <c r="DFZ58" s="101"/>
      <c r="DGA58" s="101"/>
      <c r="DGB58" s="101"/>
      <c r="DGC58" s="101"/>
      <c r="DGD58" s="101"/>
      <c r="DGE58" s="101"/>
      <c r="DGF58" s="101"/>
      <c r="DGG58" s="101"/>
      <c r="DGH58" s="101"/>
      <c r="DGI58" s="101"/>
      <c r="DGJ58" s="101"/>
      <c r="DGK58" s="101"/>
      <c r="DGL58" s="101"/>
      <c r="DGM58" s="101"/>
      <c r="DGN58" s="101"/>
      <c r="DGO58" s="101"/>
      <c r="DGP58" s="101"/>
      <c r="DGQ58" s="101"/>
      <c r="DGR58" s="101"/>
      <c r="DGS58" s="101"/>
      <c r="DGT58" s="101"/>
      <c r="DGU58" s="101"/>
      <c r="DGV58" s="101"/>
      <c r="DGW58" s="101"/>
      <c r="DGX58" s="101"/>
      <c r="DGY58" s="101"/>
      <c r="DGZ58" s="101"/>
      <c r="DHA58" s="101"/>
      <c r="DHB58" s="101"/>
      <c r="DHC58" s="101"/>
      <c r="DHD58" s="101"/>
      <c r="DHE58" s="101"/>
      <c r="DHF58" s="101"/>
      <c r="DHG58" s="101"/>
      <c r="DHH58" s="101"/>
      <c r="DHI58" s="101"/>
      <c r="DHJ58" s="101"/>
      <c r="DHK58" s="101"/>
      <c r="DHL58" s="101"/>
      <c r="DHM58" s="101"/>
      <c r="DHN58" s="101"/>
      <c r="DHO58" s="101"/>
      <c r="DHP58" s="101"/>
      <c r="DHQ58" s="101"/>
      <c r="DHR58" s="101"/>
      <c r="DHS58" s="101"/>
      <c r="DHT58" s="101"/>
      <c r="DHU58" s="101"/>
      <c r="DHV58" s="101"/>
      <c r="DHW58" s="101"/>
      <c r="DHX58" s="101"/>
      <c r="DHY58" s="101"/>
      <c r="DHZ58" s="101"/>
      <c r="DIA58" s="101"/>
      <c r="DIB58" s="101"/>
      <c r="DIC58" s="101"/>
      <c r="DID58" s="101"/>
      <c r="DIE58" s="101"/>
      <c r="DIF58" s="101"/>
      <c r="DIG58" s="101"/>
      <c r="DIH58" s="101"/>
      <c r="DII58" s="101"/>
      <c r="DIJ58" s="101"/>
      <c r="DIK58" s="101"/>
      <c r="DIL58" s="101"/>
      <c r="DIM58" s="101"/>
      <c r="DIN58" s="101"/>
      <c r="DIO58" s="101"/>
      <c r="DIP58" s="101"/>
      <c r="DIQ58" s="101"/>
      <c r="DIR58" s="101"/>
      <c r="DIS58" s="101"/>
      <c r="DIT58" s="101"/>
      <c r="DIU58" s="101"/>
      <c r="DIV58" s="101"/>
      <c r="DIW58" s="101"/>
      <c r="DIX58" s="101"/>
      <c r="DIY58" s="101"/>
      <c r="DIZ58" s="101"/>
      <c r="DJA58" s="101"/>
      <c r="DJB58" s="101"/>
      <c r="DJC58" s="101"/>
      <c r="DJD58" s="101"/>
      <c r="DJE58" s="101"/>
      <c r="DJF58" s="101"/>
      <c r="DJG58" s="101"/>
      <c r="DJH58" s="101"/>
      <c r="DJI58" s="101"/>
      <c r="DJJ58" s="101"/>
      <c r="DJK58" s="101"/>
      <c r="DJL58" s="101"/>
      <c r="DJM58" s="101"/>
      <c r="DJN58" s="101"/>
      <c r="DJO58" s="101"/>
      <c r="DJP58" s="101"/>
      <c r="DJQ58" s="101"/>
      <c r="DJR58" s="101"/>
      <c r="DJS58" s="101"/>
      <c r="DJT58" s="101"/>
      <c r="DJU58" s="101"/>
      <c r="DJV58" s="101"/>
      <c r="DJW58" s="101"/>
      <c r="DJX58" s="101"/>
      <c r="DJY58" s="101"/>
      <c r="DJZ58" s="101"/>
      <c r="DKA58" s="101"/>
      <c r="DKB58" s="101"/>
      <c r="DKC58" s="101"/>
      <c r="DKD58" s="101"/>
      <c r="DKE58" s="101"/>
      <c r="DKF58" s="101"/>
      <c r="DKG58" s="101"/>
      <c r="DKH58" s="101"/>
      <c r="DKI58" s="101"/>
      <c r="DKJ58" s="101"/>
      <c r="DKK58" s="101"/>
      <c r="DKL58" s="101"/>
      <c r="DKM58" s="101"/>
      <c r="DKN58" s="101"/>
      <c r="DKO58" s="101"/>
      <c r="DKP58" s="101"/>
      <c r="DKQ58" s="101"/>
      <c r="DKR58" s="101"/>
      <c r="DKS58" s="101"/>
      <c r="DKT58" s="101"/>
      <c r="DKU58" s="101"/>
      <c r="DKV58" s="101"/>
      <c r="DKW58" s="101"/>
      <c r="DKX58" s="101"/>
      <c r="DKY58" s="101"/>
      <c r="DKZ58" s="101"/>
      <c r="DLA58" s="101"/>
      <c r="DLB58" s="101"/>
      <c r="DLC58" s="101"/>
      <c r="DLD58" s="101"/>
      <c r="DLE58" s="101"/>
      <c r="DLF58" s="101"/>
      <c r="DLG58" s="101"/>
      <c r="DLH58" s="101"/>
      <c r="DLI58" s="101"/>
      <c r="DLJ58" s="101"/>
      <c r="DLK58" s="101"/>
      <c r="DLL58" s="101"/>
      <c r="DLM58" s="101"/>
      <c r="DLN58" s="101"/>
      <c r="DLO58" s="101"/>
      <c r="DLP58" s="101"/>
      <c r="DLQ58" s="101"/>
      <c r="DLR58" s="101"/>
      <c r="DLS58" s="101"/>
      <c r="DLT58" s="101"/>
      <c r="DLU58" s="101"/>
      <c r="DLV58" s="101"/>
      <c r="DLW58" s="101"/>
      <c r="DLX58" s="101"/>
      <c r="DLY58" s="101"/>
      <c r="DLZ58" s="101"/>
      <c r="DMA58" s="101"/>
      <c r="DMB58" s="101"/>
      <c r="DMC58" s="101"/>
      <c r="DMD58" s="101"/>
      <c r="DME58" s="101"/>
      <c r="DMF58" s="101"/>
      <c r="DMG58" s="101"/>
      <c r="DMH58" s="101"/>
      <c r="DMI58" s="101"/>
      <c r="DMJ58" s="101"/>
      <c r="DMK58" s="101"/>
      <c r="DML58" s="101"/>
      <c r="DMM58" s="101"/>
      <c r="DMN58" s="101"/>
      <c r="DMO58" s="101"/>
      <c r="DMP58" s="101"/>
      <c r="DMQ58" s="101"/>
      <c r="DMR58" s="101"/>
      <c r="DMS58" s="101"/>
      <c r="DMT58" s="101"/>
      <c r="DMU58" s="101"/>
      <c r="DMV58" s="101"/>
      <c r="DMW58" s="101"/>
      <c r="DMX58" s="101"/>
      <c r="DMY58" s="101"/>
      <c r="DMZ58" s="101"/>
      <c r="DNA58" s="101"/>
      <c r="DNB58" s="101"/>
      <c r="DNC58" s="101"/>
      <c r="DND58" s="101"/>
      <c r="DNE58" s="101"/>
      <c r="DNF58" s="101"/>
      <c r="DNG58" s="101"/>
      <c r="DNH58" s="101"/>
      <c r="DNI58" s="101"/>
      <c r="DNJ58" s="101"/>
      <c r="DNK58" s="101"/>
      <c r="DNL58" s="101"/>
      <c r="DNM58" s="101"/>
      <c r="DNN58" s="101"/>
      <c r="DNO58" s="101"/>
      <c r="DNP58" s="101"/>
      <c r="DNQ58" s="101"/>
      <c r="DNR58" s="101"/>
      <c r="DNS58" s="101"/>
      <c r="DNT58" s="101"/>
      <c r="DNU58" s="101"/>
      <c r="DNV58" s="101"/>
      <c r="DNW58" s="101"/>
      <c r="DNX58" s="101"/>
      <c r="DNY58" s="101"/>
      <c r="DNZ58" s="101"/>
      <c r="DOA58" s="101"/>
      <c r="DOB58" s="101"/>
      <c r="DOC58" s="101"/>
      <c r="DOD58" s="101"/>
      <c r="DOE58" s="101"/>
      <c r="DOF58" s="101"/>
      <c r="DOG58" s="101"/>
      <c r="DOH58" s="101"/>
      <c r="DOI58" s="101"/>
      <c r="DOJ58" s="101"/>
      <c r="DOK58" s="101"/>
      <c r="DOL58" s="101"/>
      <c r="DOM58" s="101"/>
      <c r="DON58" s="101"/>
      <c r="DOO58" s="101"/>
      <c r="DOP58" s="101"/>
      <c r="DOQ58" s="101"/>
      <c r="DOR58" s="101"/>
      <c r="DOS58" s="101"/>
      <c r="DOT58" s="101"/>
      <c r="DOU58" s="101"/>
      <c r="DOV58" s="101"/>
      <c r="DOW58" s="101"/>
      <c r="DOX58" s="101"/>
      <c r="DOY58" s="101"/>
      <c r="DOZ58" s="101"/>
      <c r="DPA58" s="101"/>
      <c r="DPB58" s="101"/>
      <c r="DPC58" s="101"/>
      <c r="DPD58" s="101"/>
      <c r="DPE58" s="101"/>
      <c r="DPF58" s="101"/>
      <c r="DPG58" s="101"/>
      <c r="DPH58" s="101"/>
      <c r="DPI58" s="101"/>
      <c r="DPJ58" s="101"/>
      <c r="DPK58" s="101"/>
      <c r="DPL58" s="101"/>
      <c r="DPM58" s="101"/>
      <c r="DPN58" s="101"/>
      <c r="DPO58" s="101"/>
      <c r="DPP58" s="101"/>
      <c r="DPQ58" s="101"/>
      <c r="DPR58" s="101"/>
      <c r="DPS58" s="101"/>
      <c r="DPT58" s="101"/>
      <c r="DPU58" s="101"/>
      <c r="DPV58" s="101"/>
      <c r="DPW58" s="101"/>
      <c r="DPX58" s="101"/>
      <c r="DPY58" s="101"/>
      <c r="DPZ58" s="101"/>
      <c r="DQA58" s="101"/>
      <c r="DQB58" s="101"/>
      <c r="DQC58" s="101"/>
      <c r="DQD58" s="101"/>
      <c r="DQE58" s="101"/>
      <c r="DQF58" s="101"/>
      <c r="DQG58" s="101"/>
      <c r="DQH58" s="101"/>
      <c r="DQI58" s="101"/>
      <c r="DQJ58" s="101"/>
      <c r="DQK58" s="101"/>
      <c r="DQL58" s="101"/>
      <c r="DQM58" s="101"/>
      <c r="DQN58" s="101"/>
      <c r="DQO58" s="101"/>
      <c r="DQP58" s="101"/>
      <c r="DQQ58" s="101"/>
      <c r="DQR58" s="101"/>
      <c r="DQS58" s="101"/>
      <c r="DQT58" s="101"/>
      <c r="DQU58" s="101"/>
      <c r="DQV58" s="101"/>
      <c r="DQW58" s="101"/>
      <c r="DQX58" s="101"/>
      <c r="DQY58" s="101"/>
      <c r="DQZ58" s="101"/>
      <c r="DRA58" s="101"/>
      <c r="DRB58" s="101"/>
      <c r="DRC58" s="101"/>
      <c r="DRD58" s="101"/>
      <c r="DRE58" s="101"/>
      <c r="DRF58" s="101"/>
      <c r="DRG58" s="101"/>
      <c r="DRH58" s="101"/>
      <c r="DRI58" s="101"/>
      <c r="DRJ58" s="101"/>
      <c r="DRK58" s="101"/>
      <c r="DRL58" s="101"/>
      <c r="DRM58" s="101"/>
      <c r="DRN58" s="101"/>
      <c r="DRO58" s="101"/>
      <c r="DRP58" s="101"/>
      <c r="DRQ58" s="101"/>
      <c r="DRR58" s="101"/>
      <c r="DRS58" s="101"/>
      <c r="DRT58" s="101"/>
      <c r="DRU58" s="101"/>
      <c r="DRV58" s="101"/>
      <c r="DRW58" s="101"/>
      <c r="DRX58" s="101"/>
      <c r="DRY58" s="101"/>
      <c r="DRZ58" s="101"/>
      <c r="DSA58" s="101"/>
      <c r="DSB58" s="101"/>
      <c r="DSC58" s="101"/>
      <c r="DSD58" s="101"/>
      <c r="DSE58" s="101"/>
      <c r="DSF58" s="101"/>
      <c r="DSG58" s="101"/>
      <c r="DSH58" s="101"/>
      <c r="DSI58" s="101"/>
      <c r="DSJ58" s="101"/>
      <c r="DSK58" s="101"/>
      <c r="DSL58" s="101"/>
      <c r="DSM58" s="101"/>
      <c r="DSN58" s="101"/>
      <c r="DSO58" s="101"/>
      <c r="DSP58" s="101"/>
      <c r="DSQ58" s="101"/>
      <c r="DSR58" s="101"/>
      <c r="DSS58" s="101"/>
      <c r="DST58" s="101"/>
      <c r="DSU58" s="101"/>
      <c r="DSV58" s="101"/>
      <c r="DSW58" s="101"/>
      <c r="DSX58" s="101"/>
      <c r="DSY58" s="101"/>
      <c r="DSZ58" s="101"/>
      <c r="DTA58" s="101"/>
      <c r="DTB58" s="101"/>
      <c r="DTC58" s="101"/>
      <c r="DTD58" s="101"/>
      <c r="DTE58" s="101"/>
      <c r="DTF58" s="101"/>
      <c r="DTG58" s="101"/>
      <c r="DTH58" s="101"/>
      <c r="DTI58" s="101"/>
      <c r="DTJ58" s="101"/>
      <c r="DTK58" s="101"/>
      <c r="DTL58" s="101"/>
      <c r="DTM58" s="101"/>
      <c r="DTN58" s="101"/>
      <c r="DTO58" s="101"/>
      <c r="DTP58" s="101"/>
      <c r="DTQ58" s="101"/>
      <c r="DTR58" s="101"/>
      <c r="DTS58" s="101"/>
      <c r="DTT58" s="101"/>
      <c r="DTU58" s="101"/>
      <c r="DTV58" s="101"/>
      <c r="DTW58" s="101"/>
      <c r="DTX58" s="101"/>
      <c r="DTY58" s="101"/>
      <c r="DTZ58" s="101"/>
      <c r="DUA58" s="101"/>
      <c r="DUB58" s="101"/>
      <c r="DUC58" s="101"/>
      <c r="DUD58" s="101"/>
      <c r="DUE58" s="101"/>
      <c r="DUF58" s="101"/>
      <c r="DUG58" s="101"/>
      <c r="DUH58" s="101"/>
      <c r="DUI58" s="101"/>
      <c r="DUJ58" s="101"/>
      <c r="DUK58" s="101"/>
      <c r="DUL58" s="101"/>
      <c r="DUM58" s="101"/>
      <c r="DUN58" s="101"/>
      <c r="DUO58" s="101"/>
      <c r="DUP58" s="101"/>
      <c r="DUQ58" s="101"/>
      <c r="DUR58" s="101"/>
      <c r="DUS58" s="101"/>
      <c r="DUT58" s="101"/>
      <c r="DUU58" s="101"/>
      <c r="DUV58" s="101"/>
      <c r="DUW58" s="101"/>
      <c r="DUX58" s="101"/>
      <c r="DUY58" s="101"/>
      <c r="DUZ58" s="101"/>
      <c r="DVA58" s="101"/>
      <c r="DVB58" s="101"/>
      <c r="DVC58" s="101"/>
      <c r="DVD58" s="101"/>
      <c r="DVE58" s="101"/>
      <c r="DVF58" s="101"/>
      <c r="DVG58" s="101"/>
      <c r="DVH58" s="101"/>
      <c r="DVI58" s="101"/>
      <c r="DVJ58" s="101"/>
      <c r="DVK58" s="101"/>
      <c r="DVL58" s="101"/>
      <c r="DVM58" s="101"/>
      <c r="DVN58" s="101"/>
      <c r="DVO58" s="101"/>
      <c r="DVP58" s="101"/>
      <c r="DVQ58" s="101"/>
      <c r="DVR58" s="101"/>
      <c r="DVS58" s="101"/>
      <c r="DVT58" s="101"/>
      <c r="DVU58" s="101"/>
      <c r="DVV58" s="101"/>
      <c r="DVW58" s="101"/>
      <c r="DVX58" s="101"/>
      <c r="DVY58" s="101"/>
      <c r="DVZ58" s="101"/>
      <c r="DWA58" s="101"/>
      <c r="DWB58" s="101"/>
      <c r="DWC58" s="101"/>
      <c r="DWD58" s="101"/>
      <c r="DWE58" s="101"/>
      <c r="DWF58" s="101"/>
      <c r="DWG58" s="101"/>
      <c r="DWH58" s="101"/>
      <c r="DWI58" s="101"/>
      <c r="DWJ58" s="101"/>
      <c r="DWK58" s="101"/>
      <c r="DWL58" s="101"/>
      <c r="DWM58" s="101"/>
      <c r="DWN58" s="101"/>
      <c r="DWO58" s="101"/>
      <c r="DWP58" s="101"/>
      <c r="DWQ58" s="101"/>
      <c r="DWR58" s="101"/>
      <c r="DWS58" s="101"/>
      <c r="DWT58" s="101"/>
      <c r="DWU58" s="101"/>
      <c r="DWV58" s="101"/>
      <c r="DWW58" s="101"/>
      <c r="DWX58" s="101"/>
      <c r="DWY58" s="101"/>
      <c r="DWZ58" s="101"/>
      <c r="DXA58" s="101"/>
      <c r="DXB58" s="101"/>
      <c r="DXC58" s="101"/>
      <c r="DXD58" s="101"/>
      <c r="DXE58" s="101"/>
      <c r="DXF58" s="101"/>
      <c r="DXG58" s="101"/>
      <c r="DXH58" s="101"/>
      <c r="DXI58" s="101"/>
      <c r="DXJ58" s="101"/>
      <c r="DXK58" s="101"/>
      <c r="DXL58" s="101"/>
      <c r="DXM58" s="101"/>
      <c r="DXN58" s="101"/>
      <c r="DXO58" s="101"/>
      <c r="DXP58" s="101"/>
      <c r="DXQ58" s="101"/>
      <c r="DXR58" s="101"/>
      <c r="DXS58" s="101"/>
      <c r="DXT58" s="101"/>
      <c r="DXU58" s="101"/>
      <c r="DXV58" s="101"/>
      <c r="DXW58" s="101"/>
      <c r="DXX58" s="101"/>
      <c r="DXY58" s="101"/>
      <c r="DXZ58" s="101"/>
      <c r="DYA58" s="101"/>
      <c r="DYB58" s="101"/>
      <c r="DYC58" s="101"/>
      <c r="DYD58" s="101"/>
      <c r="DYE58" s="101"/>
      <c r="DYF58" s="101"/>
      <c r="DYG58" s="101"/>
      <c r="DYH58" s="101"/>
      <c r="DYI58" s="101"/>
      <c r="DYJ58" s="101"/>
      <c r="DYK58" s="101"/>
      <c r="DYL58" s="101"/>
      <c r="DYM58" s="101"/>
      <c r="DYN58" s="101"/>
      <c r="DYO58" s="101"/>
      <c r="DYP58" s="101"/>
      <c r="DYQ58" s="101"/>
      <c r="DYR58" s="101"/>
      <c r="DYS58" s="101"/>
      <c r="DYT58" s="101"/>
      <c r="DYU58" s="101"/>
      <c r="DYV58" s="101"/>
      <c r="DYW58" s="101"/>
      <c r="DYX58" s="101"/>
      <c r="DYY58" s="101"/>
      <c r="DYZ58" s="101"/>
      <c r="DZA58" s="101"/>
      <c r="DZB58" s="101"/>
      <c r="DZC58" s="101"/>
      <c r="DZD58" s="101"/>
      <c r="DZE58" s="101"/>
      <c r="DZF58" s="101"/>
      <c r="DZG58" s="101"/>
      <c r="DZH58" s="101"/>
      <c r="DZI58" s="101"/>
      <c r="DZJ58" s="101"/>
      <c r="DZK58" s="101"/>
      <c r="DZL58" s="101"/>
      <c r="DZM58" s="101"/>
      <c r="DZN58" s="101"/>
      <c r="DZO58" s="101"/>
      <c r="DZP58" s="101"/>
      <c r="DZQ58" s="101"/>
      <c r="DZR58" s="101"/>
      <c r="DZS58" s="101"/>
      <c r="DZT58" s="101"/>
      <c r="DZU58" s="101"/>
      <c r="DZV58" s="101"/>
      <c r="DZW58" s="101"/>
      <c r="DZX58" s="101"/>
      <c r="DZY58" s="101"/>
      <c r="DZZ58" s="101"/>
      <c r="EAA58" s="101"/>
      <c r="EAB58" s="101"/>
      <c r="EAC58" s="101"/>
      <c r="EAD58" s="101"/>
      <c r="EAE58" s="101"/>
      <c r="EAF58" s="101"/>
      <c r="EAG58" s="101"/>
      <c r="EAH58" s="101"/>
      <c r="EAI58" s="101"/>
      <c r="EAJ58" s="101"/>
      <c r="EAK58" s="101"/>
      <c r="EAL58" s="101"/>
      <c r="EAM58" s="101"/>
      <c r="EAN58" s="101"/>
      <c r="EAO58" s="101"/>
      <c r="EAP58" s="101"/>
      <c r="EAQ58" s="101"/>
      <c r="EAR58" s="101"/>
      <c r="EAS58" s="101"/>
      <c r="EAT58" s="101"/>
      <c r="EAU58" s="101"/>
      <c r="EAV58" s="101"/>
      <c r="EAW58" s="101"/>
      <c r="EAX58" s="101"/>
      <c r="EAY58" s="101"/>
      <c r="EAZ58" s="101"/>
      <c r="EBA58" s="101"/>
      <c r="EBB58" s="101"/>
      <c r="EBC58" s="101"/>
      <c r="EBD58" s="101"/>
      <c r="EBE58" s="101"/>
      <c r="EBF58" s="101"/>
      <c r="EBG58" s="101"/>
      <c r="EBH58" s="101"/>
      <c r="EBI58" s="101"/>
      <c r="EBJ58" s="101"/>
      <c r="EBK58" s="101"/>
      <c r="EBL58" s="101"/>
      <c r="EBM58" s="101"/>
      <c r="EBN58" s="101"/>
      <c r="EBO58" s="101"/>
      <c r="EBP58" s="101"/>
      <c r="EBQ58" s="101"/>
      <c r="EBR58" s="101"/>
      <c r="EBS58" s="101"/>
      <c r="EBT58" s="101"/>
      <c r="EBU58" s="101"/>
      <c r="EBV58" s="101"/>
      <c r="EBW58" s="101"/>
      <c r="EBX58" s="101"/>
      <c r="EBY58" s="101"/>
      <c r="EBZ58" s="101"/>
      <c r="ECA58" s="101"/>
      <c r="ECB58" s="101"/>
      <c r="ECC58" s="101"/>
      <c r="ECD58" s="101"/>
      <c r="ECE58" s="101"/>
      <c r="ECF58" s="101"/>
      <c r="ECG58" s="101"/>
      <c r="ECH58" s="101"/>
      <c r="ECI58" s="101"/>
      <c r="ECJ58" s="101"/>
      <c r="ECK58" s="101"/>
      <c r="ECL58" s="101"/>
      <c r="ECM58" s="101"/>
      <c r="ECN58" s="101"/>
      <c r="ECO58" s="101"/>
      <c r="ECP58" s="101"/>
      <c r="ECQ58" s="101"/>
      <c r="ECR58" s="101"/>
      <c r="ECS58" s="101"/>
      <c r="ECT58" s="101"/>
      <c r="ECU58" s="101"/>
      <c r="ECV58" s="101"/>
      <c r="ECW58" s="101"/>
      <c r="ECX58" s="101"/>
      <c r="ECY58" s="101"/>
      <c r="ECZ58" s="101"/>
      <c r="EDA58" s="101"/>
      <c r="EDB58" s="101"/>
      <c r="EDC58" s="101"/>
      <c r="EDD58" s="101"/>
      <c r="EDE58" s="101"/>
      <c r="EDF58" s="101"/>
      <c r="EDG58" s="101"/>
      <c r="EDH58" s="101"/>
      <c r="EDI58" s="101"/>
      <c r="EDJ58" s="101"/>
      <c r="EDK58" s="101"/>
      <c r="EDL58" s="101"/>
      <c r="EDM58" s="101"/>
      <c r="EDN58" s="101"/>
      <c r="EDO58" s="101"/>
      <c r="EDP58" s="101"/>
      <c r="EDQ58" s="101"/>
      <c r="EDR58" s="101"/>
      <c r="EDS58" s="101"/>
      <c r="EDT58" s="101"/>
      <c r="EDU58" s="101"/>
      <c r="EDV58" s="101"/>
      <c r="EDW58" s="101"/>
      <c r="EDX58" s="101"/>
      <c r="EDY58" s="101"/>
      <c r="EDZ58" s="101"/>
      <c r="EEA58" s="101"/>
      <c r="EEB58" s="101"/>
      <c r="EEC58" s="101"/>
      <c r="EED58" s="101"/>
      <c r="EEE58" s="101"/>
      <c r="EEF58" s="101"/>
      <c r="EEG58" s="101"/>
      <c r="EEH58" s="101"/>
      <c r="EEI58" s="101"/>
      <c r="EEJ58" s="101"/>
      <c r="EEK58" s="101"/>
      <c r="EEL58" s="101"/>
      <c r="EEM58" s="101"/>
      <c r="EEN58" s="101"/>
      <c r="EEO58" s="101"/>
      <c r="EEP58" s="101"/>
      <c r="EEQ58" s="101"/>
      <c r="EER58" s="101"/>
      <c r="EES58" s="101"/>
      <c r="EET58" s="101"/>
      <c r="EEU58" s="101"/>
      <c r="EEV58" s="101"/>
      <c r="EEW58" s="101"/>
      <c r="EEX58" s="101"/>
      <c r="EEY58" s="101"/>
      <c r="EEZ58" s="101"/>
      <c r="EFA58" s="101"/>
      <c r="EFB58" s="101"/>
      <c r="EFC58" s="101"/>
      <c r="EFD58" s="101"/>
      <c r="EFE58" s="101"/>
      <c r="EFF58" s="101"/>
      <c r="EFG58" s="101"/>
      <c r="EFH58" s="101"/>
      <c r="EFI58" s="101"/>
      <c r="EFJ58" s="101"/>
      <c r="EFK58" s="101"/>
      <c r="EFL58" s="101"/>
      <c r="EFM58" s="101"/>
      <c r="EFN58" s="101"/>
      <c r="EFO58" s="101"/>
      <c r="EFP58" s="101"/>
      <c r="EFQ58" s="101"/>
      <c r="EFR58" s="101"/>
      <c r="EFS58" s="101"/>
      <c r="EFT58" s="101"/>
      <c r="EFU58" s="101"/>
      <c r="EFV58" s="101"/>
      <c r="EFW58" s="101"/>
      <c r="EFX58" s="101"/>
      <c r="EFY58" s="101"/>
      <c r="EFZ58" s="101"/>
      <c r="EGA58" s="101"/>
      <c r="EGB58" s="101"/>
      <c r="EGC58" s="101"/>
      <c r="EGD58" s="101"/>
      <c r="EGE58" s="101"/>
      <c r="EGF58" s="101"/>
      <c r="EGG58" s="101"/>
      <c r="EGH58" s="101"/>
      <c r="EGI58" s="101"/>
      <c r="EGJ58" s="101"/>
      <c r="EGK58" s="101"/>
      <c r="EGL58" s="101"/>
      <c r="EGM58" s="101"/>
      <c r="EGN58" s="101"/>
      <c r="EGO58" s="101"/>
      <c r="EGP58" s="101"/>
      <c r="EGQ58" s="101"/>
      <c r="EGR58" s="101"/>
      <c r="EGS58" s="101"/>
      <c r="EGT58" s="101"/>
      <c r="EGU58" s="101"/>
      <c r="EGV58" s="101"/>
      <c r="EGW58" s="101"/>
      <c r="EGX58" s="101"/>
      <c r="EGY58" s="101"/>
      <c r="EGZ58" s="101"/>
      <c r="EHA58" s="101"/>
      <c r="EHB58" s="101"/>
      <c r="EHC58" s="101"/>
      <c r="EHD58" s="101"/>
      <c r="EHE58" s="101"/>
      <c r="EHF58" s="101"/>
      <c r="EHG58" s="101"/>
      <c r="EHH58" s="101"/>
      <c r="EHI58" s="101"/>
      <c r="EHJ58" s="101"/>
      <c r="EHK58" s="101"/>
      <c r="EHL58" s="101"/>
      <c r="EHM58" s="101"/>
      <c r="EHN58" s="101"/>
      <c r="EHO58" s="101"/>
      <c r="EHP58" s="101"/>
      <c r="EHQ58" s="101"/>
      <c r="EHR58" s="101"/>
      <c r="EHS58" s="101"/>
      <c r="EHT58" s="101"/>
      <c r="EHU58" s="101"/>
      <c r="EHV58" s="101"/>
      <c r="EHW58" s="101"/>
      <c r="EHX58" s="101"/>
      <c r="EHY58" s="101"/>
      <c r="EHZ58" s="101"/>
      <c r="EIA58" s="101"/>
      <c r="EIB58" s="101"/>
      <c r="EIC58" s="101"/>
      <c r="EID58" s="101"/>
      <c r="EIE58" s="101"/>
      <c r="EIF58" s="101"/>
      <c r="EIG58" s="101"/>
      <c r="EIH58" s="101"/>
      <c r="EII58" s="101"/>
      <c r="EIJ58" s="101"/>
      <c r="EIK58" s="101"/>
      <c r="EIL58" s="101"/>
      <c r="EIM58" s="101"/>
      <c r="EIN58" s="101"/>
      <c r="EIO58" s="101"/>
      <c r="EIP58" s="101"/>
      <c r="EIQ58" s="101"/>
      <c r="EIR58" s="101"/>
      <c r="EIS58" s="101"/>
      <c r="EIT58" s="101"/>
      <c r="EIU58" s="101"/>
      <c r="EIV58" s="101"/>
      <c r="EIW58" s="101"/>
      <c r="EIX58" s="101"/>
      <c r="EIY58" s="101"/>
      <c r="EIZ58" s="101"/>
      <c r="EJA58" s="101"/>
      <c r="EJB58" s="101"/>
      <c r="EJC58" s="101"/>
      <c r="EJD58" s="101"/>
      <c r="EJE58" s="101"/>
      <c r="EJF58" s="101"/>
      <c r="EJG58" s="101"/>
      <c r="EJH58" s="101"/>
      <c r="EJI58" s="101"/>
      <c r="EJJ58" s="101"/>
      <c r="EJK58" s="101"/>
      <c r="EJL58" s="101"/>
      <c r="EJM58" s="101"/>
      <c r="EJN58" s="101"/>
      <c r="EJO58" s="101"/>
      <c r="EJP58" s="101"/>
      <c r="EJQ58" s="101"/>
      <c r="EJR58" s="101"/>
      <c r="EJS58" s="101"/>
      <c r="EJT58" s="101"/>
      <c r="EJU58" s="101"/>
      <c r="EJV58" s="101"/>
      <c r="EJW58" s="101"/>
      <c r="EJX58" s="101"/>
      <c r="EJY58" s="101"/>
      <c r="EJZ58" s="101"/>
      <c r="EKA58" s="101"/>
      <c r="EKB58" s="101"/>
      <c r="EKC58" s="101"/>
      <c r="EKD58" s="101"/>
      <c r="EKE58" s="101"/>
      <c r="EKF58" s="101"/>
      <c r="EKG58" s="101"/>
      <c r="EKH58" s="101"/>
      <c r="EKI58" s="101"/>
      <c r="EKJ58" s="101"/>
      <c r="EKK58" s="101"/>
      <c r="EKL58" s="101"/>
      <c r="EKM58" s="101"/>
      <c r="EKN58" s="101"/>
      <c r="EKO58" s="101"/>
      <c r="EKP58" s="101"/>
      <c r="EKQ58" s="101"/>
      <c r="EKR58" s="101"/>
      <c r="EKS58" s="101"/>
      <c r="EKT58" s="101"/>
      <c r="EKU58" s="101"/>
      <c r="EKV58" s="101"/>
      <c r="EKW58" s="101"/>
      <c r="EKX58" s="101"/>
      <c r="EKY58" s="101"/>
      <c r="EKZ58" s="101"/>
      <c r="ELA58" s="101"/>
      <c r="ELB58" s="101"/>
      <c r="ELC58" s="101"/>
      <c r="ELD58" s="101"/>
      <c r="ELE58" s="101"/>
      <c r="ELF58" s="101"/>
      <c r="ELG58" s="101"/>
      <c r="ELH58" s="101"/>
      <c r="ELI58" s="101"/>
      <c r="ELJ58" s="101"/>
      <c r="ELK58" s="101"/>
      <c r="ELL58" s="101"/>
      <c r="ELM58" s="101"/>
      <c r="ELN58" s="101"/>
      <c r="ELO58" s="101"/>
      <c r="ELP58" s="101"/>
      <c r="ELQ58" s="101"/>
      <c r="ELR58" s="101"/>
      <c r="ELS58" s="101"/>
      <c r="ELT58" s="101"/>
      <c r="ELU58" s="101"/>
      <c r="ELV58" s="101"/>
      <c r="ELW58" s="101"/>
      <c r="ELX58" s="101"/>
      <c r="ELY58" s="101"/>
      <c r="ELZ58" s="101"/>
      <c r="EMA58" s="101"/>
      <c r="EMB58" s="101"/>
      <c r="EMC58" s="101"/>
      <c r="EMD58" s="101"/>
      <c r="EME58" s="101"/>
      <c r="EMF58" s="101"/>
      <c r="EMG58" s="101"/>
      <c r="EMH58" s="101"/>
      <c r="EMI58" s="101"/>
      <c r="EMJ58" s="101"/>
      <c r="EMK58" s="101"/>
      <c r="EML58" s="101"/>
      <c r="EMM58" s="101"/>
      <c r="EMN58" s="101"/>
      <c r="EMO58" s="101"/>
      <c r="EMP58" s="101"/>
      <c r="EMQ58" s="101"/>
      <c r="EMR58" s="101"/>
      <c r="EMS58" s="101"/>
      <c r="EMT58" s="101"/>
      <c r="EMU58" s="101"/>
      <c r="EMV58" s="101"/>
      <c r="EMW58" s="101"/>
      <c r="EMX58" s="101"/>
      <c r="EMY58" s="101"/>
      <c r="EMZ58" s="101"/>
      <c r="ENA58" s="101"/>
      <c r="ENB58" s="101"/>
      <c r="ENC58" s="101"/>
      <c r="END58" s="101"/>
      <c r="ENE58" s="101"/>
      <c r="ENF58" s="101"/>
      <c r="ENG58" s="101"/>
      <c r="ENH58" s="101"/>
      <c r="ENI58" s="101"/>
      <c r="ENJ58" s="101"/>
      <c r="ENK58" s="101"/>
      <c r="ENL58" s="101"/>
      <c r="ENM58" s="101"/>
      <c r="ENN58" s="101"/>
      <c r="ENO58" s="101"/>
      <c r="ENP58" s="101"/>
      <c r="ENQ58" s="101"/>
      <c r="ENR58" s="101"/>
      <c r="ENS58" s="101"/>
      <c r="ENT58" s="101"/>
      <c r="ENU58" s="101"/>
      <c r="ENV58" s="101"/>
      <c r="ENW58" s="101"/>
      <c r="ENX58" s="101"/>
      <c r="ENY58" s="101"/>
      <c r="ENZ58" s="101"/>
      <c r="EOA58" s="101"/>
      <c r="EOB58" s="101"/>
      <c r="EOC58" s="101"/>
      <c r="EOD58" s="101"/>
      <c r="EOE58" s="101"/>
      <c r="EOF58" s="101"/>
      <c r="EOG58" s="101"/>
      <c r="EOH58" s="101"/>
      <c r="EOI58" s="101"/>
      <c r="EOJ58" s="101"/>
      <c r="EOK58" s="101"/>
      <c r="EOL58" s="101"/>
      <c r="EOM58" s="101"/>
      <c r="EON58" s="101"/>
      <c r="EOO58" s="101"/>
      <c r="EOP58" s="101"/>
      <c r="EOQ58" s="101"/>
      <c r="EOR58" s="101"/>
      <c r="EOS58" s="101"/>
      <c r="EOT58" s="101"/>
      <c r="EOU58" s="101"/>
      <c r="EOV58" s="101"/>
      <c r="EOW58" s="101"/>
      <c r="EOX58" s="101"/>
      <c r="EOY58" s="101"/>
      <c r="EOZ58" s="101"/>
      <c r="EPA58" s="101"/>
      <c r="EPB58" s="101"/>
      <c r="EPC58" s="101"/>
      <c r="EPD58" s="101"/>
      <c r="EPE58" s="101"/>
      <c r="EPF58" s="101"/>
      <c r="EPG58" s="101"/>
      <c r="EPH58" s="101"/>
      <c r="EPI58" s="101"/>
      <c r="EPJ58" s="101"/>
      <c r="EPK58" s="101"/>
      <c r="EPL58" s="101"/>
      <c r="EPM58" s="101"/>
      <c r="EPN58" s="101"/>
      <c r="EPO58" s="101"/>
      <c r="EPP58" s="101"/>
      <c r="EPQ58" s="101"/>
      <c r="EPR58" s="101"/>
      <c r="EPS58" s="101"/>
      <c r="EPT58" s="101"/>
      <c r="EPU58" s="101"/>
      <c r="EPV58" s="101"/>
      <c r="EPW58" s="101"/>
      <c r="EPX58" s="101"/>
      <c r="EPY58" s="101"/>
      <c r="EPZ58" s="101"/>
      <c r="EQA58" s="101"/>
      <c r="EQB58" s="101"/>
      <c r="EQC58" s="101"/>
      <c r="EQD58" s="101"/>
      <c r="EQE58" s="101"/>
      <c r="EQF58" s="101"/>
      <c r="EQG58" s="101"/>
      <c r="EQH58" s="101"/>
      <c r="EQI58" s="101"/>
      <c r="EQJ58" s="101"/>
      <c r="EQK58" s="101"/>
      <c r="EQL58" s="101"/>
      <c r="EQM58" s="101"/>
      <c r="EQN58" s="101"/>
      <c r="EQO58" s="101"/>
      <c r="EQP58" s="101"/>
      <c r="EQQ58" s="101"/>
      <c r="EQR58" s="101"/>
      <c r="EQS58" s="101"/>
      <c r="EQT58" s="101"/>
      <c r="EQU58" s="101"/>
      <c r="EQV58" s="101"/>
      <c r="EQW58" s="101"/>
      <c r="EQX58" s="101"/>
      <c r="EQY58" s="101"/>
      <c r="EQZ58" s="101"/>
      <c r="ERA58" s="101"/>
      <c r="ERB58" s="101"/>
      <c r="ERC58" s="101"/>
      <c r="ERD58" s="101"/>
      <c r="ERE58" s="101"/>
      <c r="ERF58" s="101"/>
      <c r="ERG58" s="101"/>
      <c r="ERH58" s="101"/>
      <c r="ERI58" s="101"/>
      <c r="ERJ58" s="101"/>
      <c r="ERK58" s="101"/>
      <c r="ERL58" s="101"/>
      <c r="ERM58" s="101"/>
      <c r="ERN58" s="101"/>
      <c r="ERO58" s="101"/>
      <c r="ERP58" s="101"/>
      <c r="ERQ58" s="101"/>
      <c r="ERR58" s="101"/>
      <c r="ERS58" s="101"/>
      <c r="ERT58" s="101"/>
      <c r="ERU58" s="101"/>
      <c r="ERV58" s="101"/>
      <c r="ERW58" s="101"/>
      <c r="ERX58" s="101"/>
      <c r="ERY58" s="101"/>
      <c r="ERZ58" s="101"/>
      <c r="ESA58" s="101"/>
      <c r="ESB58" s="101"/>
      <c r="ESC58" s="101"/>
      <c r="ESD58" s="101"/>
      <c r="ESE58" s="101"/>
      <c r="ESF58" s="101"/>
      <c r="ESG58" s="101"/>
      <c r="ESH58" s="101"/>
      <c r="ESI58" s="101"/>
      <c r="ESJ58" s="101"/>
      <c r="ESK58" s="101"/>
      <c r="ESL58" s="101"/>
      <c r="ESM58" s="101"/>
      <c r="ESN58" s="101"/>
      <c r="ESO58" s="101"/>
      <c r="ESP58" s="101"/>
      <c r="ESQ58" s="101"/>
      <c r="ESR58" s="101"/>
      <c r="ESS58" s="101"/>
      <c r="EST58" s="101"/>
      <c r="ESU58" s="101"/>
      <c r="ESV58" s="101"/>
      <c r="ESW58" s="101"/>
      <c r="ESX58" s="101"/>
      <c r="ESY58" s="101"/>
      <c r="ESZ58" s="101"/>
      <c r="ETA58" s="101"/>
      <c r="ETB58" s="101"/>
      <c r="ETC58" s="101"/>
      <c r="ETD58" s="101"/>
      <c r="ETE58" s="101"/>
      <c r="ETF58" s="101"/>
      <c r="ETG58" s="101"/>
      <c r="ETH58" s="101"/>
      <c r="ETI58" s="101"/>
      <c r="ETJ58" s="101"/>
      <c r="ETK58" s="101"/>
      <c r="ETL58" s="101"/>
      <c r="ETM58" s="101"/>
      <c r="ETN58" s="101"/>
      <c r="ETO58" s="101"/>
      <c r="ETP58" s="101"/>
      <c r="ETQ58" s="101"/>
      <c r="ETR58" s="101"/>
      <c r="ETS58" s="101"/>
      <c r="ETT58" s="101"/>
      <c r="ETU58" s="101"/>
      <c r="ETV58" s="101"/>
      <c r="ETW58" s="101"/>
      <c r="ETX58" s="101"/>
      <c r="ETY58" s="101"/>
      <c r="ETZ58" s="101"/>
      <c r="EUA58" s="101"/>
      <c r="EUB58" s="101"/>
      <c r="EUC58" s="101"/>
      <c r="EUD58" s="101"/>
      <c r="EUE58" s="101"/>
      <c r="EUF58" s="101"/>
      <c r="EUG58" s="101"/>
      <c r="EUH58" s="101"/>
      <c r="EUI58" s="101"/>
      <c r="EUJ58" s="101"/>
      <c r="EUK58" s="101"/>
      <c r="EUL58" s="101"/>
      <c r="EUM58" s="101"/>
      <c r="EUN58" s="101"/>
      <c r="EUO58" s="101"/>
      <c r="EUP58" s="101"/>
      <c r="EUQ58" s="101"/>
      <c r="EUR58" s="101"/>
      <c r="EUS58" s="101"/>
      <c r="EUT58" s="101"/>
      <c r="EUU58" s="101"/>
      <c r="EUV58" s="101"/>
      <c r="EUW58" s="101"/>
      <c r="EUX58" s="101"/>
      <c r="EUY58" s="101"/>
      <c r="EUZ58" s="101"/>
      <c r="EVA58" s="101"/>
      <c r="EVB58" s="101"/>
      <c r="EVC58" s="101"/>
      <c r="EVD58" s="101"/>
      <c r="EVE58" s="101"/>
      <c r="EVF58" s="101"/>
      <c r="EVG58" s="101"/>
      <c r="EVH58" s="101"/>
      <c r="EVI58" s="101"/>
      <c r="EVJ58" s="101"/>
      <c r="EVK58" s="101"/>
      <c r="EVL58" s="101"/>
      <c r="EVM58" s="101"/>
      <c r="EVN58" s="101"/>
      <c r="EVO58" s="101"/>
      <c r="EVP58" s="101"/>
      <c r="EVQ58" s="101"/>
      <c r="EVR58" s="101"/>
      <c r="EVS58" s="101"/>
      <c r="EVT58" s="101"/>
      <c r="EVU58" s="101"/>
      <c r="EVV58" s="101"/>
      <c r="EVW58" s="101"/>
      <c r="EVX58" s="101"/>
      <c r="EVY58" s="101"/>
      <c r="EVZ58" s="101"/>
      <c r="EWA58" s="101"/>
      <c r="EWB58" s="101"/>
      <c r="EWC58" s="101"/>
      <c r="EWD58" s="101"/>
      <c r="EWE58" s="101"/>
      <c r="EWF58" s="101"/>
      <c r="EWG58" s="101"/>
      <c r="EWH58" s="101"/>
      <c r="EWI58" s="101"/>
      <c r="EWJ58" s="101"/>
      <c r="EWK58" s="101"/>
      <c r="EWL58" s="101"/>
      <c r="EWM58" s="101"/>
      <c r="EWN58" s="101"/>
      <c r="EWO58" s="101"/>
      <c r="EWP58" s="101"/>
      <c r="EWQ58" s="101"/>
      <c r="EWR58" s="101"/>
      <c r="EWS58" s="101"/>
      <c r="EWT58" s="101"/>
      <c r="EWU58" s="101"/>
      <c r="EWV58" s="101"/>
      <c r="EWW58" s="101"/>
      <c r="EWX58" s="101"/>
      <c r="EWY58" s="101"/>
      <c r="EWZ58" s="101"/>
      <c r="EXA58" s="101"/>
      <c r="EXB58" s="101"/>
      <c r="EXC58" s="101"/>
      <c r="EXD58" s="101"/>
      <c r="EXE58" s="101"/>
      <c r="EXF58" s="101"/>
      <c r="EXG58" s="101"/>
      <c r="EXH58" s="101"/>
      <c r="EXI58" s="101"/>
      <c r="EXJ58" s="101"/>
      <c r="EXK58" s="101"/>
      <c r="EXL58" s="101"/>
      <c r="EXM58" s="101"/>
      <c r="EXN58" s="101"/>
      <c r="EXO58" s="101"/>
      <c r="EXP58" s="101"/>
      <c r="EXQ58" s="101"/>
      <c r="EXR58" s="101"/>
      <c r="EXS58" s="101"/>
      <c r="EXT58" s="101"/>
      <c r="EXU58" s="101"/>
      <c r="EXV58" s="101"/>
      <c r="EXW58" s="101"/>
      <c r="EXX58" s="101"/>
      <c r="EXY58" s="101"/>
      <c r="EXZ58" s="101"/>
      <c r="EYA58" s="101"/>
      <c r="EYB58" s="101"/>
      <c r="EYC58" s="101"/>
      <c r="EYD58" s="101"/>
      <c r="EYE58" s="101"/>
      <c r="EYF58" s="101"/>
      <c r="EYG58" s="101"/>
      <c r="EYH58" s="101"/>
      <c r="EYI58" s="101"/>
      <c r="EYJ58" s="101"/>
      <c r="EYK58" s="101"/>
      <c r="EYL58" s="101"/>
      <c r="EYM58" s="101"/>
      <c r="EYN58" s="101"/>
      <c r="EYO58" s="101"/>
      <c r="EYP58" s="101"/>
      <c r="EYQ58" s="101"/>
      <c r="EYR58" s="101"/>
      <c r="EYS58" s="101"/>
      <c r="EYT58" s="101"/>
      <c r="EYU58" s="101"/>
      <c r="EYV58" s="101"/>
      <c r="EYW58" s="101"/>
      <c r="EYX58" s="101"/>
      <c r="EYY58" s="101"/>
      <c r="EYZ58" s="101"/>
      <c r="EZA58" s="101"/>
      <c r="EZB58" s="101"/>
      <c r="EZC58" s="101"/>
      <c r="EZD58" s="101"/>
      <c r="EZE58" s="101"/>
      <c r="EZF58" s="101"/>
      <c r="EZG58" s="101"/>
      <c r="EZH58" s="101"/>
      <c r="EZI58" s="101"/>
      <c r="EZJ58" s="101"/>
      <c r="EZK58" s="101"/>
      <c r="EZL58" s="101"/>
      <c r="EZM58" s="101"/>
      <c r="EZN58" s="101"/>
      <c r="EZO58" s="101"/>
      <c r="EZP58" s="101"/>
      <c r="EZQ58" s="101"/>
      <c r="EZR58" s="101"/>
      <c r="EZS58" s="101"/>
      <c r="EZT58" s="101"/>
      <c r="EZU58" s="101"/>
      <c r="EZV58" s="101"/>
      <c r="EZW58" s="101"/>
      <c r="EZX58" s="101"/>
      <c r="EZY58" s="101"/>
      <c r="EZZ58" s="101"/>
      <c r="FAA58" s="101"/>
      <c r="FAB58" s="101"/>
      <c r="FAC58" s="101"/>
      <c r="FAD58" s="101"/>
      <c r="FAE58" s="101"/>
      <c r="FAF58" s="101"/>
      <c r="FAG58" s="101"/>
      <c r="FAH58" s="101"/>
      <c r="FAI58" s="101"/>
      <c r="FAJ58" s="101"/>
      <c r="FAK58" s="101"/>
      <c r="FAL58" s="101"/>
      <c r="FAM58" s="101"/>
      <c r="FAN58" s="101"/>
      <c r="FAO58" s="101"/>
      <c r="FAP58" s="101"/>
      <c r="FAQ58" s="101"/>
      <c r="FAR58" s="101"/>
      <c r="FAS58" s="101"/>
      <c r="FAT58" s="101"/>
      <c r="FAU58" s="101"/>
      <c r="FAV58" s="101"/>
      <c r="FAW58" s="101"/>
      <c r="FAX58" s="101"/>
      <c r="FAY58" s="101"/>
      <c r="FAZ58" s="101"/>
      <c r="FBA58" s="101"/>
      <c r="FBB58" s="101"/>
      <c r="FBC58" s="101"/>
      <c r="FBD58" s="101"/>
      <c r="FBE58" s="101"/>
      <c r="FBF58" s="101"/>
      <c r="FBG58" s="101"/>
      <c r="FBH58" s="101"/>
      <c r="FBI58" s="101"/>
      <c r="FBJ58" s="101"/>
      <c r="FBK58" s="101"/>
      <c r="FBL58" s="101"/>
      <c r="FBM58" s="101"/>
      <c r="FBN58" s="101"/>
      <c r="FBO58" s="101"/>
      <c r="FBP58" s="101"/>
      <c r="FBQ58" s="101"/>
      <c r="FBR58" s="101"/>
      <c r="FBS58" s="101"/>
      <c r="FBT58" s="101"/>
      <c r="FBU58" s="101"/>
      <c r="FBV58" s="101"/>
      <c r="FBW58" s="101"/>
      <c r="FBX58" s="101"/>
      <c r="FBY58" s="101"/>
      <c r="FBZ58" s="101"/>
      <c r="FCA58" s="101"/>
      <c r="FCB58" s="101"/>
      <c r="FCC58" s="101"/>
      <c r="FCD58" s="101"/>
      <c r="FCE58" s="101"/>
      <c r="FCF58" s="101"/>
      <c r="FCG58" s="101"/>
      <c r="FCH58" s="101"/>
      <c r="FCI58" s="101"/>
      <c r="FCJ58" s="101"/>
      <c r="FCK58" s="101"/>
      <c r="FCL58" s="101"/>
      <c r="FCM58" s="101"/>
      <c r="FCN58" s="101"/>
      <c r="FCO58" s="101"/>
      <c r="FCP58" s="101"/>
      <c r="FCQ58" s="101"/>
      <c r="FCR58" s="101"/>
      <c r="FCS58" s="101"/>
      <c r="FCT58" s="101"/>
      <c r="FCU58" s="101"/>
      <c r="FCV58" s="101"/>
      <c r="FCW58" s="101"/>
      <c r="FCX58" s="101"/>
      <c r="FCY58" s="101"/>
      <c r="FCZ58" s="101"/>
      <c r="FDA58" s="101"/>
      <c r="FDB58" s="101"/>
      <c r="FDC58" s="101"/>
      <c r="FDD58" s="101"/>
      <c r="FDE58" s="101"/>
      <c r="FDF58" s="101"/>
      <c r="FDG58" s="101"/>
      <c r="FDH58" s="101"/>
      <c r="FDI58" s="101"/>
      <c r="FDJ58" s="101"/>
      <c r="FDK58" s="101"/>
      <c r="FDL58" s="101"/>
      <c r="FDM58" s="101"/>
      <c r="FDN58" s="101"/>
      <c r="FDO58" s="101"/>
      <c r="FDP58" s="101"/>
      <c r="FDQ58" s="101"/>
      <c r="FDR58" s="101"/>
      <c r="FDS58" s="101"/>
      <c r="FDT58" s="101"/>
      <c r="FDU58" s="101"/>
      <c r="FDV58" s="101"/>
      <c r="FDW58" s="101"/>
      <c r="FDX58" s="101"/>
      <c r="FDY58" s="101"/>
      <c r="FDZ58" s="101"/>
      <c r="FEA58" s="101"/>
      <c r="FEB58" s="101"/>
      <c r="FEC58" s="101"/>
      <c r="FED58" s="101"/>
      <c r="FEE58" s="101"/>
      <c r="FEF58" s="101"/>
      <c r="FEG58" s="101"/>
      <c r="FEH58" s="101"/>
      <c r="FEI58" s="101"/>
      <c r="FEJ58" s="101"/>
      <c r="FEK58" s="101"/>
      <c r="FEL58" s="101"/>
      <c r="FEM58" s="101"/>
      <c r="FEN58" s="101"/>
      <c r="FEO58" s="101"/>
      <c r="FEP58" s="101"/>
      <c r="FEQ58" s="101"/>
      <c r="FER58" s="101"/>
      <c r="FES58" s="101"/>
      <c r="FET58" s="101"/>
      <c r="FEU58" s="101"/>
      <c r="FEV58" s="101"/>
      <c r="FEW58" s="101"/>
      <c r="FEX58" s="101"/>
      <c r="FEY58" s="101"/>
      <c r="FEZ58" s="101"/>
      <c r="FFA58" s="101"/>
      <c r="FFB58" s="101"/>
      <c r="FFC58" s="101"/>
      <c r="FFD58" s="101"/>
      <c r="FFE58" s="101"/>
      <c r="FFF58" s="101"/>
      <c r="FFG58" s="101"/>
      <c r="FFH58" s="101"/>
      <c r="FFI58" s="101"/>
      <c r="FFJ58" s="101"/>
      <c r="FFK58" s="101"/>
      <c r="FFL58" s="101"/>
      <c r="FFM58" s="101"/>
      <c r="FFN58" s="101"/>
      <c r="FFO58" s="101"/>
      <c r="FFP58" s="101"/>
      <c r="FFQ58" s="101"/>
      <c r="FFR58" s="101"/>
      <c r="FFS58" s="101"/>
      <c r="FFT58" s="101"/>
      <c r="FFU58" s="101"/>
      <c r="FFV58" s="101"/>
      <c r="FFW58" s="101"/>
      <c r="FFX58" s="101"/>
      <c r="FFY58" s="101"/>
      <c r="FFZ58" s="101"/>
      <c r="FGA58" s="101"/>
      <c r="FGB58" s="101"/>
      <c r="FGC58" s="101"/>
      <c r="FGD58" s="101"/>
      <c r="FGE58" s="101"/>
      <c r="FGF58" s="101"/>
      <c r="FGG58" s="101"/>
      <c r="FGH58" s="101"/>
      <c r="FGI58" s="101"/>
      <c r="FGJ58" s="101"/>
      <c r="FGK58" s="101"/>
      <c r="FGL58" s="101"/>
      <c r="FGM58" s="101"/>
      <c r="FGN58" s="101"/>
      <c r="FGO58" s="101"/>
      <c r="FGP58" s="101"/>
      <c r="FGQ58" s="101"/>
      <c r="FGR58" s="101"/>
      <c r="FGS58" s="101"/>
      <c r="FGT58" s="101"/>
      <c r="FGU58" s="101"/>
      <c r="FGV58" s="101"/>
      <c r="FGW58" s="101"/>
      <c r="FGX58" s="101"/>
      <c r="FGY58" s="101"/>
      <c r="FGZ58" s="101"/>
      <c r="FHA58" s="101"/>
      <c r="FHB58" s="101"/>
      <c r="FHC58" s="101"/>
      <c r="FHD58" s="101"/>
      <c r="FHE58" s="101"/>
      <c r="FHF58" s="101"/>
      <c r="FHG58" s="101"/>
      <c r="FHH58" s="101"/>
      <c r="FHI58" s="101"/>
      <c r="FHJ58" s="101"/>
      <c r="FHK58" s="101"/>
      <c r="FHL58" s="101"/>
      <c r="FHM58" s="101"/>
      <c r="FHN58" s="101"/>
      <c r="FHO58" s="101"/>
      <c r="FHP58" s="101"/>
      <c r="FHQ58" s="101"/>
      <c r="FHR58" s="101"/>
      <c r="FHS58" s="101"/>
      <c r="FHT58" s="101"/>
      <c r="FHU58" s="101"/>
      <c r="FHV58" s="101"/>
      <c r="FHW58" s="101"/>
      <c r="FHX58" s="101"/>
      <c r="FHY58" s="101"/>
      <c r="FHZ58" s="101"/>
      <c r="FIA58" s="101"/>
      <c r="FIB58" s="101"/>
      <c r="FIC58" s="101"/>
      <c r="FID58" s="101"/>
      <c r="FIE58" s="101"/>
      <c r="FIF58" s="101"/>
      <c r="FIG58" s="101"/>
      <c r="FIH58" s="101"/>
      <c r="FII58" s="101"/>
      <c r="FIJ58" s="101"/>
      <c r="FIK58" s="101"/>
      <c r="FIL58" s="101"/>
      <c r="FIM58" s="101"/>
      <c r="FIN58" s="101"/>
      <c r="FIO58" s="101"/>
      <c r="FIP58" s="101"/>
      <c r="FIQ58" s="101"/>
      <c r="FIR58" s="101"/>
      <c r="FIS58" s="101"/>
      <c r="FIT58" s="101"/>
      <c r="FIU58" s="101"/>
      <c r="FIV58" s="101"/>
      <c r="FIW58" s="101"/>
      <c r="FIX58" s="101"/>
      <c r="FIY58" s="101"/>
      <c r="FIZ58" s="101"/>
      <c r="FJA58" s="101"/>
      <c r="FJB58" s="101"/>
      <c r="FJC58" s="101"/>
      <c r="FJD58" s="101"/>
      <c r="FJE58" s="101"/>
      <c r="FJF58" s="101"/>
      <c r="FJG58" s="101"/>
      <c r="FJH58" s="101"/>
      <c r="FJI58" s="101"/>
      <c r="FJJ58" s="101"/>
      <c r="FJK58" s="101"/>
      <c r="FJL58" s="101"/>
      <c r="FJM58" s="101"/>
      <c r="FJN58" s="101"/>
      <c r="FJO58" s="101"/>
      <c r="FJP58" s="101"/>
      <c r="FJQ58" s="101"/>
      <c r="FJR58" s="101"/>
      <c r="FJS58" s="101"/>
      <c r="FJT58" s="101"/>
      <c r="FJU58" s="101"/>
      <c r="FJV58" s="101"/>
      <c r="FJW58" s="101"/>
      <c r="FJX58" s="101"/>
      <c r="FJY58" s="101"/>
      <c r="FJZ58" s="101"/>
      <c r="FKA58" s="101"/>
      <c r="FKB58" s="101"/>
      <c r="FKC58" s="101"/>
      <c r="FKD58" s="101"/>
      <c r="FKE58" s="101"/>
      <c r="FKF58" s="101"/>
      <c r="FKG58" s="101"/>
      <c r="FKH58" s="101"/>
      <c r="FKI58" s="101"/>
      <c r="FKJ58" s="101"/>
      <c r="FKK58" s="101"/>
      <c r="FKL58" s="101"/>
      <c r="FKM58" s="101"/>
      <c r="FKN58" s="101"/>
      <c r="FKO58" s="101"/>
      <c r="FKP58" s="101"/>
      <c r="FKQ58" s="101"/>
      <c r="FKR58" s="101"/>
      <c r="FKS58" s="101"/>
      <c r="FKT58" s="101"/>
      <c r="FKU58" s="101"/>
      <c r="FKV58" s="101"/>
      <c r="FKW58" s="101"/>
      <c r="FKX58" s="101"/>
      <c r="FKY58" s="101"/>
      <c r="FKZ58" s="101"/>
      <c r="FLA58" s="101"/>
      <c r="FLB58" s="101"/>
      <c r="FLC58" s="101"/>
      <c r="FLD58" s="101"/>
      <c r="FLE58" s="101"/>
      <c r="FLF58" s="101"/>
      <c r="FLG58" s="101"/>
      <c r="FLH58" s="101"/>
      <c r="FLI58" s="101"/>
      <c r="FLJ58" s="101"/>
      <c r="FLK58" s="101"/>
      <c r="FLL58" s="101"/>
      <c r="FLM58" s="101"/>
      <c r="FLN58" s="101"/>
      <c r="FLO58" s="101"/>
      <c r="FLP58" s="101"/>
      <c r="FLQ58" s="101"/>
      <c r="FLR58" s="101"/>
      <c r="FLS58" s="101"/>
      <c r="FLT58" s="101"/>
      <c r="FLU58" s="101"/>
      <c r="FLV58" s="101"/>
      <c r="FLW58" s="101"/>
      <c r="FLX58" s="101"/>
      <c r="FLY58" s="101"/>
      <c r="FLZ58" s="101"/>
      <c r="FMA58" s="101"/>
      <c r="FMB58" s="101"/>
      <c r="FMC58" s="101"/>
      <c r="FMD58" s="101"/>
      <c r="FME58" s="101"/>
      <c r="FMF58" s="101"/>
      <c r="FMG58" s="101"/>
      <c r="FMH58" s="101"/>
      <c r="FMI58" s="101"/>
      <c r="FMJ58" s="101"/>
      <c r="FMK58" s="101"/>
      <c r="FML58" s="101"/>
      <c r="FMM58" s="101"/>
      <c r="FMN58" s="101"/>
      <c r="FMO58" s="101"/>
      <c r="FMP58" s="101"/>
      <c r="FMQ58" s="101"/>
      <c r="FMR58" s="101"/>
      <c r="FMS58" s="101"/>
      <c r="FMT58" s="101"/>
      <c r="FMU58" s="101"/>
      <c r="FMV58" s="101"/>
      <c r="FMW58" s="101"/>
      <c r="FMX58" s="101"/>
      <c r="FMY58" s="101"/>
      <c r="FMZ58" s="101"/>
      <c r="FNA58" s="101"/>
      <c r="FNB58" s="101"/>
      <c r="FNC58" s="101"/>
      <c r="FND58" s="101"/>
      <c r="FNE58" s="101"/>
      <c r="FNF58" s="101"/>
      <c r="FNG58" s="101"/>
      <c r="FNH58" s="101"/>
      <c r="FNI58" s="101"/>
      <c r="FNJ58" s="101"/>
      <c r="FNK58" s="101"/>
      <c r="FNL58" s="101"/>
      <c r="FNM58" s="101"/>
      <c r="FNN58" s="101"/>
      <c r="FNO58" s="101"/>
      <c r="FNP58" s="101"/>
      <c r="FNQ58" s="101"/>
      <c r="FNR58" s="101"/>
      <c r="FNS58" s="101"/>
      <c r="FNT58" s="101"/>
      <c r="FNU58" s="101"/>
      <c r="FNV58" s="101"/>
      <c r="FNW58" s="101"/>
      <c r="FNX58" s="101"/>
      <c r="FNY58" s="101"/>
      <c r="FNZ58" s="101"/>
      <c r="FOA58" s="101"/>
      <c r="FOB58" s="101"/>
      <c r="FOC58" s="101"/>
      <c r="FOD58" s="101"/>
      <c r="FOE58" s="101"/>
      <c r="FOF58" s="101"/>
      <c r="FOG58" s="101"/>
      <c r="FOH58" s="101"/>
      <c r="FOI58" s="101"/>
      <c r="FOJ58" s="101"/>
      <c r="FOK58" s="101"/>
      <c r="FOL58" s="101"/>
      <c r="FOM58" s="101"/>
      <c r="FON58" s="101"/>
      <c r="FOO58" s="101"/>
      <c r="FOP58" s="101"/>
      <c r="FOQ58" s="101"/>
      <c r="FOR58" s="101"/>
      <c r="FOS58" s="101"/>
      <c r="FOT58" s="101"/>
      <c r="FOU58" s="101"/>
      <c r="FOV58" s="101"/>
      <c r="FOW58" s="101"/>
      <c r="FOX58" s="101"/>
      <c r="FOY58" s="101"/>
      <c r="FOZ58" s="101"/>
      <c r="FPA58" s="101"/>
      <c r="FPB58" s="101"/>
      <c r="FPC58" s="101"/>
      <c r="FPD58" s="101"/>
      <c r="FPE58" s="101"/>
      <c r="FPF58" s="101"/>
      <c r="FPG58" s="101"/>
      <c r="FPH58" s="101"/>
      <c r="FPI58" s="101"/>
      <c r="FPJ58" s="101"/>
      <c r="FPK58" s="101"/>
      <c r="FPL58" s="101"/>
      <c r="FPM58" s="101"/>
      <c r="FPN58" s="101"/>
      <c r="FPO58" s="101"/>
      <c r="FPP58" s="101"/>
      <c r="FPQ58" s="101"/>
      <c r="FPR58" s="101"/>
      <c r="FPS58" s="101"/>
      <c r="FPT58" s="101"/>
      <c r="FPU58" s="101"/>
      <c r="FPV58" s="101"/>
      <c r="FPW58" s="101"/>
      <c r="FPX58" s="101"/>
      <c r="FPY58" s="101"/>
      <c r="FPZ58" s="101"/>
      <c r="FQA58" s="101"/>
      <c r="FQB58" s="101"/>
      <c r="FQC58" s="101"/>
      <c r="FQD58" s="101"/>
      <c r="FQE58" s="101"/>
      <c r="FQF58" s="101"/>
      <c r="FQG58" s="101"/>
      <c r="FQH58" s="101"/>
      <c r="FQI58" s="101"/>
      <c r="FQJ58" s="101"/>
      <c r="FQK58" s="101"/>
      <c r="FQL58" s="101"/>
      <c r="FQM58" s="101"/>
      <c r="FQN58" s="101"/>
      <c r="FQO58" s="101"/>
      <c r="FQP58" s="101"/>
      <c r="FQQ58" s="101"/>
      <c r="FQR58" s="101"/>
      <c r="FQS58" s="101"/>
      <c r="FQT58" s="101"/>
      <c r="FQU58" s="101"/>
      <c r="FQV58" s="101"/>
      <c r="FQW58" s="101"/>
      <c r="FQX58" s="101"/>
      <c r="FQY58" s="101"/>
      <c r="FQZ58" s="101"/>
      <c r="FRA58" s="101"/>
      <c r="FRB58" s="101"/>
      <c r="FRC58" s="101"/>
      <c r="FRD58" s="101"/>
      <c r="FRE58" s="101"/>
      <c r="FRF58" s="101"/>
      <c r="FRG58" s="101"/>
      <c r="FRH58" s="101"/>
      <c r="FRI58" s="101"/>
      <c r="FRJ58" s="101"/>
      <c r="FRK58" s="101"/>
      <c r="FRL58" s="101"/>
      <c r="FRM58" s="101"/>
      <c r="FRN58" s="101"/>
      <c r="FRO58" s="101"/>
      <c r="FRP58" s="101"/>
      <c r="FRQ58" s="101"/>
      <c r="FRR58" s="101"/>
      <c r="FRS58" s="101"/>
      <c r="FRT58" s="101"/>
      <c r="FRU58" s="101"/>
      <c r="FRV58" s="101"/>
      <c r="FRW58" s="101"/>
      <c r="FRX58" s="101"/>
      <c r="FRY58" s="101"/>
      <c r="FRZ58" s="101"/>
      <c r="FSA58" s="101"/>
      <c r="FSB58" s="101"/>
      <c r="FSC58" s="101"/>
      <c r="FSD58" s="101"/>
      <c r="FSE58" s="101"/>
      <c r="FSF58" s="101"/>
      <c r="FSG58" s="101"/>
      <c r="FSH58" s="101"/>
      <c r="FSI58" s="101"/>
      <c r="FSJ58" s="101"/>
      <c r="FSK58" s="101"/>
      <c r="FSL58" s="101"/>
      <c r="FSM58" s="101"/>
      <c r="FSN58" s="101"/>
      <c r="FSO58" s="101"/>
      <c r="FSP58" s="101"/>
      <c r="FSQ58" s="101"/>
      <c r="FSR58" s="101"/>
      <c r="FSS58" s="101"/>
      <c r="FST58" s="101"/>
      <c r="FSU58" s="101"/>
      <c r="FSV58" s="101"/>
      <c r="FSW58" s="101"/>
      <c r="FSX58" s="101"/>
      <c r="FSY58" s="101"/>
      <c r="FSZ58" s="101"/>
      <c r="FTA58" s="101"/>
      <c r="FTB58" s="101"/>
      <c r="FTC58" s="101"/>
      <c r="FTD58" s="101"/>
      <c r="FTE58" s="101"/>
      <c r="FTF58" s="101"/>
      <c r="FTG58" s="101"/>
      <c r="FTH58" s="101"/>
      <c r="FTI58" s="101"/>
      <c r="FTJ58" s="101"/>
      <c r="FTK58" s="101"/>
      <c r="FTL58" s="101"/>
      <c r="FTM58" s="101"/>
      <c r="FTN58" s="101"/>
      <c r="FTO58" s="101"/>
      <c r="FTP58" s="101"/>
      <c r="FTQ58" s="101"/>
      <c r="FTR58" s="101"/>
      <c r="FTS58" s="101"/>
      <c r="FTT58" s="101"/>
      <c r="FTU58" s="101"/>
      <c r="FTV58" s="101"/>
      <c r="FTW58" s="101"/>
      <c r="FTX58" s="101"/>
      <c r="FTY58" s="101"/>
      <c r="FTZ58" s="101"/>
      <c r="FUA58" s="101"/>
      <c r="FUB58" s="101"/>
      <c r="FUC58" s="101"/>
      <c r="FUD58" s="101"/>
      <c r="FUE58" s="101"/>
      <c r="FUF58" s="101"/>
      <c r="FUG58" s="101"/>
      <c r="FUH58" s="101"/>
      <c r="FUI58" s="101"/>
      <c r="FUJ58" s="101"/>
      <c r="FUK58" s="101"/>
      <c r="FUL58" s="101"/>
      <c r="FUM58" s="101"/>
      <c r="FUN58" s="101"/>
      <c r="FUO58" s="101"/>
      <c r="FUP58" s="101"/>
      <c r="FUQ58" s="101"/>
      <c r="FUR58" s="101"/>
      <c r="FUS58" s="101"/>
      <c r="FUT58" s="101"/>
      <c r="FUU58" s="101"/>
      <c r="FUV58" s="101"/>
      <c r="FUW58" s="101"/>
      <c r="FUX58" s="101"/>
      <c r="FUY58" s="101"/>
      <c r="FUZ58" s="101"/>
      <c r="FVA58" s="101"/>
      <c r="FVB58" s="101"/>
      <c r="FVC58" s="101"/>
      <c r="FVD58" s="101"/>
      <c r="FVE58" s="101"/>
      <c r="FVF58" s="101"/>
      <c r="FVG58" s="101"/>
      <c r="FVH58" s="101"/>
      <c r="FVI58" s="101"/>
      <c r="FVJ58" s="101"/>
      <c r="FVK58" s="101"/>
      <c r="FVL58" s="101"/>
      <c r="FVM58" s="101"/>
      <c r="FVN58" s="101"/>
      <c r="FVO58" s="101"/>
      <c r="FVP58" s="101"/>
      <c r="FVQ58" s="101"/>
      <c r="FVR58" s="101"/>
      <c r="FVS58" s="101"/>
      <c r="FVT58" s="101"/>
      <c r="FVU58" s="101"/>
      <c r="FVV58" s="101"/>
      <c r="FVW58" s="101"/>
      <c r="FVX58" s="101"/>
      <c r="FVY58" s="101"/>
      <c r="FVZ58" s="101"/>
      <c r="FWA58" s="101"/>
      <c r="FWB58" s="101"/>
      <c r="FWC58" s="101"/>
      <c r="FWD58" s="101"/>
      <c r="FWE58" s="101"/>
      <c r="FWF58" s="101"/>
      <c r="FWG58" s="101"/>
      <c r="FWH58" s="101"/>
      <c r="FWI58" s="101"/>
      <c r="FWJ58" s="101"/>
      <c r="FWK58" s="101"/>
      <c r="FWL58" s="101"/>
      <c r="FWM58" s="101"/>
      <c r="FWN58" s="101"/>
      <c r="FWO58" s="101"/>
      <c r="FWP58" s="101"/>
      <c r="FWQ58" s="101"/>
      <c r="FWR58" s="101"/>
      <c r="FWS58" s="101"/>
      <c r="FWT58" s="101"/>
      <c r="FWU58" s="101"/>
      <c r="FWV58" s="101"/>
      <c r="FWW58" s="101"/>
      <c r="FWX58" s="101"/>
      <c r="FWY58" s="101"/>
      <c r="FWZ58" s="101"/>
      <c r="FXA58" s="101"/>
      <c r="FXB58" s="101"/>
      <c r="FXC58" s="101"/>
      <c r="FXD58" s="101"/>
      <c r="FXE58" s="101"/>
      <c r="FXF58" s="101"/>
      <c r="FXG58" s="101"/>
      <c r="FXH58" s="101"/>
      <c r="FXI58" s="101"/>
      <c r="FXJ58" s="101"/>
      <c r="FXK58" s="101"/>
      <c r="FXL58" s="101"/>
      <c r="FXM58" s="101"/>
      <c r="FXN58" s="101"/>
      <c r="FXO58" s="101"/>
      <c r="FXP58" s="101"/>
      <c r="FXQ58" s="101"/>
      <c r="FXR58" s="101"/>
      <c r="FXS58" s="101"/>
      <c r="FXT58" s="101"/>
      <c r="FXU58" s="101"/>
      <c r="FXV58" s="101"/>
      <c r="FXW58" s="101"/>
      <c r="FXX58" s="101"/>
      <c r="FXY58" s="101"/>
      <c r="FXZ58" s="101"/>
      <c r="FYA58" s="101"/>
      <c r="FYB58" s="101"/>
      <c r="FYC58" s="101"/>
      <c r="FYD58" s="101"/>
      <c r="FYE58" s="101"/>
      <c r="FYF58" s="101"/>
      <c r="FYG58" s="101"/>
      <c r="FYH58" s="101"/>
      <c r="FYI58" s="101"/>
      <c r="FYJ58" s="101"/>
      <c r="FYK58" s="101"/>
      <c r="FYL58" s="101"/>
      <c r="FYM58" s="101"/>
      <c r="FYN58" s="101"/>
      <c r="FYO58" s="101"/>
      <c r="FYP58" s="101"/>
      <c r="FYQ58" s="101"/>
      <c r="FYR58" s="101"/>
      <c r="FYS58" s="101"/>
      <c r="FYT58" s="101"/>
      <c r="FYU58" s="101"/>
      <c r="FYV58" s="101"/>
      <c r="FYW58" s="101"/>
      <c r="FYX58" s="101"/>
      <c r="FYY58" s="101"/>
      <c r="FYZ58" s="101"/>
      <c r="FZA58" s="101"/>
      <c r="FZB58" s="101"/>
      <c r="FZC58" s="101"/>
      <c r="FZD58" s="101"/>
      <c r="FZE58" s="101"/>
      <c r="FZF58" s="101"/>
      <c r="FZG58" s="101"/>
      <c r="FZH58" s="101"/>
      <c r="FZI58" s="101"/>
      <c r="FZJ58" s="101"/>
      <c r="FZK58" s="101"/>
      <c r="FZL58" s="101"/>
      <c r="FZM58" s="101"/>
      <c r="FZN58" s="101"/>
      <c r="FZO58" s="101"/>
      <c r="FZP58" s="101"/>
      <c r="FZQ58" s="101"/>
      <c r="FZR58" s="101"/>
      <c r="FZS58" s="101"/>
      <c r="FZT58" s="101"/>
      <c r="FZU58" s="101"/>
      <c r="FZV58" s="101"/>
      <c r="FZW58" s="101"/>
      <c r="FZX58" s="101"/>
      <c r="FZY58" s="101"/>
      <c r="FZZ58" s="101"/>
      <c r="GAA58" s="101"/>
      <c r="GAB58" s="101"/>
      <c r="GAC58" s="101"/>
      <c r="GAD58" s="101"/>
      <c r="GAE58" s="101"/>
      <c r="GAF58" s="101"/>
      <c r="GAG58" s="101"/>
      <c r="GAH58" s="101"/>
      <c r="GAI58" s="101"/>
      <c r="GAJ58" s="101"/>
      <c r="GAK58" s="101"/>
      <c r="GAL58" s="101"/>
      <c r="GAM58" s="101"/>
      <c r="GAN58" s="101"/>
      <c r="GAO58" s="101"/>
      <c r="GAP58" s="101"/>
      <c r="GAQ58" s="101"/>
      <c r="GAR58" s="101"/>
      <c r="GAS58" s="101"/>
      <c r="GAT58" s="101"/>
      <c r="GAU58" s="101"/>
      <c r="GAV58" s="101"/>
      <c r="GAW58" s="101"/>
      <c r="GAX58" s="101"/>
      <c r="GAY58" s="101"/>
      <c r="GAZ58" s="101"/>
      <c r="GBA58" s="101"/>
      <c r="GBB58" s="101"/>
      <c r="GBC58" s="101"/>
      <c r="GBD58" s="101"/>
      <c r="GBE58" s="101"/>
      <c r="GBF58" s="101"/>
      <c r="GBG58" s="101"/>
      <c r="GBH58" s="101"/>
      <c r="GBI58" s="101"/>
      <c r="GBJ58" s="101"/>
      <c r="GBK58" s="101"/>
      <c r="GBL58" s="101"/>
      <c r="GBM58" s="101"/>
      <c r="GBN58" s="101"/>
      <c r="GBO58" s="101"/>
      <c r="GBP58" s="101"/>
      <c r="GBQ58" s="101"/>
      <c r="GBR58" s="101"/>
      <c r="GBS58" s="101"/>
      <c r="GBT58" s="101"/>
      <c r="GBU58" s="101"/>
      <c r="GBV58" s="101"/>
      <c r="GBW58" s="101"/>
      <c r="GBX58" s="101"/>
      <c r="GBY58" s="101"/>
      <c r="GBZ58" s="101"/>
      <c r="GCA58" s="101"/>
      <c r="GCB58" s="101"/>
      <c r="GCC58" s="101"/>
      <c r="GCD58" s="101"/>
      <c r="GCE58" s="101"/>
      <c r="GCF58" s="101"/>
      <c r="GCG58" s="101"/>
      <c r="GCH58" s="101"/>
      <c r="GCI58" s="101"/>
      <c r="GCJ58" s="101"/>
      <c r="GCK58" s="101"/>
      <c r="GCL58" s="101"/>
      <c r="GCM58" s="101"/>
      <c r="GCN58" s="101"/>
      <c r="GCO58" s="101"/>
      <c r="GCP58" s="101"/>
      <c r="GCQ58" s="101"/>
      <c r="GCR58" s="101"/>
      <c r="GCS58" s="101"/>
      <c r="GCT58" s="101"/>
      <c r="GCU58" s="101"/>
      <c r="GCV58" s="101"/>
      <c r="GCW58" s="101"/>
      <c r="GCX58" s="101"/>
      <c r="GCY58" s="101"/>
      <c r="GCZ58" s="101"/>
      <c r="GDA58" s="101"/>
      <c r="GDB58" s="101"/>
      <c r="GDC58" s="101"/>
      <c r="GDD58" s="101"/>
      <c r="GDE58" s="101"/>
      <c r="GDF58" s="101"/>
      <c r="GDG58" s="101"/>
      <c r="GDH58" s="101"/>
      <c r="GDI58" s="101"/>
      <c r="GDJ58" s="101"/>
      <c r="GDK58" s="101"/>
      <c r="GDL58" s="101"/>
      <c r="GDM58" s="101"/>
      <c r="GDN58" s="101"/>
      <c r="GDO58" s="101"/>
      <c r="GDP58" s="101"/>
      <c r="GDQ58" s="101"/>
      <c r="GDR58" s="101"/>
      <c r="GDS58" s="101"/>
      <c r="GDT58" s="101"/>
      <c r="GDU58" s="101"/>
      <c r="GDV58" s="101"/>
      <c r="GDW58" s="101"/>
      <c r="GDX58" s="101"/>
      <c r="GDY58" s="101"/>
      <c r="GDZ58" s="101"/>
      <c r="GEA58" s="101"/>
      <c r="GEB58" s="101"/>
      <c r="GEC58" s="101"/>
      <c r="GED58" s="101"/>
      <c r="GEE58" s="101"/>
      <c r="GEF58" s="101"/>
      <c r="GEG58" s="101"/>
      <c r="GEH58" s="101"/>
      <c r="GEI58" s="101"/>
      <c r="GEJ58" s="101"/>
      <c r="GEK58" s="101"/>
      <c r="GEL58" s="101"/>
      <c r="GEM58" s="101"/>
      <c r="GEN58" s="101"/>
      <c r="GEO58" s="101"/>
      <c r="GEP58" s="101"/>
      <c r="GEQ58" s="101"/>
      <c r="GER58" s="101"/>
      <c r="GES58" s="101"/>
      <c r="GET58" s="101"/>
      <c r="GEU58" s="101"/>
      <c r="GEV58" s="101"/>
      <c r="GEW58" s="101"/>
      <c r="GEX58" s="101"/>
      <c r="GEY58" s="101"/>
      <c r="GEZ58" s="101"/>
      <c r="GFA58" s="101"/>
      <c r="GFB58" s="101"/>
      <c r="GFC58" s="101"/>
      <c r="GFD58" s="101"/>
      <c r="GFE58" s="101"/>
      <c r="GFF58" s="101"/>
      <c r="GFG58" s="101"/>
      <c r="GFH58" s="101"/>
      <c r="GFI58" s="101"/>
      <c r="GFJ58" s="101"/>
      <c r="GFK58" s="101"/>
      <c r="GFL58" s="101"/>
      <c r="GFM58" s="101"/>
      <c r="GFN58" s="101"/>
      <c r="GFO58" s="101"/>
      <c r="GFP58" s="101"/>
      <c r="GFQ58" s="101"/>
      <c r="GFR58" s="101"/>
      <c r="GFS58" s="101"/>
      <c r="GFT58" s="101"/>
      <c r="GFU58" s="101"/>
      <c r="GFV58" s="101"/>
      <c r="GFW58" s="101"/>
      <c r="GFX58" s="101"/>
      <c r="GFY58" s="101"/>
      <c r="GFZ58" s="101"/>
      <c r="GGA58" s="101"/>
      <c r="GGB58" s="101"/>
      <c r="GGC58" s="101"/>
      <c r="GGD58" s="101"/>
      <c r="GGE58" s="101"/>
      <c r="GGF58" s="101"/>
      <c r="GGG58" s="101"/>
      <c r="GGH58" s="101"/>
      <c r="GGI58" s="101"/>
      <c r="GGJ58" s="101"/>
      <c r="GGK58" s="101"/>
      <c r="GGL58" s="101"/>
      <c r="GGM58" s="101"/>
      <c r="GGN58" s="101"/>
      <c r="GGO58" s="101"/>
      <c r="GGP58" s="101"/>
      <c r="GGQ58" s="101"/>
      <c r="GGR58" s="101"/>
      <c r="GGS58" s="101"/>
      <c r="GGT58" s="101"/>
      <c r="GGU58" s="101"/>
      <c r="GGV58" s="101"/>
      <c r="GGW58" s="101"/>
      <c r="GGX58" s="101"/>
      <c r="GGY58" s="101"/>
      <c r="GGZ58" s="101"/>
      <c r="GHA58" s="101"/>
      <c r="GHB58" s="101"/>
      <c r="GHC58" s="101"/>
      <c r="GHD58" s="101"/>
      <c r="GHE58" s="101"/>
      <c r="GHF58" s="101"/>
      <c r="GHG58" s="101"/>
      <c r="GHH58" s="101"/>
      <c r="GHI58" s="101"/>
      <c r="GHJ58" s="101"/>
      <c r="GHK58" s="101"/>
      <c r="GHL58" s="101"/>
      <c r="GHM58" s="101"/>
      <c r="GHN58" s="101"/>
      <c r="GHO58" s="101"/>
      <c r="GHP58" s="101"/>
      <c r="GHQ58" s="101"/>
      <c r="GHR58" s="101"/>
      <c r="GHS58" s="101"/>
      <c r="GHT58" s="101"/>
      <c r="GHU58" s="101"/>
      <c r="GHV58" s="101"/>
      <c r="GHW58" s="101"/>
      <c r="GHX58" s="101"/>
      <c r="GHY58" s="101"/>
      <c r="GHZ58" s="101"/>
      <c r="GIA58" s="101"/>
      <c r="GIB58" s="101"/>
      <c r="GIC58" s="101"/>
      <c r="GID58" s="101"/>
      <c r="GIE58" s="101"/>
      <c r="GIF58" s="101"/>
      <c r="GIG58" s="101"/>
      <c r="GIH58" s="101"/>
      <c r="GII58" s="101"/>
      <c r="GIJ58" s="101"/>
      <c r="GIK58" s="101"/>
      <c r="GIL58" s="101"/>
      <c r="GIM58" s="101"/>
      <c r="GIN58" s="101"/>
      <c r="GIO58" s="101"/>
      <c r="GIP58" s="101"/>
      <c r="GIQ58" s="101"/>
      <c r="GIR58" s="101"/>
      <c r="GIS58" s="101"/>
      <c r="GIT58" s="101"/>
      <c r="GIU58" s="101"/>
      <c r="GIV58" s="101"/>
      <c r="GIW58" s="101"/>
      <c r="GIX58" s="101"/>
      <c r="GIY58" s="101"/>
      <c r="GIZ58" s="101"/>
      <c r="GJA58" s="101"/>
      <c r="GJB58" s="101"/>
      <c r="GJC58" s="101"/>
      <c r="GJD58" s="101"/>
      <c r="GJE58" s="101"/>
      <c r="GJF58" s="101"/>
      <c r="GJG58" s="101"/>
      <c r="GJH58" s="101"/>
      <c r="GJI58" s="101"/>
      <c r="GJJ58" s="101"/>
      <c r="GJK58" s="101"/>
      <c r="GJL58" s="101"/>
      <c r="GJM58" s="101"/>
      <c r="GJN58" s="101"/>
      <c r="GJO58" s="101"/>
      <c r="GJP58" s="101"/>
      <c r="GJQ58" s="101"/>
      <c r="GJR58" s="101"/>
      <c r="GJS58" s="101"/>
      <c r="GJT58" s="101"/>
      <c r="GJU58" s="101"/>
      <c r="GJV58" s="101"/>
      <c r="GJW58" s="101"/>
      <c r="GJX58" s="101"/>
      <c r="GJY58" s="101"/>
      <c r="GJZ58" s="101"/>
      <c r="GKA58" s="101"/>
      <c r="GKB58" s="101"/>
      <c r="GKC58" s="101"/>
      <c r="GKD58" s="101"/>
      <c r="GKE58" s="101"/>
      <c r="GKF58" s="101"/>
      <c r="GKG58" s="101"/>
      <c r="GKH58" s="101"/>
      <c r="GKI58" s="101"/>
      <c r="GKJ58" s="101"/>
      <c r="GKK58" s="101"/>
      <c r="GKL58" s="101"/>
      <c r="GKM58" s="101"/>
      <c r="GKN58" s="101"/>
      <c r="GKO58" s="101"/>
      <c r="GKP58" s="101"/>
      <c r="GKQ58" s="101"/>
      <c r="GKR58" s="101"/>
      <c r="GKS58" s="101"/>
      <c r="GKT58" s="101"/>
      <c r="GKU58" s="101"/>
      <c r="GKV58" s="101"/>
      <c r="GKW58" s="101"/>
      <c r="GKX58" s="101"/>
      <c r="GKY58" s="101"/>
      <c r="GKZ58" s="101"/>
      <c r="GLA58" s="101"/>
      <c r="GLB58" s="101"/>
      <c r="GLC58" s="101"/>
      <c r="GLD58" s="101"/>
      <c r="GLE58" s="101"/>
      <c r="GLF58" s="101"/>
      <c r="GLG58" s="101"/>
      <c r="GLH58" s="101"/>
      <c r="GLI58" s="101"/>
      <c r="GLJ58" s="101"/>
      <c r="GLK58" s="101"/>
      <c r="GLL58" s="101"/>
      <c r="GLM58" s="101"/>
      <c r="GLN58" s="101"/>
      <c r="GLO58" s="101"/>
      <c r="GLP58" s="101"/>
      <c r="GLQ58" s="101"/>
      <c r="GLR58" s="101"/>
      <c r="GLS58" s="101"/>
      <c r="GLT58" s="101"/>
      <c r="GLU58" s="101"/>
      <c r="GLV58" s="101"/>
      <c r="GLW58" s="101"/>
      <c r="GLX58" s="101"/>
      <c r="GLY58" s="101"/>
      <c r="GLZ58" s="101"/>
      <c r="GMA58" s="101"/>
      <c r="GMB58" s="101"/>
      <c r="GMC58" s="101"/>
      <c r="GMD58" s="101"/>
      <c r="GME58" s="101"/>
      <c r="GMF58" s="101"/>
      <c r="GMG58" s="101"/>
      <c r="GMH58" s="101"/>
      <c r="GMI58" s="101"/>
      <c r="GMJ58" s="101"/>
      <c r="GMK58" s="101"/>
      <c r="GML58" s="101"/>
      <c r="GMM58" s="101"/>
      <c r="GMN58" s="101"/>
      <c r="GMO58" s="101"/>
      <c r="GMP58" s="101"/>
      <c r="GMQ58" s="101"/>
      <c r="GMR58" s="101"/>
      <c r="GMS58" s="101"/>
      <c r="GMT58" s="101"/>
      <c r="GMU58" s="101"/>
      <c r="GMV58" s="101"/>
      <c r="GMW58" s="101"/>
      <c r="GMX58" s="101"/>
      <c r="GMY58" s="101"/>
      <c r="GMZ58" s="101"/>
      <c r="GNA58" s="101"/>
      <c r="GNB58" s="101"/>
      <c r="GNC58" s="101"/>
      <c r="GND58" s="101"/>
      <c r="GNE58" s="101"/>
      <c r="GNF58" s="101"/>
      <c r="GNG58" s="101"/>
      <c r="GNH58" s="101"/>
      <c r="GNI58" s="101"/>
      <c r="GNJ58" s="101"/>
      <c r="GNK58" s="101"/>
      <c r="GNL58" s="101"/>
      <c r="GNM58" s="101"/>
      <c r="GNN58" s="101"/>
      <c r="GNO58" s="101"/>
      <c r="GNP58" s="101"/>
      <c r="GNQ58" s="101"/>
      <c r="GNR58" s="101"/>
      <c r="GNS58" s="101"/>
      <c r="GNT58" s="101"/>
      <c r="GNU58" s="101"/>
      <c r="GNV58" s="101"/>
      <c r="GNW58" s="101"/>
      <c r="GNX58" s="101"/>
      <c r="GNY58" s="101"/>
      <c r="GNZ58" s="101"/>
      <c r="GOA58" s="101"/>
      <c r="GOB58" s="101"/>
      <c r="GOC58" s="101"/>
      <c r="GOD58" s="101"/>
      <c r="GOE58" s="101"/>
      <c r="GOF58" s="101"/>
      <c r="GOG58" s="101"/>
      <c r="GOH58" s="101"/>
      <c r="GOI58" s="101"/>
      <c r="GOJ58" s="101"/>
      <c r="GOK58" s="101"/>
      <c r="GOL58" s="101"/>
      <c r="GOM58" s="101"/>
      <c r="GON58" s="101"/>
      <c r="GOO58" s="101"/>
      <c r="GOP58" s="101"/>
      <c r="GOQ58" s="101"/>
      <c r="GOR58" s="101"/>
      <c r="GOS58" s="101"/>
      <c r="GOT58" s="101"/>
      <c r="GOU58" s="101"/>
      <c r="GOV58" s="101"/>
      <c r="GOW58" s="101"/>
      <c r="GOX58" s="101"/>
      <c r="GOY58" s="101"/>
      <c r="GOZ58" s="101"/>
      <c r="GPA58" s="101"/>
      <c r="GPB58" s="101"/>
      <c r="GPC58" s="101"/>
      <c r="GPD58" s="101"/>
      <c r="GPE58" s="101"/>
      <c r="GPF58" s="101"/>
      <c r="GPG58" s="101"/>
      <c r="GPH58" s="101"/>
      <c r="GPI58" s="101"/>
      <c r="GPJ58" s="101"/>
      <c r="GPK58" s="101"/>
      <c r="GPL58" s="101"/>
      <c r="GPM58" s="101"/>
      <c r="GPN58" s="101"/>
      <c r="GPO58" s="101"/>
      <c r="GPP58" s="101"/>
      <c r="GPQ58" s="101"/>
      <c r="GPR58" s="101"/>
      <c r="GPS58" s="101"/>
      <c r="GPT58" s="101"/>
      <c r="GPU58" s="101"/>
      <c r="GPV58" s="101"/>
      <c r="GPW58" s="101"/>
      <c r="GPX58" s="101"/>
      <c r="GPY58" s="101"/>
      <c r="GPZ58" s="101"/>
      <c r="GQA58" s="101"/>
      <c r="GQB58" s="101"/>
      <c r="GQC58" s="101"/>
      <c r="GQD58" s="101"/>
      <c r="GQE58" s="101"/>
      <c r="GQF58" s="101"/>
      <c r="GQG58" s="101"/>
      <c r="GQH58" s="101"/>
      <c r="GQI58" s="101"/>
      <c r="GQJ58" s="101"/>
      <c r="GQK58" s="101"/>
      <c r="GQL58" s="101"/>
      <c r="GQM58" s="101"/>
      <c r="GQN58" s="101"/>
      <c r="GQO58" s="101"/>
      <c r="GQP58" s="101"/>
      <c r="GQQ58" s="101"/>
      <c r="GQR58" s="101"/>
      <c r="GQS58" s="101"/>
      <c r="GQT58" s="101"/>
      <c r="GQU58" s="101"/>
      <c r="GQV58" s="101"/>
      <c r="GQW58" s="101"/>
      <c r="GQX58" s="101"/>
      <c r="GQY58" s="101"/>
      <c r="GQZ58" s="101"/>
      <c r="GRA58" s="101"/>
      <c r="GRB58" s="101"/>
      <c r="GRC58" s="101"/>
      <c r="GRD58" s="101"/>
      <c r="GRE58" s="101"/>
      <c r="GRF58" s="101"/>
      <c r="GRG58" s="101"/>
      <c r="GRH58" s="101"/>
      <c r="GRI58" s="101"/>
      <c r="GRJ58" s="101"/>
      <c r="GRK58" s="101"/>
      <c r="GRL58" s="101"/>
      <c r="GRM58" s="101"/>
      <c r="GRN58" s="101"/>
      <c r="GRO58" s="101"/>
      <c r="GRP58" s="101"/>
      <c r="GRQ58" s="101"/>
      <c r="GRR58" s="101"/>
      <c r="GRS58" s="101"/>
      <c r="GRT58" s="101"/>
      <c r="GRU58" s="101"/>
      <c r="GRV58" s="101"/>
      <c r="GRW58" s="101"/>
      <c r="GRX58" s="101"/>
      <c r="GRY58" s="101"/>
      <c r="GRZ58" s="101"/>
      <c r="GSA58" s="101"/>
      <c r="GSB58" s="101"/>
      <c r="GSC58" s="101"/>
      <c r="GSD58" s="101"/>
      <c r="GSE58" s="101"/>
      <c r="GSF58" s="101"/>
      <c r="GSG58" s="101"/>
      <c r="GSH58" s="101"/>
      <c r="GSI58" s="101"/>
      <c r="GSJ58" s="101"/>
      <c r="GSK58" s="101"/>
      <c r="GSL58" s="101"/>
      <c r="GSM58" s="101"/>
      <c r="GSN58" s="101"/>
      <c r="GSO58" s="101"/>
      <c r="GSP58" s="101"/>
      <c r="GSQ58" s="101"/>
      <c r="GSR58" s="101"/>
      <c r="GSS58" s="101"/>
      <c r="GST58" s="101"/>
      <c r="GSU58" s="101"/>
      <c r="GSV58" s="101"/>
      <c r="GSW58" s="101"/>
      <c r="GSX58" s="101"/>
      <c r="GSY58" s="101"/>
      <c r="GSZ58" s="101"/>
      <c r="GTA58" s="101"/>
      <c r="GTB58" s="101"/>
      <c r="GTC58" s="101"/>
      <c r="GTD58" s="101"/>
      <c r="GTE58" s="101"/>
      <c r="GTF58" s="101"/>
      <c r="GTG58" s="101"/>
      <c r="GTH58" s="101"/>
      <c r="GTI58" s="101"/>
      <c r="GTJ58" s="101"/>
      <c r="GTK58" s="101"/>
      <c r="GTL58" s="101"/>
      <c r="GTM58" s="101"/>
      <c r="GTN58" s="101"/>
      <c r="GTO58" s="101"/>
      <c r="GTP58" s="101"/>
      <c r="GTQ58" s="101"/>
      <c r="GTR58" s="101"/>
      <c r="GTS58" s="101"/>
      <c r="GTT58" s="101"/>
      <c r="GTU58" s="101"/>
      <c r="GTV58" s="101"/>
      <c r="GTW58" s="101"/>
      <c r="GTX58" s="101"/>
      <c r="GTY58" s="101"/>
      <c r="GTZ58" s="101"/>
      <c r="GUA58" s="101"/>
      <c r="GUB58" s="101"/>
      <c r="GUC58" s="101"/>
      <c r="GUD58" s="101"/>
      <c r="GUE58" s="101"/>
      <c r="GUF58" s="101"/>
      <c r="GUG58" s="101"/>
      <c r="GUH58" s="101"/>
      <c r="GUI58" s="101"/>
      <c r="GUJ58" s="101"/>
      <c r="GUK58" s="101"/>
      <c r="GUL58" s="101"/>
      <c r="GUM58" s="101"/>
      <c r="GUN58" s="101"/>
      <c r="GUO58" s="101"/>
      <c r="GUP58" s="101"/>
      <c r="GUQ58" s="101"/>
      <c r="GUR58" s="101"/>
      <c r="GUS58" s="101"/>
      <c r="GUT58" s="101"/>
      <c r="GUU58" s="101"/>
      <c r="GUV58" s="101"/>
      <c r="GUW58" s="101"/>
      <c r="GUX58" s="101"/>
      <c r="GUY58" s="101"/>
      <c r="GUZ58" s="101"/>
      <c r="GVA58" s="101"/>
      <c r="GVB58" s="101"/>
      <c r="GVC58" s="101"/>
      <c r="GVD58" s="101"/>
      <c r="GVE58" s="101"/>
      <c r="GVF58" s="101"/>
      <c r="GVG58" s="101"/>
      <c r="GVH58" s="101"/>
      <c r="GVI58" s="101"/>
      <c r="GVJ58" s="101"/>
      <c r="GVK58" s="101"/>
      <c r="GVL58" s="101"/>
      <c r="GVM58" s="101"/>
      <c r="GVN58" s="101"/>
      <c r="GVO58" s="101"/>
      <c r="GVP58" s="101"/>
      <c r="GVQ58" s="101"/>
      <c r="GVR58" s="101"/>
      <c r="GVS58" s="101"/>
      <c r="GVT58" s="101"/>
      <c r="GVU58" s="101"/>
      <c r="GVV58" s="101"/>
      <c r="GVW58" s="101"/>
      <c r="GVX58" s="101"/>
      <c r="GVY58" s="101"/>
      <c r="GVZ58" s="101"/>
      <c r="GWA58" s="101"/>
      <c r="GWB58" s="101"/>
      <c r="GWC58" s="101"/>
      <c r="GWD58" s="101"/>
      <c r="GWE58" s="101"/>
      <c r="GWF58" s="101"/>
      <c r="GWG58" s="101"/>
      <c r="GWH58" s="101"/>
      <c r="GWI58" s="101"/>
      <c r="GWJ58" s="101"/>
      <c r="GWK58" s="101"/>
      <c r="GWL58" s="101"/>
      <c r="GWM58" s="101"/>
      <c r="GWN58" s="101"/>
      <c r="GWO58" s="101"/>
      <c r="GWP58" s="101"/>
      <c r="GWQ58" s="101"/>
      <c r="GWR58" s="101"/>
      <c r="GWS58" s="101"/>
      <c r="GWT58" s="101"/>
      <c r="GWU58" s="101"/>
      <c r="GWV58" s="101"/>
      <c r="GWW58" s="101"/>
      <c r="GWX58" s="101"/>
      <c r="GWY58" s="101"/>
      <c r="GWZ58" s="101"/>
      <c r="GXA58" s="101"/>
      <c r="GXB58" s="101"/>
      <c r="GXC58" s="101"/>
      <c r="GXD58" s="101"/>
      <c r="GXE58" s="101"/>
      <c r="GXF58" s="101"/>
      <c r="GXG58" s="101"/>
      <c r="GXH58" s="101"/>
      <c r="GXI58" s="101"/>
      <c r="GXJ58" s="101"/>
      <c r="GXK58" s="101"/>
      <c r="GXL58" s="101"/>
      <c r="GXM58" s="101"/>
      <c r="GXN58" s="101"/>
      <c r="GXO58" s="101"/>
      <c r="GXP58" s="101"/>
      <c r="GXQ58" s="101"/>
      <c r="GXR58" s="101"/>
      <c r="GXS58" s="101"/>
      <c r="GXT58" s="101"/>
      <c r="GXU58" s="101"/>
      <c r="GXV58" s="101"/>
      <c r="GXW58" s="101"/>
      <c r="GXX58" s="101"/>
      <c r="GXY58" s="101"/>
      <c r="GXZ58" s="101"/>
      <c r="GYA58" s="101"/>
      <c r="GYB58" s="101"/>
      <c r="GYC58" s="101"/>
      <c r="GYD58" s="101"/>
      <c r="GYE58" s="101"/>
      <c r="GYF58" s="101"/>
      <c r="GYG58" s="101"/>
      <c r="GYH58" s="101"/>
      <c r="GYI58" s="101"/>
      <c r="GYJ58" s="101"/>
      <c r="GYK58" s="101"/>
      <c r="GYL58" s="101"/>
      <c r="GYM58" s="101"/>
      <c r="GYN58" s="101"/>
      <c r="GYO58" s="101"/>
      <c r="GYP58" s="101"/>
      <c r="GYQ58" s="101"/>
      <c r="GYR58" s="101"/>
      <c r="GYS58" s="101"/>
      <c r="GYT58" s="101"/>
      <c r="GYU58" s="101"/>
      <c r="GYV58" s="101"/>
      <c r="GYW58" s="101"/>
      <c r="GYX58" s="101"/>
      <c r="GYY58" s="101"/>
      <c r="GYZ58" s="101"/>
      <c r="GZA58" s="101"/>
      <c r="GZB58" s="101"/>
      <c r="GZC58" s="101"/>
      <c r="GZD58" s="101"/>
      <c r="GZE58" s="101"/>
      <c r="GZF58" s="101"/>
      <c r="GZG58" s="101"/>
      <c r="GZH58" s="101"/>
      <c r="GZI58" s="101"/>
      <c r="GZJ58" s="101"/>
      <c r="GZK58" s="101"/>
      <c r="GZL58" s="101"/>
      <c r="GZM58" s="101"/>
      <c r="GZN58" s="101"/>
      <c r="GZO58" s="101"/>
      <c r="GZP58" s="101"/>
      <c r="GZQ58" s="101"/>
      <c r="GZR58" s="101"/>
      <c r="GZS58" s="101"/>
      <c r="GZT58" s="101"/>
      <c r="GZU58" s="101"/>
      <c r="GZV58" s="101"/>
      <c r="GZW58" s="101"/>
      <c r="GZX58" s="101"/>
      <c r="GZY58" s="101"/>
      <c r="GZZ58" s="101"/>
      <c r="HAA58" s="101"/>
      <c r="HAB58" s="101"/>
      <c r="HAC58" s="101"/>
      <c r="HAD58" s="101"/>
      <c r="HAE58" s="101"/>
      <c r="HAF58" s="101"/>
      <c r="HAG58" s="101"/>
      <c r="HAH58" s="101"/>
      <c r="HAI58" s="101"/>
      <c r="HAJ58" s="101"/>
      <c r="HAK58" s="101"/>
      <c r="HAL58" s="101"/>
      <c r="HAM58" s="101"/>
      <c r="HAN58" s="101"/>
      <c r="HAO58" s="101"/>
      <c r="HAP58" s="101"/>
      <c r="HAQ58" s="101"/>
      <c r="HAR58" s="101"/>
      <c r="HAS58" s="101"/>
      <c r="HAT58" s="101"/>
      <c r="HAU58" s="101"/>
      <c r="HAV58" s="101"/>
      <c r="HAW58" s="101"/>
      <c r="HAX58" s="101"/>
      <c r="HAY58" s="101"/>
      <c r="HAZ58" s="101"/>
      <c r="HBA58" s="101"/>
      <c r="HBB58" s="101"/>
      <c r="HBC58" s="101"/>
      <c r="HBD58" s="101"/>
      <c r="HBE58" s="101"/>
      <c r="HBF58" s="101"/>
      <c r="HBG58" s="101"/>
      <c r="HBH58" s="101"/>
      <c r="HBI58" s="101"/>
      <c r="HBJ58" s="101"/>
      <c r="HBK58" s="101"/>
      <c r="HBL58" s="101"/>
      <c r="HBM58" s="101"/>
      <c r="HBN58" s="101"/>
      <c r="HBO58" s="101"/>
      <c r="HBP58" s="101"/>
      <c r="HBQ58" s="101"/>
      <c r="HBR58" s="101"/>
      <c r="HBS58" s="101"/>
      <c r="HBT58" s="101"/>
      <c r="HBU58" s="101"/>
      <c r="HBV58" s="101"/>
      <c r="HBW58" s="101"/>
      <c r="HBX58" s="101"/>
      <c r="HBY58" s="101"/>
      <c r="HBZ58" s="101"/>
      <c r="HCA58" s="101"/>
      <c r="HCB58" s="101"/>
      <c r="HCC58" s="101"/>
      <c r="HCD58" s="101"/>
      <c r="HCE58" s="101"/>
      <c r="HCF58" s="101"/>
      <c r="HCG58" s="101"/>
      <c r="HCH58" s="101"/>
      <c r="HCI58" s="101"/>
      <c r="HCJ58" s="101"/>
      <c r="HCK58" s="101"/>
      <c r="HCL58" s="101"/>
      <c r="HCM58" s="101"/>
      <c r="HCN58" s="101"/>
      <c r="HCO58" s="101"/>
      <c r="HCP58" s="101"/>
      <c r="HCQ58" s="101"/>
      <c r="HCR58" s="101"/>
      <c r="HCS58" s="101"/>
      <c r="HCT58" s="101"/>
      <c r="HCU58" s="101"/>
      <c r="HCV58" s="101"/>
      <c r="HCW58" s="101"/>
      <c r="HCX58" s="101"/>
      <c r="HCY58" s="101"/>
      <c r="HCZ58" s="101"/>
      <c r="HDA58" s="101"/>
      <c r="HDB58" s="101"/>
      <c r="HDC58" s="101"/>
      <c r="HDD58" s="101"/>
      <c r="HDE58" s="101"/>
      <c r="HDF58" s="101"/>
      <c r="HDG58" s="101"/>
      <c r="HDH58" s="101"/>
      <c r="HDI58" s="101"/>
      <c r="HDJ58" s="101"/>
      <c r="HDK58" s="101"/>
      <c r="HDL58" s="101"/>
      <c r="HDM58" s="101"/>
      <c r="HDN58" s="101"/>
      <c r="HDO58" s="101"/>
      <c r="HDP58" s="101"/>
      <c r="HDQ58" s="101"/>
      <c r="HDR58" s="101"/>
      <c r="HDS58" s="101"/>
      <c r="HDT58" s="101"/>
      <c r="HDU58" s="101"/>
      <c r="HDV58" s="101"/>
      <c r="HDW58" s="101"/>
      <c r="HDX58" s="101"/>
      <c r="HDY58" s="101"/>
      <c r="HDZ58" s="101"/>
      <c r="HEA58" s="101"/>
      <c r="HEB58" s="101"/>
      <c r="HEC58" s="101"/>
      <c r="HED58" s="101"/>
      <c r="HEE58" s="101"/>
      <c r="HEF58" s="101"/>
      <c r="HEG58" s="101"/>
      <c r="HEH58" s="101"/>
      <c r="HEI58" s="101"/>
      <c r="HEJ58" s="101"/>
      <c r="HEK58" s="101"/>
      <c r="HEL58" s="101"/>
      <c r="HEM58" s="101"/>
      <c r="HEN58" s="101"/>
      <c r="HEO58" s="101"/>
      <c r="HEP58" s="101"/>
      <c r="HEQ58" s="101"/>
      <c r="HER58" s="101"/>
      <c r="HES58" s="101"/>
      <c r="HET58" s="101"/>
      <c r="HEU58" s="101"/>
      <c r="HEV58" s="101"/>
      <c r="HEW58" s="101"/>
      <c r="HEX58" s="101"/>
      <c r="HEY58" s="101"/>
      <c r="HEZ58" s="101"/>
      <c r="HFA58" s="101"/>
      <c r="HFB58" s="101"/>
      <c r="HFC58" s="101"/>
      <c r="HFD58" s="101"/>
      <c r="HFE58" s="101"/>
      <c r="HFF58" s="101"/>
      <c r="HFG58" s="101"/>
      <c r="HFH58" s="101"/>
      <c r="HFI58" s="101"/>
      <c r="HFJ58" s="101"/>
      <c r="HFK58" s="101"/>
      <c r="HFL58" s="101"/>
      <c r="HFM58" s="101"/>
      <c r="HFN58" s="101"/>
      <c r="HFO58" s="101"/>
      <c r="HFP58" s="101"/>
      <c r="HFQ58" s="101"/>
      <c r="HFR58" s="101"/>
      <c r="HFS58" s="101"/>
      <c r="HFT58" s="101"/>
      <c r="HFU58" s="101"/>
      <c r="HFV58" s="101"/>
      <c r="HFW58" s="101"/>
      <c r="HFX58" s="101"/>
      <c r="HFY58" s="101"/>
      <c r="HFZ58" s="101"/>
      <c r="HGA58" s="101"/>
      <c r="HGB58" s="101"/>
      <c r="HGC58" s="101"/>
      <c r="HGD58" s="101"/>
      <c r="HGE58" s="101"/>
      <c r="HGF58" s="101"/>
      <c r="HGG58" s="101"/>
      <c r="HGH58" s="101"/>
      <c r="HGI58" s="101"/>
      <c r="HGJ58" s="101"/>
      <c r="HGK58" s="101"/>
      <c r="HGL58" s="101"/>
      <c r="HGM58" s="101"/>
      <c r="HGN58" s="101"/>
      <c r="HGO58" s="101"/>
      <c r="HGP58" s="101"/>
      <c r="HGQ58" s="101"/>
      <c r="HGR58" s="101"/>
      <c r="HGS58" s="101"/>
      <c r="HGT58" s="101"/>
      <c r="HGU58" s="101"/>
      <c r="HGV58" s="101"/>
      <c r="HGW58" s="101"/>
      <c r="HGX58" s="101"/>
      <c r="HGY58" s="101"/>
      <c r="HGZ58" s="101"/>
      <c r="HHA58" s="101"/>
      <c r="HHB58" s="101"/>
      <c r="HHC58" s="101"/>
      <c r="HHD58" s="101"/>
      <c r="HHE58" s="101"/>
      <c r="HHF58" s="101"/>
      <c r="HHG58" s="101"/>
      <c r="HHH58" s="101"/>
      <c r="HHI58" s="101"/>
      <c r="HHJ58" s="101"/>
      <c r="HHK58" s="101"/>
      <c r="HHL58" s="101"/>
      <c r="HHM58" s="101"/>
      <c r="HHN58" s="101"/>
      <c r="HHO58" s="101"/>
      <c r="HHP58" s="101"/>
      <c r="HHQ58" s="101"/>
      <c r="HHR58" s="101"/>
      <c r="HHS58" s="101"/>
      <c r="HHT58" s="101"/>
      <c r="HHU58" s="101"/>
      <c r="HHV58" s="101"/>
      <c r="HHW58" s="101"/>
      <c r="HHX58" s="101"/>
      <c r="HHY58" s="101"/>
      <c r="HHZ58" s="101"/>
      <c r="HIA58" s="101"/>
      <c r="HIB58" s="101"/>
      <c r="HIC58" s="101"/>
      <c r="HID58" s="101"/>
      <c r="HIE58" s="101"/>
      <c r="HIF58" s="101"/>
      <c r="HIG58" s="101"/>
      <c r="HIH58" s="101"/>
      <c r="HII58" s="101"/>
      <c r="HIJ58" s="101"/>
      <c r="HIK58" s="101"/>
      <c r="HIL58" s="101"/>
      <c r="HIM58" s="101"/>
      <c r="HIN58" s="101"/>
      <c r="HIO58" s="101"/>
      <c r="HIP58" s="101"/>
      <c r="HIQ58" s="101"/>
      <c r="HIR58" s="101"/>
      <c r="HIS58" s="101"/>
      <c r="HIT58" s="101"/>
      <c r="HIU58" s="101"/>
      <c r="HIV58" s="101"/>
      <c r="HIW58" s="101"/>
      <c r="HIX58" s="101"/>
      <c r="HIY58" s="101"/>
      <c r="HIZ58" s="101"/>
      <c r="HJA58" s="101"/>
      <c r="HJB58" s="101"/>
      <c r="HJC58" s="101"/>
      <c r="HJD58" s="101"/>
      <c r="HJE58" s="101"/>
      <c r="HJF58" s="101"/>
      <c r="HJG58" s="101"/>
      <c r="HJH58" s="101"/>
      <c r="HJI58" s="101"/>
      <c r="HJJ58" s="101"/>
      <c r="HJK58" s="101"/>
      <c r="HJL58" s="101"/>
      <c r="HJM58" s="101"/>
      <c r="HJN58" s="101"/>
      <c r="HJO58" s="101"/>
      <c r="HJP58" s="101"/>
      <c r="HJQ58" s="101"/>
      <c r="HJR58" s="101"/>
      <c r="HJS58" s="101"/>
      <c r="HJT58" s="101"/>
      <c r="HJU58" s="101"/>
      <c r="HJV58" s="101"/>
      <c r="HJW58" s="101"/>
      <c r="HJX58" s="101"/>
      <c r="HJY58" s="101"/>
      <c r="HJZ58" s="101"/>
      <c r="HKA58" s="101"/>
      <c r="HKB58" s="101"/>
      <c r="HKC58" s="101"/>
      <c r="HKD58" s="101"/>
      <c r="HKE58" s="101"/>
      <c r="HKF58" s="101"/>
      <c r="HKG58" s="101"/>
      <c r="HKH58" s="101"/>
      <c r="HKI58" s="101"/>
      <c r="HKJ58" s="101"/>
      <c r="HKK58" s="101"/>
      <c r="HKL58" s="101"/>
      <c r="HKM58" s="101"/>
      <c r="HKN58" s="101"/>
      <c r="HKO58" s="101"/>
      <c r="HKP58" s="101"/>
      <c r="HKQ58" s="101"/>
      <c r="HKR58" s="101"/>
      <c r="HKS58" s="101"/>
      <c r="HKT58" s="101"/>
      <c r="HKU58" s="101"/>
      <c r="HKV58" s="101"/>
      <c r="HKW58" s="101"/>
      <c r="HKX58" s="101"/>
      <c r="HKY58" s="101"/>
      <c r="HKZ58" s="101"/>
      <c r="HLA58" s="101"/>
      <c r="HLB58" s="101"/>
      <c r="HLC58" s="101"/>
      <c r="HLD58" s="101"/>
      <c r="HLE58" s="101"/>
      <c r="HLF58" s="101"/>
      <c r="HLG58" s="101"/>
      <c r="HLH58" s="101"/>
      <c r="HLI58" s="101"/>
      <c r="HLJ58" s="101"/>
      <c r="HLK58" s="101"/>
      <c r="HLL58" s="101"/>
      <c r="HLM58" s="101"/>
      <c r="HLN58" s="101"/>
      <c r="HLO58" s="101"/>
      <c r="HLP58" s="101"/>
      <c r="HLQ58" s="101"/>
      <c r="HLR58" s="101"/>
      <c r="HLS58" s="101"/>
      <c r="HLT58" s="101"/>
      <c r="HLU58" s="101"/>
      <c r="HLV58" s="101"/>
      <c r="HLW58" s="101"/>
      <c r="HLX58" s="101"/>
      <c r="HLY58" s="101"/>
      <c r="HLZ58" s="101"/>
      <c r="HMA58" s="101"/>
      <c r="HMB58" s="101"/>
      <c r="HMC58" s="101"/>
      <c r="HMD58" s="101"/>
      <c r="HME58" s="101"/>
      <c r="HMF58" s="101"/>
      <c r="HMG58" s="101"/>
      <c r="HMH58" s="101"/>
      <c r="HMI58" s="101"/>
      <c r="HMJ58" s="101"/>
      <c r="HMK58" s="101"/>
      <c r="HML58" s="101"/>
      <c r="HMM58" s="101"/>
      <c r="HMN58" s="101"/>
      <c r="HMO58" s="101"/>
      <c r="HMP58" s="101"/>
      <c r="HMQ58" s="101"/>
      <c r="HMR58" s="101"/>
      <c r="HMS58" s="101"/>
      <c r="HMT58" s="101"/>
      <c r="HMU58" s="101"/>
      <c r="HMV58" s="101"/>
      <c r="HMW58" s="101"/>
      <c r="HMX58" s="101"/>
      <c r="HMY58" s="101"/>
      <c r="HMZ58" s="101"/>
      <c r="HNA58" s="101"/>
      <c r="HNB58" s="101"/>
      <c r="HNC58" s="101"/>
      <c r="HND58" s="101"/>
      <c r="HNE58" s="101"/>
      <c r="HNF58" s="101"/>
      <c r="HNG58" s="101"/>
      <c r="HNH58" s="101"/>
      <c r="HNI58" s="101"/>
      <c r="HNJ58" s="101"/>
      <c r="HNK58" s="101"/>
      <c r="HNL58" s="101"/>
      <c r="HNM58" s="101"/>
      <c r="HNN58" s="101"/>
      <c r="HNO58" s="101"/>
      <c r="HNP58" s="101"/>
      <c r="HNQ58" s="101"/>
      <c r="HNR58" s="101"/>
      <c r="HNS58" s="101"/>
      <c r="HNT58" s="101"/>
      <c r="HNU58" s="101"/>
      <c r="HNV58" s="101"/>
      <c r="HNW58" s="101"/>
      <c r="HNX58" s="101"/>
      <c r="HNY58" s="101"/>
      <c r="HNZ58" s="101"/>
      <c r="HOA58" s="101"/>
      <c r="HOB58" s="101"/>
      <c r="HOC58" s="101"/>
      <c r="HOD58" s="101"/>
      <c r="HOE58" s="101"/>
      <c r="HOF58" s="101"/>
      <c r="HOG58" s="101"/>
      <c r="HOH58" s="101"/>
      <c r="HOI58" s="101"/>
      <c r="HOJ58" s="101"/>
      <c r="HOK58" s="101"/>
      <c r="HOL58" s="101"/>
      <c r="HOM58" s="101"/>
      <c r="HON58" s="101"/>
      <c r="HOO58" s="101"/>
      <c r="HOP58" s="101"/>
      <c r="HOQ58" s="101"/>
      <c r="HOR58" s="101"/>
      <c r="HOS58" s="101"/>
      <c r="HOT58" s="101"/>
      <c r="HOU58" s="101"/>
      <c r="HOV58" s="101"/>
      <c r="HOW58" s="101"/>
      <c r="HOX58" s="101"/>
      <c r="HOY58" s="101"/>
      <c r="HOZ58" s="101"/>
      <c r="HPA58" s="101"/>
      <c r="HPB58" s="101"/>
      <c r="HPC58" s="101"/>
      <c r="HPD58" s="101"/>
      <c r="HPE58" s="101"/>
      <c r="HPF58" s="101"/>
      <c r="HPG58" s="101"/>
      <c r="HPH58" s="101"/>
      <c r="HPI58" s="101"/>
      <c r="HPJ58" s="101"/>
      <c r="HPK58" s="101"/>
      <c r="HPL58" s="101"/>
      <c r="HPM58" s="101"/>
      <c r="HPN58" s="101"/>
      <c r="HPO58" s="101"/>
      <c r="HPP58" s="101"/>
      <c r="HPQ58" s="101"/>
      <c r="HPR58" s="101"/>
      <c r="HPS58" s="101"/>
      <c r="HPT58" s="101"/>
      <c r="HPU58" s="101"/>
      <c r="HPV58" s="101"/>
      <c r="HPW58" s="101"/>
      <c r="HPX58" s="101"/>
      <c r="HPY58" s="101"/>
      <c r="HPZ58" s="101"/>
      <c r="HQA58" s="101"/>
      <c r="HQB58" s="101"/>
      <c r="HQC58" s="101"/>
      <c r="HQD58" s="101"/>
      <c r="HQE58" s="101"/>
      <c r="HQF58" s="101"/>
      <c r="HQG58" s="101"/>
      <c r="HQH58" s="101"/>
      <c r="HQI58" s="101"/>
      <c r="HQJ58" s="101"/>
      <c r="HQK58" s="101"/>
      <c r="HQL58" s="101"/>
      <c r="HQM58" s="101"/>
      <c r="HQN58" s="101"/>
      <c r="HQO58" s="101"/>
      <c r="HQP58" s="101"/>
      <c r="HQQ58" s="101"/>
      <c r="HQR58" s="101"/>
      <c r="HQS58" s="101"/>
      <c r="HQT58" s="101"/>
      <c r="HQU58" s="101"/>
      <c r="HQV58" s="101"/>
      <c r="HQW58" s="101"/>
      <c r="HQX58" s="101"/>
      <c r="HQY58" s="101"/>
      <c r="HQZ58" s="101"/>
      <c r="HRA58" s="101"/>
      <c r="HRB58" s="101"/>
      <c r="HRC58" s="101"/>
      <c r="HRD58" s="101"/>
      <c r="HRE58" s="101"/>
      <c r="HRF58" s="101"/>
      <c r="HRG58" s="101"/>
      <c r="HRH58" s="101"/>
      <c r="HRI58" s="101"/>
      <c r="HRJ58" s="101"/>
      <c r="HRK58" s="101"/>
      <c r="HRL58" s="101"/>
      <c r="HRM58" s="101"/>
      <c r="HRN58" s="101"/>
      <c r="HRO58" s="101"/>
      <c r="HRP58" s="101"/>
      <c r="HRQ58" s="101"/>
      <c r="HRR58" s="101"/>
      <c r="HRS58" s="101"/>
      <c r="HRT58" s="101"/>
      <c r="HRU58" s="101"/>
      <c r="HRV58" s="101"/>
      <c r="HRW58" s="101"/>
      <c r="HRX58" s="101"/>
      <c r="HRY58" s="101"/>
      <c r="HRZ58" s="101"/>
      <c r="HSA58" s="101"/>
      <c r="HSB58" s="101"/>
      <c r="HSC58" s="101"/>
      <c r="HSD58" s="101"/>
      <c r="HSE58" s="101"/>
      <c r="HSF58" s="101"/>
      <c r="HSG58" s="101"/>
      <c r="HSH58" s="101"/>
      <c r="HSI58" s="101"/>
      <c r="HSJ58" s="101"/>
      <c r="HSK58" s="101"/>
      <c r="HSL58" s="101"/>
      <c r="HSM58" s="101"/>
      <c r="HSN58" s="101"/>
      <c r="HSO58" s="101"/>
      <c r="HSP58" s="101"/>
      <c r="HSQ58" s="101"/>
      <c r="HSR58" s="101"/>
      <c r="HSS58" s="101"/>
      <c r="HST58" s="101"/>
      <c r="HSU58" s="101"/>
      <c r="HSV58" s="101"/>
      <c r="HSW58" s="101"/>
      <c r="HSX58" s="101"/>
      <c r="HSY58" s="101"/>
      <c r="HSZ58" s="101"/>
      <c r="HTA58" s="101"/>
      <c r="HTB58" s="101"/>
      <c r="HTC58" s="101"/>
      <c r="HTD58" s="101"/>
      <c r="HTE58" s="101"/>
      <c r="HTF58" s="101"/>
      <c r="HTG58" s="101"/>
      <c r="HTH58" s="101"/>
      <c r="HTI58" s="101"/>
      <c r="HTJ58" s="101"/>
      <c r="HTK58" s="101"/>
      <c r="HTL58" s="101"/>
      <c r="HTM58" s="101"/>
      <c r="HTN58" s="101"/>
      <c r="HTO58" s="101"/>
      <c r="HTP58" s="101"/>
      <c r="HTQ58" s="101"/>
      <c r="HTR58" s="101"/>
      <c r="HTS58" s="101"/>
      <c r="HTT58" s="101"/>
      <c r="HTU58" s="101"/>
      <c r="HTV58" s="101"/>
      <c r="HTW58" s="101"/>
      <c r="HTX58" s="101"/>
      <c r="HTY58" s="101"/>
      <c r="HTZ58" s="101"/>
      <c r="HUA58" s="101"/>
      <c r="HUB58" s="101"/>
      <c r="HUC58" s="101"/>
      <c r="HUD58" s="101"/>
      <c r="HUE58" s="101"/>
      <c r="HUF58" s="101"/>
      <c r="HUG58" s="101"/>
      <c r="HUH58" s="101"/>
      <c r="HUI58" s="101"/>
      <c r="HUJ58" s="101"/>
      <c r="HUK58" s="101"/>
      <c r="HUL58" s="101"/>
      <c r="HUM58" s="101"/>
      <c r="HUN58" s="101"/>
      <c r="HUO58" s="101"/>
      <c r="HUP58" s="101"/>
      <c r="HUQ58" s="101"/>
      <c r="HUR58" s="101"/>
      <c r="HUS58" s="101"/>
      <c r="HUT58" s="101"/>
      <c r="HUU58" s="101"/>
      <c r="HUV58" s="101"/>
      <c r="HUW58" s="101"/>
      <c r="HUX58" s="101"/>
      <c r="HUY58" s="101"/>
      <c r="HUZ58" s="101"/>
      <c r="HVA58" s="101"/>
      <c r="HVB58" s="101"/>
      <c r="HVC58" s="101"/>
      <c r="HVD58" s="101"/>
      <c r="HVE58" s="101"/>
      <c r="HVF58" s="101"/>
      <c r="HVG58" s="101"/>
      <c r="HVH58" s="101"/>
      <c r="HVI58" s="101"/>
      <c r="HVJ58" s="101"/>
      <c r="HVK58" s="101"/>
      <c r="HVL58" s="101"/>
      <c r="HVM58" s="101"/>
      <c r="HVN58" s="101"/>
      <c r="HVO58" s="101"/>
      <c r="HVP58" s="101"/>
      <c r="HVQ58" s="101"/>
      <c r="HVR58" s="101"/>
      <c r="HVS58" s="101"/>
      <c r="HVT58" s="101"/>
      <c r="HVU58" s="101"/>
      <c r="HVV58" s="101"/>
      <c r="HVW58" s="101"/>
      <c r="HVX58" s="101"/>
      <c r="HVY58" s="101"/>
      <c r="HVZ58" s="101"/>
      <c r="HWA58" s="101"/>
      <c r="HWB58" s="101"/>
      <c r="HWC58" s="101"/>
      <c r="HWD58" s="101"/>
      <c r="HWE58" s="101"/>
      <c r="HWF58" s="101"/>
      <c r="HWG58" s="101"/>
      <c r="HWH58" s="101"/>
      <c r="HWI58" s="101"/>
      <c r="HWJ58" s="101"/>
      <c r="HWK58" s="101"/>
      <c r="HWL58" s="101"/>
      <c r="HWM58" s="101"/>
      <c r="HWN58" s="101"/>
      <c r="HWO58" s="101"/>
      <c r="HWP58" s="101"/>
      <c r="HWQ58" s="101"/>
      <c r="HWR58" s="101"/>
      <c r="HWS58" s="101"/>
      <c r="HWT58" s="101"/>
      <c r="HWU58" s="101"/>
      <c r="HWV58" s="101"/>
      <c r="HWW58" s="101"/>
      <c r="HWX58" s="101"/>
      <c r="HWY58" s="101"/>
      <c r="HWZ58" s="101"/>
      <c r="HXA58" s="101"/>
      <c r="HXB58" s="101"/>
      <c r="HXC58" s="101"/>
      <c r="HXD58" s="101"/>
      <c r="HXE58" s="101"/>
      <c r="HXF58" s="101"/>
      <c r="HXG58" s="101"/>
      <c r="HXH58" s="101"/>
      <c r="HXI58" s="101"/>
      <c r="HXJ58" s="101"/>
      <c r="HXK58" s="101"/>
      <c r="HXL58" s="101"/>
      <c r="HXM58" s="101"/>
      <c r="HXN58" s="101"/>
      <c r="HXO58" s="101"/>
      <c r="HXP58" s="101"/>
      <c r="HXQ58" s="101"/>
      <c r="HXR58" s="101"/>
      <c r="HXS58" s="101"/>
      <c r="HXT58" s="101"/>
      <c r="HXU58" s="101"/>
      <c r="HXV58" s="101"/>
      <c r="HXW58" s="101"/>
      <c r="HXX58" s="101"/>
      <c r="HXY58" s="101"/>
      <c r="HXZ58" s="101"/>
      <c r="HYA58" s="101"/>
      <c r="HYB58" s="101"/>
      <c r="HYC58" s="101"/>
      <c r="HYD58" s="101"/>
      <c r="HYE58" s="101"/>
      <c r="HYF58" s="101"/>
      <c r="HYG58" s="101"/>
      <c r="HYH58" s="101"/>
      <c r="HYI58" s="101"/>
      <c r="HYJ58" s="101"/>
      <c r="HYK58" s="101"/>
      <c r="HYL58" s="101"/>
      <c r="HYM58" s="101"/>
      <c r="HYN58" s="101"/>
      <c r="HYO58" s="101"/>
      <c r="HYP58" s="101"/>
      <c r="HYQ58" s="101"/>
      <c r="HYR58" s="101"/>
      <c r="HYS58" s="101"/>
      <c r="HYT58" s="101"/>
      <c r="HYU58" s="101"/>
      <c r="HYV58" s="101"/>
      <c r="HYW58" s="101"/>
      <c r="HYX58" s="101"/>
      <c r="HYY58" s="101"/>
      <c r="HYZ58" s="101"/>
      <c r="HZA58" s="101"/>
      <c r="HZB58" s="101"/>
      <c r="HZC58" s="101"/>
      <c r="HZD58" s="101"/>
      <c r="HZE58" s="101"/>
      <c r="HZF58" s="101"/>
      <c r="HZG58" s="101"/>
      <c r="HZH58" s="101"/>
      <c r="HZI58" s="101"/>
      <c r="HZJ58" s="101"/>
      <c r="HZK58" s="101"/>
      <c r="HZL58" s="101"/>
      <c r="HZM58" s="101"/>
      <c r="HZN58" s="101"/>
      <c r="HZO58" s="101"/>
      <c r="HZP58" s="101"/>
      <c r="HZQ58" s="101"/>
      <c r="HZR58" s="101"/>
      <c r="HZS58" s="101"/>
      <c r="HZT58" s="101"/>
      <c r="HZU58" s="101"/>
      <c r="HZV58" s="101"/>
      <c r="HZW58" s="101"/>
      <c r="HZX58" s="101"/>
      <c r="HZY58" s="101"/>
      <c r="HZZ58" s="101"/>
      <c r="IAA58" s="101"/>
      <c r="IAB58" s="101"/>
      <c r="IAC58" s="101"/>
      <c r="IAD58" s="101"/>
      <c r="IAE58" s="101"/>
      <c r="IAF58" s="101"/>
      <c r="IAG58" s="101"/>
      <c r="IAH58" s="101"/>
      <c r="IAI58" s="101"/>
      <c r="IAJ58" s="101"/>
      <c r="IAK58" s="101"/>
      <c r="IAL58" s="101"/>
      <c r="IAM58" s="101"/>
      <c r="IAN58" s="101"/>
      <c r="IAO58" s="101"/>
      <c r="IAP58" s="101"/>
      <c r="IAQ58" s="101"/>
      <c r="IAR58" s="101"/>
      <c r="IAS58" s="101"/>
      <c r="IAT58" s="101"/>
      <c r="IAU58" s="101"/>
      <c r="IAV58" s="101"/>
      <c r="IAW58" s="101"/>
      <c r="IAX58" s="101"/>
      <c r="IAY58" s="101"/>
      <c r="IAZ58" s="101"/>
      <c r="IBA58" s="101"/>
      <c r="IBB58" s="101"/>
      <c r="IBC58" s="101"/>
      <c r="IBD58" s="101"/>
      <c r="IBE58" s="101"/>
      <c r="IBF58" s="101"/>
      <c r="IBG58" s="101"/>
      <c r="IBH58" s="101"/>
      <c r="IBI58" s="101"/>
      <c r="IBJ58" s="101"/>
      <c r="IBK58" s="101"/>
      <c r="IBL58" s="101"/>
      <c r="IBM58" s="101"/>
      <c r="IBN58" s="101"/>
      <c r="IBO58" s="101"/>
      <c r="IBP58" s="101"/>
      <c r="IBQ58" s="101"/>
      <c r="IBR58" s="101"/>
      <c r="IBS58" s="101"/>
      <c r="IBT58" s="101"/>
      <c r="IBU58" s="101"/>
      <c r="IBV58" s="101"/>
      <c r="IBW58" s="101"/>
      <c r="IBX58" s="101"/>
      <c r="IBY58" s="101"/>
      <c r="IBZ58" s="101"/>
      <c r="ICA58" s="101"/>
      <c r="ICB58" s="101"/>
      <c r="ICC58" s="101"/>
      <c r="ICD58" s="101"/>
      <c r="ICE58" s="101"/>
      <c r="ICF58" s="101"/>
      <c r="ICG58" s="101"/>
      <c r="ICH58" s="101"/>
      <c r="ICI58" s="101"/>
      <c r="ICJ58" s="101"/>
      <c r="ICK58" s="101"/>
      <c r="ICL58" s="101"/>
      <c r="ICM58" s="101"/>
      <c r="ICN58" s="101"/>
      <c r="ICO58" s="101"/>
      <c r="ICP58" s="101"/>
      <c r="ICQ58" s="101"/>
      <c r="ICR58" s="101"/>
      <c r="ICS58" s="101"/>
      <c r="ICT58" s="101"/>
      <c r="ICU58" s="101"/>
      <c r="ICV58" s="101"/>
      <c r="ICW58" s="101"/>
      <c r="ICX58" s="101"/>
      <c r="ICY58" s="101"/>
      <c r="ICZ58" s="101"/>
      <c r="IDA58" s="101"/>
      <c r="IDB58" s="101"/>
      <c r="IDC58" s="101"/>
      <c r="IDD58" s="101"/>
      <c r="IDE58" s="101"/>
      <c r="IDF58" s="101"/>
      <c r="IDG58" s="101"/>
      <c r="IDH58" s="101"/>
      <c r="IDI58" s="101"/>
      <c r="IDJ58" s="101"/>
      <c r="IDK58" s="101"/>
      <c r="IDL58" s="101"/>
      <c r="IDM58" s="101"/>
      <c r="IDN58" s="101"/>
      <c r="IDO58" s="101"/>
      <c r="IDP58" s="101"/>
      <c r="IDQ58" s="101"/>
      <c r="IDR58" s="101"/>
      <c r="IDS58" s="101"/>
      <c r="IDT58" s="101"/>
      <c r="IDU58" s="101"/>
      <c r="IDV58" s="101"/>
      <c r="IDW58" s="101"/>
      <c r="IDX58" s="101"/>
      <c r="IDY58" s="101"/>
      <c r="IDZ58" s="101"/>
      <c r="IEA58" s="101"/>
      <c r="IEB58" s="101"/>
      <c r="IEC58" s="101"/>
      <c r="IED58" s="101"/>
      <c r="IEE58" s="101"/>
      <c r="IEF58" s="101"/>
      <c r="IEG58" s="101"/>
      <c r="IEH58" s="101"/>
      <c r="IEI58" s="101"/>
      <c r="IEJ58" s="101"/>
      <c r="IEK58" s="101"/>
      <c r="IEL58" s="101"/>
      <c r="IEM58" s="101"/>
      <c r="IEN58" s="101"/>
      <c r="IEO58" s="101"/>
      <c r="IEP58" s="101"/>
      <c r="IEQ58" s="101"/>
      <c r="IER58" s="101"/>
      <c r="IES58" s="101"/>
      <c r="IET58" s="101"/>
      <c r="IEU58" s="101"/>
      <c r="IEV58" s="101"/>
      <c r="IEW58" s="101"/>
      <c r="IEX58" s="101"/>
      <c r="IEY58" s="101"/>
      <c r="IEZ58" s="101"/>
      <c r="IFA58" s="101"/>
      <c r="IFB58" s="101"/>
      <c r="IFC58" s="101"/>
      <c r="IFD58" s="101"/>
      <c r="IFE58" s="101"/>
      <c r="IFF58" s="101"/>
      <c r="IFG58" s="101"/>
      <c r="IFH58" s="101"/>
      <c r="IFI58" s="101"/>
      <c r="IFJ58" s="101"/>
      <c r="IFK58" s="101"/>
      <c r="IFL58" s="101"/>
      <c r="IFM58" s="101"/>
      <c r="IFN58" s="101"/>
      <c r="IFO58" s="101"/>
      <c r="IFP58" s="101"/>
      <c r="IFQ58" s="101"/>
      <c r="IFR58" s="101"/>
      <c r="IFS58" s="101"/>
      <c r="IFT58" s="101"/>
      <c r="IFU58" s="101"/>
      <c r="IFV58" s="101"/>
      <c r="IFW58" s="101"/>
      <c r="IFX58" s="101"/>
      <c r="IFY58" s="101"/>
      <c r="IFZ58" s="101"/>
      <c r="IGA58" s="101"/>
      <c r="IGB58" s="101"/>
      <c r="IGC58" s="101"/>
      <c r="IGD58" s="101"/>
      <c r="IGE58" s="101"/>
      <c r="IGF58" s="101"/>
      <c r="IGG58" s="101"/>
      <c r="IGH58" s="101"/>
      <c r="IGI58" s="101"/>
      <c r="IGJ58" s="101"/>
      <c r="IGK58" s="101"/>
      <c r="IGL58" s="101"/>
      <c r="IGM58" s="101"/>
      <c r="IGN58" s="101"/>
      <c r="IGO58" s="101"/>
      <c r="IGP58" s="101"/>
      <c r="IGQ58" s="101"/>
      <c r="IGR58" s="101"/>
      <c r="IGS58" s="101"/>
      <c r="IGT58" s="101"/>
      <c r="IGU58" s="101"/>
      <c r="IGV58" s="101"/>
      <c r="IGW58" s="101"/>
      <c r="IGX58" s="101"/>
      <c r="IGY58" s="101"/>
      <c r="IGZ58" s="101"/>
      <c r="IHA58" s="101"/>
      <c r="IHB58" s="101"/>
      <c r="IHC58" s="101"/>
      <c r="IHD58" s="101"/>
      <c r="IHE58" s="101"/>
      <c r="IHF58" s="101"/>
      <c r="IHG58" s="101"/>
      <c r="IHH58" s="101"/>
      <c r="IHI58" s="101"/>
      <c r="IHJ58" s="101"/>
      <c r="IHK58" s="101"/>
      <c r="IHL58" s="101"/>
      <c r="IHM58" s="101"/>
      <c r="IHN58" s="101"/>
      <c r="IHO58" s="101"/>
      <c r="IHP58" s="101"/>
      <c r="IHQ58" s="101"/>
      <c r="IHR58" s="101"/>
      <c r="IHS58" s="101"/>
      <c r="IHT58" s="101"/>
      <c r="IHU58" s="101"/>
      <c r="IHV58" s="101"/>
      <c r="IHW58" s="101"/>
      <c r="IHX58" s="101"/>
      <c r="IHY58" s="101"/>
      <c r="IHZ58" s="101"/>
      <c r="IIA58" s="101"/>
      <c r="IIB58" s="101"/>
      <c r="IIC58" s="101"/>
      <c r="IID58" s="101"/>
      <c r="IIE58" s="101"/>
      <c r="IIF58" s="101"/>
      <c r="IIG58" s="101"/>
      <c r="IIH58" s="101"/>
      <c r="III58" s="101"/>
      <c r="IIJ58" s="101"/>
      <c r="IIK58" s="101"/>
      <c r="IIL58" s="101"/>
      <c r="IIM58" s="101"/>
      <c r="IIN58" s="101"/>
      <c r="IIO58" s="101"/>
      <c r="IIP58" s="101"/>
      <c r="IIQ58" s="101"/>
      <c r="IIR58" s="101"/>
      <c r="IIS58" s="101"/>
      <c r="IIT58" s="101"/>
      <c r="IIU58" s="101"/>
      <c r="IIV58" s="101"/>
      <c r="IIW58" s="101"/>
      <c r="IIX58" s="101"/>
      <c r="IIY58" s="101"/>
      <c r="IIZ58" s="101"/>
      <c r="IJA58" s="101"/>
      <c r="IJB58" s="101"/>
      <c r="IJC58" s="101"/>
      <c r="IJD58" s="101"/>
      <c r="IJE58" s="101"/>
      <c r="IJF58" s="101"/>
      <c r="IJG58" s="101"/>
      <c r="IJH58" s="101"/>
      <c r="IJI58" s="101"/>
      <c r="IJJ58" s="101"/>
      <c r="IJK58" s="101"/>
      <c r="IJL58" s="101"/>
      <c r="IJM58" s="101"/>
      <c r="IJN58" s="101"/>
      <c r="IJO58" s="101"/>
      <c r="IJP58" s="101"/>
      <c r="IJQ58" s="101"/>
      <c r="IJR58" s="101"/>
      <c r="IJS58" s="101"/>
      <c r="IJT58" s="101"/>
      <c r="IJU58" s="101"/>
      <c r="IJV58" s="101"/>
      <c r="IJW58" s="101"/>
      <c r="IJX58" s="101"/>
      <c r="IJY58" s="101"/>
      <c r="IJZ58" s="101"/>
      <c r="IKA58" s="101"/>
      <c r="IKB58" s="101"/>
      <c r="IKC58" s="101"/>
      <c r="IKD58" s="101"/>
      <c r="IKE58" s="101"/>
      <c r="IKF58" s="101"/>
      <c r="IKG58" s="101"/>
      <c r="IKH58" s="101"/>
      <c r="IKI58" s="101"/>
      <c r="IKJ58" s="101"/>
      <c r="IKK58" s="101"/>
      <c r="IKL58" s="101"/>
      <c r="IKM58" s="101"/>
      <c r="IKN58" s="101"/>
      <c r="IKO58" s="101"/>
      <c r="IKP58" s="101"/>
      <c r="IKQ58" s="101"/>
      <c r="IKR58" s="101"/>
      <c r="IKS58" s="101"/>
      <c r="IKT58" s="101"/>
      <c r="IKU58" s="101"/>
      <c r="IKV58" s="101"/>
      <c r="IKW58" s="101"/>
      <c r="IKX58" s="101"/>
      <c r="IKY58" s="101"/>
      <c r="IKZ58" s="101"/>
      <c r="ILA58" s="101"/>
      <c r="ILB58" s="101"/>
      <c r="ILC58" s="101"/>
      <c r="ILD58" s="101"/>
      <c r="ILE58" s="101"/>
      <c r="ILF58" s="101"/>
      <c r="ILG58" s="101"/>
      <c r="ILH58" s="101"/>
      <c r="ILI58" s="101"/>
      <c r="ILJ58" s="101"/>
      <c r="ILK58" s="101"/>
      <c r="ILL58" s="101"/>
      <c r="ILM58" s="101"/>
      <c r="ILN58" s="101"/>
      <c r="ILO58" s="101"/>
      <c r="ILP58" s="101"/>
      <c r="ILQ58" s="101"/>
      <c r="ILR58" s="101"/>
      <c r="ILS58" s="101"/>
      <c r="ILT58" s="101"/>
      <c r="ILU58" s="101"/>
      <c r="ILV58" s="101"/>
      <c r="ILW58" s="101"/>
      <c r="ILX58" s="101"/>
      <c r="ILY58" s="101"/>
      <c r="ILZ58" s="101"/>
      <c r="IMA58" s="101"/>
      <c r="IMB58" s="101"/>
      <c r="IMC58" s="101"/>
      <c r="IMD58" s="101"/>
      <c r="IME58" s="101"/>
      <c r="IMF58" s="101"/>
      <c r="IMG58" s="101"/>
      <c r="IMH58" s="101"/>
      <c r="IMI58" s="101"/>
      <c r="IMJ58" s="101"/>
      <c r="IMK58" s="101"/>
      <c r="IML58" s="101"/>
      <c r="IMM58" s="101"/>
      <c r="IMN58" s="101"/>
      <c r="IMO58" s="101"/>
      <c r="IMP58" s="101"/>
      <c r="IMQ58" s="101"/>
      <c r="IMR58" s="101"/>
      <c r="IMS58" s="101"/>
      <c r="IMT58" s="101"/>
      <c r="IMU58" s="101"/>
      <c r="IMV58" s="101"/>
      <c r="IMW58" s="101"/>
      <c r="IMX58" s="101"/>
      <c r="IMY58" s="101"/>
      <c r="IMZ58" s="101"/>
      <c r="INA58" s="101"/>
      <c r="INB58" s="101"/>
      <c r="INC58" s="101"/>
      <c r="IND58" s="101"/>
      <c r="INE58" s="101"/>
      <c r="INF58" s="101"/>
      <c r="ING58" s="101"/>
      <c r="INH58" s="101"/>
      <c r="INI58" s="101"/>
      <c r="INJ58" s="101"/>
      <c r="INK58" s="101"/>
      <c r="INL58" s="101"/>
      <c r="INM58" s="101"/>
      <c r="INN58" s="101"/>
      <c r="INO58" s="101"/>
      <c r="INP58" s="101"/>
      <c r="INQ58" s="101"/>
      <c r="INR58" s="101"/>
      <c r="INS58" s="101"/>
      <c r="INT58" s="101"/>
      <c r="INU58" s="101"/>
      <c r="INV58" s="101"/>
      <c r="INW58" s="101"/>
      <c r="INX58" s="101"/>
      <c r="INY58" s="101"/>
      <c r="INZ58" s="101"/>
      <c r="IOA58" s="101"/>
      <c r="IOB58" s="101"/>
      <c r="IOC58" s="101"/>
      <c r="IOD58" s="101"/>
      <c r="IOE58" s="101"/>
      <c r="IOF58" s="101"/>
      <c r="IOG58" s="101"/>
      <c r="IOH58" s="101"/>
      <c r="IOI58" s="101"/>
      <c r="IOJ58" s="101"/>
      <c r="IOK58" s="101"/>
      <c r="IOL58" s="101"/>
      <c r="IOM58" s="101"/>
      <c r="ION58" s="101"/>
      <c r="IOO58" s="101"/>
      <c r="IOP58" s="101"/>
      <c r="IOQ58" s="101"/>
      <c r="IOR58" s="101"/>
      <c r="IOS58" s="101"/>
      <c r="IOT58" s="101"/>
      <c r="IOU58" s="101"/>
      <c r="IOV58" s="101"/>
      <c r="IOW58" s="101"/>
      <c r="IOX58" s="101"/>
      <c r="IOY58" s="101"/>
      <c r="IOZ58" s="101"/>
      <c r="IPA58" s="101"/>
      <c r="IPB58" s="101"/>
      <c r="IPC58" s="101"/>
      <c r="IPD58" s="101"/>
      <c r="IPE58" s="101"/>
      <c r="IPF58" s="101"/>
      <c r="IPG58" s="101"/>
      <c r="IPH58" s="101"/>
      <c r="IPI58" s="101"/>
      <c r="IPJ58" s="101"/>
      <c r="IPK58" s="101"/>
      <c r="IPL58" s="101"/>
      <c r="IPM58" s="101"/>
      <c r="IPN58" s="101"/>
      <c r="IPO58" s="101"/>
      <c r="IPP58" s="101"/>
      <c r="IPQ58" s="101"/>
      <c r="IPR58" s="101"/>
      <c r="IPS58" s="101"/>
      <c r="IPT58" s="101"/>
      <c r="IPU58" s="101"/>
      <c r="IPV58" s="101"/>
      <c r="IPW58" s="101"/>
      <c r="IPX58" s="101"/>
      <c r="IPY58" s="101"/>
      <c r="IPZ58" s="101"/>
      <c r="IQA58" s="101"/>
      <c r="IQB58" s="101"/>
      <c r="IQC58" s="101"/>
      <c r="IQD58" s="101"/>
      <c r="IQE58" s="101"/>
      <c r="IQF58" s="101"/>
      <c r="IQG58" s="101"/>
      <c r="IQH58" s="101"/>
      <c r="IQI58" s="101"/>
      <c r="IQJ58" s="101"/>
      <c r="IQK58" s="101"/>
      <c r="IQL58" s="101"/>
      <c r="IQM58" s="101"/>
      <c r="IQN58" s="101"/>
      <c r="IQO58" s="101"/>
      <c r="IQP58" s="101"/>
      <c r="IQQ58" s="101"/>
      <c r="IQR58" s="101"/>
      <c r="IQS58" s="101"/>
      <c r="IQT58" s="101"/>
      <c r="IQU58" s="101"/>
      <c r="IQV58" s="101"/>
      <c r="IQW58" s="101"/>
      <c r="IQX58" s="101"/>
      <c r="IQY58" s="101"/>
      <c r="IQZ58" s="101"/>
      <c r="IRA58" s="101"/>
      <c r="IRB58" s="101"/>
      <c r="IRC58" s="101"/>
      <c r="IRD58" s="101"/>
      <c r="IRE58" s="101"/>
      <c r="IRF58" s="101"/>
      <c r="IRG58" s="101"/>
      <c r="IRH58" s="101"/>
      <c r="IRI58" s="101"/>
      <c r="IRJ58" s="101"/>
      <c r="IRK58" s="101"/>
      <c r="IRL58" s="101"/>
      <c r="IRM58" s="101"/>
      <c r="IRN58" s="101"/>
      <c r="IRO58" s="101"/>
      <c r="IRP58" s="101"/>
      <c r="IRQ58" s="101"/>
      <c r="IRR58" s="101"/>
      <c r="IRS58" s="101"/>
      <c r="IRT58" s="101"/>
      <c r="IRU58" s="101"/>
      <c r="IRV58" s="101"/>
      <c r="IRW58" s="101"/>
      <c r="IRX58" s="101"/>
      <c r="IRY58" s="101"/>
      <c r="IRZ58" s="101"/>
      <c r="ISA58" s="101"/>
      <c r="ISB58" s="101"/>
      <c r="ISC58" s="101"/>
      <c r="ISD58" s="101"/>
      <c r="ISE58" s="101"/>
      <c r="ISF58" s="101"/>
      <c r="ISG58" s="101"/>
      <c r="ISH58" s="101"/>
      <c r="ISI58" s="101"/>
      <c r="ISJ58" s="101"/>
      <c r="ISK58" s="101"/>
      <c r="ISL58" s="101"/>
      <c r="ISM58" s="101"/>
      <c r="ISN58" s="101"/>
      <c r="ISO58" s="101"/>
      <c r="ISP58" s="101"/>
      <c r="ISQ58" s="101"/>
      <c r="ISR58" s="101"/>
      <c r="ISS58" s="101"/>
      <c r="IST58" s="101"/>
      <c r="ISU58" s="101"/>
      <c r="ISV58" s="101"/>
      <c r="ISW58" s="101"/>
      <c r="ISX58" s="101"/>
      <c r="ISY58" s="101"/>
      <c r="ISZ58" s="101"/>
      <c r="ITA58" s="101"/>
      <c r="ITB58" s="101"/>
      <c r="ITC58" s="101"/>
      <c r="ITD58" s="101"/>
      <c r="ITE58" s="101"/>
      <c r="ITF58" s="101"/>
      <c r="ITG58" s="101"/>
      <c r="ITH58" s="101"/>
      <c r="ITI58" s="101"/>
      <c r="ITJ58" s="101"/>
      <c r="ITK58" s="101"/>
      <c r="ITL58" s="101"/>
      <c r="ITM58" s="101"/>
      <c r="ITN58" s="101"/>
      <c r="ITO58" s="101"/>
      <c r="ITP58" s="101"/>
      <c r="ITQ58" s="101"/>
      <c r="ITR58" s="101"/>
      <c r="ITS58" s="101"/>
      <c r="ITT58" s="101"/>
      <c r="ITU58" s="101"/>
      <c r="ITV58" s="101"/>
      <c r="ITW58" s="101"/>
      <c r="ITX58" s="101"/>
      <c r="ITY58" s="101"/>
      <c r="ITZ58" s="101"/>
      <c r="IUA58" s="101"/>
      <c r="IUB58" s="101"/>
      <c r="IUC58" s="101"/>
      <c r="IUD58" s="101"/>
      <c r="IUE58" s="101"/>
      <c r="IUF58" s="101"/>
      <c r="IUG58" s="101"/>
      <c r="IUH58" s="101"/>
      <c r="IUI58" s="101"/>
      <c r="IUJ58" s="101"/>
      <c r="IUK58" s="101"/>
      <c r="IUL58" s="101"/>
      <c r="IUM58" s="101"/>
      <c r="IUN58" s="101"/>
      <c r="IUO58" s="101"/>
      <c r="IUP58" s="101"/>
      <c r="IUQ58" s="101"/>
      <c r="IUR58" s="101"/>
      <c r="IUS58" s="101"/>
      <c r="IUT58" s="101"/>
      <c r="IUU58" s="101"/>
      <c r="IUV58" s="101"/>
      <c r="IUW58" s="101"/>
      <c r="IUX58" s="101"/>
      <c r="IUY58" s="101"/>
      <c r="IUZ58" s="101"/>
      <c r="IVA58" s="101"/>
      <c r="IVB58" s="101"/>
      <c r="IVC58" s="101"/>
      <c r="IVD58" s="101"/>
      <c r="IVE58" s="101"/>
      <c r="IVF58" s="101"/>
      <c r="IVG58" s="101"/>
      <c r="IVH58" s="101"/>
      <c r="IVI58" s="101"/>
      <c r="IVJ58" s="101"/>
      <c r="IVK58" s="101"/>
      <c r="IVL58" s="101"/>
      <c r="IVM58" s="101"/>
      <c r="IVN58" s="101"/>
      <c r="IVO58" s="101"/>
      <c r="IVP58" s="101"/>
      <c r="IVQ58" s="101"/>
      <c r="IVR58" s="101"/>
      <c r="IVS58" s="101"/>
      <c r="IVT58" s="101"/>
      <c r="IVU58" s="101"/>
      <c r="IVV58" s="101"/>
      <c r="IVW58" s="101"/>
      <c r="IVX58" s="101"/>
      <c r="IVY58" s="101"/>
      <c r="IVZ58" s="101"/>
      <c r="IWA58" s="101"/>
      <c r="IWB58" s="101"/>
      <c r="IWC58" s="101"/>
      <c r="IWD58" s="101"/>
      <c r="IWE58" s="101"/>
      <c r="IWF58" s="101"/>
      <c r="IWG58" s="101"/>
      <c r="IWH58" s="101"/>
      <c r="IWI58" s="101"/>
      <c r="IWJ58" s="101"/>
      <c r="IWK58" s="101"/>
      <c r="IWL58" s="101"/>
      <c r="IWM58" s="101"/>
      <c r="IWN58" s="101"/>
      <c r="IWO58" s="101"/>
      <c r="IWP58" s="101"/>
      <c r="IWQ58" s="101"/>
      <c r="IWR58" s="101"/>
      <c r="IWS58" s="101"/>
      <c r="IWT58" s="101"/>
      <c r="IWU58" s="101"/>
      <c r="IWV58" s="101"/>
      <c r="IWW58" s="101"/>
      <c r="IWX58" s="101"/>
      <c r="IWY58" s="101"/>
      <c r="IWZ58" s="101"/>
      <c r="IXA58" s="101"/>
      <c r="IXB58" s="101"/>
      <c r="IXC58" s="101"/>
      <c r="IXD58" s="101"/>
      <c r="IXE58" s="101"/>
      <c r="IXF58" s="101"/>
      <c r="IXG58" s="101"/>
      <c r="IXH58" s="101"/>
      <c r="IXI58" s="101"/>
      <c r="IXJ58" s="101"/>
      <c r="IXK58" s="101"/>
      <c r="IXL58" s="101"/>
      <c r="IXM58" s="101"/>
      <c r="IXN58" s="101"/>
      <c r="IXO58" s="101"/>
      <c r="IXP58" s="101"/>
      <c r="IXQ58" s="101"/>
      <c r="IXR58" s="101"/>
      <c r="IXS58" s="101"/>
      <c r="IXT58" s="101"/>
      <c r="IXU58" s="101"/>
      <c r="IXV58" s="101"/>
      <c r="IXW58" s="101"/>
      <c r="IXX58" s="101"/>
      <c r="IXY58" s="101"/>
      <c r="IXZ58" s="101"/>
      <c r="IYA58" s="101"/>
      <c r="IYB58" s="101"/>
      <c r="IYC58" s="101"/>
      <c r="IYD58" s="101"/>
      <c r="IYE58" s="101"/>
      <c r="IYF58" s="101"/>
      <c r="IYG58" s="101"/>
      <c r="IYH58" s="101"/>
      <c r="IYI58" s="101"/>
      <c r="IYJ58" s="101"/>
      <c r="IYK58" s="101"/>
      <c r="IYL58" s="101"/>
      <c r="IYM58" s="101"/>
      <c r="IYN58" s="101"/>
      <c r="IYO58" s="101"/>
      <c r="IYP58" s="101"/>
      <c r="IYQ58" s="101"/>
      <c r="IYR58" s="101"/>
      <c r="IYS58" s="101"/>
      <c r="IYT58" s="101"/>
      <c r="IYU58" s="101"/>
      <c r="IYV58" s="101"/>
      <c r="IYW58" s="101"/>
      <c r="IYX58" s="101"/>
      <c r="IYY58" s="101"/>
      <c r="IYZ58" s="101"/>
      <c r="IZA58" s="101"/>
      <c r="IZB58" s="101"/>
      <c r="IZC58" s="101"/>
      <c r="IZD58" s="101"/>
      <c r="IZE58" s="101"/>
      <c r="IZF58" s="101"/>
      <c r="IZG58" s="101"/>
      <c r="IZH58" s="101"/>
      <c r="IZI58" s="101"/>
      <c r="IZJ58" s="101"/>
      <c r="IZK58" s="101"/>
      <c r="IZL58" s="101"/>
      <c r="IZM58" s="101"/>
      <c r="IZN58" s="101"/>
      <c r="IZO58" s="101"/>
      <c r="IZP58" s="101"/>
      <c r="IZQ58" s="101"/>
      <c r="IZR58" s="101"/>
      <c r="IZS58" s="101"/>
      <c r="IZT58" s="101"/>
      <c r="IZU58" s="101"/>
      <c r="IZV58" s="101"/>
      <c r="IZW58" s="101"/>
      <c r="IZX58" s="101"/>
      <c r="IZY58" s="101"/>
      <c r="IZZ58" s="101"/>
      <c r="JAA58" s="101"/>
      <c r="JAB58" s="101"/>
      <c r="JAC58" s="101"/>
      <c r="JAD58" s="101"/>
      <c r="JAE58" s="101"/>
      <c r="JAF58" s="101"/>
      <c r="JAG58" s="101"/>
      <c r="JAH58" s="101"/>
      <c r="JAI58" s="101"/>
      <c r="JAJ58" s="101"/>
      <c r="JAK58" s="101"/>
      <c r="JAL58" s="101"/>
      <c r="JAM58" s="101"/>
      <c r="JAN58" s="101"/>
      <c r="JAO58" s="101"/>
      <c r="JAP58" s="101"/>
      <c r="JAQ58" s="101"/>
      <c r="JAR58" s="101"/>
      <c r="JAS58" s="101"/>
      <c r="JAT58" s="101"/>
      <c r="JAU58" s="101"/>
      <c r="JAV58" s="101"/>
      <c r="JAW58" s="101"/>
      <c r="JAX58" s="101"/>
      <c r="JAY58" s="101"/>
      <c r="JAZ58" s="101"/>
      <c r="JBA58" s="101"/>
      <c r="JBB58" s="101"/>
      <c r="JBC58" s="101"/>
      <c r="JBD58" s="101"/>
      <c r="JBE58" s="101"/>
      <c r="JBF58" s="101"/>
      <c r="JBG58" s="101"/>
      <c r="JBH58" s="101"/>
      <c r="JBI58" s="101"/>
      <c r="JBJ58" s="101"/>
      <c r="JBK58" s="101"/>
      <c r="JBL58" s="101"/>
      <c r="JBM58" s="101"/>
      <c r="JBN58" s="101"/>
      <c r="JBO58" s="101"/>
      <c r="JBP58" s="101"/>
      <c r="JBQ58" s="101"/>
      <c r="JBR58" s="101"/>
      <c r="JBS58" s="101"/>
      <c r="JBT58" s="101"/>
      <c r="JBU58" s="101"/>
      <c r="JBV58" s="101"/>
      <c r="JBW58" s="101"/>
      <c r="JBX58" s="101"/>
      <c r="JBY58" s="101"/>
      <c r="JBZ58" s="101"/>
      <c r="JCA58" s="101"/>
      <c r="JCB58" s="101"/>
      <c r="JCC58" s="101"/>
      <c r="JCD58" s="101"/>
      <c r="JCE58" s="101"/>
      <c r="JCF58" s="101"/>
      <c r="JCG58" s="101"/>
      <c r="JCH58" s="101"/>
      <c r="JCI58" s="101"/>
      <c r="JCJ58" s="101"/>
      <c r="JCK58" s="101"/>
      <c r="JCL58" s="101"/>
      <c r="JCM58" s="101"/>
      <c r="JCN58" s="101"/>
      <c r="JCO58" s="101"/>
      <c r="JCP58" s="101"/>
      <c r="JCQ58" s="101"/>
      <c r="JCR58" s="101"/>
      <c r="JCS58" s="101"/>
      <c r="JCT58" s="101"/>
      <c r="JCU58" s="101"/>
      <c r="JCV58" s="101"/>
      <c r="JCW58" s="101"/>
      <c r="JCX58" s="101"/>
      <c r="JCY58" s="101"/>
      <c r="JCZ58" s="101"/>
      <c r="JDA58" s="101"/>
      <c r="JDB58" s="101"/>
      <c r="JDC58" s="101"/>
      <c r="JDD58" s="101"/>
      <c r="JDE58" s="101"/>
      <c r="JDF58" s="101"/>
      <c r="JDG58" s="101"/>
      <c r="JDH58" s="101"/>
      <c r="JDI58" s="101"/>
      <c r="JDJ58" s="101"/>
      <c r="JDK58" s="101"/>
      <c r="JDL58" s="101"/>
      <c r="JDM58" s="101"/>
      <c r="JDN58" s="101"/>
      <c r="JDO58" s="101"/>
      <c r="JDP58" s="101"/>
      <c r="JDQ58" s="101"/>
      <c r="JDR58" s="101"/>
      <c r="JDS58" s="101"/>
      <c r="JDT58" s="101"/>
      <c r="JDU58" s="101"/>
      <c r="JDV58" s="101"/>
      <c r="JDW58" s="101"/>
      <c r="JDX58" s="101"/>
      <c r="JDY58" s="101"/>
      <c r="JDZ58" s="101"/>
      <c r="JEA58" s="101"/>
      <c r="JEB58" s="101"/>
      <c r="JEC58" s="101"/>
      <c r="JED58" s="101"/>
      <c r="JEE58" s="101"/>
      <c r="JEF58" s="101"/>
      <c r="JEG58" s="101"/>
      <c r="JEH58" s="101"/>
      <c r="JEI58" s="101"/>
      <c r="JEJ58" s="101"/>
      <c r="JEK58" s="101"/>
      <c r="JEL58" s="101"/>
      <c r="JEM58" s="101"/>
      <c r="JEN58" s="101"/>
      <c r="JEO58" s="101"/>
      <c r="JEP58" s="101"/>
      <c r="JEQ58" s="101"/>
      <c r="JER58" s="101"/>
      <c r="JES58" s="101"/>
      <c r="JET58" s="101"/>
      <c r="JEU58" s="101"/>
      <c r="JEV58" s="101"/>
      <c r="JEW58" s="101"/>
      <c r="JEX58" s="101"/>
      <c r="JEY58" s="101"/>
      <c r="JEZ58" s="101"/>
      <c r="JFA58" s="101"/>
      <c r="JFB58" s="101"/>
      <c r="JFC58" s="101"/>
      <c r="JFD58" s="101"/>
      <c r="JFE58" s="101"/>
      <c r="JFF58" s="101"/>
      <c r="JFG58" s="101"/>
      <c r="JFH58" s="101"/>
      <c r="JFI58" s="101"/>
      <c r="JFJ58" s="101"/>
      <c r="JFK58" s="101"/>
      <c r="JFL58" s="101"/>
      <c r="JFM58" s="101"/>
      <c r="JFN58" s="101"/>
      <c r="JFO58" s="101"/>
      <c r="JFP58" s="101"/>
      <c r="JFQ58" s="101"/>
      <c r="JFR58" s="101"/>
      <c r="JFS58" s="101"/>
      <c r="JFT58" s="101"/>
      <c r="JFU58" s="101"/>
      <c r="JFV58" s="101"/>
      <c r="JFW58" s="101"/>
      <c r="JFX58" s="101"/>
      <c r="JFY58" s="101"/>
      <c r="JFZ58" s="101"/>
      <c r="JGA58" s="101"/>
      <c r="JGB58" s="101"/>
      <c r="JGC58" s="101"/>
      <c r="JGD58" s="101"/>
      <c r="JGE58" s="101"/>
      <c r="JGF58" s="101"/>
      <c r="JGG58" s="101"/>
      <c r="JGH58" s="101"/>
      <c r="JGI58" s="101"/>
      <c r="JGJ58" s="101"/>
      <c r="JGK58" s="101"/>
      <c r="JGL58" s="101"/>
      <c r="JGM58" s="101"/>
      <c r="JGN58" s="101"/>
      <c r="JGO58" s="101"/>
      <c r="JGP58" s="101"/>
      <c r="JGQ58" s="101"/>
      <c r="JGR58" s="101"/>
      <c r="JGS58" s="101"/>
      <c r="JGT58" s="101"/>
      <c r="JGU58" s="101"/>
      <c r="JGV58" s="101"/>
      <c r="JGW58" s="101"/>
      <c r="JGX58" s="101"/>
      <c r="JGY58" s="101"/>
      <c r="JGZ58" s="101"/>
      <c r="JHA58" s="101"/>
      <c r="JHB58" s="101"/>
      <c r="JHC58" s="101"/>
      <c r="JHD58" s="101"/>
      <c r="JHE58" s="101"/>
      <c r="JHF58" s="101"/>
      <c r="JHG58" s="101"/>
      <c r="JHH58" s="101"/>
      <c r="JHI58" s="101"/>
      <c r="JHJ58" s="101"/>
      <c r="JHK58" s="101"/>
      <c r="JHL58" s="101"/>
      <c r="JHM58" s="101"/>
      <c r="JHN58" s="101"/>
      <c r="JHO58" s="101"/>
      <c r="JHP58" s="101"/>
      <c r="JHQ58" s="101"/>
      <c r="JHR58" s="101"/>
      <c r="JHS58" s="101"/>
      <c r="JHT58" s="101"/>
      <c r="JHU58" s="101"/>
      <c r="JHV58" s="101"/>
      <c r="JHW58" s="101"/>
      <c r="JHX58" s="101"/>
      <c r="JHY58" s="101"/>
      <c r="JHZ58" s="101"/>
      <c r="JIA58" s="101"/>
      <c r="JIB58" s="101"/>
      <c r="JIC58" s="101"/>
      <c r="JID58" s="101"/>
      <c r="JIE58" s="101"/>
      <c r="JIF58" s="101"/>
      <c r="JIG58" s="101"/>
      <c r="JIH58" s="101"/>
      <c r="JII58" s="101"/>
      <c r="JIJ58" s="101"/>
      <c r="JIK58" s="101"/>
      <c r="JIL58" s="101"/>
      <c r="JIM58" s="101"/>
      <c r="JIN58" s="101"/>
      <c r="JIO58" s="101"/>
      <c r="JIP58" s="101"/>
      <c r="JIQ58" s="101"/>
      <c r="JIR58" s="101"/>
      <c r="JIS58" s="101"/>
      <c r="JIT58" s="101"/>
      <c r="JIU58" s="101"/>
      <c r="JIV58" s="101"/>
      <c r="JIW58" s="101"/>
      <c r="JIX58" s="101"/>
      <c r="JIY58" s="101"/>
      <c r="JIZ58" s="101"/>
      <c r="JJA58" s="101"/>
      <c r="JJB58" s="101"/>
      <c r="JJC58" s="101"/>
      <c r="JJD58" s="101"/>
      <c r="JJE58" s="101"/>
      <c r="JJF58" s="101"/>
      <c r="JJG58" s="101"/>
      <c r="JJH58" s="101"/>
      <c r="JJI58" s="101"/>
      <c r="JJJ58" s="101"/>
      <c r="JJK58" s="101"/>
      <c r="JJL58" s="101"/>
      <c r="JJM58" s="101"/>
      <c r="JJN58" s="101"/>
      <c r="JJO58" s="101"/>
      <c r="JJP58" s="101"/>
      <c r="JJQ58" s="101"/>
      <c r="JJR58" s="101"/>
      <c r="JJS58" s="101"/>
      <c r="JJT58" s="101"/>
      <c r="JJU58" s="101"/>
      <c r="JJV58" s="101"/>
      <c r="JJW58" s="101"/>
      <c r="JJX58" s="101"/>
      <c r="JJY58" s="101"/>
      <c r="JJZ58" s="101"/>
      <c r="JKA58" s="101"/>
      <c r="JKB58" s="101"/>
      <c r="JKC58" s="101"/>
      <c r="JKD58" s="101"/>
      <c r="JKE58" s="101"/>
      <c r="JKF58" s="101"/>
      <c r="JKG58" s="101"/>
      <c r="JKH58" s="101"/>
      <c r="JKI58" s="101"/>
      <c r="JKJ58" s="101"/>
      <c r="JKK58" s="101"/>
      <c r="JKL58" s="101"/>
      <c r="JKM58" s="101"/>
      <c r="JKN58" s="101"/>
      <c r="JKO58" s="101"/>
      <c r="JKP58" s="101"/>
      <c r="JKQ58" s="101"/>
      <c r="JKR58" s="101"/>
      <c r="JKS58" s="101"/>
      <c r="JKT58" s="101"/>
      <c r="JKU58" s="101"/>
      <c r="JKV58" s="101"/>
      <c r="JKW58" s="101"/>
      <c r="JKX58" s="101"/>
      <c r="JKY58" s="101"/>
      <c r="JKZ58" s="101"/>
      <c r="JLA58" s="101"/>
      <c r="JLB58" s="101"/>
      <c r="JLC58" s="101"/>
      <c r="JLD58" s="101"/>
      <c r="JLE58" s="101"/>
      <c r="JLF58" s="101"/>
      <c r="JLG58" s="101"/>
      <c r="JLH58" s="101"/>
      <c r="JLI58" s="101"/>
      <c r="JLJ58" s="101"/>
      <c r="JLK58" s="101"/>
      <c r="JLL58" s="101"/>
      <c r="JLM58" s="101"/>
      <c r="JLN58" s="101"/>
      <c r="JLO58" s="101"/>
      <c r="JLP58" s="101"/>
      <c r="JLQ58" s="101"/>
      <c r="JLR58" s="101"/>
      <c r="JLS58" s="101"/>
      <c r="JLT58" s="101"/>
      <c r="JLU58" s="101"/>
      <c r="JLV58" s="101"/>
      <c r="JLW58" s="101"/>
      <c r="JLX58" s="101"/>
      <c r="JLY58" s="101"/>
      <c r="JLZ58" s="101"/>
      <c r="JMA58" s="101"/>
      <c r="JMB58" s="101"/>
      <c r="JMC58" s="101"/>
      <c r="JMD58" s="101"/>
      <c r="JME58" s="101"/>
      <c r="JMF58" s="101"/>
      <c r="JMG58" s="101"/>
      <c r="JMH58" s="101"/>
      <c r="JMI58" s="101"/>
      <c r="JMJ58" s="101"/>
      <c r="JMK58" s="101"/>
      <c r="JML58" s="101"/>
      <c r="JMM58" s="101"/>
      <c r="JMN58" s="101"/>
      <c r="JMO58" s="101"/>
      <c r="JMP58" s="101"/>
      <c r="JMQ58" s="101"/>
      <c r="JMR58" s="101"/>
      <c r="JMS58" s="101"/>
      <c r="JMT58" s="101"/>
      <c r="JMU58" s="101"/>
      <c r="JMV58" s="101"/>
      <c r="JMW58" s="101"/>
      <c r="JMX58" s="101"/>
      <c r="JMY58" s="101"/>
      <c r="JMZ58" s="101"/>
      <c r="JNA58" s="101"/>
      <c r="JNB58" s="101"/>
      <c r="JNC58" s="101"/>
      <c r="JND58" s="101"/>
      <c r="JNE58" s="101"/>
      <c r="JNF58" s="101"/>
      <c r="JNG58" s="101"/>
      <c r="JNH58" s="101"/>
      <c r="JNI58" s="101"/>
      <c r="JNJ58" s="101"/>
      <c r="JNK58" s="101"/>
      <c r="JNL58" s="101"/>
      <c r="JNM58" s="101"/>
      <c r="JNN58" s="101"/>
      <c r="JNO58" s="101"/>
      <c r="JNP58" s="101"/>
      <c r="JNQ58" s="101"/>
      <c r="JNR58" s="101"/>
      <c r="JNS58" s="101"/>
      <c r="JNT58" s="101"/>
      <c r="JNU58" s="101"/>
      <c r="JNV58" s="101"/>
      <c r="JNW58" s="101"/>
      <c r="JNX58" s="101"/>
      <c r="JNY58" s="101"/>
      <c r="JNZ58" s="101"/>
      <c r="JOA58" s="101"/>
      <c r="JOB58" s="101"/>
      <c r="JOC58" s="101"/>
      <c r="JOD58" s="101"/>
      <c r="JOE58" s="101"/>
      <c r="JOF58" s="101"/>
      <c r="JOG58" s="101"/>
      <c r="JOH58" s="101"/>
      <c r="JOI58" s="101"/>
      <c r="JOJ58" s="101"/>
      <c r="JOK58" s="101"/>
      <c r="JOL58" s="101"/>
      <c r="JOM58" s="101"/>
      <c r="JON58" s="101"/>
      <c r="JOO58" s="101"/>
      <c r="JOP58" s="101"/>
      <c r="JOQ58" s="101"/>
      <c r="JOR58" s="101"/>
      <c r="JOS58" s="101"/>
      <c r="JOT58" s="101"/>
      <c r="JOU58" s="101"/>
      <c r="JOV58" s="101"/>
      <c r="JOW58" s="101"/>
      <c r="JOX58" s="101"/>
      <c r="JOY58" s="101"/>
      <c r="JOZ58" s="101"/>
      <c r="JPA58" s="101"/>
      <c r="JPB58" s="101"/>
      <c r="JPC58" s="101"/>
      <c r="JPD58" s="101"/>
      <c r="JPE58" s="101"/>
      <c r="JPF58" s="101"/>
      <c r="JPG58" s="101"/>
      <c r="JPH58" s="101"/>
      <c r="JPI58" s="101"/>
      <c r="JPJ58" s="101"/>
      <c r="JPK58" s="101"/>
      <c r="JPL58" s="101"/>
      <c r="JPM58" s="101"/>
      <c r="JPN58" s="101"/>
      <c r="JPO58" s="101"/>
      <c r="JPP58" s="101"/>
      <c r="JPQ58" s="101"/>
      <c r="JPR58" s="101"/>
      <c r="JPS58" s="101"/>
      <c r="JPT58" s="101"/>
      <c r="JPU58" s="101"/>
      <c r="JPV58" s="101"/>
      <c r="JPW58" s="101"/>
      <c r="JPX58" s="101"/>
      <c r="JPY58" s="101"/>
      <c r="JPZ58" s="101"/>
      <c r="JQA58" s="101"/>
      <c r="JQB58" s="101"/>
      <c r="JQC58" s="101"/>
      <c r="JQD58" s="101"/>
      <c r="JQE58" s="101"/>
      <c r="JQF58" s="101"/>
      <c r="JQG58" s="101"/>
      <c r="JQH58" s="101"/>
      <c r="JQI58" s="101"/>
      <c r="JQJ58" s="101"/>
      <c r="JQK58" s="101"/>
      <c r="JQL58" s="101"/>
      <c r="JQM58" s="101"/>
      <c r="JQN58" s="101"/>
      <c r="JQO58" s="101"/>
      <c r="JQP58" s="101"/>
      <c r="JQQ58" s="101"/>
      <c r="JQR58" s="101"/>
      <c r="JQS58" s="101"/>
      <c r="JQT58" s="101"/>
      <c r="JQU58" s="101"/>
      <c r="JQV58" s="101"/>
      <c r="JQW58" s="101"/>
      <c r="JQX58" s="101"/>
      <c r="JQY58" s="101"/>
      <c r="JQZ58" s="101"/>
      <c r="JRA58" s="101"/>
      <c r="JRB58" s="101"/>
      <c r="JRC58" s="101"/>
      <c r="JRD58" s="101"/>
      <c r="JRE58" s="101"/>
      <c r="JRF58" s="101"/>
      <c r="JRG58" s="101"/>
      <c r="JRH58" s="101"/>
      <c r="JRI58" s="101"/>
      <c r="JRJ58" s="101"/>
      <c r="JRK58" s="101"/>
      <c r="JRL58" s="101"/>
      <c r="JRM58" s="101"/>
      <c r="JRN58" s="101"/>
      <c r="JRO58" s="101"/>
      <c r="JRP58" s="101"/>
      <c r="JRQ58" s="101"/>
      <c r="JRR58" s="101"/>
      <c r="JRS58" s="101"/>
      <c r="JRT58" s="101"/>
      <c r="JRU58" s="101"/>
      <c r="JRV58" s="101"/>
      <c r="JRW58" s="101"/>
      <c r="JRX58" s="101"/>
      <c r="JRY58" s="101"/>
      <c r="JRZ58" s="101"/>
      <c r="JSA58" s="101"/>
      <c r="JSB58" s="101"/>
      <c r="JSC58" s="101"/>
      <c r="JSD58" s="101"/>
      <c r="JSE58" s="101"/>
      <c r="JSF58" s="101"/>
      <c r="JSG58" s="101"/>
      <c r="JSH58" s="101"/>
      <c r="JSI58" s="101"/>
      <c r="JSJ58" s="101"/>
      <c r="JSK58" s="101"/>
      <c r="JSL58" s="101"/>
      <c r="JSM58" s="101"/>
      <c r="JSN58" s="101"/>
      <c r="JSO58" s="101"/>
      <c r="JSP58" s="101"/>
      <c r="JSQ58" s="101"/>
      <c r="JSR58" s="101"/>
      <c r="JSS58" s="101"/>
      <c r="JST58" s="101"/>
      <c r="JSU58" s="101"/>
      <c r="JSV58" s="101"/>
      <c r="JSW58" s="101"/>
      <c r="JSX58" s="101"/>
      <c r="JSY58" s="101"/>
      <c r="JSZ58" s="101"/>
      <c r="JTA58" s="101"/>
      <c r="JTB58" s="101"/>
      <c r="JTC58" s="101"/>
      <c r="JTD58" s="101"/>
      <c r="JTE58" s="101"/>
      <c r="JTF58" s="101"/>
      <c r="JTG58" s="101"/>
      <c r="JTH58" s="101"/>
      <c r="JTI58" s="101"/>
      <c r="JTJ58" s="101"/>
      <c r="JTK58" s="101"/>
      <c r="JTL58" s="101"/>
      <c r="JTM58" s="101"/>
      <c r="JTN58" s="101"/>
      <c r="JTO58" s="101"/>
      <c r="JTP58" s="101"/>
      <c r="JTQ58" s="101"/>
      <c r="JTR58" s="101"/>
      <c r="JTS58" s="101"/>
      <c r="JTT58" s="101"/>
      <c r="JTU58" s="101"/>
      <c r="JTV58" s="101"/>
      <c r="JTW58" s="101"/>
      <c r="JTX58" s="101"/>
      <c r="JTY58" s="101"/>
      <c r="JTZ58" s="101"/>
      <c r="JUA58" s="101"/>
      <c r="JUB58" s="101"/>
      <c r="JUC58" s="101"/>
      <c r="JUD58" s="101"/>
      <c r="JUE58" s="101"/>
      <c r="JUF58" s="101"/>
      <c r="JUG58" s="101"/>
      <c r="JUH58" s="101"/>
      <c r="JUI58" s="101"/>
      <c r="JUJ58" s="101"/>
      <c r="JUK58" s="101"/>
      <c r="JUL58" s="101"/>
      <c r="JUM58" s="101"/>
      <c r="JUN58" s="101"/>
      <c r="JUO58" s="101"/>
      <c r="JUP58" s="101"/>
      <c r="JUQ58" s="101"/>
      <c r="JUR58" s="101"/>
      <c r="JUS58" s="101"/>
      <c r="JUT58" s="101"/>
      <c r="JUU58" s="101"/>
      <c r="JUV58" s="101"/>
      <c r="JUW58" s="101"/>
      <c r="JUX58" s="101"/>
      <c r="JUY58" s="101"/>
      <c r="JUZ58" s="101"/>
      <c r="JVA58" s="101"/>
      <c r="JVB58" s="101"/>
      <c r="JVC58" s="101"/>
      <c r="JVD58" s="101"/>
      <c r="JVE58" s="101"/>
      <c r="JVF58" s="101"/>
      <c r="JVG58" s="101"/>
      <c r="JVH58" s="101"/>
      <c r="JVI58" s="101"/>
      <c r="JVJ58" s="101"/>
      <c r="JVK58" s="101"/>
      <c r="JVL58" s="101"/>
      <c r="JVM58" s="101"/>
      <c r="JVN58" s="101"/>
      <c r="JVO58" s="101"/>
      <c r="JVP58" s="101"/>
      <c r="JVQ58" s="101"/>
      <c r="JVR58" s="101"/>
      <c r="JVS58" s="101"/>
      <c r="JVT58" s="101"/>
      <c r="JVU58" s="101"/>
      <c r="JVV58" s="101"/>
      <c r="JVW58" s="101"/>
      <c r="JVX58" s="101"/>
      <c r="JVY58" s="101"/>
      <c r="JVZ58" s="101"/>
      <c r="JWA58" s="101"/>
      <c r="JWB58" s="101"/>
      <c r="JWC58" s="101"/>
      <c r="JWD58" s="101"/>
      <c r="JWE58" s="101"/>
      <c r="JWF58" s="101"/>
      <c r="JWG58" s="101"/>
      <c r="JWH58" s="101"/>
      <c r="JWI58" s="101"/>
      <c r="JWJ58" s="101"/>
      <c r="JWK58" s="101"/>
      <c r="JWL58" s="101"/>
      <c r="JWM58" s="101"/>
      <c r="JWN58" s="101"/>
      <c r="JWO58" s="101"/>
      <c r="JWP58" s="101"/>
      <c r="JWQ58" s="101"/>
      <c r="JWR58" s="101"/>
      <c r="JWS58" s="101"/>
      <c r="JWT58" s="101"/>
      <c r="JWU58" s="101"/>
      <c r="JWV58" s="101"/>
      <c r="JWW58" s="101"/>
      <c r="JWX58" s="101"/>
      <c r="JWY58" s="101"/>
      <c r="JWZ58" s="101"/>
      <c r="JXA58" s="101"/>
      <c r="JXB58" s="101"/>
      <c r="JXC58" s="101"/>
      <c r="JXD58" s="101"/>
      <c r="JXE58" s="101"/>
      <c r="JXF58" s="101"/>
      <c r="JXG58" s="101"/>
      <c r="JXH58" s="101"/>
      <c r="JXI58" s="101"/>
      <c r="JXJ58" s="101"/>
      <c r="JXK58" s="101"/>
      <c r="JXL58" s="101"/>
      <c r="JXM58" s="101"/>
      <c r="JXN58" s="101"/>
      <c r="JXO58" s="101"/>
      <c r="JXP58" s="101"/>
      <c r="JXQ58" s="101"/>
      <c r="JXR58" s="101"/>
      <c r="JXS58" s="101"/>
      <c r="JXT58" s="101"/>
      <c r="JXU58" s="101"/>
      <c r="JXV58" s="101"/>
      <c r="JXW58" s="101"/>
      <c r="JXX58" s="101"/>
      <c r="JXY58" s="101"/>
      <c r="JXZ58" s="101"/>
      <c r="JYA58" s="101"/>
      <c r="JYB58" s="101"/>
      <c r="JYC58" s="101"/>
      <c r="JYD58" s="101"/>
      <c r="JYE58" s="101"/>
      <c r="JYF58" s="101"/>
      <c r="JYG58" s="101"/>
      <c r="JYH58" s="101"/>
      <c r="JYI58" s="101"/>
      <c r="JYJ58" s="101"/>
      <c r="JYK58" s="101"/>
      <c r="JYL58" s="101"/>
      <c r="JYM58" s="101"/>
      <c r="JYN58" s="101"/>
      <c r="JYO58" s="101"/>
      <c r="JYP58" s="101"/>
      <c r="JYQ58" s="101"/>
      <c r="JYR58" s="101"/>
      <c r="JYS58" s="101"/>
      <c r="JYT58" s="101"/>
      <c r="JYU58" s="101"/>
      <c r="JYV58" s="101"/>
      <c r="JYW58" s="101"/>
      <c r="JYX58" s="101"/>
      <c r="JYY58" s="101"/>
      <c r="JYZ58" s="101"/>
      <c r="JZA58" s="101"/>
      <c r="JZB58" s="101"/>
      <c r="JZC58" s="101"/>
      <c r="JZD58" s="101"/>
      <c r="JZE58" s="101"/>
      <c r="JZF58" s="101"/>
      <c r="JZG58" s="101"/>
      <c r="JZH58" s="101"/>
      <c r="JZI58" s="101"/>
      <c r="JZJ58" s="101"/>
      <c r="JZK58" s="101"/>
      <c r="JZL58" s="101"/>
      <c r="JZM58" s="101"/>
      <c r="JZN58" s="101"/>
      <c r="JZO58" s="101"/>
      <c r="JZP58" s="101"/>
      <c r="JZQ58" s="101"/>
      <c r="JZR58" s="101"/>
      <c r="JZS58" s="101"/>
      <c r="JZT58" s="101"/>
      <c r="JZU58" s="101"/>
      <c r="JZV58" s="101"/>
      <c r="JZW58" s="101"/>
      <c r="JZX58" s="101"/>
      <c r="JZY58" s="101"/>
      <c r="JZZ58" s="101"/>
      <c r="KAA58" s="101"/>
      <c r="KAB58" s="101"/>
      <c r="KAC58" s="101"/>
      <c r="KAD58" s="101"/>
      <c r="KAE58" s="101"/>
      <c r="KAF58" s="101"/>
      <c r="KAG58" s="101"/>
      <c r="KAH58" s="101"/>
      <c r="KAI58" s="101"/>
      <c r="KAJ58" s="101"/>
      <c r="KAK58" s="101"/>
      <c r="KAL58" s="101"/>
      <c r="KAM58" s="101"/>
      <c r="KAN58" s="101"/>
      <c r="KAO58" s="101"/>
      <c r="KAP58" s="101"/>
      <c r="KAQ58" s="101"/>
      <c r="KAR58" s="101"/>
      <c r="KAS58" s="101"/>
      <c r="KAT58" s="101"/>
      <c r="KAU58" s="101"/>
      <c r="KAV58" s="101"/>
      <c r="KAW58" s="101"/>
      <c r="KAX58" s="101"/>
      <c r="KAY58" s="101"/>
      <c r="KAZ58" s="101"/>
      <c r="KBA58" s="101"/>
      <c r="KBB58" s="101"/>
      <c r="KBC58" s="101"/>
      <c r="KBD58" s="101"/>
      <c r="KBE58" s="101"/>
      <c r="KBF58" s="101"/>
      <c r="KBG58" s="101"/>
      <c r="KBH58" s="101"/>
      <c r="KBI58" s="101"/>
      <c r="KBJ58" s="101"/>
      <c r="KBK58" s="101"/>
      <c r="KBL58" s="101"/>
      <c r="KBM58" s="101"/>
      <c r="KBN58" s="101"/>
      <c r="KBO58" s="101"/>
      <c r="KBP58" s="101"/>
      <c r="KBQ58" s="101"/>
      <c r="KBR58" s="101"/>
      <c r="KBS58" s="101"/>
      <c r="KBT58" s="101"/>
      <c r="KBU58" s="101"/>
      <c r="KBV58" s="101"/>
      <c r="KBW58" s="101"/>
      <c r="KBX58" s="101"/>
      <c r="KBY58" s="101"/>
      <c r="KBZ58" s="101"/>
      <c r="KCA58" s="101"/>
      <c r="KCB58" s="101"/>
      <c r="KCC58" s="101"/>
      <c r="KCD58" s="101"/>
      <c r="KCE58" s="101"/>
      <c r="KCF58" s="101"/>
      <c r="KCG58" s="101"/>
      <c r="KCH58" s="101"/>
      <c r="KCI58" s="101"/>
      <c r="KCJ58" s="101"/>
      <c r="KCK58" s="101"/>
      <c r="KCL58" s="101"/>
      <c r="KCM58" s="101"/>
      <c r="KCN58" s="101"/>
      <c r="KCO58" s="101"/>
      <c r="KCP58" s="101"/>
      <c r="KCQ58" s="101"/>
      <c r="KCR58" s="101"/>
      <c r="KCS58" s="101"/>
      <c r="KCT58" s="101"/>
      <c r="KCU58" s="101"/>
      <c r="KCV58" s="101"/>
      <c r="KCW58" s="101"/>
      <c r="KCX58" s="101"/>
      <c r="KCY58" s="101"/>
      <c r="KCZ58" s="101"/>
      <c r="KDA58" s="101"/>
      <c r="KDB58" s="101"/>
      <c r="KDC58" s="101"/>
      <c r="KDD58" s="101"/>
      <c r="KDE58" s="101"/>
      <c r="KDF58" s="101"/>
      <c r="KDG58" s="101"/>
      <c r="KDH58" s="101"/>
      <c r="KDI58" s="101"/>
      <c r="KDJ58" s="101"/>
      <c r="KDK58" s="101"/>
      <c r="KDL58" s="101"/>
      <c r="KDM58" s="101"/>
      <c r="KDN58" s="101"/>
      <c r="KDO58" s="101"/>
      <c r="KDP58" s="101"/>
      <c r="KDQ58" s="101"/>
      <c r="KDR58" s="101"/>
      <c r="KDS58" s="101"/>
      <c r="KDT58" s="101"/>
      <c r="KDU58" s="101"/>
      <c r="KDV58" s="101"/>
      <c r="KDW58" s="101"/>
      <c r="KDX58" s="101"/>
      <c r="KDY58" s="101"/>
      <c r="KDZ58" s="101"/>
      <c r="KEA58" s="101"/>
      <c r="KEB58" s="101"/>
      <c r="KEC58" s="101"/>
      <c r="KED58" s="101"/>
      <c r="KEE58" s="101"/>
      <c r="KEF58" s="101"/>
      <c r="KEG58" s="101"/>
      <c r="KEH58" s="101"/>
      <c r="KEI58" s="101"/>
      <c r="KEJ58" s="101"/>
      <c r="KEK58" s="101"/>
      <c r="KEL58" s="101"/>
      <c r="KEM58" s="101"/>
      <c r="KEN58" s="101"/>
      <c r="KEO58" s="101"/>
      <c r="KEP58" s="101"/>
      <c r="KEQ58" s="101"/>
      <c r="KER58" s="101"/>
      <c r="KES58" s="101"/>
      <c r="KET58" s="101"/>
      <c r="KEU58" s="101"/>
      <c r="KEV58" s="101"/>
      <c r="KEW58" s="101"/>
      <c r="KEX58" s="101"/>
      <c r="KEY58" s="101"/>
      <c r="KEZ58" s="101"/>
      <c r="KFA58" s="101"/>
      <c r="KFB58" s="101"/>
      <c r="KFC58" s="101"/>
      <c r="KFD58" s="101"/>
      <c r="KFE58" s="101"/>
      <c r="KFF58" s="101"/>
      <c r="KFG58" s="101"/>
      <c r="KFH58" s="101"/>
      <c r="KFI58" s="101"/>
      <c r="KFJ58" s="101"/>
      <c r="KFK58" s="101"/>
      <c r="KFL58" s="101"/>
      <c r="KFM58" s="101"/>
      <c r="KFN58" s="101"/>
      <c r="KFO58" s="101"/>
      <c r="KFP58" s="101"/>
      <c r="KFQ58" s="101"/>
      <c r="KFR58" s="101"/>
      <c r="KFS58" s="101"/>
      <c r="KFT58" s="101"/>
      <c r="KFU58" s="101"/>
      <c r="KFV58" s="101"/>
      <c r="KFW58" s="101"/>
      <c r="KFX58" s="101"/>
      <c r="KFY58" s="101"/>
      <c r="KFZ58" s="101"/>
      <c r="KGA58" s="101"/>
      <c r="KGB58" s="101"/>
      <c r="KGC58" s="101"/>
      <c r="KGD58" s="101"/>
      <c r="KGE58" s="101"/>
      <c r="KGF58" s="101"/>
      <c r="KGG58" s="101"/>
      <c r="KGH58" s="101"/>
      <c r="KGI58" s="101"/>
      <c r="KGJ58" s="101"/>
      <c r="KGK58" s="101"/>
      <c r="KGL58" s="101"/>
      <c r="KGM58" s="101"/>
      <c r="KGN58" s="101"/>
      <c r="KGO58" s="101"/>
      <c r="KGP58" s="101"/>
      <c r="KGQ58" s="101"/>
      <c r="KGR58" s="101"/>
      <c r="KGS58" s="101"/>
      <c r="KGT58" s="101"/>
      <c r="KGU58" s="101"/>
      <c r="KGV58" s="101"/>
      <c r="KGW58" s="101"/>
      <c r="KGX58" s="101"/>
      <c r="KGY58" s="101"/>
      <c r="KGZ58" s="101"/>
      <c r="KHA58" s="101"/>
      <c r="KHB58" s="101"/>
      <c r="KHC58" s="101"/>
      <c r="KHD58" s="101"/>
      <c r="KHE58" s="101"/>
      <c r="KHF58" s="101"/>
      <c r="KHG58" s="101"/>
      <c r="KHH58" s="101"/>
      <c r="KHI58" s="101"/>
      <c r="KHJ58" s="101"/>
      <c r="KHK58" s="101"/>
      <c r="KHL58" s="101"/>
      <c r="KHM58" s="101"/>
      <c r="KHN58" s="101"/>
      <c r="KHO58" s="101"/>
      <c r="KHP58" s="101"/>
      <c r="KHQ58" s="101"/>
      <c r="KHR58" s="101"/>
      <c r="KHS58" s="101"/>
      <c r="KHT58" s="101"/>
      <c r="KHU58" s="101"/>
      <c r="KHV58" s="101"/>
      <c r="KHW58" s="101"/>
      <c r="KHX58" s="101"/>
      <c r="KHY58" s="101"/>
      <c r="KHZ58" s="101"/>
      <c r="KIA58" s="101"/>
      <c r="KIB58" s="101"/>
      <c r="KIC58" s="101"/>
      <c r="KID58" s="101"/>
      <c r="KIE58" s="101"/>
      <c r="KIF58" s="101"/>
      <c r="KIG58" s="101"/>
      <c r="KIH58" s="101"/>
      <c r="KII58" s="101"/>
      <c r="KIJ58" s="101"/>
      <c r="KIK58" s="101"/>
      <c r="KIL58" s="101"/>
      <c r="KIM58" s="101"/>
      <c r="KIN58" s="101"/>
      <c r="KIO58" s="101"/>
      <c r="KIP58" s="101"/>
      <c r="KIQ58" s="101"/>
      <c r="KIR58" s="101"/>
      <c r="KIS58" s="101"/>
      <c r="KIT58" s="101"/>
      <c r="KIU58" s="101"/>
      <c r="KIV58" s="101"/>
      <c r="KIW58" s="101"/>
      <c r="KIX58" s="101"/>
      <c r="KIY58" s="101"/>
      <c r="KIZ58" s="101"/>
      <c r="KJA58" s="101"/>
      <c r="KJB58" s="101"/>
      <c r="KJC58" s="101"/>
      <c r="KJD58" s="101"/>
      <c r="KJE58" s="101"/>
      <c r="KJF58" s="101"/>
      <c r="KJG58" s="101"/>
      <c r="KJH58" s="101"/>
      <c r="KJI58" s="101"/>
      <c r="KJJ58" s="101"/>
      <c r="KJK58" s="101"/>
      <c r="KJL58" s="101"/>
      <c r="KJM58" s="101"/>
      <c r="KJN58" s="101"/>
      <c r="KJO58" s="101"/>
      <c r="KJP58" s="101"/>
      <c r="KJQ58" s="101"/>
      <c r="KJR58" s="101"/>
      <c r="KJS58" s="101"/>
      <c r="KJT58" s="101"/>
      <c r="KJU58" s="101"/>
      <c r="KJV58" s="101"/>
      <c r="KJW58" s="101"/>
      <c r="KJX58" s="101"/>
      <c r="KJY58" s="101"/>
      <c r="KJZ58" s="101"/>
      <c r="KKA58" s="101"/>
      <c r="KKB58" s="101"/>
      <c r="KKC58" s="101"/>
      <c r="KKD58" s="101"/>
      <c r="KKE58" s="101"/>
      <c r="KKF58" s="101"/>
      <c r="KKG58" s="101"/>
      <c r="KKH58" s="101"/>
      <c r="KKI58" s="101"/>
      <c r="KKJ58" s="101"/>
      <c r="KKK58" s="101"/>
      <c r="KKL58" s="101"/>
      <c r="KKM58" s="101"/>
      <c r="KKN58" s="101"/>
      <c r="KKO58" s="101"/>
      <c r="KKP58" s="101"/>
      <c r="KKQ58" s="101"/>
      <c r="KKR58" s="101"/>
      <c r="KKS58" s="101"/>
      <c r="KKT58" s="101"/>
      <c r="KKU58" s="101"/>
      <c r="KKV58" s="101"/>
      <c r="KKW58" s="101"/>
      <c r="KKX58" s="101"/>
      <c r="KKY58" s="101"/>
      <c r="KKZ58" s="101"/>
      <c r="KLA58" s="101"/>
      <c r="KLB58" s="101"/>
      <c r="KLC58" s="101"/>
      <c r="KLD58" s="101"/>
      <c r="KLE58" s="101"/>
      <c r="KLF58" s="101"/>
      <c r="KLG58" s="101"/>
      <c r="KLH58" s="101"/>
      <c r="KLI58" s="101"/>
      <c r="KLJ58" s="101"/>
      <c r="KLK58" s="101"/>
      <c r="KLL58" s="101"/>
      <c r="KLM58" s="101"/>
      <c r="KLN58" s="101"/>
      <c r="KLO58" s="101"/>
      <c r="KLP58" s="101"/>
      <c r="KLQ58" s="101"/>
      <c r="KLR58" s="101"/>
      <c r="KLS58" s="101"/>
      <c r="KLT58" s="101"/>
      <c r="KLU58" s="101"/>
      <c r="KLV58" s="101"/>
      <c r="KLW58" s="101"/>
      <c r="KLX58" s="101"/>
      <c r="KLY58" s="101"/>
      <c r="KLZ58" s="101"/>
      <c r="KMA58" s="101"/>
      <c r="KMB58" s="101"/>
      <c r="KMC58" s="101"/>
      <c r="KMD58" s="101"/>
      <c r="KME58" s="101"/>
      <c r="KMF58" s="101"/>
      <c r="KMG58" s="101"/>
      <c r="KMH58" s="101"/>
      <c r="KMI58" s="101"/>
      <c r="KMJ58" s="101"/>
      <c r="KMK58" s="101"/>
      <c r="KML58" s="101"/>
      <c r="KMM58" s="101"/>
      <c r="KMN58" s="101"/>
      <c r="KMO58" s="101"/>
      <c r="KMP58" s="101"/>
      <c r="KMQ58" s="101"/>
      <c r="KMR58" s="101"/>
      <c r="KMS58" s="101"/>
      <c r="KMT58" s="101"/>
      <c r="KMU58" s="101"/>
      <c r="KMV58" s="101"/>
      <c r="KMW58" s="101"/>
      <c r="KMX58" s="101"/>
      <c r="KMY58" s="101"/>
      <c r="KMZ58" s="101"/>
      <c r="KNA58" s="101"/>
      <c r="KNB58" s="101"/>
      <c r="KNC58" s="101"/>
      <c r="KND58" s="101"/>
      <c r="KNE58" s="101"/>
      <c r="KNF58" s="101"/>
      <c r="KNG58" s="101"/>
      <c r="KNH58" s="101"/>
      <c r="KNI58" s="101"/>
      <c r="KNJ58" s="101"/>
      <c r="KNK58" s="101"/>
      <c r="KNL58" s="101"/>
      <c r="KNM58" s="101"/>
      <c r="KNN58" s="101"/>
      <c r="KNO58" s="101"/>
      <c r="KNP58" s="101"/>
      <c r="KNQ58" s="101"/>
      <c r="KNR58" s="101"/>
      <c r="KNS58" s="101"/>
      <c r="KNT58" s="101"/>
      <c r="KNU58" s="101"/>
      <c r="KNV58" s="101"/>
      <c r="KNW58" s="101"/>
      <c r="KNX58" s="101"/>
      <c r="KNY58" s="101"/>
      <c r="KNZ58" s="101"/>
      <c r="KOA58" s="101"/>
      <c r="KOB58" s="101"/>
      <c r="KOC58" s="101"/>
      <c r="KOD58" s="101"/>
      <c r="KOE58" s="101"/>
      <c r="KOF58" s="101"/>
      <c r="KOG58" s="101"/>
      <c r="KOH58" s="101"/>
      <c r="KOI58" s="101"/>
      <c r="KOJ58" s="101"/>
      <c r="KOK58" s="101"/>
      <c r="KOL58" s="101"/>
      <c r="KOM58" s="101"/>
      <c r="KON58" s="101"/>
      <c r="KOO58" s="101"/>
      <c r="KOP58" s="101"/>
      <c r="KOQ58" s="101"/>
      <c r="KOR58" s="101"/>
      <c r="KOS58" s="101"/>
      <c r="KOT58" s="101"/>
      <c r="KOU58" s="101"/>
      <c r="KOV58" s="101"/>
      <c r="KOW58" s="101"/>
      <c r="KOX58" s="101"/>
      <c r="KOY58" s="101"/>
      <c r="KOZ58" s="101"/>
      <c r="KPA58" s="101"/>
      <c r="KPB58" s="101"/>
      <c r="KPC58" s="101"/>
      <c r="KPD58" s="101"/>
      <c r="KPE58" s="101"/>
      <c r="KPF58" s="101"/>
      <c r="KPG58" s="101"/>
      <c r="KPH58" s="101"/>
      <c r="KPI58" s="101"/>
      <c r="KPJ58" s="101"/>
      <c r="KPK58" s="101"/>
      <c r="KPL58" s="101"/>
      <c r="KPM58" s="101"/>
      <c r="KPN58" s="101"/>
      <c r="KPO58" s="101"/>
      <c r="KPP58" s="101"/>
      <c r="KPQ58" s="101"/>
      <c r="KPR58" s="101"/>
      <c r="KPS58" s="101"/>
      <c r="KPT58" s="101"/>
      <c r="KPU58" s="101"/>
      <c r="KPV58" s="101"/>
      <c r="KPW58" s="101"/>
      <c r="KPX58" s="101"/>
      <c r="KPY58" s="101"/>
      <c r="KPZ58" s="101"/>
      <c r="KQA58" s="101"/>
      <c r="KQB58" s="101"/>
      <c r="KQC58" s="101"/>
      <c r="KQD58" s="101"/>
      <c r="KQE58" s="101"/>
      <c r="KQF58" s="101"/>
      <c r="KQG58" s="101"/>
      <c r="KQH58" s="101"/>
      <c r="KQI58" s="101"/>
      <c r="KQJ58" s="101"/>
      <c r="KQK58" s="101"/>
      <c r="KQL58" s="101"/>
      <c r="KQM58" s="101"/>
      <c r="KQN58" s="101"/>
      <c r="KQO58" s="101"/>
      <c r="KQP58" s="101"/>
      <c r="KQQ58" s="101"/>
      <c r="KQR58" s="101"/>
      <c r="KQS58" s="101"/>
      <c r="KQT58" s="101"/>
      <c r="KQU58" s="101"/>
      <c r="KQV58" s="101"/>
      <c r="KQW58" s="101"/>
      <c r="KQX58" s="101"/>
      <c r="KQY58" s="101"/>
      <c r="KQZ58" s="101"/>
      <c r="KRA58" s="101"/>
      <c r="KRB58" s="101"/>
      <c r="KRC58" s="101"/>
      <c r="KRD58" s="101"/>
      <c r="KRE58" s="101"/>
      <c r="KRF58" s="101"/>
      <c r="KRG58" s="101"/>
      <c r="KRH58" s="101"/>
      <c r="KRI58" s="101"/>
      <c r="KRJ58" s="101"/>
      <c r="KRK58" s="101"/>
      <c r="KRL58" s="101"/>
      <c r="KRM58" s="101"/>
      <c r="KRN58" s="101"/>
      <c r="KRO58" s="101"/>
      <c r="KRP58" s="101"/>
      <c r="KRQ58" s="101"/>
      <c r="KRR58" s="101"/>
      <c r="KRS58" s="101"/>
      <c r="KRT58" s="101"/>
      <c r="KRU58" s="101"/>
      <c r="KRV58" s="101"/>
      <c r="KRW58" s="101"/>
      <c r="KRX58" s="101"/>
      <c r="KRY58" s="101"/>
      <c r="KRZ58" s="101"/>
      <c r="KSA58" s="101"/>
      <c r="KSB58" s="101"/>
      <c r="KSC58" s="101"/>
      <c r="KSD58" s="101"/>
      <c r="KSE58" s="101"/>
      <c r="KSF58" s="101"/>
      <c r="KSG58" s="101"/>
      <c r="KSH58" s="101"/>
      <c r="KSI58" s="101"/>
      <c r="KSJ58" s="101"/>
      <c r="KSK58" s="101"/>
      <c r="KSL58" s="101"/>
      <c r="KSM58" s="101"/>
      <c r="KSN58" s="101"/>
      <c r="KSO58" s="101"/>
      <c r="KSP58" s="101"/>
      <c r="KSQ58" s="101"/>
      <c r="KSR58" s="101"/>
      <c r="KSS58" s="101"/>
      <c r="KST58" s="101"/>
      <c r="KSU58" s="101"/>
      <c r="KSV58" s="101"/>
      <c r="KSW58" s="101"/>
      <c r="KSX58" s="101"/>
      <c r="KSY58" s="101"/>
      <c r="KSZ58" s="101"/>
      <c r="KTA58" s="101"/>
      <c r="KTB58" s="101"/>
      <c r="KTC58" s="101"/>
      <c r="KTD58" s="101"/>
      <c r="KTE58" s="101"/>
      <c r="KTF58" s="101"/>
      <c r="KTG58" s="101"/>
      <c r="KTH58" s="101"/>
      <c r="KTI58" s="101"/>
      <c r="KTJ58" s="101"/>
      <c r="KTK58" s="101"/>
      <c r="KTL58" s="101"/>
      <c r="KTM58" s="101"/>
      <c r="KTN58" s="101"/>
      <c r="KTO58" s="101"/>
      <c r="KTP58" s="101"/>
      <c r="KTQ58" s="101"/>
      <c r="KTR58" s="101"/>
      <c r="KTS58" s="101"/>
      <c r="KTT58" s="101"/>
      <c r="KTU58" s="101"/>
      <c r="KTV58" s="101"/>
      <c r="KTW58" s="101"/>
      <c r="KTX58" s="101"/>
      <c r="KTY58" s="101"/>
      <c r="KTZ58" s="101"/>
      <c r="KUA58" s="101"/>
      <c r="KUB58" s="101"/>
      <c r="KUC58" s="101"/>
      <c r="KUD58" s="101"/>
      <c r="KUE58" s="101"/>
      <c r="KUF58" s="101"/>
      <c r="KUG58" s="101"/>
      <c r="KUH58" s="101"/>
      <c r="KUI58" s="101"/>
      <c r="KUJ58" s="101"/>
      <c r="KUK58" s="101"/>
      <c r="KUL58" s="101"/>
      <c r="KUM58" s="101"/>
      <c r="KUN58" s="101"/>
      <c r="KUO58" s="101"/>
      <c r="KUP58" s="101"/>
      <c r="KUQ58" s="101"/>
      <c r="KUR58" s="101"/>
      <c r="KUS58" s="101"/>
      <c r="KUT58" s="101"/>
      <c r="KUU58" s="101"/>
      <c r="KUV58" s="101"/>
      <c r="KUW58" s="101"/>
      <c r="KUX58" s="101"/>
      <c r="KUY58" s="101"/>
      <c r="KUZ58" s="101"/>
      <c r="KVA58" s="101"/>
      <c r="KVB58" s="101"/>
      <c r="KVC58" s="101"/>
      <c r="KVD58" s="101"/>
      <c r="KVE58" s="101"/>
      <c r="KVF58" s="101"/>
      <c r="KVG58" s="101"/>
      <c r="KVH58" s="101"/>
      <c r="KVI58" s="101"/>
      <c r="KVJ58" s="101"/>
      <c r="KVK58" s="101"/>
      <c r="KVL58" s="101"/>
      <c r="KVM58" s="101"/>
      <c r="KVN58" s="101"/>
      <c r="KVO58" s="101"/>
      <c r="KVP58" s="101"/>
      <c r="KVQ58" s="101"/>
      <c r="KVR58" s="101"/>
      <c r="KVS58" s="101"/>
      <c r="KVT58" s="101"/>
      <c r="KVU58" s="101"/>
      <c r="KVV58" s="101"/>
      <c r="KVW58" s="101"/>
      <c r="KVX58" s="101"/>
      <c r="KVY58" s="101"/>
      <c r="KVZ58" s="101"/>
      <c r="KWA58" s="101"/>
      <c r="KWB58" s="101"/>
      <c r="KWC58" s="101"/>
      <c r="KWD58" s="101"/>
      <c r="KWE58" s="101"/>
      <c r="KWF58" s="101"/>
      <c r="KWG58" s="101"/>
      <c r="KWH58" s="101"/>
      <c r="KWI58" s="101"/>
      <c r="KWJ58" s="101"/>
      <c r="KWK58" s="101"/>
      <c r="KWL58" s="101"/>
      <c r="KWM58" s="101"/>
      <c r="KWN58" s="101"/>
      <c r="KWO58" s="101"/>
      <c r="KWP58" s="101"/>
      <c r="KWQ58" s="101"/>
      <c r="KWR58" s="101"/>
      <c r="KWS58" s="101"/>
      <c r="KWT58" s="101"/>
      <c r="KWU58" s="101"/>
      <c r="KWV58" s="101"/>
      <c r="KWW58" s="101"/>
      <c r="KWX58" s="101"/>
      <c r="KWY58" s="101"/>
      <c r="KWZ58" s="101"/>
      <c r="KXA58" s="101"/>
      <c r="KXB58" s="101"/>
      <c r="KXC58" s="101"/>
      <c r="KXD58" s="101"/>
      <c r="KXE58" s="101"/>
      <c r="KXF58" s="101"/>
      <c r="KXG58" s="101"/>
      <c r="KXH58" s="101"/>
      <c r="KXI58" s="101"/>
      <c r="KXJ58" s="101"/>
      <c r="KXK58" s="101"/>
      <c r="KXL58" s="101"/>
      <c r="KXM58" s="101"/>
      <c r="KXN58" s="101"/>
      <c r="KXO58" s="101"/>
      <c r="KXP58" s="101"/>
      <c r="KXQ58" s="101"/>
      <c r="KXR58" s="101"/>
      <c r="KXS58" s="101"/>
      <c r="KXT58" s="101"/>
      <c r="KXU58" s="101"/>
      <c r="KXV58" s="101"/>
      <c r="KXW58" s="101"/>
      <c r="KXX58" s="101"/>
      <c r="KXY58" s="101"/>
      <c r="KXZ58" s="101"/>
      <c r="KYA58" s="101"/>
      <c r="KYB58" s="101"/>
      <c r="KYC58" s="101"/>
      <c r="KYD58" s="101"/>
      <c r="KYE58" s="101"/>
      <c r="KYF58" s="101"/>
      <c r="KYG58" s="101"/>
      <c r="KYH58" s="101"/>
      <c r="KYI58" s="101"/>
      <c r="KYJ58" s="101"/>
      <c r="KYK58" s="101"/>
      <c r="KYL58" s="101"/>
      <c r="KYM58" s="101"/>
      <c r="KYN58" s="101"/>
      <c r="KYO58" s="101"/>
      <c r="KYP58" s="101"/>
      <c r="KYQ58" s="101"/>
      <c r="KYR58" s="101"/>
      <c r="KYS58" s="101"/>
      <c r="KYT58" s="101"/>
      <c r="KYU58" s="101"/>
      <c r="KYV58" s="101"/>
      <c r="KYW58" s="101"/>
      <c r="KYX58" s="101"/>
      <c r="KYY58" s="101"/>
      <c r="KYZ58" s="101"/>
      <c r="KZA58" s="101"/>
      <c r="KZB58" s="101"/>
      <c r="KZC58" s="101"/>
      <c r="KZD58" s="101"/>
      <c r="KZE58" s="101"/>
      <c r="KZF58" s="101"/>
      <c r="KZG58" s="101"/>
      <c r="KZH58" s="101"/>
      <c r="KZI58" s="101"/>
      <c r="KZJ58" s="101"/>
      <c r="KZK58" s="101"/>
      <c r="KZL58" s="101"/>
      <c r="KZM58" s="101"/>
      <c r="KZN58" s="101"/>
      <c r="KZO58" s="101"/>
      <c r="KZP58" s="101"/>
      <c r="KZQ58" s="101"/>
      <c r="KZR58" s="101"/>
      <c r="KZS58" s="101"/>
      <c r="KZT58" s="101"/>
      <c r="KZU58" s="101"/>
      <c r="KZV58" s="101"/>
      <c r="KZW58" s="101"/>
      <c r="KZX58" s="101"/>
      <c r="KZY58" s="101"/>
      <c r="KZZ58" s="101"/>
      <c r="LAA58" s="101"/>
      <c r="LAB58" s="101"/>
      <c r="LAC58" s="101"/>
      <c r="LAD58" s="101"/>
      <c r="LAE58" s="101"/>
      <c r="LAF58" s="101"/>
      <c r="LAG58" s="101"/>
      <c r="LAH58" s="101"/>
      <c r="LAI58" s="101"/>
      <c r="LAJ58" s="101"/>
      <c r="LAK58" s="101"/>
      <c r="LAL58" s="101"/>
      <c r="LAM58" s="101"/>
      <c r="LAN58" s="101"/>
      <c r="LAO58" s="101"/>
      <c r="LAP58" s="101"/>
      <c r="LAQ58" s="101"/>
      <c r="LAR58" s="101"/>
      <c r="LAS58" s="101"/>
      <c r="LAT58" s="101"/>
      <c r="LAU58" s="101"/>
      <c r="LAV58" s="101"/>
      <c r="LAW58" s="101"/>
      <c r="LAX58" s="101"/>
      <c r="LAY58" s="101"/>
      <c r="LAZ58" s="101"/>
      <c r="LBA58" s="101"/>
      <c r="LBB58" s="101"/>
      <c r="LBC58" s="101"/>
      <c r="LBD58" s="101"/>
      <c r="LBE58" s="101"/>
      <c r="LBF58" s="101"/>
      <c r="LBG58" s="101"/>
      <c r="LBH58" s="101"/>
      <c r="LBI58" s="101"/>
      <c r="LBJ58" s="101"/>
      <c r="LBK58" s="101"/>
      <c r="LBL58" s="101"/>
      <c r="LBM58" s="101"/>
      <c r="LBN58" s="101"/>
      <c r="LBO58" s="101"/>
      <c r="LBP58" s="101"/>
      <c r="LBQ58" s="101"/>
      <c r="LBR58" s="101"/>
      <c r="LBS58" s="101"/>
      <c r="LBT58" s="101"/>
      <c r="LBU58" s="101"/>
      <c r="LBV58" s="101"/>
      <c r="LBW58" s="101"/>
      <c r="LBX58" s="101"/>
      <c r="LBY58" s="101"/>
      <c r="LBZ58" s="101"/>
      <c r="LCA58" s="101"/>
      <c r="LCB58" s="101"/>
      <c r="LCC58" s="101"/>
      <c r="LCD58" s="101"/>
      <c r="LCE58" s="101"/>
      <c r="LCF58" s="101"/>
      <c r="LCG58" s="101"/>
      <c r="LCH58" s="101"/>
      <c r="LCI58" s="101"/>
      <c r="LCJ58" s="101"/>
      <c r="LCK58" s="101"/>
      <c r="LCL58" s="101"/>
      <c r="LCM58" s="101"/>
      <c r="LCN58" s="101"/>
      <c r="LCO58" s="101"/>
      <c r="LCP58" s="101"/>
      <c r="LCQ58" s="101"/>
      <c r="LCR58" s="101"/>
      <c r="LCS58" s="101"/>
      <c r="LCT58" s="101"/>
      <c r="LCU58" s="101"/>
      <c r="LCV58" s="101"/>
      <c r="LCW58" s="101"/>
      <c r="LCX58" s="101"/>
      <c r="LCY58" s="101"/>
      <c r="LCZ58" s="101"/>
      <c r="LDA58" s="101"/>
      <c r="LDB58" s="101"/>
      <c r="LDC58" s="101"/>
      <c r="LDD58" s="101"/>
      <c r="LDE58" s="101"/>
      <c r="LDF58" s="101"/>
      <c r="LDG58" s="101"/>
      <c r="LDH58" s="101"/>
      <c r="LDI58" s="101"/>
      <c r="LDJ58" s="101"/>
      <c r="LDK58" s="101"/>
      <c r="LDL58" s="101"/>
      <c r="LDM58" s="101"/>
      <c r="LDN58" s="101"/>
      <c r="LDO58" s="101"/>
      <c r="LDP58" s="101"/>
      <c r="LDQ58" s="101"/>
      <c r="LDR58" s="101"/>
      <c r="LDS58" s="101"/>
      <c r="LDT58" s="101"/>
      <c r="LDU58" s="101"/>
      <c r="LDV58" s="101"/>
      <c r="LDW58" s="101"/>
      <c r="LDX58" s="101"/>
      <c r="LDY58" s="101"/>
      <c r="LDZ58" s="101"/>
      <c r="LEA58" s="101"/>
      <c r="LEB58" s="101"/>
      <c r="LEC58" s="101"/>
      <c r="LED58" s="101"/>
      <c r="LEE58" s="101"/>
      <c r="LEF58" s="101"/>
      <c r="LEG58" s="101"/>
      <c r="LEH58" s="101"/>
      <c r="LEI58" s="101"/>
      <c r="LEJ58" s="101"/>
      <c r="LEK58" s="101"/>
      <c r="LEL58" s="101"/>
      <c r="LEM58" s="101"/>
      <c r="LEN58" s="101"/>
      <c r="LEO58" s="101"/>
      <c r="LEP58" s="101"/>
      <c r="LEQ58" s="101"/>
      <c r="LER58" s="101"/>
      <c r="LES58" s="101"/>
      <c r="LET58" s="101"/>
      <c r="LEU58" s="101"/>
      <c r="LEV58" s="101"/>
      <c r="LEW58" s="101"/>
      <c r="LEX58" s="101"/>
      <c r="LEY58" s="101"/>
      <c r="LEZ58" s="101"/>
      <c r="LFA58" s="101"/>
      <c r="LFB58" s="101"/>
      <c r="LFC58" s="101"/>
      <c r="LFD58" s="101"/>
      <c r="LFE58" s="101"/>
      <c r="LFF58" s="101"/>
      <c r="LFG58" s="101"/>
      <c r="LFH58" s="101"/>
      <c r="LFI58" s="101"/>
      <c r="LFJ58" s="101"/>
      <c r="LFK58" s="101"/>
      <c r="LFL58" s="101"/>
      <c r="LFM58" s="101"/>
      <c r="LFN58" s="101"/>
      <c r="LFO58" s="101"/>
      <c r="LFP58" s="101"/>
      <c r="LFQ58" s="101"/>
      <c r="LFR58" s="101"/>
      <c r="LFS58" s="101"/>
      <c r="LFT58" s="101"/>
      <c r="LFU58" s="101"/>
      <c r="LFV58" s="101"/>
      <c r="LFW58" s="101"/>
      <c r="LFX58" s="101"/>
      <c r="LFY58" s="101"/>
      <c r="LFZ58" s="101"/>
      <c r="LGA58" s="101"/>
      <c r="LGB58" s="101"/>
      <c r="LGC58" s="101"/>
      <c r="LGD58" s="101"/>
      <c r="LGE58" s="101"/>
      <c r="LGF58" s="101"/>
      <c r="LGG58" s="101"/>
      <c r="LGH58" s="101"/>
      <c r="LGI58" s="101"/>
      <c r="LGJ58" s="101"/>
      <c r="LGK58" s="101"/>
      <c r="LGL58" s="101"/>
      <c r="LGM58" s="101"/>
      <c r="LGN58" s="101"/>
      <c r="LGO58" s="101"/>
      <c r="LGP58" s="101"/>
      <c r="LGQ58" s="101"/>
      <c r="LGR58" s="101"/>
      <c r="LGS58" s="101"/>
      <c r="LGT58" s="101"/>
      <c r="LGU58" s="101"/>
      <c r="LGV58" s="101"/>
      <c r="LGW58" s="101"/>
      <c r="LGX58" s="101"/>
      <c r="LGY58" s="101"/>
      <c r="LGZ58" s="101"/>
      <c r="LHA58" s="101"/>
      <c r="LHB58" s="101"/>
      <c r="LHC58" s="101"/>
      <c r="LHD58" s="101"/>
      <c r="LHE58" s="101"/>
      <c r="LHF58" s="101"/>
      <c r="LHG58" s="101"/>
      <c r="LHH58" s="101"/>
      <c r="LHI58" s="101"/>
      <c r="LHJ58" s="101"/>
      <c r="LHK58" s="101"/>
      <c r="LHL58" s="101"/>
      <c r="LHM58" s="101"/>
      <c r="LHN58" s="101"/>
      <c r="LHO58" s="101"/>
      <c r="LHP58" s="101"/>
      <c r="LHQ58" s="101"/>
      <c r="LHR58" s="101"/>
      <c r="LHS58" s="101"/>
      <c r="LHT58" s="101"/>
      <c r="LHU58" s="101"/>
      <c r="LHV58" s="101"/>
      <c r="LHW58" s="101"/>
      <c r="LHX58" s="101"/>
      <c r="LHY58" s="101"/>
      <c r="LHZ58" s="101"/>
      <c r="LIA58" s="101"/>
      <c r="LIB58" s="101"/>
      <c r="LIC58" s="101"/>
      <c r="LID58" s="101"/>
      <c r="LIE58" s="101"/>
      <c r="LIF58" s="101"/>
      <c r="LIG58" s="101"/>
      <c r="LIH58" s="101"/>
      <c r="LII58" s="101"/>
      <c r="LIJ58" s="101"/>
      <c r="LIK58" s="101"/>
      <c r="LIL58" s="101"/>
      <c r="LIM58" s="101"/>
      <c r="LIN58" s="101"/>
      <c r="LIO58" s="101"/>
      <c r="LIP58" s="101"/>
      <c r="LIQ58" s="101"/>
      <c r="LIR58" s="101"/>
      <c r="LIS58" s="101"/>
      <c r="LIT58" s="101"/>
      <c r="LIU58" s="101"/>
      <c r="LIV58" s="101"/>
      <c r="LIW58" s="101"/>
      <c r="LIX58" s="101"/>
      <c r="LIY58" s="101"/>
      <c r="LIZ58" s="101"/>
      <c r="LJA58" s="101"/>
      <c r="LJB58" s="101"/>
      <c r="LJC58" s="101"/>
      <c r="LJD58" s="101"/>
      <c r="LJE58" s="101"/>
      <c r="LJF58" s="101"/>
      <c r="LJG58" s="101"/>
      <c r="LJH58" s="101"/>
      <c r="LJI58" s="101"/>
      <c r="LJJ58" s="101"/>
      <c r="LJK58" s="101"/>
      <c r="LJL58" s="101"/>
      <c r="LJM58" s="101"/>
      <c r="LJN58" s="101"/>
      <c r="LJO58" s="101"/>
      <c r="LJP58" s="101"/>
      <c r="LJQ58" s="101"/>
      <c r="LJR58" s="101"/>
      <c r="LJS58" s="101"/>
      <c r="LJT58" s="101"/>
      <c r="LJU58" s="101"/>
      <c r="LJV58" s="101"/>
      <c r="LJW58" s="101"/>
      <c r="LJX58" s="101"/>
      <c r="LJY58" s="101"/>
      <c r="LJZ58" s="101"/>
      <c r="LKA58" s="101"/>
      <c r="LKB58" s="101"/>
      <c r="LKC58" s="101"/>
      <c r="LKD58" s="101"/>
      <c r="LKE58" s="101"/>
      <c r="LKF58" s="101"/>
      <c r="LKG58" s="101"/>
      <c r="LKH58" s="101"/>
      <c r="LKI58" s="101"/>
      <c r="LKJ58" s="101"/>
      <c r="LKK58" s="101"/>
      <c r="LKL58" s="101"/>
      <c r="LKM58" s="101"/>
      <c r="LKN58" s="101"/>
      <c r="LKO58" s="101"/>
      <c r="LKP58" s="101"/>
      <c r="LKQ58" s="101"/>
      <c r="LKR58" s="101"/>
      <c r="LKS58" s="101"/>
      <c r="LKT58" s="101"/>
      <c r="LKU58" s="101"/>
      <c r="LKV58" s="101"/>
      <c r="LKW58" s="101"/>
      <c r="LKX58" s="101"/>
      <c r="LKY58" s="101"/>
      <c r="LKZ58" s="101"/>
      <c r="LLA58" s="101"/>
      <c r="LLB58" s="101"/>
      <c r="LLC58" s="101"/>
      <c r="LLD58" s="101"/>
      <c r="LLE58" s="101"/>
      <c r="LLF58" s="101"/>
      <c r="LLG58" s="101"/>
      <c r="LLH58" s="101"/>
      <c r="LLI58" s="101"/>
      <c r="LLJ58" s="101"/>
      <c r="LLK58" s="101"/>
      <c r="LLL58" s="101"/>
      <c r="LLM58" s="101"/>
      <c r="LLN58" s="101"/>
      <c r="LLO58" s="101"/>
      <c r="LLP58" s="101"/>
      <c r="LLQ58" s="101"/>
      <c r="LLR58" s="101"/>
      <c r="LLS58" s="101"/>
      <c r="LLT58" s="101"/>
      <c r="LLU58" s="101"/>
      <c r="LLV58" s="101"/>
      <c r="LLW58" s="101"/>
      <c r="LLX58" s="101"/>
      <c r="LLY58" s="101"/>
      <c r="LLZ58" s="101"/>
      <c r="LMA58" s="101"/>
      <c r="LMB58" s="101"/>
      <c r="LMC58" s="101"/>
      <c r="LMD58" s="101"/>
      <c r="LME58" s="101"/>
      <c r="LMF58" s="101"/>
      <c r="LMG58" s="101"/>
      <c r="LMH58" s="101"/>
      <c r="LMI58" s="101"/>
      <c r="LMJ58" s="101"/>
      <c r="LMK58" s="101"/>
      <c r="LML58" s="101"/>
      <c r="LMM58" s="101"/>
      <c r="LMN58" s="101"/>
      <c r="LMO58" s="101"/>
      <c r="LMP58" s="101"/>
      <c r="LMQ58" s="101"/>
      <c r="LMR58" s="101"/>
      <c r="LMS58" s="101"/>
      <c r="LMT58" s="101"/>
      <c r="LMU58" s="101"/>
      <c r="LMV58" s="101"/>
      <c r="LMW58" s="101"/>
      <c r="LMX58" s="101"/>
      <c r="LMY58" s="101"/>
      <c r="LMZ58" s="101"/>
      <c r="LNA58" s="101"/>
      <c r="LNB58" s="101"/>
      <c r="LNC58" s="101"/>
      <c r="LND58" s="101"/>
      <c r="LNE58" s="101"/>
      <c r="LNF58" s="101"/>
      <c r="LNG58" s="101"/>
      <c r="LNH58" s="101"/>
      <c r="LNI58" s="101"/>
      <c r="LNJ58" s="101"/>
      <c r="LNK58" s="101"/>
      <c r="LNL58" s="101"/>
      <c r="LNM58" s="101"/>
      <c r="LNN58" s="101"/>
      <c r="LNO58" s="101"/>
      <c r="LNP58" s="101"/>
      <c r="LNQ58" s="101"/>
      <c r="LNR58" s="101"/>
      <c r="LNS58" s="101"/>
      <c r="LNT58" s="101"/>
      <c r="LNU58" s="101"/>
      <c r="LNV58" s="101"/>
      <c r="LNW58" s="101"/>
      <c r="LNX58" s="101"/>
      <c r="LNY58" s="101"/>
      <c r="LNZ58" s="101"/>
      <c r="LOA58" s="101"/>
      <c r="LOB58" s="101"/>
      <c r="LOC58" s="101"/>
      <c r="LOD58" s="101"/>
      <c r="LOE58" s="101"/>
      <c r="LOF58" s="101"/>
      <c r="LOG58" s="101"/>
      <c r="LOH58" s="101"/>
      <c r="LOI58" s="101"/>
      <c r="LOJ58" s="101"/>
      <c r="LOK58" s="101"/>
      <c r="LOL58" s="101"/>
      <c r="LOM58" s="101"/>
      <c r="LON58" s="101"/>
      <c r="LOO58" s="101"/>
      <c r="LOP58" s="101"/>
      <c r="LOQ58" s="101"/>
      <c r="LOR58" s="101"/>
      <c r="LOS58" s="101"/>
      <c r="LOT58" s="101"/>
      <c r="LOU58" s="101"/>
      <c r="LOV58" s="101"/>
      <c r="LOW58" s="101"/>
      <c r="LOX58" s="101"/>
      <c r="LOY58" s="101"/>
      <c r="LOZ58" s="101"/>
      <c r="LPA58" s="101"/>
      <c r="LPB58" s="101"/>
      <c r="LPC58" s="101"/>
      <c r="LPD58" s="101"/>
      <c r="LPE58" s="101"/>
      <c r="LPF58" s="101"/>
      <c r="LPG58" s="101"/>
      <c r="LPH58" s="101"/>
      <c r="LPI58" s="101"/>
      <c r="LPJ58" s="101"/>
      <c r="LPK58" s="101"/>
      <c r="LPL58" s="101"/>
      <c r="LPM58" s="101"/>
      <c r="LPN58" s="101"/>
      <c r="LPO58" s="101"/>
      <c r="LPP58" s="101"/>
      <c r="LPQ58" s="101"/>
      <c r="LPR58" s="101"/>
      <c r="LPS58" s="101"/>
      <c r="LPT58" s="101"/>
      <c r="LPU58" s="101"/>
      <c r="LPV58" s="101"/>
      <c r="LPW58" s="101"/>
      <c r="LPX58" s="101"/>
      <c r="LPY58" s="101"/>
      <c r="LPZ58" s="101"/>
      <c r="LQA58" s="101"/>
      <c r="LQB58" s="101"/>
      <c r="LQC58" s="101"/>
      <c r="LQD58" s="101"/>
      <c r="LQE58" s="101"/>
      <c r="LQF58" s="101"/>
      <c r="LQG58" s="101"/>
      <c r="LQH58" s="101"/>
      <c r="LQI58" s="101"/>
      <c r="LQJ58" s="101"/>
      <c r="LQK58" s="101"/>
      <c r="LQL58" s="101"/>
      <c r="LQM58" s="101"/>
      <c r="LQN58" s="101"/>
      <c r="LQO58" s="101"/>
      <c r="LQP58" s="101"/>
      <c r="LQQ58" s="101"/>
      <c r="LQR58" s="101"/>
      <c r="LQS58" s="101"/>
      <c r="LQT58" s="101"/>
      <c r="LQU58" s="101"/>
      <c r="LQV58" s="101"/>
      <c r="LQW58" s="101"/>
      <c r="LQX58" s="101"/>
      <c r="LQY58" s="101"/>
      <c r="LQZ58" s="101"/>
      <c r="LRA58" s="101"/>
      <c r="LRB58" s="101"/>
      <c r="LRC58" s="101"/>
      <c r="LRD58" s="101"/>
      <c r="LRE58" s="101"/>
      <c r="LRF58" s="101"/>
      <c r="LRG58" s="101"/>
      <c r="LRH58" s="101"/>
      <c r="LRI58" s="101"/>
      <c r="LRJ58" s="101"/>
      <c r="LRK58" s="101"/>
      <c r="LRL58" s="101"/>
      <c r="LRM58" s="101"/>
      <c r="LRN58" s="101"/>
      <c r="LRO58" s="101"/>
      <c r="LRP58" s="101"/>
      <c r="LRQ58" s="101"/>
      <c r="LRR58" s="101"/>
      <c r="LRS58" s="101"/>
      <c r="LRT58" s="101"/>
      <c r="LRU58" s="101"/>
      <c r="LRV58" s="101"/>
      <c r="LRW58" s="101"/>
      <c r="LRX58" s="101"/>
      <c r="LRY58" s="101"/>
      <c r="LRZ58" s="101"/>
      <c r="LSA58" s="101"/>
      <c r="LSB58" s="101"/>
      <c r="LSC58" s="101"/>
      <c r="LSD58" s="101"/>
      <c r="LSE58" s="101"/>
      <c r="LSF58" s="101"/>
      <c r="LSG58" s="101"/>
      <c r="LSH58" s="101"/>
      <c r="LSI58" s="101"/>
      <c r="LSJ58" s="101"/>
      <c r="LSK58" s="101"/>
      <c r="LSL58" s="101"/>
      <c r="LSM58" s="101"/>
      <c r="LSN58" s="101"/>
      <c r="LSO58" s="101"/>
      <c r="LSP58" s="101"/>
      <c r="LSQ58" s="101"/>
      <c r="LSR58" s="101"/>
      <c r="LSS58" s="101"/>
      <c r="LST58" s="101"/>
      <c r="LSU58" s="101"/>
      <c r="LSV58" s="101"/>
      <c r="LSW58" s="101"/>
      <c r="LSX58" s="101"/>
      <c r="LSY58" s="101"/>
      <c r="LSZ58" s="101"/>
      <c r="LTA58" s="101"/>
      <c r="LTB58" s="101"/>
      <c r="LTC58" s="101"/>
      <c r="LTD58" s="101"/>
      <c r="LTE58" s="101"/>
      <c r="LTF58" s="101"/>
      <c r="LTG58" s="101"/>
      <c r="LTH58" s="101"/>
      <c r="LTI58" s="101"/>
      <c r="LTJ58" s="101"/>
      <c r="LTK58" s="101"/>
      <c r="LTL58" s="101"/>
      <c r="LTM58" s="101"/>
      <c r="LTN58" s="101"/>
      <c r="LTO58" s="101"/>
      <c r="LTP58" s="101"/>
      <c r="LTQ58" s="101"/>
      <c r="LTR58" s="101"/>
      <c r="LTS58" s="101"/>
      <c r="LTT58" s="101"/>
      <c r="LTU58" s="101"/>
      <c r="LTV58" s="101"/>
      <c r="LTW58" s="101"/>
      <c r="LTX58" s="101"/>
      <c r="LTY58" s="101"/>
      <c r="LTZ58" s="101"/>
      <c r="LUA58" s="101"/>
      <c r="LUB58" s="101"/>
      <c r="LUC58" s="101"/>
      <c r="LUD58" s="101"/>
      <c r="LUE58" s="101"/>
      <c r="LUF58" s="101"/>
      <c r="LUG58" s="101"/>
      <c r="LUH58" s="101"/>
      <c r="LUI58" s="101"/>
      <c r="LUJ58" s="101"/>
      <c r="LUK58" s="101"/>
      <c r="LUL58" s="101"/>
      <c r="LUM58" s="101"/>
      <c r="LUN58" s="101"/>
      <c r="LUO58" s="101"/>
      <c r="LUP58" s="101"/>
      <c r="LUQ58" s="101"/>
      <c r="LUR58" s="101"/>
      <c r="LUS58" s="101"/>
      <c r="LUT58" s="101"/>
      <c r="LUU58" s="101"/>
      <c r="LUV58" s="101"/>
      <c r="LUW58" s="101"/>
      <c r="LUX58" s="101"/>
      <c r="LUY58" s="101"/>
      <c r="LUZ58" s="101"/>
      <c r="LVA58" s="101"/>
      <c r="LVB58" s="101"/>
      <c r="LVC58" s="101"/>
      <c r="LVD58" s="101"/>
      <c r="LVE58" s="101"/>
      <c r="LVF58" s="101"/>
      <c r="LVG58" s="101"/>
      <c r="LVH58" s="101"/>
      <c r="LVI58" s="101"/>
      <c r="LVJ58" s="101"/>
      <c r="LVK58" s="101"/>
      <c r="LVL58" s="101"/>
      <c r="LVM58" s="101"/>
      <c r="LVN58" s="101"/>
      <c r="LVO58" s="101"/>
      <c r="LVP58" s="101"/>
      <c r="LVQ58" s="101"/>
      <c r="LVR58" s="101"/>
      <c r="LVS58" s="101"/>
      <c r="LVT58" s="101"/>
      <c r="LVU58" s="101"/>
      <c r="LVV58" s="101"/>
      <c r="LVW58" s="101"/>
      <c r="LVX58" s="101"/>
      <c r="LVY58" s="101"/>
      <c r="LVZ58" s="101"/>
      <c r="LWA58" s="101"/>
      <c r="LWB58" s="101"/>
      <c r="LWC58" s="101"/>
      <c r="LWD58" s="101"/>
      <c r="LWE58" s="101"/>
      <c r="LWF58" s="101"/>
      <c r="LWG58" s="101"/>
      <c r="LWH58" s="101"/>
      <c r="LWI58" s="101"/>
      <c r="LWJ58" s="101"/>
      <c r="LWK58" s="101"/>
      <c r="LWL58" s="101"/>
      <c r="LWM58" s="101"/>
      <c r="LWN58" s="101"/>
      <c r="LWO58" s="101"/>
      <c r="LWP58" s="101"/>
      <c r="LWQ58" s="101"/>
      <c r="LWR58" s="101"/>
      <c r="LWS58" s="101"/>
      <c r="LWT58" s="101"/>
      <c r="LWU58" s="101"/>
      <c r="LWV58" s="101"/>
      <c r="LWW58" s="101"/>
      <c r="LWX58" s="101"/>
      <c r="LWY58" s="101"/>
      <c r="LWZ58" s="101"/>
      <c r="LXA58" s="101"/>
      <c r="LXB58" s="101"/>
      <c r="LXC58" s="101"/>
      <c r="LXD58" s="101"/>
      <c r="LXE58" s="101"/>
      <c r="LXF58" s="101"/>
      <c r="LXG58" s="101"/>
      <c r="LXH58" s="101"/>
      <c r="LXI58" s="101"/>
      <c r="LXJ58" s="101"/>
      <c r="LXK58" s="101"/>
      <c r="LXL58" s="101"/>
      <c r="LXM58" s="101"/>
      <c r="LXN58" s="101"/>
      <c r="LXO58" s="101"/>
      <c r="LXP58" s="101"/>
      <c r="LXQ58" s="101"/>
      <c r="LXR58" s="101"/>
      <c r="LXS58" s="101"/>
      <c r="LXT58" s="101"/>
      <c r="LXU58" s="101"/>
      <c r="LXV58" s="101"/>
      <c r="LXW58" s="101"/>
      <c r="LXX58" s="101"/>
      <c r="LXY58" s="101"/>
      <c r="LXZ58" s="101"/>
      <c r="LYA58" s="101"/>
      <c r="LYB58" s="101"/>
      <c r="LYC58" s="101"/>
      <c r="LYD58" s="101"/>
      <c r="LYE58" s="101"/>
      <c r="LYF58" s="101"/>
      <c r="LYG58" s="101"/>
      <c r="LYH58" s="101"/>
      <c r="LYI58" s="101"/>
      <c r="LYJ58" s="101"/>
      <c r="LYK58" s="101"/>
      <c r="LYL58" s="101"/>
      <c r="LYM58" s="101"/>
      <c r="LYN58" s="101"/>
      <c r="LYO58" s="101"/>
      <c r="LYP58" s="101"/>
      <c r="LYQ58" s="101"/>
      <c r="LYR58" s="101"/>
      <c r="LYS58" s="101"/>
      <c r="LYT58" s="101"/>
      <c r="LYU58" s="101"/>
      <c r="LYV58" s="101"/>
      <c r="LYW58" s="101"/>
      <c r="LYX58" s="101"/>
      <c r="LYY58" s="101"/>
      <c r="LYZ58" s="101"/>
      <c r="LZA58" s="101"/>
      <c r="LZB58" s="101"/>
      <c r="LZC58" s="101"/>
      <c r="LZD58" s="101"/>
      <c r="LZE58" s="101"/>
      <c r="LZF58" s="101"/>
      <c r="LZG58" s="101"/>
      <c r="LZH58" s="101"/>
      <c r="LZI58" s="101"/>
      <c r="LZJ58" s="101"/>
      <c r="LZK58" s="101"/>
      <c r="LZL58" s="101"/>
      <c r="LZM58" s="101"/>
      <c r="LZN58" s="101"/>
      <c r="LZO58" s="101"/>
      <c r="LZP58" s="101"/>
      <c r="LZQ58" s="101"/>
      <c r="LZR58" s="101"/>
      <c r="LZS58" s="101"/>
      <c r="LZT58" s="101"/>
      <c r="LZU58" s="101"/>
      <c r="LZV58" s="101"/>
      <c r="LZW58" s="101"/>
      <c r="LZX58" s="101"/>
      <c r="LZY58" s="101"/>
      <c r="LZZ58" s="101"/>
      <c r="MAA58" s="101"/>
      <c r="MAB58" s="101"/>
      <c r="MAC58" s="101"/>
      <c r="MAD58" s="101"/>
      <c r="MAE58" s="101"/>
      <c r="MAF58" s="101"/>
      <c r="MAG58" s="101"/>
      <c r="MAH58" s="101"/>
      <c r="MAI58" s="101"/>
      <c r="MAJ58" s="101"/>
      <c r="MAK58" s="101"/>
      <c r="MAL58" s="101"/>
      <c r="MAM58" s="101"/>
      <c r="MAN58" s="101"/>
      <c r="MAO58" s="101"/>
      <c r="MAP58" s="101"/>
      <c r="MAQ58" s="101"/>
      <c r="MAR58" s="101"/>
      <c r="MAS58" s="101"/>
      <c r="MAT58" s="101"/>
      <c r="MAU58" s="101"/>
      <c r="MAV58" s="101"/>
      <c r="MAW58" s="101"/>
      <c r="MAX58" s="101"/>
      <c r="MAY58" s="101"/>
      <c r="MAZ58" s="101"/>
      <c r="MBA58" s="101"/>
      <c r="MBB58" s="101"/>
      <c r="MBC58" s="101"/>
      <c r="MBD58" s="101"/>
      <c r="MBE58" s="101"/>
      <c r="MBF58" s="101"/>
      <c r="MBG58" s="101"/>
      <c r="MBH58" s="101"/>
      <c r="MBI58" s="101"/>
      <c r="MBJ58" s="101"/>
      <c r="MBK58" s="101"/>
      <c r="MBL58" s="101"/>
      <c r="MBM58" s="101"/>
      <c r="MBN58" s="101"/>
      <c r="MBO58" s="101"/>
      <c r="MBP58" s="101"/>
      <c r="MBQ58" s="101"/>
      <c r="MBR58" s="101"/>
      <c r="MBS58" s="101"/>
      <c r="MBT58" s="101"/>
      <c r="MBU58" s="101"/>
      <c r="MBV58" s="101"/>
      <c r="MBW58" s="101"/>
      <c r="MBX58" s="101"/>
      <c r="MBY58" s="101"/>
      <c r="MBZ58" s="101"/>
      <c r="MCA58" s="101"/>
      <c r="MCB58" s="101"/>
      <c r="MCC58" s="101"/>
      <c r="MCD58" s="101"/>
      <c r="MCE58" s="101"/>
      <c r="MCF58" s="101"/>
      <c r="MCG58" s="101"/>
      <c r="MCH58" s="101"/>
      <c r="MCI58" s="101"/>
      <c r="MCJ58" s="101"/>
      <c r="MCK58" s="101"/>
      <c r="MCL58" s="101"/>
      <c r="MCM58" s="101"/>
      <c r="MCN58" s="101"/>
      <c r="MCO58" s="101"/>
      <c r="MCP58" s="101"/>
      <c r="MCQ58" s="101"/>
      <c r="MCR58" s="101"/>
      <c r="MCS58" s="101"/>
      <c r="MCT58" s="101"/>
      <c r="MCU58" s="101"/>
      <c r="MCV58" s="101"/>
      <c r="MCW58" s="101"/>
      <c r="MCX58" s="101"/>
      <c r="MCY58" s="101"/>
      <c r="MCZ58" s="101"/>
      <c r="MDA58" s="101"/>
      <c r="MDB58" s="101"/>
      <c r="MDC58" s="101"/>
      <c r="MDD58" s="101"/>
      <c r="MDE58" s="101"/>
      <c r="MDF58" s="101"/>
      <c r="MDG58" s="101"/>
      <c r="MDH58" s="101"/>
      <c r="MDI58" s="101"/>
      <c r="MDJ58" s="101"/>
      <c r="MDK58" s="101"/>
      <c r="MDL58" s="101"/>
      <c r="MDM58" s="101"/>
      <c r="MDN58" s="101"/>
      <c r="MDO58" s="101"/>
      <c r="MDP58" s="101"/>
      <c r="MDQ58" s="101"/>
      <c r="MDR58" s="101"/>
      <c r="MDS58" s="101"/>
      <c r="MDT58" s="101"/>
      <c r="MDU58" s="101"/>
      <c r="MDV58" s="101"/>
      <c r="MDW58" s="101"/>
      <c r="MDX58" s="101"/>
      <c r="MDY58" s="101"/>
      <c r="MDZ58" s="101"/>
      <c r="MEA58" s="101"/>
      <c r="MEB58" s="101"/>
      <c r="MEC58" s="101"/>
      <c r="MED58" s="101"/>
      <c r="MEE58" s="101"/>
      <c r="MEF58" s="101"/>
      <c r="MEG58" s="101"/>
      <c r="MEH58" s="101"/>
      <c r="MEI58" s="101"/>
      <c r="MEJ58" s="101"/>
      <c r="MEK58" s="101"/>
      <c r="MEL58" s="101"/>
      <c r="MEM58" s="101"/>
      <c r="MEN58" s="101"/>
      <c r="MEO58" s="101"/>
      <c r="MEP58" s="101"/>
      <c r="MEQ58" s="101"/>
      <c r="MER58" s="101"/>
      <c r="MES58" s="101"/>
      <c r="MET58" s="101"/>
      <c r="MEU58" s="101"/>
      <c r="MEV58" s="101"/>
      <c r="MEW58" s="101"/>
      <c r="MEX58" s="101"/>
      <c r="MEY58" s="101"/>
      <c r="MEZ58" s="101"/>
      <c r="MFA58" s="101"/>
      <c r="MFB58" s="101"/>
      <c r="MFC58" s="101"/>
      <c r="MFD58" s="101"/>
      <c r="MFE58" s="101"/>
      <c r="MFF58" s="101"/>
      <c r="MFG58" s="101"/>
      <c r="MFH58" s="101"/>
      <c r="MFI58" s="101"/>
      <c r="MFJ58" s="101"/>
      <c r="MFK58" s="101"/>
      <c r="MFL58" s="101"/>
      <c r="MFM58" s="101"/>
      <c r="MFN58" s="101"/>
      <c r="MFO58" s="101"/>
      <c r="MFP58" s="101"/>
      <c r="MFQ58" s="101"/>
      <c r="MFR58" s="101"/>
      <c r="MFS58" s="101"/>
      <c r="MFT58" s="101"/>
      <c r="MFU58" s="101"/>
      <c r="MFV58" s="101"/>
      <c r="MFW58" s="101"/>
      <c r="MFX58" s="101"/>
      <c r="MFY58" s="101"/>
      <c r="MFZ58" s="101"/>
      <c r="MGA58" s="101"/>
      <c r="MGB58" s="101"/>
      <c r="MGC58" s="101"/>
      <c r="MGD58" s="101"/>
      <c r="MGE58" s="101"/>
      <c r="MGF58" s="101"/>
      <c r="MGG58" s="101"/>
      <c r="MGH58" s="101"/>
      <c r="MGI58" s="101"/>
      <c r="MGJ58" s="101"/>
      <c r="MGK58" s="101"/>
      <c r="MGL58" s="101"/>
      <c r="MGM58" s="101"/>
      <c r="MGN58" s="101"/>
      <c r="MGO58" s="101"/>
      <c r="MGP58" s="101"/>
      <c r="MGQ58" s="101"/>
      <c r="MGR58" s="101"/>
      <c r="MGS58" s="101"/>
      <c r="MGT58" s="101"/>
      <c r="MGU58" s="101"/>
      <c r="MGV58" s="101"/>
      <c r="MGW58" s="101"/>
      <c r="MGX58" s="101"/>
      <c r="MGY58" s="101"/>
      <c r="MGZ58" s="101"/>
      <c r="MHA58" s="101"/>
      <c r="MHB58" s="101"/>
      <c r="MHC58" s="101"/>
      <c r="MHD58" s="101"/>
      <c r="MHE58" s="101"/>
      <c r="MHF58" s="101"/>
      <c r="MHG58" s="101"/>
      <c r="MHH58" s="101"/>
      <c r="MHI58" s="101"/>
      <c r="MHJ58" s="101"/>
      <c r="MHK58" s="101"/>
      <c r="MHL58" s="101"/>
      <c r="MHM58" s="101"/>
      <c r="MHN58" s="101"/>
      <c r="MHO58" s="101"/>
      <c r="MHP58" s="101"/>
      <c r="MHQ58" s="101"/>
      <c r="MHR58" s="101"/>
      <c r="MHS58" s="101"/>
      <c r="MHT58" s="101"/>
      <c r="MHU58" s="101"/>
      <c r="MHV58" s="101"/>
      <c r="MHW58" s="101"/>
      <c r="MHX58" s="101"/>
      <c r="MHY58" s="101"/>
      <c r="MHZ58" s="101"/>
      <c r="MIA58" s="101"/>
      <c r="MIB58" s="101"/>
      <c r="MIC58" s="101"/>
      <c r="MID58" s="101"/>
      <c r="MIE58" s="101"/>
      <c r="MIF58" s="101"/>
      <c r="MIG58" s="101"/>
      <c r="MIH58" s="101"/>
      <c r="MII58" s="101"/>
      <c r="MIJ58" s="101"/>
      <c r="MIK58" s="101"/>
      <c r="MIL58" s="101"/>
      <c r="MIM58" s="101"/>
      <c r="MIN58" s="101"/>
      <c r="MIO58" s="101"/>
      <c r="MIP58" s="101"/>
      <c r="MIQ58" s="101"/>
      <c r="MIR58" s="101"/>
      <c r="MIS58" s="101"/>
      <c r="MIT58" s="101"/>
      <c r="MIU58" s="101"/>
      <c r="MIV58" s="101"/>
      <c r="MIW58" s="101"/>
      <c r="MIX58" s="101"/>
      <c r="MIY58" s="101"/>
      <c r="MIZ58" s="101"/>
      <c r="MJA58" s="101"/>
      <c r="MJB58" s="101"/>
      <c r="MJC58" s="101"/>
      <c r="MJD58" s="101"/>
      <c r="MJE58" s="101"/>
      <c r="MJF58" s="101"/>
      <c r="MJG58" s="101"/>
      <c r="MJH58" s="101"/>
      <c r="MJI58" s="101"/>
      <c r="MJJ58" s="101"/>
      <c r="MJK58" s="101"/>
      <c r="MJL58" s="101"/>
      <c r="MJM58" s="101"/>
      <c r="MJN58" s="101"/>
      <c r="MJO58" s="101"/>
      <c r="MJP58" s="101"/>
      <c r="MJQ58" s="101"/>
      <c r="MJR58" s="101"/>
      <c r="MJS58" s="101"/>
      <c r="MJT58" s="101"/>
      <c r="MJU58" s="101"/>
      <c r="MJV58" s="101"/>
      <c r="MJW58" s="101"/>
      <c r="MJX58" s="101"/>
      <c r="MJY58" s="101"/>
      <c r="MJZ58" s="101"/>
      <c r="MKA58" s="101"/>
      <c r="MKB58" s="101"/>
      <c r="MKC58" s="101"/>
      <c r="MKD58" s="101"/>
      <c r="MKE58" s="101"/>
      <c r="MKF58" s="101"/>
      <c r="MKG58" s="101"/>
      <c r="MKH58" s="101"/>
      <c r="MKI58" s="101"/>
      <c r="MKJ58" s="101"/>
      <c r="MKK58" s="101"/>
      <c r="MKL58" s="101"/>
      <c r="MKM58" s="101"/>
      <c r="MKN58" s="101"/>
      <c r="MKO58" s="101"/>
      <c r="MKP58" s="101"/>
      <c r="MKQ58" s="101"/>
      <c r="MKR58" s="101"/>
      <c r="MKS58" s="101"/>
      <c r="MKT58" s="101"/>
      <c r="MKU58" s="101"/>
      <c r="MKV58" s="101"/>
      <c r="MKW58" s="101"/>
      <c r="MKX58" s="101"/>
      <c r="MKY58" s="101"/>
      <c r="MKZ58" s="101"/>
      <c r="MLA58" s="101"/>
      <c r="MLB58" s="101"/>
      <c r="MLC58" s="101"/>
      <c r="MLD58" s="101"/>
      <c r="MLE58" s="101"/>
      <c r="MLF58" s="101"/>
      <c r="MLG58" s="101"/>
      <c r="MLH58" s="101"/>
      <c r="MLI58" s="101"/>
      <c r="MLJ58" s="101"/>
      <c r="MLK58" s="101"/>
      <c r="MLL58" s="101"/>
      <c r="MLM58" s="101"/>
      <c r="MLN58" s="101"/>
      <c r="MLO58" s="101"/>
      <c r="MLP58" s="101"/>
      <c r="MLQ58" s="101"/>
      <c r="MLR58" s="101"/>
      <c r="MLS58" s="101"/>
      <c r="MLT58" s="101"/>
      <c r="MLU58" s="101"/>
      <c r="MLV58" s="101"/>
      <c r="MLW58" s="101"/>
      <c r="MLX58" s="101"/>
      <c r="MLY58" s="101"/>
      <c r="MLZ58" s="101"/>
      <c r="MMA58" s="101"/>
      <c r="MMB58" s="101"/>
      <c r="MMC58" s="101"/>
      <c r="MMD58" s="101"/>
      <c r="MME58" s="101"/>
      <c r="MMF58" s="101"/>
      <c r="MMG58" s="101"/>
      <c r="MMH58" s="101"/>
      <c r="MMI58" s="101"/>
      <c r="MMJ58" s="101"/>
      <c r="MMK58" s="101"/>
      <c r="MML58" s="101"/>
      <c r="MMM58" s="101"/>
      <c r="MMN58" s="101"/>
      <c r="MMO58" s="101"/>
      <c r="MMP58" s="101"/>
      <c r="MMQ58" s="101"/>
      <c r="MMR58" s="101"/>
      <c r="MMS58" s="101"/>
      <c r="MMT58" s="101"/>
      <c r="MMU58" s="101"/>
      <c r="MMV58" s="101"/>
      <c r="MMW58" s="101"/>
      <c r="MMX58" s="101"/>
      <c r="MMY58" s="101"/>
      <c r="MMZ58" s="101"/>
      <c r="MNA58" s="101"/>
      <c r="MNB58" s="101"/>
      <c r="MNC58" s="101"/>
      <c r="MND58" s="101"/>
      <c r="MNE58" s="101"/>
      <c r="MNF58" s="101"/>
      <c r="MNG58" s="101"/>
      <c r="MNH58" s="101"/>
      <c r="MNI58" s="101"/>
      <c r="MNJ58" s="101"/>
      <c r="MNK58" s="101"/>
      <c r="MNL58" s="101"/>
      <c r="MNM58" s="101"/>
      <c r="MNN58" s="101"/>
      <c r="MNO58" s="101"/>
      <c r="MNP58" s="101"/>
      <c r="MNQ58" s="101"/>
      <c r="MNR58" s="101"/>
      <c r="MNS58" s="101"/>
      <c r="MNT58" s="101"/>
      <c r="MNU58" s="101"/>
      <c r="MNV58" s="101"/>
      <c r="MNW58" s="101"/>
      <c r="MNX58" s="101"/>
      <c r="MNY58" s="101"/>
      <c r="MNZ58" s="101"/>
      <c r="MOA58" s="101"/>
      <c r="MOB58" s="101"/>
      <c r="MOC58" s="101"/>
      <c r="MOD58" s="101"/>
      <c r="MOE58" s="101"/>
      <c r="MOF58" s="101"/>
      <c r="MOG58" s="101"/>
      <c r="MOH58" s="101"/>
      <c r="MOI58" s="101"/>
      <c r="MOJ58" s="101"/>
      <c r="MOK58" s="101"/>
      <c r="MOL58" s="101"/>
      <c r="MOM58" s="101"/>
      <c r="MON58" s="101"/>
      <c r="MOO58" s="101"/>
      <c r="MOP58" s="101"/>
      <c r="MOQ58" s="101"/>
      <c r="MOR58" s="101"/>
      <c r="MOS58" s="101"/>
      <c r="MOT58" s="101"/>
      <c r="MOU58" s="101"/>
      <c r="MOV58" s="101"/>
      <c r="MOW58" s="101"/>
      <c r="MOX58" s="101"/>
      <c r="MOY58" s="101"/>
      <c r="MOZ58" s="101"/>
      <c r="MPA58" s="101"/>
      <c r="MPB58" s="101"/>
      <c r="MPC58" s="101"/>
      <c r="MPD58" s="101"/>
      <c r="MPE58" s="101"/>
      <c r="MPF58" s="101"/>
      <c r="MPG58" s="101"/>
      <c r="MPH58" s="101"/>
      <c r="MPI58" s="101"/>
      <c r="MPJ58" s="101"/>
      <c r="MPK58" s="101"/>
      <c r="MPL58" s="101"/>
      <c r="MPM58" s="101"/>
      <c r="MPN58" s="101"/>
      <c r="MPO58" s="101"/>
      <c r="MPP58" s="101"/>
      <c r="MPQ58" s="101"/>
      <c r="MPR58" s="101"/>
      <c r="MPS58" s="101"/>
      <c r="MPT58" s="101"/>
      <c r="MPU58" s="101"/>
      <c r="MPV58" s="101"/>
      <c r="MPW58" s="101"/>
      <c r="MPX58" s="101"/>
      <c r="MPY58" s="101"/>
      <c r="MPZ58" s="101"/>
      <c r="MQA58" s="101"/>
      <c r="MQB58" s="101"/>
      <c r="MQC58" s="101"/>
      <c r="MQD58" s="101"/>
      <c r="MQE58" s="101"/>
      <c r="MQF58" s="101"/>
      <c r="MQG58" s="101"/>
      <c r="MQH58" s="101"/>
      <c r="MQI58" s="101"/>
      <c r="MQJ58" s="101"/>
      <c r="MQK58" s="101"/>
      <c r="MQL58" s="101"/>
      <c r="MQM58" s="101"/>
      <c r="MQN58" s="101"/>
      <c r="MQO58" s="101"/>
      <c r="MQP58" s="101"/>
      <c r="MQQ58" s="101"/>
      <c r="MQR58" s="101"/>
      <c r="MQS58" s="101"/>
      <c r="MQT58" s="101"/>
      <c r="MQU58" s="101"/>
      <c r="MQV58" s="101"/>
      <c r="MQW58" s="101"/>
      <c r="MQX58" s="101"/>
      <c r="MQY58" s="101"/>
      <c r="MQZ58" s="101"/>
      <c r="MRA58" s="101"/>
      <c r="MRB58" s="101"/>
      <c r="MRC58" s="101"/>
      <c r="MRD58" s="101"/>
      <c r="MRE58" s="101"/>
      <c r="MRF58" s="101"/>
      <c r="MRG58" s="101"/>
      <c r="MRH58" s="101"/>
      <c r="MRI58" s="101"/>
      <c r="MRJ58" s="101"/>
      <c r="MRK58" s="101"/>
      <c r="MRL58" s="101"/>
      <c r="MRM58" s="101"/>
      <c r="MRN58" s="101"/>
      <c r="MRO58" s="101"/>
      <c r="MRP58" s="101"/>
      <c r="MRQ58" s="101"/>
      <c r="MRR58" s="101"/>
      <c r="MRS58" s="101"/>
      <c r="MRT58" s="101"/>
      <c r="MRU58" s="101"/>
      <c r="MRV58" s="101"/>
      <c r="MRW58" s="101"/>
      <c r="MRX58" s="101"/>
      <c r="MRY58" s="101"/>
      <c r="MRZ58" s="101"/>
      <c r="MSA58" s="101"/>
      <c r="MSB58" s="101"/>
      <c r="MSC58" s="101"/>
      <c r="MSD58" s="101"/>
      <c r="MSE58" s="101"/>
      <c r="MSF58" s="101"/>
      <c r="MSG58" s="101"/>
      <c r="MSH58" s="101"/>
      <c r="MSI58" s="101"/>
      <c r="MSJ58" s="101"/>
      <c r="MSK58" s="101"/>
      <c r="MSL58" s="101"/>
      <c r="MSM58" s="101"/>
      <c r="MSN58" s="101"/>
      <c r="MSO58" s="101"/>
      <c r="MSP58" s="101"/>
      <c r="MSQ58" s="101"/>
      <c r="MSR58" s="101"/>
      <c r="MSS58" s="101"/>
      <c r="MST58" s="101"/>
      <c r="MSU58" s="101"/>
      <c r="MSV58" s="101"/>
      <c r="MSW58" s="101"/>
      <c r="MSX58" s="101"/>
      <c r="MSY58" s="101"/>
      <c r="MSZ58" s="101"/>
      <c r="MTA58" s="101"/>
      <c r="MTB58" s="101"/>
      <c r="MTC58" s="101"/>
      <c r="MTD58" s="101"/>
      <c r="MTE58" s="101"/>
      <c r="MTF58" s="101"/>
      <c r="MTG58" s="101"/>
      <c r="MTH58" s="101"/>
      <c r="MTI58" s="101"/>
      <c r="MTJ58" s="101"/>
      <c r="MTK58" s="101"/>
      <c r="MTL58" s="101"/>
      <c r="MTM58" s="101"/>
      <c r="MTN58" s="101"/>
      <c r="MTO58" s="101"/>
      <c r="MTP58" s="101"/>
      <c r="MTQ58" s="101"/>
      <c r="MTR58" s="101"/>
      <c r="MTS58" s="101"/>
      <c r="MTT58" s="101"/>
      <c r="MTU58" s="101"/>
      <c r="MTV58" s="101"/>
      <c r="MTW58" s="101"/>
      <c r="MTX58" s="101"/>
      <c r="MTY58" s="101"/>
      <c r="MTZ58" s="101"/>
      <c r="MUA58" s="101"/>
      <c r="MUB58" s="101"/>
      <c r="MUC58" s="101"/>
      <c r="MUD58" s="101"/>
      <c r="MUE58" s="101"/>
      <c r="MUF58" s="101"/>
      <c r="MUG58" s="101"/>
      <c r="MUH58" s="101"/>
      <c r="MUI58" s="101"/>
      <c r="MUJ58" s="101"/>
      <c r="MUK58" s="101"/>
      <c r="MUL58" s="101"/>
      <c r="MUM58" s="101"/>
      <c r="MUN58" s="101"/>
      <c r="MUO58" s="101"/>
      <c r="MUP58" s="101"/>
      <c r="MUQ58" s="101"/>
      <c r="MUR58" s="101"/>
      <c r="MUS58" s="101"/>
      <c r="MUT58" s="101"/>
      <c r="MUU58" s="101"/>
      <c r="MUV58" s="101"/>
      <c r="MUW58" s="101"/>
      <c r="MUX58" s="101"/>
      <c r="MUY58" s="101"/>
      <c r="MUZ58" s="101"/>
      <c r="MVA58" s="101"/>
      <c r="MVB58" s="101"/>
      <c r="MVC58" s="101"/>
      <c r="MVD58" s="101"/>
      <c r="MVE58" s="101"/>
      <c r="MVF58" s="101"/>
      <c r="MVG58" s="101"/>
      <c r="MVH58" s="101"/>
      <c r="MVI58" s="101"/>
      <c r="MVJ58" s="101"/>
      <c r="MVK58" s="101"/>
      <c r="MVL58" s="101"/>
      <c r="MVM58" s="101"/>
      <c r="MVN58" s="101"/>
      <c r="MVO58" s="101"/>
      <c r="MVP58" s="101"/>
      <c r="MVQ58" s="101"/>
      <c r="MVR58" s="101"/>
      <c r="MVS58" s="101"/>
      <c r="MVT58" s="101"/>
      <c r="MVU58" s="101"/>
      <c r="MVV58" s="101"/>
      <c r="MVW58" s="101"/>
      <c r="MVX58" s="101"/>
      <c r="MVY58" s="101"/>
      <c r="MVZ58" s="101"/>
      <c r="MWA58" s="101"/>
      <c r="MWB58" s="101"/>
      <c r="MWC58" s="101"/>
      <c r="MWD58" s="101"/>
      <c r="MWE58" s="101"/>
      <c r="MWF58" s="101"/>
      <c r="MWG58" s="101"/>
      <c r="MWH58" s="101"/>
      <c r="MWI58" s="101"/>
      <c r="MWJ58" s="101"/>
      <c r="MWK58" s="101"/>
      <c r="MWL58" s="101"/>
      <c r="MWM58" s="101"/>
      <c r="MWN58" s="101"/>
      <c r="MWO58" s="101"/>
      <c r="MWP58" s="101"/>
      <c r="MWQ58" s="101"/>
      <c r="MWR58" s="101"/>
      <c r="MWS58" s="101"/>
      <c r="MWT58" s="101"/>
      <c r="MWU58" s="101"/>
      <c r="MWV58" s="101"/>
      <c r="MWW58" s="101"/>
      <c r="MWX58" s="101"/>
      <c r="MWY58" s="101"/>
      <c r="MWZ58" s="101"/>
      <c r="MXA58" s="101"/>
      <c r="MXB58" s="101"/>
      <c r="MXC58" s="101"/>
      <c r="MXD58" s="101"/>
      <c r="MXE58" s="101"/>
      <c r="MXF58" s="101"/>
      <c r="MXG58" s="101"/>
      <c r="MXH58" s="101"/>
      <c r="MXI58" s="101"/>
      <c r="MXJ58" s="101"/>
      <c r="MXK58" s="101"/>
      <c r="MXL58" s="101"/>
      <c r="MXM58" s="101"/>
      <c r="MXN58" s="101"/>
      <c r="MXO58" s="101"/>
      <c r="MXP58" s="101"/>
      <c r="MXQ58" s="101"/>
      <c r="MXR58" s="101"/>
      <c r="MXS58" s="101"/>
      <c r="MXT58" s="101"/>
      <c r="MXU58" s="101"/>
      <c r="MXV58" s="101"/>
      <c r="MXW58" s="101"/>
      <c r="MXX58" s="101"/>
      <c r="MXY58" s="101"/>
      <c r="MXZ58" s="101"/>
      <c r="MYA58" s="101"/>
      <c r="MYB58" s="101"/>
      <c r="MYC58" s="101"/>
      <c r="MYD58" s="101"/>
      <c r="MYE58" s="101"/>
      <c r="MYF58" s="101"/>
      <c r="MYG58" s="101"/>
      <c r="MYH58" s="101"/>
      <c r="MYI58" s="101"/>
      <c r="MYJ58" s="101"/>
      <c r="MYK58" s="101"/>
      <c r="MYL58" s="101"/>
      <c r="MYM58" s="101"/>
      <c r="MYN58" s="101"/>
      <c r="MYO58" s="101"/>
      <c r="MYP58" s="101"/>
      <c r="MYQ58" s="101"/>
      <c r="MYR58" s="101"/>
      <c r="MYS58" s="101"/>
      <c r="MYT58" s="101"/>
      <c r="MYU58" s="101"/>
      <c r="MYV58" s="101"/>
      <c r="MYW58" s="101"/>
      <c r="MYX58" s="101"/>
      <c r="MYY58" s="101"/>
      <c r="MYZ58" s="101"/>
      <c r="MZA58" s="101"/>
      <c r="MZB58" s="101"/>
      <c r="MZC58" s="101"/>
      <c r="MZD58" s="101"/>
      <c r="MZE58" s="101"/>
      <c r="MZF58" s="101"/>
      <c r="MZG58" s="101"/>
      <c r="MZH58" s="101"/>
      <c r="MZI58" s="101"/>
      <c r="MZJ58" s="101"/>
      <c r="MZK58" s="101"/>
      <c r="MZL58" s="101"/>
      <c r="MZM58" s="101"/>
      <c r="MZN58" s="101"/>
      <c r="MZO58" s="101"/>
      <c r="MZP58" s="101"/>
      <c r="MZQ58" s="101"/>
      <c r="MZR58" s="101"/>
      <c r="MZS58" s="101"/>
      <c r="MZT58" s="101"/>
      <c r="MZU58" s="101"/>
      <c r="MZV58" s="101"/>
      <c r="MZW58" s="101"/>
      <c r="MZX58" s="101"/>
      <c r="MZY58" s="101"/>
      <c r="MZZ58" s="101"/>
      <c r="NAA58" s="101"/>
      <c r="NAB58" s="101"/>
      <c r="NAC58" s="101"/>
      <c r="NAD58" s="101"/>
      <c r="NAE58" s="101"/>
      <c r="NAF58" s="101"/>
      <c r="NAG58" s="101"/>
      <c r="NAH58" s="101"/>
      <c r="NAI58" s="101"/>
      <c r="NAJ58" s="101"/>
      <c r="NAK58" s="101"/>
      <c r="NAL58" s="101"/>
      <c r="NAM58" s="101"/>
      <c r="NAN58" s="101"/>
      <c r="NAO58" s="101"/>
      <c r="NAP58" s="101"/>
      <c r="NAQ58" s="101"/>
      <c r="NAR58" s="101"/>
      <c r="NAS58" s="101"/>
      <c r="NAT58" s="101"/>
      <c r="NAU58" s="101"/>
      <c r="NAV58" s="101"/>
      <c r="NAW58" s="101"/>
      <c r="NAX58" s="101"/>
      <c r="NAY58" s="101"/>
      <c r="NAZ58" s="101"/>
      <c r="NBA58" s="101"/>
      <c r="NBB58" s="101"/>
      <c r="NBC58" s="101"/>
      <c r="NBD58" s="101"/>
      <c r="NBE58" s="101"/>
      <c r="NBF58" s="101"/>
      <c r="NBG58" s="101"/>
      <c r="NBH58" s="101"/>
      <c r="NBI58" s="101"/>
      <c r="NBJ58" s="101"/>
      <c r="NBK58" s="101"/>
      <c r="NBL58" s="101"/>
      <c r="NBM58" s="101"/>
      <c r="NBN58" s="101"/>
      <c r="NBO58" s="101"/>
      <c r="NBP58" s="101"/>
      <c r="NBQ58" s="101"/>
      <c r="NBR58" s="101"/>
      <c r="NBS58" s="101"/>
      <c r="NBT58" s="101"/>
      <c r="NBU58" s="101"/>
      <c r="NBV58" s="101"/>
      <c r="NBW58" s="101"/>
      <c r="NBX58" s="101"/>
      <c r="NBY58" s="101"/>
      <c r="NBZ58" s="101"/>
      <c r="NCA58" s="101"/>
      <c r="NCB58" s="101"/>
      <c r="NCC58" s="101"/>
      <c r="NCD58" s="101"/>
      <c r="NCE58" s="101"/>
      <c r="NCF58" s="101"/>
      <c r="NCG58" s="101"/>
      <c r="NCH58" s="101"/>
      <c r="NCI58" s="101"/>
      <c r="NCJ58" s="101"/>
      <c r="NCK58" s="101"/>
      <c r="NCL58" s="101"/>
      <c r="NCM58" s="101"/>
      <c r="NCN58" s="101"/>
      <c r="NCO58" s="101"/>
      <c r="NCP58" s="101"/>
      <c r="NCQ58" s="101"/>
      <c r="NCR58" s="101"/>
      <c r="NCS58" s="101"/>
      <c r="NCT58" s="101"/>
      <c r="NCU58" s="101"/>
      <c r="NCV58" s="101"/>
      <c r="NCW58" s="101"/>
      <c r="NCX58" s="101"/>
      <c r="NCY58" s="101"/>
      <c r="NCZ58" s="101"/>
      <c r="NDA58" s="101"/>
      <c r="NDB58" s="101"/>
      <c r="NDC58" s="101"/>
      <c r="NDD58" s="101"/>
      <c r="NDE58" s="101"/>
      <c r="NDF58" s="101"/>
      <c r="NDG58" s="101"/>
      <c r="NDH58" s="101"/>
      <c r="NDI58" s="101"/>
      <c r="NDJ58" s="101"/>
      <c r="NDK58" s="101"/>
      <c r="NDL58" s="101"/>
      <c r="NDM58" s="101"/>
      <c r="NDN58" s="101"/>
      <c r="NDO58" s="101"/>
      <c r="NDP58" s="101"/>
      <c r="NDQ58" s="101"/>
      <c r="NDR58" s="101"/>
      <c r="NDS58" s="101"/>
      <c r="NDT58" s="101"/>
      <c r="NDU58" s="101"/>
      <c r="NDV58" s="101"/>
      <c r="NDW58" s="101"/>
      <c r="NDX58" s="101"/>
      <c r="NDY58" s="101"/>
      <c r="NDZ58" s="101"/>
      <c r="NEA58" s="101"/>
      <c r="NEB58" s="101"/>
      <c r="NEC58" s="101"/>
      <c r="NED58" s="101"/>
      <c r="NEE58" s="101"/>
      <c r="NEF58" s="101"/>
      <c r="NEG58" s="101"/>
      <c r="NEH58" s="101"/>
      <c r="NEI58" s="101"/>
      <c r="NEJ58" s="101"/>
      <c r="NEK58" s="101"/>
      <c r="NEL58" s="101"/>
      <c r="NEM58" s="101"/>
      <c r="NEN58" s="101"/>
      <c r="NEO58" s="101"/>
      <c r="NEP58" s="101"/>
      <c r="NEQ58" s="101"/>
      <c r="NER58" s="101"/>
      <c r="NES58" s="101"/>
      <c r="NET58" s="101"/>
      <c r="NEU58" s="101"/>
      <c r="NEV58" s="101"/>
      <c r="NEW58" s="101"/>
      <c r="NEX58" s="101"/>
      <c r="NEY58" s="101"/>
      <c r="NEZ58" s="101"/>
      <c r="NFA58" s="101"/>
      <c r="NFB58" s="101"/>
      <c r="NFC58" s="101"/>
      <c r="NFD58" s="101"/>
      <c r="NFE58" s="101"/>
      <c r="NFF58" s="101"/>
      <c r="NFG58" s="101"/>
      <c r="NFH58" s="101"/>
      <c r="NFI58" s="101"/>
      <c r="NFJ58" s="101"/>
      <c r="NFK58" s="101"/>
      <c r="NFL58" s="101"/>
      <c r="NFM58" s="101"/>
      <c r="NFN58" s="101"/>
      <c r="NFO58" s="101"/>
      <c r="NFP58" s="101"/>
      <c r="NFQ58" s="101"/>
      <c r="NFR58" s="101"/>
      <c r="NFS58" s="101"/>
      <c r="NFT58" s="101"/>
      <c r="NFU58" s="101"/>
      <c r="NFV58" s="101"/>
      <c r="NFW58" s="101"/>
      <c r="NFX58" s="101"/>
      <c r="NFY58" s="101"/>
      <c r="NFZ58" s="101"/>
      <c r="NGA58" s="101"/>
      <c r="NGB58" s="101"/>
      <c r="NGC58" s="101"/>
      <c r="NGD58" s="101"/>
      <c r="NGE58" s="101"/>
      <c r="NGF58" s="101"/>
      <c r="NGG58" s="101"/>
      <c r="NGH58" s="101"/>
      <c r="NGI58" s="101"/>
      <c r="NGJ58" s="101"/>
      <c r="NGK58" s="101"/>
      <c r="NGL58" s="101"/>
      <c r="NGM58" s="101"/>
      <c r="NGN58" s="101"/>
      <c r="NGO58" s="101"/>
      <c r="NGP58" s="101"/>
      <c r="NGQ58" s="101"/>
      <c r="NGR58" s="101"/>
      <c r="NGS58" s="101"/>
      <c r="NGT58" s="101"/>
      <c r="NGU58" s="101"/>
      <c r="NGV58" s="101"/>
      <c r="NGW58" s="101"/>
      <c r="NGX58" s="101"/>
      <c r="NGY58" s="101"/>
      <c r="NGZ58" s="101"/>
      <c r="NHA58" s="101"/>
      <c r="NHB58" s="101"/>
      <c r="NHC58" s="101"/>
      <c r="NHD58" s="101"/>
      <c r="NHE58" s="101"/>
      <c r="NHF58" s="101"/>
      <c r="NHG58" s="101"/>
      <c r="NHH58" s="101"/>
      <c r="NHI58" s="101"/>
      <c r="NHJ58" s="101"/>
      <c r="NHK58" s="101"/>
      <c r="NHL58" s="101"/>
      <c r="NHM58" s="101"/>
      <c r="NHN58" s="101"/>
      <c r="NHO58" s="101"/>
      <c r="NHP58" s="101"/>
      <c r="NHQ58" s="101"/>
      <c r="NHR58" s="101"/>
      <c r="NHS58" s="101"/>
      <c r="NHT58" s="101"/>
      <c r="NHU58" s="101"/>
      <c r="NHV58" s="101"/>
      <c r="NHW58" s="101"/>
      <c r="NHX58" s="101"/>
      <c r="NHY58" s="101"/>
      <c r="NHZ58" s="101"/>
      <c r="NIA58" s="101"/>
      <c r="NIB58" s="101"/>
      <c r="NIC58" s="101"/>
      <c r="NID58" s="101"/>
      <c r="NIE58" s="101"/>
      <c r="NIF58" s="101"/>
      <c r="NIG58" s="101"/>
      <c r="NIH58" s="101"/>
      <c r="NII58" s="101"/>
      <c r="NIJ58" s="101"/>
      <c r="NIK58" s="101"/>
      <c r="NIL58" s="101"/>
      <c r="NIM58" s="101"/>
      <c r="NIN58" s="101"/>
      <c r="NIO58" s="101"/>
      <c r="NIP58" s="101"/>
      <c r="NIQ58" s="101"/>
      <c r="NIR58" s="101"/>
      <c r="NIS58" s="101"/>
      <c r="NIT58" s="101"/>
      <c r="NIU58" s="101"/>
      <c r="NIV58" s="101"/>
      <c r="NIW58" s="101"/>
      <c r="NIX58" s="101"/>
      <c r="NIY58" s="101"/>
      <c r="NIZ58" s="101"/>
      <c r="NJA58" s="101"/>
      <c r="NJB58" s="101"/>
      <c r="NJC58" s="101"/>
      <c r="NJD58" s="101"/>
      <c r="NJE58" s="101"/>
      <c r="NJF58" s="101"/>
      <c r="NJG58" s="101"/>
      <c r="NJH58" s="101"/>
      <c r="NJI58" s="101"/>
      <c r="NJJ58" s="101"/>
      <c r="NJK58" s="101"/>
      <c r="NJL58" s="101"/>
      <c r="NJM58" s="101"/>
      <c r="NJN58" s="101"/>
      <c r="NJO58" s="101"/>
      <c r="NJP58" s="101"/>
      <c r="NJQ58" s="101"/>
      <c r="NJR58" s="101"/>
      <c r="NJS58" s="101"/>
      <c r="NJT58" s="101"/>
      <c r="NJU58" s="101"/>
      <c r="NJV58" s="101"/>
      <c r="NJW58" s="101"/>
      <c r="NJX58" s="101"/>
      <c r="NJY58" s="101"/>
      <c r="NJZ58" s="101"/>
      <c r="NKA58" s="101"/>
      <c r="NKB58" s="101"/>
      <c r="NKC58" s="101"/>
      <c r="NKD58" s="101"/>
      <c r="NKE58" s="101"/>
      <c r="NKF58" s="101"/>
      <c r="NKG58" s="101"/>
      <c r="NKH58" s="101"/>
      <c r="NKI58" s="101"/>
      <c r="NKJ58" s="101"/>
      <c r="NKK58" s="101"/>
      <c r="NKL58" s="101"/>
      <c r="NKM58" s="101"/>
      <c r="NKN58" s="101"/>
      <c r="NKO58" s="101"/>
      <c r="NKP58" s="101"/>
      <c r="NKQ58" s="101"/>
      <c r="NKR58" s="101"/>
      <c r="NKS58" s="101"/>
      <c r="NKT58" s="101"/>
      <c r="NKU58" s="101"/>
      <c r="NKV58" s="101"/>
      <c r="NKW58" s="101"/>
      <c r="NKX58" s="101"/>
      <c r="NKY58" s="101"/>
      <c r="NKZ58" s="101"/>
      <c r="NLA58" s="101"/>
      <c r="NLB58" s="101"/>
      <c r="NLC58" s="101"/>
      <c r="NLD58" s="101"/>
      <c r="NLE58" s="101"/>
      <c r="NLF58" s="101"/>
      <c r="NLG58" s="101"/>
      <c r="NLH58" s="101"/>
      <c r="NLI58" s="101"/>
      <c r="NLJ58" s="101"/>
      <c r="NLK58" s="101"/>
      <c r="NLL58" s="101"/>
      <c r="NLM58" s="101"/>
      <c r="NLN58" s="101"/>
      <c r="NLO58" s="101"/>
      <c r="NLP58" s="101"/>
      <c r="NLQ58" s="101"/>
      <c r="NLR58" s="101"/>
      <c r="NLS58" s="101"/>
      <c r="NLT58" s="101"/>
      <c r="NLU58" s="101"/>
      <c r="NLV58" s="101"/>
      <c r="NLW58" s="101"/>
      <c r="NLX58" s="101"/>
      <c r="NLY58" s="101"/>
      <c r="NLZ58" s="101"/>
      <c r="NMA58" s="101"/>
      <c r="NMB58" s="101"/>
      <c r="NMC58" s="101"/>
      <c r="NMD58" s="101"/>
      <c r="NME58" s="101"/>
      <c r="NMF58" s="101"/>
      <c r="NMG58" s="101"/>
      <c r="NMH58" s="101"/>
      <c r="NMI58" s="101"/>
      <c r="NMJ58" s="101"/>
      <c r="NMK58" s="101"/>
      <c r="NML58" s="101"/>
      <c r="NMM58" s="101"/>
      <c r="NMN58" s="101"/>
      <c r="NMO58" s="101"/>
      <c r="NMP58" s="101"/>
      <c r="NMQ58" s="101"/>
      <c r="NMR58" s="101"/>
      <c r="NMS58" s="101"/>
      <c r="NMT58" s="101"/>
      <c r="NMU58" s="101"/>
      <c r="NMV58" s="101"/>
      <c r="NMW58" s="101"/>
      <c r="NMX58" s="101"/>
      <c r="NMY58" s="101"/>
      <c r="NMZ58" s="101"/>
      <c r="NNA58" s="101"/>
      <c r="NNB58" s="101"/>
      <c r="NNC58" s="101"/>
      <c r="NND58" s="101"/>
      <c r="NNE58" s="101"/>
      <c r="NNF58" s="101"/>
      <c r="NNG58" s="101"/>
      <c r="NNH58" s="101"/>
      <c r="NNI58" s="101"/>
      <c r="NNJ58" s="101"/>
      <c r="NNK58" s="101"/>
      <c r="NNL58" s="101"/>
      <c r="NNM58" s="101"/>
      <c r="NNN58" s="101"/>
      <c r="NNO58" s="101"/>
      <c r="NNP58" s="101"/>
      <c r="NNQ58" s="101"/>
      <c r="NNR58" s="101"/>
      <c r="NNS58" s="101"/>
      <c r="NNT58" s="101"/>
      <c r="NNU58" s="101"/>
      <c r="NNV58" s="101"/>
      <c r="NNW58" s="101"/>
      <c r="NNX58" s="101"/>
      <c r="NNY58" s="101"/>
      <c r="NNZ58" s="101"/>
      <c r="NOA58" s="101"/>
      <c r="NOB58" s="101"/>
      <c r="NOC58" s="101"/>
      <c r="NOD58" s="101"/>
      <c r="NOE58" s="101"/>
      <c r="NOF58" s="101"/>
      <c r="NOG58" s="101"/>
      <c r="NOH58" s="101"/>
      <c r="NOI58" s="101"/>
      <c r="NOJ58" s="101"/>
      <c r="NOK58" s="101"/>
      <c r="NOL58" s="101"/>
      <c r="NOM58" s="101"/>
      <c r="NON58" s="101"/>
      <c r="NOO58" s="101"/>
      <c r="NOP58" s="101"/>
      <c r="NOQ58" s="101"/>
      <c r="NOR58" s="101"/>
      <c r="NOS58" s="101"/>
      <c r="NOT58" s="101"/>
      <c r="NOU58" s="101"/>
      <c r="NOV58" s="101"/>
      <c r="NOW58" s="101"/>
      <c r="NOX58" s="101"/>
      <c r="NOY58" s="101"/>
      <c r="NOZ58" s="101"/>
      <c r="NPA58" s="101"/>
      <c r="NPB58" s="101"/>
      <c r="NPC58" s="101"/>
      <c r="NPD58" s="101"/>
      <c r="NPE58" s="101"/>
      <c r="NPF58" s="101"/>
      <c r="NPG58" s="101"/>
      <c r="NPH58" s="101"/>
      <c r="NPI58" s="101"/>
      <c r="NPJ58" s="101"/>
      <c r="NPK58" s="101"/>
      <c r="NPL58" s="101"/>
      <c r="NPM58" s="101"/>
      <c r="NPN58" s="101"/>
      <c r="NPO58" s="101"/>
      <c r="NPP58" s="101"/>
      <c r="NPQ58" s="101"/>
      <c r="NPR58" s="101"/>
      <c r="NPS58" s="101"/>
      <c r="NPT58" s="101"/>
      <c r="NPU58" s="101"/>
      <c r="NPV58" s="101"/>
      <c r="NPW58" s="101"/>
      <c r="NPX58" s="101"/>
      <c r="NPY58" s="101"/>
      <c r="NPZ58" s="101"/>
      <c r="NQA58" s="101"/>
      <c r="NQB58" s="101"/>
      <c r="NQC58" s="101"/>
      <c r="NQD58" s="101"/>
      <c r="NQE58" s="101"/>
      <c r="NQF58" s="101"/>
      <c r="NQG58" s="101"/>
      <c r="NQH58" s="101"/>
      <c r="NQI58" s="101"/>
      <c r="NQJ58" s="101"/>
      <c r="NQK58" s="101"/>
      <c r="NQL58" s="101"/>
      <c r="NQM58" s="101"/>
      <c r="NQN58" s="101"/>
      <c r="NQO58" s="101"/>
      <c r="NQP58" s="101"/>
      <c r="NQQ58" s="101"/>
      <c r="NQR58" s="101"/>
      <c r="NQS58" s="101"/>
      <c r="NQT58" s="101"/>
      <c r="NQU58" s="101"/>
      <c r="NQV58" s="101"/>
      <c r="NQW58" s="101"/>
      <c r="NQX58" s="101"/>
      <c r="NQY58" s="101"/>
      <c r="NQZ58" s="101"/>
      <c r="NRA58" s="101"/>
      <c r="NRB58" s="101"/>
      <c r="NRC58" s="101"/>
      <c r="NRD58" s="101"/>
      <c r="NRE58" s="101"/>
    </row>
    <row r="59" spans="1:9937" ht="25" customHeight="1" x14ac:dyDescent="0.45">
      <c r="A59" s="191" t="s">
        <v>481</v>
      </c>
      <c r="B59" s="190"/>
      <c r="C59" s="392">
        <f t="shared" ref="C59:E59" si="15">C36*C51</f>
        <v>0</v>
      </c>
      <c r="D59" s="392">
        <f>IF(D4=0,0,D36*D51)</f>
        <v>0</v>
      </c>
      <c r="E59" s="392">
        <f t="shared" si="15"/>
        <v>0</v>
      </c>
      <c r="F59" s="364">
        <f t="shared" ref="F59" si="16">F36*F51</f>
        <v>0</v>
      </c>
    </row>
    <row r="60" spans="1:9937" ht="25" customHeight="1" x14ac:dyDescent="0.45">
      <c r="A60" s="191" t="s">
        <v>628</v>
      </c>
      <c r="B60" s="190"/>
      <c r="C60" s="392"/>
      <c r="D60" s="392"/>
      <c r="E60" s="392"/>
      <c r="F60" s="364"/>
    </row>
    <row r="61" spans="1:9937" ht="25" customHeight="1" x14ac:dyDescent="0.45">
      <c r="A61" s="191" t="s">
        <v>629</v>
      </c>
      <c r="B61" s="190"/>
      <c r="C61" s="392">
        <f t="shared" ref="C61:E61" si="17">(C19-(C16*$B$16+C17*$B$17))*C51</f>
        <v>0</v>
      </c>
      <c r="D61" s="392">
        <f t="shared" si="17"/>
        <v>0</v>
      </c>
      <c r="E61" s="392">
        <f t="shared" si="17"/>
        <v>0</v>
      </c>
      <c r="F61" s="364">
        <f t="shared" ref="F61" si="18">(F19-(F16*$B$16+F17*$B$17))*F51</f>
        <v>0</v>
      </c>
    </row>
    <row r="62" spans="1:9937" ht="25" customHeight="1" x14ac:dyDescent="0.45">
      <c r="A62" s="191" t="s">
        <v>630</v>
      </c>
      <c r="B62" s="190"/>
      <c r="C62" s="392">
        <f t="shared" ref="C62:E62" si="19">C33*$B$33*C51</f>
        <v>0</v>
      </c>
      <c r="D62" s="392">
        <f t="shared" si="19"/>
        <v>0</v>
      </c>
      <c r="E62" s="392">
        <f t="shared" si="19"/>
        <v>0</v>
      </c>
      <c r="F62" s="364">
        <f t="shared" ref="F62" si="20">F33*$B$33*F51</f>
        <v>0</v>
      </c>
    </row>
    <row r="63" spans="1:9937" ht="25" customHeight="1" x14ac:dyDescent="0.45">
      <c r="A63" s="191" t="s">
        <v>631</v>
      </c>
      <c r="B63" s="190"/>
      <c r="C63" s="392">
        <f t="shared" ref="C63:E63" si="21">C17*$B$17*C51</f>
        <v>0</v>
      </c>
      <c r="D63" s="392">
        <f t="shared" si="21"/>
        <v>0</v>
      </c>
      <c r="E63" s="392">
        <f t="shared" si="21"/>
        <v>0</v>
      </c>
      <c r="F63" s="364">
        <f t="shared" ref="F63" si="22">F17*$B$17*F51</f>
        <v>0</v>
      </c>
    </row>
    <row r="64" spans="1:9937" ht="25" customHeight="1" x14ac:dyDescent="0.45">
      <c r="A64" s="191" t="s">
        <v>632</v>
      </c>
      <c r="B64" s="190"/>
      <c r="C64" s="392">
        <f t="shared" ref="C64:E64" si="23">C16*$B$16*C51</f>
        <v>0</v>
      </c>
      <c r="D64" s="392">
        <f t="shared" si="23"/>
        <v>0</v>
      </c>
      <c r="E64" s="392">
        <f t="shared" si="23"/>
        <v>0</v>
      </c>
      <c r="F64" s="364">
        <f t="shared" ref="F64" si="24">F16*$B$16*F51</f>
        <v>0</v>
      </c>
    </row>
    <row r="65" spans="1:6" ht="25" customHeight="1" x14ac:dyDescent="0.45">
      <c r="A65" s="191" t="s">
        <v>633</v>
      </c>
      <c r="B65" s="190"/>
      <c r="C65" s="392">
        <f t="shared" ref="C65:E65" si="25">C32*C51*0.75</f>
        <v>0</v>
      </c>
      <c r="D65" s="392">
        <f t="shared" si="25"/>
        <v>0</v>
      </c>
      <c r="E65" s="392">
        <f t="shared" si="25"/>
        <v>0</v>
      </c>
      <c r="F65" s="364">
        <f t="shared" ref="F65" si="26">F32*F51*0.75</f>
        <v>0</v>
      </c>
    </row>
    <row r="66" spans="1:6" ht="25" customHeight="1" x14ac:dyDescent="0.45">
      <c r="A66" s="191" t="s">
        <v>808</v>
      </c>
      <c r="B66" s="474"/>
      <c r="C66" s="475">
        <f>VLOOKUP(A3,INITIAL_EST_PY,135,FALSE)</f>
        <v>0</v>
      </c>
      <c r="D66" s="475">
        <f>C66</f>
        <v>0</v>
      </c>
      <c r="E66" s="475">
        <f>D66</f>
        <v>0</v>
      </c>
      <c r="F66" s="476">
        <f>E66</f>
        <v>0</v>
      </c>
    </row>
    <row r="67" spans="1:6" ht="25" customHeight="1" x14ac:dyDescent="0.45">
      <c r="A67" s="192" t="s">
        <v>482</v>
      </c>
      <c r="B67" s="193"/>
      <c r="C67" s="392">
        <f>SUM(C61:C66)</f>
        <v>0</v>
      </c>
      <c r="D67" s="392">
        <f t="shared" ref="D67:F67" si="27">SUM(D61:D66)</f>
        <v>0</v>
      </c>
      <c r="E67" s="392">
        <f t="shared" si="27"/>
        <v>0</v>
      </c>
      <c r="F67" s="476">
        <f t="shared" si="27"/>
        <v>0</v>
      </c>
    </row>
    <row r="68" spans="1:6" ht="25" customHeight="1" x14ac:dyDescent="0.45">
      <c r="A68" s="192" t="s">
        <v>634</v>
      </c>
      <c r="B68" s="193"/>
      <c r="C68" s="408"/>
      <c r="D68" s="408"/>
      <c r="E68" s="408"/>
      <c r="F68" s="365"/>
    </row>
    <row r="69" spans="1:6" ht="25" customHeight="1" x14ac:dyDescent="0.45">
      <c r="A69" s="194" t="s">
        <v>635</v>
      </c>
      <c r="B69" s="193"/>
      <c r="C69" s="392">
        <f t="shared" ref="C69" si="28">C34*$B$34*C51</f>
        <v>0</v>
      </c>
      <c r="D69" s="392">
        <f>IF(D4=0,0,D34*$B$34*D51)</f>
        <v>0</v>
      </c>
      <c r="E69" s="392">
        <f>IF(E4=0,0,E34*$B$34*E51)</f>
        <v>0</v>
      </c>
      <c r="F69" s="364">
        <f>IF(F4=0,0,F34*$B$34*F51)</f>
        <v>0</v>
      </c>
    </row>
    <row r="70" spans="1:6" ht="25" customHeight="1" x14ac:dyDescent="0.45">
      <c r="A70" s="194" t="s">
        <v>636</v>
      </c>
      <c r="B70" s="193"/>
      <c r="C70" s="392">
        <f t="shared" ref="C70:E70" si="29">C35*$B$35</f>
        <v>0</v>
      </c>
      <c r="D70" s="392">
        <f t="shared" si="29"/>
        <v>0</v>
      </c>
      <c r="E70" s="392">
        <f t="shared" si="29"/>
        <v>0</v>
      </c>
      <c r="F70" s="364">
        <f t="shared" ref="F70" si="30">F35*$B$35</f>
        <v>0</v>
      </c>
    </row>
    <row r="71" spans="1:6" ht="25" customHeight="1" x14ac:dyDescent="0.45">
      <c r="A71" s="192" t="s">
        <v>487</v>
      </c>
      <c r="B71" s="193"/>
      <c r="C71" s="392">
        <f>SUM(C69:C70)</f>
        <v>0</v>
      </c>
      <c r="D71" s="392">
        <f t="shared" ref="D71:E71" si="31">SUM(D69:D70)</f>
        <v>0</v>
      </c>
      <c r="E71" s="392">
        <f t="shared" si="31"/>
        <v>0</v>
      </c>
      <c r="F71" s="364">
        <f t="shared" ref="F71" si="32">SUM(F69:F70)</f>
        <v>0</v>
      </c>
    </row>
    <row r="72" spans="1:6" ht="25" customHeight="1" x14ac:dyDescent="0.45">
      <c r="A72" s="192" t="s">
        <v>627</v>
      </c>
      <c r="B72" s="193"/>
      <c r="C72" s="392">
        <f t="shared" ref="C72" si="33">C37*$B$37*C51</f>
        <v>0</v>
      </c>
      <c r="D72" s="392">
        <f>IF(D4=0,0,D37*$B$37*D51)</f>
        <v>0</v>
      </c>
      <c r="E72" s="392">
        <f>IF(E4=0,0,E37*$B$37*E51)</f>
        <v>0</v>
      </c>
      <c r="F72" s="364">
        <f>IF(F4=0,0,F37*$B$37*F51)</f>
        <v>0</v>
      </c>
    </row>
    <row r="73" spans="1:6" ht="25" customHeight="1" x14ac:dyDescent="0.45">
      <c r="A73" s="192" t="s">
        <v>650</v>
      </c>
      <c r="B73" s="193"/>
      <c r="C73" s="392"/>
      <c r="D73" s="392"/>
      <c r="E73" s="392"/>
      <c r="F73" s="364"/>
    </row>
    <row r="74" spans="1:6" ht="25" customHeight="1" x14ac:dyDescent="0.45">
      <c r="A74" s="192" t="s">
        <v>648</v>
      </c>
      <c r="B74" s="193"/>
      <c r="C74" s="392">
        <f t="shared" ref="C74" si="34">C38*$B$38*C51</f>
        <v>0</v>
      </c>
      <c r="D74" s="392">
        <f>IF(D4=0,0,D38*$B$38*D51)</f>
        <v>0</v>
      </c>
      <c r="E74" s="392">
        <f>IF(E4=0,0,E38*$B$38*E51)</f>
        <v>0</v>
      </c>
      <c r="F74" s="364">
        <f>IF(F4=0,0,F38*$B$38*F51)</f>
        <v>0</v>
      </c>
    </row>
    <row r="75" spans="1:6" ht="25" customHeight="1" x14ac:dyDescent="0.45">
      <c r="A75" s="192" t="s">
        <v>649</v>
      </c>
      <c r="B75" s="193"/>
      <c r="C75" s="392">
        <f t="shared" ref="C75:E75" si="35">C39*$B$39*C51</f>
        <v>0</v>
      </c>
      <c r="D75" s="392">
        <f t="shared" si="35"/>
        <v>0</v>
      </c>
      <c r="E75" s="392">
        <f t="shared" si="35"/>
        <v>0</v>
      </c>
      <c r="F75" s="364">
        <f t="shared" ref="F75" si="36">F39*$B$39*F51</f>
        <v>0</v>
      </c>
    </row>
    <row r="76" spans="1:6" ht="25" customHeight="1" x14ac:dyDescent="0.45">
      <c r="A76" s="192" t="s">
        <v>483</v>
      </c>
      <c r="B76" s="193"/>
      <c r="C76" s="392">
        <f>SUM(C74:C75)</f>
        <v>0</v>
      </c>
      <c r="D76" s="392">
        <f t="shared" ref="D76:E76" si="37">SUM(D74:D75)</f>
        <v>0</v>
      </c>
      <c r="E76" s="392">
        <f t="shared" si="37"/>
        <v>0</v>
      </c>
      <c r="F76" s="364">
        <f t="shared" ref="F76" si="38">SUM(F74:F75)</f>
        <v>0</v>
      </c>
    </row>
    <row r="77" spans="1:6" ht="25" customHeight="1" x14ac:dyDescent="0.45">
      <c r="A77" s="192" t="s">
        <v>484</v>
      </c>
      <c r="B77" s="193"/>
      <c r="C77" s="392">
        <f t="shared" ref="C77:E77" si="39">C40*$B$40*C51</f>
        <v>0</v>
      </c>
      <c r="D77" s="392">
        <f t="shared" si="39"/>
        <v>0</v>
      </c>
      <c r="E77" s="392">
        <f t="shared" si="39"/>
        <v>0</v>
      </c>
      <c r="F77" s="364">
        <f t="shared" ref="F77" si="40">F40*$B$40*F51</f>
        <v>0</v>
      </c>
    </row>
    <row r="78" spans="1:6" ht="25" customHeight="1" x14ac:dyDescent="0.45">
      <c r="A78" s="192" t="s">
        <v>491</v>
      </c>
      <c r="B78" s="193"/>
      <c r="C78" s="400">
        <f>VLOOKUP($A$3,INITIAL_EST_PY,80,FALSE)</f>
        <v>0</v>
      </c>
      <c r="D78" s="392">
        <f>C78</f>
        <v>0</v>
      </c>
      <c r="E78" s="392">
        <f>D78</f>
        <v>0</v>
      </c>
      <c r="F78" s="364">
        <f>E78</f>
        <v>0</v>
      </c>
    </row>
    <row r="79" spans="1:6" ht="25" customHeight="1" x14ac:dyDescent="0.45">
      <c r="A79" s="192" t="s">
        <v>582</v>
      </c>
      <c r="B79" s="193"/>
      <c r="C79" s="400"/>
      <c r="D79" s="392"/>
      <c r="E79" s="409"/>
      <c r="F79" s="384"/>
    </row>
    <row r="80" spans="1:6" ht="25" customHeight="1" x14ac:dyDescent="0.45">
      <c r="A80" s="192" t="s">
        <v>889</v>
      </c>
      <c r="B80" s="193"/>
      <c r="C80" s="400">
        <f>VLOOKUP(A3,INITIAL_EST_PY,171,FALSE)</f>
        <v>0</v>
      </c>
      <c r="D80" s="392">
        <f>C80</f>
        <v>0</v>
      </c>
      <c r="E80" s="410">
        <f>D80</f>
        <v>0</v>
      </c>
      <c r="F80" s="411">
        <f>E80</f>
        <v>0</v>
      </c>
    </row>
    <row r="81" spans="1:9937" ht="25" customHeight="1" x14ac:dyDescent="0.45">
      <c r="A81" s="192" t="s">
        <v>645</v>
      </c>
      <c r="B81" s="193"/>
      <c r="C81" s="400">
        <f>VLOOKUP($A$3,INITIAL_EST_PY,172,FALSE)</f>
        <v>0</v>
      </c>
      <c r="D81" s="392">
        <f t="shared" ref="D81:F84" si="41">C81</f>
        <v>0</v>
      </c>
      <c r="E81" s="410">
        <f t="shared" si="41"/>
        <v>0</v>
      </c>
      <c r="F81" s="411">
        <f t="shared" si="41"/>
        <v>0</v>
      </c>
    </row>
    <row r="82" spans="1:9937" ht="25" customHeight="1" x14ac:dyDescent="0.45">
      <c r="A82" s="192" t="s">
        <v>817</v>
      </c>
      <c r="B82" s="193"/>
      <c r="C82" s="400">
        <f>VLOOKUP($A$3,INITIAL_EST_PY,175,FALSE)</f>
        <v>0</v>
      </c>
      <c r="D82" s="392">
        <f t="shared" si="41"/>
        <v>0</v>
      </c>
      <c r="E82" s="410">
        <f t="shared" si="41"/>
        <v>0</v>
      </c>
      <c r="F82" s="411">
        <f t="shared" si="41"/>
        <v>0</v>
      </c>
    </row>
    <row r="83" spans="1:9937" ht="25" customHeight="1" x14ac:dyDescent="0.45">
      <c r="A83" s="192" t="s">
        <v>480</v>
      </c>
      <c r="B83" s="193"/>
      <c r="C83" s="392">
        <f>SUM(C80:C82)</f>
        <v>0</v>
      </c>
      <c r="D83" s="392">
        <f t="shared" si="41"/>
        <v>0</v>
      </c>
      <c r="E83" s="410">
        <f t="shared" si="41"/>
        <v>0</v>
      </c>
      <c r="F83" s="411">
        <f t="shared" si="41"/>
        <v>0</v>
      </c>
    </row>
    <row r="84" spans="1:9937" ht="25" customHeight="1" x14ac:dyDescent="0.45">
      <c r="A84" s="192" t="s">
        <v>488</v>
      </c>
      <c r="B84" s="193"/>
      <c r="C84" s="473">
        <f t="shared" ref="C84" si="42">IF(C4&gt;C5,C5*$B$5,C4*$B$5)</f>
        <v>0</v>
      </c>
      <c r="D84" s="392">
        <f t="shared" si="41"/>
        <v>0</v>
      </c>
      <c r="E84" s="410">
        <f t="shared" si="41"/>
        <v>0</v>
      </c>
      <c r="F84" s="411">
        <f t="shared" si="41"/>
        <v>0</v>
      </c>
    </row>
    <row r="85" spans="1:9937" s="5" customFormat="1" ht="25" customHeight="1" thickBot="1" x14ac:dyDescent="0.5">
      <c r="A85" s="195" t="s">
        <v>639</v>
      </c>
      <c r="B85" s="495"/>
      <c r="C85" s="412">
        <f>+C59+C67+C71+C72+C76+C77+C78+C83+C84</f>
        <v>0</v>
      </c>
      <c r="D85" s="412">
        <f>+D59+D67+D71+D72+D76+D77+D78+D83+D84</f>
        <v>0</v>
      </c>
      <c r="E85" s="412">
        <f>+E59+E67+E71+E72+E76+E77+E78+E83+E84</f>
        <v>0</v>
      </c>
      <c r="F85" s="368">
        <f>+F59+F67+F71+F72+F76+F77+F78+F83+F84</f>
        <v>0</v>
      </c>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c r="JX85" s="91"/>
      <c r="JY85" s="91"/>
      <c r="JZ85" s="91"/>
      <c r="KA85" s="91"/>
      <c r="KB85" s="91"/>
      <c r="KC85" s="91"/>
      <c r="KD85" s="91"/>
      <c r="KE85" s="91"/>
      <c r="KF85" s="91"/>
      <c r="KG85" s="91"/>
      <c r="KH85" s="91"/>
      <c r="KI85" s="91"/>
      <c r="KJ85" s="91"/>
      <c r="KK85" s="91"/>
      <c r="KL85" s="91"/>
      <c r="KM85" s="91"/>
      <c r="KN85" s="91"/>
      <c r="KO85" s="91"/>
      <c r="KP85" s="91"/>
      <c r="KQ85" s="91"/>
      <c r="KR85" s="91"/>
      <c r="KS85" s="91"/>
      <c r="KT85" s="91"/>
      <c r="KU85" s="91"/>
      <c r="KV85" s="91"/>
      <c r="KW85" s="91"/>
      <c r="KX85" s="91"/>
      <c r="KY85" s="91"/>
      <c r="KZ85" s="91"/>
      <c r="LA85" s="91"/>
      <c r="LB85" s="91"/>
      <c r="LC85" s="91"/>
      <c r="LD85" s="91"/>
      <c r="LE85" s="91"/>
      <c r="LF85" s="91"/>
      <c r="LG85" s="91"/>
      <c r="LH85" s="91"/>
      <c r="LI85" s="91"/>
      <c r="LJ85" s="91"/>
      <c r="LK85" s="91"/>
      <c r="LL85" s="91"/>
      <c r="LM85" s="91"/>
      <c r="LN85" s="91"/>
      <c r="LO85" s="91"/>
      <c r="LP85" s="91"/>
      <c r="LQ85" s="91"/>
      <c r="LR85" s="91"/>
      <c r="LS85" s="91"/>
      <c r="LT85" s="91"/>
      <c r="LU85" s="91"/>
      <c r="LV85" s="91"/>
      <c r="LW85" s="91"/>
      <c r="LX85" s="91"/>
      <c r="LY85" s="91"/>
      <c r="LZ85" s="91"/>
      <c r="MA85" s="91"/>
      <c r="MB85" s="91"/>
      <c r="MC85" s="91"/>
      <c r="MD85" s="91"/>
      <c r="ME85" s="91"/>
      <c r="MF85" s="91"/>
      <c r="MG85" s="91"/>
      <c r="MH85" s="91"/>
      <c r="MI85" s="91"/>
      <c r="MJ85" s="91"/>
      <c r="MK85" s="91"/>
      <c r="ML85" s="91"/>
      <c r="MM85" s="91"/>
      <c r="MN85" s="91"/>
      <c r="MO85" s="91"/>
      <c r="MP85" s="91"/>
      <c r="MQ85" s="91"/>
      <c r="MR85" s="91"/>
      <c r="MS85" s="91"/>
      <c r="MT85" s="91"/>
      <c r="MU85" s="91"/>
      <c r="MV85" s="91"/>
      <c r="MW85" s="91"/>
      <c r="MX85" s="91"/>
      <c r="MY85" s="91"/>
      <c r="MZ85" s="91"/>
      <c r="NA85" s="91"/>
      <c r="NB85" s="91"/>
      <c r="NC85" s="91"/>
      <c r="ND85" s="91"/>
      <c r="NE85" s="91"/>
      <c r="NF85" s="91"/>
      <c r="NG85" s="91"/>
      <c r="NH85" s="91"/>
      <c r="NI85" s="91"/>
      <c r="NJ85" s="91"/>
      <c r="NK85" s="91"/>
      <c r="NL85" s="91"/>
      <c r="NM85" s="91"/>
      <c r="NN85" s="91"/>
      <c r="NO85" s="91"/>
      <c r="NP85" s="91"/>
      <c r="NQ85" s="91"/>
      <c r="NR85" s="91"/>
      <c r="NS85" s="91"/>
      <c r="NT85" s="91"/>
      <c r="NU85" s="91"/>
      <c r="NV85" s="91"/>
      <c r="NW85" s="91"/>
      <c r="NX85" s="91"/>
      <c r="NY85" s="91"/>
      <c r="NZ85" s="91"/>
      <c r="OA85" s="91"/>
      <c r="OB85" s="91"/>
      <c r="OC85" s="91"/>
      <c r="OD85" s="91"/>
      <c r="OE85" s="91"/>
      <c r="OF85" s="91"/>
      <c r="OG85" s="91"/>
      <c r="OH85" s="91"/>
      <c r="OI85" s="91"/>
      <c r="OJ85" s="91"/>
      <c r="OK85" s="91"/>
      <c r="OL85" s="91"/>
      <c r="OM85" s="91"/>
      <c r="ON85" s="91"/>
      <c r="OO85" s="91"/>
      <c r="OP85" s="91"/>
      <c r="OQ85" s="91"/>
      <c r="OR85" s="91"/>
      <c r="OS85" s="91"/>
      <c r="OT85" s="91"/>
      <c r="OU85" s="91"/>
      <c r="OV85" s="91"/>
      <c r="OW85" s="91"/>
      <c r="OX85" s="91"/>
      <c r="OY85" s="91"/>
      <c r="OZ85" s="91"/>
      <c r="PA85" s="91"/>
      <c r="PB85" s="91"/>
      <c r="PC85" s="91"/>
      <c r="PD85" s="91"/>
      <c r="PE85" s="91"/>
      <c r="PF85" s="91"/>
      <c r="PG85" s="91"/>
      <c r="PH85" s="91"/>
      <c r="PI85" s="91"/>
      <c r="PJ85" s="91"/>
      <c r="PK85" s="91"/>
      <c r="PL85" s="91"/>
      <c r="PM85" s="91"/>
      <c r="PN85" s="91"/>
      <c r="PO85" s="91"/>
      <c r="PP85" s="91"/>
      <c r="PQ85" s="91"/>
      <c r="PR85" s="91"/>
      <c r="PS85" s="91"/>
      <c r="PT85" s="91"/>
      <c r="PU85" s="91"/>
      <c r="PV85" s="91"/>
      <c r="PW85" s="91"/>
      <c r="PX85" s="91"/>
      <c r="PY85" s="91"/>
      <c r="PZ85" s="91"/>
      <c r="QA85" s="91"/>
      <c r="QB85" s="91"/>
      <c r="QC85" s="91"/>
      <c r="QD85" s="91"/>
      <c r="QE85" s="91"/>
      <c r="QF85" s="91"/>
      <c r="QG85" s="91"/>
      <c r="QH85" s="91"/>
      <c r="QI85" s="91"/>
      <c r="QJ85" s="91"/>
      <c r="QK85" s="91"/>
      <c r="QL85" s="91"/>
      <c r="QM85" s="91"/>
      <c r="QN85" s="91"/>
      <c r="QO85" s="91"/>
      <c r="QP85" s="91"/>
      <c r="QQ85" s="91"/>
      <c r="QR85" s="91"/>
      <c r="QS85" s="91"/>
      <c r="QT85" s="91"/>
      <c r="QU85" s="91"/>
      <c r="QV85" s="91"/>
      <c r="QW85" s="91"/>
      <c r="QX85" s="91"/>
      <c r="QY85" s="91"/>
      <c r="QZ85" s="91"/>
      <c r="RA85" s="91"/>
      <c r="RB85" s="91"/>
      <c r="RC85" s="91"/>
      <c r="RD85" s="91"/>
      <c r="RE85" s="91"/>
      <c r="RF85" s="91"/>
      <c r="RG85" s="91"/>
      <c r="RH85" s="91"/>
      <c r="RI85" s="91"/>
      <c r="RJ85" s="91"/>
      <c r="RK85" s="91"/>
      <c r="RL85" s="91"/>
      <c r="RM85" s="91"/>
      <c r="RN85" s="91"/>
      <c r="RO85" s="91"/>
      <c r="RP85" s="91"/>
      <c r="RQ85" s="91"/>
      <c r="RR85" s="91"/>
      <c r="RS85" s="91"/>
      <c r="RT85" s="91"/>
      <c r="RU85" s="91"/>
      <c r="RV85" s="91"/>
      <c r="RW85" s="91"/>
      <c r="RX85" s="91"/>
      <c r="RY85" s="91"/>
      <c r="RZ85" s="91"/>
      <c r="SA85" s="91"/>
      <c r="SB85" s="91"/>
      <c r="SC85" s="91"/>
      <c r="SD85" s="91"/>
      <c r="SE85" s="91"/>
      <c r="SF85" s="91"/>
      <c r="SG85" s="91"/>
      <c r="SH85" s="91"/>
      <c r="SI85" s="91"/>
      <c r="SJ85" s="91"/>
      <c r="SK85" s="91"/>
      <c r="SL85" s="91"/>
      <c r="SM85" s="91"/>
      <c r="SN85" s="91"/>
      <c r="SO85" s="91"/>
      <c r="SP85" s="91"/>
      <c r="SQ85" s="91"/>
      <c r="SR85" s="91"/>
      <c r="SS85" s="91"/>
      <c r="ST85" s="91"/>
      <c r="SU85" s="91"/>
      <c r="SV85" s="91"/>
      <c r="SW85" s="91"/>
      <c r="SX85" s="91"/>
      <c r="SY85" s="91"/>
      <c r="SZ85" s="91"/>
      <c r="TA85" s="91"/>
      <c r="TB85" s="91"/>
      <c r="TC85" s="91"/>
      <c r="TD85" s="91"/>
      <c r="TE85" s="91"/>
      <c r="TF85" s="91"/>
      <c r="TG85" s="91"/>
      <c r="TH85" s="91"/>
      <c r="TI85" s="91"/>
      <c r="TJ85" s="91"/>
      <c r="TK85" s="91"/>
      <c r="TL85" s="91"/>
      <c r="TM85" s="91"/>
      <c r="TN85" s="91"/>
      <c r="TO85" s="91"/>
      <c r="TP85" s="91"/>
      <c r="TQ85" s="91"/>
      <c r="TR85" s="91"/>
      <c r="TS85" s="91"/>
      <c r="TT85" s="91"/>
      <c r="TU85" s="91"/>
      <c r="TV85" s="91"/>
      <c r="TW85" s="91"/>
      <c r="TX85" s="91"/>
      <c r="TY85" s="91"/>
      <c r="TZ85" s="91"/>
      <c r="UA85" s="91"/>
      <c r="UB85" s="91"/>
      <c r="UC85" s="91"/>
      <c r="UD85" s="91"/>
      <c r="UE85" s="91"/>
      <c r="UF85" s="91"/>
      <c r="UG85" s="91"/>
      <c r="UH85" s="91"/>
      <c r="UI85" s="91"/>
      <c r="UJ85" s="91"/>
      <c r="UK85" s="91"/>
      <c r="UL85" s="91"/>
      <c r="UM85" s="91"/>
      <c r="UN85" s="91"/>
      <c r="UO85" s="91"/>
      <c r="UP85" s="91"/>
      <c r="UQ85" s="91"/>
      <c r="UR85" s="91"/>
      <c r="US85" s="91"/>
      <c r="UT85" s="91"/>
      <c r="UU85" s="91"/>
      <c r="UV85" s="91"/>
      <c r="UW85" s="91"/>
      <c r="UX85" s="91"/>
      <c r="UY85" s="91"/>
      <c r="UZ85" s="91"/>
      <c r="VA85" s="91"/>
      <c r="VB85" s="91"/>
      <c r="VC85" s="91"/>
      <c r="VD85" s="91"/>
      <c r="VE85" s="91"/>
      <c r="VF85" s="91"/>
      <c r="VG85" s="91"/>
      <c r="VH85" s="91"/>
      <c r="VI85" s="91"/>
      <c r="VJ85" s="91"/>
      <c r="VK85" s="91"/>
      <c r="VL85" s="91"/>
      <c r="VM85" s="91"/>
      <c r="VN85" s="91"/>
      <c r="VO85" s="91"/>
      <c r="VP85" s="91"/>
      <c r="VQ85" s="91"/>
      <c r="VR85" s="91"/>
      <c r="VS85" s="91"/>
      <c r="VT85" s="91"/>
      <c r="VU85" s="91"/>
      <c r="VV85" s="91"/>
      <c r="VW85" s="91"/>
      <c r="VX85" s="91"/>
      <c r="VY85" s="91"/>
      <c r="VZ85" s="91"/>
      <c r="WA85" s="91"/>
      <c r="WB85" s="91"/>
      <c r="WC85" s="91"/>
      <c r="WD85" s="91"/>
      <c r="WE85" s="91"/>
      <c r="WF85" s="91"/>
      <c r="WG85" s="91"/>
      <c r="WH85" s="91"/>
      <c r="WI85" s="91"/>
      <c r="WJ85" s="91"/>
      <c r="WK85" s="91"/>
      <c r="WL85" s="91"/>
      <c r="WM85" s="91"/>
      <c r="WN85" s="91"/>
      <c r="WO85" s="91"/>
      <c r="WP85" s="91"/>
      <c r="WQ85" s="91"/>
      <c r="WR85" s="91"/>
      <c r="WS85" s="91"/>
      <c r="WT85" s="91"/>
      <c r="WU85" s="91"/>
      <c r="WV85" s="91"/>
      <c r="WW85" s="91"/>
      <c r="WX85" s="91"/>
      <c r="WY85" s="91"/>
      <c r="WZ85" s="91"/>
      <c r="XA85" s="91"/>
      <c r="XB85" s="91"/>
      <c r="XC85" s="91"/>
      <c r="XD85" s="91"/>
      <c r="XE85" s="91"/>
      <c r="XF85" s="91"/>
      <c r="XG85" s="91"/>
      <c r="XH85" s="91"/>
      <c r="XI85" s="91"/>
      <c r="XJ85" s="91"/>
      <c r="XK85" s="91"/>
      <c r="XL85" s="91"/>
      <c r="XM85" s="91"/>
      <c r="XN85" s="91"/>
      <c r="XO85" s="91"/>
      <c r="XP85" s="91"/>
      <c r="XQ85" s="91"/>
      <c r="XR85" s="91"/>
      <c r="XS85" s="91"/>
      <c r="XT85" s="91"/>
      <c r="XU85" s="91"/>
      <c r="XV85" s="91"/>
      <c r="XW85" s="91"/>
      <c r="XX85" s="91"/>
      <c r="XY85" s="91"/>
      <c r="XZ85" s="91"/>
      <c r="YA85" s="91"/>
      <c r="YB85" s="91"/>
      <c r="YC85" s="91"/>
      <c r="YD85" s="91"/>
      <c r="YE85" s="91"/>
      <c r="YF85" s="91"/>
      <c r="YG85" s="91"/>
      <c r="YH85" s="91"/>
      <c r="YI85" s="91"/>
      <c r="YJ85" s="91"/>
      <c r="YK85" s="91"/>
      <c r="YL85" s="91"/>
      <c r="YM85" s="91"/>
      <c r="YN85" s="91"/>
      <c r="YO85" s="91"/>
      <c r="YP85" s="91"/>
      <c r="YQ85" s="91"/>
      <c r="YR85" s="91"/>
      <c r="YS85" s="91"/>
      <c r="YT85" s="91"/>
      <c r="YU85" s="91"/>
      <c r="YV85" s="91"/>
      <c r="YW85" s="91"/>
      <c r="YX85" s="91"/>
      <c r="YY85" s="91"/>
      <c r="YZ85" s="91"/>
      <c r="ZA85" s="91"/>
      <c r="ZB85" s="91"/>
      <c r="ZC85" s="91"/>
      <c r="ZD85" s="91"/>
      <c r="ZE85" s="91"/>
      <c r="ZF85" s="91"/>
      <c r="ZG85" s="91"/>
      <c r="ZH85" s="91"/>
      <c r="ZI85" s="91"/>
      <c r="ZJ85" s="91"/>
      <c r="ZK85" s="91"/>
      <c r="ZL85" s="91"/>
      <c r="ZM85" s="91"/>
      <c r="ZN85" s="91"/>
      <c r="ZO85" s="91"/>
      <c r="ZP85" s="91"/>
      <c r="ZQ85" s="91"/>
      <c r="ZR85" s="91"/>
      <c r="ZS85" s="91"/>
      <c r="ZT85" s="91"/>
      <c r="ZU85" s="91"/>
      <c r="ZV85" s="91"/>
      <c r="ZW85" s="91"/>
      <c r="ZX85" s="91"/>
      <c r="ZY85" s="91"/>
      <c r="ZZ85" s="91"/>
      <c r="AAA85" s="91"/>
      <c r="AAB85" s="91"/>
      <c r="AAC85" s="91"/>
      <c r="AAD85" s="91"/>
      <c r="AAE85" s="91"/>
      <c r="AAF85" s="91"/>
      <c r="AAG85" s="91"/>
      <c r="AAH85" s="91"/>
      <c r="AAI85" s="91"/>
      <c r="AAJ85" s="91"/>
      <c r="AAK85" s="91"/>
      <c r="AAL85" s="91"/>
      <c r="AAM85" s="91"/>
      <c r="AAN85" s="91"/>
      <c r="AAO85" s="91"/>
      <c r="AAP85" s="91"/>
      <c r="AAQ85" s="91"/>
      <c r="AAR85" s="91"/>
      <c r="AAS85" s="91"/>
      <c r="AAT85" s="91"/>
      <c r="AAU85" s="91"/>
      <c r="AAV85" s="91"/>
      <c r="AAW85" s="91"/>
      <c r="AAX85" s="91"/>
      <c r="AAY85" s="91"/>
      <c r="AAZ85" s="91"/>
      <c r="ABA85" s="91"/>
      <c r="ABB85" s="91"/>
      <c r="ABC85" s="91"/>
      <c r="ABD85" s="91"/>
      <c r="ABE85" s="91"/>
      <c r="ABF85" s="91"/>
      <c r="ABG85" s="91"/>
      <c r="ABH85" s="91"/>
      <c r="ABI85" s="91"/>
      <c r="ABJ85" s="91"/>
      <c r="ABK85" s="91"/>
      <c r="ABL85" s="91"/>
      <c r="ABM85" s="91"/>
      <c r="ABN85" s="91"/>
      <c r="ABO85" s="91"/>
      <c r="ABP85" s="91"/>
      <c r="ABQ85" s="91"/>
      <c r="ABR85" s="91"/>
      <c r="ABS85" s="91"/>
      <c r="ABT85" s="91"/>
      <c r="ABU85" s="91"/>
      <c r="ABV85" s="91"/>
      <c r="ABW85" s="91"/>
      <c r="ABX85" s="91"/>
      <c r="ABY85" s="91"/>
      <c r="ABZ85" s="91"/>
      <c r="ACA85" s="91"/>
      <c r="ACB85" s="91"/>
      <c r="ACC85" s="91"/>
      <c r="ACD85" s="91"/>
      <c r="ACE85" s="91"/>
      <c r="ACF85" s="91"/>
      <c r="ACG85" s="91"/>
      <c r="ACH85" s="91"/>
      <c r="ACI85" s="91"/>
      <c r="ACJ85" s="91"/>
      <c r="ACK85" s="91"/>
      <c r="ACL85" s="91"/>
      <c r="ACM85" s="91"/>
      <c r="ACN85" s="91"/>
      <c r="ACO85" s="91"/>
      <c r="ACP85" s="91"/>
      <c r="ACQ85" s="91"/>
      <c r="ACR85" s="91"/>
      <c r="ACS85" s="91"/>
      <c r="ACT85" s="91"/>
      <c r="ACU85" s="91"/>
      <c r="ACV85" s="91"/>
      <c r="ACW85" s="91"/>
      <c r="ACX85" s="91"/>
      <c r="ACY85" s="91"/>
      <c r="ACZ85" s="91"/>
      <c r="ADA85" s="91"/>
      <c r="ADB85" s="91"/>
      <c r="ADC85" s="91"/>
      <c r="ADD85" s="91"/>
      <c r="ADE85" s="91"/>
      <c r="ADF85" s="91"/>
      <c r="ADG85" s="91"/>
      <c r="ADH85" s="91"/>
      <c r="ADI85" s="91"/>
      <c r="ADJ85" s="91"/>
      <c r="ADK85" s="91"/>
      <c r="ADL85" s="91"/>
      <c r="ADM85" s="91"/>
      <c r="ADN85" s="91"/>
      <c r="ADO85" s="91"/>
      <c r="ADP85" s="91"/>
      <c r="ADQ85" s="91"/>
      <c r="ADR85" s="91"/>
      <c r="ADS85" s="91"/>
      <c r="ADT85" s="91"/>
      <c r="ADU85" s="91"/>
      <c r="ADV85" s="91"/>
      <c r="ADW85" s="91"/>
      <c r="ADX85" s="91"/>
      <c r="ADY85" s="91"/>
      <c r="ADZ85" s="91"/>
      <c r="AEA85" s="91"/>
      <c r="AEB85" s="91"/>
      <c r="AEC85" s="91"/>
      <c r="AED85" s="91"/>
      <c r="AEE85" s="91"/>
      <c r="AEF85" s="91"/>
      <c r="AEG85" s="91"/>
      <c r="AEH85" s="91"/>
      <c r="AEI85" s="91"/>
      <c r="AEJ85" s="91"/>
      <c r="AEK85" s="91"/>
      <c r="AEL85" s="91"/>
      <c r="AEM85" s="91"/>
      <c r="AEN85" s="91"/>
      <c r="AEO85" s="91"/>
      <c r="AEP85" s="91"/>
      <c r="AEQ85" s="91"/>
      <c r="AER85" s="91"/>
      <c r="AES85" s="91"/>
      <c r="AET85" s="91"/>
      <c r="AEU85" s="91"/>
      <c r="AEV85" s="91"/>
      <c r="AEW85" s="91"/>
      <c r="AEX85" s="91"/>
      <c r="AEY85" s="91"/>
      <c r="AEZ85" s="91"/>
      <c r="AFA85" s="91"/>
      <c r="AFB85" s="91"/>
      <c r="AFC85" s="91"/>
      <c r="AFD85" s="91"/>
      <c r="AFE85" s="91"/>
      <c r="AFF85" s="91"/>
      <c r="AFG85" s="91"/>
      <c r="AFH85" s="91"/>
      <c r="AFI85" s="91"/>
      <c r="AFJ85" s="91"/>
      <c r="AFK85" s="91"/>
      <c r="AFL85" s="91"/>
      <c r="AFM85" s="91"/>
      <c r="AFN85" s="91"/>
      <c r="AFO85" s="91"/>
      <c r="AFP85" s="91"/>
      <c r="AFQ85" s="91"/>
      <c r="AFR85" s="91"/>
      <c r="AFS85" s="91"/>
      <c r="AFT85" s="91"/>
      <c r="AFU85" s="91"/>
      <c r="AFV85" s="91"/>
      <c r="AFW85" s="91"/>
      <c r="AFX85" s="91"/>
      <c r="AFY85" s="91"/>
      <c r="AFZ85" s="91"/>
      <c r="AGA85" s="91"/>
      <c r="AGB85" s="91"/>
      <c r="AGC85" s="91"/>
      <c r="AGD85" s="91"/>
      <c r="AGE85" s="91"/>
      <c r="AGF85" s="91"/>
      <c r="AGG85" s="91"/>
      <c r="AGH85" s="91"/>
      <c r="AGI85" s="91"/>
      <c r="AGJ85" s="91"/>
      <c r="AGK85" s="91"/>
      <c r="AGL85" s="91"/>
      <c r="AGM85" s="91"/>
      <c r="AGN85" s="91"/>
      <c r="AGO85" s="91"/>
      <c r="AGP85" s="91"/>
      <c r="AGQ85" s="91"/>
      <c r="AGR85" s="91"/>
      <c r="AGS85" s="91"/>
      <c r="AGT85" s="91"/>
      <c r="AGU85" s="91"/>
      <c r="AGV85" s="91"/>
      <c r="AGW85" s="91"/>
      <c r="AGX85" s="91"/>
      <c r="AGY85" s="91"/>
      <c r="AGZ85" s="91"/>
      <c r="AHA85" s="91"/>
      <c r="AHB85" s="91"/>
      <c r="AHC85" s="91"/>
      <c r="AHD85" s="91"/>
      <c r="AHE85" s="91"/>
      <c r="AHF85" s="91"/>
      <c r="AHG85" s="91"/>
      <c r="AHH85" s="91"/>
      <c r="AHI85" s="91"/>
      <c r="AHJ85" s="91"/>
      <c r="AHK85" s="91"/>
      <c r="AHL85" s="91"/>
      <c r="AHM85" s="91"/>
      <c r="AHN85" s="91"/>
      <c r="AHO85" s="91"/>
      <c r="AHP85" s="91"/>
      <c r="AHQ85" s="91"/>
      <c r="AHR85" s="91"/>
      <c r="AHS85" s="91"/>
      <c r="AHT85" s="91"/>
      <c r="AHU85" s="91"/>
      <c r="AHV85" s="91"/>
      <c r="AHW85" s="91"/>
      <c r="AHX85" s="91"/>
      <c r="AHY85" s="91"/>
      <c r="AHZ85" s="91"/>
      <c r="AIA85" s="91"/>
      <c r="AIB85" s="91"/>
      <c r="AIC85" s="91"/>
      <c r="AID85" s="91"/>
      <c r="AIE85" s="91"/>
      <c r="AIF85" s="91"/>
      <c r="AIG85" s="91"/>
      <c r="AIH85" s="91"/>
      <c r="AII85" s="91"/>
      <c r="AIJ85" s="91"/>
      <c r="AIK85" s="91"/>
      <c r="AIL85" s="91"/>
      <c r="AIM85" s="91"/>
      <c r="AIN85" s="91"/>
      <c r="AIO85" s="91"/>
      <c r="AIP85" s="91"/>
      <c r="AIQ85" s="91"/>
      <c r="AIR85" s="91"/>
      <c r="AIS85" s="91"/>
      <c r="AIT85" s="91"/>
      <c r="AIU85" s="91"/>
      <c r="AIV85" s="91"/>
      <c r="AIW85" s="91"/>
      <c r="AIX85" s="91"/>
      <c r="AIY85" s="91"/>
      <c r="AIZ85" s="91"/>
      <c r="AJA85" s="91"/>
      <c r="AJB85" s="91"/>
      <c r="AJC85" s="91"/>
      <c r="AJD85" s="91"/>
      <c r="AJE85" s="91"/>
      <c r="AJF85" s="91"/>
      <c r="AJG85" s="91"/>
      <c r="AJH85" s="91"/>
      <c r="AJI85" s="91"/>
      <c r="AJJ85" s="91"/>
      <c r="AJK85" s="91"/>
      <c r="AJL85" s="91"/>
      <c r="AJM85" s="91"/>
      <c r="AJN85" s="91"/>
      <c r="AJO85" s="91"/>
      <c r="AJP85" s="91"/>
      <c r="AJQ85" s="91"/>
      <c r="AJR85" s="91"/>
      <c r="AJS85" s="91"/>
      <c r="AJT85" s="91"/>
      <c r="AJU85" s="91"/>
      <c r="AJV85" s="91"/>
      <c r="AJW85" s="91"/>
      <c r="AJX85" s="91"/>
      <c r="AJY85" s="91"/>
      <c r="AJZ85" s="91"/>
      <c r="AKA85" s="91"/>
      <c r="AKB85" s="91"/>
      <c r="AKC85" s="91"/>
      <c r="AKD85" s="91"/>
      <c r="AKE85" s="91"/>
      <c r="AKF85" s="91"/>
      <c r="AKG85" s="91"/>
      <c r="AKH85" s="91"/>
      <c r="AKI85" s="91"/>
      <c r="AKJ85" s="91"/>
      <c r="AKK85" s="91"/>
      <c r="AKL85" s="91"/>
      <c r="AKM85" s="91"/>
      <c r="AKN85" s="91"/>
      <c r="AKO85" s="91"/>
      <c r="AKP85" s="91"/>
      <c r="AKQ85" s="91"/>
      <c r="AKR85" s="91"/>
      <c r="AKS85" s="91"/>
      <c r="AKT85" s="91"/>
      <c r="AKU85" s="91"/>
      <c r="AKV85" s="91"/>
      <c r="AKW85" s="91"/>
      <c r="AKX85" s="91"/>
      <c r="AKY85" s="91"/>
      <c r="AKZ85" s="91"/>
      <c r="ALA85" s="91"/>
      <c r="ALB85" s="91"/>
      <c r="ALC85" s="91"/>
      <c r="ALD85" s="91"/>
      <c r="ALE85" s="91"/>
      <c r="ALF85" s="91"/>
      <c r="ALG85" s="91"/>
      <c r="ALH85" s="91"/>
      <c r="ALI85" s="91"/>
      <c r="ALJ85" s="91"/>
      <c r="ALK85" s="91"/>
      <c r="ALL85" s="91"/>
      <c r="ALM85" s="91"/>
      <c r="ALN85" s="91"/>
      <c r="ALO85" s="91"/>
      <c r="ALP85" s="91"/>
      <c r="ALQ85" s="91"/>
      <c r="ALR85" s="91"/>
      <c r="ALS85" s="91"/>
      <c r="ALT85" s="91"/>
      <c r="ALU85" s="91"/>
      <c r="ALV85" s="91"/>
      <c r="ALW85" s="91"/>
      <c r="ALX85" s="91"/>
      <c r="ALY85" s="91"/>
      <c r="ALZ85" s="91"/>
      <c r="AMA85" s="91"/>
      <c r="AMB85" s="91"/>
      <c r="AMC85" s="91"/>
      <c r="AMD85" s="91"/>
      <c r="AME85" s="91"/>
      <c r="AMF85" s="91"/>
      <c r="AMG85" s="91"/>
      <c r="AMH85" s="91"/>
      <c r="AMI85" s="91"/>
      <c r="AMJ85" s="91"/>
      <c r="AMK85" s="91"/>
      <c r="AML85" s="91"/>
      <c r="AMM85" s="91"/>
      <c r="AMN85" s="91"/>
      <c r="AMO85" s="91"/>
      <c r="AMP85" s="91"/>
      <c r="AMQ85" s="91"/>
      <c r="AMR85" s="91"/>
      <c r="AMS85" s="91"/>
      <c r="AMT85" s="91"/>
      <c r="AMU85" s="91"/>
      <c r="AMV85" s="91"/>
      <c r="AMW85" s="91"/>
      <c r="AMX85" s="91"/>
      <c r="AMY85" s="91"/>
      <c r="AMZ85" s="91"/>
      <c r="ANA85" s="91"/>
      <c r="ANB85" s="91"/>
      <c r="ANC85" s="91"/>
      <c r="AND85" s="91"/>
      <c r="ANE85" s="91"/>
      <c r="ANF85" s="91"/>
      <c r="ANG85" s="91"/>
      <c r="ANH85" s="91"/>
      <c r="ANI85" s="91"/>
      <c r="ANJ85" s="91"/>
      <c r="ANK85" s="91"/>
      <c r="ANL85" s="91"/>
      <c r="ANM85" s="91"/>
      <c r="ANN85" s="91"/>
      <c r="ANO85" s="91"/>
      <c r="ANP85" s="91"/>
      <c r="ANQ85" s="91"/>
      <c r="ANR85" s="91"/>
      <c r="ANS85" s="91"/>
      <c r="ANT85" s="91"/>
      <c r="ANU85" s="91"/>
      <c r="ANV85" s="91"/>
      <c r="ANW85" s="91"/>
      <c r="ANX85" s="91"/>
      <c r="ANY85" s="91"/>
      <c r="ANZ85" s="91"/>
      <c r="AOA85" s="91"/>
      <c r="AOB85" s="91"/>
      <c r="AOC85" s="91"/>
      <c r="AOD85" s="91"/>
      <c r="AOE85" s="91"/>
      <c r="AOF85" s="91"/>
      <c r="AOG85" s="91"/>
      <c r="AOH85" s="91"/>
      <c r="AOI85" s="91"/>
      <c r="AOJ85" s="91"/>
      <c r="AOK85" s="91"/>
      <c r="AOL85" s="91"/>
      <c r="AOM85" s="91"/>
      <c r="AON85" s="91"/>
      <c r="AOO85" s="91"/>
      <c r="AOP85" s="91"/>
      <c r="AOQ85" s="91"/>
      <c r="AOR85" s="91"/>
      <c r="AOS85" s="91"/>
      <c r="AOT85" s="91"/>
      <c r="AOU85" s="91"/>
      <c r="AOV85" s="91"/>
      <c r="AOW85" s="91"/>
      <c r="AOX85" s="91"/>
      <c r="AOY85" s="91"/>
      <c r="AOZ85" s="91"/>
      <c r="APA85" s="91"/>
      <c r="APB85" s="91"/>
      <c r="APC85" s="91"/>
      <c r="APD85" s="91"/>
      <c r="APE85" s="91"/>
      <c r="APF85" s="91"/>
      <c r="APG85" s="91"/>
      <c r="APH85" s="91"/>
      <c r="API85" s="91"/>
      <c r="APJ85" s="91"/>
      <c r="APK85" s="91"/>
      <c r="APL85" s="91"/>
      <c r="APM85" s="91"/>
      <c r="APN85" s="91"/>
      <c r="APO85" s="91"/>
      <c r="APP85" s="91"/>
      <c r="APQ85" s="91"/>
      <c r="APR85" s="91"/>
      <c r="APS85" s="91"/>
      <c r="APT85" s="91"/>
      <c r="APU85" s="91"/>
      <c r="APV85" s="91"/>
      <c r="APW85" s="91"/>
      <c r="APX85" s="91"/>
      <c r="APY85" s="91"/>
      <c r="APZ85" s="91"/>
      <c r="AQA85" s="91"/>
      <c r="AQB85" s="91"/>
      <c r="AQC85" s="91"/>
      <c r="AQD85" s="91"/>
      <c r="AQE85" s="91"/>
      <c r="AQF85" s="91"/>
      <c r="AQG85" s="91"/>
      <c r="AQH85" s="91"/>
      <c r="AQI85" s="91"/>
      <c r="AQJ85" s="91"/>
      <c r="AQK85" s="91"/>
      <c r="AQL85" s="91"/>
      <c r="AQM85" s="91"/>
      <c r="AQN85" s="91"/>
      <c r="AQO85" s="91"/>
      <c r="AQP85" s="91"/>
      <c r="AQQ85" s="91"/>
      <c r="AQR85" s="91"/>
      <c r="AQS85" s="91"/>
      <c r="AQT85" s="91"/>
      <c r="AQU85" s="91"/>
      <c r="AQV85" s="91"/>
      <c r="AQW85" s="91"/>
      <c r="AQX85" s="91"/>
      <c r="AQY85" s="91"/>
      <c r="AQZ85" s="91"/>
      <c r="ARA85" s="91"/>
      <c r="ARB85" s="91"/>
      <c r="ARC85" s="91"/>
      <c r="ARD85" s="91"/>
      <c r="ARE85" s="91"/>
      <c r="ARF85" s="91"/>
      <c r="ARG85" s="91"/>
      <c r="ARH85" s="91"/>
      <c r="ARI85" s="91"/>
      <c r="ARJ85" s="91"/>
      <c r="ARK85" s="91"/>
      <c r="ARL85" s="91"/>
      <c r="ARM85" s="91"/>
      <c r="ARN85" s="91"/>
      <c r="ARO85" s="91"/>
      <c r="ARP85" s="91"/>
      <c r="ARQ85" s="91"/>
      <c r="ARR85" s="91"/>
      <c r="ARS85" s="91"/>
      <c r="ART85" s="91"/>
      <c r="ARU85" s="91"/>
      <c r="ARV85" s="91"/>
      <c r="ARW85" s="91"/>
      <c r="ARX85" s="91"/>
      <c r="ARY85" s="91"/>
      <c r="ARZ85" s="91"/>
      <c r="ASA85" s="91"/>
      <c r="ASB85" s="91"/>
      <c r="ASC85" s="91"/>
      <c r="ASD85" s="91"/>
      <c r="ASE85" s="91"/>
      <c r="ASF85" s="91"/>
      <c r="ASG85" s="91"/>
      <c r="ASH85" s="91"/>
      <c r="ASI85" s="91"/>
      <c r="ASJ85" s="91"/>
      <c r="ASK85" s="91"/>
      <c r="ASL85" s="91"/>
      <c r="ASM85" s="91"/>
      <c r="ASN85" s="91"/>
      <c r="ASO85" s="91"/>
      <c r="ASP85" s="91"/>
      <c r="ASQ85" s="91"/>
      <c r="ASR85" s="91"/>
      <c r="ASS85" s="91"/>
      <c r="AST85" s="91"/>
      <c r="ASU85" s="91"/>
      <c r="ASV85" s="91"/>
      <c r="ASW85" s="91"/>
      <c r="ASX85" s="91"/>
      <c r="ASY85" s="91"/>
      <c r="ASZ85" s="91"/>
      <c r="ATA85" s="91"/>
      <c r="ATB85" s="91"/>
      <c r="ATC85" s="91"/>
      <c r="ATD85" s="91"/>
      <c r="ATE85" s="91"/>
      <c r="ATF85" s="91"/>
      <c r="ATG85" s="91"/>
      <c r="ATH85" s="91"/>
      <c r="ATI85" s="91"/>
      <c r="ATJ85" s="91"/>
      <c r="ATK85" s="91"/>
      <c r="ATL85" s="91"/>
      <c r="ATM85" s="91"/>
      <c r="ATN85" s="91"/>
      <c r="ATO85" s="91"/>
      <c r="ATP85" s="91"/>
      <c r="ATQ85" s="91"/>
      <c r="ATR85" s="91"/>
      <c r="ATS85" s="91"/>
      <c r="ATT85" s="91"/>
      <c r="ATU85" s="91"/>
      <c r="ATV85" s="91"/>
      <c r="ATW85" s="91"/>
      <c r="ATX85" s="91"/>
      <c r="ATY85" s="91"/>
      <c r="ATZ85" s="91"/>
      <c r="AUA85" s="91"/>
      <c r="AUB85" s="91"/>
      <c r="AUC85" s="91"/>
      <c r="AUD85" s="91"/>
      <c r="AUE85" s="91"/>
      <c r="AUF85" s="91"/>
      <c r="AUG85" s="91"/>
      <c r="AUH85" s="91"/>
      <c r="AUI85" s="91"/>
      <c r="AUJ85" s="91"/>
      <c r="AUK85" s="91"/>
      <c r="AUL85" s="91"/>
      <c r="AUM85" s="91"/>
      <c r="AUN85" s="91"/>
      <c r="AUO85" s="91"/>
      <c r="AUP85" s="91"/>
      <c r="AUQ85" s="91"/>
      <c r="AUR85" s="91"/>
      <c r="AUS85" s="91"/>
      <c r="AUT85" s="91"/>
      <c r="AUU85" s="91"/>
      <c r="AUV85" s="91"/>
      <c r="AUW85" s="91"/>
      <c r="AUX85" s="91"/>
      <c r="AUY85" s="91"/>
      <c r="AUZ85" s="91"/>
      <c r="AVA85" s="91"/>
      <c r="AVB85" s="91"/>
      <c r="AVC85" s="91"/>
      <c r="AVD85" s="91"/>
      <c r="AVE85" s="91"/>
      <c r="AVF85" s="91"/>
      <c r="AVG85" s="91"/>
      <c r="AVH85" s="91"/>
      <c r="AVI85" s="91"/>
      <c r="AVJ85" s="91"/>
      <c r="AVK85" s="91"/>
      <c r="AVL85" s="91"/>
      <c r="AVM85" s="91"/>
      <c r="AVN85" s="91"/>
      <c r="AVO85" s="91"/>
      <c r="AVP85" s="91"/>
      <c r="AVQ85" s="91"/>
      <c r="AVR85" s="91"/>
      <c r="AVS85" s="91"/>
      <c r="AVT85" s="91"/>
      <c r="AVU85" s="91"/>
      <c r="AVV85" s="91"/>
      <c r="AVW85" s="91"/>
      <c r="AVX85" s="91"/>
      <c r="AVY85" s="91"/>
      <c r="AVZ85" s="91"/>
      <c r="AWA85" s="91"/>
      <c r="AWB85" s="91"/>
      <c r="AWC85" s="91"/>
      <c r="AWD85" s="91"/>
      <c r="AWE85" s="91"/>
      <c r="AWF85" s="91"/>
      <c r="AWG85" s="91"/>
      <c r="AWH85" s="91"/>
      <c r="AWI85" s="91"/>
      <c r="AWJ85" s="91"/>
      <c r="AWK85" s="91"/>
      <c r="AWL85" s="91"/>
      <c r="AWM85" s="91"/>
      <c r="AWN85" s="91"/>
      <c r="AWO85" s="91"/>
      <c r="AWP85" s="91"/>
      <c r="AWQ85" s="91"/>
      <c r="AWR85" s="91"/>
      <c r="AWS85" s="91"/>
      <c r="AWT85" s="91"/>
      <c r="AWU85" s="91"/>
      <c r="AWV85" s="91"/>
      <c r="AWW85" s="91"/>
      <c r="AWX85" s="91"/>
      <c r="AWY85" s="91"/>
      <c r="AWZ85" s="91"/>
      <c r="AXA85" s="91"/>
      <c r="AXB85" s="91"/>
      <c r="AXC85" s="91"/>
      <c r="AXD85" s="91"/>
      <c r="AXE85" s="91"/>
      <c r="AXF85" s="91"/>
      <c r="AXG85" s="91"/>
      <c r="AXH85" s="91"/>
      <c r="AXI85" s="91"/>
      <c r="AXJ85" s="91"/>
      <c r="AXK85" s="91"/>
      <c r="AXL85" s="91"/>
      <c r="AXM85" s="91"/>
      <c r="AXN85" s="91"/>
      <c r="AXO85" s="91"/>
      <c r="AXP85" s="91"/>
      <c r="AXQ85" s="91"/>
      <c r="AXR85" s="91"/>
      <c r="AXS85" s="91"/>
      <c r="AXT85" s="91"/>
      <c r="AXU85" s="91"/>
      <c r="AXV85" s="91"/>
      <c r="AXW85" s="91"/>
      <c r="AXX85" s="91"/>
      <c r="AXY85" s="91"/>
      <c r="AXZ85" s="91"/>
      <c r="AYA85" s="91"/>
      <c r="AYB85" s="91"/>
      <c r="AYC85" s="91"/>
      <c r="AYD85" s="91"/>
      <c r="AYE85" s="91"/>
      <c r="AYF85" s="91"/>
      <c r="AYG85" s="91"/>
      <c r="AYH85" s="91"/>
      <c r="AYI85" s="91"/>
      <c r="AYJ85" s="91"/>
      <c r="AYK85" s="91"/>
      <c r="AYL85" s="91"/>
      <c r="AYM85" s="91"/>
      <c r="AYN85" s="91"/>
      <c r="AYO85" s="91"/>
      <c r="AYP85" s="91"/>
      <c r="AYQ85" s="91"/>
      <c r="AYR85" s="91"/>
      <c r="AYS85" s="91"/>
      <c r="AYT85" s="91"/>
      <c r="AYU85" s="91"/>
      <c r="AYV85" s="91"/>
      <c r="AYW85" s="91"/>
      <c r="AYX85" s="91"/>
      <c r="AYY85" s="91"/>
      <c r="AYZ85" s="91"/>
      <c r="AZA85" s="91"/>
      <c r="AZB85" s="91"/>
      <c r="AZC85" s="91"/>
      <c r="AZD85" s="91"/>
      <c r="AZE85" s="91"/>
      <c r="AZF85" s="91"/>
      <c r="AZG85" s="91"/>
      <c r="AZH85" s="91"/>
      <c r="AZI85" s="91"/>
      <c r="AZJ85" s="91"/>
      <c r="AZK85" s="91"/>
      <c r="AZL85" s="91"/>
      <c r="AZM85" s="91"/>
      <c r="AZN85" s="91"/>
      <c r="AZO85" s="91"/>
      <c r="AZP85" s="91"/>
      <c r="AZQ85" s="91"/>
      <c r="AZR85" s="91"/>
      <c r="AZS85" s="91"/>
      <c r="AZT85" s="91"/>
      <c r="AZU85" s="91"/>
      <c r="AZV85" s="91"/>
      <c r="AZW85" s="91"/>
      <c r="AZX85" s="91"/>
      <c r="AZY85" s="91"/>
      <c r="AZZ85" s="91"/>
      <c r="BAA85" s="91"/>
      <c r="BAB85" s="91"/>
      <c r="BAC85" s="91"/>
      <c r="BAD85" s="91"/>
      <c r="BAE85" s="91"/>
      <c r="BAF85" s="91"/>
      <c r="BAG85" s="91"/>
      <c r="BAH85" s="91"/>
      <c r="BAI85" s="91"/>
      <c r="BAJ85" s="91"/>
      <c r="BAK85" s="91"/>
      <c r="BAL85" s="91"/>
      <c r="BAM85" s="91"/>
      <c r="BAN85" s="91"/>
      <c r="BAO85" s="91"/>
      <c r="BAP85" s="91"/>
      <c r="BAQ85" s="91"/>
      <c r="BAR85" s="91"/>
      <c r="BAS85" s="91"/>
      <c r="BAT85" s="91"/>
      <c r="BAU85" s="91"/>
      <c r="BAV85" s="91"/>
      <c r="BAW85" s="91"/>
      <c r="BAX85" s="91"/>
      <c r="BAY85" s="91"/>
      <c r="BAZ85" s="91"/>
      <c r="BBA85" s="91"/>
      <c r="BBB85" s="91"/>
      <c r="BBC85" s="91"/>
      <c r="BBD85" s="91"/>
      <c r="BBE85" s="91"/>
      <c r="BBF85" s="91"/>
      <c r="BBG85" s="91"/>
      <c r="BBH85" s="91"/>
      <c r="BBI85" s="91"/>
      <c r="BBJ85" s="91"/>
      <c r="BBK85" s="91"/>
      <c r="BBL85" s="91"/>
      <c r="BBM85" s="91"/>
      <c r="BBN85" s="91"/>
      <c r="BBO85" s="91"/>
      <c r="BBP85" s="91"/>
      <c r="BBQ85" s="91"/>
      <c r="BBR85" s="91"/>
      <c r="BBS85" s="91"/>
      <c r="BBT85" s="91"/>
      <c r="BBU85" s="91"/>
      <c r="BBV85" s="91"/>
      <c r="BBW85" s="91"/>
      <c r="BBX85" s="91"/>
      <c r="BBY85" s="91"/>
      <c r="BBZ85" s="91"/>
      <c r="BCA85" s="91"/>
      <c r="BCB85" s="91"/>
      <c r="BCC85" s="91"/>
      <c r="BCD85" s="91"/>
      <c r="BCE85" s="91"/>
      <c r="BCF85" s="91"/>
      <c r="BCG85" s="91"/>
      <c r="BCH85" s="91"/>
      <c r="BCI85" s="91"/>
      <c r="BCJ85" s="91"/>
      <c r="BCK85" s="91"/>
      <c r="BCL85" s="91"/>
      <c r="BCM85" s="91"/>
      <c r="BCN85" s="91"/>
      <c r="BCO85" s="91"/>
      <c r="BCP85" s="91"/>
      <c r="BCQ85" s="91"/>
      <c r="BCR85" s="91"/>
      <c r="BCS85" s="91"/>
      <c r="BCT85" s="91"/>
      <c r="BCU85" s="91"/>
      <c r="BCV85" s="91"/>
      <c r="BCW85" s="91"/>
      <c r="BCX85" s="91"/>
      <c r="BCY85" s="91"/>
      <c r="BCZ85" s="91"/>
      <c r="BDA85" s="91"/>
      <c r="BDB85" s="91"/>
      <c r="BDC85" s="91"/>
      <c r="BDD85" s="91"/>
      <c r="BDE85" s="91"/>
      <c r="BDF85" s="91"/>
      <c r="BDG85" s="91"/>
      <c r="BDH85" s="91"/>
      <c r="BDI85" s="91"/>
      <c r="BDJ85" s="91"/>
      <c r="BDK85" s="91"/>
      <c r="BDL85" s="91"/>
      <c r="BDM85" s="91"/>
      <c r="BDN85" s="91"/>
      <c r="BDO85" s="91"/>
      <c r="BDP85" s="91"/>
      <c r="BDQ85" s="91"/>
      <c r="BDR85" s="91"/>
      <c r="BDS85" s="91"/>
      <c r="BDT85" s="91"/>
      <c r="BDU85" s="91"/>
      <c r="BDV85" s="91"/>
      <c r="BDW85" s="91"/>
      <c r="BDX85" s="91"/>
      <c r="BDY85" s="91"/>
      <c r="BDZ85" s="91"/>
      <c r="BEA85" s="91"/>
      <c r="BEB85" s="91"/>
      <c r="BEC85" s="91"/>
      <c r="BED85" s="91"/>
      <c r="BEE85" s="91"/>
      <c r="BEF85" s="91"/>
      <c r="BEG85" s="91"/>
      <c r="BEH85" s="91"/>
      <c r="BEI85" s="91"/>
      <c r="BEJ85" s="91"/>
      <c r="BEK85" s="91"/>
      <c r="BEL85" s="91"/>
      <c r="BEM85" s="91"/>
      <c r="BEN85" s="91"/>
      <c r="BEO85" s="91"/>
      <c r="BEP85" s="91"/>
      <c r="BEQ85" s="91"/>
      <c r="BER85" s="91"/>
      <c r="BES85" s="91"/>
      <c r="BET85" s="91"/>
      <c r="BEU85" s="91"/>
      <c r="BEV85" s="91"/>
      <c r="BEW85" s="91"/>
      <c r="BEX85" s="91"/>
      <c r="BEY85" s="91"/>
      <c r="BEZ85" s="91"/>
      <c r="BFA85" s="91"/>
      <c r="BFB85" s="91"/>
      <c r="BFC85" s="91"/>
      <c r="BFD85" s="91"/>
      <c r="BFE85" s="91"/>
      <c r="BFF85" s="91"/>
      <c r="BFG85" s="91"/>
      <c r="BFH85" s="91"/>
      <c r="BFI85" s="91"/>
      <c r="BFJ85" s="91"/>
      <c r="BFK85" s="91"/>
      <c r="BFL85" s="91"/>
      <c r="BFM85" s="91"/>
      <c r="BFN85" s="91"/>
      <c r="BFO85" s="91"/>
      <c r="BFP85" s="91"/>
      <c r="BFQ85" s="91"/>
      <c r="BFR85" s="91"/>
      <c r="BFS85" s="91"/>
      <c r="BFT85" s="91"/>
      <c r="BFU85" s="91"/>
      <c r="BFV85" s="91"/>
      <c r="BFW85" s="91"/>
      <c r="BFX85" s="91"/>
      <c r="BFY85" s="91"/>
      <c r="BFZ85" s="91"/>
      <c r="BGA85" s="91"/>
      <c r="BGB85" s="91"/>
      <c r="BGC85" s="91"/>
      <c r="BGD85" s="91"/>
      <c r="BGE85" s="91"/>
      <c r="BGF85" s="91"/>
      <c r="BGG85" s="91"/>
      <c r="BGH85" s="91"/>
      <c r="BGI85" s="91"/>
      <c r="BGJ85" s="91"/>
      <c r="BGK85" s="91"/>
      <c r="BGL85" s="91"/>
      <c r="BGM85" s="91"/>
      <c r="BGN85" s="91"/>
      <c r="BGO85" s="91"/>
      <c r="BGP85" s="91"/>
      <c r="BGQ85" s="91"/>
      <c r="BGR85" s="91"/>
      <c r="BGS85" s="91"/>
      <c r="BGT85" s="91"/>
      <c r="BGU85" s="91"/>
      <c r="BGV85" s="91"/>
      <c r="BGW85" s="91"/>
      <c r="BGX85" s="91"/>
      <c r="BGY85" s="91"/>
      <c r="BGZ85" s="91"/>
      <c r="BHA85" s="91"/>
      <c r="BHB85" s="91"/>
      <c r="BHC85" s="91"/>
      <c r="BHD85" s="91"/>
      <c r="BHE85" s="91"/>
      <c r="BHF85" s="91"/>
      <c r="BHG85" s="91"/>
      <c r="BHH85" s="91"/>
      <c r="BHI85" s="91"/>
      <c r="BHJ85" s="91"/>
      <c r="BHK85" s="91"/>
      <c r="BHL85" s="91"/>
      <c r="BHM85" s="91"/>
      <c r="BHN85" s="91"/>
      <c r="BHO85" s="91"/>
      <c r="BHP85" s="91"/>
      <c r="BHQ85" s="91"/>
      <c r="BHR85" s="91"/>
      <c r="BHS85" s="91"/>
      <c r="BHT85" s="91"/>
      <c r="BHU85" s="91"/>
      <c r="BHV85" s="91"/>
      <c r="BHW85" s="91"/>
      <c r="BHX85" s="91"/>
      <c r="BHY85" s="91"/>
      <c r="BHZ85" s="91"/>
      <c r="BIA85" s="91"/>
      <c r="BIB85" s="91"/>
      <c r="BIC85" s="91"/>
      <c r="BID85" s="91"/>
      <c r="BIE85" s="91"/>
      <c r="BIF85" s="91"/>
      <c r="BIG85" s="91"/>
      <c r="BIH85" s="91"/>
      <c r="BII85" s="91"/>
      <c r="BIJ85" s="91"/>
      <c r="BIK85" s="91"/>
      <c r="BIL85" s="91"/>
      <c r="BIM85" s="91"/>
      <c r="BIN85" s="91"/>
      <c r="BIO85" s="91"/>
      <c r="BIP85" s="91"/>
      <c r="BIQ85" s="91"/>
      <c r="BIR85" s="91"/>
      <c r="BIS85" s="91"/>
      <c r="BIT85" s="91"/>
      <c r="BIU85" s="91"/>
      <c r="BIV85" s="91"/>
      <c r="BIW85" s="91"/>
      <c r="BIX85" s="91"/>
      <c r="BIY85" s="91"/>
      <c r="BIZ85" s="91"/>
      <c r="BJA85" s="91"/>
      <c r="BJB85" s="91"/>
      <c r="BJC85" s="91"/>
      <c r="BJD85" s="91"/>
      <c r="BJE85" s="91"/>
      <c r="BJF85" s="91"/>
      <c r="BJG85" s="91"/>
      <c r="BJH85" s="91"/>
      <c r="BJI85" s="91"/>
      <c r="BJJ85" s="91"/>
      <c r="BJK85" s="91"/>
      <c r="BJL85" s="91"/>
      <c r="BJM85" s="91"/>
      <c r="BJN85" s="91"/>
      <c r="BJO85" s="91"/>
      <c r="BJP85" s="91"/>
      <c r="BJQ85" s="91"/>
      <c r="BJR85" s="91"/>
      <c r="BJS85" s="91"/>
      <c r="BJT85" s="91"/>
      <c r="BJU85" s="91"/>
      <c r="BJV85" s="91"/>
      <c r="BJW85" s="91"/>
      <c r="BJX85" s="91"/>
      <c r="BJY85" s="91"/>
      <c r="BJZ85" s="91"/>
      <c r="BKA85" s="91"/>
      <c r="BKB85" s="91"/>
      <c r="BKC85" s="91"/>
      <c r="BKD85" s="91"/>
      <c r="BKE85" s="91"/>
      <c r="BKF85" s="91"/>
      <c r="BKG85" s="91"/>
      <c r="BKH85" s="91"/>
      <c r="BKI85" s="91"/>
      <c r="BKJ85" s="91"/>
      <c r="BKK85" s="91"/>
      <c r="BKL85" s="91"/>
      <c r="BKM85" s="91"/>
      <c r="BKN85" s="91"/>
      <c r="BKO85" s="91"/>
      <c r="BKP85" s="91"/>
      <c r="BKQ85" s="91"/>
      <c r="BKR85" s="91"/>
      <c r="BKS85" s="91"/>
      <c r="BKT85" s="91"/>
      <c r="BKU85" s="91"/>
      <c r="BKV85" s="91"/>
      <c r="BKW85" s="91"/>
      <c r="BKX85" s="91"/>
      <c r="BKY85" s="91"/>
      <c r="BKZ85" s="91"/>
      <c r="BLA85" s="91"/>
      <c r="BLB85" s="91"/>
      <c r="BLC85" s="91"/>
      <c r="BLD85" s="91"/>
      <c r="BLE85" s="91"/>
      <c r="BLF85" s="91"/>
      <c r="BLG85" s="91"/>
      <c r="BLH85" s="91"/>
      <c r="BLI85" s="91"/>
      <c r="BLJ85" s="91"/>
      <c r="BLK85" s="91"/>
      <c r="BLL85" s="91"/>
      <c r="BLM85" s="91"/>
      <c r="BLN85" s="91"/>
      <c r="BLO85" s="91"/>
      <c r="BLP85" s="91"/>
      <c r="BLQ85" s="91"/>
      <c r="BLR85" s="91"/>
      <c r="BLS85" s="91"/>
      <c r="BLT85" s="91"/>
      <c r="BLU85" s="91"/>
      <c r="BLV85" s="91"/>
      <c r="BLW85" s="91"/>
      <c r="BLX85" s="91"/>
      <c r="BLY85" s="91"/>
      <c r="BLZ85" s="91"/>
      <c r="BMA85" s="91"/>
      <c r="BMB85" s="91"/>
      <c r="BMC85" s="91"/>
      <c r="BMD85" s="91"/>
      <c r="BME85" s="91"/>
      <c r="BMF85" s="91"/>
      <c r="BMG85" s="91"/>
      <c r="BMH85" s="91"/>
      <c r="BMI85" s="91"/>
      <c r="BMJ85" s="91"/>
      <c r="BMK85" s="91"/>
      <c r="BML85" s="91"/>
      <c r="BMM85" s="91"/>
      <c r="BMN85" s="91"/>
      <c r="BMO85" s="91"/>
      <c r="BMP85" s="91"/>
      <c r="BMQ85" s="91"/>
      <c r="BMR85" s="91"/>
      <c r="BMS85" s="91"/>
      <c r="BMT85" s="91"/>
      <c r="BMU85" s="91"/>
      <c r="BMV85" s="91"/>
      <c r="BMW85" s="91"/>
      <c r="BMX85" s="91"/>
      <c r="BMY85" s="91"/>
      <c r="BMZ85" s="91"/>
      <c r="BNA85" s="91"/>
      <c r="BNB85" s="91"/>
      <c r="BNC85" s="91"/>
      <c r="BND85" s="91"/>
      <c r="BNE85" s="91"/>
      <c r="BNF85" s="91"/>
      <c r="BNG85" s="91"/>
      <c r="BNH85" s="91"/>
      <c r="BNI85" s="91"/>
      <c r="BNJ85" s="91"/>
      <c r="BNK85" s="91"/>
      <c r="BNL85" s="91"/>
      <c r="BNM85" s="91"/>
      <c r="BNN85" s="91"/>
      <c r="BNO85" s="91"/>
      <c r="BNP85" s="91"/>
      <c r="BNQ85" s="91"/>
      <c r="BNR85" s="91"/>
      <c r="BNS85" s="91"/>
      <c r="BNT85" s="91"/>
      <c r="BNU85" s="91"/>
      <c r="BNV85" s="91"/>
      <c r="BNW85" s="91"/>
      <c r="BNX85" s="91"/>
      <c r="BNY85" s="91"/>
      <c r="BNZ85" s="91"/>
      <c r="BOA85" s="91"/>
      <c r="BOB85" s="91"/>
      <c r="BOC85" s="91"/>
      <c r="BOD85" s="91"/>
      <c r="BOE85" s="91"/>
      <c r="BOF85" s="91"/>
      <c r="BOG85" s="91"/>
      <c r="BOH85" s="91"/>
      <c r="BOI85" s="91"/>
      <c r="BOJ85" s="91"/>
      <c r="BOK85" s="91"/>
      <c r="BOL85" s="91"/>
      <c r="BOM85" s="91"/>
      <c r="BON85" s="91"/>
      <c r="BOO85" s="91"/>
      <c r="BOP85" s="91"/>
      <c r="BOQ85" s="91"/>
      <c r="BOR85" s="91"/>
      <c r="BOS85" s="91"/>
      <c r="BOT85" s="91"/>
      <c r="BOU85" s="91"/>
      <c r="BOV85" s="91"/>
      <c r="BOW85" s="91"/>
      <c r="BOX85" s="91"/>
      <c r="BOY85" s="91"/>
      <c r="BOZ85" s="91"/>
      <c r="BPA85" s="91"/>
      <c r="BPB85" s="91"/>
      <c r="BPC85" s="91"/>
      <c r="BPD85" s="91"/>
      <c r="BPE85" s="91"/>
      <c r="BPF85" s="91"/>
      <c r="BPG85" s="91"/>
      <c r="BPH85" s="91"/>
      <c r="BPI85" s="91"/>
      <c r="BPJ85" s="91"/>
      <c r="BPK85" s="91"/>
      <c r="BPL85" s="91"/>
      <c r="BPM85" s="91"/>
      <c r="BPN85" s="91"/>
      <c r="BPO85" s="91"/>
      <c r="BPP85" s="91"/>
      <c r="BPQ85" s="91"/>
      <c r="BPR85" s="91"/>
      <c r="BPS85" s="91"/>
      <c r="BPT85" s="91"/>
      <c r="BPU85" s="91"/>
      <c r="BPV85" s="91"/>
      <c r="BPW85" s="91"/>
      <c r="BPX85" s="91"/>
      <c r="BPY85" s="91"/>
      <c r="BPZ85" s="91"/>
      <c r="BQA85" s="91"/>
      <c r="BQB85" s="91"/>
      <c r="BQC85" s="91"/>
      <c r="BQD85" s="91"/>
      <c r="BQE85" s="91"/>
      <c r="BQF85" s="91"/>
      <c r="BQG85" s="91"/>
      <c r="BQH85" s="91"/>
      <c r="BQI85" s="91"/>
      <c r="BQJ85" s="91"/>
      <c r="BQK85" s="91"/>
      <c r="BQL85" s="91"/>
      <c r="BQM85" s="91"/>
      <c r="BQN85" s="91"/>
      <c r="BQO85" s="91"/>
      <c r="BQP85" s="91"/>
      <c r="BQQ85" s="91"/>
      <c r="BQR85" s="91"/>
      <c r="BQS85" s="91"/>
      <c r="BQT85" s="91"/>
      <c r="BQU85" s="91"/>
      <c r="BQV85" s="91"/>
      <c r="BQW85" s="91"/>
      <c r="BQX85" s="91"/>
      <c r="BQY85" s="91"/>
      <c r="BQZ85" s="91"/>
      <c r="BRA85" s="91"/>
      <c r="BRB85" s="91"/>
      <c r="BRC85" s="91"/>
      <c r="BRD85" s="91"/>
      <c r="BRE85" s="91"/>
      <c r="BRF85" s="91"/>
      <c r="BRG85" s="91"/>
      <c r="BRH85" s="91"/>
      <c r="BRI85" s="91"/>
      <c r="BRJ85" s="91"/>
      <c r="BRK85" s="91"/>
      <c r="BRL85" s="91"/>
      <c r="BRM85" s="91"/>
      <c r="BRN85" s="91"/>
      <c r="BRO85" s="91"/>
      <c r="BRP85" s="91"/>
      <c r="BRQ85" s="91"/>
      <c r="BRR85" s="91"/>
      <c r="BRS85" s="91"/>
      <c r="BRT85" s="91"/>
      <c r="BRU85" s="91"/>
      <c r="BRV85" s="91"/>
      <c r="BRW85" s="91"/>
      <c r="BRX85" s="91"/>
      <c r="BRY85" s="91"/>
      <c r="BRZ85" s="91"/>
      <c r="BSA85" s="91"/>
      <c r="BSB85" s="91"/>
      <c r="BSC85" s="91"/>
      <c r="BSD85" s="91"/>
      <c r="BSE85" s="91"/>
      <c r="BSF85" s="91"/>
      <c r="BSG85" s="91"/>
      <c r="BSH85" s="91"/>
      <c r="BSI85" s="91"/>
      <c r="BSJ85" s="91"/>
      <c r="BSK85" s="91"/>
      <c r="BSL85" s="91"/>
      <c r="BSM85" s="91"/>
      <c r="BSN85" s="91"/>
      <c r="BSO85" s="91"/>
      <c r="BSP85" s="91"/>
      <c r="BSQ85" s="91"/>
      <c r="BSR85" s="91"/>
      <c r="BSS85" s="91"/>
      <c r="BST85" s="91"/>
      <c r="BSU85" s="91"/>
      <c r="BSV85" s="91"/>
      <c r="BSW85" s="91"/>
      <c r="BSX85" s="91"/>
      <c r="BSY85" s="91"/>
      <c r="BSZ85" s="91"/>
      <c r="BTA85" s="91"/>
      <c r="BTB85" s="91"/>
      <c r="BTC85" s="91"/>
      <c r="BTD85" s="91"/>
      <c r="BTE85" s="91"/>
      <c r="BTF85" s="91"/>
      <c r="BTG85" s="91"/>
      <c r="BTH85" s="91"/>
      <c r="BTI85" s="91"/>
      <c r="BTJ85" s="91"/>
      <c r="BTK85" s="91"/>
      <c r="BTL85" s="91"/>
      <c r="BTM85" s="91"/>
      <c r="BTN85" s="91"/>
      <c r="BTO85" s="91"/>
      <c r="BTP85" s="91"/>
      <c r="BTQ85" s="91"/>
      <c r="BTR85" s="91"/>
      <c r="BTS85" s="91"/>
      <c r="BTT85" s="91"/>
      <c r="BTU85" s="91"/>
      <c r="BTV85" s="91"/>
      <c r="BTW85" s="91"/>
      <c r="BTX85" s="91"/>
      <c r="BTY85" s="91"/>
      <c r="BTZ85" s="91"/>
      <c r="BUA85" s="91"/>
      <c r="BUB85" s="91"/>
      <c r="BUC85" s="91"/>
      <c r="BUD85" s="91"/>
      <c r="BUE85" s="91"/>
      <c r="BUF85" s="91"/>
      <c r="BUG85" s="91"/>
      <c r="BUH85" s="91"/>
      <c r="BUI85" s="91"/>
      <c r="BUJ85" s="91"/>
      <c r="BUK85" s="91"/>
      <c r="BUL85" s="91"/>
      <c r="BUM85" s="91"/>
      <c r="BUN85" s="91"/>
      <c r="BUO85" s="91"/>
      <c r="BUP85" s="91"/>
      <c r="BUQ85" s="91"/>
      <c r="BUR85" s="91"/>
      <c r="BUS85" s="91"/>
      <c r="BUT85" s="91"/>
      <c r="BUU85" s="91"/>
      <c r="BUV85" s="91"/>
      <c r="BUW85" s="91"/>
      <c r="BUX85" s="91"/>
      <c r="BUY85" s="91"/>
      <c r="BUZ85" s="91"/>
      <c r="BVA85" s="91"/>
      <c r="BVB85" s="91"/>
      <c r="BVC85" s="91"/>
      <c r="BVD85" s="91"/>
      <c r="BVE85" s="91"/>
      <c r="BVF85" s="91"/>
      <c r="BVG85" s="91"/>
      <c r="BVH85" s="91"/>
      <c r="BVI85" s="91"/>
      <c r="BVJ85" s="91"/>
      <c r="BVK85" s="91"/>
      <c r="BVL85" s="91"/>
      <c r="BVM85" s="91"/>
      <c r="BVN85" s="91"/>
      <c r="BVO85" s="91"/>
      <c r="BVP85" s="91"/>
      <c r="BVQ85" s="91"/>
      <c r="BVR85" s="91"/>
      <c r="BVS85" s="91"/>
      <c r="BVT85" s="91"/>
      <c r="BVU85" s="91"/>
      <c r="BVV85" s="91"/>
      <c r="BVW85" s="91"/>
      <c r="BVX85" s="91"/>
      <c r="BVY85" s="91"/>
      <c r="BVZ85" s="91"/>
      <c r="BWA85" s="91"/>
      <c r="BWB85" s="91"/>
      <c r="BWC85" s="91"/>
      <c r="BWD85" s="91"/>
      <c r="BWE85" s="91"/>
      <c r="BWF85" s="91"/>
      <c r="BWG85" s="91"/>
      <c r="BWH85" s="91"/>
      <c r="BWI85" s="91"/>
      <c r="BWJ85" s="91"/>
      <c r="BWK85" s="91"/>
      <c r="BWL85" s="91"/>
      <c r="BWM85" s="91"/>
      <c r="BWN85" s="91"/>
      <c r="BWO85" s="91"/>
      <c r="BWP85" s="91"/>
      <c r="BWQ85" s="91"/>
      <c r="BWR85" s="91"/>
      <c r="BWS85" s="91"/>
      <c r="BWT85" s="91"/>
      <c r="BWU85" s="91"/>
      <c r="BWV85" s="91"/>
      <c r="BWW85" s="91"/>
      <c r="BWX85" s="91"/>
      <c r="BWY85" s="91"/>
      <c r="BWZ85" s="91"/>
      <c r="BXA85" s="91"/>
      <c r="BXB85" s="91"/>
      <c r="BXC85" s="91"/>
      <c r="BXD85" s="91"/>
      <c r="BXE85" s="91"/>
      <c r="BXF85" s="91"/>
      <c r="BXG85" s="91"/>
      <c r="BXH85" s="91"/>
      <c r="BXI85" s="91"/>
      <c r="BXJ85" s="91"/>
      <c r="BXK85" s="91"/>
      <c r="BXL85" s="91"/>
      <c r="BXM85" s="91"/>
      <c r="BXN85" s="91"/>
      <c r="BXO85" s="91"/>
      <c r="BXP85" s="91"/>
      <c r="BXQ85" s="91"/>
      <c r="BXR85" s="91"/>
      <c r="BXS85" s="91"/>
      <c r="BXT85" s="91"/>
      <c r="BXU85" s="91"/>
      <c r="BXV85" s="91"/>
      <c r="BXW85" s="91"/>
      <c r="BXX85" s="91"/>
      <c r="BXY85" s="91"/>
      <c r="BXZ85" s="91"/>
      <c r="BYA85" s="91"/>
      <c r="BYB85" s="91"/>
      <c r="BYC85" s="91"/>
      <c r="BYD85" s="91"/>
      <c r="BYE85" s="91"/>
      <c r="BYF85" s="91"/>
      <c r="BYG85" s="91"/>
      <c r="BYH85" s="91"/>
      <c r="BYI85" s="91"/>
      <c r="BYJ85" s="91"/>
      <c r="BYK85" s="91"/>
      <c r="BYL85" s="91"/>
      <c r="BYM85" s="91"/>
      <c r="BYN85" s="91"/>
      <c r="BYO85" s="91"/>
      <c r="BYP85" s="91"/>
      <c r="BYQ85" s="91"/>
      <c r="BYR85" s="91"/>
      <c r="BYS85" s="91"/>
      <c r="BYT85" s="91"/>
      <c r="BYU85" s="91"/>
      <c r="BYV85" s="91"/>
      <c r="BYW85" s="91"/>
      <c r="BYX85" s="91"/>
      <c r="BYY85" s="91"/>
      <c r="BYZ85" s="91"/>
      <c r="BZA85" s="91"/>
      <c r="BZB85" s="91"/>
      <c r="BZC85" s="91"/>
      <c r="BZD85" s="91"/>
      <c r="BZE85" s="91"/>
      <c r="BZF85" s="91"/>
      <c r="BZG85" s="91"/>
      <c r="BZH85" s="91"/>
      <c r="BZI85" s="91"/>
      <c r="BZJ85" s="91"/>
      <c r="BZK85" s="91"/>
      <c r="BZL85" s="91"/>
      <c r="BZM85" s="91"/>
      <c r="BZN85" s="91"/>
      <c r="BZO85" s="91"/>
      <c r="BZP85" s="91"/>
      <c r="BZQ85" s="91"/>
      <c r="BZR85" s="91"/>
      <c r="BZS85" s="91"/>
      <c r="BZT85" s="91"/>
      <c r="BZU85" s="91"/>
      <c r="BZV85" s="91"/>
      <c r="BZW85" s="91"/>
      <c r="BZX85" s="91"/>
      <c r="BZY85" s="91"/>
      <c r="BZZ85" s="91"/>
      <c r="CAA85" s="91"/>
      <c r="CAB85" s="91"/>
      <c r="CAC85" s="91"/>
      <c r="CAD85" s="91"/>
      <c r="CAE85" s="91"/>
      <c r="CAF85" s="91"/>
      <c r="CAG85" s="91"/>
      <c r="CAH85" s="91"/>
      <c r="CAI85" s="91"/>
      <c r="CAJ85" s="91"/>
      <c r="CAK85" s="91"/>
      <c r="CAL85" s="91"/>
      <c r="CAM85" s="91"/>
      <c r="CAN85" s="91"/>
      <c r="CAO85" s="91"/>
      <c r="CAP85" s="91"/>
      <c r="CAQ85" s="91"/>
      <c r="CAR85" s="91"/>
      <c r="CAS85" s="91"/>
      <c r="CAT85" s="91"/>
      <c r="CAU85" s="91"/>
      <c r="CAV85" s="91"/>
      <c r="CAW85" s="91"/>
      <c r="CAX85" s="91"/>
      <c r="CAY85" s="91"/>
      <c r="CAZ85" s="91"/>
      <c r="CBA85" s="91"/>
      <c r="CBB85" s="91"/>
      <c r="CBC85" s="91"/>
      <c r="CBD85" s="91"/>
      <c r="CBE85" s="91"/>
      <c r="CBF85" s="91"/>
      <c r="CBG85" s="91"/>
      <c r="CBH85" s="91"/>
      <c r="CBI85" s="91"/>
      <c r="CBJ85" s="91"/>
      <c r="CBK85" s="91"/>
      <c r="CBL85" s="91"/>
      <c r="CBM85" s="91"/>
      <c r="CBN85" s="91"/>
      <c r="CBO85" s="91"/>
      <c r="CBP85" s="91"/>
      <c r="CBQ85" s="91"/>
      <c r="CBR85" s="91"/>
      <c r="CBS85" s="91"/>
      <c r="CBT85" s="91"/>
      <c r="CBU85" s="91"/>
      <c r="CBV85" s="91"/>
      <c r="CBW85" s="91"/>
      <c r="CBX85" s="91"/>
      <c r="CBY85" s="91"/>
      <c r="CBZ85" s="91"/>
      <c r="CCA85" s="91"/>
      <c r="CCB85" s="91"/>
      <c r="CCC85" s="91"/>
      <c r="CCD85" s="91"/>
      <c r="CCE85" s="91"/>
      <c r="CCF85" s="91"/>
      <c r="CCG85" s="91"/>
      <c r="CCH85" s="91"/>
      <c r="CCI85" s="91"/>
      <c r="CCJ85" s="91"/>
      <c r="CCK85" s="91"/>
      <c r="CCL85" s="91"/>
      <c r="CCM85" s="91"/>
      <c r="CCN85" s="91"/>
      <c r="CCO85" s="91"/>
      <c r="CCP85" s="91"/>
      <c r="CCQ85" s="91"/>
      <c r="CCR85" s="91"/>
      <c r="CCS85" s="91"/>
      <c r="CCT85" s="91"/>
      <c r="CCU85" s="91"/>
      <c r="CCV85" s="91"/>
      <c r="CCW85" s="91"/>
      <c r="CCX85" s="91"/>
      <c r="CCY85" s="91"/>
      <c r="CCZ85" s="91"/>
      <c r="CDA85" s="91"/>
      <c r="CDB85" s="91"/>
      <c r="CDC85" s="91"/>
      <c r="CDD85" s="91"/>
      <c r="CDE85" s="91"/>
      <c r="CDF85" s="91"/>
      <c r="CDG85" s="91"/>
      <c r="CDH85" s="91"/>
      <c r="CDI85" s="91"/>
      <c r="CDJ85" s="91"/>
      <c r="CDK85" s="91"/>
      <c r="CDL85" s="91"/>
      <c r="CDM85" s="91"/>
      <c r="CDN85" s="91"/>
      <c r="CDO85" s="91"/>
      <c r="CDP85" s="91"/>
      <c r="CDQ85" s="91"/>
      <c r="CDR85" s="91"/>
      <c r="CDS85" s="91"/>
      <c r="CDT85" s="91"/>
      <c r="CDU85" s="91"/>
      <c r="CDV85" s="91"/>
      <c r="CDW85" s="91"/>
      <c r="CDX85" s="91"/>
      <c r="CDY85" s="91"/>
      <c r="CDZ85" s="91"/>
      <c r="CEA85" s="91"/>
      <c r="CEB85" s="91"/>
      <c r="CEC85" s="91"/>
      <c r="CED85" s="91"/>
      <c r="CEE85" s="91"/>
      <c r="CEF85" s="91"/>
      <c r="CEG85" s="91"/>
      <c r="CEH85" s="91"/>
      <c r="CEI85" s="91"/>
      <c r="CEJ85" s="91"/>
      <c r="CEK85" s="91"/>
      <c r="CEL85" s="91"/>
      <c r="CEM85" s="91"/>
      <c r="CEN85" s="91"/>
      <c r="CEO85" s="91"/>
      <c r="CEP85" s="91"/>
      <c r="CEQ85" s="91"/>
      <c r="CER85" s="91"/>
      <c r="CES85" s="91"/>
      <c r="CET85" s="91"/>
      <c r="CEU85" s="91"/>
      <c r="CEV85" s="91"/>
      <c r="CEW85" s="91"/>
      <c r="CEX85" s="91"/>
      <c r="CEY85" s="91"/>
      <c r="CEZ85" s="91"/>
      <c r="CFA85" s="91"/>
      <c r="CFB85" s="91"/>
      <c r="CFC85" s="91"/>
      <c r="CFD85" s="91"/>
      <c r="CFE85" s="91"/>
      <c r="CFF85" s="91"/>
      <c r="CFG85" s="91"/>
      <c r="CFH85" s="91"/>
      <c r="CFI85" s="91"/>
      <c r="CFJ85" s="91"/>
      <c r="CFK85" s="91"/>
      <c r="CFL85" s="91"/>
      <c r="CFM85" s="91"/>
      <c r="CFN85" s="91"/>
      <c r="CFO85" s="91"/>
      <c r="CFP85" s="91"/>
      <c r="CFQ85" s="91"/>
      <c r="CFR85" s="91"/>
      <c r="CFS85" s="91"/>
      <c r="CFT85" s="91"/>
      <c r="CFU85" s="91"/>
      <c r="CFV85" s="91"/>
      <c r="CFW85" s="91"/>
      <c r="CFX85" s="91"/>
      <c r="CFY85" s="91"/>
      <c r="CFZ85" s="91"/>
      <c r="CGA85" s="91"/>
      <c r="CGB85" s="91"/>
      <c r="CGC85" s="91"/>
      <c r="CGD85" s="91"/>
      <c r="CGE85" s="91"/>
      <c r="CGF85" s="91"/>
      <c r="CGG85" s="91"/>
      <c r="CGH85" s="91"/>
      <c r="CGI85" s="91"/>
      <c r="CGJ85" s="91"/>
      <c r="CGK85" s="91"/>
      <c r="CGL85" s="91"/>
      <c r="CGM85" s="91"/>
      <c r="CGN85" s="91"/>
      <c r="CGO85" s="91"/>
      <c r="CGP85" s="91"/>
      <c r="CGQ85" s="91"/>
      <c r="CGR85" s="91"/>
      <c r="CGS85" s="91"/>
      <c r="CGT85" s="91"/>
      <c r="CGU85" s="91"/>
      <c r="CGV85" s="91"/>
      <c r="CGW85" s="91"/>
      <c r="CGX85" s="91"/>
      <c r="CGY85" s="91"/>
      <c r="CGZ85" s="91"/>
      <c r="CHA85" s="91"/>
      <c r="CHB85" s="91"/>
      <c r="CHC85" s="91"/>
      <c r="CHD85" s="91"/>
      <c r="CHE85" s="91"/>
      <c r="CHF85" s="91"/>
      <c r="CHG85" s="91"/>
      <c r="CHH85" s="91"/>
      <c r="CHI85" s="91"/>
      <c r="CHJ85" s="91"/>
      <c r="CHK85" s="91"/>
      <c r="CHL85" s="91"/>
      <c r="CHM85" s="91"/>
      <c r="CHN85" s="91"/>
      <c r="CHO85" s="91"/>
      <c r="CHP85" s="91"/>
      <c r="CHQ85" s="91"/>
      <c r="CHR85" s="91"/>
      <c r="CHS85" s="91"/>
      <c r="CHT85" s="91"/>
      <c r="CHU85" s="91"/>
      <c r="CHV85" s="91"/>
      <c r="CHW85" s="91"/>
      <c r="CHX85" s="91"/>
      <c r="CHY85" s="91"/>
      <c r="CHZ85" s="91"/>
      <c r="CIA85" s="91"/>
      <c r="CIB85" s="91"/>
      <c r="CIC85" s="91"/>
      <c r="CID85" s="91"/>
      <c r="CIE85" s="91"/>
      <c r="CIF85" s="91"/>
      <c r="CIG85" s="91"/>
      <c r="CIH85" s="91"/>
      <c r="CII85" s="91"/>
      <c r="CIJ85" s="91"/>
      <c r="CIK85" s="91"/>
      <c r="CIL85" s="91"/>
      <c r="CIM85" s="91"/>
      <c r="CIN85" s="91"/>
      <c r="CIO85" s="91"/>
      <c r="CIP85" s="91"/>
      <c r="CIQ85" s="91"/>
      <c r="CIR85" s="91"/>
      <c r="CIS85" s="91"/>
      <c r="CIT85" s="91"/>
      <c r="CIU85" s="91"/>
      <c r="CIV85" s="91"/>
      <c r="CIW85" s="91"/>
      <c r="CIX85" s="91"/>
      <c r="CIY85" s="91"/>
      <c r="CIZ85" s="91"/>
      <c r="CJA85" s="91"/>
      <c r="CJB85" s="91"/>
      <c r="CJC85" s="91"/>
      <c r="CJD85" s="91"/>
      <c r="CJE85" s="91"/>
      <c r="CJF85" s="91"/>
      <c r="CJG85" s="91"/>
      <c r="CJH85" s="91"/>
      <c r="CJI85" s="91"/>
      <c r="CJJ85" s="91"/>
      <c r="CJK85" s="91"/>
      <c r="CJL85" s="91"/>
      <c r="CJM85" s="91"/>
      <c r="CJN85" s="91"/>
      <c r="CJO85" s="91"/>
      <c r="CJP85" s="91"/>
      <c r="CJQ85" s="91"/>
      <c r="CJR85" s="91"/>
      <c r="CJS85" s="91"/>
      <c r="CJT85" s="91"/>
      <c r="CJU85" s="91"/>
      <c r="CJV85" s="91"/>
      <c r="CJW85" s="91"/>
      <c r="CJX85" s="91"/>
      <c r="CJY85" s="91"/>
      <c r="CJZ85" s="91"/>
      <c r="CKA85" s="91"/>
      <c r="CKB85" s="91"/>
      <c r="CKC85" s="91"/>
      <c r="CKD85" s="91"/>
      <c r="CKE85" s="91"/>
      <c r="CKF85" s="91"/>
      <c r="CKG85" s="91"/>
      <c r="CKH85" s="91"/>
      <c r="CKI85" s="91"/>
      <c r="CKJ85" s="91"/>
      <c r="CKK85" s="91"/>
      <c r="CKL85" s="91"/>
      <c r="CKM85" s="91"/>
      <c r="CKN85" s="91"/>
      <c r="CKO85" s="91"/>
      <c r="CKP85" s="91"/>
      <c r="CKQ85" s="91"/>
      <c r="CKR85" s="91"/>
      <c r="CKS85" s="91"/>
      <c r="CKT85" s="91"/>
      <c r="CKU85" s="91"/>
      <c r="CKV85" s="91"/>
      <c r="CKW85" s="91"/>
      <c r="CKX85" s="91"/>
      <c r="CKY85" s="91"/>
      <c r="CKZ85" s="91"/>
      <c r="CLA85" s="91"/>
      <c r="CLB85" s="91"/>
      <c r="CLC85" s="91"/>
      <c r="CLD85" s="91"/>
      <c r="CLE85" s="91"/>
      <c r="CLF85" s="91"/>
      <c r="CLG85" s="91"/>
      <c r="CLH85" s="91"/>
      <c r="CLI85" s="91"/>
      <c r="CLJ85" s="91"/>
      <c r="CLK85" s="91"/>
      <c r="CLL85" s="91"/>
      <c r="CLM85" s="91"/>
      <c r="CLN85" s="91"/>
      <c r="CLO85" s="91"/>
      <c r="CLP85" s="91"/>
      <c r="CLQ85" s="91"/>
      <c r="CLR85" s="91"/>
      <c r="CLS85" s="91"/>
      <c r="CLT85" s="91"/>
      <c r="CLU85" s="91"/>
      <c r="CLV85" s="91"/>
      <c r="CLW85" s="91"/>
      <c r="CLX85" s="91"/>
      <c r="CLY85" s="91"/>
      <c r="CLZ85" s="91"/>
      <c r="CMA85" s="91"/>
      <c r="CMB85" s="91"/>
      <c r="CMC85" s="91"/>
      <c r="CMD85" s="91"/>
      <c r="CME85" s="91"/>
      <c r="CMF85" s="91"/>
      <c r="CMG85" s="91"/>
      <c r="CMH85" s="91"/>
      <c r="CMI85" s="91"/>
      <c r="CMJ85" s="91"/>
      <c r="CMK85" s="91"/>
      <c r="CML85" s="91"/>
      <c r="CMM85" s="91"/>
      <c r="CMN85" s="91"/>
      <c r="CMO85" s="91"/>
      <c r="CMP85" s="91"/>
      <c r="CMQ85" s="91"/>
      <c r="CMR85" s="91"/>
      <c r="CMS85" s="91"/>
      <c r="CMT85" s="91"/>
      <c r="CMU85" s="91"/>
      <c r="CMV85" s="91"/>
      <c r="CMW85" s="91"/>
      <c r="CMX85" s="91"/>
      <c r="CMY85" s="91"/>
      <c r="CMZ85" s="91"/>
      <c r="CNA85" s="91"/>
      <c r="CNB85" s="91"/>
      <c r="CNC85" s="91"/>
      <c r="CND85" s="91"/>
      <c r="CNE85" s="91"/>
      <c r="CNF85" s="91"/>
      <c r="CNG85" s="91"/>
      <c r="CNH85" s="91"/>
      <c r="CNI85" s="91"/>
      <c r="CNJ85" s="91"/>
      <c r="CNK85" s="91"/>
      <c r="CNL85" s="91"/>
      <c r="CNM85" s="91"/>
      <c r="CNN85" s="91"/>
      <c r="CNO85" s="91"/>
      <c r="CNP85" s="91"/>
      <c r="CNQ85" s="91"/>
      <c r="CNR85" s="91"/>
      <c r="CNS85" s="91"/>
      <c r="CNT85" s="91"/>
      <c r="CNU85" s="91"/>
      <c r="CNV85" s="91"/>
      <c r="CNW85" s="91"/>
      <c r="CNX85" s="91"/>
      <c r="CNY85" s="91"/>
      <c r="CNZ85" s="91"/>
      <c r="COA85" s="91"/>
      <c r="COB85" s="91"/>
      <c r="COC85" s="91"/>
      <c r="COD85" s="91"/>
      <c r="COE85" s="91"/>
      <c r="COF85" s="91"/>
      <c r="COG85" s="91"/>
      <c r="COH85" s="91"/>
      <c r="COI85" s="91"/>
      <c r="COJ85" s="91"/>
      <c r="COK85" s="91"/>
      <c r="COL85" s="91"/>
      <c r="COM85" s="91"/>
      <c r="CON85" s="91"/>
      <c r="COO85" s="91"/>
      <c r="COP85" s="91"/>
      <c r="COQ85" s="91"/>
      <c r="COR85" s="91"/>
      <c r="COS85" s="91"/>
      <c r="COT85" s="91"/>
      <c r="COU85" s="91"/>
      <c r="COV85" s="91"/>
      <c r="COW85" s="91"/>
      <c r="COX85" s="91"/>
      <c r="COY85" s="91"/>
      <c r="COZ85" s="91"/>
      <c r="CPA85" s="91"/>
      <c r="CPB85" s="91"/>
      <c r="CPC85" s="91"/>
      <c r="CPD85" s="91"/>
      <c r="CPE85" s="91"/>
      <c r="CPF85" s="91"/>
      <c r="CPG85" s="91"/>
      <c r="CPH85" s="91"/>
      <c r="CPI85" s="91"/>
      <c r="CPJ85" s="91"/>
      <c r="CPK85" s="91"/>
      <c r="CPL85" s="91"/>
      <c r="CPM85" s="91"/>
      <c r="CPN85" s="91"/>
      <c r="CPO85" s="91"/>
      <c r="CPP85" s="91"/>
      <c r="CPQ85" s="91"/>
      <c r="CPR85" s="91"/>
      <c r="CPS85" s="91"/>
      <c r="CPT85" s="91"/>
      <c r="CPU85" s="91"/>
      <c r="CPV85" s="91"/>
      <c r="CPW85" s="91"/>
      <c r="CPX85" s="91"/>
      <c r="CPY85" s="91"/>
      <c r="CPZ85" s="91"/>
      <c r="CQA85" s="91"/>
      <c r="CQB85" s="91"/>
      <c r="CQC85" s="91"/>
      <c r="CQD85" s="91"/>
      <c r="CQE85" s="91"/>
      <c r="CQF85" s="91"/>
      <c r="CQG85" s="91"/>
      <c r="CQH85" s="91"/>
      <c r="CQI85" s="91"/>
      <c r="CQJ85" s="91"/>
      <c r="CQK85" s="91"/>
      <c r="CQL85" s="91"/>
      <c r="CQM85" s="91"/>
      <c r="CQN85" s="91"/>
      <c r="CQO85" s="91"/>
      <c r="CQP85" s="91"/>
      <c r="CQQ85" s="91"/>
      <c r="CQR85" s="91"/>
      <c r="CQS85" s="91"/>
      <c r="CQT85" s="91"/>
      <c r="CQU85" s="91"/>
      <c r="CQV85" s="91"/>
      <c r="CQW85" s="91"/>
      <c r="CQX85" s="91"/>
      <c r="CQY85" s="91"/>
      <c r="CQZ85" s="91"/>
      <c r="CRA85" s="91"/>
      <c r="CRB85" s="91"/>
      <c r="CRC85" s="91"/>
      <c r="CRD85" s="91"/>
      <c r="CRE85" s="91"/>
      <c r="CRF85" s="91"/>
      <c r="CRG85" s="91"/>
      <c r="CRH85" s="91"/>
      <c r="CRI85" s="91"/>
      <c r="CRJ85" s="91"/>
      <c r="CRK85" s="91"/>
      <c r="CRL85" s="91"/>
      <c r="CRM85" s="91"/>
      <c r="CRN85" s="91"/>
      <c r="CRO85" s="91"/>
      <c r="CRP85" s="91"/>
      <c r="CRQ85" s="91"/>
      <c r="CRR85" s="91"/>
      <c r="CRS85" s="91"/>
      <c r="CRT85" s="91"/>
      <c r="CRU85" s="91"/>
      <c r="CRV85" s="91"/>
      <c r="CRW85" s="91"/>
      <c r="CRX85" s="91"/>
      <c r="CRY85" s="91"/>
      <c r="CRZ85" s="91"/>
      <c r="CSA85" s="91"/>
      <c r="CSB85" s="91"/>
      <c r="CSC85" s="91"/>
      <c r="CSD85" s="91"/>
      <c r="CSE85" s="91"/>
      <c r="CSF85" s="91"/>
      <c r="CSG85" s="91"/>
      <c r="CSH85" s="91"/>
      <c r="CSI85" s="91"/>
      <c r="CSJ85" s="91"/>
      <c r="CSK85" s="91"/>
      <c r="CSL85" s="91"/>
      <c r="CSM85" s="91"/>
      <c r="CSN85" s="91"/>
      <c r="CSO85" s="91"/>
      <c r="CSP85" s="91"/>
      <c r="CSQ85" s="91"/>
      <c r="CSR85" s="91"/>
      <c r="CSS85" s="91"/>
      <c r="CST85" s="91"/>
      <c r="CSU85" s="91"/>
      <c r="CSV85" s="91"/>
      <c r="CSW85" s="91"/>
      <c r="CSX85" s="91"/>
      <c r="CSY85" s="91"/>
      <c r="CSZ85" s="91"/>
      <c r="CTA85" s="91"/>
      <c r="CTB85" s="91"/>
      <c r="CTC85" s="91"/>
      <c r="CTD85" s="91"/>
      <c r="CTE85" s="91"/>
      <c r="CTF85" s="91"/>
      <c r="CTG85" s="91"/>
      <c r="CTH85" s="91"/>
      <c r="CTI85" s="91"/>
      <c r="CTJ85" s="91"/>
      <c r="CTK85" s="91"/>
      <c r="CTL85" s="91"/>
      <c r="CTM85" s="91"/>
      <c r="CTN85" s="91"/>
      <c r="CTO85" s="91"/>
      <c r="CTP85" s="91"/>
      <c r="CTQ85" s="91"/>
      <c r="CTR85" s="91"/>
      <c r="CTS85" s="91"/>
      <c r="CTT85" s="91"/>
      <c r="CTU85" s="91"/>
      <c r="CTV85" s="91"/>
      <c r="CTW85" s="91"/>
      <c r="CTX85" s="91"/>
      <c r="CTY85" s="91"/>
      <c r="CTZ85" s="91"/>
      <c r="CUA85" s="91"/>
      <c r="CUB85" s="91"/>
      <c r="CUC85" s="91"/>
      <c r="CUD85" s="91"/>
      <c r="CUE85" s="91"/>
      <c r="CUF85" s="91"/>
      <c r="CUG85" s="91"/>
      <c r="CUH85" s="91"/>
      <c r="CUI85" s="91"/>
      <c r="CUJ85" s="91"/>
      <c r="CUK85" s="91"/>
      <c r="CUL85" s="91"/>
      <c r="CUM85" s="91"/>
      <c r="CUN85" s="91"/>
      <c r="CUO85" s="91"/>
      <c r="CUP85" s="91"/>
      <c r="CUQ85" s="91"/>
      <c r="CUR85" s="91"/>
      <c r="CUS85" s="91"/>
      <c r="CUT85" s="91"/>
      <c r="CUU85" s="91"/>
      <c r="CUV85" s="91"/>
      <c r="CUW85" s="91"/>
      <c r="CUX85" s="91"/>
      <c r="CUY85" s="91"/>
      <c r="CUZ85" s="91"/>
      <c r="CVA85" s="91"/>
      <c r="CVB85" s="91"/>
      <c r="CVC85" s="91"/>
      <c r="CVD85" s="91"/>
      <c r="CVE85" s="91"/>
      <c r="CVF85" s="91"/>
      <c r="CVG85" s="91"/>
      <c r="CVH85" s="91"/>
      <c r="CVI85" s="91"/>
      <c r="CVJ85" s="91"/>
      <c r="CVK85" s="91"/>
      <c r="CVL85" s="91"/>
      <c r="CVM85" s="91"/>
      <c r="CVN85" s="91"/>
      <c r="CVO85" s="91"/>
      <c r="CVP85" s="91"/>
      <c r="CVQ85" s="91"/>
      <c r="CVR85" s="91"/>
      <c r="CVS85" s="91"/>
      <c r="CVT85" s="91"/>
      <c r="CVU85" s="91"/>
      <c r="CVV85" s="91"/>
      <c r="CVW85" s="91"/>
      <c r="CVX85" s="91"/>
      <c r="CVY85" s="91"/>
      <c r="CVZ85" s="91"/>
      <c r="CWA85" s="91"/>
      <c r="CWB85" s="91"/>
      <c r="CWC85" s="91"/>
      <c r="CWD85" s="91"/>
      <c r="CWE85" s="91"/>
      <c r="CWF85" s="91"/>
      <c r="CWG85" s="91"/>
      <c r="CWH85" s="91"/>
      <c r="CWI85" s="91"/>
      <c r="CWJ85" s="91"/>
      <c r="CWK85" s="91"/>
      <c r="CWL85" s="91"/>
      <c r="CWM85" s="91"/>
      <c r="CWN85" s="91"/>
      <c r="CWO85" s="91"/>
      <c r="CWP85" s="91"/>
      <c r="CWQ85" s="91"/>
      <c r="CWR85" s="91"/>
      <c r="CWS85" s="91"/>
      <c r="CWT85" s="91"/>
      <c r="CWU85" s="91"/>
      <c r="CWV85" s="91"/>
      <c r="CWW85" s="91"/>
      <c r="CWX85" s="91"/>
      <c r="CWY85" s="91"/>
      <c r="CWZ85" s="91"/>
      <c r="CXA85" s="91"/>
      <c r="CXB85" s="91"/>
      <c r="CXC85" s="91"/>
      <c r="CXD85" s="91"/>
      <c r="CXE85" s="91"/>
      <c r="CXF85" s="91"/>
      <c r="CXG85" s="91"/>
      <c r="CXH85" s="91"/>
      <c r="CXI85" s="91"/>
      <c r="CXJ85" s="91"/>
      <c r="CXK85" s="91"/>
      <c r="CXL85" s="91"/>
      <c r="CXM85" s="91"/>
      <c r="CXN85" s="91"/>
      <c r="CXO85" s="91"/>
      <c r="CXP85" s="91"/>
      <c r="CXQ85" s="91"/>
      <c r="CXR85" s="91"/>
      <c r="CXS85" s="91"/>
      <c r="CXT85" s="91"/>
      <c r="CXU85" s="91"/>
      <c r="CXV85" s="91"/>
      <c r="CXW85" s="91"/>
      <c r="CXX85" s="91"/>
      <c r="CXY85" s="91"/>
      <c r="CXZ85" s="91"/>
      <c r="CYA85" s="91"/>
      <c r="CYB85" s="91"/>
      <c r="CYC85" s="91"/>
      <c r="CYD85" s="91"/>
      <c r="CYE85" s="91"/>
      <c r="CYF85" s="91"/>
      <c r="CYG85" s="91"/>
      <c r="CYH85" s="91"/>
      <c r="CYI85" s="91"/>
      <c r="CYJ85" s="91"/>
      <c r="CYK85" s="91"/>
      <c r="CYL85" s="91"/>
      <c r="CYM85" s="91"/>
      <c r="CYN85" s="91"/>
      <c r="CYO85" s="91"/>
      <c r="CYP85" s="91"/>
      <c r="CYQ85" s="91"/>
      <c r="CYR85" s="91"/>
      <c r="CYS85" s="91"/>
      <c r="CYT85" s="91"/>
      <c r="CYU85" s="91"/>
      <c r="CYV85" s="91"/>
      <c r="CYW85" s="91"/>
      <c r="CYX85" s="91"/>
      <c r="CYY85" s="91"/>
      <c r="CYZ85" s="91"/>
      <c r="CZA85" s="91"/>
      <c r="CZB85" s="91"/>
      <c r="CZC85" s="91"/>
      <c r="CZD85" s="91"/>
      <c r="CZE85" s="91"/>
      <c r="CZF85" s="91"/>
      <c r="CZG85" s="91"/>
      <c r="CZH85" s="91"/>
      <c r="CZI85" s="91"/>
      <c r="CZJ85" s="91"/>
      <c r="CZK85" s="91"/>
      <c r="CZL85" s="91"/>
      <c r="CZM85" s="91"/>
      <c r="CZN85" s="91"/>
      <c r="CZO85" s="91"/>
      <c r="CZP85" s="91"/>
      <c r="CZQ85" s="91"/>
      <c r="CZR85" s="91"/>
      <c r="CZS85" s="91"/>
      <c r="CZT85" s="91"/>
      <c r="CZU85" s="91"/>
      <c r="CZV85" s="91"/>
      <c r="CZW85" s="91"/>
      <c r="CZX85" s="91"/>
      <c r="CZY85" s="91"/>
      <c r="CZZ85" s="91"/>
      <c r="DAA85" s="91"/>
      <c r="DAB85" s="91"/>
      <c r="DAC85" s="91"/>
      <c r="DAD85" s="91"/>
      <c r="DAE85" s="91"/>
      <c r="DAF85" s="91"/>
      <c r="DAG85" s="91"/>
      <c r="DAH85" s="91"/>
      <c r="DAI85" s="91"/>
      <c r="DAJ85" s="91"/>
      <c r="DAK85" s="91"/>
      <c r="DAL85" s="91"/>
      <c r="DAM85" s="91"/>
      <c r="DAN85" s="91"/>
      <c r="DAO85" s="91"/>
      <c r="DAP85" s="91"/>
      <c r="DAQ85" s="91"/>
      <c r="DAR85" s="91"/>
      <c r="DAS85" s="91"/>
      <c r="DAT85" s="91"/>
      <c r="DAU85" s="91"/>
      <c r="DAV85" s="91"/>
      <c r="DAW85" s="91"/>
      <c r="DAX85" s="91"/>
      <c r="DAY85" s="91"/>
      <c r="DAZ85" s="91"/>
      <c r="DBA85" s="91"/>
      <c r="DBB85" s="91"/>
      <c r="DBC85" s="91"/>
      <c r="DBD85" s="91"/>
      <c r="DBE85" s="91"/>
      <c r="DBF85" s="91"/>
      <c r="DBG85" s="91"/>
      <c r="DBH85" s="91"/>
      <c r="DBI85" s="91"/>
      <c r="DBJ85" s="91"/>
      <c r="DBK85" s="91"/>
      <c r="DBL85" s="91"/>
      <c r="DBM85" s="91"/>
      <c r="DBN85" s="91"/>
      <c r="DBO85" s="91"/>
      <c r="DBP85" s="91"/>
      <c r="DBQ85" s="91"/>
      <c r="DBR85" s="91"/>
      <c r="DBS85" s="91"/>
      <c r="DBT85" s="91"/>
      <c r="DBU85" s="91"/>
      <c r="DBV85" s="91"/>
      <c r="DBW85" s="91"/>
      <c r="DBX85" s="91"/>
      <c r="DBY85" s="91"/>
      <c r="DBZ85" s="91"/>
      <c r="DCA85" s="91"/>
      <c r="DCB85" s="91"/>
      <c r="DCC85" s="91"/>
      <c r="DCD85" s="91"/>
      <c r="DCE85" s="91"/>
      <c r="DCF85" s="91"/>
      <c r="DCG85" s="91"/>
      <c r="DCH85" s="91"/>
      <c r="DCI85" s="91"/>
      <c r="DCJ85" s="91"/>
      <c r="DCK85" s="91"/>
      <c r="DCL85" s="91"/>
      <c r="DCM85" s="91"/>
      <c r="DCN85" s="91"/>
      <c r="DCO85" s="91"/>
      <c r="DCP85" s="91"/>
      <c r="DCQ85" s="91"/>
      <c r="DCR85" s="91"/>
      <c r="DCS85" s="91"/>
      <c r="DCT85" s="91"/>
      <c r="DCU85" s="91"/>
      <c r="DCV85" s="91"/>
      <c r="DCW85" s="91"/>
      <c r="DCX85" s="91"/>
      <c r="DCY85" s="91"/>
      <c r="DCZ85" s="91"/>
      <c r="DDA85" s="91"/>
      <c r="DDB85" s="91"/>
      <c r="DDC85" s="91"/>
      <c r="DDD85" s="91"/>
      <c r="DDE85" s="91"/>
      <c r="DDF85" s="91"/>
      <c r="DDG85" s="91"/>
      <c r="DDH85" s="91"/>
      <c r="DDI85" s="91"/>
      <c r="DDJ85" s="91"/>
      <c r="DDK85" s="91"/>
      <c r="DDL85" s="91"/>
      <c r="DDM85" s="91"/>
      <c r="DDN85" s="91"/>
      <c r="DDO85" s="91"/>
      <c r="DDP85" s="91"/>
      <c r="DDQ85" s="91"/>
      <c r="DDR85" s="91"/>
      <c r="DDS85" s="91"/>
      <c r="DDT85" s="91"/>
      <c r="DDU85" s="91"/>
      <c r="DDV85" s="91"/>
      <c r="DDW85" s="91"/>
      <c r="DDX85" s="91"/>
      <c r="DDY85" s="91"/>
      <c r="DDZ85" s="91"/>
      <c r="DEA85" s="91"/>
      <c r="DEB85" s="91"/>
      <c r="DEC85" s="91"/>
      <c r="DED85" s="91"/>
      <c r="DEE85" s="91"/>
      <c r="DEF85" s="91"/>
      <c r="DEG85" s="91"/>
      <c r="DEH85" s="91"/>
      <c r="DEI85" s="91"/>
      <c r="DEJ85" s="91"/>
      <c r="DEK85" s="91"/>
      <c r="DEL85" s="91"/>
      <c r="DEM85" s="91"/>
      <c r="DEN85" s="91"/>
      <c r="DEO85" s="91"/>
      <c r="DEP85" s="91"/>
      <c r="DEQ85" s="91"/>
      <c r="DER85" s="91"/>
      <c r="DES85" s="91"/>
      <c r="DET85" s="91"/>
      <c r="DEU85" s="91"/>
      <c r="DEV85" s="91"/>
      <c r="DEW85" s="91"/>
      <c r="DEX85" s="91"/>
      <c r="DEY85" s="91"/>
      <c r="DEZ85" s="91"/>
      <c r="DFA85" s="91"/>
      <c r="DFB85" s="91"/>
      <c r="DFC85" s="91"/>
      <c r="DFD85" s="91"/>
      <c r="DFE85" s="91"/>
      <c r="DFF85" s="91"/>
      <c r="DFG85" s="91"/>
      <c r="DFH85" s="91"/>
      <c r="DFI85" s="91"/>
      <c r="DFJ85" s="91"/>
      <c r="DFK85" s="91"/>
      <c r="DFL85" s="91"/>
      <c r="DFM85" s="91"/>
      <c r="DFN85" s="91"/>
      <c r="DFO85" s="91"/>
      <c r="DFP85" s="91"/>
      <c r="DFQ85" s="91"/>
      <c r="DFR85" s="91"/>
      <c r="DFS85" s="91"/>
      <c r="DFT85" s="91"/>
      <c r="DFU85" s="91"/>
      <c r="DFV85" s="91"/>
      <c r="DFW85" s="91"/>
      <c r="DFX85" s="91"/>
      <c r="DFY85" s="91"/>
      <c r="DFZ85" s="91"/>
      <c r="DGA85" s="91"/>
      <c r="DGB85" s="91"/>
      <c r="DGC85" s="91"/>
      <c r="DGD85" s="91"/>
      <c r="DGE85" s="91"/>
      <c r="DGF85" s="91"/>
      <c r="DGG85" s="91"/>
      <c r="DGH85" s="91"/>
      <c r="DGI85" s="91"/>
      <c r="DGJ85" s="91"/>
      <c r="DGK85" s="91"/>
      <c r="DGL85" s="91"/>
      <c r="DGM85" s="91"/>
      <c r="DGN85" s="91"/>
      <c r="DGO85" s="91"/>
      <c r="DGP85" s="91"/>
      <c r="DGQ85" s="91"/>
      <c r="DGR85" s="91"/>
      <c r="DGS85" s="91"/>
      <c r="DGT85" s="91"/>
      <c r="DGU85" s="91"/>
      <c r="DGV85" s="91"/>
      <c r="DGW85" s="91"/>
      <c r="DGX85" s="91"/>
      <c r="DGY85" s="91"/>
      <c r="DGZ85" s="91"/>
      <c r="DHA85" s="91"/>
      <c r="DHB85" s="91"/>
      <c r="DHC85" s="91"/>
      <c r="DHD85" s="91"/>
      <c r="DHE85" s="91"/>
      <c r="DHF85" s="91"/>
      <c r="DHG85" s="91"/>
      <c r="DHH85" s="91"/>
      <c r="DHI85" s="91"/>
      <c r="DHJ85" s="91"/>
      <c r="DHK85" s="91"/>
      <c r="DHL85" s="91"/>
      <c r="DHM85" s="91"/>
      <c r="DHN85" s="91"/>
      <c r="DHO85" s="91"/>
      <c r="DHP85" s="91"/>
      <c r="DHQ85" s="91"/>
      <c r="DHR85" s="91"/>
      <c r="DHS85" s="91"/>
      <c r="DHT85" s="91"/>
      <c r="DHU85" s="91"/>
      <c r="DHV85" s="91"/>
      <c r="DHW85" s="91"/>
      <c r="DHX85" s="91"/>
      <c r="DHY85" s="91"/>
      <c r="DHZ85" s="91"/>
      <c r="DIA85" s="91"/>
      <c r="DIB85" s="91"/>
      <c r="DIC85" s="91"/>
      <c r="DID85" s="91"/>
      <c r="DIE85" s="91"/>
      <c r="DIF85" s="91"/>
      <c r="DIG85" s="91"/>
      <c r="DIH85" s="91"/>
      <c r="DII85" s="91"/>
      <c r="DIJ85" s="91"/>
      <c r="DIK85" s="91"/>
      <c r="DIL85" s="91"/>
      <c r="DIM85" s="91"/>
      <c r="DIN85" s="91"/>
      <c r="DIO85" s="91"/>
      <c r="DIP85" s="91"/>
      <c r="DIQ85" s="91"/>
      <c r="DIR85" s="91"/>
      <c r="DIS85" s="91"/>
      <c r="DIT85" s="91"/>
      <c r="DIU85" s="91"/>
      <c r="DIV85" s="91"/>
      <c r="DIW85" s="91"/>
      <c r="DIX85" s="91"/>
      <c r="DIY85" s="91"/>
      <c r="DIZ85" s="91"/>
      <c r="DJA85" s="91"/>
      <c r="DJB85" s="91"/>
      <c r="DJC85" s="91"/>
      <c r="DJD85" s="91"/>
      <c r="DJE85" s="91"/>
      <c r="DJF85" s="91"/>
      <c r="DJG85" s="91"/>
      <c r="DJH85" s="91"/>
      <c r="DJI85" s="91"/>
      <c r="DJJ85" s="91"/>
      <c r="DJK85" s="91"/>
      <c r="DJL85" s="91"/>
      <c r="DJM85" s="91"/>
      <c r="DJN85" s="91"/>
      <c r="DJO85" s="91"/>
      <c r="DJP85" s="91"/>
      <c r="DJQ85" s="91"/>
      <c r="DJR85" s="91"/>
      <c r="DJS85" s="91"/>
      <c r="DJT85" s="91"/>
      <c r="DJU85" s="91"/>
      <c r="DJV85" s="91"/>
      <c r="DJW85" s="91"/>
      <c r="DJX85" s="91"/>
      <c r="DJY85" s="91"/>
      <c r="DJZ85" s="91"/>
      <c r="DKA85" s="91"/>
      <c r="DKB85" s="91"/>
      <c r="DKC85" s="91"/>
      <c r="DKD85" s="91"/>
      <c r="DKE85" s="91"/>
      <c r="DKF85" s="91"/>
      <c r="DKG85" s="91"/>
      <c r="DKH85" s="91"/>
      <c r="DKI85" s="91"/>
      <c r="DKJ85" s="91"/>
      <c r="DKK85" s="91"/>
      <c r="DKL85" s="91"/>
      <c r="DKM85" s="91"/>
      <c r="DKN85" s="91"/>
      <c r="DKO85" s="91"/>
      <c r="DKP85" s="91"/>
      <c r="DKQ85" s="91"/>
      <c r="DKR85" s="91"/>
      <c r="DKS85" s="91"/>
      <c r="DKT85" s="91"/>
      <c r="DKU85" s="91"/>
      <c r="DKV85" s="91"/>
      <c r="DKW85" s="91"/>
      <c r="DKX85" s="91"/>
      <c r="DKY85" s="91"/>
      <c r="DKZ85" s="91"/>
      <c r="DLA85" s="91"/>
      <c r="DLB85" s="91"/>
      <c r="DLC85" s="91"/>
      <c r="DLD85" s="91"/>
      <c r="DLE85" s="91"/>
      <c r="DLF85" s="91"/>
      <c r="DLG85" s="91"/>
      <c r="DLH85" s="91"/>
      <c r="DLI85" s="91"/>
      <c r="DLJ85" s="91"/>
      <c r="DLK85" s="91"/>
      <c r="DLL85" s="91"/>
      <c r="DLM85" s="91"/>
      <c r="DLN85" s="91"/>
      <c r="DLO85" s="91"/>
      <c r="DLP85" s="91"/>
      <c r="DLQ85" s="91"/>
      <c r="DLR85" s="91"/>
      <c r="DLS85" s="91"/>
      <c r="DLT85" s="91"/>
      <c r="DLU85" s="91"/>
      <c r="DLV85" s="91"/>
      <c r="DLW85" s="91"/>
      <c r="DLX85" s="91"/>
      <c r="DLY85" s="91"/>
      <c r="DLZ85" s="91"/>
      <c r="DMA85" s="91"/>
      <c r="DMB85" s="91"/>
      <c r="DMC85" s="91"/>
      <c r="DMD85" s="91"/>
      <c r="DME85" s="91"/>
      <c r="DMF85" s="91"/>
      <c r="DMG85" s="91"/>
      <c r="DMH85" s="91"/>
      <c r="DMI85" s="91"/>
      <c r="DMJ85" s="91"/>
      <c r="DMK85" s="91"/>
      <c r="DML85" s="91"/>
      <c r="DMM85" s="91"/>
      <c r="DMN85" s="91"/>
      <c r="DMO85" s="91"/>
      <c r="DMP85" s="91"/>
      <c r="DMQ85" s="91"/>
      <c r="DMR85" s="91"/>
      <c r="DMS85" s="91"/>
      <c r="DMT85" s="91"/>
      <c r="DMU85" s="91"/>
      <c r="DMV85" s="91"/>
      <c r="DMW85" s="91"/>
      <c r="DMX85" s="91"/>
      <c r="DMY85" s="91"/>
      <c r="DMZ85" s="91"/>
      <c r="DNA85" s="91"/>
      <c r="DNB85" s="91"/>
      <c r="DNC85" s="91"/>
      <c r="DND85" s="91"/>
      <c r="DNE85" s="91"/>
      <c r="DNF85" s="91"/>
      <c r="DNG85" s="91"/>
      <c r="DNH85" s="91"/>
      <c r="DNI85" s="91"/>
      <c r="DNJ85" s="91"/>
      <c r="DNK85" s="91"/>
      <c r="DNL85" s="91"/>
      <c r="DNM85" s="91"/>
      <c r="DNN85" s="91"/>
      <c r="DNO85" s="91"/>
      <c r="DNP85" s="91"/>
      <c r="DNQ85" s="91"/>
      <c r="DNR85" s="91"/>
      <c r="DNS85" s="91"/>
      <c r="DNT85" s="91"/>
      <c r="DNU85" s="91"/>
      <c r="DNV85" s="91"/>
      <c r="DNW85" s="91"/>
      <c r="DNX85" s="91"/>
      <c r="DNY85" s="91"/>
      <c r="DNZ85" s="91"/>
      <c r="DOA85" s="91"/>
      <c r="DOB85" s="91"/>
      <c r="DOC85" s="91"/>
      <c r="DOD85" s="91"/>
      <c r="DOE85" s="91"/>
      <c r="DOF85" s="91"/>
      <c r="DOG85" s="91"/>
      <c r="DOH85" s="91"/>
      <c r="DOI85" s="91"/>
      <c r="DOJ85" s="91"/>
      <c r="DOK85" s="91"/>
      <c r="DOL85" s="91"/>
      <c r="DOM85" s="91"/>
      <c r="DON85" s="91"/>
      <c r="DOO85" s="91"/>
      <c r="DOP85" s="91"/>
      <c r="DOQ85" s="91"/>
      <c r="DOR85" s="91"/>
      <c r="DOS85" s="91"/>
      <c r="DOT85" s="91"/>
      <c r="DOU85" s="91"/>
      <c r="DOV85" s="91"/>
      <c r="DOW85" s="91"/>
      <c r="DOX85" s="91"/>
      <c r="DOY85" s="91"/>
      <c r="DOZ85" s="91"/>
      <c r="DPA85" s="91"/>
      <c r="DPB85" s="91"/>
      <c r="DPC85" s="91"/>
      <c r="DPD85" s="91"/>
      <c r="DPE85" s="91"/>
      <c r="DPF85" s="91"/>
      <c r="DPG85" s="91"/>
      <c r="DPH85" s="91"/>
      <c r="DPI85" s="91"/>
      <c r="DPJ85" s="91"/>
      <c r="DPK85" s="91"/>
      <c r="DPL85" s="91"/>
      <c r="DPM85" s="91"/>
      <c r="DPN85" s="91"/>
      <c r="DPO85" s="91"/>
      <c r="DPP85" s="91"/>
      <c r="DPQ85" s="91"/>
      <c r="DPR85" s="91"/>
      <c r="DPS85" s="91"/>
      <c r="DPT85" s="91"/>
      <c r="DPU85" s="91"/>
      <c r="DPV85" s="91"/>
      <c r="DPW85" s="91"/>
      <c r="DPX85" s="91"/>
      <c r="DPY85" s="91"/>
      <c r="DPZ85" s="91"/>
      <c r="DQA85" s="91"/>
      <c r="DQB85" s="91"/>
      <c r="DQC85" s="91"/>
      <c r="DQD85" s="91"/>
      <c r="DQE85" s="91"/>
      <c r="DQF85" s="91"/>
      <c r="DQG85" s="91"/>
      <c r="DQH85" s="91"/>
      <c r="DQI85" s="91"/>
      <c r="DQJ85" s="91"/>
      <c r="DQK85" s="91"/>
      <c r="DQL85" s="91"/>
      <c r="DQM85" s="91"/>
      <c r="DQN85" s="91"/>
      <c r="DQO85" s="91"/>
      <c r="DQP85" s="91"/>
      <c r="DQQ85" s="91"/>
      <c r="DQR85" s="91"/>
      <c r="DQS85" s="91"/>
      <c r="DQT85" s="91"/>
      <c r="DQU85" s="91"/>
      <c r="DQV85" s="91"/>
      <c r="DQW85" s="91"/>
      <c r="DQX85" s="91"/>
      <c r="DQY85" s="91"/>
      <c r="DQZ85" s="91"/>
      <c r="DRA85" s="91"/>
      <c r="DRB85" s="91"/>
      <c r="DRC85" s="91"/>
      <c r="DRD85" s="91"/>
      <c r="DRE85" s="91"/>
      <c r="DRF85" s="91"/>
      <c r="DRG85" s="91"/>
      <c r="DRH85" s="91"/>
      <c r="DRI85" s="91"/>
      <c r="DRJ85" s="91"/>
      <c r="DRK85" s="91"/>
      <c r="DRL85" s="91"/>
      <c r="DRM85" s="91"/>
      <c r="DRN85" s="91"/>
      <c r="DRO85" s="91"/>
      <c r="DRP85" s="91"/>
      <c r="DRQ85" s="91"/>
      <c r="DRR85" s="91"/>
      <c r="DRS85" s="91"/>
      <c r="DRT85" s="91"/>
      <c r="DRU85" s="91"/>
      <c r="DRV85" s="91"/>
      <c r="DRW85" s="91"/>
      <c r="DRX85" s="91"/>
      <c r="DRY85" s="91"/>
      <c r="DRZ85" s="91"/>
      <c r="DSA85" s="91"/>
      <c r="DSB85" s="91"/>
      <c r="DSC85" s="91"/>
      <c r="DSD85" s="91"/>
      <c r="DSE85" s="91"/>
      <c r="DSF85" s="91"/>
      <c r="DSG85" s="91"/>
      <c r="DSH85" s="91"/>
      <c r="DSI85" s="91"/>
      <c r="DSJ85" s="91"/>
      <c r="DSK85" s="91"/>
      <c r="DSL85" s="91"/>
      <c r="DSM85" s="91"/>
      <c r="DSN85" s="91"/>
      <c r="DSO85" s="91"/>
      <c r="DSP85" s="91"/>
      <c r="DSQ85" s="91"/>
      <c r="DSR85" s="91"/>
      <c r="DSS85" s="91"/>
      <c r="DST85" s="91"/>
      <c r="DSU85" s="91"/>
      <c r="DSV85" s="91"/>
      <c r="DSW85" s="91"/>
      <c r="DSX85" s="91"/>
      <c r="DSY85" s="91"/>
      <c r="DSZ85" s="91"/>
      <c r="DTA85" s="91"/>
      <c r="DTB85" s="91"/>
      <c r="DTC85" s="91"/>
      <c r="DTD85" s="91"/>
      <c r="DTE85" s="91"/>
      <c r="DTF85" s="91"/>
      <c r="DTG85" s="91"/>
      <c r="DTH85" s="91"/>
      <c r="DTI85" s="91"/>
      <c r="DTJ85" s="91"/>
      <c r="DTK85" s="91"/>
      <c r="DTL85" s="91"/>
      <c r="DTM85" s="91"/>
      <c r="DTN85" s="91"/>
      <c r="DTO85" s="91"/>
      <c r="DTP85" s="91"/>
      <c r="DTQ85" s="91"/>
      <c r="DTR85" s="91"/>
      <c r="DTS85" s="91"/>
      <c r="DTT85" s="91"/>
      <c r="DTU85" s="91"/>
      <c r="DTV85" s="91"/>
      <c r="DTW85" s="91"/>
      <c r="DTX85" s="91"/>
      <c r="DTY85" s="91"/>
      <c r="DTZ85" s="91"/>
      <c r="DUA85" s="91"/>
      <c r="DUB85" s="91"/>
      <c r="DUC85" s="91"/>
      <c r="DUD85" s="91"/>
      <c r="DUE85" s="91"/>
      <c r="DUF85" s="91"/>
      <c r="DUG85" s="91"/>
      <c r="DUH85" s="91"/>
      <c r="DUI85" s="91"/>
      <c r="DUJ85" s="91"/>
      <c r="DUK85" s="91"/>
      <c r="DUL85" s="91"/>
      <c r="DUM85" s="91"/>
      <c r="DUN85" s="91"/>
      <c r="DUO85" s="91"/>
      <c r="DUP85" s="91"/>
      <c r="DUQ85" s="91"/>
      <c r="DUR85" s="91"/>
      <c r="DUS85" s="91"/>
      <c r="DUT85" s="91"/>
      <c r="DUU85" s="91"/>
      <c r="DUV85" s="91"/>
      <c r="DUW85" s="91"/>
      <c r="DUX85" s="91"/>
      <c r="DUY85" s="91"/>
      <c r="DUZ85" s="91"/>
      <c r="DVA85" s="91"/>
      <c r="DVB85" s="91"/>
      <c r="DVC85" s="91"/>
      <c r="DVD85" s="91"/>
      <c r="DVE85" s="91"/>
      <c r="DVF85" s="91"/>
      <c r="DVG85" s="91"/>
      <c r="DVH85" s="91"/>
      <c r="DVI85" s="91"/>
      <c r="DVJ85" s="91"/>
      <c r="DVK85" s="91"/>
      <c r="DVL85" s="91"/>
      <c r="DVM85" s="91"/>
      <c r="DVN85" s="91"/>
      <c r="DVO85" s="91"/>
      <c r="DVP85" s="91"/>
      <c r="DVQ85" s="91"/>
      <c r="DVR85" s="91"/>
      <c r="DVS85" s="91"/>
      <c r="DVT85" s="91"/>
      <c r="DVU85" s="91"/>
      <c r="DVV85" s="91"/>
      <c r="DVW85" s="91"/>
      <c r="DVX85" s="91"/>
      <c r="DVY85" s="91"/>
      <c r="DVZ85" s="91"/>
      <c r="DWA85" s="91"/>
      <c r="DWB85" s="91"/>
      <c r="DWC85" s="91"/>
      <c r="DWD85" s="91"/>
      <c r="DWE85" s="91"/>
      <c r="DWF85" s="91"/>
      <c r="DWG85" s="91"/>
      <c r="DWH85" s="91"/>
      <c r="DWI85" s="91"/>
      <c r="DWJ85" s="91"/>
      <c r="DWK85" s="91"/>
      <c r="DWL85" s="91"/>
      <c r="DWM85" s="91"/>
      <c r="DWN85" s="91"/>
      <c r="DWO85" s="91"/>
      <c r="DWP85" s="91"/>
      <c r="DWQ85" s="91"/>
      <c r="DWR85" s="91"/>
      <c r="DWS85" s="91"/>
      <c r="DWT85" s="91"/>
      <c r="DWU85" s="91"/>
      <c r="DWV85" s="91"/>
      <c r="DWW85" s="91"/>
      <c r="DWX85" s="91"/>
      <c r="DWY85" s="91"/>
      <c r="DWZ85" s="91"/>
      <c r="DXA85" s="91"/>
      <c r="DXB85" s="91"/>
      <c r="DXC85" s="91"/>
      <c r="DXD85" s="91"/>
      <c r="DXE85" s="91"/>
      <c r="DXF85" s="91"/>
      <c r="DXG85" s="91"/>
      <c r="DXH85" s="91"/>
      <c r="DXI85" s="91"/>
      <c r="DXJ85" s="91"/>
      <c r="DXK85" s="91"/>
      <c r="DXL85" s="91"/>
      <c r="DXM85" s="91"/>
      <c r="DXN85" s="91"/>
      <c r="DXO85" s="91"/>
      <c r="DXP85" s="91"/>
      <c r="DXQ85" s="91"/>
      <c r="DXR85" s="91"/>
      <c r="DXS85" s="91"/>
      <c r="DXT85" s="91"/>
      <c r="DXU85" s="91"/>
      <c r="DXV85" s="91"/>
      <c r="DXW85" s="91"/>
      <c r="DXX85" s="91"/>
      <c r="DXY85" s="91"/>
      <c r="DXZ85" s="91"/>
      <c r="DYA85" s="91"/>
      <c r="DYB85" s="91"/>
      <c r="DYC85" s="91"/>
      <c r="DYD85" s="91"/>
      <c r="DYE85" s="91"/>
      <c r="DYF85" s="91"/>
      <c r="DYG85" s="91"/>
      <c r="DYH85" s="91"/>
      <c r="DYI85" s="91"/>
      <c r="DYJ85" s="91"/>
      <c r="DYK85" s="91"/>
      <c r="DYL85" s="91"/>
      <c r="DYM85" s="91"/>
      <c r="DYN85" s="91"/>
      <c r="DYO85" s="91"/>
      <c r="DYP85" s="91"/>
      <c r="DYQ85" s="91"/>
      <c r="DYR85" s="91"/>
      <c r="DYS85" s="91"/>
      <c r="DYT85" s="91"/>
      <c r="DYU85" s="91"/>
      <c r="DYV85" s="91"/>
      <c r="DYW85" s="91"/>
      <c r="DYX85" s="91"/>
      <c r="DYY85" s="91"/>
      <c r="DYZ85" s="91"/>
      <c r="DZA85" s="91"/>
      <c r="DZB85" s="91"/>
      <c r="DZC85" s="91"/>
      <c r="DZD85" s="91"/>
      <c r="DZE85" s="91"/>
      <c r="DZF85" s="91"/>
      <c r="DZG85" s="91"/>
      <c r="DZH85" s="91"/>
      <c r="DZI85" s="91"/>
      <c r="DZJ85" s="91"/>
      <c r="DZK85" s="91"/>
      <c r="DZL85" s="91"/>
      <c r="DZM85" s="91"/>
      <c r="DZN85" s="91"/>
      <c r="DZO85" s="91"/>
      <c r="DZP85" s="91"/>
      <c r="DZQ85" s="91"/>
      <c r="DZR85" s="91"/>
      <c r="DZS85" s="91"/>
      <c r="DZT85" s="91"/>
      <c r="DZU85" s="91"/>
      <c r="DZV85" s="91"/>
      <c r="DZW85" s="91"/>
      <c r="DZX85" s="91"/>
      <c r="DZY85" s="91"/>
      <c r="DZZ85" s="91"/>
      <c r="EAA85" s="91"/>
      <c r="EAB85" s="91"/>
      <c r="EAC85" s="91"/>
      <c r="EAD85" s="91"/>
      <c r="EAE85" s="91"/>
      <c r="EAF85" s="91"/>
      <c r="EAG85" s="91"/>
      <c r="EAH85" s="91"/>
      <c r="EAI85" s="91"/>
      <c r="EAJ85" s="91"/>
      <c r="EAK85" s="91"/>
      <c r="EAL85" s="91"/>
      <c r="EAM85" s="91"/>
      <c r="EAN85" s="91"/>
      <c r="EAO85" s="91"/>
      <c r="EAP85" s="91"/>
      <c r="EAQ85" s="91"/>
      <c r="EAR85" s="91"/>
      <c r="EAS85" s="91"/>
      <c r="EAT85" s="91"/>
      <c r="EAU85" s="91"/>
      <c r="EAV85" s="91"/>
      <c r="EAW85" s="91"/>
      <c r="EAX85" s="91"/>
      <c r="EAY85" s="91"/>
      <c r="EAZ85" s="91"/>
      <c r="EBA85" s="91"/>
      <c r="EBB85" s="91"/>
      <c r="EBC85" s="91"/>
      <c r="EBD85" s="91"/>
      <c r="EBE85" s="91"/>
      <c r="EBF85" s="91"/>
      <c r="EBG85" s="91"/>
      <c r="EBH85" s="91"/>
      <c r="EBI85" s="91"/>
      <c r="EBJ85" s="91"/>
      <c r="EBK85" s="91"/>
      <c r="EBL85" s="91"/>
      <c r="EBM85" s="91"/>
      <c r="EBN85" s="91"/>
      <c r="EBO85" s="91"/>
      <c r="EBP85" s="91"/>
      <c r="EBQ85" s="91"/>
      <c r="EBR85" s="91"/>
      <c r="EBS85" s="91"/>
      <c r="EBT85" s="91"/>
      <c r="EBU85" s="91"/>
      <c r="EBV85" s="91"/>
      <c r="EBW85" s="91"/>
      <c r="EBX85" s="91"/>
      <c r="EBY85" s="91"/>
      <c r="EBZ85" s="91"/>
      <c r="ECA85" s="91"/>
      <c r="ECB85" s="91"/>
      <c r="ECC85" s="91"/>
      <c r="ECD85" s="91"/>
      <c r="ECE85" s="91"/>
      <c r="ECF85" s="91"/>
      <c r="ECG85" s="91"/>
      <c r="ECH85" s="91"/>
      <c r="ECI85" s="91"/>
      <c r="ECJ85" s="91"/>
      <c r="ECK85" s="91"/>
      <c r="ECL85" s="91"/>
      <c r="ECM85" s="91"/>
      <c r="ECN85" s="91"/>
      <c r="ECO85" s="91"/>
      <c r="ECP85" s="91"/>
      <c r="ECQ85" s="91"/>
      <c r="ECR85" s="91"/>
      <c r="ECS85" s="91"/>
      <c r="ECT85" s="91"/>
      <c r="ECU85" s="91"/>
      <c r="ECV85" s="91"/>
      <c r="ECW85" s="91"/>
      <c r="ECX85" s="91"/>
      <c r="ECY85" s="91"/>
      <c r="ECZ85" s="91"/>
      <c r="EDA85" s="91"/>
      <c r="EDB85" s="91"/>
      <c r="EDC85" s="91"/>
      <c r="EDD85" s="91"/>
      <c r="EDE85" s="91"/>
      <c r="EDF85" s="91"/>
      <c r="EDG85" s="91"/>
      <c r="EDH85" s="91"/>
      <c r="EDI85" s="91"/>
      <c r="EDJ85" s="91"/>
      <c r="EDK85" s="91"/>
      <c r="EDL85" s="91"/>
      <c r="EDM85" s="91"/>
      <c r="EDN85" s="91"/>
      <c r="EDO85" s="91"/>
      <c r="EDP85" s="91"/>
      <c r="EDQ85" s="91"/>
      <c r="EDR85" s="91"/>
      <c r="EDS85" s="91"/>
      <c r="EDT85" s="91"/>
      <c r="EDU85" s="91"/>
      <c r="EDV85" s="91"/>
      <c r="EDW85" s="91"/>
      <c r="EDX85" s="91"/>
      <c r="EDY85" s="91"/>
      <c r="EDZ85" s="91"/>
      <c r="EEA85" s="91"/>
      <c r="EEB85" s="91"/>
      <c r="EEC85" s="91"/>
      <c r="EED85" s="91"/>
      <c r="EEE85" s="91"/>
      <c r="EEF85" s="91"/>
      <c r="EEG85" s="91"/>
      <c r="EEH85" s="91"/>
      <c r="EEI85" s="91"/>
      <c r="EEJ85" s="91"/>
      <c r="EEK85" s="91"/>
      <c r="EEL85" s="91"/>
      <c r="EEM85" s="91"/>
      <c r="EEN85" s="91"/>
      <c r="EEO85" s="91"/>
      <c r="EEP85" s="91"/>
      <c r="EEQ85" s="91"/>
      <c r="EER85" s="91"/>
      <c r="EES85" s="91"/>
      <c r="EET85" s="91"/>
      <c r="EEU85" s="91"/>
      <c r="EEV85" s="91"/>
      <c r="EEW85" s="91"/>
      <c r="EEX85" s="91"/>
      <c r="EEY85" s="91"/>
      <c r="EEZ85" s="91"/>
      <c r="EFA85" s="91"/>
      <c r="EFB85" s="91"/>
      <c r="EFC85" s="91"/>
      <c r="EFD85" s="91"/>
      <c r="EFE85" s="91"/>
      <c r="EFF85" s="91"/>
      <c r="EFG85" s="91"/>
      <c r="EFH85" s="91"/>
      <c r="EFI85" s="91"/>
      <c r="EFJ85" s="91"/>
      <c r="EFK85" s="91"/>
      <c r="EFL85" s="91"/>
      <c r="EFM85" s="91"/>
      <c r="EFN85" s="91"/>
      <c r="EFO85" s="91"/>
      <c r="EFP85" s="91"/>
      <c r="EFQ85" s="91"/>
      <c r="EFR85" s="91"/>
      <c r="EFS85" s="91"/>
      <c r="EFT85" s="91"/>
      <c r="EFU85" s="91"/>
      <c r="EFV85" s="91"/>
      <c r="EFW85" s="91"/>
      <c r="EFX85" s="91"/>
      <c r="EFY85" s="91"/>
      <c r="EFZ85" s="91"/>
      <c r="EGA85" s="91"/>
      <c r="EGB85" s="91"/>
      <c r="EGC85" s="91"/>
      <c r="EGD85" s="91"/>
      <c r="EGE85" s="91"/>
      <c r="EGF85" s="91"/>
      <c r="EGG85" s="91"/>
      <c r="EGH85" s="91"/>
      <c r="EGI85" s="91"/>
      <c r="EGJ85" s="91"/>
      <c r="EGK85" s="91"/>
      <c r="EGL85" s="91"/>
      <c r="EGM85" s="91"/>
      <c r="EGN85" s="91"/>
      <c r="EGO85" s="91"/>
      <c r="EGP85" s="91"/>
      <c r="EGQ85" s="91"/>
      <c r="EGR85" s="91"/>
      <c r="EGS85" s="91"/>
      <c r="EGT85" s="91"/>
      <c r="EGU85" s="91"/>
      <c r="EGV85" s="91"/>
      <c r="EGW85" s="91"/>
      <c r="EGX85" s="91"/>
      <c r="EGY85" s="91"/>
      <c r="EGZ85" s="91"/>
      <c r="EHA85" s="91"/>
      <c r="EHB85" s="91"/>
      <c r="EHC85" s="91"/>
      <c r="EHD85" s="91"/>
      <c r="EHE85" s="91"/>
      <c r="EHF85" s="91"/>
      <c r="EHG85" s="91"/>
      <c r="EHH85" s="91"/>
      <c r="EHI85" s="91"/>
      <c r="EHJ85" s="91"/>
      <c r="EHK85" s="91"/>
      <c r="EHL85" s="91"/>
      <c r="EHM85" s="91"/>
      <c r="EHN85" s="91"/>
      <c r="EHO85" s="91"/>
      <c r="EHP85" s="91"/>
      <c r="EHQ85" s="91"/>
      <c r="EHR85" s="91"/>
      <c r="EHS85" s="91"/>
      <c r="EHT85" s="91"/>
      <c r="EHU85" s="91"/>
      <c r="EHV85" s="91"/>
      <c r="EHW85" s="91"/>
      <c r="EHX85" s="91"/>
      <c r="EHY85" s="91"/>
      <c r="EHZ85" s="91"/>
      <c r="EIA85" s="91"/>
      <c r="EIB85" s="91"/>
      <c r="EIC85" s="91"/>
      <c r="EID85" s="91"/>
      <c r="EIE85" s="91"/>
      <c r="EIF85" s="91"/>
      <c r="EIG85" s="91"/>
      <c r="EIH85" s="91"/>
      <c r="EII85" s="91"/>
      <c r="EIJ85" s="91"/>
      <c r="EIK85" s="91"/>
      <c r="EIL85" s="91"/>
      <c r="EIM85" s="91"/>
      <c r="EIN85" s="91"/>
      <c r="EIO85" s="91"/>
      <c r="EIP85" s="91"/>
      <c r="EIQ85" s="91"/>
      <c r="EIR85" s="91"/>
      <c r="EIS85" s="91"/>
      <c r="EIT85" s="91"/>
      <c r="EIU85" s="91"/>
      <c r="EIV85" s="91"/>
      <c r="EIW85" s="91"/>
      <c r="EIX85" s="91"/>
      <c r="EIY85" s="91"/>
      <c r="EIZ85" s="91"/>
      <c r="EJA85" s="91"/>
      <c r="EJB85" s="91"/>
      <c r="EJC85" s="91"/>
      <c r="EJD85" s="91"/>
      <c r="EJE85" s="91"/>
      <c r="EJF85" s="91"/>
      <c r="EJG85" s="91"/>
      <c r="EJH85" s="91"/>
      <c r="EJI85" s="91"/>
      <c r="EJJ85" s="91"/>
      <c r="EJK85" s="91"/>
      <c r="EJL85" s="91"/>
      <c r="EJM85" s="91"/>
      <c r="EJN85" s="91"/>
      <c r="EJO85" s="91"/>
      <c r="EJP85" s="91"/>
      <c r="EJQ85" s="91"/>
      <c r="EJR85" s="91"/>
      <c r="EJS85" s="91"/>
      <c r="EJT85" s="91"/>
      <c r="EJU85" s="91"/>
      <c r="EJV85" s="91"/>
      <c r="EJW85" s="91"/>
      <c r="EJX85" s="91"/>
      <c r="EJY85" s="91"/>
      <c r="EJZ85" s="91"/>
      <c r="EKA85" s="91"/>
      <c r="EKB85" s="91"/>
      <c r="EKC85" s="91"/>
      <c r="EKD85" s="91"/>
      <c r="EKE85" s="91"/>
      <c r="EKF85" s="91"/>
      <c r="EKG85" s="91"/>
      <c r="EKH85" s="91"/>
      <c r="EKI85" s="91"/>
      <c r="EKJ85" s="91"/>
      <c r="EKK85" s="91"/>
      <c r="EKL85" s="91"/>
      <c r="EKM85" s="91"/>
      <c r="EKN85" s="91"/>
      <c r="EKO85" s="91"/>
      <c r="EKP85" s="91"/>
      <c r="EKQ85" s="91"/>
      <c r="EKR85" s="91"/>
      <c r="EKS85" s="91"/>
      <c r="EKT85" s="91"/>
      <c r="EKU85" s="91"/>
      <c r="EKV85" s="91"/>
      <c r="EKW85" s="91"/>
      <c r="EKX85" s="91"/>
      <c r="EKY85" s="91"/>
      <c r="EKZ85" s="91"/>
      <c r="ELA85" s="91"/>
      <c r="ELB85" s="91"/>
      <c r="ELC85" s="91"/>
      <c r="ELD85" s="91"/>
      <c r="ELE85" s="91"/>
      <c r="ELF85" s="91"/>
      <c r="ELG85" s="91"/>
      <c r="ELH85" s="91"/>
      <c r="ELI85" s="91"/>
      <c r="ELJ85" s="91"/>
      <c r="ELK85" s="91"/>
      <c r="ELL85" s="91"/>
      <c r="ELM85" s="91"/>
      <c r="ELN85" s="91"/>
      <c r="ELO85" s="91"/>
      <c r="ELP85" s="91"/>
      <c r="ELQ85" s="91"/>
      <c r="ELR85" s="91"/>
      <c r="ELS85" s="91"/>
      <c r="ELT85" s="91"/>
      <c r="ELU85" s="91"/>
      <c r="ELV85" s="91"/>
      <c r="ELW85" s="91"/>
      <c r="ELX85" s="91"/>
      <c r="ELY85" s="91"/>
      <c r="ELZ85" s="91"/>
      <c r="EMA85" s="91"/>
      <c r="EMB85" s="91"/>
      <c r="EMC85" s="91"/>
      <c r="EMD85" s="91"/>
      <c r="EME85" s="91"/>
      <c r="EMF85" s="91"/>
      <c r="EMG85" s="91"/>
      <c r="EMH85" s="91"/>
      <c r="EMI85" s="91"/>
      <c r="EMJ85" s="91"/>
      <c r="EMK85" s="91"/>
      <c r="EML85" s="91"/>
      <c r="EMM85" s="91"/>
      <c r="EMN85" s="91"/>
      <c r="EMO85" s="91"/>
      <c r="EMP85" s="91"/>
      <c r="EMQ85" s="91"/>
      <c r="EMR85" s="91"/>
      <c r="EMS85" s="91"/>
      <c r="EMT85" s="91"/>
      <c r="EMU85" s="91"/>
      <c r="EMV85" s="91"/>
      <c r="EMW85" s="91"/>
      <c r="EMX85" s="91"/>
      <c r="EMY85" s="91"/>
      <c r="EMZ85" s="91"/>
      <c r="ENA85" s="91"/>
      <c r="ENB85" s="91"/>
      <c r="ENC85" s="91"/>
      <c r="END85" s="91"/>
      <c r="ENE85" s="91"/>
      <c r="ENF85" s="91"/>
      <c r="ENG85" s="91"/>
      <c r="ENH85" s="91"/>
      <c r="ENI85" s="91"/>
      <c r="ENJ85" s="91"/>
      <c r="ENK85" s="91"/>
      <c r="ENL85" s="91"/>
      <c r="ENM85" s="91"/>
      <c r="ENN85" s="91"/>
      <c r="ENO85" s="91"/>
      <c r="ENP85" s="91"/>
      <c r="ENQ85" s="91"/>
      <c r="ENR85" s="91"/>
      <c r="ENS85" s="91"/>
      <c r="ENT85" s="91"/>
      <c r="ENU85" s="91"/>
      <c r="ENV85" s="91"/>
      <c r="ENW85" s="91"/>
      <c r="ENX85" s="91"/>
      <c r="ENY85" s="91"/>
      <c r="ENZ85" s="91"/>
      <c r="EOA85" s="91"/>
      <c r="EOB85" s="91"/>
      <c r="EOC85" s="91"/>
      <c r="EOD85" s="91"/>
      <c r="EOE85" s="91"/>
      <c r="EOF85" s="91"/>
      <c r="EOG85" s="91"/>
      <c r="EOH85" s="91"/>
      <c r="EOI85" s="91"/>
      <c r="EOJ85" s="91"/>
      <c r="EOK85" s="91"/>
      <c r="EOL85" s="91"/>
      <c r="EOM85" s="91"/>
      <c r="EON85" s="91"/>
      <c r="EOO85" s="91"/>
      <c r="EOP85" s="91"/>
      <c r="EOQ85" s="91"/>
      <c r="EOR85" s="91"/>
      <c r="EOS85" s="91"/>
      <c r="EOT85" s="91"/>
      <c r="EOU85" s="91"/>
      <c r="EOV85" s="91"/>
      <c r="EOW85" s="91"/>
      <c r="EOX85" s="91"/>
      <c r="EOY85" s="91"/>
      <c r="EOZ85" s="91"/>
      <c r="EPA85" s="91"/>
      <c r="EPB85" s="91"/>
      <c r="EPC85" s="91"/>
      <c r="EPD85" s="91"/>
      <c r="EPE85" s="91"/>
      <c r="EPF85" s="91"/>
      <c r="EPG85" s="91"/>
      <c r="EPH85" s="91"/>
      <c r="EPI85" s="91"/>
      <c r="EPJ85" s="91"/>
      <c r="EPK85" s="91"/>
      <c r="EPL85" s="91"/>
      <c r="EPM85" s="91"/>
      <c r="EPN85" s="91"/>
      <c r="EPO85" s="91"/>
      <c r="EPP85" s="91"/>
      <c r="EPQ85" s="91"/>
      <c r="EPR85" s="91"/>
      <c r="EPS85" s="91"/>
      <c r="EPT85" s="91"/>
      <c r="EPU85" s="91"/>
      <c r="EPV85" s="91"/>
      <c r="EPW85" s="91"/>
      <c r="EPX85" s="91"/>
      <c r="EPY85" s="91"/>
      <c r="EPZ85" s="91"/>
      <c r="EQA85" s="91"/>
      <c r="EQB85" s="91"/>
      <c r="EQC85" s="91"/>
      <c r="EQD85" s="91"/>
      <c r="EQE85" s="91"/>
      <c r="EQF85" s="91"/>
      <c r="EQG85" s="91"/>
      <c r="EQH85" s="91"/>
      <c r="EQI85" s="91"/>
      <c r="EQJ85" s="91"/>
      <c r="EQK85" s="91"/>
      <c r="EQL85" s="91"/>
      <c r="EQM85" s="91"/>
      <c r="EQN85" s="91"/>
      <c r="EQO85" s="91"/>
      <c r="EQP85" s="91"/>
      <c r="EQQ85" s="91"/>
      <c r="EQR85" s="91"/>
      <c r="EQS85" s="91"/>
      <c r="EQT85" s="91"/>
      <c r="EQU85" s="91"/>
      <c r="EQV85" s="91"/>
      <c r="EQW85" s="91"/>
      <c r="EQX85" s="91"/>
      <c r="EQY85" s="91"/>
      <c r="EQZ85" s="91"/>
      <c r="ERA85" s="91"/>
      <c r="ERB85" s="91"/>
      <c r="ERC85" s="91"/>
      <c r="ERD85" s="91"/>
      <c r="ERE85" s="91"/>
      <c r="ERF85" s="91"/>
      <c r="ERG85" s="91"/>
      <c r="ERH85" s="91"/>
      <c r="ERI85" s="91"/>
      <c r="ERJ85" s="91"/>
      <c r="ERK85" s="91"/>
      <c r="ERL85" s="91"/>
      <c r="ERM85" s="91"/>
      <c r="ERN85" s="91"/>
      <c r="ERO85" s="91"/>
      <c r="ERP85" s="91"/>
      <c r="ERQ85" s="91"/>
      <c r="ERR85" s="91"/>
      <c r="ERS85" s="91"/>
      <c r="ERT85" s="91"/>
      <c r="ERU85" s="91"/>
      <c r="ERV85" s="91"/>
      <c r="ERW85" s="91"/>
      <c r="ERX85" s="91"/>
      <c r="ERY85" s="91"/>
      <c r="ERZ85" s="91"/>
      <c r="ESA85" s="91"/>
      <c r="ESB85" s="91"/>
      <c r="ESC85" s="91"/>
      <c r="ESD85" s="91"/>
      <c r="ESE85" s="91"/>
      <c r="ESF85" s="91"/>
      <c r="ESG85" s="91"/>
      <c r="ESH85" s="91"/>
      <c r="ESI85" s="91"/>
      <c r="ESJ85" s="91"/>
      <c r="ESK85" s="91"/>
      <c r="ESL85" s="91"/>
      <c r="ESM85" s="91"/>
      <c r="ESN85" s="91"/>
      <c r="ESO85" s="91"/>
      <c r="ESP85" s="91"/>
      <c r="ESQ85" s="91"/>
      <c r="ESR85" s="91"/>
      <c r="ESS85" s="91"/>
      <c r="EST85" s="91"/>
      <c r="ESU85" s="91"/>
      <c r="ESV85" s="91"/>
      <c r="ESW85" s="91"/>
      <c r="ESX85" s="91"/>
      <c r="ESY85" s="91"/>
      <c r="ESZ85" s="91"/>
      <c r="ETA85" s="91"/>
      <c r="ETB85" s="91"/>
      <c r="ETC85" s="91"/>
      <c r="ETD85" s="91"/>
      <c r="ETE85" s="91"/>
      <c r="ETF85" s="91"/>
      <c r="ETG85" s="91"/>
      <c r="ETH85" s="91"/>
      <c r="ETI85" s="91"/>
      <c r="ETJ85" s="91"/>
      <c r="ETK85" s="91"/>
      <c r="ETL85" s="91"/>
      <c r="ETM85" s="91"/>
      <c r="ETN85" s="91"/>
      <c r="ETO85" s="91"/>
      <c r="ETP85" s="91"/>
      <c r="ETQ85" s="91"/>
      <c r="ETR85" s="91"/>
      <c r="ETS85" s="91"/>
      <c r="ETT85" s="91"/>
      <c r="ETU85" s="91"/>
      <c r="ETV85" s="91"/>
      <c r="ETW85" s="91"/>
      <c r="ETX85" s="91"/>
      <c r="ETY85" s="91"/>
      <c r="ETZ85" s="91"/>
      <c r="EUA85" s="91"/>
      <c r="EUB85" s="91"/>
      <c r="EUC85" s="91"/>
      <c r="EUD85" s="91"/>
      <c r="EUE85" s="91"/>
      <c r="EUF85" s="91"/>
      <c r="EUG85" s="91"/>
      <c r="EUH85" s="91"/>
      <c r="EUI85" s="91"/>
      <c r="EUJ85" s="91"/>
      <c r="EUK85" s="91"/>
      <c r="EUL85" s="91"/>
      <c r="EUM85" s="91"/>
      <c r="EUN85" s="91"/>
      <c r="EUO85" s="91"/>
      <c r="EUP85" s="91"/>
      <c r="EUQ85" s="91"/>
      <c r="EUR85" s="91"/>
      <c r="EUS85" s="91"/>
      <c r="EUT85" s="91"/>
      <c r="EUU85" s="91"/>
      <c r="EUV85" s="91"/>
      <c r="EUW85" s="91"/>
      <c r="EUX85" s="91"/>
      <c r="EUY85" s="91"/>
      <c r="EUZ85" s="91"/>
      <c r="EVA85" s="91"/>
      <c r="EVB85" s="91"/>
      <c r="EVC85" s="91"/>
      <c r="EVD85" s="91"/>
      <c r="EVE85" s="91"/>
      <c r="EVF85" s="91"/>
      <c r="EVG85" s="91"/>
      <c r="EVH85" s="91"/>
      <c r="EVI85" s="91"/>
      <c r="EVJ85" s="91"/>
      <c r="EVK85" s="91"/>
      <c r="EVL85" s="91"/>
      <c r="EVM85" s="91"/>
      <c r="EVN85" s="91"/>
      <c r="EVO85" s="91"/>
      <c r="EVP85" s="91"/>
      <c r="EVQ85" s="91"/>
      <c r="EVR85" s="91"/>
      <c r="EVS85" s="91"/>
      <c r="EVT85" s="91"/>
      <c r="EVU85" s="91"/>
      <c r="EVV85" s="91"/>
      <c r="EVW85" s="91"/>
      <c r="EVX85" s="91"/>
      <c r="EVY85" s="91"/>
      <c r="EVZ85" s="91"/>
      <c r="EWA85" s="91"/>
      <c r="EWB85" s="91"/>
      <c r="EWC85" s="91"/>
      <c r="EWD85" s="91"/>
      <c r="EWE85" s="91"/>
      <c r="EWF85" s="91"/>
      <c r="EWG85" s="91"/>
      <c r="EWH85" s="91"/>
      <c r="EWI85" s="91"/>
      <c r="EWJ85" s="91"/>
      <c r="EWK85" s="91"/>
      <c r="EWL85" s="91"/>
      <c r="EWM85" s="91"/>
      <c r="EWN85" s="91"/>
      <c r="EWO85" s="91"/>
      <c r="EWP85" s="91"/>
      <c r="EWQ85" s="91"/>
      <c r="EWR85" s="91"/>
      <c r="EWS85" s="91"/>
      <c r="EWT85" s="91"/>
      <c r="EWU85" s="91"/>
      <c r="EWV85" s="91"/>
      <c r="EWW85" s="91"/>
      <c r="EWX85" s="91"/>
      <c r="EWY85" s="91"/>
      <c r="EWZ85" s="91"/>
      <c r="EXA85" s="91"/>
      <c r="EXB85" s="91"/>
      <c r="EXC85" s="91"/>
      <c r="EXD85" s="91"/>
      <c r="EXE85" s="91"/>
      <c r="EXF85" s="91"/>
      <c r="EXG85" s="91"/>
      <c r="EXH85" s="91"/>
      <c r="EXI85" s="91"/>
      <c r="EXJ85" s="91"/>
      <c r="EXK85" s="91"/>
      <c r="EXL85" s="91"/>
      <c r="EXM85" s="91"/>
      <c r="EXN85" s="91"/>
      <c r="EXO85" s="91"/>
      <c r="EXP85" s="91"/>
      <c r="EXQ85" s="91"/>
      <c r="EXR85" s="91"/>
      <c r="EXS85" s="91"/>
      <c r="EXT85" s="91"/>
      <c r="EXU85" s="91"/>
      <c r="EXV85" s="91"/>
      <c r="EXW85" s="91"/>
      <c r="EXX85" s="91"/>
      <c r="EXY85" s="91"/>
      <c r="EXZ85" s="91"/>
      <c r="EYA85" s="91"/>
      <c r="EYB85" s="91"/>
      <c r="EYC85" s="91"/>
      <c r="EYD85" s="91"/>
      <c r="EYE85" s="91"/>
      <c r="EYF85" s="91"/>
      <c r="EYG85" s="91"/>
      <c r="EYH85" s="91"/>
      <c r="EYI85" s="91"/>
      <c r="EYJ85" s="91"/>
      <c r="EYK85" s="91"/>
      <c r="EYL85" s="91"/>
      <c r="EYM85" s="91"/>
      <c r="EYN85" s="91"/>
      <c r="EYO85" s="91"/>
      <c r="EYP85" s="91"/>
      <c r="EYQ85" s="91"/>
      <c r="EYR85" s="91"/>
      <c r="EYS85" s="91"/>
      <c r="EYT85" s="91"/>
      <c r="EYU85" s="91"/>
      <c r="EYV85" s="91"/>
      <c r="EYW85" s="91"/>
      <c r="EYX85" s="91"/>
      <c r="EYY85" s="91"/>
      <c r="EYZ85" s="91"/>
      <c r="EZA85" s="91"/>
      <c r="EZB85" s="91"/>
      <c r="EZC85" s="91"/>
      <c r="EZD85" s="91"/>
      <c r="EZE85" s="91"/>
      <c r="EZF85" s="91"/>
      <c r="EZG85" s="91"/>
      <c r="EZH85" s="91"/>
      <c r="EZI85" s="91"/>
      <c r="EZJ85" s="91"/>
      <c r="EZK85" s="91"/>
      <c r="EZL85" s="91"/>
      <c r="EZM85" s="91"/>
      <c r="EZN85" s="91"/>
      <c r="EZO85" s="91"/>
      <c r="EZP85" s="91"/>
      <c r="EZQ85" s="91"/>
      <c r="EZR85" s="91"/>
      <c r="EZS85" s="91"/>
      <c r="EZT85" s="91"/>
      <c r="EZU85" s="91"/>
      <c r="EZV85" s="91"/>
      <c r="EZW85" s="91"/>
      <c r="EZX85" s="91"/>
      <c r="EZY85" s="91"/>
      <c r="EZZ85" s="91"/>
      <c r="FAA85" s="91"/>
      <c r="FAB85" s="91"/>
      <c r="FAC85" s="91"/>
      <c r="FAD85" s="91"/>
      <c r="FAE85" s="91"/>
      <c r="FAF85" s="91"/>
      <c r="FAG85" s="91"/>
      <c r="FAH85" s="91"/>
      <c r="FAI85" s="91"/>
      <c r="FAJ85" s="91"/>
      <c r="FAK85" s="91"/>
      <c r="FAL85" s="91"/>
      <c r="FAM85" s="91"/>
      <c r="FAN85" s="91"/>
      <c r="FAO85" s="91"/>
      <c r="FAP85" s="91"/>
      <c r="FAQ85" s="91"/>
      <c r="FAR85" s="91"/>
      <c r="FAS85" s="91"/>
      <c r="FAT85" s="91"/>
      <c r="FAU85" s="91"/>
      <c r="FAV85" s="91"/>
      <c r="FAW85" s="91"/>
      <c r="FAX85" s="91"/>
      <c r="FAY85" s="91"/>
      <c r="FAZ85" s="91"/>
      <c r="FBA85" s="91"/>
      <c r="FBB85" s="91"/>
      <c r="FBC85" s="91"/>
      <c r="FBD85" s="91"/>
      <c r="FBE85" s="91"/>
      <c r="FBF85" s="91"/>
      <c r="FBG85" s="91"/>
      <c r="FBH85" s="91"/>
      <c r="FBI85" s="91"/>
      <c r="FBJ85" s="91"/>
      <c r="FBK85" s="91"/>
      <c r="FBL85" s="91"/>
      <c r="FBM85" s="91"/>
      <c r="FBN85" s="91"/>
      <c r="FBO85" s="91"/>
      <c r="FBP85" s="91"/>
      <c r="FBQ85" s="91"/>
      <c r="FBR85" s="91"/>
      <c r="FBS85" s="91"/>
      <c r="FBT85" s="91"/>
      <c r="FBU85" s="91"/>
      <c r="FBV85" s="91"/>
      <c r="FBW85" s="91"/>
      <c r="FBX85" s="91"/>
      <c r="FBY85" s="91"/>
      <c r="FBZ85" s="91"/>
      <c r="FCA85" s="91"/>
      <c r="FCB85" s="91"/>
      <c r="FCC85" s="91"/>
      <c r="FCD85" s="91"/>
      <c r="FCE85" s="91"/>
      <c r="FCF85" s="91"/>
      <c r="FCG85" s="91"/>
      <c r="FCH85" s="91"/>
      <c r="FCI85" s="91"/>
      <c r="FCJ85" s="91"/>
      <c r="FCK85" s="91"/>
      <c r="FCL85" s="91"/>
      <c r="FCM85" s="91"/>
      <c r="FCN85" s="91"/>
      <c r="FCO85" s="91"/>
      <c r="FCP85" s="91"/>
      <c r="FCQ85" s="91"/>
      <c r="FCR85" s="91"/>
      <c r="FCS85" s="91"/>
      <c r="FCT85" s="91"/>
      <c r="FCU85" s="91"/>
      <c r="FCV85" s="91"/>
      <c r="FCW85" s="91"/>
      <c r="FCX85" s="91"/>
      <c r="FCY85" s="91"/>
      <c r="FCZ85" s="91"/>
      <c r="FDA85" s="91"/>
      <c r="FDB85" s="91"/>
      <c r="FDC85" s="91"/>
      <c r="FDD85" s="91"/>
      <c r="FDE85" s="91"/>
      <c r="FDF85" s="91"/>
      <c r="FDG85" s="91"/>
      <c r="FDH85" s="91"/>
      <c r="FDI85" s="91"/>
      <c r="FDJ85" s="91"/>
      <c r="FDK85" s="91"/>
      <c r="FDL85" s="91"/>
      <c r="FDM85" s="91"/>
      <c r="FDN85" s="91"/>
      <c r="FDO85" s="91"/>
      <c r="FDP85" s="91"/>
      <c r="FDQ85" s="91"/>
      <c r="FDR85" s="91"/>
      <c r="FDS85" s="91"/>
      <c r="FDT85" s="91"/>
      <c r="FDU85" s="91"/>
      <c r="FDV85" s="91"/>
      <c r="FDW85" s="91"/>
      <c r="FDX85" s="91"/>
      <c r="FDY85" s="91"/>
      <c r="FDZ85" s="91"/>
      <c r="FEA85" s="91"/>
      <c r="FEB85" s="91"/>
      <c r="FEC85" s="91"/>
      <c r="FED85" s="91"/>
      <c r="FEE85" s="91"/>
      <c r="FEF85" s="91"/>
      <c r="FEG85" s="91"/>
      <c r="FEH85" s="91"/>
      <c r="FEI85" s="91"/>
      <c r="FEJ85" s="91"/>
      <c r="FEK85" s="91"/>
      <c r="FEL85" s="91"/>
      <c r="FEM85" s="91"/>
      <c r="FEN85" s="91"/>
      <c r="FEO85" s="91"/>
      <c r="FEP85" s="91"/>
      <c r="FEQ85" s="91"/>
      <c r="FER85" s="91"/>
      <c r="FES85" s="91"/>
      <c r="FET85" s="91"/>
      <c r="FEU85" s="91"/>
      <c r="FEV85" s="91"/>
      <c r="FEW85" s="91"/>
      <c r="FEX85" s="91"/>
      <c r="FEY85" s="91"/>
      <c r="FEZ85" s="91"/>
      <c r="FFA85" s="91"/>
      <c r="FFB85" s="91"/>
      <c r="FFC85" s="91"/>
      <c r="FFD85" s="91"/>
      <c r="FFE85" s="91"/>
      <c r="FFF85" s="91"/>
      <c r="FFG85" s="91"/>
      <c r="FFH85" s="91"/>
      <c r="FFI85" s="91"/>
      <c r="FFJ85" s="91"/>
      <c r="FFK85" s="91"/>
      <c r="FFL85" s="91"/>
      <c r="FFM85" s="91"/>
      <c r="FFN85" s="91"/>
      <c r="FFO85" s="91"/>
      <c r="FFP85" s="91"/>
      <c r="FFQ85" s="91"/>
      <c r="FFR85" s="91"/>
      <c r="FFS85" s="91"/>
      <c r="FFT85" s="91"/>
      <c r="FFU85" s="91"/>
      <c r="FFV85" s="91"/>
      <c r="FFW85" s="91"/>
      <c r="FFX85" s="91"/>
      <c r="FFY85" s="91"/>
      <c r="FFZ85" s="91"/>
      <c r="FGA85" s="91"/>
      <c r="FGB85" s="91"/>
      <c r="FGC85" s="91"/>
      <c r="FGD85" s="91"/>
      <c r="FGE85" s="91"/>
      <c r="FGF85" s="91"/>
      <c r="FGG85" s="91"/>
      <c r="FGH85" s="91"/>
      <c r="FGI85" s="91"/>
      <c r="FGJ85" s="91"/>
      <c r="FGK85" s="91"/>
      <c r="FGL85" s="91"/>
      <c r="FGM85" s="91"/>
      <c r="FGN85" s="91"/>
      <c r="FGO85" s="91"/>
      <c r="FGP85" s="91"/>
      <c r="FGQ85" s="91"/>
      <c r="FGR85" s="91"/>
      <c r="FGS85" s="91"/>
      <c r="FGT85" s="91"/>
      <c r="FGU85" s="91"/>
      <c r="FGV85" s="91"/>
      <c r="FGW85" s="91"/>
      <c r="FGX85" s="91"/>
      <c r="FGY85" s="91"/>
      <c r="FGZ85" s="91"/>
      <c r="FHA85" s="91"/>
      <c r="FHB85" s="91"/>
      <c r="FHC85" s="91"/>
      <c r="FHD85" s="91"/>
      <c r="FHE85" s="91"/>
      <c r="FHF85" s="91"/>
      <c r="FHG85" s="91"/>
      <c r="FHH85" s="91"/>
      <c r="FHI85" s="91"/>
      <c r="FHJ85" s="91"/>
      <c r="FHK85" s="91"/>
      <c r="FHL85" s="91"/>
      <c r="FHM85" s="91"/>
      <c r="FHN85" s="91"/>
      <c r="FHO85" s="91"/>
      <c r="FHP85" s="91"/>
      <c r="FHQ85" s="91"/>
      <c r="FHR85" s="91"/>
      <c r="FHS85" s="91"/>
      <c r="FHT85" s="91"/>
      <c r="FHU85" s="91"/>
      <c r="FHV85" s="91"/>
      <c r="FHW85" s="91"/>
      <c r="FHX85" s="91"/>
      <c r="FHY85" s="91"/>
      <c r="FHZ85" s="91"/>
      <c r="FIA85" s="91"/>
      <c r="FIB85" s="91"/>
      <c r="FIC85" s="91"/>
      <c r="FID85" s="91"/>
      <c r="FIE85" s="91"/>
      <c r="FIF85" s="91"/>
      <c r="FIG85" s="91"/>
      <c r="FIH85" s="91"/>
      <c r="FII85" s="91"/>
      <c r="FIJ85" s="91"/>
      <c r="FIK85" s="91"/>
      <c r="FIL85" s="91"/>
      <c r="FIM85" s="91"/>
      <c r="FIN85" s="91"/>
      <c r="FIO85" s="91"/>
      <c r="FIP85" s="91"/>
      <c r="FIQ85" s="91"/>
      <c r="FIR85" s="91"/>
      <c r="FIS85" s="91"/>
      <c r="FIT85" s="91"/>
      <c r="FIU85" s="91"/>
      <c r="FIV85" s="91"/>
      <c r="FIW85" s="91"/>
      <c r="FIX85" s="91"/>
      <c r="FIY85" s="91"/>
      <c r="FIZ85" s="91"/>
      <c r="FJA85" s="91"/>
      <c r="FJB85" s="91"/>
      <c r="FJC85" s="91"/>
      <c r="FJD85" s="91"/>
      <c r="FJE85" s="91"/>
      <c r="FJF85" s="91"/>
      <c r="FJG85" s="91"/>
      <c r="FJH85" s="91"/>
      <c r="FJI85" s="91"/>
      <c r="FJJ85" s="91"/>
      <c r="FJK85" s="91"/>
      <c r="FJL85" s="91"/>
      <c r="FJM85" s="91"/>
      <c r="FJN85" s="91"/>
      <c r="FJO85" s="91"/>
      <c r="FJP85" s="91"/>
      <c r="FJQ85" s="91"/>
      <c r="FJR85" s="91"/>
      <c r="FJS85" s="91"/>
      <c r="FJT85" s="91"/>
      <c r="FJU85" s="91"/>
      <c r="FJV85" s="91"/>
      <c r="FJW85" s="91"/>
      <c r="FJX85" s="91"/>
      <c r="FJY85" s="91"/>
      <c r="FJZ85" s="91"/>
      <c r="FKA85" s="91"/>
      <c r="FKB85" s="91"/>
      <c r="FKC85" s="91"/>
      <c r="FKD85" s="91"/>
      <c r="FKE85" s="91"/>
      <c r="FKF85" s="91"/>
      <c r="FKG85" s="91"/>
      <c r="FKH85" s="91"/>
      <c r="FKI85" s="91"/>
      <c r="FKJ85" s="91"/>
      <c r="FKK85" s="91"/>
      <c r="FKL85" s="91"/>
      <c r="FKM85" s="91"/>
      <c r="FKN85" s="91"/>
      <c r="FKO85" s="91"/>
      <c r="FKP85" s="91"/>
      <c r="FKQ85" s="91"/>
      <c r="FKR85" s="91"/>
      <c r="FKS85" s="91"/>
      <c r="FKT85" s="91"/>
      <c r="FKU85" s="91"/>
      <c r="FKV85" s="91"/>
      <c r="FKW85" s="91"/>
      <c r="FKX85" s="91"/>
      <c r="FKY85" s="91"/>
      <c r="FKZ85" s="91"/>
      <c r="FLA85" s="91"/>
      <c r="FLB85" s="91"/>
      <c r="FLC85" s="91"/>
      <c r="FLD85" s="91"/>
      <c r="FLE85" s="91"/>
      <c r="FLF85" s="91"/>
      <c r="FLG85" s="91"/>
      <c r="FLH85" s="91"/>
      <c r="FLI85" s="91"/>
      <c r="FLJ85" s="91"/>
      <c r="FLK85" s="91"/>
      <c r="FLL85" s="91"/>
      <c r="FLM85" s="91"/>
      <c r="FLN85" s="91"/>
      <c r="FLO85" s="91"/>
      <c r="FLP85" s="91"/>
      <c r="FLQ85" s="91"/>
      <c r="FLR85" s="91"/>
      <c r="FLS85" s="91"/>
      <c r="FLT85" s="91"/>
      <c r="FLU85" s="91"/>
      <c r="FLV85" s="91"/>
      <c r="FLW85" s="91"/>
      <c r="FLX85" s="91"/>
      <c r="FLY85" s="91"/>
      <c r="FLZ85" s="91"/>
      <c r="FMA85" s="91"/>
      <c r="FMB85" s="91"/>
      <c r="FMC85" s="91"/>
      <c r="FMD85" s="91"/>
      <c r="FME85" s="91"/>
      <c r="FMF85" s="91"/>
      <c r="FMG85" s="91"/>
      <c r="FMH85" s="91"/>
      <c r="FMI85" s="91"/>
      <c r="FMJ85" s="91"/>
      <c r="FMK85" s="91"/>
      <c r="FML85" s="91"/>
      <c r="FMM85" s="91"/>
      <c r="FMN85" s="91"/>
      <c r="FMO85" s="91"/>
      <c r="FMP85" s="91"/>
      <c r="FMQ85" s="91"/>
      <c r="FMR85" s="91"/>
      <c r="FMS85" s="91"/>
      <c r="FMT85" s="91"/>
      <c r="FMU85" s="91"/>
      <c r="FMV85" s="91"/>
      <c r="FMW85" s="91"/>
      <c r="FMX85" s="91"/>
      <c r="FMY85" s="91"/>
      <c r="FMZ85" s="91"/>
      <c r="FNA85" s="91"/>
      <c r="FNB85" s="91"/>
      <c r="FNC85" s="91"/>
      <c r="FND85" s="91"/>
      <c r="FNE85" s="91"/>
      <c r="FNF85" s="91"/>
      <c r="FNG85" s="91"/>
      <c r="FNH85" s="91"/>
      <c r="FNI85" s="91"/>
      <c r="FNJ85" s="91"/>
      <c r="FNK85" s="91"/>
      <c r="FNL85" s="91"/>
      <c r="FNM85" s="91"/>
      <c r="FNN85" s="91"/>
      <c r="FNO85" s="91"/>
      <c r="FNP85" s="91"/>
      <c r="FNQ85" s="91"/>
      <c r="FNR85" s="91"/>
      <c r="FNS85" s="91"/>
      <c r="FNT85" s="91"/>
      <c r="FNU85" s="91"/>
      <c r="FNV85" s="91"/>
      <c r="FNW85" s="91"/>
      <c r="FNX85" s="91"/>
      <c r="FNY85" s="91"/>
      <c r="FNZ85" s="91"/>
      <c r="FOA85" s="91"/>
      <c r="FOB85" s="91"/>
      <c r="FOC85" s="91"/>
      <c r="FOD85" s="91"/>
      <c r="FOE85" s="91"/>
      <c r="FOF85" s="91"/>
      <c r="FOG85" s="91"/>
      <c r="FOH85" s="91"/>
      <c r="FOI85" s="91"/>
      <c r="FOJ85" s="91"/>
      <c r="FOK85" s="91"/>
      <c r="FOL85" s="91"/>
      <c r="FOM85" s="91"/>
      <c r="FON85" s="91"/>
      <c r="FOO85" s="91"/>
      <c r="FOP85" s="91"/>
      <c r="FOQ85" s="91"/>
      <c r="FOR85" s="91"/>
      <c r="FOS85" s="91"/>
      <c r="FOT85" s="91"/>
      <c r="FOU85" s="91"/>
      <c r="FOV85" s="91"/>
      <c r="FOW85" s="91"/>
      <c r="FOX85" s="91"/>
      <c r="FOY85" s="91"/>
      <c r="FOZ85" s="91"/>
      <c r="FPA85" s="91"/>
      <c r="FPB85" s="91"/>
      <c r="FPC85" s="91"/>
      <c r="FPD85" s="91"/>
      <c r="FPE85" s="91"/>
      <c r="FPF85" s="91"/>
      <c r="FPG85" s="91"/>
      <c r="FPH85" s="91"/>
      <c r="FPI85" s="91"/>
      <c r="FPJ85" s="91"/>
      <c r="FPK85" s="91"/>
      <c r="FPL85" s="91"/>
      <c r="FPM85" s="91"/>
      <c r="FPN85" s="91"/>
      <c r="FPO85" s="91"/>
      <c r="FPP85" s="91"/>
      <c r="FPQ85" s="91"/>
      <c r="FPR85" s="91"/>
      <c r="FPS85" s="91"/>
      <c r="FPT85" s="91"/>
      <c r="FPU85" s="91"/>
      <c r="FPV85" s="91"/>
      <c r="FPW85" s="91"/>
      <c r="FPX85" s="91"/>
      <c r="FPY85" s="91"/>
      <c r="FPZ85" s="91"/>
      <c r="FQA85" s="91"/>
      <c r="FQB85" s="91"/>
      <c r="FQC85" s="91"/>
      <c r="FQD85" s="91"/>
      <c r="FQE85" s="91"/>
      <c r="FQF85" s="91"/>
      <c r="FQG85" s="91"/>
      <c r="FQH85" s="91"/>
      <c r="FQI85" s="91"/>
      <c r="FQJ85" s="91"/>
      <c r="FQK85" s="91"/>
      <c r="FQL85" s="91"/>
      <c r="FQM85" s="91"/>
      <c r="FQN85" s="91"/>
      <c r="FQO85" s="91"/>
      <c r="FQP85" s="91"/>
      <c r="FQQ85" s="91"/>
      <c r="FQR85" s="91"/>
      <c r="FQS85" s="91"/>
      <c r="FQT85" s="91"/>
      <c r="FQU85" s="91"/>
      <c r="FQV85" s="91"/>
      <c r="FQW85" s="91"/>
      <c r="FQX85" s="91"/>
      <c r="FQY85" s="91"/>
      <c r="FQZ85" s="91"/>
      <c r="FRA85" s="91"/>
      <c r="FRB85" s="91"/>
      <c r="FRC85" s="91"/>
      <c r="FRD85" s="91"/>
      <c r="FRE85" s="91"/>
      <c r="FRF85" s="91"/>
      <c r="FRG85" s="91"/>
      <c r="FRH85" s="91"/>
      <c r="FRI85" s="91"/>
      <c r="FRJ85" s="91"/>
      <c r="FRK85" s="91"/>
      <c r="FRL85" s="91"/>
      <c r="FRM85" s="91"/>
      <c r="FRN85" s="91"/>
      <c r="FRO85" s="91"/>
      <c r="FRP85" s="91"/>
      <c r="FRQ85" s="91"/>
      <c r="FRR85" s="91"/>
      <c r="FRS85" s="91"/>
      <c r="FRT85" s="91"/>
      <c r="FRU85" s="91"/>
      <c r="FRV85" s="91"/>
      <c r="FRW85" s="91"/>
      <c r="FRX85" s="91"/>
      <c r="FRY85" s="91"/>
      <c r="FRZ85" s="91"/>
      <c r="FSA85" s="91"/>
      <c r="FSB85" s="91"/>
      <c r="FSC85" s="91"/>
      <c r="FSD85" s="91"/>
      <c r="FSE85" s="91"/>
      <c r="FSF85" s="91"/>
      <c r="FSG85" s="91"/>
      <c r="FSH85" s="91"/>
      <c r="FSI85" s="91"/>
      <c r="FSJ85" s="91"/>
      <c r="FSK85" s="91"/>
      <c r="FSL85" s="91"/>
      <c r="FSM85" s="91"/>
      <c r="FSN85" s="91"/>
      <c r="FSO85" s="91"/>
      <c r="FSP85" s="91"/>
      <c r="FSQ85" s="91"/>
      <c r="FSR85" s="91"/>
      <c r="FSS85" s="91"/>
      <c r="FST85" s="91"/>
      <c r="FSU85" s="91"/>
      <c r="FSV85" s="91"/>
      <c r="FSW85" s="91"/>
      <c r="FSX85" s="91"/>
      <c r="FSY85" s="91"/>
      <c r="FSZ85" s="91"/>
      <c r="FTA85" s="91"/>
      <c r="FTB85" s="91"/>
      <c r="FTC85" s="91"/>
      <c r="FTD85" s="91"/>
      <c r="FTE85" s="91"/>
      <c r="FTF85" s="91"/>
      <c r="FTG85" s="91"/>
      <c r="FTH85" s="91"/>
      <c r="FTI85" s="91"/>
      <c r="FTJ85" s="91"/>
      <c r="FTK85" s="91"/>
      <c r="FTL85" s="91"/>
      <c r="FTM85" s="91"/>
      <c r="FTN85" s="91"/>
      <c r="FTO85" s="91"/>
      <c r="FTP85" s="91"/>
      <c r="FTQ85" s="91"/>
      <c r="FTR85" s="91"/>
      <c r="FTS85" s="91"/>
      <c r="FTT85" s="91"/>
      <c r="FTU85" s="91"/>
      <c r="FTV85" s="91"/>
      <c r="FTW85" s="91"/>
      <c r="FTX85" s="91"/>
      <c r="FTY85" s="91"/>
      <c r="FTZ85" s="91"/>
      <c r="FUA85" s="91"/>
      <c r="FUB85" s="91"/>
      <c r="FUC85" s="91"/>
      <c r="FUD85" s="91"/>
      <c r="FUE85" s="91"/>
      <c r="FUF85" s="91"/>
      <c r="FUG85" s="91"/>
      <c r="FUH85" s="91"/>
      <c r="FUI85" s="91"/>
      <c r="FUJ85" s="91"/>
      <c r="FUK85" s="91"/>
      <c r="FUL85" s="91"/>
      <c r="FUM85" s="91"/>
      <c r="FUN85" s="91"/>
      <c r="FUO85" s="91"/>
      <c r="FUP85" s="91"/>
      <c r="FUQ85" s="91"/>
      <c r="FUR85" s="91"/>
      <c r="FUS85" s="91"/>
      <c r="FUT85" s="91"/>
      <c r="FUU85" s="91"/>
      <c r="FUV85" s="91"/>
      <c r="FUW85" s="91"/>
      <c r="FUX85" s="91"/>
      <c r="FUY85" s="91"/>
      <c r="FUZ85" s="91"/>
      <c r="FVA85" s="91"/>
      <c r="FVB85" s="91"/>
      <c r="FVC85" s="91"/>
      <c r="FVD85" s="91"/>
      <c r="FVE85" s="91"/>
      <c r="FVF85" s="91"/>
      <c r="FVG85" s="91"/>
      <c r="FVH85" s="91"/>
      <c r="FVI85" s="91"/>
      <c r="FVJ85" s="91"/>
      <c r="FVK85" s="91"/>
      <c r="FVL85" s="91"/>
      <c r="FVM85" s="91"/>
      <c r="FVN85" s="91"/>
      <c r="FVO85" s="91"/>
      <c r="FVP85" s="91"/>
      <c r="FVQ85" s="91"/>
      <c r="FVR85" s="91"/>
      <c r="FVS85" s="91"/>
      <c r="FVT85" s="91"/>
      <c r="FVU85" s="91"/>
      <c r="FVV85" s="91"/>
      <c r="FVW85" s="91"/>
      <c r="FVX85" s="91"/>
      <c r="FVY85" s="91"/>
      <c r="FVZ85" s="91"/>
      <c r="FWA85" s="91"/>
      <c r="FWB85" s="91"/>
      <c r="FWC85" s="91"/>
      <c r="FWD85" s="91"/>
      <c r="FWE85" s="91"/>
      <c r="FWF85" s="91"/>
      <c r="FWG85" s="91"/>
      <c r="FWH85" s="91"/>
      <c r="FWI85" s="91"/>
      <c r="FWJ85" s="91"/>
      <c r="FWK85" s="91"/>
      <c r="FWL85" s="91"/>
      <c r="FWM85" s="91"/>
      <c r="FWN85" s="91"/>
      <c r="FWO85" s="91"/>
      <c r="FWP85" s="91"/>
      <c r="FWQ85" s="91"/>
      <c r="FWR85" s="91"/>
      <c r="FWS85" s="91"/>
      <c r="FWT85" s="91"/>
      <c r="FWU85" s="91"/>
      <c r="FWV85" s="91"/>
      <c r="FWW85" s="91"/>
      <c r="FWX85" s="91"/>
      <c r="FWY85" s="91"/>
      <c r="FWZ85" s="91"/>
      <c r="FXA85" s="91"/>
      <c r="FXB85" s="91"/>
      <c r="FXC85" s="91"/>
      <c r="FXD85" s="91"/>
      <c r="FXE85" s="91"/>
      <c r="FXF85" s="91"/>
      <c r="FXG85" s="91"/>
      <c r="FXH85" s="91"/>
      <c r="FXI85" s="91"/>
      <c r="FXJ85" s="91"/>
      <c r="FXK85" s="91"/>
      <c r="FXL85" s="91"/>
      <c r="FXM85" s="91"/>
      <c r="FXN85" s="91"/>
      <c r="FXO85" s="91"/>
      <c r="FXP85" s="91"/>
      <c r="FXQ85" s="91"/>
      <c r="FXR85" s="91"/>
      <c r="FXS85" s="91"/>
      <c r="FXT85" s="91"/>
      <c r="FXU85" s="91"/>
      <c r="FXV85" s="91"/>
      <c r="FXW85" s="91"/>
      <c r="FXX85" s="91"/>
      <c r="FXY85" s="91"/>
      <c r="FXZ85" s="91"/>
      <c r="FYA85" s="91"/>
      <c r="FYB85" s="91"/>
      <c r="FYC85" s="91"/>
      <c r="FYD85" s="91"/>
      <c r="FYE85" s="91"/>
      <c r="FYF85" s="91"/>
      <c r="FYG85" s="91"/>
      <c r="FYH85" s="91"/>
      <c r="FYI85" s="91"/>
      <c r="FYJ85" s="91"/>
      <c r="FYK85" s="91"/>
      <c r="FYL85" s="91"/>
      <c r="FYM85" s="91"/>
      <c r="FYN85" s="91"/>
      <c r="FYO85" s="91"/>
      <c r="FYP85" s="91"/>
      <c r="FYQ85" s="91"/>
      <c r="FYR85" s="91"/>
      <c r="FYS85" s="91"/>
      <c r="FYT85" s="91"/>
      <c r="FYU85" s="91"/>
      <c r="FYV85" s="91"/>
      <c r="FYW85" s="91"/>
      <c r="FYX85" s="91"/>
      <c r="FYY85" s="91"/>
      <c r="FYZ85" s="91"/>
      <c r="FZA85" s="91"/>
      <c r="FZB85" s="91"/>
      <c r="FZC85" s="91"/>
      <c r="FZD85" s="91"/>
      <c r="FZE85" s="91"/>
      <c r="FZF85" s="91"/>
      <c r="FZG85" s="91"/>
      <c r="FZH85" s="91"/>
      <c r="FZI85" s="91"/>
      <c r="FZJ85" s="91"/>
      <c r="FZK85" s="91"/>
      <c r="FZL85" s="91"/>
      <c r="FZM85" s="91"/>
      <c r="FZN85" s="91"/>
      <c r="FZO85" s="91"/>
      <c r="FZP85" s="91"/>
      <c r="FZQ85" s="91"/>
      <c r="FZR85" s="91"/>
      <c r="FZS85" s="91"/>
      <c r="FZT85" s="91"/>
      <c r="FZU85" s="91"/>
      <c r="FZV85" s="91"/>
      <c r="FZW85" s="91"/>
      <c r="FZX85" s="91"/>
      <c r="FZY85" s="91"/>
      <c r="FZZ85" s="91"/>
      <c r="GAA85" s="91"/>
      <c r="GAB85" s="91"/>
      <c r="GAC85" s="91"/>
      <c r="GAD85" s="91"/>
      <c r="GAE85" s="91"/>
      <c r="GAF85" s="91"/>
      <c r="GAG85" s="91"/>
      <c r="GAH85" s="91"/>
      <c r="GAI85" s="91"/>
      <c r="GAJ85" s="91"/>
      <c r="GAK85" s="91"/>
      <c r="GAL85" s="91"/>
      <c r="GAM85" s="91"/>
      <c r="GAN85" s="91"/>
      <c r="GAO85" s="91"/>
      <c r="GAP85" s="91"/>
      <c r="GAQ85" s="91"/>
      <c r="GAR85" s="91"/>
      <c r="GAS85" s="91"/>
      <c r="GAT85" s="91"/>
      <c r="GAU85" s="91"/>
      <c r="GAV85" s="91"/>
      <c r="GAW85" s="91"/>
      <c r="GAX85" s="91"/>
      <c r="GAY85" s="91"/>
      <c r="GAZ85" s="91"/>
      <c r="GBA85" s="91"/>
      <c r="GBB85" s="91"/>
      <c r="GBC85" s="91"/>
      <c r="GBD85" s="91"/>
      <c r="GBE85" s="91"/>
      <c r="GBF85" s="91"/>
      <c r="GBG85" s="91"/>
      <c r="GBH85" s="91"/>
      <c r="GBI85" s="91"/>
      <c r="GBJ85" s="91"/>
      <c r="GBK85" s="91"/>
      <c r="GBL85" s="91"/>
      <c r="GBM85" s="91"/>
      <c r="GBN85" s="91"/>
      <c r="GBO85" s="91"/>
      <c r="GBP85" s="91"/>
      <c r="GBQ85" s="91"/>
      <c r="GBR85" s="91"/>
      <c r="GBS85" s="91"/>
      <c r="GBT85" s="91"/>
      <c r="GBU85" s="91"/>
      <c r="GBV85" s="91"/>
      <c r="GBW85" s="91"/>
      <c r="GBX85" s="91"/>
      <c r="GBY85" s="91"/>
      <c r="GBZ85" s="91"/>
      <c r="GCA85" s="91"/>
      <c r="GCB85" s="91"/>
      <c r="GCC85" s="91"/>
      <c r="GCD85" s="91"/>
      <c r="GCE85" s="91"/>
      <c r="GCF85" s="91"/>
      <c r="GCG85" s="91"/>
      <c r="GCH85" s="91"/>
      <c r="GCI85" s="91"/>
      <c r="GCJ85" s="91"/>
      <c r="GCK85" s="91"/>
      <c r="GCL85" s="91"/>
      <c r="GCM85" s="91"/>
      <c r="GCN85" s="91"/>
      <c r="GCO85" s="91"/>
      <c r="GCP85" s="91"/>
      <c r="GCQ85" s="91"/>
      <c r="GCR85" s="91"/>
      <c r="GCS85" s="91"/>
      <c r="GCT85" s="91"/>
      <c r="GCU85" s="91"/>
      <c r="GCV85" s="91"/>
      <c r="GCW85" s="91"/>
      <c r="GCX85" s="91"/>
      <c r="GCY85" s="91"/>
      <c r="GCZ85" s="91"/>
      <c r="GDA85" s="91"/>
      <c r="GDB85" s="91"/>
      <c r="GDC85" s="91"/>
      <c r="GDD85" s="91"/>
      <c r="GDE85" s="91"/>
      <c r="GDF85" s="91"/>
      <c r="GDG85" s="91"/>
      <c r="GDH85" s="91"/>
      <c r="GDI85" s="91"/>
      <c r="GDJ85" s="91"/>
      <c r="GDK85" s="91"/>
      <c r="GDL85" s="91"/>
      <c r="GDM85" s="91"/>
      <c r="GDN85" s="91"/>
      <c r="GDO85" s="91"/>
      <c r="GDP85" s="91"/>
      <c r="GDQ85" s="91"/>
      <c r="GDR85" s="91"/>
      <c r="GDS85" s="91"/>
      <c r="GDT85" s="91"/>
      <c r="GDU85" s="91"/>
      <c r="GDV85" s="91"/>
      <c r="GDW85" s="91"/>
      <c r="GDX85" s="91"/>
      <c r="GDY85" s="91"/>
      <c r="GDZ85" s="91"/>
      <c r="GEA85" s="91"/>
      <c r="GEB85" s="91"/>
      <c r="GEC85" s="91"/>
      <c r="GED85" s="91"/>
      <c r="GEE85" s="91"/>
      <c r="GEF85" s="91"/>
      <c r="GEG85" s="91"/>
      <c r="GEH85" s="91"/>
      <c r="GEI85" s="91"/>
      <c r="GEJ85" s="91"/>
      <c r="GEK85" s="91"/>
      <c r="GEL85" s="91"/>
      <c r="GEM85" s="91"/>
      <c r="GEN85" s="91"/>
      <c r="GEO85" s="91"/>
      <c r="GEP85" s="91"/>
      <c r="GEQ85" s="91"/>
      <c r="GER85" s="91"/>
      <c r="GES85" s="91"/>
      <c r="GET85" s="91"/>
      <c r="GEU85" s="91"/>
      <c r="GEV85" s="91"/>
      <c r="GEW85" s="91"/>
      <c r="GEX85" s="91"/>
      <c r="GEY85" s="91"/>
      <c r="GEZ85" s="91"/>
      <c r="GFA85" s="91"/>
      <c r="GFB85" s="91"/>
      <c r="GFC85" s="91"/>
      <c r="GFD85" s="91"/>
      <c r="GFE85" s="91"/>
      <c r="GFF85" s="91"/>
      <c r="GFG85" s="91"/>
      <c r="GFH85" s="91"/>
      <c r="GFI85" s="91"/>
      <c r="GFJ85" s="91"/>
      <c r="GFK85" s="91"/>
      <c r="GFL85" s="91"/>
      <c r="GFM85" s="91"/>
      <c r="GFN85" s="91"/>
      <c r="GFO85" s="91"/>
      <c r="GFP85" s="91"/>
      <c r="GFQ85" s="91"/>
      <c r="GFR85" s="91"/>
      <c r="GFS85" s="91"/>
      <c r="GFT85" s="91"/>
      <c r="GFU85" s="91"/>
      <c r="GFV85" s="91"/>
      <c r="GFW85" s="91"/>
      <c r="GFX85" s="91"/>
      <c r="GFY85" s="91"/>
      <c r="GFZ85" s="91"/>
      <c r="GGA85" s="91"/>
      <c r="GGB85" s="91"/>
      <c r="GGC85" s="91"/>
      <c r="GGD85" s="91"/>
      <c r="GGE85" s="91"/>
      <c r="GGF85" s="91"/>
      <c r="GGG85" s="91"/>
      <c r="GGH85" s="91"/>
      <c r="GGI85" s="91"/>
      <c r="GGJ85" s="91"/>
      <c r="GGK85" s="91"/>
      <c r="GGL85" s="91"/>
      <c r="GGM85" s="91"/>
      <c r="GGN85" s="91"/>
      <c r="GGO85" s="91"/>
      <c r="GGP85" s="91"/>
      <c r="GGQ85" s="91"/>
      <c r="GGR85" s="91"/>
      <c r="GGS85" s="91"/>
      <c r="GGT85" s="91"/>
      <c r="GGU85" s="91"/>
      <c r="GGV85" s="91"/>
      <c r="GGW85" s="91"/>
      <c r="GGX85" s="91"/>
      <c r="GGY85" s="91"/>
      <c r="GGZ85" s="91"/>
      <c r="GHA85" s="91"/>
      <c r="GHB85" s="91"/>
      <c r="GHC85" s="91"/>
      <c r="GHD85" s="91"/>
      <c r="GHE85" s="91"/>
      <c r="GHF85" s="91"/>
      <c r="GHG85" s="91"/>
      <c r="GHH85" s="91"/>
      <c r="GHI85" s="91"/>
      <c r="GHJ85" s="91"/>
      <c r="GHK85" s="91"/>
      <c r="GHL85" s="91"/>
      <c r="GHM85" s="91"/>
      <c r="GHN85" s="91"/>
      <c r="GHO85" s="91"/>
      <c r="GHP85" s="91"/>
      <c r="GHQ85" s="91"/>
      <c r="GHR85" s="91"/>
      <c r="GHS85" s="91"/>
      <c r="GHT85" s="91"/>
      <c r="GHU85" s="91"/>
      <c r="GHV85" s="91"/>
      <c r="GHW85" s="91"/>
      <c r="GHX85" s="91"/>
      <c r="GHY85" s="91"/>
      <c r="GHZ85" s="91"/>
      <c r="GIA85" s="91"/>
      <c r="GIB85" s="91"/>
      <c r="GIC85" s="91"/>
      <c r="GID85" s="91"/>
      <c r="GIE85" s="91"/>
      <c r="GIF85" s="91"/>
      <c r="GIG85" s="91"/>
      <c r="GIH85" s="91"/>
      <c r="GII85" s="91"/>
      <c r="GIJ85" s="91"/>
      <c r="GIK85" s="91"/>
      <c r="GIL85" s="91"/>
      <c r="GIM85" s="91"/>
      <c r="GIN85" s="91"/>
      <c r="GIO85" s="91"/>
      <c r="GIP85" s="91"/>
      <c r="GIQ85" s="91"/>
      <c r="GIR85" s="91"/>
      <c r="GIS85" s="91"/>
      <c r="GIT85" s="91"/>
      <c r="GIU85" s="91"/>
      <c r="GIV85" s="91"/>
      <c r="GIW85" s="91"/>
      <c r="GIX85" s="91"/>
      <c r="GIY85" s="91"/>
      <c r="GIZ85" s="91"/>
      <c r="GJA85" s="91"/>
      <c r="GJB85" s="91"/>
      <c r="GJC85" s="91"/>
      <c r="GJD85" s="91"/>
      <c r="GJE85" s="91"/>
      <c r="GJF85" s="91"/>
      <c r="GJG85" s="91"/>
      <c r="GJH85" s="91"/>
      <c r="GJI85" s="91"/>
      <c r="GJJ85" s="91"/>
      <c r="GJK85" s="91"/>
      <c r="GJL85" s="91"/>
      <c r="GJM85" s="91"/>
      <c r="GJN85" s="91"/>
      <c r="GJO85" s="91"/>
      <c r="GJP85" s="91"/>
      <c r="GJQ85" s="91"/>
      <c r="GJR85" s="91"/>
      <c r="GJS85" s="91"/>
      <c r="GJT85" s="91"/>
      <c r="GJU85" s="91"/>
      <c r="GJV85" s="91"/>
      <c r="GJW85" s="91"/>
      <c r="GJX85" s="91"/>
      <c r="GJY85" s="91"/>
      <c r="GJZ85" s="91"/>
      <c r="GKA85" s="91"/>
      <c r="GKB85" s="91"/>
      <c r="GKC85" s="91"/>
      <c r="GKD85" s="91"/>
      <c r="GKE85" s="91"/>
      <c r="GKF85" s="91"/>
      <c r="GKG85" s="91"/>
      <c r="GKH85" s="91"/>
      <c r="GKI85" s="91"/>
      <c r="GKJ85" s="91"/>
      <c r="GKK85" s="91"/>
      <c r="GKL85" s="91"/>
      <c r="GKM85" s="91"/>
      <c r="GKN85" s="91"/>
      <c r="GKO85" s="91"/>
      <c r="GKP85" s="91"/>
      <c r="GKQ85" s="91"/>
      <c r="GKR85" s="91"/>
      <c r="GKS85" s="91"/>
      <c r="GKT85" s="91"/>
      <c r="GKU85" s="91"/>
      <c r="GKV85" s="91"/>
      <c r="GKW85" s="91"/>
      <c r="GKX85" s="91"/>
      <c r="GKY85" s="91"/>
      <c r="GKZ85" s="91"/>
      <c r="GLA85" s="91"/>
      <c r="GLB85" s="91"/>
      <c r="GLC85" s="91"/>
      <c r="GLD85" s="91"/>
      <c r="GLE85" s="91"/>
      <c r="GLF85" s="91"/>
      <c r="GLG85" s="91"/>
      <c r="GLH85" s="91"/>
      <c r="GLI85" s="91"/>
      <c r="GLJ85" s="91"/>
      <c r="GLK85" s="91"/>
      <c r="GLL85" s="91"/>
      <c r="GLM85" s="91"/>
      <c r="GLN85" s="91"/>
      <c r="GLO85" s="91"/>
      <c r="GLP85" s="91"/>
      <c r="GLQ85" s="91"/>
      <c r="GLR85" s="91"/>
      <c r="GLS85" s="91"/>
      <c r="GLT85" s="91"/>
      <c r="GLU85" s="91"/>
      <c r="GLV85" s="91"/>
      <c r="GLW85" s="91"/>
      <c r="GLX85" s="91"/>
      <c r="GLY85" s="91"/>
      <c r="GLZ85" s="91"/>
      <c r="GMA85" s="91"/>
      <c r="GMB85" s="91"/>
      <c r="GMC85" s="91"/>
      <c r="GMD85" s="91"/>
      <c r="GME85" s="91"/>
      <c r="GMF85" s="91"/>
      <c r="GMG85" s="91"/>
      <c r="GMH85" s="91"/>
      <c r="GMI85" s="91"/>
      <c r="GMJ85" s="91"/>
      <c r="GMK85" s="91"/>
      <c r="GML85" s="91"/>
      <c r="GMM85" s="91"/>
      <c r="GMN85" s="91"/>
      <c r="GMO85" s="91"/>
      <c r="GMP85" s="91"/>
      <c r="GMQ85" s="91"/>
      <c r="GMR85" s="91"/>
      <c r="GMS85" s="91"/>
      <c r="GMT85" s="91"/>
      <c r="GMU85" s="91"/>
      <c r="GMV85" s="91"/>
      <c r="GMW85" s="91"/>
      <c r="GMX85" s="91"/>
      <c r="GMY85" s="91"/>
      <c r="GMZ85" s="91"/>
      <c r="GNA85" s="91"/>
      <c r="GNB85" s="91"/>
      <c r="GNC85" s="91"/>
      <c r="GND85" s="91"/>
      <c r="GNE85" s="91"/>
      <c r="GNF85" s="91"/>
      <c r="GNG85" s="91"/>
      <c r="GNH85" s="91"/>
      <c r="GNI85" s="91"/>
      <c r="GNJ85" s="91"/>
      <c r="GNK85" s="91"/>
      <c r="GNL85" s="91"/>
      <c r="GNM85" s="91"/>
      <c r="GNN85" s="91"/>
      <c r="GNO85" s="91"/>
      <c r="GNP85" s="91"/>
      <c r="GNQ85" s="91"/>
      <c r="GNR85" s="91"/>
      <c r="GNS85" s="91"/>
      <c r="GNT85" s="91"/>
      <c r="GNU85" s="91"/>
      <c r="GNV85" s="91"/>
      <c r="GNW85" s="91"/>
      <c r="GNX85" s="91"/>
      <c r="GNY85" s="91"/>
      <c r="GNZ85" s="91"/>
      <c r="GOA85" s="91"/>
      <c r="GOB85" s="91"/>
      <c r="GOC85" s="91"/>
      <c r="GOD85" s="91"/>
      <c r="GOE85" s="91"/>
      <c r="GOF85" s="91"/>
      <c r="GOG85" s="91"/>
      <c r="GOH85" s="91"/>
      <c r="GOI85" s="91"/>
      <c r="GOJ85" s="91"/>
      <c r="GOK85" s="91"/>
      <c r="GOL85" s="91"/>
      <c r="GOM85" s="91"/>
      <c r="GON85" s="91"/>
      <c r="GOO85" s="91"/>
      <c r="GOP85" s="91"/>
      <c r="GOQ85" s="91"/>
      <c r="GOR85" s="91"/>
      <c r="GOS85" s="91"/>
      <c r="GOT85" s="91"/>
      <c r="GOU85" s="91"/>
      <c r="GOV85" s="91"/>
      <c r="GOW85" s="91"/>
      <c r="GOX85" s="91"/>
      <c r="GOY85" s="91"/>
      <c r="GOZ85" s="91"/>
      <c r="GPA85" s="91"/>
      <c r="GPB85" s="91"/>
      <c r="GPC85" s="91"/>
      <c r="GPD85" s="91"/>
      <c r="GPE85" s="91"/>
      <c r="GPF85" s="91"/>
      <c r="GPG85" s="91"/>
      <c r="GPH85" s="91"/>
      <c r="GPI85" s="91"/>
      <c r="GPJ85" s="91"/>
      <c r="GPK85" s="91"/>
      <c r="GPL85" s="91"/>
      <c r="GPM85" s="91"/>
      <c r="GPN85" s="91"/>
      <c r="GPO85" s="91"/>
      <c r="GPP85" s="91"/>
      <c r="GPQ85" s="91"/>
      <c r="GPR85" s="91"/>
      <c r="GPS85" s="91"/>
      <c r="GPT85" s="91"/>
      <c r="GPU85" s="91"/>
      <c r="GPV85" s="91"/>
      <c r="GPW85" s="91"/>
      <c r="GPX85" s="91"/>
      <c r="GPY85" s="91"/>
      <c r="GPZ85" s="91"/>
      <c r="GQA85" s="91"/>
      <c r="GQB85" s="91"/>
      <c r="GQC85" s="91"/>
      <c r="GQD85" s="91"/>
      <c r="GQE85" s="91"/>
      <c r="GQF85" s="91"/>
      <c r="GQG85" s="91"/>
      <c r="GQH85" s="91"/>
      <c r="GQI85" s="91"/>
      <c r="GQJ85" s="91"/>
      <c r="GQK85" s="91"/>
      <c r="GQL85" s="91"/>
      <c r="GQM85" s="91"/>
      <c r="GQN85" s="91"/>
      <c r="GQO85" s="91"/>
      <c r="GQP85" s="91"/>
      <c r="GQQ85" s="91"/>
      <c r="GQR85" s="91"/>
      <c r="GQS85" s="91"/>
      <c r="GQT85" s="91"/>
      <c r="GQU85" s="91"/>
      <c r="GQV85" s="91"/>
      <c r="GQW85" s="91"/>
      <c r="GQX85" s="91"/>
      <c r="GQY85" s="91"/>
      <c r="GQZ85" s="91"/>
      <c r="GRA85" s="91"/>
      <c r="GRB85" s="91"/>
      <c r="GRC85" s="91"/>
      <c r="GRD85" s="91"/>
      <c r="GRE85" s="91"/>
      <c r="GRF85" s="91"/>
      <c r="GRG85" s="91"/>
      <c r="GRH85" s="91"/>
      <c r="GRI85" s="91"/>
      <c r="GRJ85" s="91"/>
      <c r="GRK85" s="91"/>
      <c r="GRL85" s="91"/>
      <c r="GRM85" s="91"/>
      <c r="GRN85" s="91"/>
      <c r="GRO85" s="91"/>
      <c r="GRP85" s="91"/>
      <c r="GRQ85" s="91"/>
      <c r="GRR85" s="91"/>
      <c r="GRS85" s="91"/>
      <c r="GRT85" s="91"/>
      <c r="GRU85" s="91"/>
      <c r="GRV85" s="91"/>
      <c r="GRW85" s="91"/>
      <c r="GRX85" s="91"/>
      <c r="GRY85" s="91"/>
      <c r="GRZ85" s="91"/>
      <c r="GSA85" s="91"/>
      <c r="GSB85" s="91"/>
      <c r="GSC85" s="91"/>
      <c r="GSD85" s="91"/>
      <c r="GSE85" s="91"/>
      <c r="GSF85" s="91"/>
      <c r="GSG85" s="91"/>
      <c r="GSH85" s="91"/>
      <c r="GSI85" s="91"/>
      <c r="GSJ85" s="91"/>
      <c r="GSK85" s="91"/>
      <c r="GSL85" s="91"/>
      <c r="GSM85" s="91"/>
      <c r="GSN85" s="91"/>
      <c r="GSO85" s="91"/>
      <c r="GSP85" s="91"/>
      <c r="GSQ85" s="91"/>
      <c r="GSR85" s="91"/>
      <c r="GSS85" s="91"/>
      <c r="GST85" s="91"/>
      <c r="GSU85" s="91"/>
      <c r="GSV85" s="91"/>
      <c r="GSW85" s="91"/>
      <c r="GSX85" s="91"/>
      <c r="GSY85" s="91"/>
      <c r="GSZ85" s="91"/>
      <c r="GTA85" s="91"/>
      <c r="GTB85" s="91"/>
      <c r="GTC85" s="91"/>
      <c r="GTD85" s="91"/>
      <c r="GTE85" s="91"/>
      <c r="GTF85" s="91"/>
      <c r="GTG85" s="91"/>
      <c r="GTH85" s="91"/>
      <c r="GTI85" s="91"/>
      <c r="GTJ85" s="91"/>
      <c r="GTK85" s="91"/>
      <c r="GTL85" s="91"/>
      <c r="GTM85" s="91"/>
      <c r="GTN85" s="91"/>
      <c r="GTO85" s="91"/>
      <c r="GTP85" s="91"/>
      <c r="GTQ85" s="91"/>
      <c r="GTR85" s="91"/>
      <c r="GTS85" s="91"/>
      <c r="GTT85" s="91"/>
      <c r="GTU85" s="91"/>
      <c r="GTV85" s="91"/>
      <c r="GTW85" s="91"/>
      <c r="GTX85" s="91"/>
      <c r="GTY85" s="91"/>
      <c r="GTZ85" s="91"/>
      <c r="GUA85" s="91"/>
      <c r="GUB85" s="91"/>
      <c r="GUC85" s="91"/>
      <c r="GUD85" s="91"/>
      <c r="GUE85" s="91"/>
      <c r="GUF85" s="91"/>
      <c r="GUG85" s="91"/>
      <c r="GUH85" s="91"/>
      <c r="GUI85" s="91"/>
      <c r="GUJ85" s="91"/>
      <c r="GUK85" s="91"/>
      <c r="GUL85" s="91"/>
      <c r="GUM85" s="91"/>
      <c r="GUN85" s="91"/>
      <c r="GUO85" s="91"/>
      <c r="GUP85" s="91"/>
      <c r="GUQ85" s="91"/>
      <c r="GUR85" s="91"/>
      <c r="GUS85" s="91"/>
      <c r="GUT85" s="91"/>
      <c r="GUU85" s="91"/>
      <c r="GUV85" s="91"/>
      <c r="GUW85" s="91"/>
      <c r="GUX85" s="91"/>
      <c r="GUY85" s="91"/>
      <c r="GUZ85" s="91"/>
      <c r="GVA85" s="91"/>
      <c r="GVB85" s="91"/>
      <c r="GVC85" s="91"/>
      <c r="GVD85" s="91"/>
      <c r="GVE85" s="91"/>
      <c r="GVF85" s="91"/>
      <c r="GVG85" s="91"/>
      <c r="GVH85" s="91"/>
      <c r="GVI85" s="91"/>
      <c r="GVJ85" s="91"/>
      <c r="GVK85" s="91"/>
      <c r="GVL85" s="91"/>
      <c r="GVM85" s="91"/>
      <c r="GVN85" s="91"/>
      <c r="GVO85" s="91"/>
      <c r="GVP85" s="91"/>
      <c r="GVQ85" s="91"/>
      <c r="GVR85" s="91"/>
      <c r="GVS85" s="91"/>
      <c r="GVT85" s="91"/>
      <c r="GVU85" s="91"/>
      <c r="GVV85" s="91"/>
      <c r="GVW85" s="91"/>
      <c r="GVX85" s="91"/>
      <c r="GVY85" s="91"/>
      <c r="GVZ85" s="91"/>
      <c r="GWA85" s="91"/>
      <c r="GWB85" s="91"/>
      <c r="GWC85" s="91"/>
      <c r="GWD85" s="91"/>
      <c r="GWE85" s="91"/>
      <c r="GWF85" s="91"/>
      <c r="GWG85" s="91"/>
      <c r="GWH85" s="91"/>
      <c r="GWI85" s="91"/>
      <c r="GWJ85" s="91"/>
      <c r="GWK85" s="91"/>
      <c r="GWL85" s="91"/>
      <c r="GWM85" s="91"/>
      <c r="GWN85" s="91"/>
      <c r="GWO85" s="91"/>
      <c r="GWP85" s="91"/>
      <c r="GWQ85" s="91"/>
      <c r="GWR85" s="91"/>
      <c r="GWS85" s="91"/>
      <c r="GWT85" s="91"/>
      <c r="GWU85" s="91"/>
      <c r="GWV85" s="91"/>
      <c r="GWW85" s="91"/>
      <c r="GWX85" s="91"/>
      <c r="GWY85" s="91"/>
      <c r="GWZ85" s="91"/>
      <c r="GXA85" s="91"/>
      <c r="GXB85" s="91"/>
      <c r="GXC85" s="91"/>
      <c r="GXD85" s="91"/>
      <c r="GXE85" s="91"/>
      <c r="GXF85" s="91"/>
      <c r="GXG85" s="91"/>
      <c r="GXH85" s="91"/>
      <c r="GXI85" s="91"/>
      <c r="GXJ85" s="91"/>
      <c r="GXK85" s="91"/>
      <c r="GXL85" s="91"/>
      <c r="GXM85" s="91"/>
      <c r="GXN85" s="91"/>
      <c r="GXO85" s="91"/>
      <c r="GXP85" s="91"/>
      <c r="GXQ85" s="91"/>
      <c r="GXR85" s="91"/>
      <c r="GXS85" s="91"/>
      <c r="GXT85" s="91"/>
      <c r="GXU85" s="91"/>
      <c r="GXV85" s="91"/>
      <c r="GXW85" s="91"/>
      <c r="GXX85" s="91"/>
      <c r="GXY85" s="91"/>
      <c r="GXZ85" s="91"/>
      <c r="GYA85" s="91"/>
      <c r="GYB85" s="91"/>
      <c r="GYC85" s="91"/>
      <c r="GYD85" s="91"/>
      <c r="GYE85" s="91"/>
      <c r="GYF85" s="91"/>
      <c r="GYG85" s="91"/>
      <c r="GYH85" s="91"/>
      <c r="GYI85" s="91"/>
      <c r="GYJ85" s="91"/>
      <c r="GYK85" s="91"/>
      <c r="GYL85" s="91"/>
      <c r="GYM85" s="91"/>
      <c r="GYN85" s="91"/>
      <c r="GYO85" s="91"/>
      <c r="GYP85" s="91"/>
      <c r="GYQ85" s="91"/>
      <c r="GYR85" s="91"/>
      <c r="GYS85" s="91"/>
      <c r="GYT85" s="91"/>
      <c r="GYU85" s="91"/>
      <c r="GYV85" s="91"/>
      <c r="GYW85" s="91"/>
      <c r="GYX85" s="91"/>
      <c r="GYY85" s="91"/>
      <c r="GYZ85" s="91"/>
      <c r="GZA85" s="91"/>
      <c r="GZB85" s="91"/>
      <c r="GZC85" s="91"/>
      <c r="GZD85" s="91"/>
      <c r="GZE85" s="91"/>
      <c r="GZF85" s="91"/>
      <c r="GZG85" s="91"/>
      <c r="GZH85" s="91"/>
      <c r="GZI85" s="91"/>
      <c r="GZJ85" s="91"/>
      <c r="GZK85" s="91"/>
      <c r="GZL85" s="91"/>
      <c r="GZM85" s="91"/>
      <c r="GZN85" s="91"/>
      <c r="GZO85" s="91"/>
      <c r="GZP85" s="91"/>
      <c r="GZQ85" s="91"/>
      <c r="GZR85" s="91"/>
      <c r="GZS85" s="91"/>
      <c r="GZT85" s="91"/>
      <c r="GZU85" s="91"/>
      <c r="GZV85" s="91"/>
      <c r="GZW85" s="91"/>
      <c r="GZX85" s="91"/>
      <c r="GZY85" s="91"/>
      <c r="GZZ85" s="91"/>
      <c r="HAA85" s="91"/>
      <c r="HAB85" s="91"/>
      <c r="HAC85" s="91"/>
      <c r="HAD85" s="91"/>
      <c r="HAE85" s="91"/>
      <c r="HAF85" s="91"/>
      <c r="HAG85" s="91"/>
      <c r="HAH85" s="91"/>
      <c r="HAI85" s="91"/>
      <c r="HAJ85" s="91"/>
      <c r="HAK85" s="91"/>
      <c r="HAL85" s="91"/>
      <c r="HAM85" s="91"/>
      <c r="HAN85" s="91"/>
      <c r="HAO85" s="91"/>
      <c r="HAP85" s="91"/>
      <c r="HAQ85" s="91"/>
      <c r="HAR85" s="91"/>
      <c r="HAS85" s="91"/>
      <c r="HAT85" s="91"/>
      <c r="HAU85" s="91"/>
      <c r="HAV85" s="91"/>
      <c r="HAW85" s="91"/>
      <c r="HAX85" s="91"/>
      <c r="HAY85" s="91"/>
      <c r="HAZ85" s="91"/>
      <c r="HBA85" s="91"/>
      <c r="HBB85" s="91"/>
      <c r="HBC85" s="91"/>
      <c r="HBD85" s="91"/>
      <c r="HBE85" s="91"/>
      <c r="HBF85" s="91"/>
      <c r="HBG85" s="91"/>
      <c r="HBH85" s="91"/>
      <c r="HBI85" s="91"/>
      <c r="HBJ85" s="91"/>
      <c r="HBK85" s="91"/>
      <c r="HBL85" s="91"/>
      <c r="HBM85" s="91"/>
      <c r="HBN85" s="91"/>
      <c r="HBO85" s="91"/>
      <c r="HBP85" s="91"/>
      <c r="HBQ85" s="91"/>
      <c r="HBR85" s="91"/>
      <c r="HBS85" s="91"/>
      <c r="HBT85" s="91"/>
      <c r="HBU85" s="91"/>
      <c r="HBV85" s="91"/>
      <c r="HBW85" s="91"/>
      <c r="HBX85" s="91"/>
      <c r="HBY85" s="91"/>
      <c r="HBZ85" s="91"/>
      <c r="HCA85" s="91"/>
      <c r="HCB85" s="91"/>
      <c r="HCC85" s="91"/>
      <c r="HCD85" s="91"/>
      <c r="HCE85" s="91"/>
      <c r="HCF85" s="91"/>
      <c r="HCG85" s="91"/>
      <c r="HCH85" s="91"/>
      <c r="HCI85" s="91"/>
      <c r="HCJ85" s="91"/>
      <c r="HCK85" s="91"/>
      <c r="HCL85" s="91"/>
      <c r="HCM85" s="91"/>
      <c r="HCN85" s="91"/>
      <c r="HCO85" s="91"/>
      <c r="HCP85" s="91"/>
      <c r="HCQ85" s="91"/>
      <c r="HCR85" s="91"/>
      <c r="HCS85" s="91"/>
      <c r="HCT85" s="91"/>
      <c r="HCU85" s="91"/>
      <c r="HCV85" s="91"/>
      <c r="HCW85" s="91"/>
      <c r="HCX85" s="91"/>
      <c r="HCY85" s="91"/>
      <c r="HCZ85" s="91"/>
      <c r="HDA85" s="91"/>
      <c r="HDB85" s="91"/>
      <c r="HDC85" s="91"/>
      <c r="HDD85" s="91"/>
      <c r="HDE85" s="91"/>
      <c r="HDF85" s="91"/>
      <c r="HDG85" s="91"/>
      <c r="HDH85" s="91"/>
      <c r="HDI85" s="91"/>
      <c r="HDJ85" s="91"/>
      <c r="HDK85" s="91"/>
      <c r="HDL85" s="91"/>
      <c r="HDM85" s="91"/>
      <c r="HDN85" s="91"/>
      <c r="HDO85" s="91"/>
      <c r="HDP85" s="91"/>
      <c r="HDQ85" s="91"/>
      <c r="HDR85" s="91"/>
      <c r="HDS85" s="91"/>
      <c r="HDT85" s="91"/>
      <c r="HDU85" s="91"/>
      <c r="HDV85" s="91"/>
      <c r="HDW85" s="91"/>
      <c r="HDX85" s="91"/>
      <c r="HDY85" s="91"/>
      <c r="HDZ85" s="91"/>
      <c r="HEA85" s="91"/>
      <c r="HEB85" s="91"/>
      <c r="HEC85" s="91"/>
      <c r="HED85" s="91"/>
      <c r="HEE85" s="91"/>
      <c r="HEF85" s="91"/>
      <c r="HEG85" s="91"/>
      <c r="HEH85" s="91"/>
      <c r="HEI85" s="91"/>
      <c r="HEJ85" s="91"/>
      <c r="HEK85" s="91"/>
      <c r="HEL85" s="91"/>
      <c r="HEM85" s="91"/>
      <c r="HEN85" s="91"/>
      <c r="HEO85" s="91"/>
      <c r="HEP85" s="91"/>
      <c r="HEQ85" s="91"/>
      <c r="HER85" s="91"/>
      <c r="HES85" s="91"/>
      <c r="HET85" s="91"/>
      <c r="HEU85" s="91"/>
      <c r="HEV85" s="91"/>
      <c r="HEW85" s="91"/>
      <c r="HEX85" s="91"/>
      <c r="HEY85" s="91"/>
      <c r="HEZ85" s="91"/>
      <c r="HFA85" s="91"/>
      <c r="HFB85" s="91"/>
      <c r="HFC85" s="91"/>
      <c r="HFD85" s="91"/>
      <c r="HFE85" s="91"/>
      <c r="HFF85" s="91"/>
      <c r="HFG85" s="91"/>
      <c r="HFH85" s="91"/>
      <c r="HFI85" s="91"/>
      <c r="HFJ85" s="91"/>
      <c r="HFK85" s="91"/>
      <c r="HFL85" s="91"/>
      <c r="HFM85" s="91"/>
      <c r="HFN85" s="91"/>
      <c r="HFO85" s="91"/>
      <c r="HFP85" s="91"/>
      <c r="HFQ85" s="91"/>
      <c r="HFR85" s="91"/>
      <c r="HFS85" s="91"/>
      <c r="HFT85" s="91"/>
      <c r="HFU85" s="91"/>
      <c r="HFV85" s="91"/>
      <c r="HFW85" s="91"/>
      <c r="HFX85" s="91"/>
      <c r="HFY85" s="91"/>
      <c r="HFZ85" s="91"/>
      <c r="HGA85" s="91"/>
      <c r="HGB85" s="91"/>
      <c r="HGC85" s="91"/>
      <c r="HGD85" s="91"/>
      <c r="HGE85" s="91"/>
      <c r="HGF85" s="91"/>
      <c r="HGG85" s="91"/>
      <c r="HGH85" s="91"/>
      <c r="HGI85" s="91"/>
      <c r="HGJ85" s="91"/>
      <c r="HGK85" s="91"/>
      <c r="HGL85" s="91"/>
      <c r="HGM85" s="91"/>
      <c r="HGN85" s="91"/>
      <c r="HGO85" s="91"/>
      <c r="HGP85" s="91"/>
      <c r="HGQ85" s="91"/>
      <c r="HGR85" s="91"/>
      <c r="HGS85" s="91"/>
      <c r="HGT85" s="91"/>
      <c r="HGU85" s="91"/>
      <c r="HGV85" s="91"/>
      <c r="HGW85" s="91"/>
      <c r="HGX85" s="91"/>
      <c r="HGY85" s="91"/>
      <c r="HGZ85" s="91"/>
      <c r="HHA85" s="91"/>
      <c r="HHB85" s="91"/>
      <c r="HHC85" s="91"/>
      <c r="HHD85" s="91"/>
      <c r="HHE85" s="91"/>
      <c r="HHF85" s="91"/>
      <c r="HHG85" s="91"/>
      <c r="HHH85" s="91"/>
      <c r="HHI85" s="91"/>
      <c r="HHJ85" s="91"/>
      <c r="HHK85" s="91"/>
      <c r="HHL85" s="91"/>
      <c r="HHM85" s="91"/>
      <c r="HHN85" s="91"/>
      <c r="HHO85" s="91"/>
      <c r="HHP85" s="91"/>
      <c r="HHQ85" s="91"/>
      <c r="HHR85" s="91"/>
      <c r="HHS85" s="91"/>
      <c r="HHT85" s="91"/>
      <c r="HHU85" s="91"/>
      <c r="HHV85" s="91"/>
      <c r="HHW85" s="91"/>
      <c r="HHX85" s="91"/>
      <c r="HHY85" s="91"/>
      <c r="HHZ85" s="91"/>
      <c r="HIA85" s="91"/>
      <c r="HIB85" s="91"/>
      <c r="HIC85" s="91"/>
      <c r="HID85" s="91"/>
      <c r="HIE85" s="91"/>
      <c r="HIF85" s="91"/>
      <c r="HIG85" s="91"/>
      <c r="HIH85" s="91"/>
      <c r="HII85" s="91"/>
      <c r="HIJ85" s="91"/>
      <c r="HIK85" s="91"/>
      <c r="HIL85" s="91"/>
      <c r="HIM85" s="91"/>
      <c r="HIN85" s="91"/>
      <c r="HIO85" s="91"/>
      <c r="HIP85" s="91"/>
      <c r="HIQ85" s="91"/>
      <c r="HIR85" s="91"/>
      <c r="HIS85" s="91"/>
      <c r="HIT85" s="91"/>
      <c r="HIU85" s="91"/>
      <c r="HIV85" s="91"/>
      <c r="HIW85" s="91"/>
      <c r="HIX85" s="91"/>
      <c r="HIY85" s="91"/>
      <c r="HIZ85" s="91"/>
      <c r="HJA85" s="91"/>
      <c r="HJB85" s="91"/>
      <c r="HJC85" s="91"/>
      <c r="HJD85" s="91"/>
      <c r="HJE85" s="91"/>
      <c r="HJF85" s="91"/>
      <c r="HJG85" s="91"/>
      <c r="HJH85" s="91"/>
      <c r="HJI85" s="91"/>
      <c r="HJJ85" s="91"/>
      <c r="HJK85" s="91"/>
      <c r="HJL85" s="91"/>
      <c r="HJM85" s="91"/>
      <c r="HJN85" s="91"/>
      <c r="HJO85" s="91"/>
      <c r="HJP85" s="91"/>
      <c r="HJQ85" s="91"/>
      <c r="HJR85" s="91"/>
      <c r="HJS85" s="91"/>
      <c r="HJT85" s="91"/>
      <c r="HJU85" s="91"/>
      <c r="HJV85" s="91"/>
      <c r="HJW85" s="91"/>
      <c r="HJX85" s="91"/>
      <c r="HJY85" s="91"/>
      <c r="HJZ85" s="91"/>
      <c r="HKA85" s="91"/>
      <c r="HKB85" s="91"/>
      <c r="HKC85" s="91"/>
      <c r="HKD85" s="91"/>
      <c r="HKE85" s="91"/>
      <c r="HKF85" s="91"/>
      <c r="HKG85" s="91"/>
      <c r="HKH85" s="91"/>
      <c r="HKI85" s="91"/>
      <c r="HKJ85" s="91"/>
      <c r="HKK85" s="91"/>
      <c r="HKL85" s="91"/>
      <c r="HKM85" s="91"/>
      <c r="HKN85" s="91"/>
      <c r="HKO85" s="91"/>
      <c r="HKP85" s="91"/>
      <c r="HKQ85" s="91"/>
      <c r="HKR85" s="91"/>
      <c r="HKS85" s="91"/>
      <c r="HKT85" s="91"/>
      <c r="HKU85" s="91"/>
      <c r="HKV85" s="91"/>
      <c r="HKW85" s="91"/>
      <c r="HKX85" s="91"/>
      <c r="HKY85" s="91"/>
      <c r="HKZ85" s="91"/>
      <c r="HLA85" s="91"/>
      <c r="HLB85" s="91"/>
      <c r="HLC85" s="91"/>
      <c r="HLD85" s="91"/>
      <c r="HLE85" s="91"/>
      <c r="HLF85" s="91"/>
      <c r="HLG85" s="91"/>
      <c r="HLH85" s="91"/>
      <c r="HLI85" s="91"/>
      <c r="HLJ85" s="91"/>
      <c r="HLK85" s="91"/>
      <c r="HLL85" s="91"/>
      <c r="HLM85" s="91"/>
      <c r="HLN85" s="91"/>
      <c r="HLO85" s="91"/>
      <c r="HLP85" s="91"/>
      <c r="HLQ85" s="91"/>
      <c r="HLR85" s="91"/>
      <c r="HLS85" s="91"/>
      <c r="HLT85" s="91"/>
      <c r="HLU85" s="91"/>
      <c r="HLV85" s="91"/>
      <c r="HLW85" s="91"/>
      <c r="HLX85" s="91"/>
      <c r="HLY85" s="91"/>
      <c r="HLZ85" s="91"/>
      <c r="HMA85" s="91"/>
      <c r="HMB85" s="91"/>
      <c r="HMC85" s="91"/>
      <c r="HMD85" s="91"/>
      <c r="HME85" s="91"/>
      <c r="HMF85" s="91"/>
      <c r="HMG85" s="91"/>
      <c r="HMH85" s="91"/>
      <c r="HMI85" s="91"/>
      <c r="HMJ85" s="91"/>
      <c r="HMK85" s="91"/>
      <c r="HML85" s="91"/>
      <c r="HMM85" s="91"/>
      <c r="HMN85" s="91"/>
      <c r="HMO85" s="91"/>
      <c r="HMP85" s="91"/>
      <c r="HMQ85" s="91"/>
      <c r="HMR85" s="91"/>
      <c r="HMS85" s="91"/>
      <c r="HMT85" s="91"/>
      <c r="HMU85" s="91"/>
      <c r="HMV85" s="91"/>
      <c r="HMW85" s="91"/>
      <c r="HMX85" s="91"/>
      <c r="HMY85" s="91"/>
      <c r="HMZ85" s="91"/>
      <c r="HNA85" s="91"/>
      <c r="HNB85" s="91"/>
      <c r="HNC85" s="91"/>
      <c r="HND85" s="91"/>
      <c r="HNE85" s="91"/>
      <c r="HNF85" s="91"/>
      <c r="HNG85" s="91"/>
      <c r="HNH85" s="91"/>
      <c r="HNI85" s="91"/>
      <c r="HNJ85" s="91"/>
      <c r="HNK85" s="91"/>
      <c r="HNL85" s="91"/>
      <c r="HNM85" s="91"/>
      <c r="HNN85" s="91"/>
      <c r="HNO85" s="91"/>
      <c r="HNP85" s="91"/>
      <c r="HNQ85" s="91"/>
      <c r="HNR85" s="91"/>
      <c r="HNS85" s="91"/>
      <c r="HNT85" s="91"/>
      <c r="HNU85" s="91"/>
      <c r="HNV85" s="91"/>
      <c r="HNW85" s="91"/>
      <c r="HNX85" s="91"/>
      <c r="HNY85" s="91"/>
      <c r="HNZ85" s="91"/>
      <c r="HOA85" s="91"/>
      <c r="HOB85" s="91"/>
      <c r="HOC85" s="91"/>
      <c r="HOD85" s="91"/>
      <c r="HOE85" s="91"/>
      <c r="HOF85" s="91"/>
      <c r="HOG85" s="91"/>
      <c r="HOH85" s="91"/>
      <c r="HOI85" s="91"/>
      <c r="HOJ85" s="91"/>
      <c r="HOK85" s="91"/>
      <c r="HOL85" s="91"/>
      <c r="HOM85" s="91"/>
      <c r="HON85" s="91"/>
      <c r="HOO85" s="91"/>
      <c r="HOP85" s="91"/>
      <c r="HOQ85" s="91"/>
      <c r="HOR85" s="91"/>
      <c r="HOS85" s="91"/>
      <c r="HOT85" s="91"/>
      <c r="HOU85" s="91"/>
      <c r="HOV85" s="91"/>
      <c r="HOW85" s="91"/>
      <c r="HOX85" s="91"/>
      <c r="HOY85" s="91"/>
      <c r="HOZ85" s="91"/>
      <c r="HPA85" s="91"/>
      <c r="HPB85" s="91"/>
      <c r="HPC85" s="91"/>
      <c r="HPD85" s="91"/>
      <c r="HPE85" s="91"/>
      <c r="HPF85" s="91"/>
      <c r="HPG85" s="91"/>
      <c r="HPH85" s="91"/>
      <c r="HPI85" s="91"/>
      <c r="HPJ85" s="91"/>
      <c r="HPK85" s="91"/>
      <c r="HPL85" s="91"/>
      <c r="HPM85" s="91"/>
      <c r="HPN85" s="91"/>
      <c r="HPO85" s="91"/>
      <c r="HPP85" s="91"/>
      <c r="HPQ85" s="91"/>
      <c r="HPR85" s="91"/>
      <c r="HPS85" s="91"/>
      <c r="HPT85" s="91"/>
      <c r="HPU85" s="91"/>
      <c r="HPV85" s="91"/>
      <c r="HPW85" s="91"/>
      <c r="HPX85" s="91"/>
      <c r="HPY85" s="91"/>
      <c r="HPZ85" s="91"/>
      <c r="HQA85" s="91"/>
      <c r="HQB85" s="91"/>
      <c r="HQC85" s="91"/>
      <c r="HQD85" s="91"/>
      <c r="HQE85" s="91"/>
      <c r="HQF85" s="91"/>
      <c r="HQG85" s="91"/>
      <c r="HQH85" s="91"/>
      <c r="HQI85" s="91"/>
      <c r="HQJ85" s="91"/>
      <c r="HQK85" s="91"/>
      <c r="HQL85" s="91"/>
      <c r="HQM85" s="91"/>
      <c r="HQN85" s="91"/>
      <c r="HQO85" s="91"/>
      <c r="HQP85" s="91"/>
      <c r="HQQ85" s="91"/>
      <c r="HQR85" s="91"/>
      <c r="HQS85" s="91"/>
      <c r="HQT85" s="91"/>
      <c r="HQU85" s="91"/>
      <c r="HQV85" s="91"/>
      <c r="HQW85" s="91"/>
      <c r="HQX85" s="91"/>
      <c r="HQY85" s="91"/>
      <c r="HQZ85" s="91"/>
      <c r="HRA85" s="91"/>
      <c r="HRB85" s="91"/>
      <c r="HRC85" s="91"/>
      <c r="HRD85" s="91"/>
      <c r="HRE85" s="91"/>
      <c r="HRF85" s="91"/>
      <c r="HRG85" s="91"/>
      <c r="HRH85" s="91"/>
      <c r="HRI85" s="91"/>
      <c r="HRJ85" s="91"/>
      <c r="HRK85" s="91"/>
      <c r="HRL85" s="91"/>
      <c r="HRM85" s="91"/>
      <c r="HRN85" s="91"/>
      <c r="HRO85" s="91"/>
      <c r="HRP85" s="91"/>
      <c r="HRQ85" s="91"/>
      <c r="HRR85" s="91"/>
      <c r="HRS85" s="91"/>
      <c r="HRT85" s="91"/>
      <c r="HRU85" s="91"/>
      <c r="HRV85" s="91"/>
      <c r="HRW85" s="91"/>
      <c r="HRX85" s="91"/>
      <c r="HRY85" s="91"/>
      <c r="HRZ85" s="91"/>
      <c r="HSA85" s="91"/>
      <c r="HSB85" s="91"/>
      <c r="HSC85" s="91"/>
      <c r="HSD85" s="91"/>
      <c r="HSE85" s="91"/>
      <c r="HSF85" s="91"/>
      <c r="HSG85" s="91"/>
      <c r="HSH85" s="91"/>
      <c r="HSI85" s="91"/>
      <c r="HSJ85" s="91"/>
      <c r="HSK85" s="91"/>
      <c r="HSL85" s="91"/>
      <c r="HSM85" s="91"/>
      <c r="HSN85" s="91"/>
      <c r="HSO85" s="91"/>
      <c r="HSP85" s="91"/>
      <c r="HSQ85" s="91"/>
      <c r="HSR85" s="91"/>
      <c r="HSS85" s="91"/>
      <c r="HST85" s="91"/>
      <c r="HSU85" s="91"/>
      <c r="HSV85" s="91"/>
      <c r="HSW85" s="91"/>
      <c r="HSX85" s="91"/>
      <c r="HSY85" s="91"/>
      <c r="HSZ85" s="91"/>
      <c r="HTA85" s="91"/>
      <c r="HTB85" s="91"/>
      <c r="HTC85" s="91"/>
      <c r="HTD85" s="91"/>
      <c r="HTE85" s="91"/>
      <c r="HTF85" s="91"/>
      <c r="HTG85" s="91"/>
      <c r="HTH85" s="91"/>
      <c r="HTI85" s="91"/>
      <c r="HTJ85" s="91"/>
      <c r="HTK85" s="91"/>
      <c r="HTL85" s="91"/>
      <c r="HTM85" s="91"/>
      <c r="HTN85" s="91"/>
      <c r="HTO85" s="91"/>
      <c r="HTP85" s="91"/>
      <c r="HTQ85" s="91"/>
      <c r="HTR85" s="91"/>
      <c r="HTS85" s="91"/>
      <c r="HTT85" s="91"/>
      <c r="HTU85" s="91"/>
      <c r="HTV85" s="91"/>
      <c r="HTW85" s="91"/>
      <c r="HTX85" s="91"/>
      <c r="HTY85" s="91"/>
      <c r="HTZ85" s="91"/>
      <c r="HUA85" s="91"/>
      <c r="HUB85" s="91"/>
      <c r="HUC85" s="91"/>
      <c r="HUD85" s="91"/>
      <c r="HUE85" s="91"/>
      <c r="HUF85" s="91"/>
      <c r="HUG85" s="91"/>
      <c r="HUH85" s="91"/>
      <c r="HUI85" s="91"/>
      <c r="HUJ85" s="91"/>
      <c r="HUK85" s="91"/>
      <c r="HUL85" s="91"/>
      <c r="HUM85" s="91"/>
      <c r="HUN85" s="91"/>
      <c r="HUO85" s="91"/>
      <c r="HUP85" s="91"/>
      <c r="HUQ85" s="91"/>
      <c r="HUR85" s="91"/>
      <c r="HUS85" s="91"/>
      <c r="HUT85" s="91"/>
      <c r="HUU85" s="91"/>
      <c r="HUV85" s="91"/>
      <c r="HUW85" s="91"/>
      <c r="HUX85" s="91"/>
      <c r="HUY85" s="91"/>
      <c r="HUZ85" s="91"/>
      <c r="HVA85" s="91"/>
      <c r="HVB85" s="91"/>
      <c r="HVC85" s="91"/>
      <c r="HVD85" s="91"/>
      <c r="HVE85" s="91"/>
      <c r="HVF85" s="91"/>
      <c r="HVG85" s="91"/>
      <c r="HVH85" s="91"/>
      <c r="HVI85" s="91"/>
      <c r="HVJ85" s="91"/>
      <c r="HVK85" s="91"/>
      <c r="HVL85" s="91"/>
      <c r="HVM85" s="91"/>
      <c r="HVN85" s="91"/>
      <c r="HVO85" s="91"/>
      <c r="HVP85" s="91"/>
      <c r="HVQ85" s="91"/>
      <c r="HVR85" s="91"/>
      <c r="HVS85" s="91"/>
      <c r="HVT85" s="91"/>
      <c r="HVU85" s="91"/>
      <c r="HVV85" s="91"/>
      <c r="HVW85" s="91"/>
      <c r="HVX85" s="91"/>
      <c r="HVY85" s="91"/>
      <c r="HVZ85" s="91"/>
      <c r="HWA85" s="91"/>
      <c r="HWB85" s="91"/>
      <c r="HWC85" s="91"/>
      <c r="HWD85" s="91"/>
      <c r="HWE85" s="91"/>
      <c r="HWF85" s="91"/>
      <c r="HWG85" s="91"/>
      <c r="HWH85" s="91"/>
      <c r="HWI85" s="91"/>
      <c r="HWJ85" s="91"/>
      <c r="HWK85" s="91"/>
      <c r="HWL85" s="91"/>
      <c r="HWM85" s="91"/>
      <c r="HWN85" s="91"/>
      <c r="HWO85" s="91"/>
      <c r="HWP85" s="91"/>
      <c r="HWQ85" s="91"/>
      <c r="HWR85" s="91"/>
      <c r="HWS85" s="91"/>
      <c r="HWT85" s="91"/>
      <c r="HWU85" s="91"/>
      <c r="HWV85" s="91"/>
      <c r="HWW85" s="91"/>
      <c r="HWX85" s="91"/>
      <c r="HWY85" s="91"/>
      <c r="HWZ85" s="91"/>
      <c r="HXA85" s="91"/>
      <c r="HXB85" s="91"/>
      <c r="HXC85" s="91"/>
      <c r="HXD85" s="91"/>
      <c r="HXE85" s="91"/>
      <c r="HXF85" s="91"/>
      <c r="HXG85" s="91"/>
      <c r="HXH85" s="91"/>
      <c r="HXI85" s="91"/>
      <c r="HXJ85" s="91"/>
      <c r="HXK85" s="91"/>
      <c r="HXL85" s="91"/>
      <c r="HXM85" s="91"/>
      <c r="HXN85" s="91"/>
      <c r="HXO85" s="91"/>
      <c r="HXP85" s="91"/>
      <c r="HXQ85" s="91"/>
      <c r="HXR85" s="91"/>
      <c r="HXS85" s="91"/>
      <c r="HXT85" s="91"/>
      <c r="HXU85" s="91"/>
      <c r="HXV85" s="91"/>
      <c r="HXW85" s="91"/>
      <c r="HXX85" s="91"/>
      <c r="HXY85" s="91"/>
      <c r="HXZ85" s="91"/>
      <c r="HYA85" s="91"/>
      <c r="HYB85" s="91"/>
      <c r="HYC85" s="91"/>
      <c r="HYD85" s="91"/>
      <c r="HYE85" s="91"/>
      <c r="HYF85" s="91"/>
      <c r="HYG85" s="91"/>
      <c r="HYH85" s="91"/>
      <c r="HYI85" s="91"/>
      <c r="HYJ85" s="91"/>
      <c r="HYK85" s="91"/>
      <c r="HYL85" s="91"/>
      <c r="HYM85" s="91"/>
      <c r="HYN85" s="91"/>
      <c r="HYO85" s="91"/>
      <c r="HYP85" s="91"/>
      <c r="HYQ85" s="91"/>
      <c r="HYR85" s="91"/>
      <c r="HYS85" s="91"/>
      <c r="HYT85" s="91"/>
      <c r="HYU85" s="91"/>
      <c r="HYV85" s="91"/>
      <c r="HYW85" s="91"/>
      <c r="HYX85" s="91"/>
      <c r="HYY85" s="91"/>
      <c r="HYZ85" s="91"/>
      <c r="HZA85" s="91"/>
      <c r="HZB85" s="91"/>
      <c r="HZC85" s="91"/>
      <c r="HZD85" s="91"/>
      <c r="HZE85" s="91"/>
      <c r="HZF85" s="91"/>
      <c r="HZG85" s="91"/>
      <c r="HZH85" s="91"/>
      <c r="HZI85" s="91"/>
      <c r="HZJ85" s="91"/>
      <c r="HZK85" s="91"/>
      <c r="HZL85" s="91"/>
      <c r="HZM85" s="91"/>
      <c r="HZN85" s="91"/>
      <c r="HZO85" s="91"/>
      <c r="HZP85" s="91"/>
      <c r="HZQ85" s="91"/>
      <c r="HZR85" s="91"/>
      <c r="HZS85" s="91"/>
      <c r="HZT85" s="91"/>
      <c r="HZU85" s="91"/>
      <c r="HZV85" s="91"/>
      <c r="HZW85" s="91"/>
      <c r="HZX85" s="91"/>
      <c r="HZY85" s="91"/>
      <c r="HZZ85" s="91"/>
      <c r="IAA85" s="91"/>
      <c r="IAB85" s="91"/>
      <c r="IAC85" s="91"/>
      <c r="IAD85" s="91"/>
      <c r="IAE85" s="91"/>
      <c r="IAF85" s="91"/>
      <c r="IAG85" s="91"/>
      <c r="IAH85" s="91"/>
      <c r="IAI85" s="91"/>
      <c r="IAJ85" s="91"/>
      <c r="IAK85" s="91"/>
      <c r="IAL85" s="91"/>
      <c r="IAM85" s="91"/>
      <c r="IAN85" s="91"/>
      <c r="IAO85" s="91"/>
      <c r="IAP85" s="91"/>
      <c r="IAQ85" s="91"/>
      <c r="IAR85" s="91"/>
      <c r="IAS85" s="91"/>
      <c r="IAT85" s="91"/>
      <c r="IAU85" s="91"/>
      <c r="IAV85" s="91"/>
      <c r="IAW85" s="91"/>
      <c r="IAX85" s="91"/>
      <c r="IAY85" s="91"/>
      <c r="IAZ85" s="91"/>
      <c r="IBA85" s="91"/>
      <c r="IBB85" s="91"/>
      <c r="IBC85" s="91"/>
      <c r="IBD85" s="91"/>
      <c r="IBE85" s="91"/>
      <c r="IBF85" s="91"/>
      <c r="IBG85" s="91"/>
      <c r="IBH85" s="91"/>
      <c r="IBI85" s="91"/>
      <c r="IBJ85" s="91"/>
      <c r="IBK85" s="91"/>
      <c r="IBL85" s="91"/>
      <c r="IBM85" s="91"/>
      <c r="IBN85" s="91"/>
      <c r="IBO85" s="91"/>
      <c r="IBP85" s="91"/>
      <c r="IBQ85" s="91"/>
      <c r="IBR85" s="91"/>
      <c r="IBS85" s="91"/>
      <c r="IBT85" s="91"/>
      <c r="IBU85" s="91"/>
      <c r="IBV85" s="91"/>
      <c r="IBW85" s="91"/>
      <c r="IBX85" s="91"/>
      <c r="IBY85" s="91"/>
      <c r="IBZ85" s="91"/>
      <c r="ICA85" s="91"/>
      <c r="ICB85" s="91"/>
      <c r="ICC85" s="91"/>
      <c r="ICD85" s="91"/>
      <c r="ICE85" s="91"/>
      <c r="ICF85" s="91"/>
      <c r="ICG85" s="91"/>
      <c r="ICH85" s="91"/>
      <c r="ICI85" s="91"/>
      <c r="ICJ85" s="91"/>
      <c r="ICK85" s="91"/>
      <c r="ICL85" s="91"/>
      <c r="ICM85" s="91"/>
      <c r="ICN85" s="91"/>
      <c r="ICO85" s="91"/>
      <c r="ICP85" s="91"/>
      <c r="ICQ85" s="91"/>
      <c r="ICR85" s="91"/>
      <c r="ICS85" s="91"/>
      <c r="ICT85" s="91"/>
      <c r="ICU85" s="91"/>
      <c r="ICV85" s="91"/>
      <c r="ICW85" s="91"/>
      <c r="ICX85" s="91"/>
      <c r="ICY85" s="91"/>
      <c r="ICZ85" s="91"/>
      <c r="IDA85" s="91"/>
      <c r="IDB85" s="91"/>
      <c r="IDC85" s="91"/>
      <c r="IDD85" s="91"/>
      <c r="IDE85" s="91"/>
      <c r="IDF85" s="91"/>
      <c r="IDG85" s="91"/>
      <c r="IDH85" s="91"/>
      <c r="IDI85" s="91"/>
      <c r="IDJ85" s="91"/>
      <c r="IDK85" s="91"/>
      <c r="IDL85" s="91"/>
      <c r="IDM85" s="91"/>
      <c r="IDN85" s="91"/>
      <c r="IDO85" s="91"/>
      <c r="IDP85" s="91"/>
      <c r="IDQ85" s="91"/>
      <c r="IDR85" s="91"/>
      <c r="IDS85" s="91"/>
      <c r="IDT85" s="91"/>
      <c r="IDU85" s="91"/>
      <c r="IDV85" s="91"/>
      <c r="IDW85" s="91"/>
      <c r="IDX85" s="91"/>
      <c r="IDY85" s="91"/>
      <c r="IDZ85" s="91"/>
      <c r="IEA85" s="91"/>
      <c r="IEB85" s="91"/>
      <c r="IEC85" s="91"/>
      <c r="IED85" s="91"/>
      <c r="IEE85" s="91"/>
      <c r="IEF85" s="91"/>
      <c r="IEG85" s="91"/>
      <c r="IEH85" s="91"/>
      <c r="IEI85" s="91"/>
      <c r="IEJ85" s="91"/>
      <c r="IEK85" s="91"/>
      <c r="IEL85" s="91"/>
      <c r="IEM85" s="91"/>
      <c r="IEN85" s="91"/>
      <c r="IEO85" s="91"/>
      <c r="IEP85" s="91"/>
      <c r="IEQ85" s="91"/>
      <c r="IER85" s="91"/>
      <c r="IES85" s="91"/>
      <c r="IET85" s="91"/>
      <c r="IEU85" s="91"/>
      <c r="IEV85" s="91"/>
      <c r="IEW85" s="91"/>
      <c r="IEX85" s="91"/>
      <c r="IEY85" s="91"/>
      <c r="IEZ85" s="91"/>
      <c r="IFA85" s="91"/>
      <c r="IFB85" s="91"/>
      <c r="IFC85" s="91"/>
      <c r="IFD85" s="91"/>
      <c r="IFE85" s="91"/>
      <c r="IFF85" s="91"/>
      <c r="IFG85" s="91"/>
      <c r="IFH85" s="91"/>
      <c r="IFI85" s="91"/>
      <c r="IFJ85" s="91"/>
      <c r="IFK85" s="91"/>
      <c r="IFL85" s="91"/>
      <c r="IFM85" s="91"/>
      <c r="IFN85" s="91"/>
      <c r="IFO85" s="91"/>
      <c r="IFP85" s="91"/>
      <c r="IFQ85" s="91"/>
      <c r="IFR85" s="91"/>
      <c r="IFS85" s="91"/>
      <c r="IFT85" s="91"/>
      <c r="IFU85" s="91"/>
      <c r="IFV85" s="91"/>
      <c r="IFW85" s="91"/>
      <c r="IFX85" s="91"/>
      <c r="IFY85" s="91"/>
      <c r="IFZ85" s="91"/>
      <c r="IGA85" s="91"/>
      <c r="IGB85" s="91"/>
      <c r="IGC85" s="91"/>
      <c r="IGD85" s="91"/>
      <c r="IGE85" s="91"/>
      <c r="IGF85" s="91"/>
      <c r="IGG85" s="91"/>
      <c r="IGH85" s="91"/>
      <c r="IGI85" s="91"/>
      <c r="IGJ85" s="91"/>
      <c r="IGK85" s="91"/>
      <c r="IGL85" s="91"/>
      <c r="IGM85" s="91"/>
      <c r="IGN85" s="91"/>
      <c r="IGO85" s="91"/>
      <c r="IGP85" s="91"/>
      <c r="IGQ85" s="91"/>
      <c r="IGR85" s="91"/>
      <c r="IGS85" s="91"/>
      <c r="IGT85" s="91"/>
      <c r="IGU85" s="91"/>
      <c r="IGV85" s="91"/>
      <c r="IGW85" s="91"/>
      <c r="IGX85" s="91"/>
      <c r="IGY85" s="91"/>
      <c r="IGZ85" s="91"/>
      <c r="IHA85" s="91"/>
      <c r="IHB85" s="91"/>
      <c r="IHC85" s="91"/>
      <c r="IHD85" s="91"/>
      <c r="IHE85" s="91"/>
      <c r="IHF85" s="91"/>
      <c r="IHG85" s="91"/>
      <c r="IHH85" s="91"/>
      <c r="IHI85" s="91"/>
      <c r="IHJ85" s="91"/>
      <c r="IHK85" s="91"/>
      <c r="IHL85" s="91"/>
      <c r="IHM85" s="91"/>
      <c r="IHN85" s="91"/>
      <c r="IHO85" s="91"/>
      <c r="IHP85" s="91"/>
      <c r="IHQ85" s="91"/>
      <c r="IHR85" s="91"/>
      <c r="IHS85" s="91"/>
      <c r="IHT85" s="91"/>
      <c r="IHU85" s="91"/>
      <c r="IHV85" s="91"/>
      <c r="IHW85" s="91"/>
      <c r="IHX85" s="91"/>
      <c r="IHY85" s="91"/>
      <c r="IHZ85" s="91"/>
      <c r="IIA85" s="91"/>
      <c r="IIB85" s="91"/>
      <c r="IIC85" s="91"/>
      <c r="IID85" s="91"/>
      <c r="IIE85" s="91"/>
      <c r="IIF85" s="91"/>
      <c r="IIG85" s="91"/>
      <c r="IIH85" s="91"/>
      <c r="III85" s="91"/>
      <c r="IIJ85" s="91"/>
      <c r="IIK85" s="91"/>
      <c r="IIL85" s="91"/>
      <c r="IIM85" s="91"/>
      <c r="IIN85" s="91"/>
      <c r="IIO85" s="91"/>
      <c r="IIP85" s="91"/>
      <c r="IIQ85" s="91"/>
      <c r="IIR85" s="91"/>
      <c r="IIS85" s="91"/>
      <c r="IIT85" s="91"/>
      <c r="IIU85" s="91"/>
      <c r="IIV85" s="91"/>
      <c r="IIW85" s="91"/>
      <c r="IIX85" s="91"/>
      <c r="IIY85" s="91"/>
      <c r="IIZ85" s="91"/>
      <c r="IJA85" s="91"/>
      <c r="IJB85" s="91"/>
      <c r="IJC85" s="91"/>
      <c r="IJD85" s="91"/>
      <c r="IJE85" s="91"/>
      <c r="IJF85" s="91"/>
      <c r="IJG85" s="91"/>
      <c r="IJH85" s="91"/>
      <c r="IJI85" s="91"/>
      <c r="IJJ85" s="91"/>
      <c r="IJK85" s="91"/>
      <c r="IJL85" s="91"/>
      <c r="IJM85" s="91"/>
      <c r="IJN85" s="91"/>
      <c r="IJO85" s="91"/>
      <c r="IJP85" s="91"/>
      <c r="IJQ85" s="91"/>
      <c r="IJR85" s="91"/>
      <c r="IJS85" s="91"/>
      <c r="IJT85" s="91"/>
      <c r="IJU85" s="91"/>
      <c r="IJV85" s="91"/>
      <c r="IJW85" s="91"/>
      <c r="IJX85" s="91"/>
      <c r="IJY85" s="91"/>
      <c r="IJZ85" s="91"/>
      <c r="IKA85" s="91"/>
      <c r="IKB85" s="91"/>
      <c r="IKC85" s="91"/>
      <c r="IKD85" s="91"/>
      <c r="IKE85" s="91"/>
      <c r="IKF85" s="91"/>
      <c r="IKG85" s="91"/>
      <c r="IKH85" s="91"/>
      <c r="IKI85" s="91"/>
      <c r="IKJ85" s="91"/>
      <c r="IKK85" s="91"/>
      <c r="IKL85" s="91"/>
      <c r="IKM85" s="91"/>
      <c r="IKN85" s="91"/>
      <c r="IKO85" s="91"/>
      <c r="IKP85" s="91"/>
      <c r="IKQ85" s="91"/>
      <c r="IKR85" s="91"/>
      <c r="IKS85" s="91"/>
      <c r="IKT85" s="91"/>
      <c r="IKU85" s="91"/>
      <c r="IKV85" s="91"/>
      <c r="IKW85" s="91"/>
      <c r="IKX85" s="91"/>
      <c r="IKY85" s="91"/>
      <c r="IKZ85" s="91"/>
      <c r="ILA85" s="91"/>
      <c r="ILB85" s="91"/>
      <c r="ILC85" s="91"/>
      <c r="ILD85" s="91"/>
      <c r="ILE85" s="91"/>
      <c r="ILF85" s="91"/>
      <c r="ILG85" s="91"/>
      <c r="ILH85" s="91"/>
      <c r="ILI85" s="91"/>
      <c r="ILJ85" s="91"/>
      <c r="ILK85" s="91"/>
      <c r="ILL85" s="91"/>
      <c r="ILM85" s="91"/>
      <c r="ILN85" s="91"/>
      <c r="ILO85" s="91"/>
      <c r="ILP85" s="91"/>
      <c r="ILQ85" s="91"/>
      <c r="ILR85" s="91"/>
      <c r="ILS85" s="91"/>
      <c r="ILT85" s="91"/>
      <c r="ILU85" s="91"/>
      <c r="ILV85" s="91"/>
      <c r="ILW85" s="91"/>
      <c r="ILX85" s="91"/>
      <c r="ILY85" s="91"/>
      <c r="ILZ85" s="91"/>
      <c r="IMA85" s="91"/>
      <c r="IMB85" s="91"/>
      <c r="IMC85" s="91"/>
      <c r="IMD85" s="91"/>
      <c r="IME85" s="91"/>
      <c r="IMF85" s="91"/>
      <c r="IMG85" s="91"/>
      <c r="IMH85" s="91"/>
      <c r="IMI85" s="91"/>
      <c r="IMJ85" s="91"/>
      <c r="IMK85" s="91"/>
      <c r="IML85" s="91"/>
      <c r="IMM85" s="91"/>
      <c r="IMN85" s="91"/>
      <c r="IMO85" s="91"/>
      <c r="IMP85" s="91"/>
      <c r="IMQ85" s="91"/>
      <c r="IMR85" s="91"/>
      <c r="IMS85" s="91"/>
      <c r="IMT85" s="91"/>
      <c r="IMU85" s="91"/>
      <c r="IMV85" s="91"/>
      <c r="IMW85" s="91"/>
      <c r="IMX85" s="91"/>
      <c r="IMY85" s="91"/>
      <c r="IMZ85" s="91"/>
      <c r="INA85" s="91"/>
      <c r="INB85" s="91"/>
      <c r="INC85" s="91"/>
      <c r="IND85" s="91"/>
      <c r="INE85" s="91"/>
      <c r="INF85" s="91"/>
      <c r="ING85" s="91"/>
      <c r="INH85" s="91"/>
      <c r="INI85" s="91"/>
      <c r="INJ85" s="91"/>
      <c r="INK85" s="91"/>
      <c r="INL85" s="91"/>
      <c r="INM85" s="91"/>
      <c r="INN85" s="91"/>
      <c r="INO85" s="91"/>
      <c r="INP85" s="91"/>
      <c r="INQ85" s="91"/>
      <c r="INR85" s="91"/>
      <c r="INS85" s="91"/>
      <c r="INT85" s="91"/>
      <c r="INU85" s="91"/>
      <c r="INV85" s="91"/>
      <c r="INW85" s="91"/>
      <c r="INX85" s="91"/>
      <c r="INY85" s="91"/>
      <c r="INZ85" s="91"/>
      <c r="IOA85" s="91"/>
      <c r="IOB85" s="91"/>
      <c r="IOC85" s="91"/>
      <c r="IOD85" s="91"/>
      <c r="IOE85" s="91"/>
      <c r="IOF85" s="91"/>
      <c r="IOG85" s="91"/>
      <c r="IOH85" s="91"/>
      <c r="IOI85" s="91"/>
      <c r="IOJ85" s="91"/>
      <c r="IOK85" s="91"/>
      <c r="IOL85" s="91"/>
      <c r="IOM85" s="91"/>
      <c r="ION85" s="91"/>
      <c r="IOO85" s="91"/>
      <c r="IOP85" s="91"/>
      <c r="IOQ85" s="91"/>
      <c r="IOR85" s="91"/>
      <c r="IOS85" s="91"/>
      <c r="IOT85" s="91"/>
      <c r="IOU85" s="91"/>
      <c r="IOV85" s="91"/>
      <c r="IOW85" s="91"/>
      <c r="IOX85" s="91"/>
      <c r="IOY85" s="91"/>
      <c r="IOZ85" s="91"/>
      <c r="IPA85" s="91"/>
      <c r="IPB85" s="91"/>
      <c r="IPC85" s="91"/>
      <c r="IPD85" s="91"/>
      <c r="IPE85" s="91"/>
      <c r="IPF85" s="91"/>
      <c r="IPG85" s="91"/>
      <c r="IPH85" s="91"/>
      <c r="IPI85" s="91"/>
      <c r="IPJ85" s="91"/>
      <c r="IPK85" s="91"/>
      <c r="IPL85" s="91"/>
      <c r="IPM85" s="91"/>
      <c r="IPN85" s="91"/>
      <c r="IPO85" s="91"/>
      <c r="IPP85" s="91"/>
      <c r="IPQ85" s="91"/>
      <c r="IPR85" s="91"/>
      <c r="IPS85" s="91"/>
      <c r="IPT85" s="91"/>
      <c r="IPU85" s="91"/>
      <c r="IPV85" s="91"/>
      <c r="IPW85" s="91"/>
      <c r="IPX85" s="91"/>
      <c r="IPY85" s="91"/>
      <c r="IPZ85" s="91"/>
      <c r="IQA85" s="91"/>
      <c r="IQB85" s="91"/>
      <c r="IQC85" s="91"/>
      <c r="IQD85" s="91"/>
      <c r="IQE85" s="91"/>
      <c r="IQF85" s="91"/>
      <c r="IQG85" s="91"/>
      <c r="IQH85" s="91"/>
      <c r="IQI85" s="91"/>
      <c r="IQJ85" s="91"/>
      <c r="IQK85" s="91"/>
      <c r="IQL85" s="91"/>
      <c r="IQM85" s="91"/>
      <c r="IQN85" s="91"/>
      <c r="IQO85" s="91"/>
      <c r="IQP85" s="91"/>
      <c r="IQQ85" s="91"/>
      <c r="IQR85" s="91"/>
      <c r="IQS85" s="91"/>
      <c r="IQT85" s="91"/>
      <c r="IQU85" s="91"/>
      <c r="IQV85" s="91"/>
      <c r="IQW85" s="91"/>
      <c r="IQX85" s="91"/>
      <c r="IQY85" s="91"/>
      <c r="IQZ85" s="91"/>
      <c r="IRA85" s="91"/>
      <c r="IRB85" s="91"/>
      <c r="IRC85" s="91"/>
      <c r="IRD85" s="91"/>
      <c r="IRE85" s="91"/>
      <c r="IRF85" s="91"/>
      <c r="IRG85" s="91"/>
      <c r="IRH85" s="91"/>
      <c r="IRI85" s="91"/>
      <c r="IRJ85" s="91"/>
      <c r="IRK85" s="91"/>
      <c r="IRL85" s="91"/>
      <c r="IRM85" s="91"/>
      <c r="IRN85" s="91"/>
      <c r="IRO85" s="91"/>
      <c r="IRP85" s="91"/>
      <c r="IRQ85" s="91"/>
      <c r="IRR85" s="91"/>
      <c r="IRS85" s="91"/>
      <c r="IRT85" s="91"/>
      <c r="IRU85" s="91"/>
      <c r="IRV85" s="91"/>
      <c r="IRW85" s="91"/>
      <c r="IRX85" s="91"/>
      <c r="IRY85" s="91"/>
      <c r="IRZ85" s="91"/>
      <c r="ISA85" s="91"/>
      <c r="ISB85" s="91"/>
      <c r="ISC85" s="91"/>
      <c r="ISD85" s="91"/>
      <c r="ISE85" s="91"/>
      <c r="ISF85" s="91"/>
      <c r="ISG85" s="91"/>
      <c r="ISH85" s="91"/>
      <c r="ISI85" s="91"/>
      <c r="ISJ85" s="91"/>
      <c r="ISK85" s="91"/>
      <c r="ISL85" s="91"/>
      <c r="ISM85" s="91"/>
      <c r="ISN85" s="91"/>
      <c r="ISO85" s="91"/>
      <c r="ISP85" s="91"/>
      <c r="ISQ85" s="91"/>
      <c r="ISR85" s="91"/>
      <c r="ISS85" s="91"/>
      <c r="IST85" s="91"/>
      <c r="ISU85" s="91"/>
      <c r="ISV85" s="91"/>
      <c r="ISW85" s="91"/>
      <c r="ISX85" s="91"/>
      <c r="ISY85" s="91"/>
      <c r="ISZ85" s="91"/>
      <c r="ITA85" s="91"/>
      <c r="ITB85" s="91"/>
      <c r="ITC85" s="91"/>
      <c r="ITD85" s="91"/>
      <c r="ITE85" s="91"/>
      <c r="ITF85" s="91"/>
      <c r="ITG85" s="91"/>
      <c r="ITH85" s="91"/>
      <c r="ITI85" s="91"/>
      <c r="ITJ85" s="91"/>
      <c r="ITK85" s="91"/>
      <c r="ITL85" s="91"/>
      <c r="ITM85" s="91"/>
      <c r="ITN85" s="91"/>
      <c r="ITO85" s="91"/>
      <c r="ITP85" s="91"/>
      <c r="ITQ85" s="91"/>
      <c r="ITR85" s="91"/>
      <c r="ITS85" s="91"/>
      <c r="ITT85" s="91"/>
      <c r="ITU85" s="91"/>
      <c r="ITV85" s="91"/>
      <c r="ITW85" s="91"/>
      <c r="ITX85" s="91"/>
      <c r="ITY85" s="91"/>
      <c r="ITZ85" s="91"/>
      <c r="IUA85" s="91"/>
      <c r="IUB85" s="91"/>
      <c r="IUC85" s="91"/>
      <c r="IUD85" s="91"/>
      <c r="IUE85" s="91"/>
      <c r="IUF85" s="91"/>
      <c r="IUG85" s="91"/>
      <c r="IUH85" s="91"/>
      <c r="IUI85" s="91"/>
      <c r="IUJ85" s="91"/>
      <c r="IUK85" s="91"/>
      <c r="IUL85" s="91"/>
      <c r="IUM85" s="91"/>
      <c r="IUN85" s="91"/>
      <c r="IUO85" s="91"/>
      <c r="IUP85" s="91"/>
      <c r="IUQ85" s="91"/>
      <c r="IUR85" s="91"/>
      <c r="IUS85" s="91"/>
      <c r="IUT85" s="91"/>
      <c r="IUU85" s="91"/>
      <c r="IUV85" s="91"/>
      <c r="IUW85" s="91"/>
      <c r="IUX85" s="91"/>
      <c r="IUY85" s="91"/>
      <c r="IUZ85" s="91"/>
      <c r="IVA85" s="91"/>
      <c r="IVB85" s="91"/>
      <c r="IVC85" s="91"/>
      <c r="IVD85" s="91"/>
      <c r="IVE85" s="91"/>
      <c r="IVF85" s="91"/>
      <c r="IVG85" s="91"/>
      <c r="IVH85" s="91"/>
      <c r="IVI85" s="91"/>
      <c r="IVJ85" s="91"/>
      <c r="IVK85" s="91"/>
      <c r="IVL85" s="91"/>
      <c r="IVM85" s="91"/>
      <c r="IVN85" s="91"/>
      <c r="IVO85" s="91"/>
      <c r="IVP85" s="91"/>
      <c r="IVQ85" s="91"/>
      <c r="IVR85" s="91"/>
      <c r="IVS85" s="91"/>
      <c r="IVT85" s="91"/>
      <c r="IVU85" s="91"/>
      <c r="IVV85" s="91"/>
      <c r="IVW85" s="91"/>
      <c r="IVX85" s="91"/>
      <c r="IVY85" s="91"/>
      <c r="IVZ85" s="91"/>
      <c r="IWA85" s="91"/>
      <c r="IWB85" s="91"/>
      <c r="IWC85" s="91"/>
      <c r="IWD85" s="91"/>
      <c r="IWE85" s="91"/>
      <c r="IWF85" s="91"/>
      <c r="IWG85" s="91"/>
      <c r="IWH85" s="91"/>
      <c r="IWI85" s="91"/>
      <c r="IWJ85" s="91"/>
      <c r="IWK85" s="91"/>
      <c r="IWL85" s="91"/>
      <c r="IWM85" s="91"/>
      <c r="IWN85" s="91"/>
      <c r="IWO85" s="91"/>
      <c r="IWP85" s="91"/>
      <c r="IWQ85" s="91"/>
      <c r="IWR85" s="91"/>
      <c r="IWS85" s="91"/>
      <c r="IWT85" s="91"/>
      <c r="IWU85" s="91"/>
      <c r="IWV85" s="91"/>
      <c r="IWW85" s="91"/>
      <c r="IWX85" s="91"/>
      <c r="IWY85" s="91"/>
      <c r="IWZ85" s="91"/>
      <c r="IXA85" s="91"/>
      <c r="IXB85" s="91"/>
      <c r="IXC85" s="91"/>
      <c r="IXD85" s="91"/>
      <c r="IXE85" s="91"/>
      <c r="IXF85" s="91"/>
      <c r="IXG85" s="91"/>
      <c r="IXH85" s="91"/>
      <c r="IXI85" s="91"/>
      <c r="IXJ85" s="91"/>
      <c r="IXK85" s="91"/>
      <c r="IXL85" s="91"/>
      <c r="IXM85" s="91"/>
      <c r="IXN85" s="91"/>
      <c r="IXO85" s="91"/>
      <c r="IXP85" s="91"/>
      <c r="IXQ85" s="91"/>
      <c r="IXR85" s="91"/>
      <c r="IXS85" s="91"/>
      <c r="IXT85" s="91"/>
      <c r="IXU85" s="91"/>
      <c r="IXV85" s="91"/>
      <c r="IXW85" s="91"/>
      <c r="IXX85" s="91"/>
      <c r="IXY85" s="91"/>
      <c r="IXZ85" s="91"/>
      <c r="IYA85" s="91"/>
      <c r="IYB85" s="91"/>
      <c r="IYC85" s="91"/>
      <c r="IYD85" s="91"/>
      <c r="IYE85" s="91"/>
      <c r="IYF85" s="91"/>
      <c r="IYG85" s="91"/>
      <c r="IYH85" s="91"/>
      <c r="IYI85" s="91"/>
      <c r="IYJ85" s="91"/>
      <c r="IYK85" s="91"/>
      <c r="IYL85" s="91"/>
      <c r="IYM85" s="91"/>
      <c r="IYN85" s="91"/>
      <c r="IYO85" s="91"/>
      <c r="IYP85" s="91"/>
      <c r="IYQ85" s="91"/>
      <c r="IYR85" s="91"/>
      <c r="IYS85" s="91"/>
      <c r="IYT85" s="91"/>
      <c r="IYU85" s="91"/>
      <c r="IYV85" s="91"/>
      <c r="IYW85" s="91"/>
      <c r="IYX85" s="91"/>
      <c r="IYY85" s="91"/>
      <c r="IYZ85" s="91"/>
      <c r="IZA85" s="91"/>
      <c r="IZB85" s="91"/>
      <c r="IZC85" s="91"/>
      <c r="IZD85" s="91"/>
      <c r="IZE85" s="91"/>
      <c r="IZF85" s="91"/>
      <c r="IZG85" s="91"/>
      <c r="IZH85" s="91"/>
      <c r="IZI85" s="91"/>
      <c r="IZJ85" s="91"/>
      <c r="IZK85" s="91"/>
      <c r="IZL85" s="91"/>
      <c r="IZM85" s="91"/>
      <c r="IZN85" s="91"/>
      <c r="IZO85" s="91"/>
      <c r="IZP85" s="91"/>
      <c r="IZQ85" s="91"/>
      <c r="IZR85" s="91"/>
      <c r="IZS85" s="91"/>
      <c r="IZT85" s="91"/>
      <c r="IZU85" s="91"/>
      <c r="IZV85" s="91"/>
      <c r="IZW85" s="91"/>
      <c r="IZX85" s="91"/>
      <c r="IZY85" s="91"/>
      <c r="IZZ85" s="91"/>
      <c r="JAA85" s="91"/>
      <c r="JAB85" s="91"/>
      <c r="JAC85" s="91"/>
      <c r="JAD85" s="91"/>
      <c r="JAE85" s="91"/>
      <c r="JAF85" s="91"/>
      <c r="JAG85" s="91"/>
      <c r="JAH85" s="91"/>
      <c r="JAI85" s="91"/>
      <c r="JAJ85" s="91"/>
      <c r="JAK85" s="91"/>
      <c r="JAL85" s="91"/>
      <c r="JAM85" s="91"/>
      <c r="JAN85" s="91"/>
      <c r="JAO85" s="91"/>
      <c r="JAP85" s="91"/>
      <c r="JAQ85" s="91"/>
      <c r="JAR85" s="91"/>
      <c r="JAS85" s="91"/>
      <c r="JAT85" s="91"/>
      <c r="JAU85" s="91"/>
      <c r="JAV85" s="91"/>
      <c r="JAW85" s="91"/>
      <c r="JAX85" s="91"/>
      <c r="JAY85" s="91"/>
      <c r="JAZ85" s="91"/>
      <c r="JBA85" s="91"/>
      <c r="JBB85" s="91"/>
      <c r="JBC85" s="91"/>
      <c r="JBD85" s="91"/>
      <c r="JBE85" s="91"/>
      <c r="JBF85" s="91"/>
      <c r="JBG85" s="91"/>
      <c r="JBH85" s="91"/>
      <c r="JBI85" s="91"/>
      <c r="JBJ85" s="91"/>
      <c r="JBK85" s="91"/>
      <c r="JBL85" s="91"/>
      <c r="JBM85" s="91"/>
      <c r="JBN85" s="91"/>
      <c r="JBO85" s="91"/>
      <c r="JBP85" s="91"/>
      <c r="JBQ85" s="91"/>
      <c r="JBR85" s="91"/>
      <c r="JBS85" s="91"/>
      <c r="JBT85" s="91"/>
      <c r="JBU85" s="91"/>
      <c r="JBV85" s="91"/>
      <c r="JBW85" s="91"/>
      <c r="JBX85" s="91"/>
      <c r="JBY85" s="91"/>
      <c r="JBZ85" s="91"/>
      <c r="JCA85" s="91"/>
      <c r="JCB85" s="91"/>
      <c r="JCC85" s="91"/>
      <c r="JCD85" s="91"/>
      <c r="JCE85" s="91"/>
      <c r="JCF85" s="91"/>
      <c r="JCG85" s="91"/>
      <c r="JCH85" s="91"/>
      <c r="JCI85" s="91"/>
      <c r="JCJ85" s="91"/>
      <c r="JCK85" s="91"/>
      <c r="JCL85" s="91"/>
      <c r="JCM85" s="91"/>
      <c r="JCN85" s="91"/>
      <c r="JCO85" s="91"/>
      <c r="JCP85" s="91"/>
      <c r="JCQ85" s="91"/>
      <c r="JCR85" s="91"/>
      <c r="JCS85" s="91"/>
      <c r="JCT85" s="91"/>
      <c r="JCU85" s="91"/>
      <c r="JCV85" s="91"/>
      <c r="JCW85" s="91"/>
      <c r="JCX85" s="91"/>
      <c r="JCY85" s="91"/>
      <c r="JCZ85" s="91"/>
      <c r="JDA85" s="91"/>
      <c r="JDB85" s="91"/>
      <c r="JDC85" s="91"/>
      <c r="JDD85" s="91"/>
      <c r="JDE85" s="91"/>
      <c r="JDF85" s="91"/>
      <c r="JDG85" s="91"/>
      <c r="JDH85" s="91"/>
      <c r="JDI85" s="91"/>
      <c r="JDJ85" s="91"/>
      <c r="JDK85" s="91"/>
      <c r="JDL85" s="91"/>
      <c r="JDM85" s="91"/>
      <c r="JDN85" s="91"/>
      <c r="JDO85" s="91"/>
      <c r="JDP85" s="91"/>
      <c r="JDQ85" s="91"/>
      <c r="JDR85" s="91"/>
      <c r="JDS85" s="91"/>
      <c r="JDT85" s="91"/>
      <c r="JDU85" s="91"/>
      <c r="JDV85" s="91"/>
      <c r="JDW85" s="91"/>
      <c r="JDX85" s="91"/>
      <c r="JDY85" s="91"/>
      <c r="JDZ85" s="91"/>
      <c r="JEA85" s="91"/>
      <c r="JEB85" s="91"/>
      <c r="JEC85" s="91"/>
      <c r="JED85" s="91"/>
      <c r="JEE85" s="91"/>
      <c r="JEF85" s="91"/>
      <c r="JEG85" s="91"/>
      <c r="JEH85" s="91"/>
      <c r="JEI85" s="91"/>
      <c r="JEJ85" s="91"/>
      <c r="JEK85" s="91"/>
      <c r="JEL85" s="91"/>
      <c r="JEM85" s="91"/>
      <c r="JEN85" s="91"/>
      <c r="JEO85" s="91"/>
      <c r="JEP85" s="91"/>
      <c r="JEQ85" s="91"/>
      <c r="JER85" s="91"/>
      <c r="JES85" s="91"/>
      <c r="JET85" s="91"/>
      <c r="JEU85" s="91"/>
      <c r="JEV85" s="91"/>
      <c r="JEW85" s="91"/>
      <c r="JEX85" s="91"/>
      <c r="JEY85" s="91"/>
      <c r="JEZ85" s="91"/>
      <c r="JFA85" s="91"/>
      <c r="JFB85" s="91"/>
      <c r="JFC85" s="91"/>
      <c r="JFD85" s="91"/>
      <c r="JFE85" s="91"/>
      <c r="JFF85" s="91"/>
      <c r="JFG85" s="91"/>
      <c r="JFH85" s="91"/>
      <c r="JFI85" s="91"/>
      <c r="JFJ85" s="91"/>
      <c r="JFK85" s="91"/>
      <c r="JFL85" s="91"/>
      <c r="JFM85" s="91"/>
      <c r="JFN85" s="91"/>
      <c r="JFO85" s="91"/>
      <c r="JFP85" s="91"/>
      <c r="JFQ85" s="91"/>
      <c r="JFR85" s="91"/>
      <c r="JFS85" s="91"/>
      <c r="JFT85" s="91"/>
      <c r="JFU85" s="91"/>
      <c r="JFV85" s="91"/>
      <c r="JFW85" s="91"/>
      <c r="JFX85" s="91"/>
      <c r="JFY85" s="91"/>
      <c r="JFZ85" s="91"/>
      <c r="JGA85" s="91"/>
      <c r="JGB85" s="91"/>
      <c r="JGC85" s="91"/>
      <c r="JGD85" s="91"/>
      <c r="JGE85" s="91"/>
      <c r="JGF85" s="91"/>
      <c r="JGG85" s="91"/>
      <c r="JGH85" s="91"/>
      <c r="JGI85" s="91"/>
      <c r="JGJ85" s="91"/>
      <c r="JGK85" s="91"/>
      <c r="JGL85" s="91"/>
      <c r="JGM85" s="91"/>
      <c r="JGN85" s="91"/>
      <c r="JGO85" s="91"/>
      <c r="JGP85" s="91"/>
      <c r="JGQ85" s="91"/>
      <c r="JGR85" s="91"/>
      <c r="JGS85" s="91"/>
      <c r="JGT85" s="91"/>
      <c r="JGU85" s="91"/>
      <c r="JGV85" s="91"/>
      <c r="JGW85" s="91"/>
      <c r="JGX85" s="91"/>
      <c r="JGY85" s="91"/>
      <c r="JGZ85" s="91"/>
      <c r="JHA85" s="91"/>
      <c r="JHB85" s="91"/>
      <c r="JHC85" s="91"/>
      <c r="JHD85" s="91"/>
      <c r="JHE85" s="91"/>
      <c r="JHF85" s="91"/>
      <c r="JHG85" s="91"/>
      <c r="JHH85" s="91"/>
      <c r="JHI85" s="91"/>
      <c r="JHJ85" s="91"/>
      <c r="JHK85" s="91"/>
      <c r="JHL85" s="91"/>
      <c r="JHM85" s="91"/>
      <c r="JHN85" s="91"/>
      <c r="JHO85" s="91"/>
      <c r="JHP85" s="91"/>
      <c r="JHQ85" s="91"/>
      <c r="JHR85" s="91"/>
      <c r="JHS85" s="91"/>
      <c r="JHT85" s="91"/>
      <c r="JHU85" s="91"/>
      <c r="JHV85" s="91"/>
      <c r="JHW85" s="91"/>
      <c r="JHX85" s="91"/>
      <c r="JHY85" s="91"/>
      <c r="JHZ85" s="91"/>
      <c r="JIA85" s="91"/>
      <c r="JIB85" s="91"/>
      <c r="JIC85" s="91"/>
      <c r="JID85" s="91"/>
      <c r="JIE85" s="91"/>
      <c r="JIF85" s="91"/>
      <c r="JIG85" s="91"/>
      <c r="JIH85" s="91"/>
      <c r="JII85" s="91"/>
      <c r="JIJ85" s="91"/>
      <c r="JIK85" s="91"/>
      <c r="JIL85" s="91"/>
      <c r="JIM85" s="91"/>
      <c r="JIN85" s="91"/>
      <c r="JIO85" s="91"/>
      <c r="JIP85" s="91"/>
      <c r="JIQ85" s="91"/>
      <c r="JIR85" s="91"/>
      <c r="JIS85" s="91"/>
      <c r="JIT85" s="91"/>
      <c r="JIU85" s="91"/>
      <c r="JIV85" s="91"/>
      <c r="JIW85" s="91"/>
      <c r="JIX85" s="91"/>
      <c r="JIY85" s="91"/>
      <c r="JIZ85" s="91"/>
      <c r="JJA85" s="91"/>
      <c r="JJB85" s="91"/>
      <c r="JJC85" s="91"/>
      <c r="JJD85" s="91"/>
      <c r="JJE85" s="91"/>
      <c r="JJF85" s="91"/>
      <c r="JJG85" s="91"/>
      <c r="JJH85" s="91"/>
      <c r="JJI85" s="91"/>
      <c r="JJJ85" s="91"/>
      <c r="JJK85" s="91"/>
      <c r="JJL85" s="91"/>
      <c r="JJM85" s="91"/>
      <c r="JJN85" s="91"/>
      <c r="JJO85" s="91"/>
      <c r="JJP85" s="91"/>
      <c r="JJQ85" s="91"/>
      <c r="JJR85" s="91"/>
      <c r="JJS85" s="91"/>
      <c r="JJT85" s="91"/>
      <c r="JJU85" s="91"/>
      <c r="JJV85" s="91"/>
      <c r="JJW85" s="91"/>
      <c r="JJX85" s="91"/>
      <c r="JJY85" s="91"/>
      <c r="JJZ85" s="91"/>
      <c r="JKA85" s="91"/>
      <c r="JKB85" s="91"/>
      <c r="JKC85" s="91"/>
      <c r="JKD85" s="91"/>
      <c r="JKE85" s="91"/>
      <c r="JKF85" s="91"/>
      <c r="JKG85" s="91"/>
      <c r="JKH85" s="91"/>
      <c r="JKI85" s="91"/>
      <c r="JKJ85" s="91"/>
      <c r="JKK85" s="91"/>
      <c r="JKL85" s="91"/>
      <c r="JKM85" s="91"/>
      <c r="JKN85" s="91"/>
      <c r="JKO85" s="91"/>
      <c r="JKP85" s="91"/>
      <c r="JKQ85" s="91"/>
      <c r="JKR85" s="91"/>
      <c r="JKS85" s="91"/>
      <c r="JKT85" s="91"/>
      <c r="JKU85" s="91"/>
      <c r="JKV85" s="91"/>
      <c r="JKW85" s="91"/>
      <c r="JKX85" s="91"/>
      <c r="JKY85" s="91"/>
      <c r="JKZ85" s="91"/>
      <c r="JLA85" s="91"/>
      <c r="JLB85" s="91"/>
      <c r="JLC85" s="91"/>
      <c r="JLD85" s="91"/>
      <c r="JLE85" s="91"/>
      <c r="JLF85" s="91"/>
      <c r="JLG85" s="91"/>
      <c r="JLH85" s="91"/>
      <c r="JLI85" s="91"/>
      <c r="JLJ85" s="91"/>
      <c r="JLK85" s="91"/>
      <c r="JLL85" s="91"/>
      <c r="JLM85" s="91"/>
      <c r="JLN85" s="91"/>
      <c r="JLO85" s="91"/>
      <c r="JLP85" s="91"/>
      <c r="JLQ85" s="91"/>
      <c r="JLR85" s="91"/>
      <c r="JLS85" s="91"/>
      <c r="JLT85" s="91"/>
      <c r="JLU85" s="91"/>
      <c r="JLV85" s="91"/>
      <c r="JLW85" s="91"/>
      <c r="JLX85" s="91"/>
      <c r="JLY85" s="91"/>
      <c r="JLZ85" s="91"/>
      <c r="JMA85" s="91"/>
      <c r="JMB85" s="91"/>
      <c r="JMC85" s="91"/>
      <c r="JMD85" s="91"/>
      <c r="JME85" s="91"/>
      <c r="JMF85" s="91"/>
      <c r="JMG85" s="91"/>
      <c r="JMH85" s="91"/>
      <c r="JMI85" s="91"/>
      <c r="JMJ85" s="91"/>
      <c r="JMK85" s="91"/>
      <c r="JML85" s="91"/>
      <c r="JMM85" s="91"/>
      <c r="JMN85" s="91"/>
      <c r="JMO85" s="91"/>
      <c r="JMP85" s="91"/>
      <c r="JMQ85" s="91"/>
      <c r="JMR85" s="91"/>
      <c r="JMS85" s="91"/>
      <c r="JMT85" s="91"/>
      <c r="JMU85" s="91"/>
      <c r="JMV85" s="91"/>
      <c r="JMW85" s="91"/>
      <c r="JMX85" s="91"/>
      <c r="JMY85" s="91"/>
      <c r="JMZ85" s="91"/>
      <c r="JNA85" s="91"/>
      <c r="JNB85" s="91"/>
      <c r="JNC85" s="91"/>
      <c r="JND85" s="91"/>
      <c r="JNE85" s="91"/>
      <c r="JNF85" s="91"/>
      <c r="JNG85" s="91"/>
      <c r="JNH85" s="91"/>
      <c r="JNI85" s="91"/>
      <c r="JNJ85" s="91"/>
      <c r="JNK85" s="91"/>
      <c r="JNL85" s="91"/>
      <c r="JNM85" s="91"/>
      <c r="JNN85" s="91"/>
      <c r="JNO85" s="91"/>
      <c r="JNP85" s="91"/>
      <c r="JNQ85" s="91"/>
      <c r="JNR85" s="91"/>
      <c r="JNS85" s="91"/>
      <c r="JNT85" s="91"/>
      <c r="JNU85" s="91"/>
      <c r="JNV85" s="91"/>
      <c r="JNW85" s="91"/>
      <c r="JNX85" s="91"/>
      <c r="JNY85" s="91"/>
      <c r="JNZ85" s="91"/>
      <c r="JOA85" s="91"/>
      <c r="JOB85" s="91"/>
      <c r="JOC85" s="91"/>
      <c r="JOD85" s="91"/>
      <c r="JOE85" s="91"/>
      <c r="JOF85" s="91"/>
      <c r="JOG85" s="91"/>
      <c r="JOH85" s="91"/>
      <c r="JOI85" s="91"/>
      <c r="JOJ85" s="91"/>
      <c r="JOK85" s="91"/>
      <c r="JOL85" s="91"/>
      <c r="JOM85" s="91"/>
      <c r="JON85" s="91"/>
      <c r="JOO85" s="91"/>
      <c r="JOP85" s="91"/>
      <c r="JOQ85" s="91"/>
      <c r="JOR85" s="91"/>
      <c r="JOS85" s="91"/>
      <c r="JOT85" s="91"/>
      <c r="JOU85" s="91"/>
      <c r="JOV85" s="91"/>
      <c r="JOW85" s="91"/>
      <c r="JOX85" s="91"/>
      <c r="JOY85" s="91"/>
      <c r="JOZ85" s="91"/>
      <c r="JPA85" s="91"/>
      <c r="JPB85" s="91"/>
      <c r="JPC85" s="91"/>
      <c r="JPD85" s="91"/>
      <c r="JPE85" s="91"/>
      <c r="JPF85" s="91"/>
      <c r="JPG85" s="91"/>
      <c r="JPH85" s="91"/>
      <c r="JPI85" s="91"/>
      <c r="JPJ85" s="91"/>
      <c r="JPK85" s="91"/>
      <c r="JPL85" s="91"/>
      <c r="JPM85" s="91"/>
      <c r="JPN85" s="91"/>
      <c r="JPO85" s="91"/>
      <c r="JPP85" s="91"/>
      <c r="JPQ85" s="91"/>
      <c r="JPR85" s="91"/>
      <c r="JPS85" s="91"/>
      <c r="JPT85" s="91"/>
      <c r="JPU85" s="91"/>
      <c r="JPV85" s="91"/>
      <c r="JPW85" s="91"/>
      <c r="JPX85" s="91"/>
      <c r="JPY85" s="91"/>
      <c r="JPZ85" s="91"/>
      <c r="JQA85" s="91"/>
      <c r="JQB85" s="91"/>
      <c r="JQC85" s="91"/>
      <c r="JQD85" s="91"/>
      <c r="JQE85" s="91"/>
      <c r="JQF85" s="91"/>
      <c r="JQG85" s="91"/>
      <c r="JQH85" s="91"/>
      <c r="JQI85" s="91"/>
      <c r="JQJ85" s="91"/>
      <c r="JQK85" s="91"/>
      <c r="JQL85" s="91"/>
      <c r="JQM85" s="91"/>
      <c r="JQN85" s="91"/>
      <c r="JQO85" s="91"/>
      <c r="JQP85" s="91"/>
      <c r="JQQ85" s="91"/>
      <c r="JQR85" s="91"/>
      <c r="JQS85" s="91"/>
      <c r="JQT85" s="91"/>
      <c r="JQU85" s="91"/>
      <c r="JQV85" s="91"/>
      <c r="JQW85" s="91"/>
      <c r="JQX85" s="91"/>
      <c r="JQY85" s="91"/>
      <c r="JQZ85" s="91"/>
      <c r="JRA85" s="91"/>
      <c r="JRB85" s="91"/>
      <c r="JRC85" s="91"/>
      <c r="JRD85" s="91"/>
      <c r="JRE85" s="91"/>
      <c r="JRF85" s="91"/>
      <c r="JRG85" s="91"/>
      <c r="JRH85" s="91"/>
      <c r="JRI85" s="91"/>
      <c r="JRJ85" s="91"/>
      <c r="JRK85" s="91"/>
      <c r="JRL85" s="91"/>
      <c r="JRM85" s="91"/>
      <c r="JRN85" s="91"/>
      <c r="JRO85" s="91"/>
      <c r="JRP85" s="91"/>
      <c r="JRQ85" s="91"/>
      <c r="JRR85" s="91"/>
      <c r="JRS85" s="91"/>
      <c r="JRT85" s="91"/>
      <c r="JRU85" s="91"/>
      <c r="JRV85" s="91"/>
      <c r="JRW85" s="91"/>
      <c r="JRX85" s="91"/>
      <c r="JRY85" s="91"/>
      <c r="JRZ85" s="91"/>
      <c r="JSA85" s="91"/>
      <c r="JSB85" s="91"/>
      <c r="JSC85" s="91"/>
      <c r="JSD85" s="91"/>
      <c r="JSE85" s="91"/>
      <c r="JSF85" s="91"/>
      <c r="JSG85" s="91"/>
      <c r="JSH85" s="91"/>
      <c r="JSI85" s="91"/>
      <c r="JSJ85" s="91"/>
      <c r="JSK85" s="91"/>
      <c r="JSL85" s="91"/>
      <c r="JSM85" s="91"/>
      <c r="JSN85" s="91"/>
      <c r="JSO85" s="91"/>
      <c r="JSP85" s="91"/>
      <c r="JSQ85" s="91"/>
      <c r="JSR85" s="91"/>
      <c r="JSS85" s="91"/>
      <c r="JST85" s="91"/>
      <c r="JSU85" s="91"/>
      <c r="JSV85" s="91"/>
      <c r="JSW85" s="91"/>
      <c r="JSX85" s="91"/>
      <c r="JSY85" s="91"/>
      <c r="JSZ85" s="91"/>
      <c r="JTA85" s="91"/>
      <c r="JTB85" s="91"/>
      <c r="JTC85" s="91"/>
      <c r="JTD85" s="91"/>
      <c r="JTE85" s="91"/>
      <c r="JTF85" s="91"/>
      <c r="JTG85" s="91"/>
      <c r="JTH85" s="91"/>
      <c r="JTI85" s="91"/>
      <c r="JTJ85" s="91"/>
      <c r="JTK85" s="91"/>
      <c r="JTL85" s="91"/>
      <c r="JTM85" s="91"/>
      <c r="JTN85" s="91"/>
      <c r="JTO85" s="91"/>
      <c r="JTP85" s="91"/>
      <c r="JTQ85" s="91"/>
      <c r="JTR85" s="91"/>
      <c r="JTS85" s="91"/>
      <c r="JTT85" s="91"/>
      <c r="JTU85" s="91"/>
      <c r="JTV85" s="91"/>
      <c r="JTW85" s="91"/>
      <c r="JTX85" s="91"/>
      <c r="JTY85" s="91"/>
      <c r="JTZ85" s="91"/>
      <c r="JUA85" s="91"/>
      <c r="JUB85" s="91"/>
      <c r="JUC85" s="91"/>
      <c r="JUD85" s="91"/>
      <c r="JUE85" s="91"/>
      <c r="JUF85" s="91"/>
      <c r="JUG85" s="91"/>
      <c r="JUH85" s="91"/>
      <c r="JUI85" s="91"/>
      <c r="JUJ85" s="91"/>
      <c r="JUK85" s="91"/>
      <c r="JUL85" s="91"/>
      <c r="JUM85" s="91"/>
      <c r="JUN85" s="91"/>
      <c r="JUO85" s="91"/>
      <c r="JUP85" s="91"/>
      <c r="JUQ85" s="91"/>
      <c r="JUR85" s="91"/>
      <c r="JUS85" s="91"/>
      <c r="JUT85" s="91"/>
      <c r="JUU85" s="91"/>
      <c r="JUV85" s="91"/>
      <c r="JUW85" s="91"/>
      <c r="JUX85" s="91"/>
      <c r="JUY85" s="91"/>
      <c r="JUZ85" s="91"/>
      <c r="JVA85" s="91"/>
      <c r="JVB85" s="91"/>
      <c r="JVC85" s="91"/>
      <c r="JVD85" s="91"/>
      <c r="JVE85" s="91"/>
      <c r="JVF85" s="91"/>
      <c r="JVG85" s="91"/>
      <c r="JVH85" s="91"/>
      <c r="JVI85" s="91"/>
      <c r="JVJ85" s="91"/>
      <c r="JVK85" s="91"/>
      <c r="JVL85" s="91"/>
      <c r="JVM85" s="91"/>
      <c r="JVN85" s="91"/>
      <c r="JVO85" s="91"/>
      <c r="JVP85" s="91"/>
      <c r="JVQ85" s="91"/>
      <c r="JVR85" s="91"/>
      <c r="JVS85" s="91"/>
      <c r="JVT85" s="91"/>
      <c r="JVU85" s="91"/>
      <c r="JVV85" s="91"/>
      <c r="JVW85" s="91"/>
      <c r="JVX85" s="91"/>
      <c r="JVY85" s="91"/>
      <c r="JVZ85" s="91"/>
      <c r="JWA85" s="91"/>
      <c r="JWB85" s="91"/>
      <c r="JWC85" s="91"/>
      <c r="JWD85" s="91"/>
      <c r="JWE85" s="91"/>
      <c r="JWF85" s="91"/>
      <c r="JWG85" s="91"/>
      <c r="JWH85" s="91"/>
      <c r="JWI85" s="91"/>
      <c r="JWJ85" s="91"/>
      <c r="JWK85" s="91"/>
      <c r="JWL85" s="91"/>
      <c r="JWM85" s="91"/>
      <c r="JWN85" s="91"/>
      <c r="JWO85" s="91"/>
      <c r="JWP85" s="91"/>
      <c r="JWQ85" s="91"/>
      <c r="JWR85" s="91"/>
      <c r="JWS85" s="91"/>
      <c r="JWT85" s="91"/>
      <c r="JWU85" s="91"/>
      <c r="JWV85" s="91"/>
      <c r="JWW85" s="91"/>
      <c r="JWX85" s="91"/>
      <c r="JWY85" s="91"/>
      <c r="JWZ85" s="91"/>
      <c r="JXA85" s="91"/>
      <c r="JXB85" s="91"/>
      <c r="JXC85" s="91"/>
      <c r="JXD85" s="91"/>
      <c r="JXE85" s="91"/>
      <c r="JXF85" s="91"/>
      <c r="JXG85" s="91"/>
      <c r="JXH85" s="91"/>
      <c r="JXI85" s="91"/>
      <c r="JXJ85" s="91"/>
      <c r="JXK85" s="91"/>
      <c r="JXL85" s="91"/>
      <c r="JXM85" s="91"/>
      <c r="JXN85" s="91"/>
      <c r="JXO85" s="91"/>
      <c r="JXP85" s="91"/>
      <c r="JXQ85" s="91"/>
      <c r="JXR85" s="91"/>
      <c r="JXS85" s="91"/>
      <c r="JXT85" s="91"/>
      <c r="JXU85" s="91"/>
      <c r="JXV85" s="91"/>
      <c r="JXW85" s="91"/>
      <c r="JXX85" s="91"/>
      <c r="JXY85" s="91"/>
      <c r="JXZ85" s="91"/>
      <c r="JYA85" s="91"/>
      <c r="JYB85" s="91"/>
      <c r="JYC85" s="91"/>
      <c r="JYD85" s="91"/>
      <c r="JYE85" s="91"/>
      <c r="JYF85" s="91"/>
      <c r="JYG85" s="91"/>
      <c r="JYH85" s="91"/>
      <c r="JYI85" s="91"/>
      <c r="JYJ85" s="91"/>
      <c r="JYK85" s="91"/>
      <c r="JYL85" s="91"/>
      <c r="JYM85" s="91"/>
      <c r="JYN85" s="91"/>
      <c r="JYO85" s="91"/>
      <c r="JYP85" s="91"/>
      <c r="JYQ85" s="91"/>
      <c r="JYR85" s="91"/>
      <c r="JYS85" s="91"/>
      <c r="JYT85" s="91"/>
      <c r="JYU85" s="91"/>
      <c r="JYV85" s="91"/>
      <c r="JYW85" s="91"/>
      <c r="JYX85" s="91"/>
      <c r="JYY85" s="91"/>
      <c r="JYZ85" s="91"/>
      <c r="JZA85" s="91"/>
      <c r="JZB85" s="91"/>
      <c r="JZC85" s="91"/>
      <c r="JZD85" s="91"/>
      <c r="JZE85" s="91"/>
      <c r="JZF85" s="91"/>
      <c r="JZG85" s="91"/>
      <c r="JZH85" s="91"/>
      <c r="JZI85" s="91"/>
      <c r="JZJ85" s="91"/>
      <c r="JZK85" s="91"/>
      <c r="JZL85" s="91"/>
      <c r="JZM85" s="91"/>
      <c r="JZN85" s="91"/>
      <c r="JZO85" s="91"/>
      <c r="JZP85" s="91"/>
      <c r="JZQ85" s="91"/>
      <c r="JZR85" s="91"/>
      <c r="JZS85" s="91"/>
      <c r="JZT85" s="91"/>
      <c r="JZU85" s="91"/>
      <c r="JZV85" s="91"/>
      <c r="JZW85" s="91"/>
      <c r="JZX85" s="91"/>
      <c r="JZY85" s="91"/>
      <c r="JZZ85" s="91"/>
      <c r="KAA85" s="91"/>
      <c r="KAB85" s="91"/>
      <c r="KAC85" s="91"/>
      <c r="KAD85" s="91"/>
      <c r="KAE85" s="91"/>
      <c r="KAF85" s="91"/>
      <c r="KAG85" s="91"/>
      <c r="KAH85" s="91"/>
      <c r="KAI85" s="91"/>
      <c r="KAJ85" s="91"/>
      <c r="KAK85" s="91"/>
      <c r="KAL85" s="91"/>
      <c r="KAM85" s="91"/>
      <c r="KAN85" s="91"/>
      <c r="KAO85" s="91"/>
      <c r="KAP85" s="91"/>
      <c r="KAQ85" s="91"/>
      <c r="KAR85" s="91"/>
      <c r="KAS85" s="91"/>
      <c r="KAT85" s="91"/>
      <c r="KAU85" s="91"/>
      <c r="KAV85" s="91"/>
      <c r="KAW85" s="91"/>
      <c r="KAX85" s="91"/>
      <c r="KAY85" s="91"/>
      <c r="KAZ85" s="91"/>
      <c r="KBA85" s="91"/>
      <c r="KBB85" s="91"/>
      <c r="KBC85" s="91"/>
      <c r="KBD85" s="91"/>
      <c r="KBE85" s="91"/>
      <c r="KBF85" s="91"/>
      <c r="KBG85" s="91"/>
      <c r="KBH85" s="91"/>
      <c r="KBI85" s="91"/>
      <c r="KBJ85" s="91"/>
      <c r="KBK85" s="91"/>
      <c r="KBL85" s="91"/>
      <c r="KBM85" s="91"/>
      <c r="KBN85" s="91"/>
      <c r="KBO85" s="91"/>
      <c r="KBP85" s="91"/>
      <c r="KBQ85" s="91"/>
      <c r="KBR85" s="91"/>
      <c r="KBS85" s="91"/>
      <c r="KBT85" s="91"/>
      <c r="KBU85" s="91"/>
      <c r="KBV85" s="91"/>
      <c r="KBW85" s="91"/>
      <c r="KBX85" s="91"/>
      <c r="KBY85" s="91"/>
      <c r="KBZ85" s="91"/>
      <c r="KCA85" s="91"/>
      <c r="KCB85" s="91"/>
      <c r="KCC85" s="91"/>
      <c r="KCD85" s="91"/>
      <c r="KCE85" s="91"/>
      <c r="KCF85" s="91"/>
      <c r="KCG85" s="91"/>
      <c r="KCH85" s="91"/>
      <c r="KCI85" s="91"/>
      <c r="KCJ85" s="91"/>
      <c r="KCK85" s="91"/>
      <c r="KCL85" s="91"/>
      <c r="KCM85" s="91"/>
      <c r="KCN85" s="91"/>
      <c r="KCO85" s="91"/>
      <c r="KCP85" s="91"/>
      <c r="KCQ85" s="91"/>
      <c r="KCR85" s="91"/>
      <c r="KCS85" s="91"/>
      <c r="KCT85" s="91"/>
      <c r="KCU85" s="91"/>
      <c r="KCV85" s="91"/>
      <c r="KCW85" s="91"/>
      <c r="KCX85" s="91"/>
      <c r="KCY85" s="91"/>
      <c r="KCZ85" s="91"/>
      <c r="KDA85" s="91"/>
      <c r="KDB85" s="91"/>
      <c r="KDC85" s="91"/>
      <c r="KDD85" s="91"/>
      <c r="KDE85" s="91"/>
      <c r="KDF85" s="91"/>
      <c r="KDG85" s="91"/>
      <c r="KDH85" s="91"/>
      <c r="KDI85" s="91"/>
      <c r="KDJ85" s="91"/>
      <c r="KDK85" s="91"/>
      <c r="KDL85" s="91"/>
      <c r="KDM85" s="91"/>
      <c r="KDN85" s="91"/>
      <c r="KDO85" s="91"/>
      <c r="KDP85" s="91"/>
      <c r="KDQ85" s="91"/>
      <c r="KDR85" s="91"/>
      <c r="KDS85" s="91"/>
      <c r="KDT85" s="91"/>
      <c r="KDU85" s="91"/>
      <c r="KDV85" s="91"/>
      <c r="KDW85" s="91"/>
      <c r="KDX85" s="91"/>
      <c r="KDY85" s="91"/>
      <c r="KDZ85" s="91"/>
      <c r="KEA85" s="91"/>
      <c r="KEB85" s="91"/>
      <c r="KEC85" s="91"/>
      <c r="KED85" s="91"/>
      <c r="KEE85" s="91"/>
      <c r="KEF85" s="91"/>
      <c r="KEG85" s="91"/>
      <c r="KEH85" s="91"/>
      <c r="KEI85" s="91"/>
      <c r="KEJ85" s="91"/>
      <c r="KEK85" s="91"/>
      <c r="KEL85" s="91"/>
      <c r="KEM85" s="91"/>
      <c r="KEN85" s="91"/>
      <c r="KEO85" s="91"/>
      <c r="KEP85" s="91"/>
      <c r="KEQ85" s="91"/>
      <c r="KER85" s="91"/>
      <c r="KES85" s="91"/>
      <c r="KET85" s="91"/>
      <c r="KEU85" s="91"/>
      <c r="KEV85" s="91"/>
      <c r="KEW85" s="91"/>
      <c r="KEX85" s="91"/>
      <c r="KEY85" s="91"/>
      <c r="KEZ85" s="91"/>
      <c r="KFA85" s="91"/>
      <c r="KFB85" s="91"/>
      <c r="KFC85" s="91"/>
      <c r="KFD85" s="91"/>
      <c r="KFE85" s="91"/>
      <c r="KFF85" s="91"/>
      <c r="KFG85" s="91"/>
      <c r="KFH85" s="91"/>
      <c r="KFI85" s="91"/>
      <c r="KFJ85" s="91"/>
      <c r="KFK85" s="91"/>
      <c r="KFL85" s="91"/>
      <c r="KFM85" s="91"/>
      <c r="KFN85" s="91"/>
      <c r="KFO85" s="91"/>
      <c r="KFP85" s="91"/>
      <c r="KFQ85" s="91"/>
      <c r="KFR85" s="91"/>
      <c r="KFS85" s="91"/>
      <c r="KFT85" s="91"/>
      <c r="KFU85" s="91"/>
      <c r="KFV85" s="91"/>
      <c r="KFW85" s="91"/>
      <c r="KFX85" s="91"/>
      <c r="KFY85" s="91"/>
      <c r="KFZ85" s="91"/>
      <c r="KGA85" s="91"/>
      <c r="KGB85" s="91"/>
      <c r="KGC85" s="91"/>
      <c r="KGD85" s="91"/>
      <c r="KGE85" s="91"/>
      <c r="KGF85" s="91"/>
      <c r="KGG85" s="91"/>
      <c r="KGH85" s="91"/>
      <c r="KGI85" s="91"/>
      <c r="KGJ85" s="91"/>
      <c r="KGK85" s="91"/>
      <c r="KGL85" s="91"/>
      <c r="KGM85" s="91"/>
      <c r="KGN85" s="91"/>
      <c r="KGO85" s="91"/>
      <c r="KGP85" s="91"/>
      <c r="KGQ85" s="91"/>
      <c r="KGR85" s="91"/>
      <c r="KGS85" s="91"/>
      <c r="KGT85" s="91"/>
      <c r="KGU85" s="91"/>
      <c r="KGV85" s="91"/>
      <c r="KGW85" s="91"/>
      <c r="KGX85" s="91"/>
      <c r="KGY85" s="91"/>
      <c r="KGZ85" s="91"/>
      <c r="KHA85" s="91"/>
      <c r="KHB85" s="91"/>
      <c r="KHC85" s="91"/>
      <c r="KHD85" s="91"/>
      <c r="KHE85" s="91"/>
      <c r="KHF85" s="91"/>
      <c r="KHG85" s="91"/>
      <c r="KHH85" s="91"/>
      <c r="KHI85" s="91"/>
      <c r="KHJ85" s="91"/>
      <c r="KHK85" s="91"/>
      <c r="KHL85" s="91"/>
      <c r="KHM85" s="91"/>
      <c r="KHN85" s="91"/>
      <c r="KHO85" s="91"/>
      <c r="KHP85" s="91"/>
      <c r="KHQ85" s="91"/>
      <c r="KHR85" s="91"/>
      <c r="KHS85" s="91"/>
      <c r="KHT85" s="91"/>
      <c r="KHU85" s="91"/>
      <c r="KHV85" s="91"/>
      <c r="KHW85" s="91"/>
      <c r="KHX85" s="91"/>
      <c r="KHY85" s="91"/>
      <c r="KHZ85" s="91"/>
      <c r="KIA85" s="91"/>
      <c r="KIB85" s="91"/>
      <c r="KIC85" s="91"/>
      <c r="KID85" s="91"/>
      <c r="KIE85" s="91"/>
      <c r="KIF85" s="91"/>
      <c r="KIG85" s="91"/>
      <c r="KIH85" s="91"/>
      <c r="KII85" s="91"/>
      <c r="KIJ85" s="91"/>
      <c r="KIK85" s="91"/>
      <c r="KIL85" s="91"/>
      <c r="KIM85" s="91"/>
      <c r="KIN85" s="91"/>
      <c r="KIO85" s="91"/>
      <c r="KIP85" s="91"/>
      <c r="KIQ85" s="91"/>
      <c r="KIR85" s="91"/>
      <c r="KIS85" s="91"/>
      <c r="KIT85" s="91"/>
      <c r="KIU85" s="91"/>
      <c r="KIV85" s="91"/>
      <c r="KIW85" s="91"/>
      <c r="KIX85" s="91"/>
      <c r="KIY85" s="91"/>
      <c r="KIZ85" s="91"/>
      <c r="KJA85" s="91"/>
      <c r="KJB85" s="91"/>
      <c r="KJC85" s="91"/>
      <c r="KJD85" s="91"/>
      <c r="KJE85" s="91"/>
      <c r="KJF85" s="91"/>
      <c r="KJG85" s="91"/>
      <c r="KJH85" s="91"/>
      <c r="KJI85" s="91"/>
      <c r="KJJ85" s="91"/>
      <c r="KJK85" s="91"/>
      <c r="KJL85" s="91"/>
      <c r="KJM85" s="91"/>
      <c r="KJN85" s="91"/>
      <c r="KJO85" s="91"/>
      <c r="KJP85" s="91"/>
      <c r="KJQ85" s="91"/>
      <c r="KJR85" s="91"/>
      <c r="KJS85" s="91"/>
      <c r="KJT85" s="91"/>
      <c r="KJU85" s="91"/>
      <c r="KJV85" s="91"/>
      <c r="KJW85" s="91"/>
      <c r="KJX85" s="91"/>
      <c r="KJY85" s="91"/>
      <c r="KJZ85" s="91"/>
      <c r="KKA85" s="91"/>
      <c r="KKB85" s="91"/>
      <c r="KKC85" s="91"/>
      <c r="KKD85" s="91"/>
      <c r="KKE85" s="91"/>
      <c r="KKF85" s="91"/>
      <c r="KKG85" s="91"/>
      <c r="KKH85" s="91"/>
      <c r="KKI85" s="91"/>
      <c r="KKJ85" s="91"/>
      <c r="KKK85" s="91"/>
      <c r="KKL85" s="91"/>
      <c r="KKM85" s="91"/>
      <c r="KKN85" s="91"/>
      <c r="KKO85" s="91"/>
      <c r="KKP85" s="91"/>
      <c r="KKQ85" s="91"/>
      <c r="KKR85" s="91"/>
      <c r="KKS85" s="91"/>
      <c r="KKT85" s="91"/>
      <c r="KKU85" s="91"/>
      <c r="KKV85" s="91"/>
      <c r="KKW85" s="91"/>
      <c r="KKX85" s="91"/>
      <c r="KKY85" s="91"/>
      <c r="KKZ85" s="91"/>
      <c r="KLA85" s="91"/>
      <c r="KLB85" s="91"/>
      <c r="KLC85" s="91"/>
      <c r="KLD85" s="91"/>
      <c r="KLE85" s="91"/>
      <c r="KLF85" s="91"/>
      <c r="KLG85" s="91"/>
      <c r="KLH85" s="91"/>
      <c r="KLI85" s="91"/>
      <c r="KLJ85" s="91"/>
      <c r="KLK85" s="91"/>
      <c r="KLL85" s="91"/>
      <c r="KLM85" s="91"/>
      <c r="KLN85" s="91"/>
      <c r="KLO85" s="91"/>
      <c r="KLP85" s="91"/>
      <c r="KLQ85" s="91"/>
      <c r="KLR85" s="91"/>
      <c r="KLS85" s="91"/>
      <c r="KLT85" s="91"/>
      <c r="KLU85" s="91"/>
      <c r="KLV85" s="91"/>
      <c r="KLW85" s="91"/>
      <c r="KLX85" s="91"/>
      <c r="KLY85" s="91"/>
      <c r="KLZ85" s="91"/>
      <c r="KMA85" s="91"/>
      <c r="KMB85" s="91"/>
      <c r="KMC85" s="91"/>
      <c r="KMD85" s="91"/>
      <c r="KME85" s="91"/>
      <c r="KMF85" s="91"/>
      <c r="KMG85" s="91"/>
      <c r="KMH85" s="91"/>
      <c r="KMI85" s="91"/>
      <c r="KMJ85" s="91"/>
      <c r="KMK85" s="91"/>
      <c r="KML85" s="91"/>
      <c r="KMM85" s="91"/>
      <c r="KMN85" s="91"/>
      <c r="KMO85" s="91"/>
      <c r="KMP85" s="91"/>
      <c r="KMQ85" s="91"/>
      <c r="KMR85" s="91"/>
      <c r="KMS85" s="91"/>
      <c r="KMT85" s="91"/>
      <c r="KMU85" s="91"/>
      <c r="KMV85" s="91"/>
      <c r="KMW85" s="91"/>
      <c r="KMX85" s="91"/>
      <c r="KMY85" s="91"/>
      <c r="KMZ85" s="91"/>
      <c r="KNA85" s="91"/>
      <c r="KNB85" s="91"/>
      <c r="KNC85" s="91"/>
      <c r="KND85" s="91"/>
      <c r="KNE85" s="91"/>
      <c r="KNF85" s="91"/>
      <c r="KNG85" s="91"/>
      <c r="KNH85" s="91"/>
      <c r="KNI85" s="91"/>
      <c r="KNJ85" s="91"/>
      <c r="KNK85" s="91"/>
      <c r="KNL85" s="91"/>
      <c r="KNM85" s="91"/>
      <c r="KNN85" s="91"/>
      <c r="KNO85" s="91"/>
      <c r="KNP85" s="91"/>
      <c r="KNQ85" s="91"/>
      <c r="KNR85" s="91"/>
      <c r="KNS85" s="91"/>
      <c r="KNT85" s="91"/>
      <c r="KNU85" s="91"/>
      <c r="KNV85" s="91"/>
      <c r="KNW85" s="91"/>
      <c r="KNX85" s="91"/>
      <c r="KNY85" s="91"/>
      <c r="KNZ85" s="91"/>
      <c r="KOA85" s="91"/>
      <c r="KOB85" s="91"/>
      <c r="KOC85" s="91"/>
      <c r="KOD85" s="91"/>
      <c r="KOE85" s="91"/>
      <c r="KOF85" s="91"/>
      <c r="KOG85" s="91"/>
      <c r="KOH85" s="91"/>
      <c r="KOI85" s="91"/>
      <c r="KOJ85" s="91"/>
      <c r="KOK85" s="91"/>
      <c r="KOL85" s="91"/>
      <c r="KOM85" s="91"/>
      <c r="KON85" s="91"/>
      <c r="KOO85" s="91"/>
      <c r="KOP85" s="91"/>
      <c r="KOQ85" s="91"/>
      <c r="KOR85" s="91"/>
      <c r="KOS85" s="91"/>
      <c r="KOT85" s="91"/>
      <c r="KOU85" s="91"/>
      <c r="KOV85" s="91"/>
      <c r="KOW85" s="91"/>
      <c r="KOX85" s="91"/>
      <c r="KOY85" s="91"/>
      <c r="KOZ85" s="91"/>
      <c r="KPA85" s="91"/>
      <c r="KPB85" s="91"/>
      <c r="KPC85" s="91"/>
      <c r="KPD85" s="91"/>
      <c r="KPE85" s="91"/>
      <c r="KPF85" s="91"/>
      <c r="KPG85" s="91"/>
      <c r="KPH85" s="91"/>
      <c r="KPI85" s="91"/>
      <c r="KPJ85" s="91"/>
      <c r="KPK85" s="91"/>
      <c r="KPL85" s="91"/>
      <c r="KPM85" s="91"/>
      <c r="KPN85" s="91"/>
      <c r="KPO85" s="91"/>
      <c r="KPP85" s="91"/>
      <c r="KPQ85" s="91"/>
      <c r="KPR85" s="91"/>
      <c r="KPS85" s="91"/>
      <c r="KPT85" s="91"/>
      <c r="KPU85" s="91"/>
      <c r="KPV85" s="91"/>
      <c r="KPW85" s="91"/>
      <c r="KPX85" s="91"/>
      <c r="KPY85" s="91"/>
      <c r="KPZ85" s="91"/>
      <c r="KQA85" s="91"/>
      <c r="KQB85" s="91"/>
      <c r="KQC85" s="91"/>
      <c r="KQD85" s="91"/>
      <c r="KQE85" s="91"/>
      <c r="KQF85" s="91"/>
      <c r="KQG85" s="91"/>
      <c r="KQH85" s="91"/>
      <c r="KQI85" s="91"/>
      <c r="KQJ85" s="91"/>
      <c r="KQK85" s="91"/>
      <c r="KQL85" s="91"/>
      <c r="KQM85" s="91"/>
      <c r="KQN85" s="91"/>
      <c r="KQO85" s="91"/>
      <c r="KQP85" s="91"/>
      <c r="KQQ85" s="91"/>
      <c r="KQR85" s="91"/>
      <c r="KQS85" s="91"/>
      <c r="KQT85" s="91"/>
      <c r="KQU85" s="91"/>
      <c r="KQV85" s="91"/>
      <c r="KQW85" s="91"/>
      <c r="KQX85" s="91"/>
      <c r="KQY85" s="91"/>
      <c r="KQZ85" s="91"/>
      <c r="KRA85" s="91"/>
      <c r="KRB85" s="91"/>
      <c r="KRC85" s="91"/>
      <c r="KRD85" s="91"/>
      <c r="KRE85" s="91"/>
      <c r="KRF85" s="91"/>
      <c r="KRG85" s="91"/>
      <c r="KRH85" s="91"/>
      <c r="KRI85" s="91"/>
      <c r="KRJ85" s="91"/>
      <c r="KRK85" s="91"/>
      <c r="KRL85" s="91"/>
      <c r="KRM85" s="91"/>
      <c r="KRN85" s="91"/>
      <c r="KRO85" s="91"/>
      <c r="KRP85" s="91"/>
      <c r="KRQ85" s="91"/>
      <c r="KRR85" s="91"/>
      <c r="KRS85" s="91"/>
      <c r="KRT85" s="91"/>
      <c r="KRU85" s="91"/>
      <c r="KRV85" s="91"/>
      <c r="KRW85" s="91"/>
      <c r="KRX85" s="91"/>
      <c r="KRY85" s="91"/>
      <c r="KRZ85" s="91"/>
      <c r="KSA85" s="91"/>
      <c r="KSB85" s="91"/>
      <c r="KSC85" s="91"/>
      <c r="KSD85" s="91"/>
      <c r="KSE85" s="91"/>
      <c r="KSF85" s="91"/>
      <c r="KSG85" s="91"/>
      <c r="KSH85" s="91"/>
      <c r="KSI85" s="91"/>
      <c r="KSJ85" s="91"/>
      <c r="KSK85" s="91"/>
      <c r="KSL85" s="91"/>
      <c r="KSM85" s="91"/>
      <c r="KSN85" s="91"/>
      <c r="KSO85" s="91"/>
      <c r="KSP85" s="91"/>
      <c r="KSQ85" s="91"/>
      <c r="KSR85" s="91"/>
      <c r="KSS85" s="91"/>
      <c r="KST85" s="91"/>
      <c r="KSU85" s="91"/>
      <c r="KSV85" s="91"/>
      <c r="KSW85" s="91"/>
      <c r="KSX85" s="91"/>
      <c r="KSY85" s="91"/>
      <c r="KSZ85" s="91"/>
      <c r="KTA85" s="91"/>
      <c r="KTB85" s="91"/>
      <c r="KTC85" s="91"/>
      <c r="KTD85" s="91"/>
      <c r="KTE85" s="91"/>
      <c r="KTF85" s="91"/>
      <c r="KTG85" s="91"/>
      <c r="KTH85" s="91"/>
      <c r="KTI85" s="91"/>
      <c r="KTJ85" s="91"/>
      <c r="KTK85" s="91"/>
      <c r="KTL85" s="91"/>
      <c r="KTM85" s="91"/>
      <c r="KTN85" s="91"/>
      <c r="KTO85" s="91"/>
      <c r="KTP85" s="91"/>
      <c r="KTQ85" s="91"/>
      <c r="KTR85" s="91"/>
      <c r="KTS85" s="91"/>
      <c r="KTT85" s="91"/>
      <c r="KTU85" s="91"/>
      <c r="KTV85" s="91"/>
      <c r="KTW85" s="91"/>
      <c r="KTX85" s="91"/>
      <c r="KTY85" s="91"/>
      <c r="KTZ85" s="91"/>
      <c r="KUA85" s="91"/>
      <c r="KUB85" s="91"/>
      <c r="KUC85" s="91"/>
      <c r="KUD85" s="91"/>
      <c r="KUE85" s="91"/>
      <c r="KUF85" s="91"/>
      <c r="KUG85" s="91"/>
      <c r="KUH85" s="91"/>
      <c r="KUI85" s="91"/>
      <c r="KUJ85" s="91"/>
      <c r="KUK85" s="91"/>
      <c r="KUL85" s="91"/>
      <c r="KUM85" s="91"/>
      <c r="KUN85" s="91"/>
      <c r="KUO85" s="91"/>
      <c r="KUP85" s="91"/>
      <c r="KUQ85" s="91"/>
      <c r="KUR85" s="91"/>
      <c r="KUS85" s="91"/>
      <c r="KUT85" s="91"/>
      <c r="KUU85" s="91"/>
      <c r="KUV85" s="91"/>
      <c r="KUW85" s="91"/>
      <c r="KUX85" s="91"/>
      <c r="KUY85" s="91"/>
      <c r="KUZ85" s="91"/>
      <c r="KVA85" s="91"/>
      <c r="KVB85" s="91"/>
      <c r="KVC85" s="91"/>
      <c r="KVD85" s="91"/>
      <c r="KVE85" s="91"/>
      <c r="KVF85" s="91"/>
      <c r="KVG85" s="91"/>
      <c r="KVH85" s="91"/>
      <c r="KVI85" s="91"/>
      <c r="KVJ85" s="91"/>
      <c r="KVK85" s="91"/>
      <c r="KVL85" s="91"/>
      <c r="KVM85" s="91"/>
      <c r="KVN85" s="91"/>
      <c r="KVO85" s="91"/>
      <c r="KVP85" s="91"/>
      <c r="KVQ85" s="91"/>
      <c r="KVR85" s="91"/>
      <c r="KVS85" s="91"/>
      <c r="KVT85" s="91"/>
      <c r="KVU85" s="91"/>
      <c r="KVV85" s="91"/>
      <c r="KVW85" s="91"/>
      <c r="KVX85" s="91"/>
      <c r="KVY85" s="91"/>
      <c r="KVZ85" s="91"/>
      <c r="KWA85" s="91"/>
      <c r="KWB85" s="91"/>
      <c r="KWC85" s="91"/>
      <c r="KWD85" s="91"/>
      <c r="KWE85" s="91"/>
      <c r="KWF85" s="91"/>
      <c r="KWG85" s="91"/>
      <c r="KWH85" s="91"/>
      <c r="KWI85" s="91"/>
      <c r="KWJ85" s="91"/>
      <c r="KWK85" s="91"/>
      <c r="KWL85" s="91"/>
      <c r="KWM85" s="91"/>
      <c r="KWN85" s="91"/>
      <c r="KWO85" s="91"/>
      <c r="KWP85" s="91"/>
      <c r="KWQ85" s="91"/>
      <c r="KWR85" s="91"/>
      <c r="KWS85" s="91"/>
      <c r="KWT85" s="91"/>
      <c r="KWU85" s="91"/>
      <c r="KWV85" s="91"/>
      <c r="KWW85" s="91"/>
      <c r="KWX85" s="91"/>
      <c r="KWY85" s="91"/>
      <c r="KWZ85" s="91"/>
      <c r="KXA85" s="91"/>
      <c r="KXB85" s="91"/>
      <c r="KXC85" s="91"/>
      <c r="KXD85" s="91"/>
      <c r="KXE85" s="91"/>
      <c r="KXF85" s="91"/>
      <c r="KXG85" s="91"/>
      <c r="KXH85" s="91"/>
      <c r="KXI85" s="91"/>
      <c r="KXJ85" s="91"/>
      <c r="KXK85" s="91"/>
      <c r="KXL85" s="91"/>
      <c r="KXM85" s="91"/>
      <c r="KXN85" s="91"/>
      <c r="KXO85" s="91"/>
      <c r="KXP85" s="91"/>
      <c r="KXQ85" s="91"/>
      <c r="KXR85" s="91"/>
      <c r="KXS85" s="91"/>
      <c r="KXT85" s="91"/>
      <c r="KXU85" s="91"/>
      <c r="KXV85" s="91"/>
      <c r="KXW85" s="91"/>
      <c r="KXX85" s="91"/>
      <c r="KXY85" s="91"/>
      <c r="KXZ85" s="91"/>
      <c r="KYA85" s="91"/>
      <c r="KYB85" s="91"/>
      <c r="KYC85" s="91"/>
      <c r="KYD85" s="91"/>
      <c r="KYE85" s="91"/>
      <c r="KYF85" s="91"/>
      <c r="KYG85" s="91"/>
      <c r="KYH85" s="91"/>
      <c r="KYI85" s="91"/>
      <c r="KYJ85" s="91"/>
      <c r="KYK85" s="91"/>
      <c r="KYL85" s="91"/>
      <c r="KYM85" s="91"/>
      <c r="KYN85" s="91"/>
      <c r="KYO85" s="91"/>
      <c r="KYP85" s="91"/>
      <c r="KYQ85" s="91"/>
      <c r="KYR85" s="91"/>
      <c r="KYS85" s="91"/>
      <c r="KYT85" s="91"/>
      <c r="KYU85" s="91"/>
      <c r="KYV85" s="91"/>
      <c r="KYW85" s="91"/>
      <c r="KYX85" s="91"/>
      <c r="KYY85" s="91"/>
      <c r="KYZ85" s="91"/>
      <c r="KZA85" s="91"/>
      <c r="KZB85" s="91"/>
      <c r="KZC85" s="91"/>
      <c r="KZD85" s="91"/>
      <c r="KZE85" s="91"/>
      <c r="KZF85" s="91"/>
      <c r="KZG85" s="91"/>
      <c r="KZH85" s="91"/>
      <c r="KZI85" s="91"/>
      <c r="KZJ85" s="91"/>
      <c r="KZK85" s="91"/>
      <c r="KZL85" s="91"/>
      <c r="KZM85" s="91"/>
      <c r="KZN85" s="91"/>
      <c r="KZO85" s="91"/>
      <c r="KZP85" s="91"/>
      <c r="KZQ85" s="91"/>
      <c r="KZR85" s="91"/>
      <c r="KZS85" s="91"/>
      <c r="KZT85" s="91"/>
      <c r="KZU85" s="91"/>
      <c r="KZV85" s="91"/>
      <c r="KZW85" s="91"/>
      <c r="KZX85" s="91"/>
      <c r="KZY85" s="91"/>
      <c r="KZZ85" s="91"/>
      <c r="LAA85" s="91"/>
      <c r="LAB85" s="91"/>
      <c r="LAC85" s="91"/>
      <c r="LAD85" s="91"/>
      <c r="LAE85" s="91"/>
      <c r="LAF85" s="91"/>
      <c r="LAG85" s="91"/>
      <c r="LAH85" s="91"/>
      <c r="LAI85" s="91"/>
      <c r="LAJ85" s="91"/>
      <c r="LAK85" s="91"/>
      <c r="LAL85" s="91"/>
      <c r="LAM85" s="91"/>
      <c r="LAN85" s="91"/>
      <c r="LAO85" s="91"/>
      <c r="LAP85" s="91"/>
      <c r="LAQ85" s="91"/>
      <c r="LAR85" s="91"/>
      <c r="LAS85" s="91"/>
      <c r="LAT85" s="91"/>
      <c r="LAU85" s="91"/>
      <c r="LAV85" s="91"/>
      <c r="LAW85" s="91"/>
      <c r="LAX85" s="91"/>
      <c r="LAY85" s="91"/>
      <c r="LAZ85" s="91"/>
      <c r="LBA85" s="91"/>
      <c r="LBB85" s="91"/>
      <c r="LBC85" s="91"/>
      <c r="LBD85" s="91"/>
      <c r="LBE85" s="91"/>
      <c r="LBF85" s="91"/>
      <c r="LBG85" s="91"/>
      <c r="LBH85" s="91"/>
      <c r="LBI85" s="91"/>
      <c r="LBJ85" s="91"/>
      <c r="LBK85" s="91"/>
      <c r="LBL85" s="91"/>
      <c r="LBM85" s="91"/>
      <c r="LBN85" s="91"/>
      <c r="LBO85" s="91"/>
      <c r="LBP85" s="91"/>
      <c r="LBQ85" s="91"/>
      <c r="LBR85" s="91"/>
      <c r="LBS85" s="91"/>
      <c r="LBT85" s="91"/>
      <c r="LBU85" s="91"/>
      <c r="LBV85" s="91"/>
      <c r="LBW85" s="91"/>
      <c r="LBX85" s="91"/>
      <c r="LBY85" s="91"/>
      <c r="LBZ85" s="91"/>
      <c r="LCA85" s="91"/>
      <c r="LCB85" s="91"/>
      <c r="LCC85" s="91"/>
      <c r="LCD85" s="91"/>
      <c r="LCE85" s="91"/>
      <c r="LCF85" s="91"/>
      <c r="LCG85" s="91"/>
      <c r="LCH85" s="91"/>
      <c r="LCI85" s="91"/>
      <c r="LCJ85" s="91"/>
      <c r="LCK85" s="91"/>
      <c r="LCL85" s="91"/>
      <c r="LCM85" s="91"/>
      <c r="LCN85" s="91"/>
      <c r="LCO85" s="91"/>
      <c r="LCP85" s="91"/>
      <c r="LCQ85" s="91"/>
      <c r="LCR85" s="91"/>
      <c r="LCS85" s="91"/>
      <c r="LCT85" s="91"/>
      <c r="LCU85" s="91"/>
      <c r="LCV85" s="91"/>
      <c r="LCW85" s="91"/>
      <c r="LCX85" s="91"/>
      <c r="LCY85" s="91"/>
      <c r="LCZ85" s="91"/>
      <c r="LDA85" s="91"/>
      <c r="LDB85" s="91"/>
      <c r="LDC85" s="91"/>
      <c r="LDD85" s="91"/>
      <c r="LDE85" s="91"/>
      <c r="LDF85" s="91"/>
      <c r="LDG85" s="91"/>
      <c r="LDH85" s="91"/>
      <c r="LDI85" s="91"/>
      <c r="LDJ85" s="91"/>
      <c r="LDK85" s="91"/>
      <c r="LDL85" s="91"/>
      <c r="LDM85" s="91"/>
      <c r="LDN85" s="91"/>
      <c r="LDO85" s="91"/>
      <c r="LDP85" s="91"/>
      <c r="LDQ85" s="91"/>
      <c r="LDR85" s="91"/>
      <c r="LDS85" s="91"/>
      <c r="LDT85" s="91"/>
      <c r="LDU85" s="91"/>
      <c r="LDV85" s="91"/>
      <c r="LDW85" s="91"/>
      <c r="LDX85" s="91"/>
      <c r="LDY85" s="91"/>
      <c r="LDZ85" s="91"/>
      <c r="LEA85" s="91"/>
      <c r="LEB85" s="91"/>
      <c r="LEC85" s="91"/>
      <c r="LED85" s="91"/>
      <c r="LEE85" s="91"/>
      <c r="LEF85" s="91"/>
      <c r="LEG85" s="91"/>
      <c r="LEH85" s="91"/>
      <c r="LEI85" s="91"/>
      <c r="LEJ85" s="91"/>
      <c r="LEK85" s="91"/>
      <c r="LEL85" s="91"/>
      <c r="LEM85" s="91"/>
      <c r="LEN85" s="91"/>
      <c r="LEO85" s="91"/>
      <c r="LEP85" s="91"/>
      <c r="LEQ85" s="91"/>
      <c r="LER85" s="91"/>
      <c r="LES85" s="91"/>
      <c r="LET85" s="91"/>
      <c r="LEU85" s="91"/>
      <c r="LEV85" s="91"/>
      <c r="LEW85" s="91"/>
      <c r="LEX85" s="91"/>
      <c r="LEY85" s="91"/>
      <c r="LEZ85" s="91"/>
      <c r="LFA85" s="91"/>
      <c r="LFB85" s="91"/>
      <c r="LFC85" s="91"/>
      <c r="LFD85" s="91"/>
      <c r="LFE85" s="91"/>
      <c r="LFF85" s="91"/>
      <c r="LFG85" s="91"/>
      <c r="LFH85" s="91"/>
      <c r="LFI85" s="91"/>
      <c r="LFJ85" s="91"/>
      <c r="LFK85" s="91"/>
      <c r="LFL85" s="91"/>
      <c r="LFM85" s="91"/>
      <c r="LFN85" s="91"/>
      <c r="LFO85" s="91"/>
      <c r="LFP85" s="91"/>
      <c r="LFQ85" s="91"/>
      <c r="LFR85" s="91"/>
      <c r="LFS85" s="91"/>
      <c r="LFT85" s="91"/>
      <c r="LFU85" s="91"/>
      <c r="LFV85" s="91"/>
      <c r="LFW85" s="91"/>
      <c r="LFX85" s="91"/>
      <c r="LFY85" s="91"/>
      <c r="LFZ85" s="91"/>
      <c r="LGA85" s="91"/>
      <c r="LGB85" s="91"/>
      <c r="LGC85" s="91"/>
      <c r="LGD85" s="91"/>
      <c r="LGE85" s="91"/>
      <c r="LGF85" s="91"/>
      <c r="LGG85" s="91"/>
      <c r="LGH85" s="91"/>
      <c r="LGI85" s="91"/>
      <c r="LGJ85" s="91"/>
      <c r="LGK85" s="91"/>
      <c r="LGL85" s="91"/>
      <c r="LGM85" s="91"/>
      <c r="LGN85" s="91"/>
      <c r="LGO85" s="91"/>
      <c r="LGP85" s="91"/>
      <c r="LGQ85" s="91"/>
      <c r="LGR85" s="91"/>
      <c r="LGS85" s="91"/>
      <c r="LGT85" s="91"/>
      <c r="LGU85" s="91"/>
      <c r="LGV85" s="91"/>
      <c r="LGW85" s="91"/>
      <c r="LGX85" s="91"/>
      <c r="LGY85" s="91"/>
      <c r="LGZ85" s="91"/>
      <c r="LHA85" s="91"/>
      <c r="LHB85" s="91"/>
      <c r="LHC85" s="91"/>
      <c r="LHD85" s="91"/>
      <c r="LHE85" s="91"/>
      <c r="LHF85" s="91"/>
      <c r="LHG85" s="91"/>
      <c r="LHH85" s="91"/>
      <c r="LHI85" s="91"/>
      <c r="LHJ85" s="91"/>
      <c r="LHK85" s="91"/>
      <c r="LHL85" s="91"/>
      <c r="LHM85" s="91"/>
      <c r="LHN85" s="91"/>
      <c r="LHO85" s="91"/>
      <c r="LHP85" s="91"/>
      <c r="LHQ85" s="91"/>
      <c r="LHR85" s="91"/>
      <c r="LHS85" s="91"/>
      <c r="LHT85" s="91"/>
      <c r="LHU85" s="91"/>
      <c r="LHV85" s="91"/>
      <c r="LHW85" s="91"/>
      <c r="LHX85" s="91"/>
      <c r="LHY85" s="91"/>
      <c r="LHZ85" s="91"/>
      <c r="LIA85" s="91"/>
      <c r="LIB85" s="91"/>
      <c r="LIC85" s="91"/>
      <c r="LID85" s="91"/>
      <c r="LIE85" s="91"/>
      <c r="LIF85" s="91"/>
      <c r="LIG85" s="91"/>
      <c r="LIH85" s="91"/>
      <c r="LII85" s="91"/>
      <c r="LIJ85" s="91"/>
      <c r="LIK85" s="91"/>
      <c r="LIL85" s="91"/>
      <c r="LIM85" s="91"/>
      <c r="LIN85" s="91"/>
      <c r="LIO85" s="91"/>
      <c r="LIP85" s="91"/>
      <c r="LIQ85" s="91"/>
      <c r="LIR85" s="91"/>
      <c r="LIS85" s="91"/>
      <c r="LIT85" s="91"/>
      <c r="LIU85" s="91"/>
      <c r="LIV85" s="91"/>
      <c r="LIW85" s="91"/>
      <c r="LIX85" s="91"/>
      <c r="LIY85" s="91"/>
      <c r="LIZ85" s="91"/>
      <c r="LJA85" s="91"/>
      <c r="LJB85" s="91"/>
      <c r="LJC85" s="91"/>
      <c r="LJD85" s="91"/>
      <c r="LJE85" s="91"/>
      <c r="LJF85" s="91"/>
      <c r="LJG85" s="91"/>
      <c r="LJH85" s="91"/>
      <c r="LJI85" s="91"/>
      <c r="LJJ85" s="91"/>
      <c r="LJK85" s="91"/>
      <c r="LJL85" s="91"/>
      <c r="LJM85" s="91"/>
      <c r="LJN85" s="91"/>
      <c r="LJO85" s="91"/>
      <c r="LJP85" s="91"/>
      <c r="LJQ85" s="91"/>
      <c r="LJR85" s="91"/>
      <c r="LJS85" s="91"/>
      <c r="LJT85" s="91"/>
      <c r="LJU85" s="91"/>
      <c r="LJV85" s="91"/>
      <c r="LJW85" s="91"/>
      <c r="LJX85" s="91"/>
      <c r="LJY85" s="91"/>
      <c r="LJZ85" s="91"/>
      <c r="LKA85" s="91"/>
      <c r="LKB85" s="91"/>
      <c r="LKC85" s="91"/>
      <c r="LKD85" s="91"/>
      <c r="LKE85" s="91"/>
      <c r="LKF85" s="91"/>
      <c r="LKG85" s="91"/>
      <c r="LKH85" s="91"/>
      <c r="LKI85" s="91"/>
      <c r="LKJ85" s="91"/>
      <c r="LKK85" s="91"/>
      <c r="LKL85" s="91"/>
      <c r="LKM85" s="91"/>
      <c r="LKN85" s="91"/>
      <c r="LKO85" s="91"/>
      <c r="LKP85" s="91"/>
      <c r="LKQ85" s="91"/>
      <c r="LKR85" s="91"/>
      <c r="LKS85" s="91"/>
      <c r="LKT85" s="91"/>
      <c r="LKU85" s="91"/>
      <c r="LKV85" s="91"/>
      <c r="LKW85" s="91"/>
      <c r="LKX85" s="91"/>
      <c r="LKY85" s="91"/>
      <c r="LKZ85" s="91"/>
      <c r="LLA85" s="91"/>
      <c r="LLB85" s="91"/>
      <c r="LLC85" s="91"/>
      <c r="LLD85" s="91"/>
      <c r="LLE85" s="91"/>
      <c r="LLF85" s="91"/>
      <c r="LLG85" s="91"/>
      <c r="LLH85" s="91"/>
      <c r="LLI85" s="91"/>
      <c r="LLJ85" s="91"/>
      <c r="LLK85" s="91"/>
      <c r="LLL85" s="91"/>
      <c r="LLM85" s="91"/>
      <c r="LLN85" s="91"/>
      <c r="LLO85" s="91"/>
      <c r="LLP85" s="91"/>
      <c r="LLQ85" s="91"/>
      <c r="LLR85" s="91"/>
      <c r="LLS85" s="91"/>
      <c r="LLT85" s="91"/>
      <c r="LLU85" s="91"/>
      <c r="LLV85" s="91"/>
      <c r="LLW85" s="91"/>
      <c r="LLX85" s="91"/>
      <c r="LLY85" s="91"/>
      <c r="LLZ85" s="91"/>
      <c r="LMA85" s="91"/>
      <c r="LMB85" s="91"/>
      <c r="LMC85" s="91"/>
      <c r="LMD85" s="91"/>
      <c r="LME85" s="91"/>
      <c r="LMF85" s="91"/>
      <c r="LMG85" s="91"/>
      <c r="LMH85" s="91"/>
      <c r="LMI85" s="91"/>
      <c r="LMJ85" s="91"/>
      <c r="LMK85" s="91"/>
      <c r="LML85" s="91"/>
      <c r="LMM85" s="91"/>
      <c r="LMN85" s="91"/>
      <c r="LMO85" s="91"/>
      <c r="LMP85" s="91"/>
      <c r="LMQ85" s="91"/>
      <c r="LMR85" s="91"/>
      <c r="LMS85" s="91"/>
      <c r="LMT85" s="91"/>
      <c r="LMU85" s="91"/>
      <c r="LMV85" s="91"/>
      <c r="LMW85" s="91"/>
      <c r="LMX85" s="91"/>
      <c r="LMY85" s="91"/>
      <c r="LMZ85" s="91"/>
      <c r="LNA85" s="91"/>
      <c r="LNB85" s="91"/>
      <c r="LNC85" s="91"/>
      <c r="LND85" s="91"/>
      <c r="LNE85" s="91"/>
      <c r="LNF85" s="91"/>
      <c r="LNG85" s="91"/>
      <c r="LNH85" s="91"/>
      <c r="LNI85" s="91"/>
      <c r="LNJ85" s="91"/>
      <c r="LNK85" s="91"/>
      <c r="LNL85" s="91"/>
      <c r="LNM85" s="91"/>
      <c r="LNN85" s="91"/>
      <c r="LNO85" s="91"/>
      <c r="LNP85" s="91"/>
      <c r="LNQ85" s="91"/>
      <c r="LNR85" s="91"/>
      <c r="LNS85" s="91"/>
      <c r="LNT85" s="91"/>
      <c r="LNU85" s="91"/>
      <c r="LNV85" s="91"/>
      <c r="LNW85" s="91"/>
      <c r="LNX85" s="91"/>
      <c r="LNY85" s="91"/>
      <c r="LNZ85" s="91"/>
      <c r="LOA85" s="91"/>
      <c r="LOB85" s="91"/>
      <c r="LOC85" s="91"/>
      <c r="LOD85" s="91"/>
      <c r="LOE85" s="91"/>
      <c r="LOF85" s="91"/>
      <c r="LOG85" s="91"/>
      <c r="LOH85" s="91"/>
      <c r="LOI85" s="91"/>
      <c r="LOJ85" s="91"/>
      <c r="LOK85" s="91"/>
      <c r="LOL85" s="91"/>
      <c r="LOM85" s="91"/>
      <c r="LON85" s="91"/>
      <c r="LOO85" s="91"/>
      <c r="LOP85" s="91"/>
      <c r="LOQ85" s="91"/>
      <c r="LOR85" s="91"/>
      <c r="LOS85" s="91"/>
      <c r="LOT85" s="91"/>
      <c r="LOU85" s="91"/>
      <c r="LOV85" s="91"/>
      <c r="LOW85" s="91"/>
      <c r="LOX85" s="91"/>
      <c r="LOY85" s="91"/>
      <c r="LOZ85" s="91"/>
      <c r="LPA85" s="91"/>
      <c r="LPB85" s="91"/>
      <c r="LPC85" s="91"/>
      <c r="LPD85" s="91"/>
      <c r="LPE85" s="91"/>
      <c r="LPF85" s="91"/>
      <c r="LPG85" s="91"/>
      <c r="LPH85" s="91"/>
      <c r="LPI85" s="91"/>
      <c r="LPJ85" s="91"/>
      <c r="LPK85" s="91"/>
      <c r="LPL85" s="91"/>
      <c r="LPM85" s="91"/>
      <c r="LPN85" s="91"/>
      <c r="LPO85" s="91"/>
      <c r="LPP85" s="91"/>
      <c r="LPQ85" s="91"/>
      <c r="LPR85" s="91"/>
      <c r="LPS85" s="91"/>
      <c r="LPT85" s="91"/>
      <c r="LPU85" s="91"/>
      <c r="LPV85" s="91"/>
      <c r="LPW85" s="91"/>
      <c r="LPX85" s="91"/>
      <c r="LPY85" s="91"/>
      <c r="LPZ85" s="91"/>
      <c r="LQA85" s="91"/>
      <c r="LQB85" s="91"/>
      <c r="LQC85" s="91"/>
      <c r="LQD85" s="91"/>
      <c r="LQE85" s="91"/>
      <c r="LQF85" s="91"/>
      <c r="LQG85" s="91"/>
      <c r="LQH85" s="91"/>
      <c r="LQI85" s="91"/>
      <c r="LQJ85" s="91"/>
      <c r="LQK85" s="91"/>
      <c r="LQL85" s="91"/>
      <c r="LQM85" s="91"/>
      <c r="LQN85" s="91"/>
      <c r="LQO85" s="91"/>
      <c r="LQP85" s="91"/>
      <c r="LQQ85" s="91"/>
      <c r="LQR85" s="91"/>
      <c r="LQS85" s="91"/>
      <c r="LQT85" s="91"/>
      <c r="LQU85" s="91"/>
      <c r="LQV85" s="91"/>
      <c r="LQW85" s="91"/>
      <c r="LQX85" s="91"/>
      <c r="LQY85" s="91"/>
      <c r="LQZ85" s="91"/>
      <c r="LRA85" s="91"/>
      <c r="LRB85" s="91"/>
      <c r="LRC85" s="91"/>
      <c r="LRD85" s="91"/>
      <c r="LRE85" s="91"/>
      <c r="LRF85" s="91"/>
      <c r="LRG85" s="91"/>
      <c r="LRH85" s="91"/>
      <c r="LRI85" s="91"/>
      <c r="LRJ85" s="91"/>
      <c r="LRK85" s="91"/>
      <c r="LRL85" s="91"/>
      <c r="LRM85" s="91"/>
      <c r="LRN85" s="91"/>
      <c r="LRO85" s="91"/>
      <c r="LRP85" s="91"/>
      <c r="LRQ85" s="91"/>
      <c r="LRR85" s="91"/>
      <c r="LRS85" s="91"/>
      <c r="LRT85" s="91"/>
      <c r="LRU85" s="91"/>
      <c r="LRV85" s="91"/>
      <c r="LRW85" s="91"/>
      <c r="LRX85" s="91"/>
      <c r="LRY85" s="91"/>
      <c r="LRZ85" s="91"/>
      <c r="LSA85" s="91"/>
      <c r="LSB85" s="91"/>
      <c r="LSC85" s="91"/>
      <c r="LSD85" s="91"/>
      <c r="LSE85" s="91"/>
      <c r="LSF85" s="91"/>
      <c r="LSG85" s="91"/>
      <c r="LSH85" s="91"/>
      <c r="LSI85" s="91"/>
      <c r="LSJ85" s="91"/>
      <c r="LSK85" s="91"/>
      <c r="LSL85" s="91"/>
      <c r="LSM85" s="91"/>
      <c r="LSN85" s="91"/>
      <c r="LSO85" s="91"/>
      <c r="LSP85" s="91"/>
      <c r="LSQ85" s="91"/>
      <c r="LSR85" s="91"/>
      <c r="LSS85" s="91"/>
      <c r="LST85" s="91"/>
      <c r="LSU85" s="91"/>
      <c r="LSV85" s="91"/>
      <c r="LSW85" s="91"/>
      <c r="LSX85" s="91"/>
      <c r="LSY85" s="91"/>
      <c r="LSZ85" s="91"/>
      <c r="LTA85" s="91"/>
      <c r="LTB85" s="91"/>
      <c r="LTC85" s="91"/>
      <c r="LTD85" s="91"/>
      <c r="LTE85" s="91"/>
      <c r="LTF85" s="91"/>
      <c r="LTG85" s="91"/>
      <c r="LTH85" s="91"/>
      <c r="LTI85" s="91"/>
      <c r="LTJ85" s="91"/>
      <c r="LTK85" s="91"/>
      <c r="LTL85" s="91"/>
      <c r="LTM85" s="91"/>
      <c r="LTN85" s="91"/>
      <c r="LTO85" s="91"/>
      <c r="LTP85" s="91"/>
      <c r="LTQ85" s="91"/>
      <c r="LTR85" s="91"/>
      <c r="LTS85" s="91"/>
      <c r="LTT85" s="91"/>
      <c r="LTU85" s="91"/>
      <c r="LTV85" s="91"/>
      <c r="LTW85" s="91"/>
      <c r="LTX85" s="91"/>
      <c r="LTY85" s="91"/>
      <c r="LTZ85" s="91"/>
      <c r="LUA85" s="91"/>
      <c r="LUB85" s="91"/>
      <c r="LUC85" s="91"/>
      <c r="LUD85" s="91"/>
      <c r="LUE85" s="91"/>
      <c r="LUF85" s="91"/>
      <c r="LUG85" s="91"/>
      <c r="LUH85" s="91"/>
      <c r="LUI85" s="91"/>
      <c r="LUJ85" s="91"/>
      <c r="LUK85" s="91"/>
      <c r="LUL85" s="91"/>
      <c r="LUM85" s="91"/>
      <c r="LUN85" s="91"/>
      <c r="LUO85" s="91"/>
      <c r="LUP85" s="91"/>
      <c r="LUQ85" s="91"/>
      <c r="LUR85" s="91"/>
      <c r="LUS85" s="91"/>
      <c r="LUT85" s="91"/>
      <c r="LUU85" s="91"/>
      <c r="LUV85" s="91"/>
      <c r="LUW85" s="91"/>
      <c r="LUX85" s="91"/>
      <c r="LUY85" s="91"/>
      <c r="LUZ85" s="91"/>
      <c r="LVA85" s="91"/>
      <c r="LVB85" s="91"/>
      <c r="LVC85" s="91"/>
      <c r="LVD85" s="91"/>
      <c r="LVE85" s="91"/>
      <c r="LVF85" s="91"/>
      <c r="LVG85" s="91"/>
      <c r="LVH85" s="91"/>
      <c r="LVI85" s="91"/>
      <c r="LVJ85" s="91"/>
      <c r="LVK85" s="91"/>
      <c r="LVL85" s="91"/>
      <c r="LVM85" s="91"/>
      <c r="LVN85" s="91"/>
      <c r="LVO85" s="91"/>
      <c r="LVP85" s="91"/>
      <c r="LVQ85" s="91"/>
      <c r="LVR85" s="91"/>
      <c r="LVS85" s="91"/>
      <c r="LVT85" s="91"/>
      <c r="LVU85" s="91"/>
      <c r="LVV85" s="91"/>
      <c r="LVW85" s="91"/>
      <c r="LVX85" s="91"/>
      <c r="LVY85" s="91"/>
      <c r="LVZ85" s="91"/>
      <c r="LWA85" s="91"/>
      <c r="LWB85" s="91"/>
      <c r="LWC85" s="91"/>
      <c r="LWD85" s="91"/>
      <c r="LWE85" s="91"/>
      <c r="LWF85" s="91"/>
      <c r="LWG85" s="91"/>
      <c r="LWH85" s="91"/>
      <c r="LWI85" s="91"/>
      <c r="LWJ85" s="91"/>
      <c r="LWK85" s="91"/>
      <c r="LWL85" s="91"/>
      <c r="LWM85" s="91"/>
      <c r="LWN85" s="91"/>
      <c r="LWO85" s="91"/>
      <c r="LWP85" s="91"/>
      <c r="LWQ85" s="91"/>
      <c r="LWR85" s="91"/>
      <c r="LWS85" s="91"/>
      <c r="LWT85" s="91"/>
      <c r="LWU85" s="91"/>
      <c r="LWV85" s="91"/>
      <c r="LWW85" s="91"/>
      <c r="LWX85" s="91"/>
      <c r="LWY85" s="91"/>
      <c r="LWZ85" s="91"/>
      <c r="LXA85" s="91"/>
      <c r="LXB85" s="91"/>
      <c r="LXC85" s="91"/>
      <c r="LXD85" s="91"/>
      <c r="LXE85" s="91"/>
      <c r="LXF85" s="91"/>
      <c r="LXG85" s="91"/>
      <c r="LXH85" s="91"/>
      <c r="LXI85" s="91"/>
      <c r="LXJ85" s="91"/>
      <c r="LXK85" s="91"/>
      <c r="LXL85" s="91"/>
      <c r="LXM85" s="91"/>
      <c r="LXN85" s="91"/>
      <c r="LXO85" s="91"/>
      <c r="LXP85" s="91"/>
      <c r="LXQ85" s="91"/>
      <c r="LXR85" s="91"/>
      <c r="LXS85" s="91"/>
      <c r="LXT85" s="91"/>
      <c r="LXU85" s="91"/>
      <c r="LXV85" s="91"/>
      <c r="LXW85" s="91"/>
      <c r="LXX85" s="91"/>
      <c r="LXY85" s="91"/>
      <c r="LXZ85" s="91"/>
      <c r="LYA85" s="91"/>
      <c r="LYB85" s="91"/>
      <c r="LYC85" s="91"/>
      <c r="LYD85" s="91"/>
      <c r="LYE85" s="91"/>
      <c r="LYF85" s="91"/>
      <c r="LYG85" s="91"/>
      <c r="LYH85" s="91"/>
      <c r="LYI85" s="91"/>
      <c r="LYJ85" s="91"/>
      <c r="LYK85" s="91"/>
      <c r="LYL85" s="91"/>
      <c r="LYM85" s="91"/>
      <c r="LYN85" s="91"/>
      <c r="LYO85" s="91"/>
      <c r="LYP85" s="91"/>
      <c r="LYQ85" s="91"/>
      <c r="LYR85" s="91"/>
      <c r="LYS85" s="91"/>
      <c r="LYT85" s="91"/>
      <c r="LYU85" s="91"/>
      <c r="LYV85" s="91"/>
      <c r="LYW85" s="91"/>
      <c r="LYX85" s="91"/>
      <c r="LYY85" s="91"/>
      <c r="LYZ85" s="91"/>
      <c r="LZA85" s="91"/>
      <c r="LZB85" s="91"/>
      <c r="LZC85" s="91"/>
      <c r="LZD85" s="91"/>
      <c r="LZE85" s="91"/>
      <c r="LZF85" s="91"/>
      <c r="LZG85" s="91"/>
      <c r="LZH85" s="91"/>
      <c r="LZI85" s="91"/>
      <c r="LZJ85" s="91"/>
      <c r="LZK85" s="91"/>
      <c r="LZL85" s="91"/>
      <c r="LZM85" s="91"/>
      <c r="LZN85" s="91"/>
      <c r="LZO85" s="91"/>
      <c r="LZP85" s="91"/>
      <c r="LZQ85" s="91"/>
      <c r="LZR85" s="91"/>
      <c r="LZS85" s="91"/>
      <c r="LZT85" s="91"/>
      <c r="LZU85" s="91"/>
      <c r="LZV85" s="91"/>
      <c r="LZW85" s="91"/>
      <c r="LZX85" s="91"/>
      <c r="LZY85" s="91"/>
      <c r="LZZ85" s="91"/>
      <c r="MAA85" s="91"/>
      <c r="MAB85" s="91"/>
      <c r="MAC85" s="91"/>
      <c r="MAD85" s="91"/>
      <c r="MAE85" s="91"/>
      <c r="MAF85" s="91"/>
      <c r="MAG85" s="91"/>
      <c r="MAH85" s="91"/>
      <c r="MAI85" s="91"/>
      <c r="MAJ85" s="91"/>
      <c r="MAK85" s="91"/>
      <c r="MAL85" s="91"/>
      <c r="MAM85" s="91"/>
      <c r="MAN85" s="91"/>
      <c r="MAO85" s="91"/>
      <c r="MAP85" s="91"/>
      <c r="MAQ85" s="91"/>
      <c r="MAR85" s="91"/>
      <c r="MAS85" s="91"/>
      <c r="MAT85" s="91"/>
      <c r="MAU85" s="91"/>
      <c r="MAV85" s="91"/>
      <c r="MAW85" s="91"/>
      <c r="MAX85" s="91"/>
      <c r="MAY85" s="91"/>
      <c r="MAZ85" s="91"/>
      <c r="MBA85" s="91"/>
      <c r="MBB85" s="91"/>
      <c r="MBC85" s="91"/>
      <c r="MBD85" s="91"/>
      <c r="MBE85" s="91"/>
      <c r="MBF85" s="91"/>
      <c r="MBG85" s="91"/>
      <c r="MBH85" s="91"/>
      <c r="MBI85" s="91"/>
      <c r="MBJ85" s="91"/>
      <c r="MBK85" s="91"/>
      <c r="MBL85" s="91"/>
      <c r="MBM85" s="91"/>
      <c r="MBN85" s="91"/>
      <c r="MBO85" s="91"/>
      <c r="MBP85" s="91"/>
      <c r="MBQ85" s="91"/>
      <c r="MBR85" s="91"/>
      <c r="MBS85" s="91"/>
      <c r="MBT85" s="91"/>
      <c r="MBU85" s="91"/>
      <c r="MBV85" s="91"/>
      <c r="MBW85" s="91"/>
      <c r="MBX85" s="91"/>
      <c r="MBY85" s="91"/>
      <c r="MBZ85" s="91"/>
      <c r="MCA85" s="91"/>
      <c r="MCB85" s="91"/>
      <c r="MCC85" s="91"/>
      <c r="MCD85" s="91"/>
      <c r="MCE85" s="91"/>
      <c r="MCF85" s="91"/>
      <c r="MCG85" s="91"/>
      <c r="MCH85" s="91"/>
      <c r="MCI85" s="91"/>
      <c r="MCJ85" s="91"/>
      <c r="MCK85" s="91"/>
      <c r="MCL85" s="91"/>
      <c r="MCM85" s="91"/>
      <c r="MCN85" s="91"/>
      <c r="MCO85" s="91"/>
      <c r="MCP85" s="91"/>
      <c r="MCQ85" s="91"/>
      <c r="MCR85" s="91"/>
      <c r="MCS85" s="91"/>
      <c r="MCT85" s="91"/>
      <c r="MCU85" s="91"/>
      <c r="MCV85" s="91"/>
      <c r="MCW85" s="91"/>
      <c r="MCX85" s="91"/>
      <c r="MCY85" s="91"/>
      <c r="MCZ85" s="91"/>
      <c r="MDA85" s="91"/>
      <c r="MDB85" s="91"/>
      <c r="MDC85" s="91"/>
      <c r="MDD85" s="91"/>
      <c r="MDE85" s="91"/>
      <c r="MDF85" s="91"/>
      <c r="MDG85" s="91"/>
      <c r="MDH85" s="91"/>
      <c r="MDI85" s="91"/>
      <c r="MDJ85" s="91"/>
      <c r="MDK85" s="91"/>
      <c r="MDL85" s="91"/>
      <c r="MDM85" s="91"/>
      <c r="MDN85" s="91"/>
      <c r="MDO85" s="91"/>
      <c r="MDP85" s="91"/>
      <c r="MDQ85" s="91"/>
      <c r="MDR85" s="91"/>
      <c r="MDS85" s="91"/>
      <c r="MDT85" s="91"/>
      <c r="MDU85" s="91"/>
      <c r="MDV85" s="91"/>
      <c r="MDW85" s="91"/>
      <c r="MDX85" s="91"/>
      <c r="MDY85" s="91"/>
      <c r="MDZ85" s="91"/>
      <c r="MEA85" s="91"/>
      <c r="MEB85" s="91"/>
      <c r="MEC85" s="91"/>
      <c r="MED85" s="91"/>
      <c r="MEE85" s="91"/>
      <c r="MEF85" s="91"/>
      <c r="MEG85" s="91"/>
      <c r="MEH85" s="91"/>
      <c r="MEI85" s="91"/>
      <c r="MEJ85" s="91"/>
      <c r="MEK85" s="91"/>
      <c r="MEL85" s="91"/>
      <c r="MEM85" s="91"/>
      <c r="MEN85" s="91"/>
      <c r="MEO85" s="91"/>
      <c r="MEP85" s="91"/>
      <c r="MEQ85" s="91"/>
      <c r="MER85" s="91"/>
      <c r="MES85" s="91"/>
      <c r="MET85" s="91"/>
      <c r="MEU85" s="91"/>
      <c r="MEV85" s="91"/>
      <c r="MEW85" s="91"/>
      <c r="MEX85" s="91"/>
      <c r="MEY85" s="91"/>
      <c r="MEZ85" s="91"/>
      <c r="MFA85" s="91"/>
      <c r="MFB85" s="91"/>
      <c r="MFC85" s="91"/>
      <c r="MFD85" s="91"/>
      <c r="MFE85" s="91"/>
      <c r="MFF85" s="91"/>
      <c r="MFG85" s="91"/>
      <c r="MFH85" s="91"/>
      <c r="MFI85" s="91"/>
      <c r="MFJ85" s="91"/>
      <c r="MFK85" s="91"/>
      <c r="MFL85" s="91"/>
      <c r="MFM85" s="91"/>
      <c r="MFN85" s="91"/>
      <c r="MFO85" s="91"/>
      <c r="MFP85" s="91"/>
      <c r="MFQ85" s="91"/>
      <c r="MFR85" s="91"/>
      <c r="MFS85" s="91"/>
      <c r="MFT85" s="91"/>
      <c r="MFU85" s="91"/>
      <c r="MFV85" s="91"/>
      <c r="MFW85" s="91"/>
      <c r="MFX85" s="91"/>
      <c r="MFY85" s="91"/>
      <c r="MFZ85" s="91"/>
      <c r="MGA85" s="91"/>
      <c r="MGB85" s="91"/>
      <c r="MGC85" s="91"/>
      <c r="MGD85" s="91"/>
      <c r="MGE85" s="91"/>
      <c r="MGF85" s="91"/>
      <c r="MGG85" s="91"/>
      <c r="MGH85" s="91"/>
      <c r="MGI85" s="91"/>
      <c r="MGJ85" s="91"/>
      <c r="MGK85" s="91"/>
      <c r="MGL85" s="91"/>
      <c r="MGM85" s="91"/>
      <c r="MGN85" s="91"/>
      <c r="MGO85" s="91"/>
      <c r="MGP85" s="91"/>
      <c r="MGQ85" s="91"/>
      <c r="MGR85" s="91"/>
      <c r="MGS85" s="91"/>
      <c r="MGT85" s="91"/>
      <c r="MGU85" s="91"/>
      <c r="MGV85" s="91"/>
      <c r="MGW85" s="91"/>
      <c r="MGX85" s="91"/>
      <c r="MGY85" s="91"/>
      <c r="MGZ85" s="91"/>
      <c r="MHA85" s="91"/>
      <c r="MHB85" s="91"/>
      <c r="MHC85" s="91"/>
      <c r="MHD85" s="91"/>
      <c r="MHE85" s="91"/>
      <c r="MHF85" s="91"/>
      <c r="MHG85" s="91"/>
      <c r="MHH85" s="91"/>
      <c r="MHI85" s="91"/>
      <c r="MHJ85" s="91"/>
      <c r="MHK85" s="91"/>
      <c r="MHL85" s="91"/>
      <c r="MHM85" s="91"/>
      <c r="MHN85" s="91"/>
      <c r="MHO85" s="91"/>
      <c r="MHP85" s="91"/>
      <c r="MHQ85" s="91"/>
      <c r="MHR85" s="91"/>
      <c r="MHS85" s="91"/>
      <c r="MHT85" s="91"/>
      <c r="MHU85" s="91"/>
      <c r="MHV85" s="91"/>
      <c r="MHW85" s="91"/>
      <c r="MHX85" s="91"/>
      <c r="MHY85" s="91"/>
      <c r="MHZ85" s="91"/>
      <c r="MIA85" s="91"/>
      <c r="MIB85" s="91"/>
      <c r="MIC85" s="91"/>
      <c r="MID85" s="91"/>
      <c r="MIE85" s="91"/>
      <c r="MIF85" s="91"/>
      <c r="MIG85" s="91"/>
      <c r="MIH85" s="91"/>
      <c r="MII85" s="91"/>
      <c r="MIJ85" s="91"/>
      <c r="MIK85" s="91"/>
      <c r="MIL85" s="91"/>
      <c r="MIM85" s="91"/>
      <c r="MIN85" s="91"/>
      <c r="MIO85" s="91"/>
      <c r="MIP85" s="91"/>
      <c r="MIQ85" s="91"/>
      <c r="MIR85" s="91"/>
      <c r="MIS85" s="91"/>
      <c r="MIT85" s="91"/>
      <c r="MIU85" s="91"/>
      <c r="MIV85" s="91"/>
      <c r="MIW85" s="91"/>
      <c r="MIX85" s="91"/>
      <c r="MIY85" s="91"/>
      <c r="MIZ85" s="91"/>
      <c r="MJA85" s="91"/>
      <c r="MJB85" s="91"/>
      <c r="MJC85" s="91"/>
      <c r="MJD85" s="91"/>
      <c r="MJE85" s="91"/>
      <c r="MJF85" s="91"/>
      <c r="MJG85" s="91"/>
      <c r="MJH85" s="91"/>
      <c r="MJI85" s="91"/>
      <c r="MJJ85" s="91"/>
      <c r="MJK85" s="91"/>
      <c r="MJL85" s="91"/>
      <c r="MJM85" s="91"/>
      <c r="MJN85" s="91"/>
      <c r="MJO85" s="91"/>
      <c r="MJP85" s="91"/>
      <c r="MJQ85" s="91"/>
      <c r="MJR85" s="91"/>
      <c r="MJS85" s="91"/>
      <c r="MJT85" s="91"/>
      <c r="MJU85" s="91"/>
      <c r="MJV85" s="91"/>
      <c r="MJW85" s="91"/>
      <c r="MJX85" s="91"/>
      <c r="MJY85" s="91"/>
      <c r="MJZ85" s="91"/>
      <c r="MKA85" s="91"/>
      <c r="MKB85" s="91"/>
      <c r="MKC85" s="91"/>
      <c r="MKD85" s="91"/>
      <c r="MKE85" s="91"/>
      <c r="MKF85" s="91"/>
      <c r="MKG85" s="91"/>
      <c r="MKH85" s="91"/>
      <c r="MKI85" s="91"/>
      <c r="MKJ85" s="91"/>
      <c r="MKK85" s="91"/>
      <c r="MKL85" s="91"/>
      <c r="MKM85" s="91"/>
      <c r="MKN85" s="91"/>
      <c r="MKO85" s="91"/>
      <c r="MKP85" s="91"/>
      <c r="MKQ85" s="91"/>
      <c r="MKR85" s="91"/>
      <c r="MKS85" s="91"/>
      <c r="MKT85" s="91"/>
      <c r="MKU85" s="91"/>
      <c r="MKV85" s="91"/>
      <c r="MKW85" s="91"/>
      <c r="MKX85" s="91"/>
      <c r="MKY85" s="91"/>
      <c r="MKZ85" s="91"/>
      <c r="MLA85" s="91"/>
      <c r="MLB85" s="91"/>
      <c r="MLC85" s="91"/>
      <c r="MLD85" s="91"/>
      <c r="MLE85" s="91"/>
      <c r="MLF85" s="91"/>
      <c r="MLG85" s="91"/>
      <c r="MLH85" s="91"/>
      <c r="MLI85" s="91"/>
      <c r="MLJ85" s="91"/>
      <c r="MLK85" s="91"/>
      <c r="MLL85" s="91"/>
      <c r="MLM85" s="91"/>
      <c r="MLN85" s="91"/>
      <c r="MLO85" s="91"/>
      <c r="MLP85" s="91"/>
      <c r="MLQ85" s="91"/>
      <c r="MLR85" s="91"/>
      <c r="MLS85" s="91"/>
      <c r="MLT85" s="91"/>
      <c r="MLU85" s="91"/>
      <c r="MLV85" s="91"/>
      <c r="MLW85" s="91"/>
      <c r="MLX85" s="91"/>
      <c r="MLY85" s="91"/>
      <c r="MLZ85" s="91"/>
      <c r="MMA85" s="91"/>
      <c r="MMB85" s="91"/>
      <c r="MMC85" s="91"/>
      <c r="MMD85" s="91"/>
      <c r="MME85" s="91"/>
      <c r="MMF85" s="91"/>
      <c r="MMG85" s="91"/>
      <c r="MMH85" s="91"/>
      <c r="MMI85" s="91"/>
      <c r="MMJ85" s="91"/>
      <c r="MMK85" s="91"/>
      <c r="MML85" s="91"/>
      <c r="MMM85" s="91"/>
      <c r="MMN85" s="91"/>
      <c r="MMO85" s="91"/>
      <c r="MMP85" s="91"/>
      <c r="MMQ85" s="91"/>
      <c r="MMR85" s="91"/>
      <c r="MMS85" s="91"/>
      <c r="MMT85" s="91"/>
      <c r="MMU85" s="91"/>
      <c r="MMV85" s="91"/>
      <c r="MMW85" s="91"/>
      <c r="MMX85" s="91"/>
      <c r="MMY85" s="91"/>
      <c r="MMZ85" s="91"/>
      <c r="MNA85" s="91"/>
      <c r="MNB85" s="91"/>
      <c r="MNC85" s="91"/>
      <c r="MND85" s="91"/>
      <c r="MNE85" s="91"/>
      <c r="MNF85" s="91"/>
      <c r="MNG85" s="91"/>
      <c r="MNH85" s="91"/>
      <c r="MNI85" s="91"/>
      <c r="MNJ85" s="91"/>
      <c r="MNK85" s="91"/>
      <c r="MNL85" s="91"/>
      <c r="MNM85" s="91"/>
      <c r="MNN85" s="91"/>
      <c r="MNO85" s="91"/>
      <c r="MNP85" s="91"/>
      <c r="MNQ85" s="91"/>
      <c r="MNR85" s="91"/>
      <c r="MNS85" s="91"/>
      <c r="MNT85" s="91"/>
      <c r="MNU85" s="91"/>
      <c r="MNV85" s="91"/>
      <c r="MNW85" s="91"/>
      <c r="MNX85" s="91"/>
      <c r="MNY85" s="91"/>
      <c r="MNZ85" s="91"/>
      <c r="MOA85" s="91"/>
      <c r="MOB85" s="91"/>
      <c r="MOC85" s="91"/>
      <c r="MOD85" s="91"/>
      <c r="MOE85" s="91"/>
      <c r="MOF85" s="91"/>
      <c r="MOG85" s="91"/>
      <c r="MOH85" s="91"/>
      <c r="MOI85" s="91"/>
      <c r="MOJ85" s="91"/>
      <c r="MOK85" s="91"/>
      <c r="MOL85" s="91"/>
      <c r="MOM85" s="91"/>
      <c r="MON85" s="91"/>
      <c r="MOO85" s="91"/>
      <c r="MOP85" s="91"/>
      <c r="MOQ85" s="91"/>
      <c r="MOR85" s="91"/>
      <c r="MOS85" s="91"/>
      <c r="MOT85" s="91"/>
      <c r="MOU85" s="91"/>
      <c r="MOV85" s="91"/>
      <c r="MOW85" s="91"/>
      <c r="MOX85" s="91"/>
      <c r="MOY85" s="91"/>
      <c r="MOZ85" s="91"/>
      <c r="MPA85" s="91"/>
      <c r="MPB85" s="91"/>
      <c r="MPC85" s="91"/>
      <c r="MPD85" s="91"/>
      <c r="MPE85" s="91"/>
      <c r="MPF85" s="91"/>
      <c r="MPG85" s="91"/>
      <c r="MPH85" s="91"/>
      <c r="MPI85" s="91"/>
      <c r="MPJ85" s="91"/>
      <c r="MPK85" s="91"/>
      <c r="MPL85" s="91"/>
      <c r="MPM85" s="91"/>
      <c r="MPN85" s="91"/>
      <c r="MPO85" s="91"/>
      <c r="MPP85" s="91"/>
      <c r="MPQ85" s="91"/>
      <c r="MPR85" s="91"/>
      <c r="MPS85" s="91"/>
      <c r="MPT85" s="91"/>
      <c r="MPU85" s="91"/>
      <c r="MPV85" s="91"/>
      <c r="MPW85" s="91"/>
      <c r="MPX85" s="91"/>
      <c r="MPY85" s="91"/>
      <c r="MPZ85" s="91"/>
      <c r="MQA85" s="91"/>
      <c r="MQB85" s="91"/>
      <c r="MQC85" s="91"/>
      <c r="MQD85" s="91"/>
      <c r="MQE85" s="91"/>
      <c r="MQF85" s="91"/>
      <c r="MQG85" s="91"/>
      <c r="MQH85" s="91"/>
      <c r="MQI85" s="91"/>
      <c r="MQJ85" s="91"/>
      <c r="MQK85" s="91"/>
      <c r="MQL85" s="91"/>
      <c r="MQM85" s="91"/>
      <c r="MQN85" s="91"/>
      <c r="MQO85" s="91"/>
      <c r="MQP85" s="91"/>
      <c r="MQQ85" s="91"/>
      <c r="MQR85" s="91"/>
      <c r="MQS85" s="91"/>
      <c r="MQT85" s="91"/>
      <c r="MQU85" s="91"/>
      <c r="MQV85" s="91"/>
      <c r="MQW85" s="91"/>
      <c r="MQX85" s="91"/>
      <c r="MQY85" s="91"/>
      <c r="MQZ85" s="91"/>
      <c r="MRA85" s="91"/>
      <c r="MRB85" s="91"/>
      <c r="MRC85" s="91"/>
      <c r="MRD85" s="91"/>
      <c r="MRE85" s="91"/>
      <c r="MRF85" s="91"/>
      <c r="MRG85" s="91"/>
      <c r="MRH85" s="91"/>
      <c r="MRI85" s="91"/>
      <c r="MRJ85" s="91"/>
      <c r="MRK85" s="91"/>
      <c r="MRL85" s="91"/>
      <c r="MRM85" s="91"/>
      <c r="MRN85" s="91"/>
      <c r="MRO85" s="91"/>
      <c r="MRP85" s="91"/>
      <c r="MRQ85" s="91"/>
      <c r="MRR85" s="91"/>
      <c r="MRS85" s="91"/>
      <c r="MRT85" s="91"/>
      <c r="MRU85" s="91"/>
      <c r="MRV85" s="91"/>
      <c r="MRW85" s="91"/>
      <c r="MRX85" s="91"/>
      <c r="MRY85" s="91"/>
      <c r="MRZ85" s="91"/>
      <c r="MSA85" s="91"/>
      <c r="MSB85" s="91"/>
      <c r="MSC85" s="91"/>
      <c r="MSD85" s="91"/>
      <c r="MSE85" s="91"/>
      <c r="MSF85" s="91"/>
      <c r="MSG85" s="91"/>
      <c r="MSH85" s="91"/>
      <c r="MSI85" s="91"/>
      <c r="MSJ85" s="91"/>
      <c r="MSK85" s="91"/>
      <c r="MSL85" s="91"/>
      <c r="MSM85" s="91"/>
      <c r="MSN85" s="91"/>
      <c r="MSO85" s="91"/>
      <c r="MSP85" s="91"/>
      <c r="MSQ85" s="91"/>
      <c r="MSR85" s="91"/>
      <c r="MSS85" s="91"/>
      <c r="MST85" s="91"/>
      <c r="MSU85" s="91"/>
      <c r="MSV85" s="91"/>
      <c r="MSW85" s="91"/>
      <c r="MSX85" s="91"/>
      <c r="MSY85" s="91"/>
      <c r="MSZ85" s="91"/>
      <c r="MTA85" s="91"/>
      <c r="MTB85" s="91"/>
      <c r="MTC85" s="91"/>
      <c r="MTD85" s="91"/>
      <c r="MTE85" s="91"/>
      <c r="MTF85" s="91"/>
      <c r="MTG85" s="91"/>
      <c r="MTH85" s="91"/>
      <c r="MTI85" s="91"/>
      <c r="MTJ85" s="91"/>
      <c r="MTK85" s="91"/>
      <c r="MTL85" s="91"/>
      <c r="MTM85" s="91"/>
      <c r="MTN85" s="91"/>
      <c r="MTO85" s="91"/>
      <c r="MTP85" s="91"/>
      <c r="MTQ85" s="91"/>
      <c r="MTR85" s="91"/>
      <c r="MTS85" s="91"/>
      <c r="MTT85" s="91"/>
      <c r="MTU85" s="91"/>
      <c r="MTV85" s="91"/>
      <c r="MTW85" s="91"/>
      <c r="MTX85" s="91"/>
      <c r="MTY85" s="91"/>
      <c r="MTZ85" s="91"/>
      <c r="MUA85" s="91"/>
      <c r="MUB85" s="91"/>
      <c r="MUC85" s="91"/>
      <c r="MUD85" s="91"/>
      <c r="MUE85" s="91"/>
      <c r="MUF85" s="91"/>
      <c r="MUG85" s="91"/>
      <c r="MUH85" s="91"/>
      <c r="MUI85" s="91"/>
      <c r="MUJ85" s="91"/>
      <c r="MUK85" s="91"/>
      <c r="MUL85" s="91"/>
      <c r="MUM85" s="91"/>
      <c r="MUN85" s="91"/>
      <c r="MUO85" s="91"/>
      <c r="MUP85" s="91"/>
      <c r="MUQ85" s="91"/>
      <c r="MUR85" s="91"/>
      <c r="MUS85" s="91"/>
      <c r="MUT85" s="91"/>
      <c r="MUU85" s="91"/>
      <c r="MUV85" s="91"/>
      <c r="MUW85" s="91"/>
      <c r="MUX85" s="91"/>
      <c r="MUY85" s="91"/>
      <c r="MUZ85" s="91"/>
      <c r="MVA85" s="91"/>
      <c r="MVB85" s="91"/>
      <c r="MVC85" s="91"/>
      <c r="MVD85" s="91"/>
      <c r="MVE85" s="91"/>
      <c r="MVF85" s="91"/>
      <c r="MVG85" s="91"/>
      <c r="MVH85" s="91"/>
      <c r="MVI85" s="91"/>
      <c r="MVJ85" s="91"/>
      <c r="MVK85" s="91"/>
      <c r="MVL85" s="91"/>
      <c r="MVM85" s="91"/>
      <c r="MVN85" s="91"/>
      <c r="MVO85" s="91"/>
      <c r="MVP85" s="91"/>
      <c r="MVQ85" s="91"/>
      <c r="MVR85" s="91"/>
      <c r="MVS85" s="91"/>
      <c r="MVT85" s="91"/>
      <c r="MVU85" s="91"/>
      <c r="MVV85" s="91"/>
      <c r="MVW85" s="91"/>
      <c r="MVX85" s="91"/>
      <c r="MVY85" s="91"/>
      <c r="MVZ85" s="91"/>
      <c r="MWA85" s="91"/>
      <c r="MWB85" s="91"/>
      <c r="MWC85" s="91"/>
      <c r="MWD85" s="91"/>
      <c r="MWE85" s="91"/>
      <c r="MWF85" s="91"/>
      <c r="MWG85" s="91"/>
      <c r="MWH85" s="91"/>
      <c r="MWI85" s="91"/>
      <c r="MWJ85" s="91"/>
      <c r="MWK85" s="91"/>
      <c r="MWL85" s="91"/>
      <c r="MWM85" s="91"/>
      <c r="MWN85" s="91"/>
      <c r="MWO85" s="91"/>
      <c r="MWP85" s="91"/>
      <c r="MWQ85" s="91"/>
      <c r="MWR85" s="91"/>
      <c r="MWS85" s="91"/>
      <c r="MWT85" s="91"/>
      <c r="MWU85" s="91"/>
      <c r="MWV85" s="91"/>
      <c r="MWW85" s="91"/>
      <c r="MWX85" s="91"/>
      <c r="MWY85" s="91"/>
      <c r="MWZ85" s="91"/>
      <c r="MXA85" s="91"/>
      <c r="MXB85" s="91"/>
      <c r="MXC85" s="91"/>
      <c r="MXD85" s="91"/>
      <c r="MXE85" s="91"/>
      <c r="MXF85" s="91"/>
      <c r="MXG85" s="91"/>
      <c r="MXH85" s="91"/>
      <c r="MXI85" s="91"/>
      <c r="MXJ85" s="91"/>
      <c r="MXK85" s="91"/>
      <c r="MXL85" s="91"/>
      <c r="MXM85" s="91"/>
      <c r="MXN85" s="91"/>
      <c r="MXO85" s="91"/>
      <c r="MXP85" s="91"/>
      <c r="MXQ85" s="91"/>
      <c r="MXR85" s="91"/>
      <c r="MXS85" s="91"/>
      <c r="MXT85" s="91"/>
      <c r="MXU85" s="91"/>
      <c r="MXV85" s="91"/>
      <c r="MXW85" s="91"/>
      <c r="MXX85" s="91"/>
      <c r="MXY85" s="91"/>
      <c r="MXZ85" s="91"/>
      <c r="MYA85" s="91"/>
      <c r="MYB85" s="91"/>
      <c r="MYC85" s="91"/>
      <c r="MYD85" s="91"/>
      <c r="MYE85" s="91"/>
      <c r="MYF85" s="91"/>
      <c r="MYG85" s="91"/>
      <c r="MYH85" s="91"/>
      <c r="MYI85" s="91"/>
      <c r="MYJ85" s="91"/>
      <c r="MYK85" s="91"/>
      <c r="MYL85" s="91"/>
      <c r="MYM85" s="91"/>
      <c r="MYN85" s="91"/>
      <c r="MYO85" s="91"/>
      <c r="MYP85" s="91"/>
      <c r="MYQ85" s="91"/>
      <c r="MYR85" s="91"/>
      <c r="MYS85" s="91"/>
      <c r="MYT85" s="91"/>
      <c r="MYU85" s="91"/>
      <c r="MYV85" s="91"/>
      <c r="MYW85" s="91"/>
      <c r="MYX85" s="91"/>
      <c r="MYY85" s="91"/>
      <c r="MYZ85" s="91"/>
      <c r="MZA85" s="91"/>
      <c r="MZB85" s="91"/>
      <c r="MZC85" s="91"/>
      <c r="MZD85" s="91"/>
      <c r="MZE85" s="91"/>
      <c r="MZF85" s="91"/>
      <c r="MZG85" s="91"/>
      <c r="MZH85" s="91"/>
      <c r="MZI85" s="91"/>
      <c r="MZJ85" s="91"/>
      <c r="MZK85" s="91"/>
      <c r="MZL85" s="91"/>
      <c r="MZM85" s="91"/>
      <c r="MZN85" s="91"/>
      <c r="MZO85" s="91"/>
      <c r="MZP85" s="91"/>
      <c r="MZQ85" s="91"/>
      <c r="MZR85" s="91"/>
      <c r="MZS85" s="91"/>
      <c r="MZT85" s="91"/>
      <c r="MZU85" s="91"/>
      <c r="MZV85" s="91"/>
      <c r="MZW85" s="91"/>
      <c r="MZX85" s="91"/>
      <c r="MZY85" s="91"/>
      <c r="MZZ85" s="91"/>
      <c r="NAA85" s="91"/>
      <c r="NAB85" s="91"/>
      <c r="NAC85" s="91"/>
      <c r="NAD85" s="91"/>
      <c r="NAE85" s="91"/>
      <c r="NAF85" s="91"/>
      <c r="NAG85" s="91"/>
      <c r="NAH85" s="91"/>
      <c r="NAI85" s="91"/>
      <c r="NAJ85" s="91"/>
      <c r="NAK85" s="91"/>
      <c r="NAL85" s="91"/>
      <c r="NAM85" s="91"/>
      <c r="NAN85" s="91"/>
      <c r="NAO85" s="91"/>
      <c r="NAP85" s="91"/>
      <c r="NAQ85" s="91"/>
      <c r="NAR85" s="91"/>
      <c r="NAS85" s="91"/>
      <c r="NAT85" s="91"/>
      <c r="NAU85" s="91"/>
      <c r="NAV85" s="91"/>
      <c r="NAW85" s="91"/>
      <c r="NAX85" s="91"/>
      <c r="NAY85" s="91"/>
      <c r="NAZ85" s="91"/>
      <c r="NBA85" s="91"/>
      <c r="NBB85" s="91"/>
      <c r="NBC85" s="91"/>
      <c r="NBD85" s="91"/>
      <c r="NBE85" s="91"/>
      <c r="NBF85" s="91"/>
      <c r="NBG85" s="91"/>
      <c r="NBH85" s="91"/>
      <c r="NBI85" s="91"/>
      <c r="NBJ85" s="91"/>
      <c r="NBK85" s="91"/>
      <c r="NBL85" s="91"/>
      <c r="NBM85" s="91"/>
      <c r="NBN85" s="91"/>
      <c r="NBO85" s="91"/>
      <c r="NBP85" s="91"/>
      <c r="NBQ85" s="91"/>
      <c r="NBR85" s="91"/>
      <c r="NBS85" s="91"/>
      <c r="NBT85" s="91"/>
      <c r="NBU85" s="91"/>
      <c r="NBV85" s="91"/>
      <c r="NBW85" s="91"/>
      <c r="NBX85" s="91"/>
      <c r="NBY85" s="91"/>
      <c r="NBZ85" s="91"/>
      <c r="NCA85" s="91"/>
      <c r="NCB85" s="91"/>
      <c r="NCC85" s="91"/>
      <c r="NCD85" s="91"/>
      <c r="NCE85" s="91"/>
      <c r="NCF85" s="91"/>
      <c r="NCG85" s="91"/>
      <c r="NCH85" s="91"/>
      <c r="NCI85" s="91"/>
      <c r="NCJ85" s="91"/>
      <c r="NCK85" s="91"/>
      <c r="NCL85" s="91"/>
      <c r="NCM85" s="91"/>
      <c r="NCN85" s="91"/>
      <c r="NCO85" s="91"/>
      <c r="NCP85" s="91"/>
      <c r="NCQ85" s="91"/>
      <c r="NCR85" s="91"/>
      <c r="NCS85" s="91"/>
      <c r="NCT85" s="91"/>
      <c r="NCU85" s="91"/>
      <c r="NCV85" s="91"/>
      <c r="NCW85" s="91"/>
      <c r="NCX85" s="91"/>
      <c r="NCY85" s="91"/>
      <c r="NCZ85" s="91"/>
      <c r="NDA85" s="91"/>
      <c r="NDB85" s="91"/>
      <c r="NDC85" s="91"/>
      <c r="NDD85" s="91"/>
      <c r="NDE85" s="91"/>
      <c r="NDF85" s="91"/>
      <c r="NDG85" s="91"/>
      <c r="NDH85" s="91"/>
      <c r="NDI85" s="91"/>
      <c r="NDJ85" s="91"/>
      <c r="NDK85" s="91"/>
      <c r="NDL85" s="91"/>
      <c r="NDM85" s="91"/>
      <c r="NDN85" s="91"/>
      <c r="NDO85" s="91"/>
      <c r="NDP85" s="91"/>
      <c r="NDQ85" s="91"/>
      <c r="NDR85" s="91"/>
      <c r="NDS85" s="91"/>
      <c r="NDT85" s="91"/>
      <c r="NDU85" s="91"/>
      <c r="NDV85" s="91"/>
      <c r="NDW85" s="91"/>
      <c r="NDX85" s="91"/>
      <c r="NDY85" s="91"/>
      <c r="NDZ85" s="91"/>
      <c r="NEA85" s="91"/>
      <c r="NEB85" s="91"/>
      <c r="NEC85" s="91"/>
      <c r="NED85" s="91"/>
      <c r="NEE85" s="91"/>
      <c r="NEF85" s="91"/>
      <c r="NEG85" s="91"/>
      <c r="NEH85" s="91"/>
      <c r="NEI85" s="91"/>
      <c r="NEJ85" s="91"/>
      <c r="NEK85" s="91"/>
      <c r="NEL85" s="91"/>
      <c r="NEM85" s="91"/>
      <c r="NEN85" s="91"/>
      <c r="NEO85" s="91"/>
      <c r="NEP85" s="91"/>
      <c r="NEQ85" s="91"/>
      <c r="NER85" s="91"/>
      <c r="NES85" s="91"/>
      <c r="NET85" s="91"/>
      <c r="NEU85" s="91"/>
      <c r="NEV85" s="91"/>
      <c r="NEW85" s="91"/>
      <c r="NEX85" s="91"/>
      <c r="NEY85" s="91"/>
      <c r="NEZ85" s="91"/>
      <c r="NFA85" s="91"/>
      <c r="NFB85" s="91"/>
      <c r="NFC85" s="91"/>
      <c r="NFD85" s="91"/>
      <c r="NFE85" s="91"/>
      <c r="NFF85" s="91"/>
      <c r="NFG85" s="91"/>
      <c r="NFH85" s="91"/>
      <c r="NFI85" s="91"/>
      <c r="NFJ85" s="91"/>
      <c r="NFK85" s="91"/>
      <c r="NFL85" s="91"/>
      <c r="NFM85" s="91"/>
      <c r="NFN85" s="91"/>
      <c r="NFO85" s="91"/>
      <c r="NFP85" s="91"/>
      <c r="NFQ85" s="91"/>
      <c r="NFR85" s="91"/>
      <c r="NFS85" s="91"/>
      <c r="NFT85" s="91"/>
      <c r="NFU85" s="91"/>
      <c r="NFV85" s="91"/>
      <c r="NFW85" s="91"/>
      <c r="NFX85" s="91"/>
      <c r="NFY85" s="91"/>
      <c r="NFZ85" s="91"/>
      <c r="NGA85" s="91"/>
      <c r="NGB85" s="91"/>
      <c r="NGC85" s="91"/>
      <c r="NGD85" s="91"/>
      <c r="NGE85" s="91"/>
      <c r="NGF85" s="91"/>
      <c r="NGG85" s="91"/>
      <c r="NGH85" s="91"/>
      <c r="NGI85" s="91"/>
      <c r="NGJ85" s="91"/>
      <c r="NGK85" s="91"/>
      <c r="NGL85" s="91"/>
      <c r="NGM85" s="91"/>
      <c r="NGN85" s="91"/>
      <c r="NGO85" s="91"/>
      <c r="NGP85" s="91"/>
      <c r="NGQ85" s="91"/>
      <c r="NGR85" s="91"/>
      <c r="NGS85" s="91"/>
      <c r="NGT85" s="91"/>
      <c r="NGU85" s="91"/>
      <c r="NGV85" s="91"/>
      <c r="NGW85" s="91"/>
      <c r="NGX85" s="91"/>
      <c r="NGY85" s="91"/>
      <c r="NGZ85" s="91"/>
      <c r="NHA85" s="91"/>
      <c r="NHB85" s="91"/>
      <c r="NHC85" s="91"/>
      <c r="NHD85" s="91"/>
      <c r="NHE85" s="91"/>
      <c r="NHF85" s="91"/>
      <c r="NHG85" s="91"/>
      <c r="NHH85" s="91"/>
      <c r="NHI85" s="91"/>
      <c r="NHJ85" s="91"/>
      <c r="NHK85" s="91"/>
      <c r="NHL85" s="91"/>
      <c r="NHM85" s="91"/>
      <c r="NHN85" s="91"/>
      <c r="NHO85" s="91"/>
      <c r="NHP85" s="91"/>
      <c r="NHQ85" s="91"/>
      <c r="NHR85" s="91"/>
      <c r="NHS85" s="91"/>
      <c r="NHT85" s="91"/>
      <c r="NHU85" s="91"/>
      <c r="NHV85" s="91"/>
      <c r="NHW85" s="91"/>
      <c r="NHX85" s="91"/>
      <c r="NHY85" s="91"/>
      <c r="NHZ85" s="91"/>
      <c r="NIA85" s="91"/>
      <c r="NIB85" s="91"/>
      <c r="NIC85" s="91"/>
      <c r="NID85" s="91"/>
      <c r="NIE85" s="91"/>
      <c r="NIF85" s="91"/>
      <c r="NIG85" s="91"/>
      <c r="NIH85" s="91"/>
      <c r="NII85" s="91"/>
      <c r="NIJ85" s="91"/>
      <c r="NIK85" s="91"/>
      <c r="NIL85" s="91"/>
      <c r="NIM85" s="91"/>
      <c r="NIN85" s="91"/>
      <c r="NIO85" s="91"/>
      <c r="NIP85" s="91"/>
      <c r="NIQ85" s="91"/>
      <c r="NIR85" s="91"/>
      <c r="NIS85" s="91"/>
      <c r="NIT85" s="91"/>
      <c r="NIU85" s="91"/>
      <c r="NIV85" s="91"/>
      <c r="NIW85" s="91"/>
      <c r="NIX85" s="91"/>
      <c r="NIY85" s="91"/>
      <c r="NIZ85" s="91"/>
      <c r="NJA85" s="91"/>
      <c r="NJB85" s="91"/>
      <c r="NJC85" s="91"/>
      <c r="NJD85" s="91"/>
      <c r="NJE85" s="91"/>
      <c r="NJF85" s="91"/>
      <c r="NJG85" s="91"/>
      <c r="NJH85" s="91"/>
      <c r="NJI85" s="91"/>
      <c r="NJJ85" s="91"/>
      <c r="NJK85" s="91"/>
      <c r="NJL85" s="91"/>
      <c r="NJM85" s="91"/>
      <c r="NJN85" s="91"/>
      <c r="NJO85" s="91"/>
      <c r="NJP85" s="91"/>
      <c r="NJQ85" s="91"/>
      <c r="NJR85" s="91"/>
      <c r="NJS85" s="91"/>
      <c r="NJT85" s="91"/>
      <c r="NJU85" s="91"/>
      <c r="NJV85" s="91"/>
      <c r="NJW85" s="91"/>
      <c r="NJX85" s="91"/>
      <c r="NJY85" s="91"/>
      <c r="NJZ85" s="91"/>
      <c r="NKA85" s="91"/>
      <c r="NKB85" s="91"/>
      <c r="NKC85" s="91"/>
      <c r="NKD85" s="91"/>
      <c r="NKE85" s="91"/>
      <c r="NKF85" s="91"/>
      <c r="NKG85" s="91"/>
      <c r="NKH85" s="91"/>
      <c r="NKI85" s="91"/>
      <c r="NKJ85" s="91"/>
      <c r="NKK85" s="91"/>
      <c r="NKL85" s="91"/>
      <c r="NKM85" s="91"/>
      <c r="NKN85" s="91"/>
      <c r="NKO85" s="91"/>
      <c r="NKP85" s="91"/>
      <c r="NKQ85" s="91"/>
      <c r="NKR85" s="91"/>
      <c r="NKS85" s="91"/>
      <c r="NKT85" s="91"/>
      <c r="NKU85" s="91"/>
      <c r="NKV85" s="91"/>
      <c r="NKW85" s="91"/>
      <c r="NKX85" s="91"/>
      <c r="NKY85" s="91"/>
      <c r="NKZ85" s="91"/>
      <c r="NLA85" s="91"/>
      <c r="NLB85" s="91"/>
      <c r="NLC85" s="91"/>
      <c r="NLD85" s="91"/>
      <c r="NLE85" s="91"/>
      <c r="NLF85" s="91"/>
      <c r="NLG85" s="91"/>
      <c r="NLH85" s="91"/>
      <c r="NLI85" s="91"/>
      <c r="NLJ85" s="91"/>
      <c r="NLK85" s="91"/>
      <c r="NLL85" s="91"/>
      <c r="NLM85" s="91"/>
      <c r="NLN85" s="91"/>
      <c r="NLO85" s="91"/>
      <c r="NLP85" s="91"/>
      <c r="NLQ85" s="91"/>
      <c r="NLR85" s="91"/>
      <c r="NLS85" s="91"/>
      <c r="NLT85" s="91"/>
      <c r="NLU85" s="91"/>
      <c r="NLV85" s="91"/>
      <c r="NLW85" s="91"/>
      <c r="NLX85" s="91"/>
      <c r="NLY85" s="91"/>
      <c r="NLZ85" s="91"/>
      <c r="NMA85" s="91"/>
      <c r="NMB85" s="91"/>
      <c r="NMC85" s="91"/>
      <c r="NMD85" s="91"/>
      <c r="NME85" s="91"/>
      <c r="NMF85" s="91"/>
      <c r="NMG85" s="91"/>
      <c r="NMH85" s="91"/>
      <c r="NMI85" s="91"/>
      <c r="NMJ85" s="91"/>
      <c r="NMK85" s="91"/>
      <c r="NML85" s="91"/>
      <c r="NMM85" s="91"/>
      <c r="NMN85" s="91"/>
      <c r="NMO85" s="91"/>
      <c r="NMP85" s="91"/>
      <c r="NMQ85" s="91"/>
      <c r="NMR85" s="91"/>
      <c r="NMS85" s="91"/>
      <c r="NMT85" s="91"/>
      <c r="NMU85" s="91"/>
      <c r="NMV85" s="91"/>
      <c r="NMW85" s="91"/>
      <c r="NMX85" s="91"/>
      <c r="NMY85" s="91"/>
      <c r="NMZ85" s="91"/>
      <c r="NNA85" s="91"/>
      <c r="NNB85" s="91"/>
      <c r="NNC85" s="91"/>
      <c r="NND85" s="91"/>
      <c r="NNE85" s="91"/>
      <c r="NNF85" s="91"/>
      <c r="NNG85" s="91"/>
      <c r="NNH85" s="91"/>
      <c r="NNI85" s="91"/>
      <c r="NNJ85" s="91"/>
      <c r="NNK85" s="91"/>
      <c r="NNL85" s="91"/>
      <c r="NNM85" s="91"/>
      <c r="NNN85" s="91"/>
      <c r="NNO85" s="91"/>
      <c r="NNP85" s="91"/>
      <c r="NNQ85" s="91"/>
      <c r="NNR85" s="91"/>
      <c r="NNS85" s="91"/>
      <c r="NNT85" s="91"/>
      <c r="NNU85" s="91"/>
      <c r="NNV85" s="91"/>
      <c r="NNW85" s="91"/>
      <c r="NNX85" s="91"/>
      <c r="NNY85" s="91"/>
      <c r="NNZ85" s="91"/>
      <c r="NOA85" s="91"/>
      <c r="NOB85" s="91"/>
      <c r="NOC85" s="91"/>
      <c r="NOD85" s="91"/>
      <c r="NOE85" s="91"/>
      <c r="NOF85" s="91"/>
      <c r="NOG85" s="91"/>
      <c r="NOH85" s="91"/>
      <c r="NOI85" s="91"/>
      <c r="NOJ85" s="91"/>
      <c r="NOK85" s="91"/>
      <c r="NOL85" s="91"/>
      <c r="NOM85" s="91"/>
      <c r="NON85" s="91"/>
      <c r="NOO85" s="91"/>
      <c r="NOP85" s="91"/>
      <c r="NOQ85" s="91"/>
      <c r="NOR85" s="91"/>
      <c r="NOS85" s="91"/>
      <c r="NOT85" s="91"/>
      <c r="NOU85" s="91"/>
      <c r="NOV85" s="91"/>
      <c r="NOW85" s="91"/>
      <c r="NOX85" s="91"/>
      <c r="NOY85" s="91"/>
      <c r="NOZ85" s="91"/>
      <c r="NPA85" s="91"/>
      <c r="NPB85" s="91"/>
      <c r="NPC85" s="91"/>
      <c r="NPD85" s="91"/>
      <c r="NPE85" s="91"/>
      <c r="NPF85" s="91"/>
      <c r="NPG85" s="91"/>
      <c r="NPH85" s="91"/>
      <c r="NPI85" s="91"/>
      <c r="NPJ85" s="91"/>
      <c r="NPK85" s="91"/>
      <c r="NPL85" s="91"/>
      <c r="NPM85" s="91"/>
      <c r="NPN85" s="91"/>
      <c r="NPO85" s="91"/>
      <c r="NPP85" s="91"/>
      <c r="NPQ85" s="91"/>
      <c r="NPR85" s="91"/>
      <c r="NPS85" s="91"/>
      <c r="NPT85" s="91"/>
      <c r="NPU85" s="91"/>
      <c r="NPV85" s="91"/>
      <c r="NPW85" s="91"/>
      <c r="NPX85" s="91"/>
      <c r="NPY85" s="91"/>
      <c r="NPZ85" s="91"/>
      <c r="NQA85" s="91"/>
      <c r="NQB85" s="91"/>
      <c r="NQC85" s="91"/>
      <c r="NQD85" s="91"/>
      <c r="NQE85" s="91"/>
      <c r="NQF85" s="91"/>
      <c r="NQG85" s="91"/>
      <c r="NQH85" s="91"/>
      <c r="NQI85" s="91"/>
      <c r="NQJ85" s="91"/>
      <c r="NQK85" s="91"/>
      <c r="NQL85" s="91"/>
      <c r="NQM85" s="91"/>
      <c r="NQN85" s="91"/>
      <c r="NQO85" s="91"/>
      <c r="NQP85" s="91"/>
      <c r="NQQ85" s="91"/>
      <c r="NQR85" s="91"/>
      <c r="NQS85" s="91"/>
      <c r="NQT85" s="91"/>
      <c r="NQU85" s="91"/>
      <c r="NQV85" s="91"/>
      <c r="NQW85" s="91"/>
      <c r="NQX85" s="91"/>
      <c r="NQY85" s="91"/>
      <c r="NQZ85" s="91"/>
      <c r="NRA85" s="91"/>
      <c r="NRB85" s="91"/>
      <c r="NRC85" s="91"/>
      <c r="NRD85" s="91"/>
      <c r="NRE85" s="91"/>
    </row>
    <row r="86" spans="1:9937" s="17" customFormat="1" ht="25" customHeight="1" thickTop="1" x14ac:dyDescent="0.45">
      <c r="A86" s="196" t="s">
        <v>422</v>
      </c>
      <c r="B86" s="66"/>
      <c r="C86" s="413"/>
      <c r="D86" s="414"/>
      <c r="E86" s="414"/>
      <c r="F86" s="369"/>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c r="DW86" s="101"/>
      <c r="DX86" s="101"/>
      <c r="DY86" s="101"/>
      <c r="DZ86" s="101"/>
      <c r="EA86" s="101"/>
      <c r="EB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c r="FV86" s="101"/>
      <c r="FW86" s="101"/>
      <c r="FX86" s="101"/>
      <c r="FY86" s="101"/>
      <c r="FZ86" s="101"/>
      <c r="GA86" s="101"/>
      <c r="GB86" s="101"/>
      <c r="GC86" s="101"/>
      <c r="GD86" s="101"/>
      <c r="GE86" s="101"/>
      <c r="GF86" s="101"/>
      <c r="GG86" s="101"/>
      <c r="GH86" s="101"/>
      <c r="GI86" s="101"/>
      <c r="GJ86" s="101"/>
      <c r="GK86" s="101"/>
      <c r="GL86" s="101"/>
      <c r="GM86" s="101"/>
      <c r="GN86" s="101"/>
      <c r="GO86" s="101"/>
      <c r="GP86" s="101"/>
      <c r="GQ86" s="101"/>
      <c r="GR86" s="101"/>
      <c r="GS86" s="101"/>
      <c r="GT86" s="101"/>
      <c r="GU86" s="101"/>
      <c r="GV86" s="101"/>
      <c r="GW86" s="101"/>
      <c r="GX86" s="101"/>
      <c r="GY86" s="101"/>
      <c r="GZ86" s="101"/>
      <c r="HA86" s="101"/>
      <c r="HB86" s="101"/>
      <c r="HC86" s="101"/>
      <c r="HD86" s="101"/>
      <c r="HE86" s="101"/>
      <c r="HF86" s="101"/>
      <c r="HG86" s="101"/>
      <c r="HH86" s="101"/>
      <c r="HI86" s="101"/>
      <c r="HJ86" s="101"/>
      <c r="HK86" s="101"/>
      <c r="HL86" s="101"/>
      <c r="HM86" s="101"/>
      <c r="HN86" s="101"/>
      <c r="HO86" s="101"/>
      <c r="HP86" s="101"/>
      <c r="HQ86" s="101"/>
      <c r="HR86" s="101"/>
      <c r="HS86" s="101"/>
      <c r="HT86" s="101"/>
      <c r="HU86" s="101"/>
      <c r="HV86" s="101"/>
      <c r="HW86" s="101"/>
      <c r="HX86" s="101"/>
      <c r="HY86" s="101"/>
      <c r="HZ86" s="101"/>
      <c r="IA86" s="101"/>
      <c r="IB86" s="101"/>
      <c r="IC86" s="101"/>
      <c r="ID86" s="101"/>
      <c r="IE86" s="101"/>
      <c r="IF86" s="101"/>
      <c r="IG86" s="101"/>
      <c r="IH86" s="101"/>
      <c r="II86" s="101"/>
      <c r="IJ86" s="101"/>
      <c r="IK86" s="101"/>
      <c r="IL86" s="101"/>
      <c r="IM86" s="101"/>
      <c r="IN86" s="101"/>
      <c r="IO86" s="101"/>
      <c r="IP86" s="101"/>
      <c r="IQ86" s="101"/>
      <c r="IR86" s="101"/>
      <c r="IS86" s="101"/>
      <c r="IT86" s="101"/>
      <c r="IU86" s="101"/>
      <c r="IV86" s="101"/>
      <c r="IW86" s="101"/>
      <c r="IX86" s="101"/>
      <c r="IY86" s="101"/>
      <c r="IZ86" s="101"/>
      <c r="JA86" s="101"/>
      <c r="JB86" s="101"/>
      <c r="JC86" s="101"/>
      <c r="JD86" s="101"/>
      <c r="JE86" s="101"/>
      <c r="JF86" s="101"/>
      <c r="JG86" s="101"/>
      <c r="JH86" s="101"/>
      <c r="JI86" s="101"/>
      <c r="JJ86" s="101"/>
      <c r="JK86" s="101"/>
      <c r="JL86" s="101"/>
      <c r="JM86" s="101"/>
      <c r="JN86" s="101"/>
      <c r="JO86" s="101"/>
      <c r="JP86" s="101"/>
      <c r="JQ86" s="101"/>
      <c r="JR86" s="101"/>
      <c r="JS86" s="101"/>
      <c r="JT86" s="101"/>
      <c r="JU86" s="101"/>
      <c r="JV86" s="101"/>
      <c r="JW86" s="101"/>
      <c r="JX86" s="101"/>
      <c r="JY86" s="101"/>
      <c r="JZ86" s="101"/>
      <c r="KA86" s="101"/>
      <c r="KB86" s="101"/>
      <c r="KC86" s="101"/>
      <c r="KD86" s="101"/>
      <c r="KE86" s="101"/>
      <c r="KF86" s="101"/>
      <c r="KG86" s="101"/>
      <c r="KH86" s="101"/>
      <c r="KI86" s="101"/>
      <c r="KJ86" s="101"/>
      <c r="KK86" s="101"/>
      <c r="KL86" s="101"/>
      <c r="KM86" s="101"/>
      <c r="KN86" s="101"/>
      <c r="KO86" s="101"/>
      <c r="KP86" s="101"/>
      <c r="KQ86" s="101"/>
      <c r="KR86" s="101"/>
      <c r="KS86" s="101"/>
      <c r="KT86" s="101"/>
      <c r="KU86" s="101"/>
      <c r="KV86" s="101"/>
      <c r="KW86" s="101"/>
      <c r="KX86" s="101"/>
      <c r="KY86" s="101"/>
      <c r="KZ86" s="101"/>
      <c r="LA86" s="101"/>
      <c r="LB86" s="101"/>
      <c r="LC86" s="101"/>
      <c r="LD86" s="101"/>
      <c r="LE86" s="101"/>
      <c r="LF86" s="101"/>
      <c r="LG86" s="101"/>
      <c r="LH86" s="101"/>
      <c r="LI86" s="101"/>
      <c r="LJ86" s="101"/>
      <c r="LK86" s="101"/>
      <c r="LL86" s="101"/>
      <c r="LM86" s="101"/>
      <c r="LN86" s="101"/>
      <c r="LO86" s="101"/>
      <c r="LP86" s="101"/>
      <c r="LQ86" s="101"/>
      <c r="LR86" s="101"/>
      <c r="LS86" s="101"/>
      <c r="LT86" s="101"/>
      <c r="LU86" s="101"/>
      <c r="LV86" s="101"/>
      <c r="LW86" s="101"/>
      <c r="LX86" s="101"/>
      <c r="LY86" s="101"/>
      <c r="LZ86" s="101"/>
      <c r="MA86" s="101"/>
      <c r="MB86" s="101"/>
      <c r="MC86" s="101"/>
      <c r="MD86" s="101"/>
      <c r="ME86" s="101"/>
      <c r="MF86" s="101"/>
      <c r="MG86" s="101"/>
      <c r="MH86" s="101"/>
      <c r="MI86" s="101"/>
      <c r="MJ86" s="101"/>
      <c r="MK86" s="101"/>
      <c r="ML86" s="101"/>
      <c r="MM86" s="101"/>
      <c r="MN86" s="101"/>
      <c r="MO86" s="101"/>
      <c r="MP86" s="101"/>
      <c r="MQ86" s="101"/>
      <c r="MR86" s="101"/>
      <c r="MS86" s="101"/>
      <c r="MT86" s="101"/>
      <c r="MU86" s="101"/>
      <c r="MV86" s="101"/>
      <c r="MW86" s="101"/>
      <c r="MX86" s="101"/>
      <c r="MY86" s="101"/>
      <c r="MZ86" s="101"/>
      <c r="NA86" s="101"/>
      <c r="NB86" s="101"/>
      <c r="NC86" s="101"/>
      <c r="ND86" s="101"/>
      <c r="NE86" s="101"/>
      <c r="NF86" s="101"/>
      <c r="NG86" s="101"/>
      <c r="NH86" s="101"/>
      <c r="NI86" s="101"/>
      <c r="NJ86" s="101"/>
      <c r="NK86" s="101"/>
      <c r="NL86" s="101"/>
      <c r="NM86" s="101"/>
      <c r="NN86" s="101"/>
      <c r="NO86" s="101"/>
      <c r="NP86" s="101"/>
      <c r="NQ86" s="101"/>
      <c r="NR86" s="101"/>
      <c r="NS86" s="101"/>
      <c r="NT86" s="101"/>
      <c r="NU86" s="101"/>
      <c r="NV86" s="101"/>
      <c r="NW86" s="101"/>
      <c r="NX86" s="101"/>
      <c r="NY86" s="101"/>
      <c r="NZ86" s="101"/>
      <c r="OA86" s="101"/>
      <c r="OB86" s="101"/>
      <c r="OC86" s="101"/>
      <c r="OD86" s="101"/>
      <c r="OE86" s="101"/>
      <c r="OF86" s="101"/>
      <c r="OG86" s="101"/>
      <c r="OH86" s="101"/>
      <c r="OI86" s="101"/>
      <c r="OJ86" s="101"/>
      <c r="OK86" s="101"/>
      <c r="OL86" s="101"/>
      <c r="OM86" s="101"/>
      <c r="ON86" s="101"/>
      <c r="OO86" s="101"/>
      <c r="OP86" s="101"/>
      <c r="OQ86" s="101"/>
      <c r="OR86" s="101"/>
      <c r="OS86" s="101"/>
      <c r="OT86" s="101"/>
      <c r="OU86" s="101"/>
      <c r="OV86" s="101"/>
      <c r="OW86" s="101"/>
      <c r="OX86" s="101"/>
      <c r="OY86" s="101"/>
      <c r="OZ86" s="101"/>
      <c r="PA86" s="101"/>
      <c r="PB86" s="101"/>
      <c r="PC86" s="101"/>
      <c r="PD86" s="101"/>
      <c r="PE86" s="101"/>
      <c r="PF86" s="101"/>
      <c r="PG86" s="101"/>
      <c r="PH86" s="101"/>
      <c r="PI86" s="101"/>
      <c r="PJ86" s="101"/>
      <c r="PK86" s="101"/>
      <c r="PL86" s="101"/>
      <c r="PM86" s="101"/>
      <c r="PN86" s="101"/>
      <c r="PO86" s="101"/>
      <c r="PP86" s="101"/>
      <c r="PQ86" s="101"/>
      <c r="PR86" s="101"/>
      <c r="PS86" s="101"/>
      <c r="PT86" s="101"/>
      <c r="PU86" s="101"/>
      <c r="PV86" s="101"/>
      <c r="PW86" s="101"/>
      <c r="PX86" s="101"/>
      <c r="PY86" s="101"/>
      <c r="PZ86" s="101"/>
      <c r="QA86" s="101"/>
      <c r="QB86" s="101"/>
      <c r="QC86" s="101"/>
      <c r="QD86" s="101"/>
      <c r="QE86" s="101"/>
      <c r="QF86" s="101"/>
      <c r="QG86" s="101"/>
      <c r="QH86" s="101"/>
      <c r="QI86" s="101"/>
      <c r="QJ86" s="101"/>
      <c r="QK86" s="101"/>
      <c r="QL86" s="101"/>
      <c r="QM86" s="101"/>
      <c r="QN86" s="101"/>
      <c r="QO86" s="101"/>
      <c r="QP86" s="101"/>
      <c r="QQ86" s="101"/>
      <c r="QR86" s="101"/>
      <c r="QS86" s="101"/>
      <c r="QT86" s="101"/>
      <c r="QU86" s="101"/>
      <c r="QV86" s="101"/>
      <c r="QW86" s="101"/>
      <c r="QX86" s="101"/>
      <c r="QY86" s="101"/>
      <c r="QZ86" s="101"/>
      <c r="RA86" s="101"/>
      <c r="RB86" s="101"/>
      <c r="RC86" s="101"/>
      <c r="RD86" s="101"/>
      <c r="RE86" s="101"/>
      <c r="RF86" s="101"/>
      <c r="RG86" s="101"/>
      <c r="RH86" s="101"/>
      <c r="RI86" s="101"/>
      <c r="RJ86" s="101"/>
      <c r="RK86" s="101"/>
      <c r="RL86" s="101"/>
      <c r="RM86" s="101"/>
      <c r="RN86" s="101"/>
      <c r="RO86" s="101"/>
      <c r="RP86" s="101"/>
      <c r="RQ86" s="101"/>
      <c r="RR86" s="101"/>
      <c r="RS86" s="101"/>
      <c r="RT86" s="101"/>
      <c r="RU86" s="101"/>
      <c r="RV86" s="101"/>
      <c r="RW86" s="101"/>
      <c r="RX86" s="101"/>
      <c r="RY86" s="101"/>
      <c r="RZ86" s="101"/>
      <c r="SA86" s="101"/>
      <c r="SB86" s="101"/>
      <c r="SC86" s="101"/>
      <c r="SD86" s="101"/>
      <c r="SE86" s="101"/>
      <c r="SF86" s="101"/>
      <c r="SG86" s="101"/>
      <c r="SH86" s="101"/>
      <c r="SI86" s="101"/>
      <c r="SJ86" s="101"/>
      <c r="SK86" s="101"/>
      <c r="SL86" s="101"/>
      <c r="SM86" s="101"/>
      <c r="SN86" s="101"/>
      <c r="SO86" s="101"/>
      <c r="SP86" s="101"/>
      <c r="SQ86" s="101"/>
      <c r="SR86" s="101"/>
      <c r="SS86" s="101"/>
      <c r="ST86" s="101"/>
      <c r="SU86" s="101"/>
      <c r="SV86" s="101"/>
      <c r="SW86" s="101"/>
      <c r="SX86" s="101"/>
      <c r="SY86" s="101"/>
      <c r="SZ86" s="101"/>
      <c r="TA86" s="101"/>
      <c r="TB86" s="101"/>
      <c r="TC86" s="101"/>
      <c r="TD86" s="101"/>
      <c r="TE86" s="101"/>
      <c r="TF86" s="101"/>
      <c r="TG86" s="101"/>
      <c r="TH86" s="101"/>
      <c r="TI86" s="101"/>
      <c r="TJ86" s="101"/>
      <c r="TK86" s="101"/>
      <c r="TL86" s="101"/>
      <c r="TM86" s="101"/>
      <c r="TN86" s="101"/>
      <c r="TO86" s="101"/>
      <c r="TP86" s="101"/>
      <c r="TQ86" s="101"/>
      <c r="TR86" s="101"/>
      <c r="TS86" s="101"/>
      <c r="TT86" s="101"/>
      <c r="TU86" s="101"/>
      <c r="TV86" s="101"/>
      <c r="TW86" s="101"/>
      <c r="TX86" s="101"/>
      <c r="TY86" s="101"/>
      <c r="TZ86" s="101"/>
      <c r="UA86" s="101"/>
      <c r="UB86" s="101"/>
      <c r="UC86" s="101"/>
      <c r="UD86" s="101"/>
      <c r="UE86" s="101"/>
      <c r="UF86" s="101"/>
      <c r="UG86" s="101"/>
      <c r="UH86" s="101"/>
      <c r="UI86" s="101"/>
      <c r="UJ86" s="101"/>
      <c r="UK86" s="101"/>
      <c r="UL86" s="101"/>
      <c r="UM86" s="101"/>
      <c r="UN86" s="101"/>
      <c r="UO86" s="101"/>
      <c r="UP86" s="101"/>
      <c r="UQ86" s="101"/>
      <c r="UR86" s="101"/>
      <c r="US86" s="101"/>
      <c r="UT86" s="101"/>
      <c r="UU86" s="101"/>
      <c r="UV86" s="101"/>
      <c r="UW86" s="101"/>
      <c r="UX86" s="101"/>
      <c r="UY86" s="101"/>
      <c r="UZ86" s="101"/>
      <c r="VA86" s="101"/>
      <c r="VB86" s="101"/>
      <c r="VC86" s="101"/>
      <c r="VD86" s="101"/>
      <c r="VE86" s="101"/>
      <c r="VF86" s="101"/>
      <c r="VG86" s="101"/>
      <c r="VH86" s="101"/>
      <c r="VI86" s="101"/>
      <c r="VJ86" s="101"/>
      <c r="VK86" s="101"/>
      <c r="VL86" s="101"/>
      <c r="VM86" s="101"/>
      <c r="VN86" s="101"/>
      <c r="VO86" s="101"/>
      <c r="VP86" s="101"/>
      <c r="VQ86" s="101"/>
      <c r="VR86" s="101"/>
      <c r="VS86" s="101"/>
      <c r="VT86" s="101"/>
      <c r="VU86" s="101"/>
      <c r="VV86" s="101"/>
      <c r="VW86" s="101"/>
      <c r="VX86" s="101"/>
      <c r="VY86" s="101"/>
      <c r="VZ86" s="101"/>
      <c r="WA86" s="101"/>
      <c r="WB86" s="101"/>
      <c r="WC86" s="101"/>
      <c r="WD86" s="101"/>
      <c r="WE86" s="101"/>
      <c r="WF86" s="101"/>
      <c r="WG86" s="101"/>
      <c r="WH86" s="101"/>
      <c r="WI86" s="101"/>
      <c r="WJ86" s="101"/>
      <c r="WK86" s="101"/>
      <c r="WL86" s="101"/>
      <c r="WM86" s="101"/>
      <c r="WN86" s="101"/>
      <c r="WO86" s="101"/>
      <c r="WP86" s="101"/>
      <c r="WQ86" s="101"/>
      <c r="WR86" s="101"/>
      <c r="WS86" s="101"/>
      <c r="WT86" s="101"/>
      <c r="WU86" s="101"/>
      <c r="WV86" s="101"/>
      <c r="WW86" s="101"/>
      <c r="WX86" s="101"/>
      <c r="WY86" s="101"/>
      <c r="WZ86" s="101"/>
      <c r="XA86" s="101"/>
      <c r="XB86" s="101"/>
      <c r="XC86" s="101"/>
      <c r="XD86" s="101"/>
      <c r="XE86" s="101"/>
      <c r="XF86" s="101"/>
      <c r="XG86" s="101"/>
      <c r="XH86" s="101"/>
      <c r="XI86" s="101"/>
      <c r="XJ86" s="101"/>
      <c r="XK86" s="101"/>
      <c r="XL86" s="101"/>
      <c r="XM86" s="101"/>
      <c r="XN86" s="101"/>
      <c r="XO86" s="101"/>
      <c r="XP86" s="101"/>
      <c r="XQ86" s="101"/>
      <c r="XR86" s="101"/>
      <c r="XS86" s="101"/>
      <c r="XT86" s="101"/>
      <c r="XU86" s="101"/>
      <c r="XV86" s="101"/>
      <c r="XW86" s="101"/>
      <c r="XX86" s="101"/>
      <c r="XY86" s="101"/>
      <c r="XZ86" s="101"/>
      <c r="YA86" s="101"/>
      <c r="YB86" s="101"/>
      <c r="YC86" s="101"/>
      <c r="YD86" s="101"/>
      <c r="YE86" s="101"/>
      <c r="YF86" s="101"/>
      <c r="YG86" s="101"/>
      <c r="YH86" s="101"/>
      <c r="YI86" s="101"/>
      <c r="YJ86" s="101"/>
      <c r="YK86" s="101"/>
      <c r="YL86" s="101"/>
      <c r="YM86" s="101"/>
      <c r="YN86" s="101"/>
      <c r="YO86" s="101"/>
      <c r="YP86" s="101"/>
      <c r="YQ86" s="101"/>
      <c r="YR86" s="101"/>
      <c r="YS86" s="101"/>
      <c r="YT86" s="101"/>
      <c r="YU86" s="101"/>
      <c r="YV86" s="101"/>
      <c r="YW86" s="101"/>
      <c r="YX86" s="101"/>
      <c r="YY86" s="101"/>
      <c r="YZ86" s="101"/>
      <c r="ZA86" s="101"/>
      <c r="ZB86" s="101"/>
      <c r="ZC86" s="101"/>
      <c r="ZD86" s="101"/>
      <c r="ZE86" s="101"/>
      <c r="ZF86" s="101"/>
      <c r="ZG86" s="101"/>
      <c r="ZH86" s="101"/>
      <c r="ZI86" s="101"/>
      <c r="ZJ86" s="101"/>
      <c r="ZK86" s="101"/>
      <c r="ZL86" s="101"/>
      <c r="ZM86" s="101"/>
      <c r="ZN86" s="101"/>
      <c r="ZO86" s="101"/>
      <c r="ZP86" s="101"/>
      <c r="ZQ86" s="101"/>
      <c r="ZR86" s="101"/>
      <c r="ZS86" s="101"/>
      <c r="ZT86" s="101"/>
      <c r="ZU86" s="101"/>
      <c r="ZV86" s="101"/>
      <c r="ZW86" s="101"/>
      <c r="ZX86" s="101"/>
      <c r="ZY86" s="101"/>
      <c r="ZZ86" s="101"/>
      <c r="AAA86" s="101"/>
      <c r="AAB86" s="101"/>
      <c r="AAC86" s="101"/>
      <c r="AAD86" s="101"/>
      <c r="AAE86" s="101"/>
      <c r="AAF86" s="101"/>
      <c r="AAG86" s="101"/>
      <c r="AAH86" s="101"/>
      <c r="AAI86" s="101"/>
      <c r="AAJ86" s="101"/>
      <c r="AAK86" s="101"/>
      <c r="AAL86" s="101"/>
      <c r="AAM86" s="101"/>
      <c r="AAN86" s="101"/>
      <c r="AAO86" s="101"/>
      <c r="AAP86" s="101"/>
      <c r="AAQ86" s="101"/>
      <c r="AAR86" s="101"/>
      <c r="AAS86" s="101"/>
      <c r="AAT86" s="101"/>
      <c r="AAU86" s="101"/>
      <c r="AAV86" s="101"/>
      <c r="AAW86" s="101"/>
      <c r="AAX86" s="101"/>
      <c r="AAY86" s="101"/>
      <c r="AAZ86" s="101"/>
      <c r="ABA86" s="101"/>
      <c r="ABB86" s="101"/>
      <c r="ABC86" s="101"/>
      <c r="ABD86" s="101"/>
      <c r="ABE86" s="101"/>
      <c r="ABF86" s="101"/>
      <c r="ABG86" s="101"/>
      <c r="ABH86" s="101"/>
      <c r="ABI86" s="101"/>
      <c r="ABJ86" s="101"/>
      <c r="ABK86" s="101"/>
      <c r="ABL86" s="101"/>
      <c r="ABM86" s="101"/>
      <c r="ABN86" s="101"/>
      <c r="ABO86" s="101"/>
      <c r="ABP86" s="101"/>
      <c r="ABQ86" s="101"/>
      <c r="ABR86" s="101"/>
      <c r="ABS86" s="101"/>
      <c r="ABT86" s="101"/>
      <c r="ABU86" s="101"/>
      <c r="ABV86" s="101"/>
      <c r="ABW86" s="101"/>
      <c r="ABX86" s="101"/>
      <c r="ABY86" s="101"/>
      <c r="ABZ86" s="101"/>
      <c r="ACA86" s="101"/>
      <c r="ACB86" s="101"/>
      <c r="ACC86" s="101"/>
      <c r="ACD86" s="101"/>
      <c r="ACE86" s="101"/>
      <c r="ACF86" s="101"/>
      <c r="ACG86" s="101"/>
      <c r="ACH86" s="101"/>
      <c r="ACI86" s="101"/>
      <c r="ACJ86" s="101"/>
      <c r="ACK86" s="101"/>
      <c r="ACL86" s="101"/>
      <c r="ACM86" s="101"/>
      <c r="ACN86" s="101"/>
      <c r="ACO86" s="101"/>
      <c r="ACP86" s="101"/>
      <c r="ACQ86" s="101"/>
      <c r="ACR86" s="101"/>
      <c r="ACS86" s="101"/>
      <c r="ACT86" s="101"/>
      <c r="ACU86" s="101"/>
      <c r="ACV86" s="101"/>
      <c r="ACW86" s="101"/>
      <c r="ACX86" s="101"/>
      <c r="ACY86" s="101"/>
      <c r="ACZ86" s="101"/>
      <c r="ADA86" s="101"/>
      <c r="ADB86" s="101"/>
      <c r="ADC86" s="101"/>
      <c r="ADD86" s="101"/>
      <c r="ADE86" s="101"/>
      <c r="ADF86" s="101"/>
      <c r="ADG86" s="101"/>
      <c r="ADH86" s="101"/>
      <c r="ADI86" s="101"/>
      <c r="ADJ86" s="101"/>
      <c r="ADK86" s="101"/>
      <c r="ADL86" s="101"/>
      <c r="ADM86" s="101"/>
      <c r="ADN86" s="101"/>
      <c r="ADO86" s="101"/>
      <c r="ADP86" s="101"/>
      <c r="ADQ86" s="101"/>
      <c r="ADR86" s="101"/>
      <c r="ADS86" s="101"/>
      <c r="ADT86" s="101"/>
      <c r="ADU86" s="101"/>
      <c r="ADV86" s="101"/>
      <c r="ADW86" s="101"/>
      <c r="ADX86" s="101"/>
      <c r="ADY86" s="101"/>
      <c r="ADZ86" s="101"/>
      <c r="AEA86" s="101"/>
      <c r="AEB86" s="101"/>
      <c r="AEC86" s="101"/>
      <c r="AED86" s="101"/>
      <c r="AEE86" s="101"/>
      <c r="AEF86" s="101"/>
      <c r="AEG86" s="101"/>
      <c r="AEH86" s="101"/>
      <c r="AEI86" s="101"/>
      <c r="AEJ86" s="101"/>
      <c r="AEK86" s="101"/>
      <c r="AEL86" s="101"/>
      <c r="AEM86" s="101"/>
      <c r="AEN86" s="101"/>
      <c r="AEO86" s="101"/>
      <c r="AEP86" s="101"/>
      <c r="AEQ86" s="101"/>
      <c r="AER86" s="101"/>
      <c r="AES86" s="101"/>
      <c r="AET86" s="101"/>
      <c r="AEU86" s="101"/>
      <c r="AEV86" s="101"/>
      <c r="AEW86" s="101"/>
      <c r="AEX86" s="101"/>
      <c r="AEY86" s="101"/>
      <c r="AEZ86" s="101"/>
      <c r="AFA86" s="101"/>
      <c r="AFB86" s="101"/>
      <c r="AFC86" s="101"/>
      <c r="AFD86" s="101"/>
      <c r="AFE86" s="101"/>
      <c r="AFF86" s="101"/>
      <c r="AFG86" s="101"/>
      <c r="AFH86" s="101"/>
      <c r="AFI86" s="101"/>
      <c r="AFJ86" s="101"/>
      <c r="AFK86" s="101"/>
      <c r="AFL86" s="101"/>
      <c r="AFM86" s="101"/>
      <c r="AFN86" s="101"/>
      <c r="AFO86" s="101"/>
      <c r="AFP86" s="101"/>
      <c r="AFQ86" s="101"/>
      <c r="AFR86" s="101"/>
      <c r="AFS86" s="101"/>
      <c r="AFT86" s="101"/>
      <c r="AFU86" s="101"/>
      <c r="AFV86" s="101"/>
      <c r="AFW86" s="101"/>
      <c r="AFX86" s="101"/>
      <c r="AFY86" s="101"/>
      <c r="AFZ86" s="101"/>
      <c r="AGA86" s="101"/>
      <c r="AGB86" s="101"/>
      <c r="AGC86" s="101"/>
      <c r="AGD86" s="101"/>
      <c r="AGE86" s="101"/>
      <c r="AGF86" s="101"/>
      <c r="AGG86" s="101"/>
      <c r="AGH86" s="101"/>
      <c r="AGI86" s="101"/>
      <c r="AGJ86" s="101"/>
      <c r="AGK86" s="101"/>
      <c r="AGL86" s="101"/>
      <c r="AGM86" s="101"/>
      <c r="AGN86" s="101"/>
      <c r="AGO86" s="101"/>
      <c r="AGP86" s="101"/>
      <c r="AGQ86" s="101"/>
      <c r="AGR86" s="101"/>
      <c r="AGS86" s="101"/>
      <c r="AGT86" s="101"/>
      <c r="AGU86" s="101"/>
      <c r="AGV86" s="101"/>
      <c r="AGW86" s="101"/>
      <c r="AGX86" s="101"/>
      <c r="AGY86" s="101"/>
      <c r="AGZ86" s="101"/>
      <c r="AHA86" s="101"/>
      <c r="AHB86" s="101"/>
      <c r="AHC86" s="101"/>
      <c r="AHD86" s="101"/>
      <c r="AHE86" s="101"/>
      <c r="AHF86" s="101"/>
      <c r="AHG86" s="101"/>
      <c r="AHH86" s="101"/>
      <c r="AHI86" s="101"/>
      <c r="AHJ86" s="101"/>
      <c r="AHK86" s="101"/>
      <c r="AHL86" s="101"/>
      <c r="AHM86" s="101"/>
      <c r="AHN86" s="101"/>
      <c r="AHO86" s="101"/>
      <c r="AHP86" s="101"/>
      <c r="AHQ86" s="101"/>
      <c r="AHR86" s="101"/>
      <c r="AHS86" s="101"/>
      <c r="AHT86" s="101"/>
      <c r="AHU86" s="101"/>
      <c r="AHV86" s="101"/>
      <c r="AHW86" s="101"/>
      <c r="AHX86" s="101"/>
      <c r="AHY86" s="101"/>
      <c r="AHZ86" s="101"/>
      <c r="AIA86" s="101"/>
      <c r="AIB86" s="101"/>
      <c r="AIC86" s="101"/>
      <c r="AID86" s="101"/>
      <c r="AIE86" s="101"/>
      <c r="AIF86" s="101"/>
      <c r="AIG86" s="101"/>
      <c r="AIH86" s="101"/>
      <c r="AII86" s="101"/>
      <c r="AIJ86" s="101"/>
      <c r="AIK86" s="101"/>
      <c r="AIL86" s="101"/>
      <c r="AIM86" s="101"/>
      <c r="AIN86" s="101"/>
      <c r="AIO86" s="101"/>
      <c r="AIP86" s="101"/>
      <c r="AIQ86" s="101"/>
      <c r="AIR86" s="101"/>
      <c r="AIS86" s="101"/>
      <c r="AIT86" s="101"/>
      <c r="AIU86" s="101"/>
      <c r="AIV86" s="101"/>
      <c r="AIW86" s="101"/>
      <c r="AIX86" s="101"/>
      <c r="AIY86" s="101"/>
      <c r="AIZ86" s="101"/>
      <c r="AJA86" s="101"/>
      <c r="AJB86" s="101"/>
      <c r="AJC86" s="101"/>
      <c r="AJD86" s="101"/>
      <c r="AJE86" s="101"/>
      <c r="AJF86" s="101"/>
      <c r="AJG86" s="101"/>
      <c r="AJH86" s="101"/>
      <c r="AJI86" s="101"/>
      <c r="AJJ86" s="101"/>
      <c r="AJK86" s="101"/>
      <c r="AJL86" s="101"/>
      <c r="AJM86" s="101"/>
      <c r="AJN86" s="101"/>
      <c r="AJO86" s="101"/>
      <c r="AJP86" s="101"/>
      <c r="AJQ86" s="101"/>
      <c r="AJR86" s="101"/>
      <c r="AJS86" s="101"/>
      <c r="AJT86" s="101"/>
      <c r="AJU86" s="101"/>
      <c r="AJV86" s="101"/>
      <c r="AJW86" s="101"/>
      <c r="AJX86" s="101"/>
      <c r="AJY86" s="101"/>
      <c r="AJZ86" s="101"/>
      <c r="AKA86" s="101"/>
      <c r="AKB86" s="101"/>
      <c r="AKC86" s="101"/>
      <c r="AKD86" s="101"/>
      <c r="AKE86" s="101"/>
      <c r="AKF86" s="101"/>
      <c r="AKG86" s="101"/>
      <c r="AKH86" s="101"/>
      <c r="AKI86" s="101"/>
      <c r="AKJ86" s="101"/>
      <c r="AKK86" s="101"/>
      <c r="AKL86" s="101"/>
      <c r="AKM86" s="101"/>
      <c r="AKN86" s="101"/>
      <c r="AKO86" s="101"/>
      <c r="AKP86" s="101"/>
      <c r="AKQ86" s="101"/>
      <c r="AKR86" s="101"/>
      <c r="AKS86" s="101"/>
      <c r="AKT86" s="101"/>
      <c r="AKU86" s="101"/>
      <c r="AKV86" s="101"/>
      <c r="AKW86" s="101"/>
      <c r="AKX86" s="101"/>
      <c r="AKY86" s="101"/>
      <c r="AKZ86" s="101"/>
      <c r="ALA86" s="101"/>
      <c r="ALB86" s="101"/>
      <c r="ALC86" s="101"/>
      <c r="ALD86" s="101"/>
      <c r="ALE86" s="101"/>
      <c r="ALF86" s="101"/>
      <c r="ALG86" s="101"/>
      <c r="ALH86" s="101"/>
      <c r="ALI86" s="101"/>
      <c r="ALJ86" s="101"/>
      <c r="ALK86" s="101"/>
      <c r="ALL86" s="101"/>
      <c r="ALM86" s="101"/>
      <c r="ALN86" s="101"/>
      <c r="ALO86" s="101"/>
      <c r="ALP86" s="101"/>
      <c r="ALQ86" s="101"/>
      <c r="ALR86" s="101"/>
      <c r="ALS86" s="101"/>
      <c r="ALT86" s="101"/>
      <c r="ALU86" s="101"/>
      <c r="ALV86" s="101"/>
      <c r="ALW86" s="101"/>
      <c r="ALX86" s="101"/>
      <c r="ALY86" s="101"/>
      <c r="ALZ86" s="101"/>
      <c r="AMA86" s="101"/>
      <c r="AMB86" s="101"/>
      <c r="AMC86" s="101"/>
      <c r="AMD86" s="101"/>
      <c r="AME86" s="101"/>
      <c r="AMF86" s="101"/>
      <c r="AMG86" s="101"/>
      <c r="AMH86" s="101"/>
      <c r="AMI86" s="101"/>
      <c r="AMJ86" s="101"/>
      <c r="AMK86" s="101"/>
      <c r="AML86" s="101"/>
      <c r="AMM86" s="101"/>
      <c r="AMN86" s="101"/>
      <c r="AMO86" s="101"/>
      <c r="AMP86" s="101"/>
      <c r="AMQ86" s="101"/>
      <c r="AMR86" s="101"/>
      <c r="AMS86" s="101"/>
      <c r="AMT86" s="101"/>
      <c r="AMU86" s="101"/>
      <c r="AMV86" s="101"/>
      <c r="AMW86" s="101"/>
      <c r="AMX86" s="101"/>
      <c r="AMY86" s="101"/>
      <c r="AMZ86" s="101"/>
      <c r="ANA86" s="101"/>
      <c r="ANB86" s="101"/>
      <c r="ANC86" s="101"/>
      <c r="AND86" s="101"/>
      <c r="ANE86" s="101"/>
      <c r="ANF86" s="101"/>
      <c r="ANG86" s="101"/>
      <c r="ANH86" s="101"/>
      <c r="ANI86" s="101"/>
      <c r="ANJ86" s="101"/>
      <c r="ANK86" s="101"/>
      <c r="ANL86" s="101"/>
      <c r="ANM86" s="101"/>
      <c r="ANN86" s="101"/>
      <c r="ANO86" s="101"/>
      <c r="ANP86" s="101"/>
      <c r="ANQ86" s="101"/>
      <c r="ANR86" s="101"/>
      <c r="ANS86" s="101"/>
      <c r="ANT86" s="101"/>
      <c r="ANU86" s="101"/>
      <c r="ANV86" s="101"/>
      <c r="ANW86" s="101"/>
      <c r="ANX86" s="101"/>
      <c r="ANY86" s="101"/>
      <c r="ANZ86" s="101"/>
      <c r="AOA86" s="101"/>
      <c r="AOB86" s="101"/>
      <c r="AOC86" s="101"/>
      <c r="AOD86" s="101"/>
      <c r="AOE86" s="101"/>
      <c r="AOF86" s="101"/>
      <c r="AOG86" s="101"/>
      <c r="AOH86" s="101"/>
      <c r="AOI86" s="101"/>
      <c r="AOJ86" s="101"/>
      <c r="AOK86" s="101"/>
      <c r="AOL86" s="101"/>
      <c r="AOM86" s="101"/>
      <c r="AON86" s="101"/>
      <c r="AOO86" s="101"/>
      <c r="AOP86" s="101"/>
      <c r="AOQ86" s="101"/>
      <c r="AOR86" s="101"/>
      <c r="AOS86" s="101"/>
      <c r="AOT86" s="101"/>
      <c r="AOU86" s="101"/>
      <c r="AOV86" s="101"/>
      <c r="AOW86" s="101"/>
      <c r="AOX86" s="101"/>
      <c r="AOY86" s="101"/>
      <c r="AOZ86" s="101"/>
      <c r="APA86" s="101"/>
      <c r="APB86" s="101"/>
      <c r="APC86" s="101"/>
      <c r="APD86" s="101"/>
      <c r="APE86" s="101"/>
      <c r="APF86" s="101"/>
      <c r="APG86" s="101"/>
      <c r="APH86" s="101"/>
      <c r="API86" s="101"/>
      <c r="APJ86" s="101"/>
      <c r="APK86" s="101"/>
      <c r="APL86" s="101"/>
      <c r="APM86" s="101"/>
      <c r="APN86" s="101"/>
      <c r="APO86" s="101"/>
      <c r="APP86" s="101"/>
      <c r="APQ86" s="101"/>
      <c r="APR86" s="101"/>
      <c r="APS86" s="101"/>
      <c r="APT86" s="101"/>
      <c r="APU86" s="101"/>
      <c r="APV86" s="101"/>
      <c r="APW86" s="101"/>
      <c r="APX86" s="101"/>
      <c r="APY86" s="101"/>
      <c r="APZ86" s="101"/>
      <c r="AQA86" s="101"/>
      <c r="AQB86" s="101"/>
      <c r="AQC86" s="101"/>
      <c r="AQD86" s="101"/>
      <c r="AQE86" s="101"/>
      <c r="AQF86" s="101"/>
      <c r="AQG86" s="101"/>
      <c r="AQH86" s="101"/>
      <c r="AQI86" s="101"/>
      <c r="AQJ86" s="101"/>
      <c r="AQK86" s="101"/>
      <c r="AQL86" s="101"/>
      <c r="AQM86" s="101"/>
      <c r="AQN86" s="101"/>
      <c r="AQO86" s="101"/>
      <c r="AQP86" s="101"/>
      <c r="AQQ86" s="101"/>
      <c r="AQR86" s="101"/>
      <c r="AQS86" s="101"/>
      <c r="AQT86" s="101"/>
      <c r="AQU86" s="101"/>
      <c r="AQV86" s="101"/>
      <c r="AQW86" s="101"/>
      <c r="AQX86" s="101"/>
      <c r="AQY86" s="101"/>
      <c r="AQZ86" s="101"/>
      <c r="ARA86" s="101"/>
      <c r="ARB86" s="101"/>
      <c r="ARC86" s="101"/>
      <c r="ARD86" s="101"/>
      <c r="ARE86" s="101"/>
      <c r="ARF86" s="101"/>
      <c r="ARG86" s="101"/>
      <c r="ARH86" s="101"/>
      <c r="ARI86" s="101"/>
      <c r="ARJ86" s="101"/>
      <c r="ARK86" s="101"/>
      <c r="ARL86" s="101"/>
      <c r="ARM86" s="101"/>
      <c r="ARN86" s="101"/>
      <c r="ARO86" s="101"/>
      <c r="ARP86" s="101"/>
      <c r="ARQ86" s="101"/>
      <c r="ARR86" s="101"/>
      <c r="ARS86" s="101"/>
      <c r="ART86" s="101"/>
      <c r="ARU86" s="101"/>
      <c r="ARV86" s="101"/>
      <c r="ARW86" s="101"/>
      <c r="ARX86" s="101"/>
      <c r="ARY86" s="101"/>
      <c r="ARZ86" s="101"/>
      <c r="ASA86" s="101"/>
      <c r="ASB86" s="101"/>
      <c r="ASC86" s="101"/>
      <c r="ASD86" s="101"/>
      <c r="ASE86" s="101"/>
      <c r="ASF86" s="101"/>
      <c r="ASG86" s="101"/>
      <c r="ASH86" s="101"/>
      <c r="ASI86" s="101"/>
      <c r="ASJ86" s="101"/>
      <c r="ASK86" s="101"/>
      <c r="ASL86" s="101"/>
      <c r="ASM86" s="101"/>
      <c r="ASN86" s="101"/>
      <c r="ASO86" s="101"/>
      <c r="ASP86" s="101"/>
      <c r="ASQ86" s="101"/>
      <c r="ASR86" s="101"/>
      <c r="ASS86" s="101"/>
      <c r="AST86" s="101"/>
      <c r="ASU86" s="101"/>
      <c r="ASV86" s="101"/>
      <c r="ASW86" s="101"/>
      <c r="ASX86" s="101"/>
      <c r="ASY86" s="101"/>
      <c r="ASZ86" s="101"/>
      <c r="ATA86" s="101"/>
      <c r="ATB86" s="101"/>
      <c r="ATC86" s="101"/>
      <c r="ATD86" s="101"/>
      <c r="ATE86" s="101"/>
      <c r="ATF86" s="101"/>
      <c r="ATG86" s="101"/>
      <c r="ATH86" s="101"/>
      <c r="ATI86" s="101"/>
      <c r="ATJ86" s="101"/>
      <c r="ATK86" s="101"/>
      <c r="ATL86" s="101"/>
      <c r="ATM86" s="101"/>
      <c r="ATN86" s="101"/>
      <c r="ATO86" s="101"/>
      <c r="ATP86" s="101"/>
      <c r="ATQ86" s="101"/>
      <c r="ATR86" s="101"/>
      <c r="ATS86" s="101"/>
      <c r="ATT86" s="101"/>
      <c r="ATU86" s="101"/>
      <c r="ATV86" s="101"/>
      <c r="ATW86" s="101"/>
      <c r="ATX86" s="101"/>
      <c r="ATY86" s="101"/>
      <c r="ATZ86" s="101"/>
      <c r="AUA86" s="101"/>
      <c r="AUB86" s="101"/>
      <c r="AUC86" s="101"/>
      <c r="AUD86" s="101"/>
      <c r="AUE86" s="101"/>
      <c r="AUF86" s="101"/>
      <c r="AUG86" s="101"/>
      <c r="AUH86" s="101"/>
      <c r="AUI86" s="101"/>
      <c r="AUJ86" s="101"/>
      <c r="AUK86" s="101"/>
      <c r="AUL86" s="101"/>
      <c r="AUM86" s="101"/>
      <c r="AUN86" s="101"/>
      <c r="AUO86" s="101"/>
      <c r="AUP86" s="101"/>
      <c r="AUQ86" s="101"/>
      <c r="AUR86" s="101"/>
      <c r="AUS86" s="101"/>
      <c r="AUT86" s="101"/>
      <c r="AUU86" s="101"/>
      <c r="AUV86" s="101"/>
      <c r="AUW86" s="101"/>
      <c r="AUX86" s="101"/>
      <c r="AUY86" s="101"/>
      <c r="AUZ86" s="101"/>
      <c r="AVA86" s="101"/>
      <c r="AVB86" s="101"/>
      <c r="AVC86" s="101"/>
      <c r="AVD86" s="101"/>
      <c r="AVE86" s="101"/>
      <c r="AVF86" s="101"/>
      <c r="AVG86" s="101"/>
      <c r="AVH86" s="101"/>
      <c r="AVI86" s="101"/>
      <c r="AVJ86" s="101"/>
      <c r="AVK86" s="101"/>
      <c r="AVL86" s="101"/>
      <c r="AVM86" s="101"/>
      <c r="AVN86" s="101"/>
      <c r="AVO86" s="101"/>
      <c r="AVP86" s="101"/>
      <c r="AVQ86" s="101"/>
      <c r="AVR86" s="101"/>
      <c r="AVS86" s="101"/>
      <c r="AVT86" s="101"/>
      <c r="AVU86" s="101"/>
      <c r="AVV86" s="101"/>
      <c r="AVW86" s="101"/>
      <c r="AVX86" s="101"/>
      <c r="AVY86" s="101"/>
      <c r="AVZ86" s="101"/>
      <c r="AWA86" s="101"/>
      <c r="AWB86" s="101"/>
      <c r="AWC86" s="101"/>
      <c r="AWD86" s="101"/>
      <c r="AWE86" s="101"/>
      <c r="AWF86" s="101"/>
      <c r="AWG86" s="101"/>
      <c r="AWH86" s="101"/>
      <c r="AWI86" s="101"/>
      <c r="AWJ86" s="101"/>
      <c r="AWK86" s="101"/>
      <c r="AWL86" s="101"/>
      <c r="AWM86" s="101"/>
      <c r="AWN86" s="101"/>
      <c r="AWO86" s="101"/>
      <c r="AWP86" s="101"/>
      <c r="AWQ86" s="101"/>
      <c r="AWR86" s="101"/>
      <c r="AWS86" s="101"/>
      <c r="AWT86" s="101"/>
      <c r="AWU86" s="101"/>
      <c r="AWV86" s="101"/>
      <c r="AWW86" s="101"/>
      <c r="AWX86" s="101"/>
      <c r="AWY86" s="101"/>
      <c r="AWZ86" s="101"/>
      <c r="AXA86" s="101"/>
      <c r="AXB86" s="101"/>
      <c r="AXC86" s="101"/>
      <c r="AXD86" s="101"/>
      <c r="AXE86" s="101"/>
      <c r="AXF86" s="101"/>
      <c r="AXG86" s="101"/>
      <c r="AXH86" s="101"/>
      <c r="AXI86" s="101"/>
      <c r="AXJ86" s="101"/>
      <c r="AXK86" s="101"/>
      <c r="AXL86" s="101"/>
      <c r="AXM86" s="101"/>
      <c r="AXN86" s="101"/>
      <c r="AXO86" s="101"/>
      <c r="AXP86" s="101"/>
      <c r="AXQ86" s="101"/>
      <c r="AXR86" s="101"/>
      <c r="AXS86" s="101"/>
      <c r="AXT86" s="101"/>
      <c r="AXU86" s="101"/>
      <c r="AXV86" s="101"/>
      <c r="AXW86" s="101"/>
      <c r="AXX86" s="101"/>
      <c r="AXY86" s="101"/>
      <c r="AXZ86" s="101"/>
      <c r="AYA86" s="101"/>
      <c r="AYB86" s="101"/>
      <c r="AYC86" s="101"/>
      <c r="AYD86" s="101"/>
      <c r="AYE86" s="101"/>
      <c r="AYF86" s="101"/>
      <c r="AYG86" s="101"/>
      <c r="AYH86" s="101"/>
      <c r="AYI86" s="101"/>
      <c r="AYJ86" s="101"/>
      <c r="AYK86" s="101"/>
      <c r="AYL86" s="101"/>
      <c r="AYM86" s="101"/>
      <c r="AYN86" s="101"/>
      <c r="AYO86" s="101"/>
      <c r="AYP86" s="101"/>
      <c r="AYQ86" s="101"/>
      <c r="AYR86" s="101"/>
      <c r="AYS86" s="101"/>
      <c r="AYT86" s="101"/>
      <c r="AYU86" s="101"/>
      <c r="AYV86" s="101"/>
      <c r="AYW86" s="101"/>
      <c r="AYX86" s="101"/>
      <c r="AYY86" s="101"/>
      <c r="AYZ86" s="101"/>
      <c r="AZA86" s="101"/>
      <c r="AZB86" s="101"/>
      <c r="AZC86" s="101"/>
      <c r="AZD86" s="101"/>
      <c r="AZE86" s="101"/>
      <c r="AZF86" s="101"/>
      <c r="AZG86" s="101"/>
      <c r="AZH86" s="101"/>
      <c r="AZI86" s="101"/>
      <c r="AZJ86" s="101"/>
      <c r="AZK86" s="101"/>
      <c r="AZL86" s="101"/>
      <c r="AZM86" s="101"/>
      <c r="AZN86" s="101"/>
      <c r="AZO86" s="101"/>
      <c r="AZP86" s="101"/>
      <c r="AZQ86" s="101"/>
      <c r="AZR86" s="101"/>
      <c r="AZS86" s="101"/>
      <c r="AZT86" s="101"/>
      <c r="AZU86" s="101"/>
      <c r="AZV86" s="101"/>
      <c r="AZW86" s="101"/>
      <c r="AZX86" s="101"/>
      <c r="AZY86" s="101"/>
      <c r="AZZ86" s="101"/>
      <c r="BAA86" s="101"/>
      <c r="BAB86" s="101"/>
      <c r="BAC86" s="101"/>
      <c r="BAD86" s="101"/>
      <c r="BAE86" s="101"/>
      <c r="BAF86" s="101"/>
      <c r="BAG86" s="101"/>
      <c r="BAH86" s="101"/>
      <c r="BAI86" s="101"/>
      <c r="BAJ86" s="101"/>
      <c r="BAK86" s="101"/>
      <c r="BAL86" s="101"/>
      <c r="BAM86" s="101"/>
      <c r="BAN86" s="101"/>
      <c r="BAO86" s="101"/>
      <c r="BAP86" s="101"/>
      <c r="BAQ86" s="101"/>
      <c r="BAR86" s="101"/>
      <c r="BAS86" s="101"/>
      <c r="BAT86" s="101"/>
      <c r="BAU86" s="101"/>
      <c r="BAV86" s="101"/>
      <c r="BAW86" s="101"/>
      <c r="BAX86" s="101"/>
      <c r="BAY86" s="101"/>
      <c r="BAZ86" s="101"/>
      <c r="BBA86" s="101"/>
      <c r="BBB86" s="101"/>
      <c r="BBC86" s="101"/>
      <c r="BBD86" s="101"/>
      <c r="BBE86" s="101"/>
      <c r="BBF86" s="101"/>
      <c r="BBG86" s="101"/>
      <c r="BBH86" s="101"/>
      <c r="BBI86" s="101"/>
      <c r="BBJ86" s="101"/>
      <c r="BBK86" s="101"/>
      <c r="BBL86" s="101"/>
      <c r="BBM86" s="101"/>
      <c r="BBN86" s="101"/>
      <c r="BBO86" s="101"/>
      <c r="BBP86" s="101"/>
      <c r="BBQ86" s="101"/>
      <c r="BBR86" s="101"/>
      <c r="BBS86" s="101"/>
      <c r="BBT86" s="101"/>
      <c r="BBU86" s="101"/>
      <c r="BBV86" s="101"/>
      <c r="BBW86" s="101"/>
      <c r="BBX86" s="101"/>
      <c r="BBY86" s="101"/>
      <c r="BBZ86" s="101"/>
      <c r="BCA86" s="101"/>
      <c r="BCB86" s="101"/>
      <c r="BCC86" s="101"/>
      <c r="BCD86" s="101"/>
      <c r="BCE86" s="101"/>
      <c r="BCF86" s="101"/>
      <c r="BCG86" s="101"/>
      <c r="BCH86" s="101"/>
      <c r="BCI86" s="101"/>
      <c r="BCJ86" s="101"/>
      <c r="BCK86" s="101"/>
      <c r="BCL86" s="101"/>
      <c r="BCM86" s="101"/>
      <c r="BCN86" s="101"/>
      <c r="BCO86" s="101"/>
      <c r="BCP86" s="101"/>
      <c r="BCQ86" s="101"/>
      <c r="BCR86" s="101"/>
      <c r="BCS86" s="101"/>
      <c r="BCT86" s="101"/>
      <c r="BCU86" s="101"/>
      <c r="BCV86" s="101"/>
      <c r="BCW86" s="101"/>
      <c r="BCX86" s="101"/>
      <c r="BCY86" s="101"/>
      <c r="BCZ86" s="101"/>
      <c r="BDA86" s="101"/>
      <c r="BDB86" s="101"/>
      <c r="BDC86" s="101"/>
      <c r="BDD86" s="101"/>
      <c r="BDE86" s="101"/>
      <c r="BDF86" s="101"/>
      <c r="BDG86" s="101"/>
      <c r="BDH86" s="101"/>
      <c r="BDI86" s="101"/>
      <c r="BDJ86" s="101"/>
      <c r="BDK86" s="101"/>
      <c r="BDL86" s="101"/>
      <c r="BDM86" s="101"/>
      <c r="BDN86" s="101"/>
      <c r="BDO86" s="101"/>
      <c r="BDP86" s="101"/>
      <c r="BDQ86" s="101"/>
      <c r="BDR86" s="101"/>
      <c r="BDS86" s="101"/>
      <c r="BDT86" s="101"/>
      <c r="BDU86" s="101"/>
      <c r="BDV86" s="101"/>
      <c r="BDW86" s="101"/>
      <c r="BDX86" s="101"/>
      <c r="BDY86" s="101"/>
      <c r="BDZ86" s="101"/>
      <c r="BEA86" s="101"/>
      <c r="BEB86" s="101"/>
      <c r="BEC86" s="101"/>
      <c r="BED86" s="101"/>
      <c r="BEE86" s="101"/>
      <c r="BEF86" s="101"/>
      <c r="BEG86" s="101"/>
      <c r="BEH86" s="101"/>
      <c r="BEI86" s="101"/>
      <c r="BEJ86" s="101"/>
      <c r="BEK86" s="101"/>
      <c r="BEL86" s="101"/>
      <c r="BEM86" s="101"/>
      <c r="BEN86" s="101"/>
      <c r="BEO86" s="101"/>
      <c r="BEP86" s="101"/>
      <c r="BEQ86" s="101"/>
      <c r="BER86" s="101"/>
      <c r="BES86" s="101"/>
      <c r="BET86" s="101"/>
      <c r="BEU86" s="101"/>
      <c r="BEV86" s="101"/>
      <c r="BEW86" s="101"/>
      <c r="BEX86" s="101"/>
      <c r="BEY86" s="101"/>
      <c r="BEZ86" s="101"/>
      <c r="BFA86" s="101"/>
      <c r="BFB86" s="101"/>
      <c r="BFC86" s="101"/>
      <c r="BFD86" s="101"/>
      <c r="BFE86" s="101"/>
      <c r="BFF86" s="101"/>
      <c r="BFG86" s="101"/>
      <c r="BFH86" s="101"/>
      <c r="BFI86" s="101"/>
      <c r="BFJ86" s="101"/>
      <c r="BFK86" s="101"/>
      <c r="BFL86" s="101"/>
      <c r="BFM86" s="101"/>
      <c r="BFN86" s="101"/>
      <c r="BFO86" s="101"/>
      <c r="BFP86" s="101"/>
      <c r="BFQ86" s="101"/>
      <c r="BFR86" s="101"/>
      <c r="BFS86" s="101"/>
      <c r="BFT86" s="101"/>
      <c r="BFU86" s="101"/>
      <c r="BFV86" s="101"/>
      <c r="BFW86" s="101"/>
      <c r="BFX86" s="101"/>
      <c r="BFY86" s="101"/>
      <c r="BFZ86" s="101"/>
      <c r="BGA86" s="101"/>
      <c r="BGB86" s="101"/>
      <c r="BGC86" s="101"/>
      <c r="BGD86" s="101"/>
      <c r="BGE86" s="101"/>
      <c r="BGF86" s="101"/>
      <c r="BGG86" s="101"/>
      <c r="BGH86" s="101"/>
      <c r="BGI86" s="101"/>
      <c r="BGJ86" s="101"/>
      <c r="BGK86" s="101"/>
      <c r="BGL86" s="101"/>
      <c r="BGM86" s="101"/>
      <c r="BGN86" s="101"/>
      <c r="BGO86" s="101"/>
      <c r="BGP86" s="101"/>
      <c r="BGQ86" s="101"/>
      <c r="BGR86" s="101"/>
      <c r="BGS86" s="101"/>
      <c r="BGT86" s="101"/>
      <c r="BGU86" s="101"/>
      <c r="BGV86" s="101"/>
      <c r="BGW86" s="101"/>
      <c r="BGX86" s="101"/>
      <c r="BGY86" s="101"/>
      <c r="BGZ86" s="101"/>
      <c r="BHA86" s="101"/>
      <c r="BHB86" s="101"/>
      <c r="BHC86" s="101"/>
      <c r="BHD86" s="101"/>
      <c r="BHE86" s="101"/>
      <c r="BHF86" s="101"/>
      <c r="BHG86" s="101"/>
      <c r="BHH86" s="101"/>
      <c r="BHI86" s="101"/>
      <c r="BHJ86" s="101"/>
      <c r="BHK86" s="101"/>
      <c r="BHL86" s="101"/>
      <c r="BHM86" s="101"/>
      <c r="BHN86" s="101"/>
      <c r="BHO86" s="101"/>
      <c r="BHP86" s="101"/>
      <c r="BHQ86" s="101"/>
      <c r="BHR86" s="101"/>
      <c r="BHS86" s="101"/>
      <c r="BHT86" s="101"/>
      <c r="BHU86" s="101"/>
      <c r="BHV86" s="101"/>
      <c r="BHW86" s="101"/>
      <c r="BHX86" s="101"/>
      <c r="BHY86" s="101"/>
      <c r="BHZ86" s="101"/>
      <c r="BIA86" s="101"/>
      <c r="BIB86" s="101"/>
      <c r="BIC86" s="101"/>
      <c r="BID86" s="101"/>
      <c r="BIE86" s="101"/>
      <c r="BIF86" s="101"/>
      <c r="BIG86" s="101"/>
      <c r="BIH86" s="101"/>
      <c r="BII86" s="101"/>
      <c r="BIJ86" s="101"/>
      <c r="BIK86" s="101"/>
      <c r="BIL86" s="101"/>
      <c r="BIM86" s="101"/>
      <c r="BIN86" s="101"/>
      <c r="BIO86" s="101"/>
      <c r="BIP86" s="101"/>
      <c r="BIQ86" s="101"/>
      <c r="BIR86" s="101"/>
      <c r="BIS86" s="101"/>
      <c r="BIT86" s="101"/>
      <c r="BIU86" s="101"/>
      <c r="BIV86" s="101"/>
      <c r="BIW86" s="101"/>
      <c r="BIX86" s="101"/>
      <c r="BIY86" s="101"/>
      <c r="BIZ86" s="101"/>
      <c r="BJA86" s="101"/>
      <c r="BJB86" s="101"/>
      <c r="BJC86" s="101"/>
      <c r="BJD86" s="101"/>
      <c r="BJE86" s="101"/>
      <c r="BJF86" s="101"/>
      <c r="BJG86" s="101"/>
      <c r="BJH86" s="101"/>
      <c r="BJI86" s="101"/>
      <c r="BJJ86" s="101"/>
      <c r="BJK86" s="101"/>
      <c r="BJL86" s="101"/>
      <c r="BJM86" s="101"/>
      <c r="BJN86" s="101"/>
      <c r="BJO86" s="101"/>
      <c r="BJP86" s="101"/>
      <c r="BJQ86" s="101"/>
      <c r="BJR86" s="101"/>
      <c r="BJS86" s="101"/>
      <c r="BJT86" s="101"/>
      <c r="BJU86" s="101"/>
      <c r="BJV86" s="101"/>
      <c r="BJW86" s="101"/>
      <c r="BJX86" s="101"/>
      <c r="BJY86" s="101"/>
      <c r="BJZ86" s="101"/>
      <c r="BKA86" s="101"/>
      <c r="BKB86" s="101"/>
      <c r="BKC86" s="101"/>
      <c r="BKD86" s="101"/>
      <c r="BKE86" s="101"/>
      <c r="BKF86" s="101"/>
      <c r="BKG86" s="101"/>
      <c r="BKH86" s="101"/>
      <c r="BKI86" s="101"/>
      <c r="BKJ86" s="101"/>
      <c r="BKK86" s="101"/>
      <c r="BKL86" s="101"/>
      <c r="BKM86" s="101"/>
      <c r="BKN86" s="101"/>
      <c r="BKO86" s="101"/>
      <c r="BKP86" s="101"/>
      <c r="BKQ86" s="101"/>
      <c r="BKR86" s="101"/>
      <c r="BKS86" s="101"/>
      <c r="BKT86" s="101"/>
      <c r="BKU86" s="101"/>
      <c r="BKV86" s="101"/>
      <c r="BKW86" s="101"/>
      <c r="BKX86" s="101"/>
      <c r="BKY86" s="101"/>
      <c r="BKZ86" s="101"/>
      <c r="BLA86" s="101"/>
      <c r="BLB86" s="101"/>
      <c r="BLC86" s="101"/>
      <c r="BLD86" s="101"/>
      <c r="BLE86" s="101"/>
      <c r="BLF86" s="101"/>
      <c r="BLG86" s="101"/>
      <c r="BLH86" s="101"/>
      <c r="BLI86" s="101"/>
      <c r="BLJ86" s="101"/>
      <c r="BLK86" s="101"/>
      <c r="BLL86" s="101"/>
      <c r="BLM86" s="101"/>
      <c r="BLN86" s="101"/>
      <c r="BLO86" s="101"/>
      <c r="BLP86" s="101"/>
      <c r="BLQ86" s="101"/>
      <c r="BLR86" s="101"/>
      <c r="BLS86" s="101"/>
      <c r="BLT86" s="101"/>
      <c r="BLU86" s="101"/>
      <c r="BLV86" s="101"/>
      <c r="BLW86" s="101"/>
      <c r="BLX86" s="101"/>
      <c r="BLY86" s="101"/>
      <c r="BLZ86" s="101"/>
      <c r="BMA86" s="101"/>
      <c r="BMB86" s="101"/>
      <c r="BMC86" s="101"/>
      <c r="BMD86" s="101"/>
      <c r="BME86" s="101"/>
      <c r="BMF86" s="101"/>
      <c r="BMG86" s="101"/>
      <c r="BMH86" s="101"/>
      <c r="BMI86" s="101"/>
      <c r="BMJ86" s="101"/>
      <c r="BMK86" s="101"/>
      <c r="BML86" s="101"/>
      <c r="BMM86" s="101"/>
      <c r="BMN86" s="101"/>
      <c r="BMO86" s="101"/>
      <c r="BMP86" s="101"/>
      <c r="BMQ86" s="101"/>
      <c r="BMR86" s="101"/>
      <c r="BMS86" s="101"/>
      <c r="BMT86" s="101"/>
      <c r="BMU86" s="101"/>
      <c r="BMV86" s="101"/>
      <c r="BMW86" s="101"/>
      <c r="BMX86" s="101"/>
      <c r="BMY86" s="101"/>
      <c r="BMZ86" s="101"/>
      <c r="BNA86" s="101"/>
      <c r="BNB86" s="101"/>
      <c r="BNC86" s="101"/>
      <c r="BND86" s="101"/>
      <c r="BNE86" s="101"/>
      <c r="BNF86" s="101"/>
      <c r="BNG86" s="101"/>
      <c r="BNH86" s="101"/>
      <c r="BNI86" s="101"/>
      <c r="BNJ86" s="101"/>
      <c r="BNK86" s="101"/>
      <c r="BNL86" s="101"/>
      <c r="BNM86" s="101"/>
      <c r="BNN86" s="101"/>
      <c r="BNO86" s="101"/>
      <c r="BNP86" s="101"/>
      <c r="BNQ86" s="101"/>
      <c r="BNR86" s="101"/>
      <c r="BNS86" s="101"/>
      <c r="BNT86" s="101"/>
      <c r="BNU86" s="101"/>
      <c r="BNV86" s="101"/>
      <c r="BNW86" s="101"/>
      <c r="BNX86" s="101"/>
      <c r="BNY86" s="101"/>
      <c r="BNZ86" s="101"/>
      <c r="BOA86" s="101"/>
      <c r="BOB86" s="101"/>
      <c r="BOC86" s="101"/>
      <c r="BOD86" s="101"/>
      <c r="BOE86" s="101"/>
      <c r="BOF86" s="101"/>
      <c r="BOG86" s="101"/>
      <c r="BOH86" s="101"/>
      <c r="BOI86" s="101"/>
      <c r="BOJ86" s="101"/>
      <c r="BOK86" s="101"/>
      <c r="BOL86" s="101"/>
      <c r="BOM86" s="101"/>
      <c r="BON86" s="101"/>
      <c r="BOO86" s="101"/>
      <c r="BOP86" s="101"/>
      <c r="BOQ86" s="101"/>
      <c r="BOR86" s="101"/>
      <c r="BOS86" s="101"/>
      <c r="BOT86" s="101"/>
      <c r="BOU86" s="101"/>
      <c r="BOV86" s="101"/>
      <c r="BOW86" s="101"/>
      <c r="BOX86" s="101"/>
      <c r="BOY86" s="101"/>
      <c r="BOZ86" s="101"/>
      <c r="BPA86" s="101"/>
      <c r="BPB86" s="101"/>
      <c r="BPC86" s="101"/>
      <c r="BPD86" s="101"/>
      <c r="BPE86" s="101"/>
      <c r="BPF86" s="101"/>
      <c r="BPG86" s="101"/>
      <c r="BPH86" s="101"/>
      <c r="BPI86" s="101"/>
      <c r="BPJ86" s="101"/>
      <c r="BPK86" s="101"/>
      <c r="BPL86" s="101"/>
      <c r="BPM86" s="101"/>
      <c r="BPN86" s="101"/>
      <c r="BPO86" s="101"/>
      <c r="BPP86" s="101"/>
      <c r="BPQ86" s="101"/>
      <c r="BPR86" s="101"/>
      <c r="BPS86" s="101"/>
      <c r="BPT86" s="101"/>
      <c r="BPU86" s="101"/>
      <c r="BPV86" s="101"/>
      <c r="BPW86" s="101"/>
      <c r="BPX86" s="101"/>
      <c r="BPY86" s="101"/>
      <c r="BPZ86" s="101"/>
      <c r="BQA86" s="101"/>
      <c r="BQB86" s="101"/>
      <c r="BQC86" s="101"/>
      <c r="BQD86" s="101"/>
      <c r="BQE86" s="101"/>
      <c r="BQF86" s="101"/>
      <c r="BQG86" s="101"/>
      <c r="BQH86" s="101"/>
      <c r="BQI86" s="101"/>
      <c r="BQJ86" s="101"/>
      <c r="BQK86" s="101"/>
      <c r="BQL86" s="101"/>
      <c r="BQM86" s="101"/>
      <c r="BQN86" s="101"/>
      <c r="BQO86" s="101"/>
      <c r="BQP86" s="101"/>
      <c r="BQQ86" s="101"/>
      <c r="BQR86" s="101"/>
      <c r="BQS86" s="101"/>
      <c r="BQT86" s="101"/>
      <c r="BQU86" s="101"/>
      <c r="BQV86" s="101"/>
      <c r="BQW86" s="101"/>
      <c r="BQX86" s="101"/>
      <c r="BQY86" s="101"/>
      <c r="BQZ86" s="101"/>
      <c r="BRA86" s="101"/>
      <c r="BRB86" s="101"/>
      <c r="BRC86" s="101"/>
      <c r="BRD86" s="101"/>
      <c r="BRE86" s="101"/>
      <c r="BRF86" s="101"/>
      <c r="BRG86" s="101"/>
      <c r="BRH86" s="101"/>
      <c r="BRI86" s="101"/>
      <c r="BRJ86" s="101"/>
      <c r="BRK86" s="101"/>
      <c r="BRL86" s="101"/>
      <c r="BRM86" s="101"/>
      <c r="BRN86" s="101"/>
      <c r="BRO86" s="101"/>
      <c r="BRP86" s="101"/>
      <c r="BRQ86" s="101"/>
      <c r="BRR86" s="101"/>
      <c r="BRS86" s="101"/>
      <c r="BRT86" s="101"/>
      <c r="BRU86" s="101"/>
      <c r="BRV86" s="101"/>
      <c r="BRW86" s="101"/>
      <c r="BRX86" s="101"/>
      <c r="BRY86" s="101"/>
      <c r="BRZ86" s="101"/>
      <c r="BSA86" s="101"/>
      <c r="BSB86" s="101"/>
      <c r="BSC86" s="101"/>
      <c r="BSD86" s="101"/>
      <c r="BSE86" s="101"/>
      <c r="BSF86" s="101"/>
      <c r="BSG86" s="101"/>
      <c r="BSH86" s="101"/>
      <c r="BSI86" s="101"/>
      <c r="BSJ86" s="101"/>
      <c r="BSK86" s="101"/>
      <c r="BSL86" s="101"/>
      <c r="BSM86" s="101"/>
      <c r="BSN86" s="101"/>
      <c r="BSO86" s="101"/>
      <c r="BSP86" s="101"/>
      <c r="BSQ86" s="101"/>
      <c r="BSR86" s="101"/>
      <c r="BSS86" s="101"/>
      <c r="BST86" s="101"/>
      <c r="BSU86" s="101"/>
      <c r="BSV86" s="101"/>
      <c r="BSW86" s="101"/>
      <c r="BSX86" s="101"/>
      <c r="BSY86" s="101"/>
      <c r="BSZ86" s="101"/>
      <c r="BTA86" s="101"/>
      <c r="BTB86" s="101"/>
      <c r="BTC86" s="101"/>
      <c r="BTD86" s="101"/>
      <c r="BTE86" s="101"/>
      <c r="BTF86" s="101"/>
      <c r="BTG86" s="101"/>
      <c r="BTH86" s="101"/>
      <c r="BTI86" s="101"/>
      <c r="BTJ86" s="101"/>
      <c r="BTK86" s="101"/>
      <c r="BTL86" s="101"/>
      <c r="BTM86" s="101"/>
      <c r="BTN86" s="101"/>
      <c r="BTO86" s="101"/>
      <c r="BTP86" s="101"/>
      <c r="BTQ86" s="101"/>
      <c r="BTR86" s="101"/>
      <c r="BTS86" s="101"/>
      <c r="BTT86" s="101"/>
      <c r="BTU86" s="101"/>
      <c r="BTV86" s="101"/>
      <c r="BTW86" s="101"/>
      <c r="BTX86" s="101"/>
      <c r="BTY86" s="101"/>
      <c r="BTZ86" s="101"/>
      <c r="BUA86" s="101"/>
      <c r="BUB86" s="101"/>
      <c r="BUC86" s="101"/>
      <c r="BUD86" s="101"/>
      <c r="BUE86" s="101"/>
      <c r="BUF86" s="101"/>
      <c r="BUG86" s="101"/>
      <c r="BUH86" s="101"/>
      <c r="BUI86" s="101"/>
      <c r="BUJ86" s="101"/>
      <c r="BUK86" s="101"/>
      <c r="BUL86" s="101"/>
      <c r="BUM86" s="101"/>
      <c r="BUN86" s="101"/>
      <c r="BUO86" s="101"/>
      <c r="BUP86" s="101"/>
      <c r="BUQ86" s="101"/>
      <c r="BUR86" s="101"/>
      <c r="BUS86" s="101"/>
      <c r="BUT86" s="101"/>
      <c r="BUU86" s="101"/>
      <c r="BUV86" s="101"/>
      <c r="BUW86" s="101"/>
      <c r="BUX86" s="101"/>
      <c r="BUY86" s="101"/>
      <c r="BUZ86" s="101"/>
      <c r="BVA86" s="101"/>
      <c r="BVB86" s="101"/>
      <c r="BVC86" s="101"/>
      <c r="BVD86" s="101"/>
      <c r="BVE86" s="101"/>
      <c r="BVF86" s="101"/>
      <c r="BVG86" s="101"/>
      <c r="BVH86" s="101"/>
      <c r="BVI86" s="101"/>
      <c r="BVJ86" s="101"/>
      <c r="BVK86" s="101"/>
      <c r="BVL86" s="101"/>
      <c r="BVM86" s="101"/>
      <c r="BVN86" s="101"/>
      <c r="BVO86" s="101"/>
      <c r="BVP86" s="101"/>
      <c r="BVQ86" s="101"/>
      <c r="BVR86" s="101"/>
      <c r="BVS86" s="101"/>
      <c r="BVT86" s="101"/>
      <c r="BVU86" s="101"/>
      <c r="BVV86" s="101"/>
      <c r="BVW86" s="101"/>
      <c r="BVX86" s="101"/>
      <c r="BVY86" s="101"/>
      <c r="BVZ86" s="101"/>
      <c r="BWA86" s="101"/>
      <c r="BWB86" s="101"/>
      <c r="BWC86" s="101"/>
      <c r="BWD86" s="101"/>
      <c r="BWE86" s="101"/>
      <c r="BWF86" s="101"/>
      <c r="BWG86" s="101"/>
      <c r="BWH86" s="101"/>
      <c r="BWI86" s="101"/>
      <c r="BWJ86" s="101"/>
      <c r="BWK86" s="101"/>
      <c r="BWL86" s="101"/>
      <c r="BWM86" s="101"/>
      <c r="BWN86" s="101"/>
      <c r="BWO86" s="101"/>
      <c r="BWP86" s="101"/>
      <c r="BWQ86" s="101"/>
      <c r="BWR86" s="101"/>
      <c r="BWS86" s="101"/>
      <c r="BWT86" s="101"/>
      <c r="BWU86" s="101"/>
      <c r="BWV86" s="101"/>
      <c r="BWW86" s="101"/>
      <c r="BWX86" s="101"/>
      <c r="BWY86" s="101"/>
      <c r="BWZ86" s="101"/>
      <c r="BXA86" s="101"/>
      <c r="BXB86" s="101"/>
      <c r="BXC86" s="101"/>
      <c r="BXD86" s="101"/>
      <c r="BXE86" s="101"/>
      <c r="BXF86" s="101"/>
      <c r="BXG86" s="101"/>
      <c r="BXH86" s="101"/>
      <c r="BXI86" s="101"/>
      <c r="BXJ86" s="101"/>
      <c r="BXK86" s="101"/>
      <c r="BXL86" s="101"/>
      <c r="BXM86" s="101"/>
      <c r="BXN86" s="101"/>
      <c r="BXO86" s="101"/>
      <c r="BXP86" s="101"/>
      <c r="BXQ86" s="101"/>
      <c r="BXR86" s="101"/>
      <c r="BXS86" s="101"/>
      <c r="BXT86" s="101"/>
      <c r="BXU86" s="101"/>
      <c r="BXV86" s="101"/>
      <c r="BXW86" s="101"/>
      <c r="BXX86" s="101"/>
      <c r="BXY86" s="101"/>
      <c r="BXZ86" s="101"/>
      <c r="BYA86" s="101"/>
      <c r="BYB86" s="101"/>
      <c r="BYC86" s="101"/>
      <c r="BYD86" s="101"/>
      <c r="BYE86" s="101"/>
      <c r="BYF86" s="101"/>
      <c r="BYG86" s="101"/>
      <c r="BYH86" s="101"/>
      <c r="BYI86" s="101"/>
      <c r="BYJ86" s="101"/>
      <c r="BYK86" s="101"/>
      <c r="BYL86" s="101"/>
      <c r="BYM86" s="101"/>
      <c r="BYN86" s="101"/>
      <c r="BYO86" s="101"/>
      <c r="BYP86" s="101"/>
      <c r="BYQ86" s="101"/>
      <c r="BYR86" s="101"/>
      <c r="BYS86" s="101"/>
      <c r="BYT86" s="101"/>
      <c r="BYU86" s="101"/>
      <c r="BYV86" s="101"/>
      <c r="BYW86" s="101"/>
      <c r="BYX86" s="101"/>
      <c r="BYY86" s="101"/>
      <c r="BYZ86" s="101"/>
      <c r="BZA86" s="101"/>
      <c r="BZB86" s="101"/>
      <c r="BZC86" s="101"/>
      <c r="BZD86" s="101"/>
      <c r="BZE86" s="101"/>
      <c r="BZF86" s="101"/>
      <c r="BZG86" s="101"/>
      <c r="BZH86" s="101"/>
      <c r="BZI86" s="101"/>
      <c r="BZJ86" s="101"/>
      <c r="BZK86" s="101"/>
      <c r="BZL86" s="101"/>
      <c r="BZM86" s="101"/>
      <c r="BZN86" s="101"/>
      <c r="BZO86" s="101"/>
      <c r="BZP86" s="101"/>
      <c r="BZQ86" s="101"/>
      <c r="BZR86" s="101"/>
      <c r="BZS86" s="101"/>
      <c r="BZT86" s="101"/>
      <c r="BZU86" s="101"/>
      <c r="BZV86" s="101"/>
      <c r="BZW86" s="101"/>
      <c r="BZX86" s="101"/>
      <c r="BZY86" s="101"/>
      <c r="BZZ86" s="101"/>
      <c r="CAA86" s="101"/>
      <c r="CAB86" s="101"/>
      <c r="CAC86" s="101"/>
      <c r="CAD86" s="101"/>
      <c r="CAE86" s="101"/>
      <c r="CAF86" s="101"/>
      <c r="CAG86" s="101"/>
      <c r="CAH86" s="101"/>
      <c r="CAI86" s="101"/>
      <c r="CAJ86" s="101"/>
      <c r="CAK86" s="101"/>
      <c r="CAL86" s="101"/>
      <c r="CAM86" s="101"/>
      <c r="CAN86" s="101"/>
      <c r="CAO86" s="101"/>
      <c r="CAP86" s="101"/>
      <c r="CAQ86" s="101"/>
      <c r="CAR86" s="101"/>
      <c r="CAS86" s="101"/>
      <c r="CAT86" s="101"/>
      <c r="CAU86" s="101"/>
      <c r="CAV86" s="101"/>
      <c r="CAW86" s="101"/>
      <c r="CAX86" s="101"/>
      <c r="CAY86" s="101"/>
      <c r="CAZ86" s="101"/>
      <c r="CBA86" s="101"/>
      <c r="CBB86" s="101"/>
      <c r="CBC86" s="101"/>
      <c r="CBD86" s="101"/>
      <c r="CBE86" s="101"/>
      <c r="CBF86" s="101"/>
      <c r="CBG86" s="101"/>
      <c r="CBH86" s="101"/>
      <c r="CBI86" s="101"/>
      <c r="CBJ86" s="101"/>
      <c r="CBK86" s="101"/>
      <c r="CBL86" s="101"/>
      <c r="CBM86" s="101"/>
      <c r="CBN86" s="101"/>
      <c r="CBO86" s="101"/>
      <c r="CBP86" s="101"/>
      <c r="CBQ86" s="101"/>
      <c r="CBR86" s="101"/>
      <c r="CBS86" s="101"/>
      <c r="CBT86" s="101"/>
      <c r="CBU86" s="101"/>
      <c r="CBV86" s="101"/>
      <c r="CBW86" s="101"/>
      <c r="CBX86" s="101"/>
      <c r="CBY86" s="101"/>
      <c r="CBZ86" s="101"/>
      <c r="CCA86" s="101"/>
      <c r="CCB86" s="101"/>
      <c r="CCC86" s="101"/>
      <c r="CCD86" s="101"/>
      <c r="CCE86" s="101"/>
      <c r="CCF86" s="101"/>
      <c r="CCG86" s="101"/>
      <c r="CCH86" s="101"/>
      <c r="CCI86" s="101"/>
      <c r="CCJ86" s="101"/>
      <c r="CCK86" s="101"/>
      <c r="CCL86" s="101"/>
      <c r="CCM86" s="101"/>
      <c r="CCN86" s="101"/>
      <c r="CCO86" s="101"/>
      <c r="CCP86" s="101"/>
      <c r="CCQ86" s="101"/>
      <c r="CCR86" s="101"/>
      <c r="CCS86" s="101"/>
      <c r="CCT86" s="101"/>
      <c r="CCU86" s="101"/>
      <c r="CCV86" s="101"/>
      <c r="CCW86" s="101"/>
      <c r="CCX86" s="101"/>
      <c r="CCY86" s="101"/>
      <c r="CCZ86" s="101"/>
      <c r="CDA86" s="101"/>
      <c r="CDB86" s="101"/>
      <c r="CDC86" s="101"/>
      <c r="CDD86" s="101"/>
      <c r="CDE86" s="101"/>
      <c r="CDF86" s="101"/>
      <c r="CDG86" s="101"/>
      <c r="CDH86" s="101"/>
      <c r="CDI86" s="101"/>
      <c r="CDJ86" s="101"/>
      <c r="CDK86" s="101"/>
      <c r="CDL86" s="101"/>
      <c r="CDM86" s="101"/>
      <c r="CDN86" s="101"/>
      <c r="CDO86" s="101"/>
      <c r="CDP86" s="101"/>
      <c r="CDQ86" s="101"/>
      <c r="CDR86" s="101"/>
      <c r="CDS86" s="101"/>
      <c r="CDT86" s="101"/>
      <c r="CDU86" s="101"/>
      <c r="CDV86" s="101"/>
      <c r="CDW86" s="101"/>
      <c r="CDX86" s="101"/>
      <c r="CDY86" s="101"/>
      <c r="CDZ86" s="101"/>
      <c r="CEA86" s="101"/>
      <c r="CEB86" s="101"/>
      <c r="CEC86" s="101"/>
      <c r="CED86" s="101"/>
      <c r="CEE86" s="101"/>
      <c r="CEF86" s="101"/>
      <c r="CEG86" s="101"/>
      <c r="CEH86" s="101"/>
      <c r="CEI86" s="101"/>
      <c r="CEJ86" s="101"/>
      <c r="CEK86" s="101"/>
      <c r="CEL86" s="101"/>
      <c r="CEM86" s="101"/>
      <c r="CEN86" s="101"/>
      <c r="CEO86" s="101"/>
      <c r="CEP86" s="101"/>
      <c r="CEQ86" s="101"/>
      <c r="CER86" s="101"/>
      <c r="CES86" s="101"/>
      <c r="CET86" s="101"/>
      <c r="CEU86" s="101"/>
      <c r="CEV86" s="101"/>
      <c r="CEW86" s="101"/>
      <c r="CEX86" s="101"/>
      <c r="CEY86" s="101"/>
      <c r="CEZ86" s="101"/>
      <c r="CFA86" s="101"/>
      <c r="CFB86" s="101"/>
      <c r="CFC86" s="101"/>
      <c r="CFD86" s="101"/>
      <c r="CFE86" s="101"/>
      <c r="CFF86" s="101"/>
      <c r="CFG86" s="101"/>
      <c r="CFH86" s="101"/>
      <c r="CFI86" s="101"/>
      <c r="CFJ86" s="101"/>
      <c r="CFK86" s="101"/>
      <c r="CFL86" s="101"/>
      <c r="CFM86" s="101"/>
      <c r="CFN86" s="101"/>
      <c r="CFO86" s="101"/>
      <c r="CFP86" s="101"/>
      <c r="CFQ86" s="101"/>
      <c r="CFR86" s="101"/>
      <c r="CFS86" s="101"/>
      <c r="CFT86" s="101"/>
      <c r="CFU86" s="101"/>
      <c r="CFV86" s="101"/>
      <c r="CFW86" s="101"/>
      <c r="CFX86" s="101"/>
      <c r="CFY86" s="101"/>
      <c r="CFZ86" s="101"/>
      <c r="CGA86" s="101"/>
      <c r="CGB86" s="101"/>
      <c r="CGC86" s="101"/>
      <c r="CGD86" s="101"/>
      <c r="CGE86" s="101"/>
      <c r="CGF86" s="101"/>
      <c r="CGG86" s="101"/>
      <c r="CGH86" s="101"/>
      <c r="CGI86" s="101"/>
      <c r="CGJ86" s="101"/>
      <c r="CGK86" s="101"/>
      <c r="CGL86" s="101"/>
      <c r="CGM86" s="101"/>
      <c r="CGN86" s="101"/>
      <c r="CGO86" s="101"/>
      <c r="CGP86" s="101"/>
      <c r="CGQ86" s="101"/>
      <c r="CGR86" s="101"/>
      <c r="CGS86" s="101"/>
      <c r="CGT86" s="101"/>
      <c r="CGU86" s="101"/>
      <c r="CGV86" s="101"/>
      <c r="CGW86" s="101"/>
      <c r="CGX86" s="101"/>
      <c r="CGY86" s="101"/>
      <c r="CGZ86" s="101"/>
      <c r="CHA86" s="101"/>
      <c r="CHB86" s="101"/>
      <c r="CHC86" s="101"/>
      <c r="CHD86" s="101"/>
      <c r="CHE86" s="101"/>
      <c r="CHF86" s="101"/>
      <c r="CHG86" s="101"/>
      <c r="CHH86" s="101"/>
      <c r="CHI86" s="101"/>
      <c r="CHJ86" s="101"/>
      <c r="CHK86" s="101"/>
      <c r="CHL86" s="101"/>
      <c r="CHM86" s="101"/>
      <c r="CHN86" s="101"/>
      <c r="CHO86" s="101"/>
      <c r="CHP86" s="101"/>
      <c r="CHQ86" s="101"/>
      <c r="CHR86" s="101"/>
      <c r="CHS86" s="101"/>
      <c r="CHT86" s="101"/>
      <c r="CHU86" s="101"/>
      <c r="CHV86" s="101"/>
      <c r="CHW86" s="101"/>
      <c r="CHX86" s="101"/>
      <c r="CHY86" s="101"/>
      <c r="CHZ86" s="101"/>
      <c r="CIA86" s="101"/>
      <c r="CIB86" s="101"/>
      <c r="CIC86" s="101"/>
      <c r="CID86" s="101"/>
      <c r="CIE86" s="101"/>
      <c r="CIF86" s="101"/>
      <c r="CIG86" s="101"/>
      <c r="CIH86" s="101"/>
      <c r="CII86" s="101"/>
      <c r="CIJ86" s="101"/>
      <c r="CIK86" s="101"/>
      <c r="CIL86" s="101"/>
      <c r="CIM86" s="101"/>
      <c r="CIN86" s="101"/>
      <c r="CIO86" s="101"/>
      <c r="CIP86" s="101"/>
      <c r="CIQ86" s="101"/>
      <c r="CIR86" s="101"/>
      <c r="CIS86" s="101"/>
      <c r="CIT86" s="101"/>
      <c r="CIU86" s="101"/>
      <c r="CIV86" s="101"/>
      <c r="CIW86" s="101"/>
      <c r="CIX86" s="101"/>
      <c r="CIY86" s="101"/>
      <c r="CIZ86" s="101"/>
      <c r="CJA86" s="101"/>
      <c r="CJB86" s="101"/>
      <c r="CJC86" s="101"/>
      <c r="CJD86" s="101"/>
      <c r="CJE86" s="101"/>
      <c r="CJF86" s="101"/>
      <c r="CJG86" s="101"/>
      <c r="CJH86" s="101"/>
      <c r="CJI86" s="101"/>
      <c r="CJJ86" s="101"/>
      <c r="CJK86" s="101"/>
      <c r="CJL86" s="101"/>
      <c r="CJM86" s="101"/>
      <c r="CJN86" s="101"/>
      <c r="CJO86" s="101"/>
      <c r="CJP86" s="101"/>
      <c r="CJQ86" s="101"/>
      <c r="CJR86" s="101"/>
      <c r="CJS86" s="101"/>
      <c r="CJT86" s="101"/>
      <c r="CJU86" s="101"/>
      <c r="CJV86" s="101"/>
      <c r="CJW86" s="101"/>
      <c r="CJX86" s="101"/>
      <c r="CJY86" s="101"/>
      <c r="CJZ86" s="101"/>
      <c r="CKA86" s="101"/>
      <c r="CKB86" s="101"/>
      <c r="CKC86" s="101"/>
      <c r="CKD86" s="101"/>
      <c r="CKE86" s="101"/>
      <c r="CKF86" s="101"/>
      <c r="CKG86" s="101"/>
      <c r="CKH86" s="101"/>
      <c r="CKI86" s="101"/>
      <c r="CKJ86" s="101"/>
      <c r="CKK86" s="101"/>
      <c r="CKL86" s="101"/>
      <c r="CKM86" s="101"/>
      <c r="CKN86" s="101"/>
      <c r="CKO86" s="101"/>
      <c r="CKP86" s="101"/>
      <c r="CKQ86" s="101"/>
      <c r="CKR86" s="101"/>
      <c r="CKS86" s="101"/>
      <c r="CKT86" s="101"/>
      <c r="CKU86" s="101"/>
      <c r="CKV86" s="101"/>
      <c r="CKW86" s="101"/>
      <c r="CKX86" s="101"/>
      <c r="CKY86" s="101"/>
      <c r="CKZ86" s="101"/>
      <c r="CLA86" s="101"/>
      <c r="CLB86" s="101"/>
      <c r="CLC86" s="101"/>
      <c r="CLD86" s="101"/>
      <c r="CLE86" s="101"/>
      <c r="CLF86" s="101"/>
      <c r="CLG86" s="101"/>
      <c r="CLH86" s="101"/>
      <c r="CLI86" s="101"/>
      <c r="CLJ86" s="101"/>
      <c r="CLK86" s="101"/>
      <c r="CLL86" s="101"/>
      <c r="CLM86" s="101"/>
      <c r="CLN86" s="101"/>
      <c r="CLO86" s="101"/>
      <c r="CLP86" s="101"/>
      <c r="CLQ86" s="101"/>
      <c r="CLR86" s="101"/>
      <c r="CLS86" s="101"/>
      <c r="CLT86" s="101"/>
      <c r="CLU86" s="101"/>
      <c r="CLV86" s="101"/>
      <c r="CLW86" s="101"/>
      <c r="CLX86" s="101"/>
      <c r="CLY86" s="101"/>
      <c r="CLZ86" s="101"/>
      <c r="CMA86" s="101"/>
      <c r="CMB86" s="101"/>
      <c r="CMC86" s="101"/>
      <c r="CMD86" s="101"/>
      <c r="CME86" s="101"/>
      <c r="CMF86" s="101"/>
      <c r="CMG86" s="101"/>
      <c r="CMH86" s="101"/>
      <c r="CMI86" s="101"/>
      <c r="CMJ86" s="101"/>
      <c r="CMK86" s="101"/>
      <c r="CML86" s="101"/>
      <c r="CMM86" s="101"/>
      <c r="CMN86" s="101"/>
      <c r="CMO86" s="101"/>
      <c r="CMP86" s="101"/>
      <c r="CMQ86" s="101"/>
      <c r="CMR86" s="101"/>
      <c r="CMS86" s="101"/>
      <c r="CMT86" s="101"/>
      <c r="CMU86" s="101"/>
      <c r="CMV86" s="101"/>
      <c r="CMW86" s="101"/>
      <c r="CMX86" s="101"/>
      <c r="CMY86" s="101"/>
      <c r="CMZ86" s="101"/>
      <c r="CNA86" s="101"/>
      <c r="CNB86" s="101"/>
      <c r="CNC86" s="101"/>
      <c r="CND86" s="101"/>
      <c r="CNE86" s="101"/>
      <c r="CNF86" s="101"/>
      <c r="CNG86" s="101"/>
      <c r="CNH86" s="101"/>
      <c r="CNI86" s="101"/>
      <c r="CNJ86" s="101"/>
      <c r="CNK86" s="101"/>
      <c r="CNL86" s="101"/>
      <c r="CNM86" s="101"/>
      <c r="CNN86" s="101"/>
      <c r="CNO86" s="101"/>
      <c r="CNP86" s="101"/>
      <c r="CNQ86" s="101"/>
      <c r="CNR86" s="101"/>
      <c r="CNS86" s="101"/>
      <c r="CNT86" s="101"/>
      <c r="CNU86" s="101"/>
      <c r="CNV86" s="101"/>
      <c r="CNW86" s="101"/>
      <c r="CNX86" s="101"/>
      <c r="CNY86" s="101"/>
      <c r="CNZ86" s="101"/>
      <c r="COA86" s="101"/>
      <c r="COB86" s="101"/>
      <c r="COC86" s="101"/>
      <c r="COD86" s="101"/>
      <c r="COE86" s="101"/>
      <c r="COF86" s="101"/>
      <c r="COG86" s="101"/>
      <c r="COH86" s="101"/>
      <c r="COI86" s="101"/>
      <c r="COJ86" s="101"/>
      <c r="COK86" s="101"/>
      <c r="COL86" s="101"/>
      <c r="COM86" s="101"/>
      <c r="CON86" s="101"/>
      <c r="COO86" s="101"/>
      <c r="COP86" s="101"/>
      <c r="COQ86" s="101"/>
      <c r="COR86" s="101"/>
      <c r="COS86" s="101"/>
      <c r="COT86" s="101"/>
      <c r="COU86" s="101"/>
      <c r="COV86" s="101"/>
      <c r="COW86" s="101"/>
      <c r="COX86" s="101"/>
      <c r="COY86" s="101"/>
      <c r="COZ86" s="101"/>
      <c r="CPA86" s="101"/>
      <c r="CPB86" s="101"/>
      <c r="CPC86" s="101"/>
      <c r="CPD86" s="101"/>
      <c r="CPE86" s="101"/>
      <c r="CPF86" s="101"/>
      <c r="CPG86" s="101"/>
      <c r="CPH86" s="101"/>
      <c r="CPI86" s="101"/>
      <c r="CPJ86" s="101"/>
      <c r="CPK86" s="101"/>
      <c r="CPL86" s="101"/>
      <c r="CPM86" s="101"/>
      <c r="CPN86" s="101"/>
      <c r="CPO86" s="101"/>
      <c r="CPP86" s="101"/>
      <c r="CPQ86" s="101"/>
      <c r="CPR86" s="101"/>
      <c r="CPS86" s="101"/>
      <c r="CPT86" s="101"/>
      <c r="CPU86" s="101"/>
      <c r="CPV86" s="101"/>
      <c r="CPW86" s="101"/>
      <c r="CPX86" s="101"/>
      <c r="CPY86" s="101"/>
      <c r="CPZ86" s="101"/>
      <c r="CQA86" s="101"/>
      <c r="CQB86" s="101"/>
      <c r="CQC86" s="101"/>
      <c r="CQD86" s="101"/>
      <c r="CQE86" s="101"/>
      <c r="CQF86" s="101"/>
      <c r="CQG86" s="101"/>
      <c r="CQH86" s="101"/>
      <c r="CQI86" s="101"/>
      <c r="CQJ86" s="101"/>
      <c r="CQK86" s="101"/>
      <c r="CQL86" s="101"/>
      <c r="CQM86" s="101"/>
      <c r="CQN86" s="101"/>
      <c r="CQO86" s="101"/>
      <c r="CQP86" s="101"/>
      <c r="CQQ86" s="101"/>
      <c r="CQR86" s="101"/>
      <c r="CQS86" s="101"/>
      <c r="CQT86" s="101"/>
      <c r="CQU86" s="101"/>
      <c r="CQV86" s="101"/>
      <c r="CQW86" s="101"/>
      <c r="CQX86" s="101"/>
      <c r="CQY86" s="101"/>
      <c r="CQZ86" s="101"/>
      <c r="CRA86" s="101"/>
      <c r="CRB86" s="101"/>
      <c r="CRC86" s="101"/>
      <c r="CRD86" s="101"/>
      <c r="CRE86" s="101"/>
      <c r="CRF86" s="101"/>
      <c r="CRG86" s="101"/>
      <c r="CRH86" s="101"/>
      <c r="CRI86" s="101"/>
      <c r="CRJ86" s="101"/>
      <c r="CRK86" s="101"/>
      <c r="CRL86" s="101"/>
      <c r="CRM86" s="101"/>
      <c r="CRN86" s="101"/>
      <c r="CRO86" s="101"/>
      <c r="CRP86" s="101"/>
      <c r="CRQ86" s="101"/>
      <c r="CRR86" s="101"/>
      <c r="CRS86" s="101"/>
      <c r="CRT86" s="101"/>
      <c r="CRU86" s="101"/>
      <c r="CRV86" s="101"/>
      <c r="CRW86" s="101"/>
      <c r="CRX86" s="101"/>
      <c r="CRY86" s="101"/>
      <c r="CRZ86" s="101"/>
      <c r="CSA86" s="101"/>
      <c r="CSB86" s="101"/>
      <c r="CSC86" s="101"/>
      <c r="CSD86" s="101"/>
      <c r="CSE86" s="101"/>
      <c r="CSF86" s="101"/>
      <c r="CSG86" s="101"/>
      <c r="CSH86" s="101"/>
      <c r="CSI86" s="101"/>
      <c r="CSJ86" s="101"/>
      <c r="CSK86" s="101"/>
      <c r="CSL86" s="101"/>
      <c r="CSM86" s="101"/>
      <c r="CSN86" s="101"/>
      <c r="CSO86" s="101"/>
      <c r="CSP86" s="101"/>
      <c r="CSQ86" s="101"/>
      <c r="CSR86" s="101"/>
      <c r="CSS86" s="101"/>
      <c r="CST86" s="101"/>
      <c r="CSU86" s="101"/>
      <c r="CSV86" s="101"/>
      <c r="CSW86" s="101"/>
      <c r="CSX86" s="101"/>
      <c r="CSY86" s="101"/>
      <c r="CSZ86" s="101"/>
      <c r="CTA86" s="101"/>
      <c r="CTB86" s="101"/>
      <c r="CTC86" s="101"/>
      <c r="CTD86" s="101"/>
      <c r="CTE86" s="101"/>
      <c r="CTF86" s="101"/>
      <c r="CTG86" s="101"/>
      <c r="CTH86" s="101"/>
      <c r="CTI86" s="101"/>
      <c r="CTJ86" s="101"/>
      <c r="CTK86" s="101"/>
      <c r="CTL86" s="101"/>
      <c r="CTM86" s="101"/>
      <c r="CTN86" s="101"/>
      <c r="CTO86" s="101"/>
      <c r="CTP86" s="101"/>
      <c r="CTQ86" s="101"/>
      <c r="CTR86" s="101"/>
      <c r="CTS86" s="101"/>
      <c r="CTT86" s="101"/>
      <c r="CTU86" s="101"/>
      <c r="CTV86" s="101"/>
      <c r="CTW86" s="101"/>
      <c r="CTX86" s="101"/>
      <c r="CTY86" s="101"/>
      <c r="CTZ86" s="101"/>
      <c r="CUA86" s="101"/>
      <c r="CUB86" s="101"/>
      <c r="CUC86" s="101"/>
      <c r="CUD86" s="101"/>
      <c r="CUE86" s="101"/>
      <c r="CUF86" s="101"/>
      <c r="CUG86" s="101"/>
      <c r="CUH86" s="101"/>
      <c r="CUI86" s="101"/>
      <c r="CUJ86" s="101"/>
      <c r="CUK86" s="101"/>
      <c r="CUL86" s="101"/>
      <c r="CUM86" s="101"/>
      <c r="CUN86" s="101"/>
      <c r="CUO86" s="101"/>
      <c r="CUP86" s="101"/>
      <c r="CUQ86" s="101"/>
      <c r="CUR86" s="101"/>
      <c r="CUS86" s="101"/>
      <c r="CUT86" s="101"/>
      <c r="CUU86" s="101"/>
      <c r="CUV86" s="101"/>
      <c r="CUW86" s="101"/>
      <c r="CUX86" s="101"/>
      <c r="CUY86" s="101"/>
      <c r="CUZ86" s="101"/>
      <c r="CVA86" s="101"/>
      <c r="CVB86" s="101"/>
      <c r="CVC86" s="101"/>
      <c r="CVD86" s="101"/>
      <c r="CVE86" s="101"/>
      <c r="CVF86" s="101"/>
      <c r="CVG86" s="101"/>
      <c r="CVH86" s="101"/>
      <c r="CVI86" s="101"/>
      <c r="CVJ86" s="101"/>
      <c r="CVK86" s="101"/>
      <c r="CVL86" s="101"/>
      <c r="CVM86" s="101"/>
      <c r="CVN86" s="101"/>
      <c r="CVO86" s="101"/>
      <c r="CVP86" s="101"/>
      <c r="CVQ86" s="101"/>
      <c r="CVR86" s="101"/>
      <c r="CVS86" s="101"/>
      <c r="CVT86" s="101"/>
      <c r="CVU86" s="101"/>
      <c r="CVV86" s="101"/>
      <c r="CVW86" s="101"/>
      <c r="CVX86" s="101"/>
      <c r="CVY86" s="101"/>
      <c r="CVZ86" s="101"/>
      <c r="CWA86" s="101"/>
      <c r="CWB86" s="101"/>
      <c r="CWC86" s="101"/>
      <c r="CWD86" s="101"/>
      <c r="CWE86" s="101"/>
      <c r="CWF86" s="101"/>
      <c r="CWG86" s="101"/>
      <c r="CWH86" s="101"/>
      <c r="CWI86" s="101"/>
      <c r="CWJ86" s="101"/>
      <c r="CWK86" s="101"/>
      <c r="CWL86" s="101"/>
      <c r="CWM86" s="101"/>
      <c r="CWN86" s="101"/>
      <c r="CWO86" s="101"/>
      <c r="CWP86" s="101"/>
      <c r="CWQ86" s="101"/>
      <c r="CWR86" s="101"/>
      <c r="CWS86" s="101"/>
      <c r="CWT86" s="101"/>
      <c r="CWU86" s="101"/>
      <c r="CWV86" s="101"/>
      <c r="CWW86" s="101"/>
      <c r="CWX86" s="101"/>
      <c r="CWY86" s="101"/>
      <c r="CWZ86" s="101"/>
      <c r="CXA86" s="101"/>
      <c r="CXB86" s="101"/>
      <c r="CXC86" s="101"/>
      <c r="CXD86" s="101"/>
      <c r="CXE86" s="101"/>
      <c r="CXF86" s="101"/>
      <c r="CXG86" s="101"/>
      <c r="CXH86" s="101"/>
      <c r="CXI86" s="101"/>
      <c r="CXJ86" s="101"/>
      <c r="CXK86" s="101"/>
      <c r="CXL86" s="101"/>
      <c r="CXM86" s="101"/>
      <c r="CXN86" s="101"/>
      <c r="CXO86" s="101"/>
      <c r="CXP86" s="101"/>
      <c r="CXQ86" s="101"/>
      <c r="CXR86" s="101"/>
      <c r="CXS86" s="101"/>
      <c r="CXT86" s="101"/>
      <c r="CXU86" s="101"/>
      <c r="CXV86" s="101"/>
      <c r="CXW86" s="101"/>
      <c r="CXX86" s="101"/>
      <c r="CXY86" s="101"/>
      <c r="CXZ86" s="101"/>
      <c r="CYA86" s="101"/>
      <c r="CYB86" s="101"/>
      <c r="CYC86" s="101"/>
      <c r="CYD86" s="101"/>
      <c r="CYE86" s="101"/>
      <c r="CYF86" s="101"/>
      <c r="CYG86" s="101"/>
      <c r="CYH86" s="101"/>
      <c r="CYI86" s="101"/>
      <c r="CYJ86" s="101"/>
      <c r="CYK86" s="101"/>
      <c r="CYL86" s="101"/>
      <c r="CYM86" s="101"/>
      <c r="CYN86" s="101"/>
      <c r="CYO86" s="101"/>
      <c r="CYP86" s="101"/>
      <c r="CYQ86" s="101"/>
      <c r="CYR86" s="101"/>
      <c r="CYS86" s="101"/>
      <c r="CYT86" s="101"/>
      <c r="CYU86" s="101"/>
      <c r="CYV86" s="101"/>
      <c r="CYW86" s="101"/>
      <c r="CYX86" s="101"/>
      <c r="CYY86" s="101"/>
      <c r="CYZ86" s="101"/>
      <c r="CZA86" s="101"/>
      <c r="CZB86" s="101"/>
      <c r="CZC86" s="101"/>
      <c r="CZD86" s="101"/>
      <c r="CZE86" s="101"/>
      <c r="CZF86" s="101"/>
      <c r="CZG86" s="101"/>
      <c r="CZH86" s="101"/>
      <c r="CZI86" s="101"/>
      <c r="CZJ86" s="101"/>
      <c r="CZK86" s="101"/>
      <c r="CZL86" s="101"/>
      <c r="CZM86" s="101"/>
      <c r="CZN86" s="101"/>
      <c r="CZO86" s="101"/>
      <c r="CZP86" s="101"/>
      <c r="CZQ86" s="101"/>
      <c r="CZR86" s="101"/>
      <c r="CZS86" s="101"/>
      <c r="CZT86" s="101"/>
      <c r="CZU86" s="101"/>
      <c r="CZV86" s="101"/>
      <c r="CZW86" s="101"/>
      <c r="CZX86" s="101"/>
      <c r="CZY86" s="101"/>
      <c r="CZZ86" s="101"/>
      <c r="DAA86" s="101"/>
      <c r="DAB86" s="101"/>
      <c r="DAC86" s="101"/>
      <c r="DAD86" s="101"/>
      <c r="DAE86" s="101"/>
      <c r="DAF86" s="101"/>
      <c r="DAG86" s="101"/>
      <c r="DAH86" s="101"/>
      <c r="DAI86" s="101"/>
      <c r="DAJ86" s="101"/>
      <c r="DAK86" s="101"/>
      <c r="DAL86" s="101"/>
      <c r="DAM86" s="101"/>
      <c r="DAN86" s="101"/>
      <c r="DAO86" s="101"/>
      <c r="DAP86" s="101"/>
      <c r="DAQ86" s="101"/>
      <c r="DAR86" s="101"/>
      <c r="DAS86" s="101"/>
      <c r="DAT86" s="101"/>
      <c r="DAU86" s="101"/>
      <c r="DAV86" s="101"/>
      <c r="DAW86" s="101"/>
      <c r="DAX86" s="101"/>
      <c r="DAY86" s="101"/>
      <c r="DAZ86" s="101"/>
      <c r="DBA86" s="101"/>
      <c r="DBB86" s="101"/>
      <c r="DBC86" s="101"/>
      <c r="DBD86" s="101"/>
      <c r="DBE86" s="101"/>
      <c r="DBF86" s="101"/>
      <c r="DBG86" s="101"/>
      <c r="DBH86" s="101"/>
      <c r="DBI86" s="101"/>
      <c r="DBJ86" s="101"/>
      <c r="DBK86" s="101"/>
      <c r="DBL86" s="101"/>
      <c r="DBM86" s="101"/>
      <c r="DBN86" s="101"/>
      <c r="DBO86" s="101"/>
      <c r="DBP86" s="101"/>
      <c r="DBQ86" s="101"/>
      <c r="DBR86" s="101"/>
      <c r="DBS86" s="101"/>
      <c r="DBT86" s="101"/>
      <c r="DBU86" s="101"/>
      <c r="DBV86" s="101"/>
      <c r="DBW86" s="101"/>
      <c r="DBX86" s="101"/>
      <c r="DBY86" s="101"/>
      <c r="DBZ86" s="101"/>
      <c r="DCA86" s="101"/>
      <c r="DCB86" s="101"/>
      <c r="DCC86" s="101"/>
      <c r="DCD86" s="101"/>
      <c r="DCE86" s="101"/>
      <c r="DCF86" s="101"/>
      <c r="DCG86" s="101"/>
      <c r="DCH86" s="101"/>
      <c r="DCI86" s="101"/>
      <c r="DCJ86" s="101"/>
      <c r="DCK86" s="101"/>
      <c r="DCL86" s="101"/>
      <c r="DCM86" s="101"/>
      <c r="DCN86" s="101"/>
      <c r="DCO86" s="101"/>
      <c r="DCP86" s="101"/>
      <c r="DCQ86" s="101"/>
      <c r="DCR86" s="101"/>
      <c r="DCS86" s="101"/>
      <c r="DCT86" s="101"/>
      <c r="DCU86" s="101"/>
      <c r="DCV86" s="101"/>
      <c r="DCW86" s="101"/>
      <c r="DCX86" s="101"/>
      <c r="DCY86" s="101"/>
      <c r="DCZ86" s="101"/>
      <c r="DDA86" s="101"/>
      <c r="DDB86" s="101"/>
      <c r="DDC86" s="101"/>
      <c r="DDD86" s="101"/>
      <c r="DDE86" s="101"/>
      <c r="DDF86" s="101"/>
      <c r="DDG86" s="101"/>
      <c r="DDH86" s="101"/>
      <c r="DDI86" s="101"/>
      <c r="DDJ86" s="101"/>
      <c r="DDK86" s="101"/>
      <c r="DDL86" s="101"/>
      <c r="DDM86" s="101"/>
      <c r="DDN86" s="101"/>
      <c r="DDO86" s="101"/>
      <c r="DDP86" s="101"/>
      <c r="DDQ86" s="101"/>
      <c r="DDR86" s="101"/>
      <c r="DDS86" s="101"/>
      <c r="DDT86" s="101"/>
      <c r="DDU86" s="101"/>
      <c r="DDV86" s="101"/>
      <c r="DDW86" s="101"/>
      <c r="DDX86" s="101"/>
      <c r="DDY86" s="101"/>
      <c r="DDZ86" s="101"/>
      <c r="DEA86" s="101"/>
      <c r="DEB86" s="101"/>
      <c r="DEC86" s="101"/>
      <c r="DED86" s="101"/>
      <c r="DEE86" s="101"/>
      <c r="DEF86" s="101"/>
      <c r="DEG86" s="101"/>
      <c r="DEH86" s="101"/>
      <c r="DEI86" s="101"/>
      <c r="DEJ86" s="101"/>
      <c r="DEK86" s="101"/>
      <c r="DEL86" s="101"/>
      <c r="DEM86" s="101"/>
      <c r="DEN86" s="101"/>
      <c r="DEO86" s="101"/>
      <c r="DEP86" s="101"/>
      <c r="DEQ86" s="101"/>
      <c r="DER86" s="101"/>
      <c r="DES86" s="101"/>
      <c r="DET86" s="101"/>
      <c r="DEU86" s="101"/>
      <c r="DEV86" s="101"/>
      <c r="DEW86" s="101"/>
      <c r="DEX86" s="101"/>
      <c r="DEY86" s="101"/>
      <c r="DEZ86" s="101"/>
      <c r="DFA86" s="101"/>
      <c r="DFB86" s="101"/>
      <c r="DFC86" s="101"/>
      <c r="DFD86" s="101"/>
      <c r="DFE86" s="101"/>
      <c r="DFF86" s="101"/>
      <c r="DFG86" s="101"/>
      <c r="DFH86" s="101"/>
      <c r="DFI86" s="101"/>
      <c r="DFJ86" s="101"/>
      <c r="DFK86" s="101"/>
      <c r="DFL86" s="101"/>
      <c r="DFM86" s="101"/>
      <c r="DFN86" s="101"/>
      <c r="DFO86" s="101"/>
      <c r="DFP86" s="101"/>
      <c r="DFQ86" s="101"/>
      <c r="DFR86" s="101"/>
      <c r="DFS86" s="101"/>
      <c r="DFT86" s="101"/>
      <c r="DFU86" s="101"/>
      <c r="DFV86" s="101"/>
      <c r="DFW86" s="101"/>
      <c r="DFX86" s="101"/>
      <c r="DFY86" s="101"/>
      <c r="DFZ86" s="101"/>
      <c r="DGA86" s="101"/>
      <c r="DGB86" s="101"/>
      <c r="DGC86" s="101"/>
      <c r="DGD86" s="101"/>
      <c r="DGE86" s="101"/>
      <c r="DGF86" s="101"/>
      <c r="DGG86" s="101"/>
      <c r="DGH86" s="101"/>
      <c r="DGI86" s="101"/>
      <c r="DGJ86" s="101"/>
      <c r="DGK86" s="101"/>
      <c r="DGL86" s="101"/>
      <c r="DGM86" s="101"/>
      <c r="DGN86" s="101"/>
      <c r="DGO86" s="101"/>
      <c r="DGP86" s="101"/>
      <c r="DGQ86" s="101"/>
      <c r="DGR86" s="101"/>
      <c r="DGS86" s="101"/>
      <c r="DGT86" s="101"/>
      <c r="DGU86" s="101"/>
      <c r="DGV86" s="101"/>
      <c r="DGW86" s="101"/>
      <c r="DGX86" s="101"/>
      <c r="DGY86" s="101"/>
      <c r="DGZ86" s="101"/>
      <c r="DHA86" s="101"/>
      <c r="DHB86" s="101"/>
      <c r="DHC86" s="101"/>
      <c r="DHD86" s="101"/>
      <c r="DHE86" s="101"/>
      <c r="DHF86" s="101"/>
      <c r="DHG86" s="101"/>
      <c r="DHH86" s="101"/>
      <c r="DHI86" s="101"/>
      <c r="DHJ86" s="101"/>
      <c r="DHK86" s="101"/>
      <c r="DHL86" s="101"/>
      <c r="DHM86" s="101"/>
      <c r="DHN86" s="101"/>
      <c r="DHO86" s="101"/>
      <c r="DHP86" s="101"/>
      <c r="DHQ86" s="101"/>
      <c r="DHR86" s="101"/>
      <c r="DHS86" s="101"/>
      <c r="DHT86" s="101"/>
      <c r="DHU86" s="101"/>
      <c r="DHV86" s="101"/>
      <c r="DHW86" s="101"/>
      <c r="DHX86" s="101"/>
      <c r="DHY86" s="101"/>
      <c r="DHZ86" s="101"/>
      <c r="DIA86" s="101"/>
      <c r="DIB86" s="101"/>
      <c r="DIC86" s="101"/>
      <c r="DID86" s="101"/>
      <c r="DIE86" s="101"/>
      <c r="DIF86" s="101"/>
      <c r="DIG86" s="101"/>
      <c r="DIH86" s="101"/>
      <c r="DII86" s="101"/>
      <c r="DIJ86" s="101"/>
      <c r="DIK86" s="101"/>
      <c r="DIL86" s="101"/>
      <c r="DIM86" s="101"/>
      <c r="DIN86" s="101"/>
      <c r="DIO86" s="101"/>
      <c r="DIP86" s="101"/>
      <c r="DIQ86" s="101"/>
      <c r="DIR86" s="101"/>
      <c r="DIS86" s="101"/>
      <c r="DIT86" s="101"/>
      <c r="DIU86" s="101"/>
      <c r="DIV86" s="101"/>
      <c r="DIW86" s="101"/>
      <c r="DIX86" s="101"/>
      <c r="DIY86" s="101"/>
      <c r="DIZ86" s="101"/>
      <c r="DJA86" s="101"/>
      <c r="DJB86" s="101"/>
      <c r="DJC86" s="101"/>
      <c r="DJD86" s="101"/>
      <c r="DJE86" s="101"/>
      <c r="DJF86" s="101"/>
      <c r="DJG86" s="101"/>
      <c r="DJH86" s="101"/>
      <c r="DJI86" s="101"/>
      <c r="DJJ86" s="101"/>
      <c r="DJK86" s="101"/>
      <c r="DJL86" s="101"/>
      <c r="DJM86" s="101"/>
      <c r="DJN86" s="101"/>
      <c r="DJO86" s="101"/>
      <c r="DJP86" s="101"/>
      <c r="DJQ86" s="101"/>
      <c r="DJR86" s="101"/>
      <c r="DJS86" s="101"/>
      <c r="DJT86" s="101"/>
      <c r="DJU86" s="101"/>
      <c r="DJV86" s="101"/>
      <c r="DJW86" s="101"/>
      <c r="DJX86" s="101"/>
      <c r="DJY86" s="101"/>
      <c r="DJZ86" s="101"/>
      <c r="DKA86" s="101"/>
      <c r="DKB86" s="101"/>
      <c r="DKC86" s="101"/>
      <c r="DKD86" s="101"/>
      <c r="DKE86" s="101"/>
      <c r="DKF86" s="101"/>
      <c r="DKG86" s="101"/>
      <c r="DKH86" s="101"/>
      <c r="DKI86" s="101"/>
      <c r="DKJ86" s="101"/>
      <c r="DKK86" s="101"/>
      <c r="DKL86" s="101"/>
      <c r="DKM86" s="101"/>
      <c r="DKN86" s="101"/>
      <c r="DKO86" s="101"/>
      <c r="DKP86" s="101"/>
      <c r="DKQ86" s="101"/>
      <c r="DKR86" s="101"/>
      <c r="DKS86" s="101"/>
      <c r="DKT86" s="101"/>
      <c r="DKU86" s="101"/>
      <c r="DKV86" s="101"/>
      <c r="DKW86" s="101"/>
      <c r="DKX86" s="101"/>
      <c r="DKY86" s="101"/>
      <c r="DKZ86" s="101"/>
      <c r="DLA86" s="101"/>
      <c r="DLB86" s="101"/>
      <c r="DLC86" s="101"/>
      <c r="DLD86" s="101"/>
      <c r="DLE86" s="101"/>
      <c r="DLF86" s="101"/>
      <c r="DLG86" s="101"/>
      <c r="DLH86" s="101"/>
      <c r="DLI86" s="101"/>
      <c r="DLJ86" s="101"/>
      <c r="DLK86" s="101"/>
      <c r="DLL86" s="101"/>
      <c r="DLM86" s="101"/>
      <c r="DLN86" s="101"/>
      <c r="DLO86" s="101"/>
      <c r="DLP86" s="101"/>
      <c r="DLQ86" s="101"/>
      <c r="DLR86" s="101"/>
      <c r="DLS86" s="101"/>
      <c r="DLT86" s="101"/>
      <c r="DLU86" s="101"/>
      <c r="DLV86" s="101"/>
      <c r="DLW86" s="101"/>
      <c r="DLX86" s="101"/>
      <c r="DLY86" s="101"/>
      <c r="DLZ86" s="101"/>
      <c r="DMA86" s="101"/>
      <c r="DMB86" s="101"/>
      <c r="DMC86" s="101"/>
      <c r="DMD86" s="101"/>
      <c r="DME86" s="101"/>
      <c r="DMF86" s="101"/>
      <c r="DMG86" s="101"/>
      <c r="DMH86" s="101"/>
      <c r="DMI86" s="101"/>
      <c r="DMJ86" s="101"/>
      <c r="DMK86" s="101"/>
      <c r="DML86" s="101"/>
      <c r="DMM86" s="101"/>
      <c r="DMN86" s="101"/>
      <c r="DMO86" s="101"/>
      <c r="DMP86" s="101"/>
      <c r="DMQ86" s="101"/>
      <c r="DMR86" s="101"/>
      <c r="DMS86" s="101"/>
      <c r="DMT86" s="101"/>
      <c r="DMU86" s="101"/>
      <c r="DMV86" s="101"/>
      <c r="DMW86" s="101"/>
      <c r="DMX86" s="101"/>
      <c r="DMY86" s="101"/>
      <c r="DMZ86" s="101"/>
      <c r="DNA86" s="101"/>
      <c r="DNB86" s="101"/>
      <c r="DNC86" s="101"/>
      <c r="DND86" s="101"/>
      <c r="DNE86" s="101"/>
      <c r="DNF86" s="101"/>
      <c r="DNG86" s="101"/>
      <c r="DNH86" s="101"/>
      <c r="DNI86" s="101"/>
      <c r="DNJ86" s="101"/>
      <c r="DNK86" s="101"/>
      <c r="DNL86" s="101"/>
      <c r="DNM86" s="101"/>
      <c r="DNN86" s="101"/>
      <c r="DNO86" s="101"/>
      <c r="DNP86" s="101"/>
      <c r="DNQ86" s="101"/>
      <c r="DNR86" s="101"/>
      <c r="DNS86" s="101"/>
      <c r="DNT86" s="101"/>
      <c r="DNU86" s="101"/>
      <c r="DNV86" s="101"/>
      <c r="DNW86" s="101"/>
      <c r="DNX86" s="101"/>
      <c r="DNY86" s="101"/>
      <c r="DNZ86" s="101"/>
      <c r="DOA86" s="101"/>
      <c r="DOB86" s="101"/>
      <c r="DOC86" s="101"/>
      <c r="DOD86" s="101"/>
      <c r="DOE86" s="101"/>
      <c r="DOF86" s="101"/>
      <c r="DOG86" s="101"/>
      <c r="DOH86" s="101"/>
      <c r="DOI86" s="101"/>
      <c r="DOJ86" s="101"/>
      <c r="DOK86" s="101"/>
      <c r="DOL86" s="101"/>
      <c r="DOM86" s="101"/>
      <c r="DON86" s="101"/>
      <c r="DOO86" s="101"/>
      <c r="DOP86" s="101"/>
      <c r="DOQ86" s="101"/>
      <c r="DOR86" s="101"/>
      <c r="DOS86" s="101"/>
      <c r="DOT86" s="101"/>
      <c r="DOU86" s="101"/>
      <c r="DOV86" s="101"/>
      <c r="DOW86" s="101"/>
      <c r="DOX86" s="101"/>
      <c r="DOY86" s="101"/>
      <c r="DOZ86" s="101"/>
      <c r="DPA86" s="101"/>
      <c r="DPB86" s="101"/>
      <c r="DPC86" s="101"/>
      <c r="DPD86" s="101"/>
      <c r="DPE86" s="101"/>
      <c r="DPF86" s="101"/>
      <c r="DPG86" s="101"/>
      <c r="DPH86" s="101"/>
      <c r="DPI86" s="101"/>
      <c r="DPJ86" s="101"/>
      <c r="DPK86" s="101"/>
      <c r="DPL86" s="101"/>
      <c r="DPM86" s="101"/>
      <c r="DPN86" s="101"/>
      <c r="DPO86" s="101"/>
      <c r="DPP86" s="101"/>
      <c r="DPQ86" s="101"/>
      <c r="DPR86" s="101"/>
      <c r="DPS86" s="101"/>
      <c r="DPT86" s="101"/>
      <c r="DPU86" s="101"/>
      <c r="DPV86" s="101"/>
      <c r="DPW86" s="101"/>
      <c r="DPX86" s="101"/>
      <c r="DPY86" s="101"/>
      <c r="DPZ86" s="101"/>
      <c r="DQA86" s="101"/>
      <c r="DQB86" s="101"/>
      <c r="DQC86" s="101"/>
      <c r="DQD86" s="101"/>
      <c r="DQE86" s="101"/>
      <c r="DQF86" s="101"/>
      <c r="DQG86" s="101"/>
      <c r="DQH86" s="101"/>
      <c r="DQI86" s="101"/>
      <c r="DQJ86" s="101"/>
      <c r="DQK86" s="101"/>
      <c r="DQL86" s="101"/>
      <c r="DQM86" s="101"/>
      <c r="DQN86" s="101"/>
      <c r="DQO86" s="101"/>
      <c r="DQP86" s="101"/>
      <c r="DQQ86" s="101"/>
      <c r="DQR86" s="101"/>
      <c r="DQS86" s="101"/>
      <c r="DQT86" s="101"/>
      <c r="DQU86" s="101"/>
      <c r="DQV86" s="101"/>
      <c r="DQW86" s="101"/>
      <c r="DQX86" s="101"/>
      <c r="DQY86" s="101"/>
      <c r="DQZ86" s="101"/>
      <c r="DRA86" s="101"/>
      <c r="DRB86" s="101"/>
      <c r="DRC86" s="101"/>
      <c r="DRD86" s="101"/>
      <c r="DRE86" s="101"/>
      <c r="DRF86" s="101"/>
      <c r="DRG86" s="101"/>
      <c r="DRH86" s="101"/>
      <c r="DRI86" s="101"/>
      <c r="DRJ86" s="101"/>
      <c r="DRK86" s="101"/>
      <c r="DRL86" s="101"/>
      <c r="DRM86" s="101"/>
      <c r="DRN86" s="101"/>
      <c r="DRO86" s="101"/>
      <c r="DRP86" s="101"/>
      <c r="DRQ86" s="101"/>
      <c r="DRR86" s="101"/>
      <c r="DRS86" s="101"/>
      <c r="DRT86" s="101"/>
      <c r="DRU86" s="101"/>
      <c r="DRV86" s="101"/>
      <c r="DRW86" s="101"/>
      <c r="DRX86" s="101"/>
      <c r="DRY86" s="101"/>
      <c r="DRZ86" s="101"/>
      <c r="DSA86" s="101"/>
      <c r="DSB86" s="101"/>
      <c r="DSC86" s="101"/>
      <c r="DSD86" s="101"/>
      <c r="DSE86" s="101"/>
      <c r="DSF86" s="101"/>
      <c r="DSG86" s="101"/>
      <c r="DSH86" s="101"/>
      <c r="DSI86" s="101"/>
      <c r="DSJ86" s="101"/>
      <c r="DSK86" s="101"/>
      <c r="DSL86" s="101"/>
      <c r="DSM86" s="101"/>
      <c r="DSN86" s="101"/>
      <c r="DSO86" s="101"/>
      <c r="DSP86" s="101"/>
      <c r="DSQ86" s="101"/>
      <c r="DSR86" s="101"/>
      <c r="DSS86" s="101"/>
      <c r="DST86" s="101"/>
      <c r="DSU86" s="101"/>
      <c r="DSV86" s="101"/>
      <c r="DSW86" s="101"/>
      <c r="DSX86" s="101"/>
      <c r="DSY86" s="101"/>
      <c r="DSZ86" s="101"/>
      <c r="DTA86" s="101"/>
      <c r="DTB86" s="101"/>
      <c r="DTC86" s="101"/>
      <c r="DTD86" s="101"/>
      <c r="DTE86" s="101"/>
      <c r="DTF86" s="101"/>
      <c r="DTG86" s="101"/>
      <c r="DTH86" s="101"/>
      <c r="DTI86" s="101"/>
      <c r="DTJ86" s="101"/>
      <c r="DTK86" s="101"/>
      <c r="DTL86" s="101"/>
      <c r="DTM86" s="101"/>
      <c r="DTN86" s="101"/>
      <c r="DTO86" s="101"/>
      <c r="DTP86" s="101"/>
      <c r="DTQ86" s="101"/>
      <c r="DTR86" s="101"/>
      <c r="DTS86" s="101"/>
      <c r="DTT86" s="101"/>
      <c r="DTU86" s="101"/>
      <c r="DTV86" s="101"/>
      <c r="DTW86" s="101"/>
      <c r="DTX86" s="101"/>
      <c r="DTY86" s="101"/>
      <c r="DTZ86" s="101"/>
      <c r="DUA86" s="101"/>
      <c r="DUB86" s="101"/>
      <c r="DUC86" s="101"/>
      <c r="DUD86" s="101"/>
      <c r="DUE86" s="101"/>
      <c r="DUF86" s="101"/>
      <c r="DUG86" s="101"/>
      <c r="DUH86" s="101"/>
      <c r="DUI86" s="101"/>
      <c r="DUJ86" s="101"/>
      <c r="DUK86" s="101"/>
      <c r="DUL86" s="101"/>
      <c r="DUM86" s="101"/>
      <c r="DUN86" s="101"/>
      <c r="DUO86" s="101"/>
      <c r="DUP86" s="101"/>
      <c r="DUQ86" s="101"/>
      <c r="DUR86" s="101"/>
      <c r="DUS86" s="101"/>
      <c r="DUT86" s="101"/>
      <c r="DUU86" s="101"/>
      <c r="DUV86" s="101"/>
      <c r="DUW86" s="101"/>
      <c r="DUX86" s="101"/>
      <c r="DUY86" s="101"/>
      <c r="DUZ86" s="101"/>
      <c r="DVA86" s="101"/>
      <c r="DVB86" s="101"/>
      <c r="DVC86" s="101"/>
      <c r="DVD86" s="101"/>
      <c r="DVE86" s="101"/>
      <c r="DVF86" s="101"/>
      <c r="DVG86" s="101"/>
      <c r="DVH86" s="101"/>
      <c r="DVI86" s="101"/>
      <c r="DVJ86" s="101"/>
      <c r="DVK86" s="101"/>
      <c r="DVL86" s="101"/>
      <c r="DVM86" s="101"/>
      <c r="DVN86" s="101"/>
      <c r="DVO86" s="101"/>
      <c r="DVP86" s="101"/>
      <c r="DVQ86" s="101"/>
      <c r="DVR86" s="101"/>
      <c r="DVS86" s="101"/>
      <c r="DVT86" s="101"/>
      <c r="DVU86" s="101"/>
      <c r="DVV86" s="101"/>
      <c r="DVW86" s="101"/>
      <c r="DVX86" s="101"/>
      <c r="DVY86" s="101"/>
      <c r="DVZ86" s="101"/>
      <c r="DWA86" s="101"/>
      <c r="DWB86" s="101"/>
      <c r="DWC86" s="101"/>
      <c r="DWD86" s="101"/>
      <c r="DWE86" s="101"/>
      <c r="DWF86" s="101"/>
      <c r="DWG86" s="101"/>
      <c r="DWH86" s="101"/>
      <c r="DWI86" s="101"/>
      <c r="DWJ86" s="101"/>
      <c r="DWK86" s="101"/>
      <c r="DWL86" s="101"/>
      <c r="DWM86" s="101"/>
      <c r="DWN86" s="101"/>
      <c r="DWO86" s="101"/>
      <c r="DWP86" s="101"/>
      <c r="DWQ86" s="101"/>
      <c r="DWR86" s="101"/>
      <c r="DWS86" s="101"/>
      <c r="DWT86" s="101"/>
      <c r="DWU86" s="101"/>
      <c r="DWV86" s="101"/>
      <c r="DWW86" s="101"/>
      <c r="DWX86" s="101"/>
      <c r="DWY86" s="101"/>
      <c r="DWZ86" s="101"/>
      <c r="DXA86" s="101"/>
      <c r="DXB86" s="101"/>
      <c r="DXC86" s="101"/>
      <c r="DXD86" s="101"/>
      <c r="DXE86" s="101"/>
      <c r="DXF86" s="101"/>
      <c r="DXG86" s="101"/>
      <c r="DXH86" s="101"/>
      <c r="DXI86" s="101"/>
      <c r="DXJ86" s="101"/>
      <c r="DXK86" s="101"/>
      <c r="DXL86" s="101"/>
      <c r="DXM86" s="101"/>
      <c r="DXN86" s="101"/>
      <c r="DXO86" s="101"/>
      <c r="DXP86" s="101"/>
      <c r="DXQ86" s="101"/>
      <c r="DXR86" s="101"/>
      <c r="DXS86" s="101"/>
      <c r="DXT86" s="101"/>
      <c r="DXU86" s="101"/>
      <c r="DXV86" s="101"/>
      <c r="DXW86" s="101"/>
      <c r="DXX86" s="101"/>
      <c r="DXY86" s="101"/>
      <c r="DXZ86" s="101"/>
      <c r="DYA86" s="101"/>
      <c r="DYB86" s="101"/>
      <c r="DYC86" s="101"/>
      <c r="DYD86" s="101"/>
      <c r="DYE86" s="101"/>
      <c r="DYF86" s="101"/>
      <c r="DYG86" s="101"/>
      <c r="DYH86" s="101"/>
      <c r="DYI86" s="101"/>
      <c r="DYJ86" s="101"/>
      <c r="DYK86" s="101"/>
      <c r="DYL86" s="101"/>
      <c r="DYM86" s="101"/>
      <c r="DYN86" s="101"/>
      <c r="DYO86" s="101"/>
      <c r="DYP86" s="101"/>
      <c r="DYQ86" s="101"/>
      <c r="DYR86" s="101"/>
      <c r="DYS86" s="101"/>
      <c r="DYT86" s="101"/>
      <c r="DYU86" s="101"/>
      <c r="DYV86" s="101"/>
      <c r="DYW86" s="101"/>
      <c r="DYX86" s="101"/>
      <c r="DYY86" s="101"/>
      <c r="DYZ86" s="101"/>
      <c r="DZA86" s="101"/>
      <c r="DZB86" s="101"/>
      <c r="DZC86" s="101"/>
      <c r="DZD86" s="101"/>
      <c r="DZE86" s="101"/>
      <c r="DZF86" s="101"/>
      <c r="DZG86" s="101"/>
      <c r="DZH86" s="101"/>
      <c r="DZI86" s="101"/>
      <c r="DZJ86" s="101"/>
      <c r="DZK86" s="101"/>
      <c r="DZL86" s="101"/>
      <c r="DZM86" s="101"/>
      <c r="DZN86" s="101"/>
      <c r="DZO86" s="101"/>
      <c r="DZP86" s="101"/>
      <c r="DZQ86" s="101"/>
      <c r="DZR86" s="101"/>
      <c r="DZS86" s="101"/>
      <c r="DZT86" s="101"/>
      <c r="DZU86" s="101"/>
      <c r="DZV86" s="101"/>
      <c r="DZW86" s="101"/>
      <c r="DZX86" s="101"/>
      <c r="DZY86" s="101"/>
      <c r="DZZ86" s="101"/>
      <c r="EAA86" s="101"/>
      <c r="EAB86" s="101"/>
      <c r="EAC86" s="101"/>
      <c r="EAD86" s="101"/>
      <c r="EAE86" s="101"/>
      <c r="EAF86" s="101"/>
      <c r="EAG86" s="101"/>
      <c r="EAH86" s="101"/>
      <c r="EAI86" s="101"/>
      <c r="EAJ86" s="101"/>
      <c r="EAK86" s="101"/>
      <c r="EAL86" s="101"/>
      <c r="EAM86" s="101"/>
      <c r="EAN86" s="101"/>
      <c r="EAO86" s="101"/>
      <c r="EAP86" s="101"/>
      <c r="EAQ86" s="101"/>
      <c r="EAR86" s="101"/>
      <c r="EAS86" s="101"/>
      <c r="EAT86" s="101"/>
      <c r="EAU86" s="101"/>
      <c r="EAV86" s="101"/>
      <c r="EAW86" s="101"/>
      <c r="EAX86" s="101"/>
      <c r="EAY86" s="101"/>
      <c r="EAZ86" s="101"/>
      <c r="EBA86" s="101"/>
      <c r="EBB86" s="101"/>
      <c r="EBC86" s="101"/>
      <c r="EBD86" s="101"/>
      <c r="EBE86" s="101"/>
      <c r="EBF86" s="101"/>
      <c r="EBG86" s="101"/>
      <c r="EBH86" s="101"/>
      <c r="EBI86" s="101"/>
      <c r="EBJ86" s="101"/>
      <c r="EBK86" s="101"/>
      <c r="EBL86" s="101"/>
      <c r="EBM86" s="101"/>
      <c r="EBN86" s="101"/>
      <c r="EBO86" s="101"/>
      <c r="EBP86" s="101"/>
      <c r="EBQ86" s="101"/>
      <c r="EBR86" s="101"/>
      <c r="EBS86" s="101"/>
      <c r="EBT86" s="101"/>
      <c r="EBU86" s="101"/>
      <c r="EBV86" s="101"/>
      <c r="EBW86" s="101"/>
      <c r="EBX86" s="101"/>
      <c r="EBY86" s="101"/>
      <c r="EBZ86" s="101"/>
      <c r="ECA86" s="101"/>
      <c r="ECB86" s="101"/>
      <c r="ECC86" s="101"/>
      <c r="ECD86" s="101"/>
      <c r="ECE86" s="101"/>
      <c r="ECF86" s="101"/>
      <c r="ECG86" s="101"/>
      <c r="ECH86" s="101"/>
      <c r="ECI86" s="101"/>
      <c r="ECJ86" s="101"/>
      <c r="ECK86" s="101"/>
      <c r="ECL86" s="101"/>
      <c r="ECM86" s="101"/>
      <c r="ECN86" s="101"/>
      <c r="ECO86" s="101"/>
      <c r="ECP86" s="101"/>
      <c r="ECQ86" s="101"/>
      <c r="ECR86" s="101"/>
      <c r="ECS86" s="101"/>
      <c r="ECT86" s="101"/>
      <c r="ECU86" s="101"/>
      <c r="ECV86" s="101"/>
      <c r="ECW86" s="101"/>
      <c r="ECX86" s="101"/>
      <c r="ECY86" s="101"/>
      <c r="ECZ86" s="101"/>
      <c r="EDA86" s="101"/>
      <c r="EDB86" s="101"/>
      <c r="EDC86" s="101"/>
      <c r="EDD86" s="101"/>
      <c r="EDE86" s="101"/>
      <c r="EDF86" s="101"/>
      <c r="EDG86" s="101"/>
      <c r="EDH86" s="101"/>
      <c r="EDI86" s="101"/>
      <c r="EDJ86" s="101"/>
      <c r="EDK86" s="101"/>
      <c r="EDL86" s="101"/>
      <c r="EDM86" s="101"/>
      <c r="EDN86" s="101"/>
      <c r="EDO86" s="101"/>
      <c r="EDP86" s="101"/>
      <c r="EDQ86" s="101"/>
      <c r="EDR86" s="101"/>
      <c r="EDS86" s="101"/>
      <c r="EDT86" s="101"/>
      <c r="EDU86" s="101"/>
      <c r="EDV86" s="101"/>
      <c r="EDW86" s="101"/>
      <c r="EDX86" s="101"/>
      <c r="EDY86" s="101"/>
      <c r="EDZ86" s="101"/>
      <c r="EEA86" s="101"/>
      <c r="EEB86" s="101"/>
      <c r="EEC86" s="101"/>
      <c r="EED86" s="101"/>
      <c r="EEE86" s="101"/>
      <c r="EEF86" s="101"/>
      <c r="EEG86" s="101"/>
      <c r="EEH86" s="101"/>
      <c r="EEI86" s="101"/>
      <c r="EEJ86" s="101"/>
      <c r="EEK86" s="101"/>
      <c r="EEL86" s="101"/>
      <c r="EEM86" s="101"/>
      <c r="EEN86" s="101"/>
      <c r="EEO86" s="101"/>
      <c r="EEP86" s="101"/>
      <c r="EEQ86" s="101"/>
      <c r="EER86" s="101"/>
      <c r="EES86" s="101"/>
      <c r="EET86" s="101"/>
      <c r="EEU86" s="101"/>
      <c r="EEV86" s="101"/>
      <c r="EEW86" s="101"/>
      <c r="EEX86" s="101"/>
      <c r="EEY86" s="101"/>
      <c r="EEZ86" s="101"/>
      <c r="EFA86" s="101"/>
      <c r="EFB86" s="101"/>
      <c r="EFC86" s="101"/>
      <c r="EFD86" s="101"/>
      <c r="EFE86" s="101"/>
      <c r="EFF86" s="101"/>
      <c r="EFG86" s="101"/>
      <c r="EFH86" s="101"/>
      <c r="EFI86" s="101"/>
      <c r="EFJ86" s="101"/>
      <c r="EFK86" s="101"/>
      <c r="EFL86" s="101"/>
      <c r="EFM86" s="101"/>
      <c r="EFN86" s="101"/>
      <c r="EFO86" s="101"/>
      <c r="EFP86" s="101"/>
      <c r="EFQ86" s="101"/>
      <c r="EFR86" s="101"/>
      <c r="EFS86" s="101"/>
      <c r="EFT86" s="101"/>
      <c r="EFU86" s="101"/>
      <c r="EFV86" s="101"/>
      <c r="EFW86" s="101"/>
      <c r="EFX86" s="101"/>
      <c r="EFY86" s="101"/>
      <c r="EFZ86" s="101"/>
      <c r="EGA86" s="101"/>
      <c r="EGB86" s="101"/>
      <c r="EGC86" s="101"/>
      <c r="EGD86" s="101"/>
      <c r="EGE86" s="101"/>
      <c r="EGF86" s="101"/>
      <c r="EGG86" s="101"/>
      <c r="EGH86" s="101"/>
      <c r="EGI86" s="101"/>
      <c r="EGJ86" s="101"/>
      <c r="EGK86" s="101"/>
      <c r="EGL86" s="101"/>
      <c r="EGM86" s="101"/>
      <c r="EGN86" s="101"/>
      <c r="EGO86" s="101"/>
      <c r="EGP86" s="101"/>
      <c r="EGQ86" s="101"/>
      <c r="EGR86" s="101"/>
      <c r="EGS86" s="101"/>
      <c r="EGT86" s="101"/>
      <c r="EGU86" s="101"/>
      <c r="EGV86" s="101"/>
      <c r="EGW86" s="101"/>
      <c r="EGX86" s="101"/>
      <c r="EGY86" s="101"/>
      <c r="EGZ86" s="101"/>
      <c r="EHA86" s="101"/>
      <c r="EHB86" s="101"/>
      <c r="EHC86" s="101"/>
      <c r="EHD86" s="101"/>
      <c r="EHE86" s="101"/>
      <c r="EHF86" s="101"/>
      <c r="EHG86" s="101"/>
      <c r="EHH86" s="101"/>
      <c r="EHI86" s="101"/>
      <c r="EHJ86" s="101"/>
      <c r="EHK86" s="101"/>
      <c r="EHL86" s="101"/>
      <c r="EHM86" s="101"/>
      <c r="EHN86" s="101"/>
      <c r="EHO86" s="101"/>
      <c r="EHP86" s="101"/>
      <c r="EHQ86" s="101"/>
      <c r="EHR86" s="101"/>
      <c r="EHS86" s="101"/>
      <c r="EHT86" s="101"/>
      <c r="EHU86" s="101"/>
      <c r="EHV86" s="101"/>
      <c r="EHW86" s="101"/>
      <c r="EHX86" s="101"/>
      <c r="EHY86" s="101"/>
      <c r="EHZ86" s="101"/>
      <c r="EIA86" s="101"/>
      <c r="EIB86" s="101"/>
      <c r="EIC86" s="101"/>
      <c r="EID86" s="101"/>
      <c r="EIE86" s="101"/>
      <c r="EIF86" s="101"/>
      <c r="EIG86" s="101"/>
      <c r="EIH86" s="101"/>
      <c r="EII86" s="101"/>
      <c r="EIJ86" s="101"/>
      <c r="EIK86" s="101"/>
      <c r="EIL86" s="101"/>
      <c r="EIM86" s="101"/>
      <c r="EIN86" s="101"/>
      <c r="EIO86" s="101"/>
      <c r="EIP86" s="101"/>
      <c r="EIQ86" s="101"/>
      <c r="EIR86" s="101"/>
      <c r="EIS86" s="101"/>
      <c r="EIT86" s="101"/>
      <c r="EIU86" s="101"/>
      <c r="EIV86" s="101"/>
      <c r="EIW86" s="101"/>
      <c r="EIX86" s="101"/>
      <c r="EIY86" s="101"/>
      <c r="EIZ86" s="101"/>
      <c r="EJA86" s="101"/>
      <c r="EJB86" s="101"/>
      <c r="EJC86" s="101"/>
      <c r="EJD86" s="101"/>
      <c r="EJE86" s="101"/>
      <c r="EJF86" s="101"/>
      <c r="EJG86" s="101"/>
      <c r="EJH86" s="101"/>
      <c r="EJI86" s="101"/>
      <c r="EJJ86" s="101"/>
      <c r="EJK86" s="101"/>
      <c r="EJL86" s="101"/>
      <c r="EJM86" s="101"/>
      <c r="EJN86" s="101"/>
      <c r="EJO86" s="101"/>
      <c r="EJP86" s="101"/>
      <c r="EJQ86" s="101"/>
      <c r="EJR86" s="101"/>
      <c r="EJS86" s="101"/>
      <c r="EJT86" s="101"/>
      <c r="EJU86" s="101"/>
      <c r="EJV86" s="101"/>
      <c r="EJW86" s="101"/>
      <c r="EJX86" s="101"/>
      <c r="EJY86" s="101"/>
      <c r="EJZ86" s="101"/>
      <c r="EKA86" s="101"/>
      <c r="EKB86" s="101"/>
      <c r="EKC86" s="101"/>
      <c r="EKD86" s="101"/>
      <c r="EKE86" s="101"/>
      <c r="EKF86" s="101"/>
      <c r="EKG86" s="101"/>
      <c r="EKH86" s="101"/>
      <c r="EKI86" s="101"/>
      <c r="EKJ86" s="101"/>
      <c r="EKK86" s="101"/>
      <c r="EKL86" s="101"/>
      <c r="EKM86" s="101"/>
      <c r="EKN86" s="101"/>
      <c r="EKO86" s="101"/>
      <c r="EKP86" s="101"/>
      <c r="EKQ86" s="101"/>
      <c r="EKR86" s="101"/>
      <c r="EKS86" s="101"/>
      <c r="EKT86" s="101"/>
      <c r="EKU86" s="101"/>
      <c r="EKV86" s="101"/>
      <c r="EKW86" s="101"/>
      <c r="EKX86" s="101"/>
      <c r="EKY86" s="101"/>
      <c r="EKZ86" s="101"/>
      <c r="ELA86" s="101"/>
      <c r="ELB86" s="101"/>
      <c r="ELC86" s="101"/>
      <c r="ELD86" s="101"/>
      <c r="ELE86" s="101"/>
      <c r="ELF86" s="101"/>
      <c r="ELG86" s="101"/>
      <c r="ELH86" s="101"/>
      <c r="ELI86" s="101"/>
      <c r="ELJ86" s="101"/>
      <c r="ELK86" s="101"/>
      <c r="ELL86" s="101"/>
      <c r="ELM86" s="101"/>
      <c r="ELN86" s="101"/>
      <c r="ELO86" s="101"/>
      <c r="ELP86" s="101"/>
      <c r="ELQ86" s="101"/>
      <c r="ELR86" s="101"/>
      <c r="ELS86" s="101"/>
      <c r="ELT86" s="101"/>
      <c r="ELU86" s="101"/>
      <c r="ELV86" s="101"/>
      <c r="ELW86" s="101"/>
      <c r="ELX86" s="101"/>
      <c r="ELY86" s="101"/>
      <c r="ELZ86" s="101"/>
      <c r="EMA86" s="101"/>
      <c r="EMB86" s="101"/>
      <c r="EMC86" s="101"/>
      <c r="EMD86" s="101"/>
      <c r="EME86" s="101"/>
      <c r="EMF86" s="101"/>
      <c r="EMG86" s="101"/>
      <c r="EMH86" s="101"/>
      <c r="EMI86" s="101"/>
      <c r="EMJ86" s="101"/>
      <c r="EMK86" s="101"/>
      <c r="EML86" s="101"/>
      <c r="EMM86" s="101"/>
      <c r="EMN86" s="101"/>
      <c r="EMO86" s="101"/>
      <c r="EMP86" s="101"/>
      <c r="EMQ86" s="101"/>
      <c r="EMR86" s="101"/>
      <c r="EMS86" s="101"/>
      <c r="EMT86" s="101"/>
      <c r="EMU86" s="101"/>
      <c r="EMV86" s="101"/>
      <c r="EMW86" s="101"/>
      <c r="EMX86" s="101"/>
      <c r="EMY86" s="101"/>
      <c r="EMZ86" s="101"/>
      <c r="ENA86" s="101"/>
      <c r="ENB86" s="101"/>
      <c r="ENC86" s="101"/>
      <c r="END86" s="101"/>
      <c r="ENE86" s="101"/>
      <c r="ENF86" s="101"/>
      <c r="ENG86" s="101"/>
      <c r="ENH86" s="101"/>
      <c r="ENI86" s="101"/>
      <c r="ENJ86" s="101"/>
      <c r="ENK86" s="101"/>
      <c r="ENL86" s="101"/>
      <c r="ENM86" s="101"/>
      <c r="ENN86" s="101"/>
      <c r="ENO86" s="101"/>
      <c r="ENP86" s="101"/>
      <c r="ENQ86" s="101"/>
      <c r="ENR86" s="101"/>
      <c r="ENS86" s="101"/>
      <c r="ENT86" s="101"/>
      <c r="ENU86" s="101"/>
      <c r="ENV86" s="101"/>
      <c r="ENW86" s="101"/>
      <c r="ENX86" s="101"/>
      <c r="ENY86" s="101"/>
      <c r="ENZ86" s="101"/>
      <c r="EOA86" s="101"/>
      <c r="EOB86" s="101"/>
      <c r="EOC86" s="101"/>
      <c r="EOD86" s="101"/>
      <c r="EOE86" s="101"/>
      <c r="EOF86" s="101"/>
      <c r="EOG86" s="101"/>
      <c r="EOH86" s="101"/>
      <c r="EOI86" s="101"/>
      <c r="EOJ86" s="101"/>
      <c r="EOK86" s="101"/>
      <c r="EOL86" s="101"/>
      <c r="EOM86" s="101"/>
      <c r="EON86" s="101"/>
      <c r="EOO86" s="101"/>
      <c r="EOP86" s="101"/>
      <c r="EOQ86" s="101"/>
      <c r="EOR86" s="101"/>
      <c r="EOS86" s="101"/>
      <c r="EOT86" s="101"/>
      <c r="EOU86" s="101"/>
      <c r="EOV86" s="101"/>
      <c r="EOW86" s="101"/>
      <c r="EOX86" s="101"/>
      <c r="EOY86" s="101"/>
      <c r="EOZ86" s="101"/>
      <c r="EPA86" s="101"/>
      <c r="EPB86" s="101"/>
      <c r="EPC86" s="101"/>
      <c r="EPD86" s="101"/>
      <c r="EPE86" s="101"/>
      <c r="EPF86" s="101"/>
      <c r="EPG86" s="101"/>
      <c r="EPH86" s="101"/>
      <c r="EPI86" s="101"/>
      <c r="EPJ86" s="101"/>
      <c r="EPK86" s="101"/>
      <c r="EPL86" s="101"/>
      <c r="EPM86" s="101"/>
      <c r="EPN86" s="101"/>
      <c r="EPO86" s="101"/>
      <c r="EPP86" s="101"/>
      <c r="EPQ86" s="101"/>
      <c r="EPR86" s="101"/>
      <c r="EPS86" s="101"/>
      <c r="EPT86" s="101"/>
      <c r="EPU86" s="101"/>
      <c r="EPV86" s="101"/>
      <c r="EPW86" s="101"/>
      <c r="EPX86" s="101"/>
      <c r="EPY86" s="101"/>
      <c r="EPZ86" s="101"/>
      <c r="EQA86" s="101"/>
      <c r="EQB86" s="101"/>
      <c r="EQC86" s="101"/>
      <c r="EQD86" s="101"/>
      <c r="EQE86" s="101"/>
      <c r="EQF86" s="101"/>
      <c r="EQG86" s="101"/>
      <c r="EQH86" s="101"/>
      <c r="EQI86" s="101"/>
      <c r="EQJ86" s="101"/>
      <c r="EQK86" s="101"/>
      <c r="EQL86" s="101"/>
      <c r="EQM86" s="101"/>
      <c r="EQN86" s="101"/>
      <c r="EQO86" s="101"/>
      <c r="EQP86" s="101"/>
      <c r="EQQ86" s="101"/>
      <c r="EQR86" s="101"/>
      <c r="EQS86" s="101"/>
      <c r="EQT86" s="101"/>
      <c r="EQU86" s="101"/>
      <c r="EQV86" s="101"/>
      <c r="EQW86" s="101"/>
      <c r="EQX86" s="101"/>
      <c r="EQY86" s="101"/>
      <c r="EQZ86" s="101"/>
      <c r="ERA86" s="101"/>
      <c r="ERB86" s="101"/>
      <c r="ERC86" s="101"/>
      <c r="ERD86" s="101"/>
      <c r="ERE86" s="101"/>
      <c r="ERF86" s="101"/>
      <c r="ERG86" s="101"/>
      <c r="ERH86" s="101"/>
      <c r="ERI86" s="101"/>
      <c r="ERJ86" s="101"/>
      <c r="ERK86" s="101"/>
      <c r="ERL86" s="101"/>
      <c r="ERM86" s="101"/>
      <c r="ERN86" s="101"/>
      <c r="ERO86" s="101"/>
      <c r="ERP86" s="101"/>
      <c r="ERQ86" s="101"/>
      <c r="ERR86" s="101"/>
      <c r="ERS86" s="101"/>
      <c r="ERT86" s="101"/>
      <c r="ERU86" s="101"/>
      <c r="ERV86" s="101"/>
      <c r="ERW86" s="101"/>
      <c r="ERX86" s="101"/>
      <c r="ERY86" s="101"/>
      <c r="ERZ86" s="101"/>
      <c r="ESA86" s="101"/>
      <c r="ESB86" s="101"/>
      <c r="ESC86" s="101"/>
      <c r="ESD86" s="101"/>
      <c r="ESE86" s="101"/>
      <c r="ESF86" s="101"/>
      <c r="ESG86" s="101"/>
      <c r="ESH86" s="101"/>
      <c r="ESI86" s="101"/>
      <c r="ESJ86" s="101"/>
      <c r="ESK86" s="101"/>
      <c r="ESL86" s="101"/>
      <c r="ESM86" s="101"/>
      <c r="ESN86" s="101"/>
      <c r="ESO86" s="101"/>
      <c r="ESP86" s="101"/>
      <c r="ESQ86" s="101"/>
      <c r="ESR86" s="101"/>
      <c r="ESS86" s="101"/>
      <c r="EST86" s="101"/>
      <c r="ESU86" s="101"/>
      <c r="ESV86" s="101"/>
      <c r="ESW86" s="101"/>
      <c r="ESX86" s="101"/>
      <c r="ESY86" s="101"/>
      <c r="ESZ86" s="101"/>
      <c r="ETA86" s="101"/>
      <c r="ETB86" s="101"/>
      <c r="ETC86" s="101"/>
      <c r="ETD86" s="101"/>
      <c r="ETE86" s="101"/>
      <c r="ETF86" s="101"/>
      <c r="ETG86" s="101"/>
      <c r="ETH86" s="101"/>
      <c r="ETI86" s="101"/>
      <c r="ETJ86" s="101"/>
      <c r="ETK86" s="101"/>
      <c r="ETL86" s="101"/>
      <c r="ETM86" s="101"/>
      <c r="ETN86" s="101"/>
      <c r="ETO86" s="101"/>
      <c r="ETP86" s="101"/>
      <c r="ETQ86" s="101"/>
      <c r="ETR86" s="101"/>
      <c r="ETS86" s="101"/>
      <c r="ETT86" s="101"/>
      <c r="ETU86" s="101"/>
      <c r="ETV86" s="101"/>
      <c r="ETW86" s="101"/>
      <c r="ETX86" s="101"/>
      <c r="ETY86" s="101"/>
      <c r="ETZ86" s="101"/>
      <c r="EUA86" s="101"/>
      <c r="EUB86" s="101"/>
      <c r="EUC86" s="101"/>
      <c r="EUD86" s="101"/>
      <c r="EUE86" s="101"/>
      <c r="EUF86" s="101"/>
      <c r="EUG86" s="101"/>
      <c r="EUH86" s="101"/>
      <c r="EUI86" s="101"/>
      <c r="EUJ86" s="101"/>
      <c r="EUK86" s="101"/>
      <c r="EUL86" s="101"/>
      <c r="EUM86" s="101"/>
      <c r="EUN86" s="101"/>
      <c r="EUO86" s="101"/>
      <c r="EUP86" s="101"/>
      <c r="EUQ86" s="101"/>
      <c r="EUR86" s="101"/>
      <c r="EUS86" s="101"/>
      <c r="EUT86" s="101"/>
      <c r="EUU86" s="101"/>
      <c r="EUV86" s="101"/>
      <c r="EUW86" s="101"/>
      <c r="EUX86" s="101"/>
      <c r="EUY86" s="101"/>
      <c r="EUZ86" s="101"/>
      <c r="EVA86" s="101"/>
      <c r="EVB86" s="101"/>
      <c r="EVC86" s="101"/>
      <c r="EVD86" s="101"/>
      <c r="EVE86" s="101"/>
      <c r="EVF86" s="101"/>
      <c r="EVG86" s="101"/>
      <c r="EVH86" s="101"/>
      <c r="EVI86" s="101"/>
      <c r="EVJ86" s="101"/>
      <c r="EVK86" s="101"/>
      <c r="EVL86" s="101"/>
      <c r="EVM86" s="101"/>
      <c r="EVN86" s="101"/>
      <c r="EVO86" s="101"/>
      <c r="EVP86" s="101"/>
      <c r="EVQ86" s="101"/>
      <c r="EVR86" s="101"/>
      <c r="EVS86" s="101"/>
      <c r="EVT86" s="101"/>
      <c r="EVU86" s="101"/>
      <c r="EVV86" s="101"/>
      <c r="EVW86" s="101"/>
      <c r="EVX86" s="101"/>
      <c r="EVY86" s="101"/>
      <c r="EVZ86" s="101"/>
      <c r="EWA86" s="101"/>
      <c r="EWB86" s="101"/>
      <c r="EWC86" s="101"/>
      <c r="EWD86" s="101"/>
      <c r="EWE86" s="101"/>
      <c r="EWF86" s="101"/>
      <c r="EWG86" s="101"/>
      <c r="EWH86" s="101"/>
      <c r="EWI86" s="101"/>
      <c r="EWJ86" s="101"/>
      <c r="EWK86" s="101"/>
      <c r="EWL86" s="101"/>
      <c r="EWM86" s="101"/>
      <c r="EWN86" s="101"/>
      <c r="EWO86" s="101"/>
      <c r="EWP86" s="101"/>
      <c r="EWQ86" s="101"/>
      <c r="EWR86" s="101"/>
      <c r="EWS86" s="101"/>
      <c r="EWT86" s="101"/>
      <c r="EWU86" s="101"/>
      <c r="EWV86" s="101"/>
      <c r="EWW86" s="101"/>
      <c r="EWX86" s="101"/>
      <c r="EWY86" s="101"/>
      <c r="EWZ86" s="101"/>
      <c r="EXA86" s="101"/>
      <c r="EXB86" s="101"/>
      <c r="EXC86" s="101"/>
      <c r="EXD86" s="101"/>
      <c r="EXE86" s="101"/>
      <c r="EXF86" s="101"/>
      <c r="EXG86" s="101"/>
      <c r="EXH86" s="101"/>
      <c r="EXI86" s="101"/>
      <c r="EXJ86" s="101"/>
      <c r="EXK86" s="101"/>
      <c r="EXL86" s="101"/>
      <c r="EXM86" s="101"/>
      <c r="EXN86" s="101"/>
      <c r="EXO86" s="101"/>
      <c r="EXP86" s="101"/>
      <c r="EXQ86" s="101"/>
      <c r="EXR86" s="101"/>
      <c r="EXS86" s="101"/>
      <c r="EXT86" s="101"/>
      <c r="EXU86" s="101"/>
      <c r="EXV86" s="101"/>
      <c r="EXW86" s="101"/>
      <c r="EXX86" s="101"/>
      <c r="EXY86" s="101"/>
      <c r="EXZ86" s="101"/>
      <c r="EYA86" s="101"/>
      <c r="EYB86" s="101"/>
      <c r="EYC86" s="101"/>
      <c r="EYD86" s="101"/>
      <c r="EYE86" s="101"/>
      <c r="EYF86" s="101"/>
      <c r="EYG86" s="101"/>
      <c r="EYH86" s="101"/>
      <c r="EYI86" s="101"/>
      <c r="EYJ86" s="101"/>
      <c r="EYK86" s="101"/>
      <c r="EYL86" s="101"/>
      <c r="EYM86" s="101"/>
      <c r="EYN86" s="101"/>
      <c r="EYO86" s="101"/>
      <c r="EYP86" s="101"/>
      <c r="EYQ86" s="101"/>
      <c r="EYR86" s="101"/>
      <c r="EYS86" s="101"/>
      <c r="EYT86" s="101"/>
      <c r="EYU86" s="101"/>
      <c r="EYV86" s="101"/>
      <c r="EYW86" s="101"/>
      <c r="EYX86" s="101"/>
      <c r="EYY86" s="101"/>
      <c r="EYZ86" s="101"/>
      <c r="EZA86" s="101"/>
      <c r="EZB86" s="101"/>
      <c r="EZC86" s="101"/>
      <c r="EZD86" s="101"/>
      <c r="EZE86" s="101"/>
      <c r="EZF86" s="101"/>
      <c r="EZG86" s="101"/>
      <c r="EZH86" s="101"/>
      <c r="EZI86" s="101"/>
      <c r="EZJ86" s="101"/>
      <c r="EZK86" s="101"/>
      <c r="EZL86" s="101"/>
      <c r="EZM86" s="101"/>
      <c r="EZN86" s="101"/>
      <c r="EZO86" s="101"/>
      <c r="EZP86" s="101"/>
      <c r="EZQ86" s="101"/>
      <c r="EZR86" s="101"/>
      <c r="EZS86" s="101"/>
      <c r="EZT86" s="101"/>
      <c r="EZU86" s="101"/>
      <c r="EZV86" s="101"/>
      <c r="EZW86" s="101"/>
      <c r="EZX86" s="101"/>
      <c r="EZY86" s="101"/>
      <c r="EZZ86" s="101"/>
      <c r="FAA86" s="101"/>
      <c r="FAB86" s="101"/>
      <c r="FAC86" s="101"/>
      <c r="FAD86" s="101"/>
      <c r="FAE86" s="101"/>
      <c r="FAF86" s="101"/>
      <c r="FAG86" s="101"/>
      <c r="FAH86" s="101"/>
      <c r="FAI86" s="101"/>
      <c r="FAJ86" s="101"/>
      <c r="FAK86" s="101"/>
      <c r="FAL86" s="101"/>
      <c r="FAM86" s="101"/>
      <c r="FAN86" s="101"/>
      <c r="FAO86" s="101"/>
      <c r="FAP86" s="101"/>
      <c r="FAQ86" s="101"/>
      <c r="FAR86" s="101"/>
      <c r="FAS86" s="101"/>
      <c r="FAT86" s="101"/>
      <c r="FAU86" s="101"/>
      <c r="FAV86" s="101"/>
      <c r="FAW86" s="101"/>
      <c r="FAX86" s="101"/>
      <c r="FAY86" s="101"/>
      <c r="FAZ86" s="101"/>
      <c r="FBA86" s="101"/>
      <c r="FBB86" s="101"/>
      <c r="FBC86" s="101"/>
      <c r="FBD86" s="101"/>
      <c r="FBE86" s="101"/>
      <c r="FBF86" s="101"/>
      <c r="FBG86" s="101"/>
      <c r="FBH86" s="101"/>
      <c r="FBI86" s="101"/>
      <c r="FBJ86" s="101"/>
      <c r="FBK86" s="101"/>
      <c r="FBL86" s="101"/>
      <c r="FBM86" s="101"/>
      <c r="FBN86" s="101"/>
      <c r="FBO86" s="101"/>
      <c r="FBP86" s="101"/>
      <c r="FBQ86" s="101"/>
      <c r="FBR86" s="101"/>
      <c r="FBS86" s="101"/>
      <c r="FBT86" s="101"/>
      <c r="FBU86" s="101"/>
      <c r="FBV86" s="101"/>
      <c r="FBW86" s="101"/>
      <c r="FBX86" s="101"/>
      <c r="FBY86" s="101"/>
      <c r="FBZ86" s="101"/>
      <c r="FCA86" s="101"/>
      <c r="FCB86" s="101"/>
      <c r="FCC86" s="101"/>
      <c r="FCD86" s="101"/>
      <c r="FCE86" s="101"/>
      <c r="FCF86" s="101"/>
      <c r="FCG86" s="101"/>
      <c r="FCH86" s="101"/>
      <c r="FCI86" s="101"/>
      <c r="FCJ86" s="101"/>
      <c r="FCK86" s="101"/>
      <c r="FCL86" s="101"/>
      <c r="FCM86" s="101"/>
      <c r="FCN86" s="101"/>
      <c r="FCO86" s="101"/>
      <c r="FCP86" s="101"/>
      <c r="FCQ86" s="101"/>
      <c r="FCR86" s="101"/>
      <c r="FCS86" s="101"/>
      <c r="FCT86" s="101"/>
      <c r="FCU86" s="101"/>
      <c r="FCV86" s="101"/>
      <c r="FCW86" s="101"/>
      <c r="FCX86" s="101"/>
      <c r="FCY86" s="101"/>
      <c r="FCZ86" s="101"/>
      <c r="FDA86" s="101"/>
      <c r="FDB86" s="101"/>
      <c r="FDC86" s="101"/>
      <c r="FDD86" s="101"/>
      <c r="FDE86" s="101"/>
      <c r="FDF86" s="101"/>
      <c r="FDG86" s="101"/>
      <c r="FDH86" s="101"/>
      <c r="FDI86" s="101"/>
      <c r="FDJ86" s="101"/>
      <c r="FDK86" s="101"/>
      <c r="FDL86" s="101"/>
      <c r="FDM86" s="101"/>
      <c r="FDN86" s="101"/>
      <c r="FDO86" s="101"/>
      <c r="FDP86" s="101"/>
      <c r="FDQ86" s="101"/>
      <c r="FDR86" s="101"/>
      <c r="FDS86" s="101"/>
      <c r="FDT86" s="101"/>
      <c r="FDU86" s="101"/>
      <c r="FDV86" s="101"/>
      <c r="FDW86" s="101"/>
      <c r="FDX86" s="101"/>
      <c r="FDY86" s="101"/>
      <c r="FDZ86" s="101"/>
      <c r="FEA86" s="101"/>
      <c r="FEB86" s="101"/>
      <c r="FEC86" s="101"/>
      <c r="FED86" s="101"/>
      <c r="FEE86" s="101"/>
      <c r="FEF86" s="101"/>
      <c r="FEG86" s="101"/>
      <c r="FEH86" s="101"/>
      <c r="FEI86" s="101"/>
      <c r="FEJ86" s="101"/>
      <c r="FEK86" s="101"/>
      <c r="FEL86" s="101"/>
      <c r="FEM86" s="101"/>
      <c r="FEN86" s="101"/>
      <c r="FEO86" s="101"/>
      <c r="FEP86" s="101"/>
      <c r="FEQ86" s="101"/>
      <c r="FER86" s="101"/>
      <c r="FES86" s="101"/>
      <c r="FET86" s="101"/>
      <c r="FEU86" s="101"/>
      <c r="FEV86" s="101"/>
      <c r="FEW86" s="101"/>
      <c r="FEX86" s="101"/>
      <c r="FEY86" s="101"/>
      <c r="FEZ86" s="101"/>
      <c r="FFA86" s="101"/>
      <c r="FFB86" s="101"/>
      <c r="FFC86" s="101"/>
      <c r="FFD86" s="101"/>
      <c r="FFE86" s="101"/>
      <c r="FFF86" s="101"/>
      <c r="FFG86" s="101"/>
      <c r="FFH86" s="101"/>
      <c r="FFI86" s="101"/>
      <c r="FFJ86" s="101"/>
      <c r="FFK86" s="101"/>
      <c r="FFL86" s="101"/>
      <c r="FFM86" s="101"/>
      <c r="FFN86" s="101"/>
      <c r="FFO86" s="101"/>
      <c r="FFP86" s="101"/>
      <c r="FFQ86" s="101"/>
      <c r="FFR86" s="101"/>
      <c r="FFS86" s="101"/>
      <c r="FFT86" s="101"/>
      <c r="FFU86" s="101"/>
      <c r="FFV86" s="101"/>
      <c r="FFW86" s="101"/>
      <c r="FFX86" s="101"/>
      <c r="FFY86" s="101"/>
      <c r="FFZ86" s="101"/>
      <c r="FGA86" s="101"/>
      <c r="FGB86" s="101"/>
      <c r="FGC86" s="101"/>
      <c r="FGD86" s="101"/>
      <c r="FGE86" s="101"/>
      <c r="FGF86" s="101"/>
      <c r="FGG86" s="101"/>
      <c r="FGH86" s="101"/>
      <c r="FGI86" s="101"/>
      <c r="FGJ86" s="101"/>
      <c r="FGK86" s="101"/>
      <c r="FGL86" s="101"/>
      <c r="FGM86" s="101"/>
      <c r="FGN86" s="101"/>
      <c r="FGO86" s="101"/>
      <c r="FGP86" s="101"/>
      <c r="FGQ86" s="101"/>
      <c r="FGR86" s="101"/>
      <c r="FGS86" s="101"/>
      <c r="FGT86" s="101"/>
      <c r="FGU86" s="101"/>
      <c r="FGV86" s="101"/>
      <c r="FGW86" s="101"/>
      <c r="FGX86" s="101"/>
      <c r="FGY86" s="101"/>
      <c r="FGZ86" s="101"/>
      <c r="FHA86" s="101"/>
      <c r="FHB86" s="101"/>
      <c r="FHC86" s="101"/>
      <c r="FHD86" s="101"/>
      <c r="FHE86" s="101"/>
      <c r="FHF86" s="101"/>
      <c r="FHG86" s="101"/>
      <c r="FHH86" s="101"/>
      <c r="FHI86" s="101"/>
      <c r="FHJ86" s="101"/>
      <c r="FHK86" s="101"/>
      <c r="FHL86" s="101"/>
      <c r="FHM86" s="101"/>
      <c r="FHN86" s="101"/>
      <c r="FHO86" s="101"/>
      <c r="FHP86" s="101"/>
      <c r="FHQ86" s="101"/>
      <c r="FHR86" s="101"/>
      <c r="FHS86" s="101"/>
      <c r="FHT86" s="101"/>
      <c r="FHU86" s="101"/>
      <c r="FHV86" s="101"/>
      <c r="FHW86" s="101"/>
      <c r="FHX86" s="101"/>
      <c r="FHY86" s="101"/>
      <c r="FHZ86" s="101"/>
      <c r="FIA86" s="101"/>
      <c r="FIB86" s="101"/>
      <c r="FIC86" s="101"/>
      <c r="FID86" s="101"/>
      <c r="FIE86" s="101"/>
      <c r="FIF86" s="101"/>
      <c r="FIG86" s="101"/>
      <c r="FIH86" s="101"/>
      <c r="FII86" s="101"/>
      <c r="FIJ86" s="101"/>
      <c r="FIK86" s="101"/>
      <c r="FIL86" s="101"/>
      <c r="FIM86" s="101"/>
      <c r="FIN86" s="101"/>
      <c r="FIO86" s="101"/>
      <c r="FIP86" s="101"/>
      <c r="FIQ86" s="101"/>
      <c r="FIR86" s="101"/>
      <c r="FIS86" s="101"/>
      <c r="FIT86" s="101"/>
      <c r="FIU86" s="101"/>
      <c r="FIV86" s="101"/>
      <c r="FIW86" s="101"/>
      <c r="FIX86" s="101"/>
      <c r="FIY86" s="101"/>
      <c r="FIZ86" s="101"/>
      <c r="FJA86" s="101"/>
      <c r="FJB86" s="101"/>
      <c r="FJC86" s="101"/>
      <c r="FJD86" s="101"/>
      <c r="FJE86" s="101"/>
      <c r="FJF86" s="101"/>
      <c r="FJG86" s="101"/>
      <c r="FJH86" s="101"/>
      <c r="FJI86" s="101"/>
      <c r="FJJ86" s="101"/>
      <c r="FJK86" s="101"/>
      <c r="FJL86" s="101"/>
      <c r="FJM86" s="101"/>
      <c r="FJN86" s="101"/>
      <c r="FJO86" s="101"/>
      <c r="FJP86" s="101"/>
      <c r="FJQ86" s="101"/>
      <c r="FJR86" s="101"/>
      <c r="FJS86" s="101"/>
      <c r="FJT86" s="101"/>
      <c r="FJU86" s="101"/>
      <c r="FJV86" s="101"/>
      <c r="FJW86" s="101"/>
      <c r="FJX86" s="101"/>
      <c r="FJY86" s="101"/>
      <c r="FJZ86" s="101"/>
      <c r="FKA86" s="101"/>
      <c r="FKB86" s="101"/>
      <c r="FKC86" s="101"/>
      <c r="FKD86" s="101"/>
      <c r="FKE86" s="101"/>
      <c r="FKF86" s="101"/>
      <c r="FKG86" s="101"/>
      <c r="FKH86" s="101"/>
      <c r="FKI86" s="101"/>
      <c r="FKJ86" s="101"/>
      <c r="FKK86" s="101"/>
      <c r="FKL86" s="101"/>
      <c r="FKM86" s="101"/>
      <c r="FKN86" s="101"/>
      <c r="FKO86" s="101"/>
      <c r="FKP86" s="101"/>
      <c r="FKQ86" s="101"/>
      <c r="FKR86" s="101"/>
      <c r="FKS86" s="101"/>
      <c r="FKT86" s="101"/>
      <c r="FKU86" s="101"/>
      <c r="FKV86" s="101"/>
      <c r="FKW86" s="101"/>
      <c r="FKX86" s="101"/>
      <c r="FKY86" s="101"/>
      <c r="FKZ86" s="101"/>
      <c r="FLA86" s="101"/>
      <c r="FLB86" s="101"/>
      <c r="FLC86" s="101"/>
      <c r="FLD86" s="101"/>
      <c r="FLE86" s="101"/>
      <c r="FLF86" s="101"/>
      <c r="FLG86" s="101"/>
      <c r="FLH86" s="101"/>
      <c r="FLI86" s="101"/>
      <c r="FLJ86" s="101"/>
      <c r="FLK86" s="101"/>
      <c r="FLL86" s="101"/>
      <c r="FLM86" s="101"/>
      <c r="FLN86" s="101"/>
      <c r="FLO86" s="101"/>
      <c r="FLP86" s="101"/>
      <c r="FLQ86" s="101"/>
      <c r="FLR86" s="101"/>
      <c r="FLS86" s="101"/>
      <c r="FLT86" s="101"/>
      <c r="FLU86" s="101"/>
      <c r="FLV86" s="101"/>
      <c r="FLW86" s="101"/>
      <c r="FLX86" s="101"/>
      <c r="FLY86" s="101"/>
      <c r="FLZ86" s="101"/>
      <c r="FMA86" s="101"/>
      <c r="FMB86" s="101"/>
      <c r="FMC86" s="101"/>
      <c r="FMD86" s="101"/>
      <c r="FME86" s="101"/>
      <c r="FMF86" s="101"/>
      <c r="FMG86" s="101"/>
      <c r="FMH86" s="101"/>
      <c r="FMI86" s="101"/>
      <c r="FMJ86" s="101"/>
      <c r="FMK86" s="101"/>
      <c r="FML86" s="101"/>
      <c r="FMM86" s="101"/>
      <c r="FMN86" s="101"/>
      <c r="FMO86" s="101"/>
      <c r="FMP86" s="101"/>
      <c r="FMQ86" s="101"/>
      <c r="FMR86" s="101"/>
      <c r="FMS86" s="101"/>
      <c r="FMT86" s="101"/>
      <c r="FMU86" s="101"/>
      <c r="FMV86" s="101"/>
      <c r="FMW86" s="101"/>
      <c r="FMX86" s="101"/>
      <c r="FMY86" s="101"/>
      <c r="FMZ86" s="101"/>
      <c r="FNA86" s="101"/>
      <c r="FNB86" s="101"/>
      <c r="FNC86" s="101"/>
      <c r="FND86" s="101"/>
      <c r="FNE86" s="101"/>
      <c r="FNF86" s="101"/>
      <c r="FNG86" s="101"/>
      <c r="FNH86" s="101"/>
      <c r="FNI86" s="101"/>
      <c r="FNJ86" s="101"/>
      <c r="FNK86" s="101"/>
      <c r="FNL86" s="101"/>
      <c r="FNM86" s="101"/>
      <c r="FNN86" s="101"/>
      <c r="FNO86" s="101"/>
      <c r="FNP86" s="101"/>
      <c r="FNQ86" s="101"/>
      <c r="FNR86" s="101"/>
      <c r="FNS86" s="101"/>
      <c r="FNT86" s="101"/>
      <c r="FNU86" s="101"/>
      <c r="FNV86" s="101"/>
      <c r="FNW86" s="101"/>
      <c r="FNX86" s="101"/>
      <c r="FNY86" s="101"/>
      <c r="FNZ86" s="101"/>
      <c r="FOA86" s="101"/>
      <c r="FOB86" s="101"/>
      <c r="FOC86" s="101"/>
      <c r="FOD86" s="101"/>
      <c r="FOE86" s="101"/>
      <c r="FOF86" s="101"/>
      <c r="FOG86" s="101"/>
      <c r="FOH86" s="101"/>
      <c r="FOI86" s="101"/>
      <c r="FOJ86" s="101"/>
      <c r="FOK86" s="101"/>
      <c r="FOL86" s="101"/>
      <c r="FOM86" s="101"/>
      <c r="FON86" s="101"/>
      <c r="FOO86" s="101"/>
      <c r="FOP86" s="101"/>
      <c r="FOQ86" s="101"/>
      <c r="FOR86" s="101"/>
      <c r="FOS86" s="101"/>
      <c r="FOT86" s="101"/>
      <c r="FOU86" s="101"/>
      <c r="FOV86" s="101"/>
      <c r="FOW86" s="101"/>
      <c r="FOX86" s="101"/>
      <c r="FOY86" s="101"/>
      <c r="FOZ86" s="101"/>
      <c r="FPA86" s="101"/>
      <c r="FPB86" s="101"/>
      <c r="FPC86" s="101"/>
      <c r="FPD86" s="101"/>
      <c r="FPE86" s="101"/>
      <c r="FPF86" s="101"/>
      <c r="FPG86" s="101"/>
      <c r="FPH86" s="101"/>
      <c r="FPI86" s="101"/>
      <c r="FPJ86" s="101"/>
      <c r="FPK86" s="101"/>
      <c r="FPL86" s="101"/>
      <c r="FPM86" s="101"/>
      <c r="FPN86" s="101"/>
      <c r="FPO86" s="101"/>
      <c r="FPP86" s="101"/>
      <c r="FPQ86" s="101"/>
      <c r="FPR86" s="101"/>
      <c r="FPS86" s="101"/>
      <c r="FPT86" s="101"/>
      <c r="FPU86" s="101"/>
      <c r="FPV86" s="101"/>
      <c r="FPW86" s="101"/>
      <c r="FPX86" s="101"/>
      <c r="FPY86" s="101"/>
      <c r="FPZ86" s="101"/>
      <c r="FQA86" s="101"/>
      <c r="FQB86" s="101"/>
      <c r="FQC86" s="101"/>
      <c r="FQD86" s="101"/>
      <c r="FQE86" s="101"/>
      <c r="FQF86" s="101"/>
      <c r="FQG86" s="101"/>
      <c r="FQH86" s="101"/>
      <c r="FQI86" s="101"/>
      <c r="FQJ86" s="101"/>
      <c r="FQK86" s="101"/>
      <c r="FQL86" s="101"/>
      <c r="FQM86" s="101"/>
      <c r="FQN86" s="101"/>
      <c r="FQO86" s="101"/>
      <c r="FQP86" s="101"/>
      <c r="FQQ86" s="101"/>
      <c r="FQR86" s="101"/>
      <c r="FQS86" s="101"/>
      <c r="FQT86" s="101"/>
      <c r="FQU86" s="101"/>
      <c r="FQV86" s="101"/>
      <c r="FQW86" s="101"/>
      <c r="FQX86" s="101"/>
      <c r="FQY86" s="101"/>
      <c r="FQZ86" s="101"/>
      <c r="FRA86" s="101"/>
      <c r="FRB86" s="101"/>
      <c r="FRC86" s="101"/>
      <c r="FRD86" s="101"/>
      <c r="FRE86" s="101"/>
      <c r="FRF86" s="101"/>
      <c r="FRG86" s="101"/>
      <c r="FRH86" s="101"/>
      <c r="FRI86" s="101"/>
      <c r="FRJ86" s="101"/>
      <c r="FRK86" s="101"/>
      <c r="FRL86" s="101"/>
      <c r="FRM86" s="101"/>
      <c r="FRN86" s="101"/>
      <c r="FRO86" s="101"/>
      <c r="FRP86" s="101"/>
      <c r="FRQ86" s="101"/>
      <c r="FRR86" s="101"/>
      <c r="FRS86" s="101"/>
      <c r="FRT86" s="101"/>
      <c r="FRU86" s="101"/>
      <c r="FRV86" s="101"/>
      <c r="FRW86" s="101"/>
      <c r="FRX86" s="101"/>
      <c r="FRY86" s="101"/>
      <c r="FRZ86" s="101"/>
      <c r="FSA86" s="101"/>
      <c r="FSB86" s="101"/>
      <c r="FSC86" s="101"/>
      <c r="FSD86" s="101"/>
      <c r="FSE86" s="101"/>
      <c r="FSF86" s="101"/>
      <c r="FSG86" s="101"/>
      <c r="FSH86" s="101"/>
      <c r="FSI86" s="101"/>
      <c r="FSJ86" s="101"/>
      <c r="FSK86" s="101"/>
      <c r="FSL86" s="101"/>
      <c r="FSM86" s="101"/>
      <c r="FSN86" s="101"/>
      <c r="FSO86" s="101"/>
      <c r="FSP86" s="101"/>
      <c r="FSQ86" s="101"/>
      <c r="FSR86" s="101"/>
      <c r="FSS86" s="101"/>
      <c r="FST86" s="101"/>
      <c r="FSU86" s="101"/>
      <c r="FSV86" s="101"/>
      <c r="FSW86" s="101"/>
      <c r="FSX86" s="101"/>
      <c r="FSY86" s="101"/>
      <c r="FSZ86" s="101"/>
      <c r="FTA86" s="101"/>
      <c r="FTB86" s="101"/>
      <c r="FTC86" s="101"/>
      <c r="FTD86" s="101"/>
      <c r="FTE86" s="101"/>
      <c r="FTF86" s="101"/>
      <c r="FTG86" s="101"/>
      <c r="FTH86" s="101"/>
      <c r="FTI86" s="101"/>
      <c r="FTJ86" s="101"/>
      <c r="FTK86" s="101"/>
      <c r="FTL86" s="101"/>
      <c r="FTM86" s="101"/>
      <c r="FTN86" s="101"/>
      <c r="FTO86" s="101"/>
      <c r="FTP86" s="101"/>
      <c r="FTQ86" s="101"/>
      <c r="FTR86" s="101"/>
      <c r="FTS86" s="101"/>
      <c r="FTT86" s="101"/>
      <c r="FTU86" s="101"/>
      <c r="FTV86" s="101"/>
      <c r="FTW86" s="101"/>
      <c r="FTX86" s="101"/>
      <c r="FTY86" s="101"/>
      <c r="FTZ86" s="101"/>
      <c r="FUA86" s="101"/>
      <c r="FUB86" s="101"/>
      <c r="FUC86" s="101"/>
      <c r="FUD86" s="101"/>
      <c r="FUE86" s="101"/>
      <c r="FUF86" s="101"/>
      <c r="FUG86" s="101"/>
      <c r="FUH86" s="101"/>
      <c r="FUI86" s="101"/>
      <c r="FUJ86" s="101"/>
      <c r="FUK86" s="101"/>
      <c r="FUL86" s="101"/>
      <c r="FUM86" s="101"/>
      <c r="FUN86" s="101"/>
      <c r="FUO86" s="101"/>
      <c r="FUP86" s="101"/>
      <c r="FUQ86" s="101"/>
      <c r="FUR86" s="101"/>
      <c r="FUS86" s="101"/>
      <c r="FUT86" s="101"/>
      <c r="FUU86" s="101"/>
      <c r="FUV86" s="101"/>
      <c r="FUW86" s="101"/>
      <c r="FUX86" s="101"/>
      <c r="FUY86" s="101"/>
      <c r="FUZ86" s="101"/>
      <c r="FVA86" s="101"/>
      <c r="FVB86" s="101"/>
      <c r="FVC86" s="101"/>
      <c r="FVD86" s="101"/>
      <c r="FVE86" s="101"/>
      <c r="FVF86" s="101"/>
      <c r="FVG86" s="101"/>
      <c r="FVH86" s="101"/>
      <c r="FVI86" s="101"/>
      <c r="FVJ86" s="101"/>
      <c r="FVK86" s="101"/>
      <c r="FVL86" s="101"/>
      <c r="FVM86" s="101"/>
      <c r="FVN86" s="101"/>
      <c r="FVO86" s="101"/>
      <c r="FVP86" s="101"/>
      <c r="FVQ86" s="101"/>
      <c r="FVR86" s="101"/>
      <c r="FVS86" s="101"/>
      <c r="FVT86" s="101"/>
      <c r="FVU86" s="101"/>
      <c r="FVV86" s="101"/>
      <c r="FVW86" s="101"/>
      <c r="FVX86" s="101"/>
      <c r="FVY86" s="101"/>
      <c r="FVZ86" s="101"/>
      <c r="FWA86" s="101"/>
      <c r="FWB86" s="101"/>
      <c r="FWC86" s="101"/>
      <c r="FWD86" s="101"/>
      <c r="FWE86" s="101"/>
      <c r="FWF86" s="101"/>
      <c r="FWG86" s="101"/>
      <c r="FWH86" s="101"/>
      <c r="FWI86" s="101"/>
      <c r="FWJ86" s="101"/>
      <c r="FWK86" s="101"/>
      <c r="FWL86" s="101"/>
      <c r="FWM86" s="101"/>
      <c r="FWN86" s="101"/>
      <c r="FWO86" s="101"/>
      <c r="FWP86" s="101"/>
      <c r="FWQ86" s="101"/>
      <c r="FWR86" s="101"/>
      <c r="FWS86" s="101"/>
      <c r="FWT86" s="101"/>
      <c r="FWU86" s="101"/>
      <c r="FWV86" s="101"/>
      <c r="FWW86" s="101"/>
      <c r="FWX86" s="101"/>
      <c r="FWY86" s="101"/>
      <c r="FWZ86" s="101"/>
      <c r="FXA86" s="101"/>
      <c r="FXB86" s="101"/>
      <c r="FXC86" s="101"/>
      <c r="FXD86" s="101"/>
      <c r="FXE86" s="101"/>
      <c r="FXF86" s="101"/>
      <c r="FXG86" s="101"/>
      <c r="FXH86" s="101"/>
      <c r="FXI86" s="101"/>
      <c r="FXJ86" s="101"/>
      <c r="FXK86" s="101"/>
      <c r="FXL86" s="101"/>
      <c r="FXM86" s="101"/>
      <c r="FXN86" s="101"/>
      <c r="FXO86" s="101"/>
      <c r="FXP86" s="101"/>
      <c r="FXQ86" s="101"/>
      <c r="FXR86" s="101"/>
      <c r="FXS86" s="101"/>
      <c r="FXT86" s="101"/>
      <c r="FXU86" s="101"/>
      <c r="FXV86" s="101"/>
      <c r="FXW86" s="101"/>
      <c r="FXX86" s="101"/>
      <c r="FXY86" s="101"/>
      <c r="FXZ86" s="101"/>
      <c r="FYA86" s="101"/>
      <c r="FYB86" s="101"/>
      <c r="FYC86" s="101"/>
      <c r="FYD86" s="101"/>
      <c r="FYE86" s="101"/>
      <c r="FYF86" s="101"/>
      <c r="FYG86" s="101"/>
      <c r="FYH86" s="101"/>
      <c r="FYI86" s="101"/>
      <c r="FYJ86" s="101"/>
      <c r="FYK86" s="101"/>
      <c r="FYL86" s="101"/>
      <c r="FYM86" s="101"/>
      <c r="FYN86" s="101"/>
      <c r="FYO86" s="101"/>
      <c r="FYP86" s="101"/>
      <c r="FYQ86" s="101"/>
      <c r="FYR86" s="101"/>
      <c r="FYS86" s="101"/>
      <c r="FYT86" s="101"/>
      <c r="FYU86" s="101"/>
      <c r="FYV86" s="101"/>
      <c r="FYW86" s="101"/>
      <c r="FYX86" s="101"/>
      <c r="FYY86" s="101"/>
      <c r="FYZ86" s="101"/>
      <c r="FZA86" s="101"/>
      <c r="FZB86" s="101"/>
      <c r="FZC86" s="101"/>
      <c r="FZD86" s="101"/>
      <c r="FZE86" s="101"/>
      <c r="FZF86" s="101"/>
      <c r="FZG86" s="101"/>
      <c r="FZH86" s="101"/>
      <c r="FZI86" s="101"/>
      <c r="FZJ86" s="101"/>
      <c r="FZK86" s="101"/>
      <c r="FZL86" s="101"/>
      <c r="FZM86" s="101"/>
      <c r="FZN86" s="101"/>
      <c r="FZO86" s="101"/>
      <c r="FZP86" s="101"/>
      <c r="FZQ86" s="101"/>
      <c r="FZR86" s="101"/>
      <c r="FZS86" s="101"/>
      <c r="FZT86" s="101"/>
      <c r="FZU86" s="101"/>
      <c r="FZV86" s="101"/>
      <c r="FZW86" s="101"/>
      <c r="FZX86" s="101"/>
      <c r="FZY86" s="101"/>
      <c r="FZZ86" s="101"/>
      <c r="GAA86" s="101"/>
      <c r="GAB86" s="101"/>
      <c r="GAC86" s="101"/>
      <c r="GAD86" s="101"/>
      <c r="GAE86" s="101"/>
      <c r="GAF86" s="101"/>
      <c r="GAG86" s="101"/>
      <c r="GAH86" s="101"/>
      <c r="GAI86" s="101"/>
      <c r="GAJ86" s="101"/>
      <c r="GAK86" s="101"/>
      <c r="GAL86" s="101"/>
      <c r="GAM86" s="101"/>
      <c r="GAN86" s="101"/>
      <c r="GAO86" s="101"/>
      <c r="GAP86" s="101"/>
      <c r="GAQ86" s="101"/>
      <c r="GAR86" s="101"/>
      <c r="GAS86" s="101"/>
      <c r="GAT86" s="101"/>
      <c r="GAU86" s="101"/>
      <c r="GAV86" s="101"/>
      <c r="GAW86" s="101"/>
      <c r="GAX86" s="101"/>
      <c r="GAY86" s="101"/>
      <c r="GAZ86" s="101"/>
      <c r="GBA86" s="101"/>
      <c r="GBB86" s="101"/>
      <c r="GBC86" s="101"/>
      <c r="GBD86" s="101"/>
      <c r="GBE86" s="101"/>
      <c r="GBF86" s="101"/>
      <c r="GBG86" s="101"/>
      <c r="GBH86" s="101"/>
      <c r="GBI86" s="101"/>
      <c r="GBJ86" s="101"/>
      <c r="GBK86" s="101"/>
      <c r="GBL86" s="101"/>
      <c r="GBM86" s="101"/>
      <c r="GBN86" s="101"/>
      <c r="GBO86" s="101"/>
      <c r="GBP86" s="101"/>
      <c r="GBQ86" s="101"/>
      <c r="GBR86" s="101"/>
      <c r="GBS86" s="101"/>
      <c r="GBT86" s="101"/>
      <c r="GBU86" s="101"/>
      <c r="GBV86" s="101"/>
      <c r="GBW86" s="101"/>
      <c r="GBX86" s="101"/>
      <c r="GBY86" s="101"/>
      <c r="GBZ86" s="101"/>
      <c r="GCA86" s="101"/>
      <c r="GCB86" s="101"/>
      <c r="GCC86" s="101"/>
      <c r="GCD86" s="101"/>
      <c r="GCE86" s="101"/>
      <c r="GCF86" s="101"/>
      <c r="GCG86" s="101"/>
      <c r="GCH86" s="101"/>
      <c r="GCI86" s="101"/>
      <c r="GCJ86" s="101"/>
      <c r="GCK86" s="101"/>
      <c r="GCL86" s="101"/>
      <c r="GCM86" s="101"/>
      <c r="GCN86" s="101"/>
      <c r="GCO86" s="101"/>
      <c r="GCP86" s="101"/>
      <c r="GCQ86" s="101"/>
      <c r="GCR86" s="101"/>
      <c r="GCS86" s="101"/>
      <c r="GCT86" s="101"/>
      <c r="GCU86" s="101"/>
      <c r="GCV86" s="101"/>
      <c r="GCW86" s="101"/>
      <c r="GCX86" s="101"/>
      <c r="GCY86" s="101"/>
      <c r="GCZ86" s="101"/>
      <c r="GDA86" s="101"/>
      <c r="GDB86" s="101"/>
      <c r="GDC86" s="101"/>
      <c r="GDD86" s="101"/>
      <c r="GDE86" s="101"/>
      <c r="GDF86" s="101"/>
      <c r="GDG86" s="101"/>
      <c r="GDH86" s="101"/>
      <c r="GDI86" s="101"/>
      <c r="GDJ86" s="101"/>
      <c r="GDK86" s="101"/>
      <c r="GDL86" s="101"/>
      <c r="GDM86" s="101"/>
      <c r="GDN86" s="101"/>
      <c r="GDO86" s="101"/>
      <c r="GDP86" s="101"/>
      <c r="GDQ86" s="101"/>
      <c r="GDR86" s="101"/>
      <c r="GDS86" s="101"/>
      <c r="GDT86" s="101"/>
      <c r="GDU86" s="101"/>
      <c r="GDV86" s="101"/>
      <c r="GDW86" s="101"/>
      <c r="GDX86" s="101"/>
      <c r="GDY86" s="101"/>
      <c r="GDZ86" s="101"/>
      <c r="GEA86" s="101"/>
      <c r="GEB86" s="101"/>
      <c r="GEC86" s="101"/>
      <c r="GED86" s="101"/>
      <c r="GEE86" s="101"/>
      <c r="GEF86" s="101"/>
      <c r="GEG86" s="101"/>
      <c r="GEH86" s="101"/>
      <c r="GEI86" s="101"/>
      <c r="GEJ86" s="101"/>
      <c r="GEK86" s="101"/>
      <c r="GEL86" s="101"/>
      <c r="GEM86" s="101"/>
      <c r="GEN86" s="101"/>
      <c r="GEO86" s="101"/>
      <c r="GEP86" s="101"/>
      <c r="GEQ86" s="101"/>
      <c r="GER86" s="101"/>
      <c r="GES86" s="101"/>
      <c r="GET86" s="101"/>
      <c r="GEU86" s="101"/>
      <c r="GEV86" s="101"/>
      <c r="GEW86" s="101"/>
      <c r="GEX86" s="101"/>
      <c r="GEY86" s="101"/>
      <c r="GEZ86" s="101"/>
      <c r="GFA86" s="101"/>
      <c r="GFB86" s="101"/>
      <c r="GFC86" s="101"/>
      <c r="GFD86" s="101"/>
      <c r="GFE86" s="101"/>
      <c r="GFF86" s="101"/>
      <c r="GFG86" s="101"/>
      <c r="GFH86" s="101"/>
      <c r="GFI86" s="101"/>
      <c r="GFJ86" s="101"/>
      <c r="GFK86" s="101"/>
      <c r="GFL86" s="101"/>
      <c r="GFM86" s="101"/>
      <c r="GFN86" s="101"/>
      <c r="GFO86" s="101"/>
      <c r="GFP86" s="101"/>
      <c r="GFQ86" s="101"/>
      <c r="GFR86" s="101"/>
      <c r="GFS86" s="101"/>
      <c r="GFT86" s="101"/>
      <c r="GFU86" s="101"/>
      <c r="GFV86" s="101"/>
      <c r="GFW86" s="101"/>
      <c r="GFX86" s="101"/>
      <c r="GFY86" s="101"/>
      <c r="GFZ86" s="101"/>
      <c r="GGA86" s="101"/>
      <c r="GGB86" s="101"/>
      <c r="GGC86" s="101"/>
      <c r="GGD86" s="101"/>
      <c r="GGE86" s="101"/>
      <c r="GGF86" s="101"/>
      <c r="GGG86" s="101"/>
      <c r="GGH86" s="101"/>
      <c r="GGI86" s="101"/>
      <c r="GGJ86" s="101"/>
      <c r="GGK86" s="101"/>
      <c r="GGL86" s="101"/>
      <c r="GGM86" s="101"/>
      <c r="GGN86" s="101"/>
      <c r="GGO86" s="101"/>
      <c r="GGP86" s="101"/>
      <c r="GGQ86" s="101"/>
      <c r="GGR86" s="101"/>
      <c r="GGS86" s="101"/>
      <c r="GGT86" s="101"/>
      <c r="GGU86" s="101"/>
      <c r="GGV86" s="101"/>
      <c r="GGW86" s="101"/>
      <c r="GGX86" s="101"/>
      <c r="GGY86" s="101"/>
      <c r="GGZ86" s="101"/>
      <c r="GHA86" s="101"/>
      <c r="GHB86" s="101"/>
      <c r="GHC86" s="101"/>
      <c r="GHD86" s="101"/>
      <c r="GHE86" s="101"/>
      <c r="GHF86" s="101"/>
      <c r="GHG86" s="101"/>
      <c r="GHH86" s="101"/>
      <c r="GHI86" s="101"/>
      <c r="GHJ86" s="101"/>
      <c r="GHK86" s="101"/>
      <c r="GHL86" s="101"/>
      <c r="GHM86" s="101"/>
      <c r="GHN86" s="101"/>
      <c r="GHO86" s="101"/>
      <c r="GHP86" s="101"/>
      <c r="GHQ86" s="101"/>
      <c r="GHR86" s="101"/>
      <c r="GHS86" s="101"/>
      <c r="GHT86" s="101"/>
      <c r="GHU86" s="101"/>
      <c r="GHV86" s="101"/>
      <c r="GHW86" s="101"/>
      <c r="GHX86" s="101"/>
      <c r="GHY86" s="101"/>
      <c r="GHZ86" s="101"/>
      <c r="GIA86" s="101"/>
      <c r="GIB86" s="101"/>
      <c r="GIC86" s="101"/>
      <c r="GID86" s="101"/>
      <c r="GIE86" s="101"/>
      <c r="GIF86" s="101"/>
      <c r="GIG86" s="101"/>
      <c r="GIH86" s="101"/>
      <c r="GII86" s="101"/>
      <c r="GIJ86" s="101"/>
      <c r="GIK86" s="101"/>
      <c r="GIL86" s="101"/>
      <c r="GIM86" s="101"/>
      <c r="GIN86" s="101"/>
      <c r="GIO86" s="101"/>
      <c r="GIP86" s="101"/>
      <c r="GIQ86" s="101"/>
      <c r="GIR86" s="101"/>
      <c r="GIS86" s="101"/>
      <c r="GIT86" s="101"/>
      <c r="GIU86" s="101"/>
      <c r="GIV86" s="101"/>
      <c r="GIW86" s="101"/>
      <c r="GIX86" s="101"/>
      <c r="GIY86" s="101"/>
      <c r="GIZ86" s="101"/>
      <c r="GJA86" s="101"/>
      <c r="GJB86" s="101"/>
      <c r="GJC86" s="101"/>
      <c r="GJD86" s="101"/>
      <c r="GJE86" s="101"/>
      <c r="GJF86" s="101"/>
      <c r="GJG86" s="101"/>
      <c r="GJH86" s="101"/>
      <c r="GJI86" s="101"/>
      <c r="GJJ86" s="101"/>
      <c r="GJK86" s="101"/>
      <c r="GJL86" s="101"/>
      <c r="GJM86" s="101"/>
      <c r="GJN86" s="101"/>
      <c r="GJO86" s="101"/>
      <c r="GJP86" s="101"/>
      <c r="GJQ86" s="101"/>
      <c r="GJR86" s="101"/>
      <c r="GJS86" s="101"/>
      <c r="GJT86" s="101"/>
      <c r="GJU86" s="101"/>
      <c r="GJV86" s="101"/>
      <c r="GJW86" s="101"/>
      <c r="GJX86" s="101"/>
      <c r="GJY86" s="101"/>
      <c r="GJZ86" s="101"/>
      <c r="GKA86" s="101"/>
      <c r="GKB86" s="101"/>
      <c r="GKC86" s="101"/>
      <c r="GKD86" s="101"/>
      <c r="GKE86" s="101"/>
      <c r="GKF86" s="101"/>
      <c r="GKG86" s="101"/>
      <c r="GKH86" s="101"/>
      <c r="GKI86" s="101"/>
      <c r="GKJ86" s="101"/>
      <c r="GKK86" s="101"/>
      <c r="GKL86" s="101"/>
      <c r="GKM86" s="101"/>
      <c r="GKN86" s="101"/>
      <c r="GKO86" s="101"/>
      <c r="GKP86" s="101"/>
      <c r="GKQ86" s="101"/>
      <c r="GKR86" s="101"/>
      <c r="GKS86" s="101"/>
      <c r="GKT86" s="101"/>
      <c r="GKU86" s="101"/>
      <c r="GKV86" s="101"/>
      <c r="GKW86" s="101"/>
      <c r="GKX86" s="101"/>
      <c r="GKY86" s="101"/>
      <c r="GKZ86" s="101"/>
      <c r="GLA86" s="101"/>
      <c r="GLB86" s="101"/>
      <c r="GLC86" s="101"/>
      <c r="GLD86" s="101"/>
      <c r="GLE86" s="101"/>
      <c r="GLF86" s="101"/>
      <c r="GLG86" s="101"/>
      <c r="GLH86" s="101"/>
      <c r="GLI86" s="101"/>
      <c r="GLJ86" s="101"/>
      <c r="GLK86" s="101"/>
      <c r="GLL86" s="101"/>
      <c r="GLM86" s="101"/>
      <c r="GLN86" s="101"/>
      <c r="GLO86" s="101"/>
      <c r="GLP86" s="101"/>
      <c r="GLQ86" s="101"/>
      <c r="GLR86" s="101"/>
      <c r="GLS86" s="101"/>
      <c r="GLT86" s="101"/>
      <c r="GLU86" s="101"/>
      <c r="GLV86" s="101"/>
      <c r="GLW86" s="101"/>
      <c r="GLX86" s="101"/>
      <c r="GLY86" s="101"/>
      <c r="GLZ86" s="101"/>
      <c r="GMA86" s="101"/>
      <c r="GMB86" s="101"/>
      <c r="GMC86" s="101"/>
      <c r="GMD86" s="101"/>
      <c r="GME86" s="101"/>
      <c r="GMF86" s="101"/>
      <c r="GMG86" s="101"/>
      <c r="GMH86" s="101"/>
      <c r="GMI86" s="101"/>
      <c r="GMJ86" s="101"/>
      <c r="GMK86" s="101"/>
      <c r="GML86" s="101"/>
      <c r="GMM86" s="101"/>
      <c r="GMN86" s="101"/>
      <c r="GMO86" s="101"/>
      <c r="GMP86" s="101"/>
      <c r="GMQ86" s="101"/>
      <c r="GMR86" s="101"/>
      <c r="GMS86" s="101"/>
      <c r="GMT86" s="101"/>
      <c r="GMU86" s="101"/>
      <c r="GMV86" s="101"/>
      <c r="GMW86" s="101"/>
      <c r="GMX86" s="101"/>
      <c r="GMY86" s="101"/>
      <c r="GMZ86" s="101"/>
      <c r="GNA86" s="101"/>
      <c r="GNB86" s="101"/>
      <c r="GNC86" s="101"/>
      <c r="GND86" s="101"/>
      <c r="GNE86" s="101"/>
      <c r="GNF86" s="101"/>
      <c r="GNG86" s="101"/>
      <c r="GNH86" s="101"/>
      <c r="GNI86" s="101"/>
      <c r="GNJ86" s="101"/>
      <c r="GNK86" s="101"/>
      <c r="GNL86" s="101"/>
      <c r="GNM86" s="101"/>
      <c r="GNN86" s="101"/>
      <c r="GNO86" s="101"/>
      <c r="GNP86" s="101"/>
      <c r="GNQ86" s="101"/>
      <c r="GNR86" s="101"/>
      <c r="GNS86" s="101"/>
      <c r="GNT86" s="101"/>
      <c r="GNU86" s="101"/>
      <c r="GNV86" s="101"/>
      <c r="GNW86" s="101"/>
      <c r="GNX86" s="101"/>
      <c r="GNY86" s="101"/>
      <c r="GNZ86" s="101"/>
      <c r="GOA86" s="101"/>
      <c r="GOB86" s="101"/>
      <c r="GOC86" s="101"/>
      <c r="GOD86" s="101"/>
      <c r="GOE86" s="101"/>
      <c r="GOF86" s="101"/>
      <c r="GOG86" s="101"/>
      <c r="GOH86" s="101"/>
      <c r="GOI86" s="101"/>
      <c r="GOJ86" s="101"/>
      <c r="GOK86" s="101"/>
      <c r="GOL86" s="101"/>
      <c r="GOM86" s="101"/>
      <c r="GON86" s="101"/>
      <c r="GOO86" s="101"/>
      <c r="GOP86" s="101"/>
      <c r="GOQ86" s="101"/>
      <c r="GOR86" s="101"/>
      <c r="GOS86" s="101"/>
      <c r="GOT86" s="101"/>
      <c r="GOU86" s="101"/>
      <c r="GOV86" s="101"/>
      <c r="GOW86" s="101"/>
      <c r="GOX86" s="101"/>
      <c r="GOY86" s="101"/>
      <c r="GOZ86" s="101"/>
      <c r="GPA86" s="101"/>
      <c r="GPB86" s="101"/>
      <c r="GPC86" s="101"/>
      <c r="GPD86" s="101"/>
      <c r="GPE86" s="101"/>
      <c r="GPF86" s="101"/>
      <c r="GPG86" s="101"/>
      <c r="GPH86" s="101"/>
      <c r="GPI86" s="101"/>
      <c r="GPJ86" s="101"/>
      <c r="GPK86" s="101"/>
      <c r="GPL86" s="101"/>
      <c r="GPM86" s="101"/>
      <c r="GPN86" s="101"/>
      <c r="GPO86" s="101"/>
      <c r="GPP86" s="101"/>
      <c r="GPQ86" s="101"/>
      <c r="GPR86" s="101"/>
      <c r="GPS86" s="101"/>
      <c r="GPT86" s="101"/>
      <c r="GPU86" s="101"/>
      <c r="GPV86" s="101"/>
      <c r="GPW86" s="101"/>
      <c r="GPX86" s="101"/>
      <c r="GPY86" s="101"/>
      <c r="GPZ86" s="101"/>
      <c r="GQA86" s="101"/>
      <c r="GQB86" s="101"/>
      <c r="GQC86" s="101"/>
      <c r="GQD86" s="101"/>
      <c r="GQE86" s="101"/>
      <c r="GQF86" s="101"/>
      <c r="GQG86" s="101"/>
      <c r="GQH86" s="101"/>
      <c r="GQI86" s="101"/>
      <c r="GQJ86" s="101"/>
      <c r="GQK86" s="101"/>
      <c r="GQL86" s="101"/>
      <c r="GQM86" s="101"/>
      <c r="GQN86" s="101"/>
      <c r="GQO86" s="101"/>
      <c r="GQP86" s="101"/>
      <c r="GQQ86" s="101"/>
      <c r="GQR86" s="101"/>
      <c r="GQS86" s="101"/>
      <c r="GQT86" s="101"/>
      <c r="GQU86" s="101"/>
      <c r="GQV86" s="101"/>
      <c r="GQW86" s="101"/>
      <c r="GQX86" s="101"/>
      <c r="GQY86" s="101"/>
      <c r="GQZ86" s="101"/>
      <c r="GRA86" s="101"/>
      <c r="GRB86" s="101"/>
      <c r="GRC86" s="101"/>
      <c r="GRD86" s="101"/>
      <c r="GRE86" s="101"/>
      <c r="GRF86" s="101"/>
      <c r="GRG86" s="101"/>
      <c r="GRH86" s="101"/>
      <c r="GRI86" s="101"/>
      <c r="GRJ86" s="101"/>
      <c r="GRK86" s="101"/>
      <c r="GRL86" s="101"/>
      <c r="GRM86" s="101"/>
      <c r="GRN86" s="101"/>
      <c r="GRO86" s="101"/>
      <c r="GRP86" s="101"/>
      <c r="GRQ86" s="101"/>
      <c r="GRR86" s="101"/>
      <c r="GRS86" s="101"/>
      <c r="GRT86" s="101"/>
      <c r="GRU86" s="101"/>
      <c r="GRV86" s="101"/>
      <c r="GRW86" s="101"/>
      <c r="GRX86" s="101"/>
      <c r="GRY86" s="101"/>
      <c r="GRZ86" s="101"/>
      <c r="GSA86" s="101"/>
      <c r="GSB86" s="101"/>
      <c r="GSC86" s="101"/>
      <c r="GSD86" s="101"/>
      <c r="GSE86" s="101"/>
      <c r="GSF86" s="101"/>
      <c r="GSG86" s="101"/>
      <c r="GSH86" s="101"/>
      <c r="GSI86" s="101"/>
      <c r="GSJ86" s="101"/>
      <c r="GSK86" s="101"/>
      <c r="GSL86" s="101"/>
      <c r="GSM86" s="101"/>
      <c r="GSN86" s="101"/>
      <c r="GSO86" s="101"/>
      <c r="GSP86" s="101"/>
      <c r="GSQ86" s="101"/>
      <c r="GSR86" s="101"/>
      <c r="GSS86" s="101"/>
      <c r="GST86" s="101"/>
      <c r="GSU86" s="101"/>
      <c r="GSV86" s="101"/>
      <c r="GSW86" s="101"/>
      <c r="GSX86" s="101"/>
      <c r="GSY86" s="101"/>
      <c r="GSZ86" s="101"/>
      <c r="GTA86" s="101"/>
      <c r="GTB86" s="101"/>
      <c r="GTC86" s="101"/>
      <c r="GTD86" s="101"/>
      <c r="GTE86" s="101"/>
      <c r="GTF86" s="101"/>
      <c r="GTG86" s="101"/>
      <c r="GTH86" s="101"/>
      <c r="GTI86" s="101"/>
      <c r="GTJ86" s="101"/>
      <c r="GTK86" s="101"/>
      <c r="GTL86" s="101"/>
      <c r="GTM86" s="101"/>
      <c r="GTN86" s="101"/>
      <c r="GTO86" s="101"/>
      <c r="GTP86" s="101"/>
      <c r="GTQ86" s="101"/>
      <c r="GTR86" s="101"/>
      <c r="GTS86" s="101"/>
      <c r="GTT86" s="101"/>
      <c r="GTU86" s="101"/>
      <c r="GTV86" s="101"/>
      <c r="GTW86" s="101"/>
      <c r="GTX86" s="101"/>
      <c r="GTY86" s="101"/>
      <c r="GTZ86" s="101"/>
      <c r="GUA86" s="101"/>
      <c r="GUB86" s="101"/>
      <c r="GUC86" s="101"/>
      <c r="GUD86" s="101"/>
      <c r="GUE86" s="101"/>
      <c r="GUF86" s="101"/>
      <c r="GUG86" s="101"/>
      <c r="GUH86" s="101"/>
      <c r="GUI86" s="101"/>
      <c r="GUJ86" s="101"/>
      <c r="GUK86" s="101"/>
      <c r="GUL86" s="101"/>
      <c r="GUM86" s="101"/>
      <c r="GUN86" s="101"/>
      <c r="GUO86" s="101"/>
      <c r="GUP86" s="101"/>
      <c r="GUQ86" s="101"/>
      <c r="GUR86" s="101"/>
      <c r="GUS86" s="101"/>
      <c r="GUT86" s="101"/>
      <c r="GUU86" s="101"/>
      <c r="GUV86" s="101"/>
      <c r="GUW86" s="101"/>
      <c r="GUX86" s="101"/>
      <c r="GUY86" s="101"/>
      <c r="GUZ86" s="101"/>
      <c r="GVA86" s="101"/>
      <c r="GVB86" s="101"/>
      <c r="GVC86" s="101"/>
      <c r="GVD86" s="101"/>
      <c r="GVE86" s="101"/>
      <c r="GVF86" s="101"/>
      <c r="GVG86" s="101"/>
      <c r="GVH86" s="101"/>
      <c r="GVI86" s="101"/>
      <c r="GVJ86" s="101"/>
      <c r="GVK86" s="101"/>
      <c r="GVL86" s="101"/>
      <c r="GVM86" s="101"/>
      <c r="GVN86" s="101"/>
      <c r="GVO86" s="101"/>
      <c r="GVP86" s="101"/>
      <c r="GVQ86" s="101"/>
      <c r="GVR86" s="101"/>
      <c r="GVS86" s="101"/>
      <c r="GVT86" s="101"/>
      <c r="GVU86" s="101"/>
      <c r="GVV86" s="101"/>
      <c r="GVW86" s="101"/>
      <c r="GVX86" s="101"/>
      <c r="GVY86" s="101"/>
      <c r="GVZ86" s="101"/>
      <c r="GWA86" s="101"/>
      <c r="GWB86" s="101"/>
      <c r="GWC86" s="101"/>
      <c r="GWD86" s="101"/>
      <c r="GWE86" s="101"/>
      <c r="GWF86" s="101"/>
      <c r="GWG86" s="101"/>
      <c r="GWH86" s="101"/>
      <c r="GWI86" s="101"/>
      <c r="GWJ86" s="101"/>
      <c r="GWK86" s="101"/>
      <c r="GWL86" s="101"/>
      <c r="GWM86" s="101"/>
      <c r="GWN86" s="101"/>
      <c r="GWO86" s="101"/>
      <c r="GWP86" s="101"/>
      <c r="GWQ86" s="101"/>
      <c r="GWR86" s="101"/>
      <c r="GWS86" s="101"/>
      <c r="GWT86" s="101"/>
      <c r="GWU86" s="101"/>
      <c r="GWV86" s="101"/>
      <c r="GWW86" s="101"/>
      <c r="GWX86" s="101"/>
      <c r="GWY86" s="101"/>
      <c r="GWZ86" s="101"/>
      <c r="GXA86" s="101"/>
      <c r="GXB86" s="101"/>
      <c r="GXC86" s="101"/>
      <c r="GXD86" s="101"/>
      <c r="GXE86" s="101"/>
      <c r="GXF86" s="101"/>
      <c r="GXG86" s="101"/>
      <c r="GXH86" s="101"/>
      <c r="GXI86" s="101"/>
      <c r="GXJ86" s="101"/>
      <c r="GXK86" s="101"/>
      <c r="GXL86" s="101"/>
      <c r="GXM86" s="101"/>
      <c r="GXN86" s="101"/>
      <c r="GXO86" s="101"/>
      <c r="GXP86" s="101"/>
      <c r="GXQ86" s="101"/>
      <c r="GXR86" s="101"/>
      <c r="GXS86" s="101"/>
      <c r="GXT86" s="101"/>
      <c r="GXU86" s="101"/>
      <c r="GXV86" s="101"/>
      <c r="GXW86" s="101"/>
      <c r="GXX86" s="101"/>
      <c r="GXY86" s="101"/>
      <c r="GXZ86" s="101"/>
      <c r="GYA86" s="101"/>
      <c r="GYB86" s="101"/>
      <c r="GYC86" s="101"/>
      <c r="GYD86" s="101"/>
      <c r="GYE86" s="101"/>
      <c r="GYF86" s="101"/>
      <c r="GYG86" s="101"/>
      <c r="GYH86" s="101"/>
      <c r="GYI86" s="101"/>
      <c r="GYJ86" s="101"/>
      <c r="GYK86" s="101"/>
      <c r="GYL86" s="101"/>
      <c r="GYM86" s="101"/>
      <c r="GYN86" s="101"/>
      <c r="GYO86" s="101"/>
      <c r="GYP86" s="101"/>
      <c r="GYQ86" s="101"/>
      <c r="GYR86" s="101"/>
      <c r="GYS86" s="101"/>
      <c r="GYT86" s="101"/>
      <c r="GYU86" s="101"/>
      <c r="GYV86" s="101"/>
      <c r="GYW86" s="101"/>
      <c r="GYX86" s="101"/>
      <c r="GYY86" s="101"/>
      <c r="GYZ86" s="101"/>
      <c r="GZA86" s="101"/>
      <c r="GZB86" s="101"/>
      <c r="GZC86" s="101"/>
      <c r="GZD86" s="101"/>
      <c r="GZE86" s="101"/>
      <c r="GZF86" s="101"/>
      <c r="GZG86" s="101"/>
      <c r="GZH86" s="101"/>
      <c r="GZI86" s="101"/>
      <c r="GZJ86" s="101"/>
      <c r="GZK86" s="101"/>
      <c r="GZL86" s="101"/>
      <c r="GZM86" s="101"/>
      <c r="GZN86" s="101"/>
      <c r="GZO86" s="101"/>
      <c r="GZP86" s="101"/>
      <c r="GZQ86" s="101"/>
      <c r="GZR86" s="101"/>
      <c r="GZS86" s="101"/>
      <c r="GZT86" s="101"/>
      <c r="GZU86" s="101"/>
      <c r="GZV86" s="101"/>
      <c r="GZW86" s="101"/>
      <c r="GZX86" s="101"/>
      <c r="GZY86" s="101"/>
      <c r="GZZ86" s="101"/>
      <c r="HAA86" s="101"/>
      <c r="HAB86" s="101"/>
      <c r="HAC86" s="101"/>
      <c r="HAD86" s="101"/>
      <c r="HAE86" s="101"/>
      <c r="HAF86" s="101"/>
      <c r="HAG86" s="101"/>
      <c r="HAH86" s="101"/>
      <c r="HAI86" s="101"/>
      <c r="HAJ86" s="101"/>
      <c r="HAK86" s="101"/>
      <c r="HAL86" s="101"/>
      <c r="HAM86" s="101"/>
      <c r="HAN86" s="101"/>
      <c r="HAO86" s="101"/>
      <c r="HAP86" s="101"/>
      <c r="HAQ86" s="101"/>
      <c r="HAR86" s="101"/>
      <c r="HAS86" s="101"/>
      <c r="HAT86" s="101"/>
      <c r="HAU86" s="101"/>
      <c r="HAV86" s="101"/>
      <c r="HAW86" s="101"/>
      <c r="HAX86" s="101"/>
      <c r="HAY86" s="101"/>
      <c r="HAZ86" s="101"/>
      <c r="HBA86" s="101"/>
      <c r="HBB86" s="101"/>
      <c r="HBC86" s="101"/>
      <c r="HBD86" s="101"/>
      <c r="HBE86" s="101"/>
      <c r="HBF86" s="101"/>
      <c r="HBG86" s="101"/>
      <c r="HBH86" s="101"/>
      <c r="HBI86" s="101"/>
      <c r="HBJ86" s="101"/>
      <c r="HBK86" s="101"/>
      <c r="HBL86" s="101"/>
      <c r="HBM86" s="101"/>
      <c r="HBN86" s="101"/>
      <c r="HBO86" s="101"/>
      <c r="HBP86" s="101"/>
      <c r="HBQ86" s="101"/>
      <c r="HBR86" s="101"/>
      <c r="HBS86" s="101"/>
      <c r="HBT86" s="101"/>
      <c r="HBU86" s="101"/>
      <c r="HBV86" s="101"/>
      <c r="HBW86" s="101"/>
      <c r="HBX86" s="101"/>
      <c r="HBY86" s="101"/>
      <c r="HBZ86" s="101"/>
      <c r="HCA86" s="101"/>
      <c r="HCB86" s="101"/>
      <c r="HCC86" s="101"/>
      <c r="HCD86" s="101"/>
      <c r="HCE86" s="101"/>
      <c r="HCF86" s="101"/>
      <c r="HCG86" s="101"/>
      <c r="HCH86" s="101"/>
      <c r="HCI86" s="101"/>
      <c r="HCJ86" s="101"/>
      <c r="HCK86" s="101"/>
      <c r="HCL86" s="101"/>
      <c r="HCM86" s="101"/>
      <c r="HCN86" s="101"/>
      <c r="HCO86" s="101"/>
      <c r="HCP86" s="101"/>
      <c r="HCQ86" s="101"/>
      <c r="HCR86" s="101"/>
      <c r="HCS86" s="101"/>
      <c r="HCT86" s="101"/>
      <c r="HCU86" s="101"/>
      <c r="HCV86" s="101"/>
      <c r="HCW86" s="101"/>
      <c r="HCX86" s="101"/>
      <c r="HCY86" s="101"/>
      <c r="HCZ86" s="101"/>
      <c r="HDA86" s="101"/>
      <c r="HDB86" s="101"/>
      <c r="HDC86" s="101"/>
      <c r="HDD86" s="101"/>
      <c r="HDE86" s="101"/>
      <c r="HDF86" s="101"/>
      <c r="HDG86" s="101"/>
      <c r="HDH86" s="101"/>
      <c r="HDI86" s="101"/>
      <c r="HDJ86" s="101"/>
      <c r="HDK86" s="101"/>
      <c r="HDL86" s="101"/>
      <c r="HDM86" s="101"/>
      <c r="HDN86" s="101"/>
      <c r="HDO86" s="101"/>
      <c r="HDP86" s="101"/>
      <c r="HDQ86" s="101"/>
      <c r="HDR86" s="101"/>
      <c r="HDS86" s="101"/>
      <c r="HDT86" s="101"/>
      <c r="HDU86" s="101"/>
      <c r="HDV86" s="101"/>
      <c r="HDW86" s="101"/>
      <c r="HDX86" s="101"/>
      <c r="HDY86" s="101"/>
      <c r="HDZ86" s="101"/>
      <c r="HEA86" s="101"/>
      <c r="HEB86" s="101"/>
      <c r="HEC86" s="101"/>
      <c r="HED86" s="101"/>
      <c r="HEE86" s="101"/>
      <c r="HEF86" s="101"/>
      <c r="HEG86" s="101"/>
      <c r="HEH86" s="101"/>
      <c r="HEI86" s="101"/>
      <c r="HEJ86" s="101"/>
      <c r="HEK86" s="101"/>
      <c r="HEL86" s="101"/>
      <c r="HEM86" s="101"/>
      <c r="HEN86" s="101"/>
      <c r="HEO86" s="101"/>
      <c r="HEP86" s="101"/>
      <c r="HEQ86" s="101"/>
      <c r="HER86" s="101"/>
      <c r="HES86" s="101"/>
      <c r="HET86" s="101"/>
      <c r="HEU86" s="101"/>
      <c r="HEV86" s="101"/>
      <c r="HEW86" s="101"/>
      <c r="HEX86" s="101"/>
      <c r="HEY86" s="101"/>
      <c r="HEZ86" s="101"/>
      <c r="HFA86" s="101"/>
      <c r="HFB86" s="101"/>
      <c r="HFC86" s="101"/>
      <c r="HFD86" s="101"/>
      <c r="HFE86" s="101"/>
      <c r="HFF86" s="101"/>
      <c r="HFG86" s="101"/>
      <c r="HFH86" s="101"/>
      <c r="HFI86" s="101"/>
      <c r="HFJ86" s="101"/>
      <c r="HFK86" s="101"/>
      <c r="HFL86" s="101"/>
      <c r="HFM86" s="101"/>
      <c r="HFN86" s="101"/>
      <c r="HFO86" s="101"/>
      <c r="HFP86" s="101"/>
      <c r="HFQ86" s="101"/>
      <c r="HFR86" s="101"/>
      <c r="HFS86" s="101"/>
      <c r="HFT86" s="101"/>
      <c r="HFU86" s="101"/>
      <c r="HFV86" s="101"/>
      <c r="HFW86" s="101"/>
      <c r="HFX86" s="101"/>
      <c r="HFY86" s="101"/>
      <c r="HFZ86" s="101"/>
      <c r="HGA86" s="101"/>
      <c r="HGB86" s="101"/>
      <c r="HGC86" s="101"/>
      <c r="HGD86" s="101"/>
      <c r="HGE86" s="101"/>
      <c r="HGF86" s="101"/>
      <c r="HGG86" s="101"/>
      <c r="HGH86" s="101"/>
      <c r="HGI86" s="101"/>
      <c r="HGJ86" s="101"/>
      <c r="HGK86" s="101"/>
      <c r="HGL86" s="101"/>
      <c r="HGM86" s="101"/>
      <c r="HGN86" s="101"/>
      <c r="HGO86" s="101"/>
      <c r="HGP86" s="101"/>
      <c r="HGQ86" s="101"/>
      <c r="HGR86" s="101"/>
      <c r="HGS86" s="101"/>
      <c r="HGT86" s="101"/>
      <c r="HGU86" s="101"/>
      <c r="HGV86" s="101"/>
      <c r="HGW86" s="101"/>
      <c r="HGX86" s="101"/>
      <c r="HGY86" s="101"/>
      <c r="HGZ86" s="101"/>
      <c r="HHA86" s="101"/>
      <c r="HHB86" s="101"/>
      <c r="HHC86" s="101"/>
      <c r="HHD86" s="101"/>
      <c r="HHE86" s="101"/>
      <c r="HHF86" s="101"/>
      <c r="HHG86" s="101"/>
      <c r="HHH86" s="101"/>
      <c r="HHI86" s="101"/>
      <c r="HHJ86" s="101"/>
      <c r="HHK86" s="101"/>
      <c r="HHL86" s="101"/>
      <c r="HHM86" s="101"/>
      <c r="HHN86" s="101"/>
      <c r="HHO86" s="101"/>
      <c r="HHP86" s="101"/>
      <c r="HHQ86" s="101"/>
      <c r="HHR86" s="101"/>
      <c r="HHS86" s="101"/>
      <c r="HHT86" s="101"/>
      <c r="HHU86" s="101"/>
      <c r="HHV86" s="101"/>
      <c r="HHW86" s="101"/>
      <c r="HHX86" s="101"/>
      <c r="HHY86" s="101"/>
      <c r="HHZ86" s="101"/>
      <c r="HIA86" s="101"/>
      <c r="HIB86" s="101"/>
      <c r="HIC86" s="101"/>
      <c r="HID86" s="101"/>
      <c r="HIE86" s="101"/>
      <c r="HIF86" s="101"/>
      <c r="HIG86" s="101"/>
      <c r="HIH86" s="101"/>
      <c r="HII86" s="101"/>
      <c r="HIJ86" s="101"/>
      <c r="HIK86" s="101"/>
      <c r="HIL86" s="101"/>
      <c r="HIM86" s="101"/>
      <c r="HIN86" s="101"/>
      <c r="HIO86" s="101"/>
      <c r="HIP86" s="101"/>
      <c r="HIQ86" s="101"/>
      <c r="HIR86" s="101"/>
      <c r="HIS86" s="101"/>
      <c r="HIT86" s="101"/>
      <c r="HIU86" s="101"/>
      <c r="HIV86" s="101"/>
      <c r="HIW86" s="101"/>
      <c r="HIX86" s="101"/>
      <c r="HIY86" s="101"/>
      <c r="HIZ86" s="101"/>
      <c r="HJA86" s="101"/>
      <c r="HJB86" s="101"/>
      <c r="HJC86" s="101"/>
      <c r="HJD86" s="101"/>
      <c r="HJE86" s="101"/>
      <c r="HJF86" s="101"/>
      <c r="HJG86" s="101"/>
      <c r="HJH86" s="101"/>
      <c r="HJI86" s="101"/>
      <c r="HJJ86" s="101"/>
      <c r="HJK86" s="101"/>
      <c r="HJL86" s="101"/>
      <c r="HJM86" s="101"/>
      <c r="HJN86" s="101"/>
      <c r="HJO86" s="101"/>
      <c r="HJP86" s="101"/>
      <c r="HJQ86" s="101"/>
      <c r="HJR86" s="101"/>
      <c r="HJS86" s="101"/>
      <c r="HJT86" s="101"/>
      <c r="HJU86" s="101"/>
      <c r="HJV86" s="101"/>
      <c r="HJW86" s="101"/>
      <c r="HJX86" s="101"/>
      <c r="HJY86" s="101"/>
      <c r="HJZ86" s="101"/>
      <c r="HKA86" s="101"/>
      <c r="HKB86" s="101"/>
      <c r="HKC86" s="101"/>
      <c r="HKD86" s="101"/>
      <c r="HKE86" s="101"/>
      <c r="HKF86" s="101"/>
      <c r="HKG86" s="101"/>
      <c r="HKH86" s="101"/>
      <c r="HKI86" s="101"/>
      <c r="HKJ86" s="101"/>
      <c r="HKK86" s="101"/>
      <c r="HKL86" s="101"/>
      <c r="HKM86" s="101"/>
      <c r="HKN86" s="101"/>
      <c r="HKO86" s="101"/>
      <c r="HKP86" s="101"/>
      <c r="HKQ86" s="101"/>
      <c r="HKR86" s="101"/>
      <c r="HKS86" s="101"/>
      <c r="HKT86" s="101"/>
      <c r="HKU86" s="101"/>
      <c r="HKV86" s="101"/>
      <c r="HKW86" s="101"/>
      <c r="HKX86" s="101"/>
      <c r="HKY86" s="101"/>
      <c r="HKZ86" s="101"/>
      <c r="HLA86" s="101"/>
      <c r="HLB86" s="101"/>
      <c r="HLC86" s="101"/>
      <c r="HLD86" s="101"/>
      <c r="HLE86" s="101"/>
      <c r="HLF86" s="101"/>
      <c r="HLG86" s="101"/>
      <c r="HLH86" s="101"/>
      <c r="HLI86" s="101"/>
      <c r="HLJ86" s="101"/>
      <c r="HLK86" s="101"/>
      <c r="HLL86" s="101"/>
      <c r="HLM86" s="101"/>
      <c r="HLN86" s="101"/>
      <c r="HLO86" s="101"/>
      <c r="HLP86" s="101"/>
      <c r="HLQ86" s="101"/>
      <c r="HLR86" s="101"/>
      <c r="HLS86" s="101"/>
      <c r="HLT86" s="101"/>
      <c r="HLU86" s="101"/>
      <c r="HLV86" s="101"/>
      <c r="HLW86" s="101"/>
      <c r="HLX86" s="101"/>
      <c r="HLY86" s="101"/>
      <c r="HLZ86" s="101"/>
      <c r="HMA86" s="101"/>
      <c r="HMB86" s="101"/>
      <c r="HMC86" s="101"/>
      <c r="HMD86" s="101"/>
      <c r="HME86" s="101"/>
      <c r="HMF86" s="101"/>
      <c r="HMG86" s="101"/>
      <c r="HMH86" s="101"/>
      <c r="HMI86" s="101"/>
      <c r="HMJ86" s="101"/>
      <c r="HMK86" s="101"/>
      <c r="HML86" s="101"/>
      <c r="HMM86" s="101"/>
      <c r="HMN86" s="101"/>
      <c r="HMO86" s="101"/>
      <c r="HMP86" s="101"/>
      <c r="HMQ86" s="101"/>
      <c r="HMR86" s="101"/>
      <c r="HMS86" s="101"/>
      <c r="HMT86" s="101"/>
      <c r="HMU86" s="101"/>
      <c r="HMV86" s="101"/>
      <c r="HMW86" s="101"/>
      <c r="HMX86" s="101"/>
      <c r="HMY86" s="101"/>
      <c r="HMZ86" s="101"/>
      <c r="HNA86" s="101"/>
      <c r="HNB86" s="101"/>
      <c r="HNC86" s="101"/>
      <c r="HND86" s="101"/>
      <c r="HNE86" s="101"/>
      <c r="HNF86" s="101"/>
      <c r="HNG86" s="101"/>
      <c r="HNH86" s="101"/>
      <c r="HNI86" s="101"/>
      <c r="HNJ86" s="101"/>
      <c r="HNK86" s="101"/>
      <c r="HNL86" s="101"/>
      <c r="HNM86" s="101"/>
      <c r="HNN86" s="101"/>
      <c r="HNO86" s="101"/>
      <c r="HNP86" s="101"/>
      <c r="HNQ86" s="101"/>
      <c r="HNR86" s="101"/>
      <c r="HNS86" s="101"/>
      <c r="HNT86" s="101"/>
      <c r="HNU86" s="101"/>
      <c r="HNV86" s="101"/>
      <c r="HNW86" s="101"/>
      <c r="HNX86" s="101"/>
      <c r="HNY86" s="101"/>
      <c r="HNZ86" s="101"/>
      <c r="HOA86" s="101"/>
      <c r="HOB86" s="101"/>
      <c r="HOC86" s="101"/>
      <c r="HOD86" s="101"/>
      <c r="HOE86" s="101"/>
      <c r="HOF86" s="101"/>
      <c r="HOG86" s="101"/>
      <c r="HOH86" s="101"/>
      <c r="HOI86" s="101"/>
      <c r="HOJ86" s="101"/>
      <c r="HOK86" s="101"/>
      <c r="HOL86" s="101"/>
      <c r="HOM86" s="101"/>
      <c r="HON86" s="101"/>
      <c r="HOO86" s="101"/>
      <c r="HOP86" s="101"/>
      <c r="HOQ86" s="101"/>
      <c r="HOR86" s="101"/>
      <c r="HOS86" s="101"/>
      <c r="HOT86" s="101"/>
      <c r="HOU86" s="101"/>
      <c r="HOV86" s="101"/>
      <c r="HOW86" s="101"/>
      <c r="HOX86" s="101"/>
      <c r="HOY86" s="101"/>
      <c r="HOZ86" s="101"/>
      <c r="HPA86" s="101"/>
      <c r="HPB86" s="101"/>
      <c r="HPC86" s="101"/>
      <c r="HPD86" s="101"/>
      <c r="HPE86" s="101"/>
      <c r="HPF86" s="101"/>
      <c r="HPG86" s="101"/>
      <c r="HPH86" s="101"/>
      <c r="HPI86" s="101"/>
      <c r="HPJ86" s="101"/>
      <c r="HPK86" s="101"/>
      <c r="HPL86" s="101"/>
      <c r="HPM86" s="101"/>
      <c r="HPN86" s="101"/>
      <c r="HPO86" s="101"/>
      <c r="HPP86" s="101"/>
      <c r="HPQ86" s="101"/>
      <c r="HPR86" s="101"/>
      <c r="HPS86" s="101"/>
      <c r="HPT86" s="101"/>
      <c r="HPU86" s="101"/>
      <c r="HPV86" s="101"/>
      <c r="HPW86" s="101"/>
      <c r="HPX86" s="101"/>
      <c r="HPY86" s="101"/>
      <c r="HPZ86" s="101"/>
      <c r="HQA86" s="101"/>
      <c r="HQB86" s="101"/>
      <c r="HQC86" s="101"/>
      <c r="HQD86" s="101"/>
      <c r="HQE86" s="101"/>
      <c r="HQF86" s="101"/>
      <c r="HQG86" s="101"/>
      <c r="HQH86" s="101"/>
      <c r="HQI86" s="101"/>
      <c r="HQJ86" s="101"/>
      <c r="HQK86" s="101"/>
      <c r="HQL86" s="101"/>
      <c r="HQM86" s="101"/>
      <c r="HQN86" s="101"/>
      <c r="HQO86" s="101"/>
      <c r="HQP86" s="101"/>
      <c r="HQQ86" s="101"/>
      <c r="HQR86" s="101"/>
      <c r="HQS86" s="101"/>
      <c r="HQT86" s="101"/>
      <c r="HQU86" s="101"/>
      <c r="HQV86" s="101"/>
      <c r="HQW86" s="101"/>
      <c r="HQX86" s="101"/>
      <c r="HQY86" s="101"/>
      <c r="HQZ86" s="101"/>
      <c r="HRA86" s="101"/>
      <c r="HRB86" s="101"/>
      <c r="HRC86" s="101"/>
      <c r="HRD86" s="101"/>
      <c r="HRE86" s="101"/>
      <c r="HRF86" s="101"/>
      <c r="HRG86" s="101"/>
      <c r="HRH86" s="101"/>
      <c r="HRI86" s="101"/>
      <c r="HRJ86" s="101"/>
      <c r="HRK86" s="101"/>
      <c r="HRL86" s="101"/>
      <c r="HRM86" s="101"/>
      <c r="HRN86" s="101"/>
      <c r="HRO86" s="101"/>
      <c r="HRP86" s="101"/>
      <c r="HRQ86" s="101"/>
      <c r="HRR86" s="101"/>
      <c r="HRS86" s="101"/>
      <c r="HRT86" s="101"/>
      <c r="HRU86" s="101"/>
      <c r="HRV86" s="101"/>
      <c r="HRW86" s="101"/>
      <c r="HRX86" s="101"/>
      <c r="HRY86" s="101"/>
      <c r="HRZ86" s="101"/>
      <c r="HSA86" s="101"/>
      <c r="HSB86" s="101"/>
      <c r="HSC86" s="101"/>
      <c r="HSD86" s="101"/>
      <c r="HSE86" s="101"/>
      <c r="HSF86" s="101"/>
      <c r="HSG86" s="101"/>
      <c r="HSH86" s="101"/>
      <c r="HSI86" s="101"/>
      <c r="HSJ86" s="101"/>
      <c r="HSK86" s="101"/>
      <c r="HSL86" s="101"/>
      <c r="HSM86" s="101"/>
      <c r="HSN86" s="101"/>
      <c r="HSO86" s="101"/>
      <c r="HSP86" s="101"/>
      <c r="HSQ86" s="101"/>
      <c r="HSR86" s="101"/>
      <c r="HSS86" s="101"/>
      <c r="HST86" s="101"/>
      <c r="HSU86" s="101"/>
      <c r="HSV86" s="101"/>
      <c r="HSW86" s="101"/>
      <c r="HSX86" s="101"/>
      <c r="HSY86" s="101"/>
      <c r="HSZ86" s="101"/>
      <c r="HTA86" s="101"/>
      <c r="HTB86" s="101"/>
      <c r="HTC86" s="101"/>
      <c r="HTD86" s="101"/>
      <c r="HTE86" s="101"/>
      <c r="HTF86" s="101"/>
      <c r="HTG86" s="101"/>
      <c r="HTH86" s="101"/>
      <c r="HTI86" s="101"/>
      <c r="HTJ86" s="101"/>
      <c r="HTK86" s="101"/>
      <c r="HTL86" s="101"/>
      <c r="HTM86" s="101"/>
      <c r="HTN86" s="101"/>
      <c r="HTO86" s="101"/>
      <c r="HTP86" s="101"/>
      <c r="HTQ86" s="101"/>
      <c r="HTR86" s="101"/>
      <c r="HTS86" s="101"/>
      <c r="HTT86" s="101"/>
      <c r="HTU86" s="101"/>
      <c r="HTV86" s="101"/>
      <c r="HTW86" s="101"/>
      <c r="HTX86" s="101"/>
      <c r="HTY86" s="101"/>
      <c r="HTZ86" s="101"/>
      <c r="HUA86" s="101"/>
      <c r="HUB86" s="101"/>
      <c r="HUC86" s="101"/>
      <c r="HUD86" s="101"/>
      <c r="HUE86" s="101"/>
      <c r="HUF86" s="101"/>
      <c r="HUG86" s="101"/>
      <c r="HUH86" s="101"/>
      <c r="HUI86" s="101"/>
      <c r="HUJ86" s="101"/>
      <c r="HUK86" s="101"/>
      <c r="HUL86" s="101"/>
      <c r="HUM86" s="101"/>
      <c r="HUN86" s="101"/>
      <c r="HUO86" s="101"/>
      <c r="HUP86" s="101"/>
      <c r="HUQ86" s="101"/>
      <c r="HUR86" s="101"/>
      <c r="HUS86" s="101"/>
      <c r="HUT86" s="101"/>
      <c r="HUU86" s="101"/>
      <c r="HUV86" s="101"/>
      <c r="HUW86" s="101"/>
      <c r="HUX86" s="101"/>
      <c r="HUY86" s="101"/>
      <c r="HUZ86" s="101"/>
      <c r="HVA86" s="101"/>
      <c r="HVB86" s="101"/>
      <c r="HVC86" s="101"/>
      <c r="HVD86" s="101"/>
      <c r="HVE86" s="101"/>
      <c r="HVF86" s="101"/>
      <c r="HVG86" s="101"/>
      <c r="HVH86" s="101"/>
      <c r="HVI86" s="101"/>
      <c r="HVJ86" s="101"/>
      <c r="HVK86" s="101"/>
      <c r="HVL86" s="101"/>
      <c r="HVM86" s="101"/>
      <c r="HVN86" s="101"/>
      <c r="HVO86" s="101"/>
      <c r="HVP86" s="101"/>
      <c r="HVQ86" s="101"/>
      <c r="HVR86" s="101"/>
      <c r="HVS86" s="101"/>
      <c r="HVT86" s="101"/>
      <c r="HVU86" s="101"/>
      <c r="HVV86" s="101"/>
      <c r="HVW86" s="101"/>
      <c r="HVX86" s="101"/>
      <c r="HVY86" s="101"/>
      <c r="HVZ86" s="101"/>
      <c r="HWA86" s="101"/>
      <c r="HWB86" s="101"/>
      <c r="HWC86" s="101"/>
      <c r="HWD86" s="101"/>
      <c r="HWE86" s="101"/>
      <c r="HWF86" s="101"/>
      <c r="HWG86" s="101"/>
      <c r="HWH86" s="101"/>
      <c r="HWI86" s="101"/>
      <c r="HWJ86" s="101"/>
      <c r="HWK86" s="101"/>
      <c r="HWL86" s="101"/>
      <c r="HWM86" s="101"/>
      <c r="HWN86" s="101"/>
      <c r="HWO86" s="101"/>
      <c r="HWP86" s="101"/>
      <c r="HWQ86" s="101"/>
      <c r="HWR86" s="101"/>
      <c r="HWS86" s="101"/>
      <c r="HWT86" s="101"/>
      <c r="HWU86" s="101"/>
      <c r="HWV86" s="101"/>
      <c r="HWW86" s="101"/>
      <c r="HWX86" s="101"/>
      <c r="HWY86" s="101"/>
      <c r="HWZ86" s="101"/>
      <c r="HXA86" s="101"/>
      <c r="HXB86" s="101"/>
      <c r="HXC86" s="101"/>
      <c r="HXD86" s="101"/>
      <c r="HXE86" s="101"/>
      <c r="HXF86" s="101"/>
      <c r="HXG86" s="101"/>
      <c r="HXH86" s="101"/>
      <c r="HXI86" s="101"/>
      <c r="HXJ86" s="101"/>
      <c r="HXK86" s="101"/>
      <c r="HXL86" s="101"/>
      <c r="HXM86" s="101"/>
      <c r="HXN86" s="101"/>
      <c r="HXO86" s="101"/>
      <c r="HXP86" s="101"/>
      <c r="HXQ86" s="101"/>
      <c r="HXR86" s="101"/>
      <c r="HXS86" s="101"/>
      <c r="HXT86" s="101"/>
      <c r="HXU86" s="101"/>
      <c r="HXV86" s="101"/>
      <c r="HXW86" s="101"/>
      <c r="HXX86" s="101"/>
      <c r="HXY86" s="101"/>
      <c r="HXZ86" s="101"/>
      <c r="HYA86" s="101"/>
      <c r="HYB86" s="101"/>
      <c r="HYC86" s="101"/>
      <c r="HYD86" s="101"/>
      <c r="HYE86" s="101"/>
      <c r="HYF86" s="101"/>
      <c r="HYG86" s="101"/>
      <c r="HYH86" s="101"/>
      <c r="HYI86" s="101"/>
      <c r="HYJ86" s="101"/>
      <c r="HYK86" s="101"/>
      <c r="HYL86" s="101"/>
      <c r="HYM86" s="101"/>
      <c r="HYN86" s="101"/>
      <c r="HYO86" s="101"/>
      <c r="HYP86" s="101"/>
      <c r="HYQ86" s="101"/>
      <c r="HYR86" s="101"/>
      <c r="HYS86" s="101"/>
      <c r="HYT86" s="101"/>
      <c r="HYU86" s="101"/>
      <c r="HYV86" s="101"/>
      <c r="HYW86" s="101"/>
      <c r="HYX86" s="101"/>
      <c r="HYY86" s="101"/>
      <c r="HYZ86" s="101"/>
      <c r="HZA86" s="101"/>
      <c r="HZB86" s="101"/>
      <c r="HZC86" s="101"/>
      <c r="HZD86" s="101"/>
      <c r="HZE86" s="101"/>
      <c r="HZF86" s="101"/>
      <c r="HZG86" s="101"/>
      <c r="HZH86" s="101"/>
      <c r="HZI86" s="101"/>
      <c r="HZJ86" s="101"/>
      <c r="HZK86" s="101"/>
      <c r="HZL86" s="101"/>
      <c r="HZM86" s="101"/>
      <c r="HZN86" s="101"/>
      <c r="HZO86" s="101"/>
      <c r="HZP86" s="101"/>
      <c r="HZQ86" s="101"/>
      <c r="HZR86" s="101"/>
      <c r="HZS86" s="101"/>
      <c r="HZT86" s="101"/>
      <c r="HZU86" s="101"/>
      <c r="HZV86" s="101"/>
      <c r="HZW86" s="101"/>
      <c r="HZX86" s="101"/>
      <c r="HZY86" s="101"/>
      <c r="HZZ86" s="101"/>
      <c r="IAA86" s="101"/>
      <c r="IAB86" s="101"/>
      <c r="IAC86" s="101"/>
      <c r="IAD86" s="101"/>
      <c r="IAE86" s="101"/>
      <c r="IAF86" s="101"/>
      <c r="IAG86" s="101"/>
      <c r="IAH86" s="101"/>
      <c r="IAI86" s="101"/>
      <c r="IAJ86" s="101"/>
      <c r="IAK86" s="101"/>
      <c r="IAL86" s="101"/>
      <c r="IAM86" s="101"/>
      <c r="IAN86" s="101"/>
      <c r="IAO86" s="101"/>
      <c r="IAP86" s="101"/>
      <c r="IAQ86" s="101"/>
      <c r="IAR86" s="101"/>
      <c r="IAS86" s="101"/>
      <c r="IAT86" s="101"/>
      <c r="IAU86" s="101"/>
      <c r="IAV86" s="101"/>
      <c r="IAW86" s="101"/>
      <c r="IAX86" s="101"/>
      <c r="IAY86" s="101"/>
      <c r="IAZ86" s="101"/>
      <c r="IBA86" s="101"/>
      <c r="IBB86" s="101"/>
      <c r="IBC86" s="101"/>
      <c r="IBD86" s="101"/>
      <c r="IBE86" s="101"/>
      <c r="IBF86" s="101"/>
      <c r="IBG86" s="101"/>
      <c r="IBH86" s="101"/>
      <c r="IBI86" s="101"/>
      <c r="IBJ86" s="101"/>
      <c r="IBK86" s="101"/>
      <c r="IBL86" s="101"/>
      <c r="IBM86" s="101"/>
      <c r="IBN86" s="101"/>
      <c r="IBO86" s="101"/>
      <c r="IBP86" s="101"/>
      <c r="IBQ86" s="101"/>
      <c r="IBR86" s="101"/>
      <c r="IBS86" s="101"/>
      <c r="IBT86" s="101"/>
      <c r="IBU86" s="101"/>
      <c r="IBV86" s="101"/>
      <c r="IBW86" s="101"/>
      <c r="IBX86" s="101"/>
      <c r="IBY86" s="101"/>
      <c r="IBZ86" s="101"/>
      <c r="ICA86" s="101"/>
      <c r="ICB86" s="101"/>
      <c r="ICC86" s="101"/>
      <c r="ICD86" s="101"/>
      <c r="ICE86" s="101"/>
      <c r="ICF86" s="101"/>
      <c r="ICG86" s="101"/>
      <c r="ICH86" s="101"/>
      <c r="ICI86" s="101"/>
      <c r="ICJ86" s="101"/>
      <c r="ICK86" s="101"/>
      <c r="ICL86" s="101"/>
      <c r="ICM86" s="101"/>
      <c r="ICN86" s="101"/>
      <c r="ICO86" s="101"/>
      <c r="ICP86" s="101"/>
      <c r="ICQ86" s="101"/>
      <c r="ICR86" s="101"/>
      <c r="ICS86" s="101"/>
      <c r="ICT86" s="101"/>
      <c r="ICU86" s="101"/>
      <c r="ICV86" s="101"/>
      <c r="ICW86" s="101"/>
      <c r="ICX86" s="101"/>
      <c r="ICY86" s="101"/>
      <c r="ICZ86" s="101"/>
      <c r="IDA86" s="101"/>
      <c r="IDB86" s="101"/>
      <c r="IDC86" s="101"/>
      <c r="IDD86" s="101"/>
      <c r="IDE86" s="101"/>
      <c r="IDF86" s="101"/>
      <c r="IDG86" s="101"/>
      <c r="IDH86" s="101"/>
      <c r="IDI86" s="101"/>
      <c r="IDJ86" s="101"/>
      <c r="IDK86" s="101"/>
      <c r="IDL86" s="101"/>
      <c r="IDM86" s="101"/>
      <c r="IDN86" s="101"/>
      <c r="IDO86" s="101"/>
      <c r="IDP86" s="101"/>
      <c r="IDQ86" s="101"/>
      <c r="IDR86" s="101"/>
      <c r="IDS86" s="101"/>
      <c r="IDT86" s="101"/>
      <c r="IDU86" s="101"/>
      <c r="IDV86" s="101"/>
      <c r="IDW86" s="101"/>
      <c r="IDX86" s="101"/>
      <c r="IDY86" s="101"/>
      <c r="IDZ86" s="101"/>
      <c r="IEA86" s="101"/>
      <c r="IEB86" s="101"/>
      <c r="IEC86" s="101"/>
      <c r="IED86" s="101"/>
      <c r="IEE86" s="101"/>
      <c r="IEF86" s="101"/>
      <c r="IEG86" s="101"/>
      <c r="IEH86" s="101"/>
      <c r="IEI86" s="101"/>
      <c r="IEJ86" s="101"/>
      <c r="IEK86" s="101"/>
      <c r="IEL86" s="101"/>
      <c r="IEM86" s="101"/>
      <c r="IEN86" s="101"/>
      <c r="IEO86" s="101"/>
      <c r="IEP86" s="101"/>
      <c r="IEQ86" s="101"/>
      <c r="IER86" s="101"/>
      <c r="IES86" s="101"/>
      <c r="IET86" s="101"/>
      <c r="IEU86" s="101"/>
      <c r="IEV86" s="101"/>
      <c r="IEW86" s="101"/>
      <c r="IEX86" s="101"/>
      <c r="IEY86" s="101"/>
      <c r="IEZ86" s="101"/>
      <c r="IFA86" s="101"/>
      <c r="IFB86" s="101"/>
      <c r="IFC86" s="101"/>
      <c r="IFD86" s="101"/>
      <c r="IFE86" s="101"/>
      <c r="IFF86" s="101"/>
      <c r="IFG86" s="101"/>
      <c r="IFH86" s="101"/>
      <c r="IFI86" s="101"/>
      <c r="IFJ86" s="101"/>
      <c r="IFK86" s="101"/>
      <c r="IFL86" s="101"/>
      <c r="IFM86" s="101"/>
      <c r="IFN86" s="101"/>
      <c r="IFO86" s="101"/>
      <c r="IFP86" s="101"/>
      <c r="IFQ86" s="101"/>
      <c r="IFR86" s="101"/>
      <c r="IFS86" s="101"/>
      <c r="IFT86" s="101"/>
      <c r="IFU86" s="101"/>
      <c r="IFV86" s="101"/>
      <c r="IFW86" s="101"/>
      <c r="IFX86" s="101"/>
      <c r="IFY86" s="101"/>
      <c r="IFZ86" s="101"/>
      <c r="IGA86" s="101"/>
      <c r="IGB86" s="101"/>
      <c r="IGC86" s="101"/>
      <c r="IGD86" s="101"/>
      <c r="IGE86" s="101"/>
      <c r="IGF86" s="101"/>
      <c r="IGG86" s="101"/>
      <c r="IGH86" s="101"/>
      <c r="IGI86" s="101"/>
      <c r="IGJ86" s="101"/>
      <c r="IGK86" s="101"/>
      <c r="IGL86" s="101"/>
      <c r="IGM86" s="101"/>
      <c r="IGN86" s="101"/>
      <c r="IGO86" s="101"/>
      <c r="IGP86" s="101"/>
      <c r="IGQ86" s="101"/>
      <c r="IGR86" s="101"/>
      <c r="IGS86" s="101"/>
      <c r="IGT86" s="101"/>
      <c r="IGU86" s="101"/>
      <c r="IGV86" s="101"/>
      <c r="IGW86" s="101"/>
      <c r="IGX86" s="101"/>
      <c r="IGY86" s="101"/>
      <c r="IGZ86" s="101"/>
      <c r="IHA86" s="101"/>
      <c r="IHB86" s="101"/>
      <c r="IHC86" s="101"/>
      <c r="IHD86" s="101"/>
      <c r="IHE86" s="101"/>
      <c r="IHF86" s="101"/>
      <c r="IHG86" s="101"/>
      <c r="IHH86" s="101"/>
      <c r="IHI86" s="101"/>
      <c r="IHJ86" s="101"/>
      <c r="IHK86" s="101"/>
      <c r="IHL86" s="101"/>
      <c r="IHM86" s="101"/>
      <c r="IHN86" s="101"/>
      <c r="IHO86" s="101"/>
      <c r="IHP86" s="101"/>
      <c r="IHQ86" s="101"/>
      <c r="IHR86" s="101"/>
      <c r="IHS86" s="101"/>
      <c r="IHT86" s="101"/>
      <c r="IHU86" s="101"/>
      <c r="IHV86" s="101"/>
      <c r="IHW86" s="101"/>
      <c r="IHX86" s="101"/>
      <c r="IHY86" s="101"/>
      <c r="IHZ86" s="101"/>
      <c r="IIA86" s="101"/>
      <c r="IIB86" s="101"/>
      <c r="IIC86" s="101"/>
      <c r="IID86" s="101"/>
      <c r="IIE86" s="101"/>
      <c r="IIF86" s="101"/>
      <c r="IIG86" s="101"/>
      <c r="IIH86" s="101"/>
      <c r="III86" s="101"/>
      <c r="IIJ86" s="101"/>
      <c r="IIK86" s="101"/>
      <c r="IIL86" s="101"/>
      <c r="IIM86" s="101"/>
      <c r="IIN86" s="101"/>
      <c r="IIO86" s="101"/>
      <c r="IIP86" s="101"/>
      <c r="IIQ86" s="101"/>
      <c r="IIR86" s="101"/>
      <c r="IIS86" s="101"/>
      <c r="IIT86" s="101"/>
      <c r="IIU86" s="101"/>
      <c r="IIV86" s="101"/>
      <c r="IIW86" s="101"/>
      <c r="IIX86" s="101"/>
      <c r="IIY86" s="101"/>
      <c r="IIZ86" s="101"/>
      <c r="IJA86" s="101"/>
      <c r="IJB86" s="101"/>
      <c r="IJC86" s="101"/>
      <c r="IJD86" s="101"/>
      <c r="IJE86" s="101"/>
      <c r="IJF86" s="101"/>
      <c r="IJG86" s="101"/>
      <c r="IJH86" s="101"/>
      <c r="IJI86" s="101"/>
      <c r="IJJ86" s="101"/>
      <c r="IJK86" s="101"/>
      <c r="IJL86" s="101"/>
      <c r="IJM86" s="101"/>
      <c r="IJN86" s="101"/>
      <c r="IJO86" s="101"/>
      <c r="IJP86" s="101"/>
      <c r="IJQ86" s="101"/>
      <c r="IJR86" s="101"/>
      <c r="IJS86" s="101"/>
      <c r="IJT86" s="101"/>
      <c r="IJU86" s="101"/>
      <c r="IJV86" s="101"/>
      <c r="IJW86" s="101"/>
      <c r="IJX86" s="101"/>
      <c r="IJY86" s="101"/>
      <c r="IJZ86" s="101"/>
      <c r="IKA86" s="101"/>
      <c r="IKB86" s="101"/>
      <c r="IKC86" s="101"/>
      <c r="IKD86" s="101"/>
      <c r="IKE86" s="101"/>
      <c r="IKF86" s="101"/>
      <c r="IKG86" s="101"/>
      <c r="IKH86" s="101"/>
      <c r="IKI86" s="101"/>
      <c r="IKJ86" s="101"/>
      <c r="IKK86" s="101"/>
      <c r="IKL86" s="101"/>
      <c r="IKM86" s="101"/>
      <c r="IKN86" s="101"/>
      <c r="IKO86" s="101"/>
      <c r="IKP86" s="101"/>
      <c r="IKQ86" s="101"/>
      <c r="IKR86" s="101"/>
      <c r="IKS86" s="101"/>
      <c r="IKT86" s="101"/>
      <c r="IKU86" s="101"/>
      <c r="IKV86" s="101"/>
      <c r="IKW86" s="101"/>
      <c r="IKX86" s="101"/>
      <c r="IKY86" s="101"/>
      <c r="IKZ86" s="101"/>
      <c r="ILA86" s="101"/>
      <c r="ILB86" s="101"/>
      <c r="ILC86" s="101"/>
      <c r="ILD86" s="101"/>
      <c r="ILE86" s="101"/>
      <c r="ILF86" s="101"/>
      <c r="ILG86" s="101"/>
      <c r="ILH86" s="101"/>
      <c r="ILI86" s="101"/>
      <c r="ILJ86" s="101"/>
      <c r="ILK86" s="101"/>
      <c r="ILL86" s="101"/>
      <c r="ILM86" s="101"/>
      <c r="ILN86" s="101"/>
      <c r="ILO86" s="101"/>
      <c r="ILP86" s="101"/>
      <c r="ILQ86" s="101"/>
      <c r="ILR86" s="101"/>
      <c r="ILS86" s="101"/>
      <c r="ILT86" s="101"/>
      <c r="ILU86" s="101"/>
      <c r="ILV86" s="101"/>
      <c r="ILW86" s="101"/>
      <c r="ILX86" s="101"/>
      <c r="ILY86" s="101"/>
      <c r="ILZ86" s="101"/>
      <c r="IMA86" s="101"/>
      <c r="IMB86" s="101"/>
      <c r="IMC86" s="101"/>
      <c r="IMD86" s="101"/>
      <c r="IME86" s="101"/>
      <c r="IMF86" s="101"/>
      <c r="IMG86" s="101"/>
      <c r="IMH86" s="101"/>
      <c r="IMI86" s="101"/>
      <c r="IMJ86" s="101"/>
      <c r="IMK86" s="101"/>
      <c r="IML86" s="101"/>
      <c r="IMM86" s="101"/>
      <c r="IMN86" s="101"/>
      <c r="IMO86" s="101"/>
      <c r="IMP86" s="101"/>
      <c r="IMQ86" s="101"/>
      <c r="IMR86" s="101"/>
      <c r="IMS86" s="101"/>
      <c r="IMT86" s="101"/>
      <c r="IMU86" s="101"/>
      <c r="IMV86" s="101"/>
      <c r="IMW86" s="101"/>
      <c r="IMX86" s="101"/>
      <c r="IMY86" s="101"/>
      <c r="IMZ86" s="101"/>
      <c r="INA86" s="101"/>
      <c r="INB86" s="101"/>
      <c r="INC86" s="101"/>
      <c r="IND86" s="101"/>
      <c r="INE86" s="101"/>
      <c r="INF86" s="101"/>
      <c r="ING86" s="101"/>
      <c r="INH86" s="101"/>
      <c r="INI86" s="101"/>
      <c r="INJ86" s="101"/>
      <c r="INK86" s="101"/>
      <c r="INL86" s="101"/>
      <c r="INM86" s="101"/>
      <c r="INN86" s="101"/>
      <c r="INO86" s="101"/>
      <c r="INP86" s="101"/>
      <c r="INQ86" s="101"/>
      <c r="INR86" s="101"/>
      <c r="INS86" s="101"/>
      <c r="INT86" s="101"/>
      <c r="INU86" s="101"/>
      <c r="INV86" s="101"/>
      <c r="INW86" s="101"/>
      <c r="INX86" s="101"/>
      <c r="INY86" s="101"/>
      <c r="INZ86" s="101"/>
      <c r="IOA86" s="101"/>
      <c r="IOB86" s="101"/>
      <c r="IOC86" s="101"/>
      <c r="IOD86" s="101"/>
      <c r="IOE86" s="101"/>
      <c r="IOF86" s="101"/>
      <c r="IOG86" s="101"/>
      <c r="IOH86" s="101"/>
      <c r="IOI86" s="101"/>
      <c r="IOJ86" s="101"/>
      <c r="IOK86" s="101"/>
      <c r="IOL86" s="101"/>
      <c r="IOM86" s="101"/>
      <c r="ION86" s="101"/>
      <c r="IOO86" s="101"/>
      <c r="IOP86" s="101"/>
      <c r="IOQ86" s="101"/>
      <c r="IOR86" s="101"/>
      <c r="IOS86" s="101"/>
      <c r="IOT86" s="101"/>
      <c r="IOU86" s="101"/>
      <c r="IOV86" s="101"/>
      <c r="IOW86" s="101"/>
      <c r="IOX86" s="101"/>
      <c r="IOY86" s="101"/>
      <c r="IOZ86" s="101"/>
      <c r="IPA86" s="101"/>
      <c r="IPB86" s="101"/>
      <c r="IPC86" s="101"/>
      <c r="IPD86" s="101"/>
      <c r="IPE86" s="101"/>
      <c r="IPF86" s="101"/>
      <c r="IPG86" s="101"/>
      <c r="IPH86" s="101"/>
      <c r="IPI86" s="101"/>
      <c r="IPJ86" s="101"/>
      <c r="IPK86" s="101"/>
      <c r="IPL86" s="101"/>
      <c r="IPM86" s="101"/>
      <c r="IPN86" s="101"/>
      <c r="IPO86" s="101"/>
      <c r="IPP86" s="101"/>
      <c r="IPQ86" s="101"/>
      <c r="IPR86" s="101"/>
      <c r="IPS86" s="101"/>
      <c r="IPT86" s="101"/>
      <c r="IPU86" s="101"/>
      <c r="IPV86" s="101"/>
      <c r="IPW86" s="101"/>
      <c r="IPX86" s="101"/>
      <c r="IPY86" s="101"/>
      <c r="IPZ86" s="101"/>
      <c r="IQA86" s="101"/>
      <c r="IQB86" s="101"/>
      <c r="IQC86" s="101"/>
      <c r="IQD86" s="101"/>
      <c r="IQE86" s="101"/>
      <c r="IQF86" s="101"/>
      <c r="IQG86" s="101"/>
      <c r="IQH86" s="101"/>
      <c r="IQI86" s="101"/>
      <c r="IQJ86" s="101"/>
      <c r="IQK86" s="101"/>
      <c r="IQL86" s="101"/>
      <c r="IQM86" s="101"/>
      <c r="IQN86" s="101"/>
      <c r="IQO86" s="101"/>
      <c r="IQP86" s="101"/>
      <c r="IQQ86" s="101"/>
      <c r="IQR86" s="101"/>
      <c r="IQS86" s="101"/>
      <c r="IQT86" s="101"/>
      <c r="IQU86" s="101"/>
      <c r="IQV86" s="101"/>
      <c r="IQW86" s="101"/>
      <c r="IQX86" s="101"/>
      <c r="IQY86" s="101"/>
      <c r="IQZ86" s="101"/>
      <c r="IRA86" s="101"/>
      <c r="IRB86" s="101"/>
      <c r="IRC86" s="101"/>
      <c r="IRD86" s="101"/>
      <c r="IRE86" s="101"/>
      <c r="IRF86" s="101"/>
      <c r="IRG86" s="101"/>
      <c r="IRH86" s="101"/>
      <c r="IRI86" s="101"/>
      <c r="IRJ86" s="101"/>
      <c r="IRK86" s="101"/>
      <c r="IRL86" s="101"/>
      <c r="IRM86" s="101"/>
      <c r="IRN86" s="101"/>
      <c r="IRO86" s="101"/>
      <c r="IRP86" s="101"/>
      <c r="IRQ86" s="101"/>
      <c r="IRR86" s="101"/>
      <c r="IRS86" s="101"/>
      <c r="IRT86" s="101"/>
      <c r="IRU86" s="101"/>
      <c r="IRV86" s="101"/>
      <c r="IRW86" s="101"/>
      <c r="IRX86" s="101"/>
      <c r="IRY86" s="101"/>
      <c r="IRZ86" s="101"/>
      <c r="ISA86" s="101"/>
      <c r="ISB86" s="101"/>
      <c r="ISC86" s="101"/>
      <c r="ISD86" s="101"/>
      <c r="ISE86" s="101"/>
      <c r="ISF86" s="101"/>
      <c r="ISG86" s="101"/>
      <c r="ISH86" s="101"/>
      <c r="ISI86" s="101"/>
      <c r="ISJ86" s="101"/>
      <c r="ISK86" s="101"/>
      <c r="ISL86" s="101"/>
      <c r="ISM86" s="101"/>
      <c r="ISN86" s="101"/>
      <c r="ISO86" s="101"/>
      <c r="ISP86" s="101"/>
      <c r="ISQ86" s="101"/>
      <c r="ISR86" s="101"/>
      <c r="ISS86" s="101"/>
      <c r="IST86" s="101"/>
      <c r="ISU86" s="101"/>
      <c r="ISV86" s="101"/>
      <c r="ISW86" s="101"/>
      <c r="ISX86" s="101"/>
      <c r="ISY86" s="101"/>
      <c r="ISZ86" s="101"/>
      <c r="ITA86" s="101"/>
      <c r="ITB86" s="101"/>
      <c r="ITC86" s="101"/>
      <c r="ITD86" s="101"/>
      <c r="ITE86" s="101"/>
      <c r="ITF86" s="101"/>
      <c r="ITG86" s="101"/>
      <c r="ITH86" s="101"/>
      <c r="ITI86" s="101"/>
      <c r="ITJ86" s="101"/>
      <c r="ITK86" s="101"/>
      <c r="ITL86" s="101"/>
      <c r="ITM86" s="101"/>
      <c r="ITN86" s="101"/>
      <c r="ITO86" s="101"/>
      <c r="ITP86" s="101"/>
      <c r="ITQ86" s="101"/>
      <c r="ITR86" s="101"/>
      <c r="ITS86" s="101"/>
      <c r="ITT86" s="101"/>
      <c r="ITU86" s="101"/>
      <c r="ITV86" s="101"/>
      <c r="ITW86" s="101"/>
      <c r="ITX86" s="101"/>
      <c r="ITY86" s="101"/>
      <c r="ITZ86" s="101"/>
      <c r="IUA86" s="101"/>
      <c r="IUB86" s="101"/>
      <c r="IUC86" s="101"/>
      <c r="IUD86" s="101"/>
      <c r="IUE86" s="101"/>
      <c r="IUF86" s="101"/>
      <c r="IUG86" s="101"/>
      <c r="IUH86" s="101"/>
      <c r="IUI86" s="101"/>
      <c r="IUJ86" s="101"/>
      <c r="IUK86" s="101"/>
      <c r="IUL86" s="101"/>
      <c r="IUM86" s="101"/>
      <c r="IUN86" s="101"/>
      <c r="IUO86" s="101"/>
      <c r="IUP86" s="101"/>
      <c r="IUQ86" s="101"/>
      <c r="IUR86" s="101"/>
      <c r="IUS86" s="101"/>
      <c r="IUT86" s="101"/>
      <c r="IUU86" s="101"/>
      <c r="IUV86" s="101"/>
      <c r="IUW86" s="101"/>
      <c r="IUX86" s="101"/>
      <c r="IUY86" s="101"/>
      <c r="IUZ86" s="101"/>
      <c r="IVA86" s="101"/>
      <c r="IVB86" s="101"/>
      <c r="IVC86" s="101"/>
      <c r="IVD86" s="101"/>
      <c r="IVE86" s="101"/>
      <c r="IVF86" s="101"/>
      <c r="IVG86" s="101"/>
      <c r="IVH86" s="101"/>
      <c r="IVI86" s="101"/>
      <c r="IVJ86" s="101"/>
      <c r="IVK86" s="101"/>
      <c r="IVL86" s="101"/>
      <c r="IVM86" s="101"/>
      <c r="IVN86" s="101"/>
      <c r="IVO86" s="101"/>
      <c r="IVP86" s="101"/>
      <c r="IVQ86" s="101"/>
      <c r="IVR86" s="101"/>
      <c r="IVS86" s="101"/>
      <c r="IVT86" s="101"/>
      <c r="IVU86" s="101"/>
      <c r="IVV86" s="101"/>
      <c r="IVW86" s="101"/>
      <c r="IVX86" s="101"/>
      <c r="IVY86" s="101"/>
      <c r="IVZ86" s="101"/>
      <c r="IWA86" s="101"/>
      <c r="IWB86" s="101"/>
      <c r="IWC86" s="101"/>
      <c r="IWD86" s="101"/>
      <c r="IWE86" s="101"/>
      <c r="IWF86" s="101"/>
      <c r="IWG86" s="101"/>
      <c r="IWH86" s="101"/>
      <c r="IWI86" s="101"/>
      <c r="IWJ86" s="101"/>
      <c r="IWK86" s="101"/>
      <c r="IWL86" s="101"/>
      <c r="IWM86" s="101"/>
      <c r="IWN86" s="101"/>
      <c r="IWO86" s="101"/>
      <c r="IWP86" s="101"/>
      <c r="IWQ86" s="101"/>
      <c r="IWR86" s="101"/>
      <c r="IWS86" s="101"/>
      <c r="IWT86" s="101"/>
      <c r="IWU86" s="101"/>
      <c r="IWV86" s="101"/>
      <c r="IWW86" s="101"/>
      <c r="IWX86" s="101"/>
      <c r="IWY86" s="101"/>
      <c r="IWZ86" s="101"/>
      <c r="IXA86" s="101"/>
      <c r="IXB86" s="101"/>
      <c r="IXC86" s="101"/>
      <c r="IXD86" s="101"/>
      <c r="IXE86" s="101"/>
      <c r="IXF86" s="101"/>
      <c r="IXG86" s="101"/>
      <c r="IXH86" s="101"/>
      <c r="IXI86" s="101"/>
      <c r="IXJ86" s="101"/>
      <c r="IXK86" s="101"/>
      <c r="IXL86" s="101"/>
      <c r="IXM86" s="101"/>
      <c r="IXN86" s="101"/>
      <c r="IXO86" s="101"/>
      <c r="IXP86" s="101"/>
      <c r="IXQ86" s="101"/>
      <c r="IXR86" s="101"/>
      <c r="IXS86" s="101"/>
      <c r="IXT86" s="101"/>
      <c r="IXU86" s="101"/>
      <c r="IXV86" s="101"/>
      <c r="IXW86" s="101"/>
      <c r="IXX86" s="101"/>
      <c r="IXY86" s="101"/>
      <c r="IXZ86" s="101"/>
      <c r="IYA86" s="101"/>
      <c r="IYB86" s="101"/>
      <c r="IYC86" s="101"/>
      <c r="IYD86" s="101"/>
      <c r="IYE86" s="101"/>
      <c r="IYF86" s="101"/>
      <c r="IYG86" s="101"/>
      <c r="IYH86" s="101"/>
      <c r="IYI86" s="101"/>
      <c r="IYJ86" s="101"/>
      <c r="IYK86" s="101"/>
      <c r="IYL86" s="101"/>
      <c r="IYM86" s="101"/>
      <c r="IYN86" s="101"/>
      <c r="IYO86" s="101"/>
      <c r="IYP86" s="101"/>
      <c r="IYQ86" s="101"/>
      <c r="IYR86" s="101"/>
      <c r="IYS86" s="101"/>
      <c r="IYT86" s="101"/>
      <c r="IYU86" s="101"/>
      <c r="IYV86" s="101"/>
      <c r="IYW86" s="101"/>
      <c r="IYX86" s="101"/>
      <c r="IYY86" s="101"/>
      <c r="IYZ86" s="101"/>
      <c r="IZA86" s="101"/>
      <c r="IZB86" s="101"/>
      <c r="IZC86" s="101"/>
      <c r="IZD86" s="101"/>
      <c r="IZE86" s="101"/>
      <c r="IZF86" s="101"/>
      <c r="IZG86" s="101"/>
      <c r="IZH86" s="101"/>
      <c r="IZI86" s="101"/>
      <c r="IZJ86" s="101"/>
      <c r="IZK86" s="101"/>
      <c r="IZL86" s="101"/>
      <c r="IZM86" s="101"/>
      <c r="IZN86" s="101"/>
      <c r="IZO86" s="101"/>
      <c r="IZP86" s="101"/>
      <c r="IZQ86" s="101"/>
      <c r="IZR86" s="101"/>
      <c r="IZS86" s="101"/>
      <c r="IZT86" s="101"/>
      <c r="IZU86" s="101"/>
      <c r="IZV86" s="101"/>
      <c r="IZW86" s="101"/>
      <c r="IZX86" s="101"/>
      <c r="IZY86" s="101"/>
      <c r="IZZ86" s="101"/>
      <c r="JAA86" s="101"/>
      <c r="JAB86" s="101"/>
      <c r="JAC86" s="101"/>
      <c r="JAD86" s="101"/>
      <c r="JAE86" s="101"/>
      <c r="JAF86" s="101"/>
      <c r="JAG86" s="101"/>
      <c r="JAH86" s="101"/>
      <c r="JAI86" s="101"/>
      <c r="JAJ86" s="101"/>
      <c r="JAK86" s="101"/>
      <c r="JAL86" s="101"/>
      <c r="JAM86" s="101"/>
      <c r="JAN86" s="101"/>
      <c r="JAO86" s="101"/>
      <c r="JAP86" s="101"/>
      <c r="JAQ86" s="101"/>
      <c r="JAR86" s="101"/>
      <c r="JAS86" s="101"/>
      <c r="JAT86" s="101"/>
      <c r="JAU86" s="101"/>
      <c r="JAV86" s="101"/>
      <c r="JAW86" s="101"/>
      <c r="JAX86" s="101"/>
      <c r="JAY86" s="101"/>
      <c r="JAZ86" s="101"/>
      <c r="JBA86" s="101"/>
      <c r="JBB86" s="101"/>
      <c r="JBC86" s="101"/>
      <c r="JBD86" s="101"/>
      <c r="JBE86" s="101"/>
      <c r="JBF86" s="101"/>
      <c r="JBG86" s="101"/>
      <c r="JBH86" s="101"/>
      <c r="JBI86" s="101"/>
      <c r="JBJ86" s="101"/>
      <c r="JBK86" s="101"/>
      <c r="JBL86" s="101"/>
      <c r="JBM86" s="101"/>
      <c r="JBN86" s="101"/>
      <c r="JBO86" s="101"/>
      <c r="JBP86" s="101"/>
      <c r="JBQ86" s="101"/>
      <c r="JBR86" s="101"/>
      <c r="JBS86" s="101"/>
      <c r="JBT86" s="101"/>
      <c r="JBU86" s="101"/>
      <c r="JBV86" s="101"/>
      <c r="JBW86" s="101"/>
      <c r="JBX86" s="101"/>
      <c r="JBY86" s="101"/>
      <c r="JBZ86" s="101"/>
      <c r="JCA86" s="101"/>
      <c r="JCB86" s="101"/>
      <c r="JCC86" s="101"/>
      <c r="JCD86" s="101"/>
      <c r="JCE86" s="101"/>
      <c r="JCF86" s="101"/>
      <c r="JCG86" s="101"/>
      <c r="JCH86" s="101"/>
      <c r="JCI86" s="101"/>
      <c r="JCJ86" s="101"/>
      <c r="JCK86" s="101"/>
      <c r="JCL86" s="101"/>
      <c r="JCM86" s="101"/>
      <c r="JCN86" s="101"/>
      <c r="JCO86" s="101"/>
      <c r="JCP86" s="101"/>
      <c r="JCQ86" s="101"/>
      <c r="JCR86" s="101"/>
      <c r="JCS86" s="101"/>
      <c r="JCT86" s="101"/>
      <c r="JCU86" s="101"/>
      <c r="JCV86" s="101"/>
      <c r="JCW86" s="101"/>
      <c r="JCX86" s="101"/>
      <c r="JCY86" s="101"/>
      <c r="JCZ86" s="101"/>
      <c r="JDA86" s="101"/>
      <c r="JDB86" s="101"/>
      <c r="JDC86" s="101"/>
      <c r="JDD86" s="101"/>
      <c r="JDE86" s="101"/>
      <c r="JDF86" s="101"/>
      <c r="JDG86" s="101"/>
      <c r="JDH86" s="101"/>
      <c r="JDI86" s="101"/>
      <c r="JDJ86" s="101"/>
      <c r="JDK86" s="101"/>
      <c r="JDL86" s="101"/>
      <c r="JDM86" s="101"/>
      <c r="JDN86" s="101"/>
      <c r="JDO86" s="101"/>
      <c r="JDP86" s="101"/>
      <c r="JDQ86" s="101"/>
      <c r="JDR86" s="101"/>
      <c r="JDS86" s="101"/>
      <c r="JDT86" s="101"/>
      <c r="JDU86" s="101"/>
      <c r="JDV86" s="101"/>
      <c r="JDW86" s="101"/>
      <c r="JDX86" s="101"/>
      <c r="JDY86" s="101"/>
      <c r="JDZ86" s="101"/>
      <c r="JEA86" s="101"/>
      <c r="JEB86" s="101"/>
      <c r="JEC86" s="101"/>
      <c r="JED86" s="101"/>
      <c r="JEE86" s="101"/>
      <c r="JEF86" s="101"/>
      <c r="JEG86" s="101"/>
      <c r="JEH86" s="101"/>
      <c r="JEI86" s="101"/>
      <c r="JEJ86" s="101"/>
      <c r="JEK86" s="101"/>
      <c r="JEL86" s="101"/>
      <c r="JEM86" s="101"/>
      <c r="JEN86" s="101"/>
      <c r="JEO86" s="101"/>
      <c r="JEP86" s="101"/>
      <c r="JEQ86" s="101"/>
      <c r="JER86" s="101"/>
      <c r="JES86" s="101"/>
      <c r="JET86" s="101"/>
      <c r="JEU86" s="101"/>
      <c r="JEV86" s="101"/>
      <c r="JEW86" s="101"/>
      <c r="JEX86" s="101"/>
      <c r="JEY86" s="101"/>
      <c r="JEZ86" s="101"/>
      <c r="JFA86" s="101"/>
      <c r="JFB86" s="101"/>
      <c r="JFC86" s="101"/>
      <c r="JFD86" s="101"/>
      <c r="JFE86" s="101"/>
      <c r="JFF86" s="101"/>
      <c r="JFG86" s="101"/>
      <c r="JFH86" s="101"/>
      <c r="JFI86" s="101"/>
      <c r="JFJ86" s="101"/>
      <c r="JFK86" s="101"/>
      <c r="JFL86" s="101"/>
      <c r="JFM86" s="101"/>
      <c r="JFN86" s="101"/>
      <c r="JFO86" s="101"/>
      <c r="JFP86" s="101"/>
      <c r="JFQ86" s="101"/>
      <c r="JFR86" s="101"/>
      <c r="JFS86" s="101"/>
      <c r="JFT86" s="101"/>
      <c r="JFU86" s="101"/>
      <c r="JFV86" s="101"/>
      <c r="JFW86" s="101"/>
      <c r="JFX86" s="101"/>
      <c r="JFY86" s="101"/>
      <c r="JFZ86" s="101"/>
      <c r="JGA86" s="101"/>
      <c r="JGB86" s="101"/>
      <c r="JGC86" s="101"/>
      <c r="JGD86" s="101"/>
      <c r="JGE86" s="101"/>
      <c r="JGF86" s="101"/>
      <c r="JGG86" s="101"/>
      <c r="JGH86" s="101"/>
      <c r="JGI86" s="101"/>
      <c r="JGJ86" s="101"/>
      <c r="JGK86" s="101"/>
      <c r="JGL86" s="101"/>
      <c r="JGM86" s="101"/>
      <c r="JGN86" s="101"/>
      <c r="JGO86" s="101"/>
      <c r="JGP86" s="101"/>
      <c r="JGQ86" s="101"/>
      <c r="JGR86" s="101"/>
      <c r="JGS86" s="101"/>
      <c r="JGT86" s="101"/>
      <c r="JGU86" s="101"/>
      <c r="JGV86" s="101"/>
      <c r="JGW86" s="101"/>
      <c r="JGX86" s="101"/>
      <c r="JGY86" s="101"/>
      <c r="JGZ86" s="101"/>
      <c r="JHA86" s="101"/>
      <c r="JHB86" s="101"/>
      <c r="JHC86" s="101"/>
      <c r="JHD86" s="101"/>
      <c r="JHE86" s="101"/>
      <c r="JHF86" s="101"/>
      <c r="JHG86" s="101"/>
      <c r="JHH86" s="101"/>
      <c r="JHI86" s="101"/>
      <c r="JHJ86" s="101"/>
      <c r="JHK86" s="101"/>
      <c r="JHL86" s="101"/>
      <c r="JHM86" s="101"/>
      <c r="JHN86" s="101"/>
      <c r="JHO86" s="101"/>
      <c r="JHP86" s="101"/>
      <c r="JHQ86" s="101"/>
      <c r="JHR86" s="101"/>
      <c r="JHS86" s="101"/>
      <c r="JHT86" s="101"/>
      <c r="JHU86" s="101"/>
      <c r="JHV86" s="101"/>
      <c r="JHW86" s="101"/>
      <c r="JHX86" s="101"/>
      <c r="JHY86" s="101"/>
      <c r="JHZ86" s="101"/>
      <c r="JIA86" s="101"/>
      <c r="JIB86" s="101"/>
      <c r="JIC86" s="101"/>
      <c r="JID86" s="101"/>
      <c r="JIE86" s="101"/>
      <c r="JIF86" s="101"/>
      <c r="JIG86" s="101"/>
      <c r="JIH86" s="101"/>
      <c r="JII86" s="101"/>
      <c r="JIJ86" s="101"/>
      <c r="JIK86" s="101"/>
      <c r="JIL86" s="101"/>
      <c r="JIM86" s="101"/>
      <c r="JIN86" s="101"/>
      <c r="JIO86" s="101"/>
      <c r="JIP86" s="101"/>
      <c r="JIQ86" s="101"/>
      <c r="JIR86" s="101"/>
      <c r="JIS86" s="101"/>
      <c r="JIT86" s="101"/>
      <c r="JIU86" s="101"/>
      <c r="JIV86" s="101"/>
      <c r="JIW86" s="101"/>
      <c r="JIX86" s="101"/>
      <c r="JIY86" s="101"/>
      <c r="JIZ86" s="101"/>
      <c r="JJA86" s="101"/>
      <c r="JJB86" s="101"/>
      <c r="JJC86" s="101"/>
      <c r="JJD86" s="101"/>
      <c r="JJE86" s="101"/>
      <c r="JJF86" s="101"/>
      <c r="JJG86" s="101"/>
      <c r="JJH86" s="101"/>
      <c r="JJI86" s="101"/>
      <c r="JJJ86" s="101"/>
      <c r="JJK86" s="101"/>
      <c r="JJL86" s="101"/>
      <c r="JJM86" s="101"/>
      <c r="JJN86" s="101"/>
      <c r="JJO86" s="101"/>
      <c r="JJP86" s="101"/>
      <c r="JJQ86" s="101"/>
      <c r="JJR86" s="101"/>
      <c r="JJS86" s="101"/>
      <c r="JJT86" s="101"/>
      <c r="JJU86" s="101"/>
      <c r="JJV86" s="101"/>
      <c r="JJW86" s="101"/>
      <c r="JJX86" s="101"/>
      <c r="JJY86" s="101"/>
      <c r="JJZ86" s="101"/>
      <c r="JKA86" s="101"/>
      <c r="JKB86" s="101"/>
      <c r="JKC86" s="101"/>
      <c r="JKD86" s="101"/>
      <c r="JKE86" s="101"/>
      <c r="JKF86" s="101"/>
      <c r="JKG86" s="101"/>
      <c r="JKH86" s="101"/>
      <c r="JKI86" s="101"/>
      <c r="JKJ86" s="101"/>
      <c r="JKK86" s="101"/>
      <c r="JKL86" s="101"/>
      <c r="JKM86" s="101"/>
      <c r="JKN86" s="101"/>
      <c r="JKO86" s="101"/>
      <c r="JKP86" s="101"/>
      <c r="JKQ86" s="101"/>
      <c r="JKR86" s="101"/>
      <c r="JKS86" s="101"/>
      <c r="JKT86" s="101"/>
      <c r="JKU86" s="101"/>
      <c r="JKV86" s="101"/>
      <c r="JKW86" s="101"/>
      <c r="JKX86" s="101"/>
      <c r="JKY86" s="101"/>
      <c r="JKZ86" s="101"/>
      <c r="JLA86" s="101"/>
      <c r="JLB86" s="101"/>
      <c r="JLC86" s="101"/>
      <c r="JLD86" s="101"/>
      <c r="JLE86" s="101"/>
      <c r="JLF86" s="101"/>
      <c r="JLG86" s="101"/>
      <c r="JLH86" s="101"/>
      <c r="JLI86" s="101"/>
      <c r="JLJ86" s="101"/>
      <c r="JLK86" s="101"/>
      <c r="JLL86" s="101"/>
      <c r="JLM86" s="101"/>
      <c r="JLN86" s="101"/>
      <c r="JLO86" s="101"/>
      <c r="JLP86" s="101"/>
      <c r="JLQ86" s="101"/>
      <c r="JLR86" s="101"/>
      <c r="JLS86" s="101"/>
      <c r="JLT86" s="101"/>
      <c r="JLU86" s="101"/>
      <c r="JLV86" s="101"/>
      <c r="JLW86" s="101"/>
      <c r="JLX86" s="101"/>
      <c r="JLY86" s="101"/>
      <c r="JLZ86" s="101"/>
      <c r="JMA86" s="101"/>
      <c r="JMB86" s="101"/>
      <c r="JMC86" s="101"/>
      <c r="JMD86" s="101"/>
      <c r="JME86" s="101"/>
      <c r="JMF86" s="101"/>
      <c r="JMG86" s="101"/>
      <c r="JMH86" s="101"/>
      <c r="JMI86" s="101"/>
      <c r="JMJ86" s="101"/>
      <c r="JMK86" s="101"/>
      <c r="JML86" s="101"/>
      <c r="JMM86" s="101"/>
      <c r="JMN86" s="101"/>
      <c r="JMO86" s="101"/>
      <c r="JMP86" s="101"/>
      <c r="JMQ86" s="101"/>
      <c r="JMR86" s="101"/>
      <c r="JMS86" s="101"/>
      <c r="JMT86" s="101"/>
      <c r="JMU86" s="101"/>
      <c r="JMV86" s="101"/>
      <c r="JMW86" s="101"/>
      <c r="JMX86" s="101"/>
      <c r="JMY86" s="101"/>
      <c r="JMZ86" s="101"/>
      <c r="JNA86" s="101"/>
      <c r="JNB86" s="101"/>
      <c r="JNC86" s="101"/>
      <c r="JND86" s="101"/>
      <c r="JNE86" s="101"/>
      <c r="JNF86" s="101"/>
      <c r="JNG86" s="101"/>
      <c r="JNH86" s="101"/>
      <c r="JNI86" s="101"/>
      <c r="JNJ86" s="101"/>
      <c r="JNK86" s="101"/>
      <c r="JNL86" s="101"/>
      <c r="JNM86" s="101"/>
      <c r="JNN86" s="101"/>
      <c r="JNO86" s="101"/>
      <c r="JNP86" s="101"/>
      <c r="JNQ86" s="101"/>
      <c r="JNR86" s="101"/>
      <c r="JNS86" s="101"/>
      <c r="JNT86" s="101"/>
      <c r="JNU86" s="101"/>
      <c r="JNV86" s="101"/>
      <c r="JNW86" s="101"/>
      <c r="JNX86" s="101"/>
      <c r="JNY86" s="101"/>
      <c r="JNZ86" s="101"/>
      <c r="JOA86" s="101"/>
      <c r="JOB86" s="101"/>
      <c r="JOC86" s="101"/>
      <c r="JOD86" s="101"/>
      <c r="JOE86" s="101"/>
      <c r="JOF86" s="101"/>
      <c r="JOG86" s="101"/>
      <c r="JOH86" s="101"/>
      <c r="JOI86" s="101"/>
      <c r="JOJ86" s="101"/>
      <c r="JOK86" s="101"/>
      <c r="JOL86" s="101"/>
      <c r="JOM86" s="101"/>
      <c r="JON86" s="101"/>
      <c r="JOO86" s="101"/>
      <c r="JOP86" s="101"/>
      <c r="JOQ86" s="101"/>
      <c r="JOR86" s="101"/>
      <c r="JOS86" s="101"/>
      <c r="JOT86" s="101"/>
      <c r="JOU86" s="101"/>
      <c r="JOV86" s="101"/>
      <c r="JOW86" s="101"/>
      <c r="JOX86" s="101"/>
      <c r="JOY86" s="101"/>
      <c r="JOZ86" s="101"/>
      <c r="JPA86" s="101"/>
      <c r="JPB86" s="101"/>
      <c r="JPC86" s="101"/>
      <c r="JPD86" s="101"/>
      <c r="JPE86" s="101"/>
      <c r="JPF86" s="101"/>
      <c r="JPG86" s="101"/>
      <c r="JPH86" s="101"/>
      <c r="JPI86" s="101"/>
      <c r="JPJ86" s="101"/>
      <c r="JPK86" s="101"/>
      <c r="JPL86" s="101"/>
      <c r="JPM86" s="101"/>
      <c r="JPN86" s="101"/>
      <c r="JPO86" s="101"/>
      <c r="JPP86" s="101"/>
      <c r="JPQ86" s="101"/>
      <c r="JPR86" s="101"/>
      <c r="JPS86" s="101"/>
      <c r="JPT86" s="101"/>
      <c r="JPU86" s="101"/>
      <c r="JPV86" s="101"/>
      <c r="JPW86" s="101"/>
      <c r="JPX86" s="101"/>
      <c r="JPY86" s="101"/>
      <c r="JPZ86" s="101"/>
      <c r="JQA86" s="101"/>
      <c r="JQB86" s="101"/>
      <c r="JQC86" s="101"/>
      <c r="JQD86" s="101"/>
      <c r="JQE86" s="101"/>
      <c r="JQF86" s="101"/>
      <c r="JQG86" s="101"/>
      <c r="JQH86" s="101"/>
      <c r="JQI86" s="101"/>
      <c r="JQJ86" s="101"/>
      <c r="JQK86" s="101"/>
      <c r="JQL86" s="101"/>
      <c r="JQM86" s="101"/>
      <c r="JQN86" s="101"/>
      <c r="JQO86" s="101"/>
      <c r="JQP86" s="101"/>
      <c r="JQQ86" s="101"/>
      <c r="JQR86" s="101"/>
      <c r="JQS86" s="101"/>
      <c r="JQT86" s="101"/>
      <c r="JQU86" s="101"/>
      <c r="JQV86" s="101"/>
      <c r="JQW86" s="101"/>
      <c r="JQX86" s="101"/>
      <c r="JQY86" s="101"/>
      <c r="JQZ86" s="101"/>
      <c r="JRA86" s="101"/>
      <c r="JRB86" s="101"/>
      <c r="JRC86" s="101"/>
      <c r="JRD86" s="101"/>
      <c r="JRE86" s="101"/>
      <c r="JRF86" s="101"/>
      <c r="JRG86" s="101"/>
      <c r="JRH86" s="101"/>
      <c r="JRI86" s="101"/>
      <c r="JRJ86" s="101"/>
      <c r="JRK86" s="101"/>
      <c r="JRL86" s="101"/>
      <c r="JRM86" s="101"/>
      <c r="JRN86" s="101"/>
      <c r="JRO86" s="101"/>
      <c r="JRP86" s="101"/>
      <c r="JRQ86" s="101"/>
      <c r="JRR86" s="101"/>
      <c r="JRS86" s="101"/>
      <c r="JRT86" s="101"/>
      <c r="JRU86" s="101"/>
      <c r="JRV86" s="101"/>
      <c r="JRW86" s="101"/>
      <c r="JRX86" s="101"/>
      <c r="JRY86" s="101"/>
      <c r="JRZ86" s="101"/>
      <c r="JSA86" s="101"/>
      <c r="JSB86" s="101"/>
      <c r="JSC86" s="101"/>
      <c r="JSD86" s="101"/>
      <c r="JSE86" s="101"/>
      <c r="JSF86" s="101"/>
      <c r="JSG86" s="101"/>
      <c r="JSH86" s="101"/>
      <c r="JSI86" s="101"/>
      <c r="JSJ86" s="101"/>
      <c r="JSK86" s="101"/>
      <c r="JSL86" s="101"/>
      <c r="JSM86" s="101"/>
      <c r="JSN86" s="101"/>
      <c r="JSO86" s="101"/>
      <c r="JSP86" s="101"/>
      <c r="JSQ86" s="101"/>
      <c r="JSR86" s="101"/>
      <c r="JSS86" s="101"/>
      <c r="JST86" s="101"/>
      <c r="JSU86" s="101"/>
      <c r="JSV86" s="101"/>
      <c r="JSW86" s="101"/>
      <c r="JSX86" s="101"/>
      <c r="JSY86" s="101"/>
      <c r="JSZ86" s="101"/>
      <c r="JTA86" s="101"/>
      <c r="JTB86" s="101"/>
      <c r="JTC86" s="101"/>
      <c r="JTD86" s="101"/>
      <c r="JTE86" s="101"/>
      <c r="JTF86" s="101"/>
      <c r="JTG86" s="101"/>
      <c r="JTH86" s="101"/>
      <c r="JTI86" s="101"/>
      <c r="JTJ86" s="101"/>
      <c r="JTK86" s="101"/>
      <c r="JTL86" s="101"/>
      <c r="JTM86" s="101"/>
      <c r="JTN86" s="101"/>
      <c r="JTO86" s="101"/>
      <c r="JTP86" s="101"/>
      <c r="JTQ86" s="101"/>
      <c r="JTR86" s="101"/>
      <c r="JTS86" s="101"/>
      <c r="JTT86" s="101"/>
      <c r="JTU86" s="101"/>
      <c r="JTV86" s="101"/>
      <c r="JTW86" s="101"/>
      <c r="JTX86" s="101"/>
      <c r="JTY86" s="101"/>
      <c r="JTZ86" s="101"/>
      <c r="JUA86" s="101"/>
      <c r="JUB86" s="101"/>
      <c r="JUC86" s="101"/>
      <c r="JUD86" s="101"/>
      <c r="JUE86" s="101"/>
      <c r="JUF86" s="101"/>
      <c r="JUG86" s="101"/>
      <c r="JUH86" s="101"/>
      <c r="JUI86" s="101"/>
      <c r="JUJ86" s="101"/>
      <c r="JUK86" s="101"/>
      <c r="JUL86" s="101"/>
      <c r="JUM86" s="101"/>
      <c r="JUN86" s="101"/>
      <c r="JUO86" s="101"/>
      <c r="JUP86" s="101"/>
      <c r="JUQ86" s="101"/>
      <c r="JUR86" s="101"/>
      <c r="JUS86" s="101"/>
      <c r="JUT86" s="101"/>
      <c r="JUU86" s="101"/>
      <c r="JUV86" s="101"/>
      <c r="JUW86" s="101"/>
      <c r="JUX86" s="101"/>
      <c r="JUY86" s="101"/>
      <c r="JUZ86" s="101"/>
      <c r="JVA86" s="101"/>
      <c r="JVB86" s="101"/>
      <c r="JVC86" s="101"/>
      <c r="JVD86" s="101"/>
      <c r="JVE86" s="101"/>
      <c r="JVF86" s="101"/>
      <c r="JVG86" s="101"/>
      <c r="JVH86" s="101"/>
      <c r="JVI86" s="101"/>
      <c r="JVJ86" s="101"/>
      <c r="JVK86" s="101"/>
      <c r="JVL86" s="101"/>
      <c r="JVM86" s="101"/>
      <c r="JVN86" s="101"/>
      <c r="JVO86" s="101"/>
      <c r="JVP86" s="101"/>
      <c r="JVQ86" s="101"/>
      <c r="JVR86" s="101"/>
      <c r="JVS86" s="101"/>
      <c r="JVT86" s="101"/>
      <c r="JVU86" s="101"/>
      <c r="JVV86" s="101"/>
      <c r="JVW86" s="101"/>
      <c r="JVX86" s="101"/>
      <c r="JVY86" s="101"/>
      <c r="JVZ86" s="101"/>
      <c r="JWA86" s="101"/>
      <c r="JWB86" s="101"/>
      <c r="JWC86" s="101"/>
      <c r="JWD86" s="101"/>
      <c r="JWE86" s="101"/>
      <c r="JWF86" s="101"/>
      <c r="JWG86" s="101"/>
      <c r="JWH86" s="101"/>
      <c r="JWI86" s="101"/>
      <c r="JWJ86" s="101"/>
      <c r="JWK86" s="101"/>
      <c r="JWL86" s="101"/>
      <c r="JWM86" s="101"/>
      <c r="JWN86" s="101"/>
      <c r="JWO86" s="101"/>
      <c r="JWP86" s="101"/>
      <c r="JWQ86" s="101"/>
      <c r="JWR86" s="101"/>
      <c r="JWS86" s="101"/>
      <c r="JWT86" s="101"/>
      <c r="JWU86" s="101"/>
      <c r="JWV86" s="101"/>
      <c r="JWW86" s="101"/>
      <c r="JWX86" s="101"/>
      <c r="JWY86" s="101"/>
      <c r="JWZ86" s="101"/>
      <c r="JXA86" s="101"/>
      <c r="JXB86" s="101"/>
      <c r="JXC86" s="101"/>
      <c r="JXD86" s="101"/>
      <c r="JXE86" s="101"/>
      <c r="JXF86" s="101"/>
      <c r="JXG86" s="101"/>
      <c r="JXH86" s="101"/>
      <c r="JXI86" s="101"/>
      <c r="JXJ86" s="101"/>
      <c r="JXK86" s="101"/>
      <c r="JXL86" s="101"/>
      <c r="JXM86" s="101"/>
      <c r="JXN86" s="101"/>
      <c r="JXO86" s="101"/>
      <c r="JXP86" s="101"/>
      <c r="JXQ86" s="101"/>
      <c r="JXR86" s="101"/>
      <c r="JXS86" s="101"/>
      <c r="JXT86" s="101"/>
      <c r="JXU86" s="101"/>
      <c r="JXV86" s="101"/>
      <c r="JXW86" s="101"/>
      <c r="JXX86" s="101"/>
      <c r="JXY86" s="101"/>
      <c r="JXZ86" s="101"/>
      <c r="JYA86" s="101"/>
      <c r="JYB86" s="101"/>
      <c r="JYC86" s="101"/>
      <c r="JYD86" s="101"/>
      <c r="JYE86" s="101"/>
      <c r="JYF86" s="101"/>
      <c r="JYG86" s="101"/>
      <c r="JYH86" s="101"/>
      <c r="JYI86" s="101"/>
      <c r="JYJ86" s="101"/>
      <c r="JYK86" s="101"/>
      <c r="JYL86" s="101"/>
      <c r="JYM86" s="101"/>
      <c r="JYN86" s="101"/>
      <c r="JYO86" s="101"/>
      <c r="JYP86" s="101"/>
      <c r="JYQ86" s="101"/>
      <c r="JYR86" s="101"/>
      <c r="JYS86" s="101"/>
      <c r="JYT86" s="101"/>
      <c r="JYU86" s="101"/>
      <c r="JYV86" s="101"/>
      <c r="JYW86" s="101"/>
      <c r="JYX86" s="101"/>
      <c r="JYY86" s="101"/>
      <c r="JYZ86" s="101"/>
      <c r="JZA86" s="101"/>
      <c r="JZB86" s="101"/>
      <c r="JZC86" s="101"/>
      <c r="JZD86" s="101"/>
      <c r="JZE86" s="101"/>
      <c r="JZF86" s="101"/>
      <c r="JZG86" s="101"/>
      <c r="JZH86" s="101"/>
      <c r="JZI86" s="101"/>
      <c r="JZJ86" s="101"/>
      <c r="JZK86" s="101"/>
      <c r="JZL86" s="101"/>
      <c r="JZM86" s="101"/>
      <c r="JZN86" s="101"/>
      <c r="JZO86" s="101"/>
      <c r="JZP86" s="101"/>
      <c r="JZQ86" s="101"/>
      <c r="JZR86" s="101"/>
      <c r="JZS86" s="101"/>
      <c r="JZT86" s="101"/>
      <c r="JZU86" s="101"/>
      <c r="JZV86" s="101"/>
      <c r="JZW86" s="101"/>
      <c r="JZX86" s="101"/>
      <c r="JZY86" s="101"/>
      <c r="JZZ86" s="101"/>
      <c r="KAA86" s="101"/>
      <c r="KAB86" s="101"/>
      <c r="KAC86" s="101"/>
      <c r="KAD86" s="101"/>
      <c r="KAE86" s="101"/>
      <c r="KAF86" s="101"/>
      <c r="KAG86" s="101"/>
      <c r="KAH86" s="101"/>
      <c r="KAI86" s="101"/>
      <c r="KAJ86" s="101"/>
      <c r="KAK86" s="101"/>
      <c r="KAL86" s="101"/>
      <c r="KAM86" s="101"/>
      <c r="KAN86" s="101"/>
      <c r="KAO86" s="101"/>
      <c r="KAP86" s="101"/>
      <c r="KAQ86" s="101"/>
      <c r="KAR86" s="101"/>
      <c r="KAS86" s="101"/>
      <c r="KAT86" s="101"/>
      <c r="KAU86" s="101"/>
      <c r="KAV86" s="101"/>
      <c r="KAW86" s="101"/>
      <c r="KAX86" s="101"/>
      <c r="KAY86" s="101"/>
      <c r="KAZ86" s="101"/>
      <c r="KBA86" s="101"/>
      <c r="KBB86" s="101"/>
      <c r="KBC86" s="101"/>
      <c r="KBD86" s="101"/>
      <c r="KBE86" s="101"/>
      <c r="KBF86" s="101"/>
      <c r="KBG86" s="101"/>
      <c r="KBH86" s="101"/>
      <c r="KBI86" s="101"/>
      <c r="KBJ86" s="101"/>
      <c r="KBK86" s="101"/>
      <c r="KBL86" s="101"/>
      <c r="KBM86" s="101"/>
      <c r="KBN86" s="101"/>
      <c r="KBO86" s="101"/>
      <c r="KBP86" s="101"/>
      <c r="KBQ86" s="101"/>
      <c r="KBR86" s="101"/>
      <c r="KBS86" s="101"/>
      <c r="KBT86" s="101"/>
      <c r="KBU86" s="101"/>
      <c r="KBV86" s="101"/>
      <c r="KBW86" s="101"/>
      <c r="KBX86" s="101"/>
      <c r="KBY86" s="101"/>
      <c r="KBZ86" s="101"/>
      <c r="KCA86" s="101"/>
      <c r="KCB86" s="101"/>
      <c r="KCC86" s="101"/>
      <c r="KCD86" s="101"/>
      <c r="KCE86" s="101"/>
      <c r="KCF86" s="101"/>
      <c r="KCG86" s="101"/>
      <c r="KCH86" s="101"/>
      <c r="KCI86" s="101"/>
      <c r="KCJ86" s="101"/>
      <c r="KCK86" s="101"/>
      <c r="KCL86" s="101"/>
      <c r="KCM86" s="101"/>
      <c r="KCN86" s="101"/>
      <c r="KCO86" s="101"/>
      <c r="KCP86" s="101"/>
      <c r="KCQ86" s="101"/>
      <c r="KCR86" s="101"/>
      <c r="KCS86" s="101"/>
      <c r="KCT86" s="101"/>
      <c r="KCU86" s="101"/>
      <c r="KCV86" s="101"/>
      <c r="KCW86" s="101"/>
      <c r="KCX86" s="101"/>
      <c r="KCY86" s="101"/>
      <c r="KCZ86" s="101"/>
      <c r="KDA86" s="101"/>
      <c r="KDB86" s="101"/>
      <c r="KDC86" s="101"/>
      <c r="KDD86" s="101"/>
      <c r="KDE86" s="101"/>
      <c r="KDF86" s="101"/>
      <c r="KDG86" s="101"/>
      <c r="KDH86" s="101"/>
      <c r="KDI86" s="101"/>
      <c r="KDJ86" s="101"/>
      <c r="KDK86" s="101"/>
      <c r="KDL86" s="101"/>
      <c r="KDM86" s="101"/>
      <c r="KDN86" s="101"/>
      <c r="KDO86" s="101"/>
      <c r="KDP86" s="101"/>
      <c r="KDQ86" s="101"/>
      <c r="KDR86" s="101"/>
      <c r="KDS86" s="101"/>
      <c r="KDT86" s="101"/>
      <c r="KDU86" s="101"/>
      <c r="KDV86" s="101"/>
      <c r="KDW86" s="101"/>
      <c r="KDX86" s="101"/>
      <c r="KDY86" s="101"/>
      <c r="KDZ86" s="101"/>
      <c r="KEA86" s="101"/>
      <c r="KEB86" s="101"/>
      <c r="KEC86" s="101"/>
      <c r="KED86" s="101"/>
      <c r="KEE86" s="101"/>
      <c r="KEF86" s="101"/>
      <c r="KEG86" s="101"/>
      <c r="KEH86" s="101"/>
      <c r="KEI86" s="101"/>
      <c r="KEJ86" s="101"/>
      <c r="KEK86" s="101"/>
      <c r="KEL86" s="101"/>
      <c r="KEM86" s="101"/>
      <c r="KEN86" s="101"/>
      <c r="KEO86" s="101"/>
      <c r="KEP86" s="101"/>
      <c r="KEQ86" s="101"/>
      <c r="KER86" s="101"/>
      <c r="KES86" s="101"/>
      <c r="KET86" s="101"/>
      <c r="KEU86" s="101"/>
      <c r="KEV86" s="101"/>
      <c r="KEW86" s="101"/>
      <c r="KEX86" s="101"/>
      <c r="KEY86" s="101"/>
      <c r="KEZ86" s="101"/>
      <c r="KFA86" s="101"/>
      <c r="KFB86" s="101"/>
      <c r="KFC86" s="101"/>
      <c r="KFD86" s="101"/>
      <c r="KFE86" s="101"/>
      <c r="KFF86" s="101"/>
      <c r="KFG86" s="101"/>
      <c r="KFH86" s="101"/>
      <c r="KFI86" s="101"/>
      <c r="KFJ86" s="101"/>
      <c r="KFK86" s="101"/>
      <c r="KFL86" s="101"/>
      <c r="KFM86" s="101"/>
      <c r="KFN86" s="101"/>
      <c r="KFO86" s="101"/>
      <c r="KFP86" s="101"/>
      <c r="KFQ86" s="101"/>
      <c r="KFR86" s="101"/>
      <c r="KFS86" s="101"/>
      <c r="KFT86" s="101"/>
      <c r="KFU86" s="101"/>
      <c r="KFV86" s="101"/>
      <c r="KFW86" s="101"/>
      <c r="KFX86" s="101"/>
      <c r="KFY86" s="101"/>
      <c r="KFZ86" s="101"/>
      <c r="KGA86" s="101"/>
      <c r="KGB86" s="101"/>
      <c r="KGC86" s="101"/>
      <c r="KGD86" s="101"/>
      <c r="KGE86" s="101"/>
      <c r="KGF86" s="101"/>
      <c r="KGG86" s="101"/>
      <c r="KGH86" s="101"/>
      <c r="KGI86" s="101"/>
      <c r="KGJ86" s="101"/>
      <c r="KGK86" s="101"/>
      <c r="KGL86" s="101"/>
      <c r="KGM86" s="101"/>
      <c r="KGN86" s="101"/>
      <c r="KGO86" s="101"/>
      <c r="KGP86" s="101"/>
      <c r="KGQ86" s="101"/>
      <c r="KGR86" s="101"/>
      <c r="KGS86" s="101"/>
      <c r="KGT86" s="101"/>
      <c r="KGU86" s="101"/>
      <c r="KGV86" s="101"/>
      <c r="KGW86" s="101"/>
      <c r="KGX86" s="101"/>
      <c r="KGY86" s="101"/>
      <c r="KGZ86" s="101"/>
      <c r="KHA86" s="101"/>
      <c r="KHB86" s="101"/>
      <c r="KHC86" s="101"/>
      <c r="KHD86" s="101"/>
      <c r="KHE86" s="101"/>
      <c r="KHF86" s="101"/>
      <c r="KHG86" s="101"/>
      <c r="KHH86" s="101"/>
      <c r="KHI86" s="101"/>
      <c r="KHJ86" s="101"/>
      <c r="KHK86" s="101"/>
      <c r="KHL86" s="101"/>
      <c r="KHM86" s="101"/>
      <c r="KHN86" s="101"/>
      <c r="KHO86" s="101"/>
      <c r="KHP86" s="101"/>
      <c r="KHQ86" s="101"/>
      <c r="KHR86" s="101"/>
      <c r="KHS86" s="101"/>
      <c r="KHT86" s="101"/>
      <c r="KHU86" s="101"/>
      <c r="KHV86" s="101"/>
      <c r="KHW86" s="101"/>
      <c r="KHX86" s="101"/>
      <c r="KHY86" s="101"/>
      <c r="KHZ86" s="101"/>
      <c r="KIA86" s="101"/>
      <c r="KIB86" s="101"/>
      <c r="KIC86" s="101"/>
      <c r="KID86" s="101"/>
      <c r="KIE86" s="101"/>
      <c r="KIF86" s="101"/>
      <c r="KIG86" s="101"/>
      <c r="KIH86" s="101"/>
      <c r="KII86" s="101"/>
      <c r="KIJ86" s="101"/>
      <c r="KIK86" s="101"/>
      <c r="KIL86" s="101"/>
      <c r="KIM86" s="101"/>
      <c r="KIN86" s="101"/>
      <c r="KIO86" s="101"/>
      <c r="KIP86" s="101"/>
      <c r="KIQ86" s="101"/>
      <c r="KIR86" s="101"/>
      <c r="KIS86" s="101"/>
      <c r="KIT86" s="101"/>
      <c r="KIU86" s="101"/>
      <c r="KIV86" s="101"/>
      <c r="KIW86" s="101"/>
      <c r="KIX86" s="101"/>
      <c r="KIY86" s="101"/>
      <c r="KIZ86" s="101"/>
      <c r="KJA86" s="101"/>
      <c r="KJB86" s="101"/>
      <c r="KJC86" s="101"/>
      <c r="KJD86" s="101"/>
      <c r="KJE86" s="101"/>
      <c r="KJF86" s="101"/>
      <c r="KJG86" s="101"/>
      <c r="KJH86" s="101"/>
      <c r="KJI86" s="101"/>
      <c r="KJJ86" s="101"/>
      <c r="KJK86" s="101"/>
      <c r="KJL86" s="101"/>
      <c r="KJM86" s="101"/>
      <c r="KJN86" s="101"/>
      <c r="KJO86" s="101"/>
      <c r="KJP86" s="101"/>
      <c r="KJQ86" s="101"/>
      <c r="KJR86" s="101"/>
      <c r="KJS86" s="101"/>
      <c r="KJT86" s="101"/>
      <c r="KJU86" s="101"/>
      <c r="KJV86" s="101"/>
      <c r="KJW86" s="101"/>
      <c r="KJX86" s="101"/>
      <c r="KJY86" s="101"/>
      <c r="KJZ86" s="101"/>
      <c r="KKA86" s="101"/>
      <c r="KKB86" s="101"/>
      <c r="KKC86" s="101"/>
      <c r="KKD86" s="101"/>
      <c r="KKE86" s="101"/>
      <c r="KKF86" s="101"/>
      <c r="KKG86" s="101"/>
      <c r="KKH86" s="101"/>
      <c r="KKI86" s="101"/>
      <c r="KKJ86" s="101"/>
      <c r="KKK86" s="101"/>
      <c r="KKL86" s="101"/>
      <c r="KKM86" s="101"/>
      <c r="KKN86" s="101"/>
      <c r="KKO86" s="101"/>
      <c r="KKP86" s="101"/>
      <c r="KKQ86" s="101"/>
      <c r="KKR86" s="101"/>
      <c r="KKS86" s="101"/>
      <c r="KKT86" s="101"/>
      <c r="KKU86" s="101"/>
      <c r="KKV86" s="101"/>
      <c r="KKW86" s="101"/>
      <c r="KKX86" s="101"/>
      <c r="KKY86" s="101"/>
      <c r="KKZ86" s="101"/>
      <c r="KLA86" s="101"/>
      <c r="KLB86" s="101"/>
      <c r="KLC86" s="101"/>
      <c r="KLD86" s="101"/>
      <c r="KLE86" s="101"/>
      <c r="KLF86" s="101"/>
      <c r="KLG86" s="101"/>
      <c r="KLH86" s="101"/>
      <c r="KLI86" s="101"/>
      <c r="KLJ86" s="101"/>
      <c r="KLK86" s="101"/>
      <c r="KLL86" s="101"/>
      <c r="KLM86" s="101"/>
      <c r="KLN86" s="101"/>
      <c r="KLO86" s="101"/>
      <c r="KLP86" s="101"/>
      <c r="KLQ86" s="101"/>
      <c r="KLR86" s="101"/>
      <c r="KLS86" s="101"/>
      <c r="KLT86" s="101"/>
      <c r="KLU86" s="101"/>
      <c r="KLV86" s="101"/>
      <c r="KLW86" s="101"/>
      <c r="KLX86" s="101"/>
      <c r="KLY86" s="101"/>
      <c r="KLZ86" s="101"/>
      <c r="KMA86" s="101"/>
      <c r="KMB86" s="101"/>
      <c r="KMC86" s="101"/>
      <c r="KMD86" s="101"/>
      <c r="KME86" s="101"/>
      <c r="KMF86" s="101"/>
      <c r="KMG86" s="101"/>
      <c r="KMH86" s="101"/>
      <c r="KMI86" s="101"/>
      <c r="KMJ86" s="101"/>
      <c r="KMK86" s="101"/>
      <c r="KML86" s="101"/>
      <c r="KMM86" s="101"/>
      <c r="KMN86" s="101"/>
      <c r="KMO86" s="101"/>
      <c r="KMP86" s="101"/>
      <c r="KMQ86" s="101"/>
      <c r="KMR86" s="101"/>
      <c r="KMS86" s="101"/>
      <c r="KMT86" s="101"/>
      <c r="KMU86" s="101"/>
      <c r="KMV86" s="101"/>
      <c r="KMW86" s="101"/>
      <c r="KMX86" s="101"/>
      <c r="KMY86" s="101"/>
      <c r="KMZ86" s="101"/>
      <c r="KNA86" s="101"/>
      <c r="KNB86" s="101"/>
      <c r="KNC86" s="101"/>
      <c r="KND86" s="101"/>
      <c r="KNE86" s="101"/>
      <c r="KNF86" s="101"/>
      <c r="KNG86" s="101"/>
      <c r="KNH86" s="101"/>
      <c r="KNI86" s="101"/>
      <c r="KNJ86" s="101"/>
      <c r="KNK86" s="101"/>
      <c r="KNL86" s="101"/>
      <c r="KNM86" s="101"/>
      <c r="KNN86" s="101"/>
      <c r="KNO86" s="101"/>
      <c r="KNP86" s="101"/>
      <c r="KNQ86" s="101"/>
      <c r="KNR86" s="101"/>
      <c r="KNS86" s="101"/>
      <c r="KNT86" s="101"/>
      <c r="KNU86" s="101"/>
      <c r="KNV86" s="101"/>
      <c r="KNW86" s="101"/>
      <c r="KNX86" s="101"/>
      <c r="KNY86" s="101"/>
      <c r="KNZ86" s="101"/>
      <c r="KOA86" s="101"/>
      <c r="KOB86" s="101"/>
      <c r="KOC86" s="101"/>
      <c r="KOD86" s="101"/>
      <c r="KOE86" s="101"/>
      <c r="KOF86" s="101"/>
      <c r="KOG86" s="101"/>
      <c r="KOH86" s="101"/>
      <c r="KOI86" s="101"/>
      <c r="KOJ86" s="101"/>
      <c r="KOK86" s="101"/>
      <c r="KOL86" s="101"/>
      <c r="KOM86" s="101"/>
      <c r="KON86" s="101"/>
      <c r="KOO86" s="101"/>
      <c r="KOP86" s="101"/>
      <c r="KOQ86" s="101"/>
      <c r="KOR86" s="101"/>
      <c r="KOS86" s="101"/>
      <c r="KOT86" s="101"/>
      <c r="KOU86" s="101"/>
      <c r="KOV86" s="101"/>
      <c r="KOW86" s="101"/>
      <c r="KOX86" s="101"/>
      <c r="KOY86" s="101"/>
      <c r="KOZ86" s="101"/>
      <c r="KPA86" s="101"/>
      <c r="KPB86" s="101"/>
      <c r="KPC86" s="101"/>
      <c r="KPD86" s="101"/>
      <c r="KPE86" s="101"/>
      <c r="KPF86" s="101"/>
      <c r="KPG86" s="101"/>
      <c r="KPH86" s="101"/>
      <c r="KPI86" s="101"/>
      <c r="KPJ86" s="101"/>
      <c r="KPK86" s="101"/>
      <c r="KPL86" s="101"/>
      <c r="KPM86" s="101"/>
      <c r="KPN86" s="101"/>
      <c r="KPO86" s="101"/>
      <c r="KPP86" s="101"/>
      <c r="KPQ86" s="101"/>
      <c r="KPR86" s="101"/>
      <c r="KPS86" s="101"/>
      <c r="KPT86" s="101"/>
      <c r="KPU86" s="101"/>
      <c r="KPV86" s="101"/>
      <c r="KPW86" s="101"/>
      <c r="KPX86" s="101"/>
      <c r="KPY86" s="101"/>
      <c r="KPZ86" s="101"/>
      <c r="KQA86" s="101"/>
      <c r="KQB86" s="101"/>
      <c r="KQC86" s="101"/>
      <c r="KQD86" s="101"/>
      <c r="KQE86" s="101"/>
      <c r="KQF86" s="101"/>
      <c r="KQG86" s="101"/>
      <c r="KQH86" s="101"/>
      <c r="KQI86" s="101"/>
      <c r="KQJ86" s="101"/>
      <c r="KQK86" s="101"/>
      <c r="KQL86" s="101"/>
      <c r="KQM86" s="101"/>
      <c r="KQN86" s="101"/>
      <c r="KQO86" s="101"/>
      <c r="KQP86" s="101"/>
      <c r="KQQ86" s="101"/>
      <c r="KQR86" s="101"/>
      <c r="KQS86" s="101"/>
      <c r="KQT86" s="101"/>
      <c r="KQU86" s="101"/>
      <c r="KQV86" s="101"/>
      <c r="KQW86" s="101"/>
      <c r="KQX86" s="101"/>
      <c r="KQY86" s="101"/>
      <c r="KQZ86" s="101"/>
      <c r="KRA86" s="101"/>
      <c r="KRB86" s="101"/>
      <c r="KRC86" s="101"/>
      <c r="KRD86" s="101"/>
      <c r="KRE86" s="101"/>
      <c r="KRF86" s="101"/>
      <c r="KRG86" s="101"/>
      <c r="KRH86" s="101"/>
      <c r="KRI86" s="101"/>
      <c r="KRJ86" s="101"/>
      <c r="KRK86" s="101"/>
      <c r="KRL86" s="101"/>
      <c r="KRM86" s="101"/>
      <c r="KRN86" s="101"/>
      <c r="KRO86" s="101"/>
      <c r="KRP86" s="101"/>
      <c r="KRQ86" s="101"/>
      <c r="KRR86" s="101"/>
      <c r="KRS86" s="101"/>
      <c r="KRT86" s="101"/>
      <c r="KRU86" s="101"/>
      <c r="KRV86" s="101"/>
      <c r="KRW86" s="101"/>
      <c r="KRX86" s="101"/>
      <c r="KRY86" s="101"/>
      <c r="KRZ86" s="101"/>
      <c r="KSA86" s="101"/>
      <c r="KSB86" s="101"/>
      <c r="KSC86" s="101"/>
      <c r="KSD86" s="101"/>
      <c r="KSE86" s="101"/>
      <c r="KSF86" s="101"/>
      <c r="KSG86" s="101"/>
      <c r="KSH86" s="101"/>
      <c r="KSI86" s="101"/>
      <c r="KSJ86" s="101"/>
      <c r="KSK86" s="101"/>
      <c r="KSL86" s="101"/>
      <c r="KSM86" s="101"/>
      <c r="KSN86" s="101"/>
      <c r="KSO86" s="101"/>
      <c r="KSP86" s="101"/>
      <c r="KSQ86" s="101"/>
      <c r="KSR86" s="101"/>
      <c r="KSS86" s="101"/>
      <c r="KST86" s="101"/>
      <c r="KSU86" s="101"/>
      <c r="KSV86" s="101"/>
      <c r="KSW86" s="101"/>
      <c r="KSX86" s="101"/>
      <c r="KSY86" s="101"/>
      <c r="KSZ86" s="101"/>
      <c r="KTA86" s="101"/>
      <c r="KTB86" s="101"/>
      <c r="KTC86" s="101"/>
      <c r="KTD86" s="101"/>
      <c r="KTE86" s="101"/>
      <c r="KTF86" s="101"/>
      <c r="KTG86" s="101"/>
      <c r="KTH86" s="101"/>
      <c r="KTI86" s="101"/>
      <c r="KTJ86" s="101"/>
      <c r="KTK86" s="101"/>
      <c r="KTL86" s="101"/>
      <c r="KTM86" s="101"/>
      <c r="KTN86" s="101"/>
      <c r="KTO86" s="101"/>
      <c r="KTP86" s="101"/>
      <c r="KTQ86" s="101"/>
      <c r="KTR86" s="101"/>
      <c r="KTS86" s="101"/>
      <c r="KTT86" s="101"/>
      <c r="KTU86" s="101"/>
      <c r="KTV86" s="101"/>
      <c r="KTW86" s="101"/>
      <c r="KTX86" s="101"/>
      <c r="KTY86" s="101"/>
      <c r="KTZ86" s="101"/>
      <c r="KUA86" s="101"/>
      <c r="KUB86" s="101"/>
      <c r="KUC86" s="101"/>
      <c r="KUD86" s="101"/>
      <c r="KUE86" s="101"/>
      <c r="KUF86" s="101"/>
      <c r="KUG86" s="101"/>
      <c r="KUH86" s="101"/>
      <c r="KUI86" s="101"/>
      <c r="KUJ86" s="101"/>
      <c r="KUK86" s="101"/>
      <c r="KUL86" s="101"/>
      <c r="KUM86" s="101"/>
      <c r="KUN86" s="101"/>
      <c r="KUO86" s="101"/>
      <c r="KUP86" s="101"/>
      <c r="KUQ86" s="101"/>
      <c r="KUR86" s="101"/>
      <c r="KUS86" s="101"/>
      <c r="KUT86" s="101"/>
      <c r="KUU86" s="101"/>
      <c r="KUV86" s="101"/>
      <c r="KUW86" s="101"/>
      <c r="KUX86" s="101"/>
      <c r="KUY86" s="101"/>
      <c r="KUZ86" s="101"/>
      <c r="KVA86" s="101"/>
      <c r="KVB86" s="101"/>
      <c r="KVC86" s="101"/>
      <c r="KVD86" s="101"/>
      <c r="KVE86" s="101"/>
      <c r="KVF86" s="101"/>
      <c r="KVG86" s="101"/>
      <c r="KVH86" s="101"/>
      <c r="KVI86" s="101"/>
      <c r="KVJ86" s="101"/>
      <c r="KVK86" s="101"/>
      <c r="KVL86" s="101"/>
      <c r="KVM86" s="101"/>
      <c r="KVN86" s="101"/>
      <c r="KVO86" s="101"/>
      <c r="KVP86" s="101"/>
      <c r="KVQ86" s="101"/>
      <c r="KVR86" s="101"/>
      <c r="KVS86" s="101"/>
      <c r="KVT86" s="101"/>
      <c r="KVU86" s="101"/>
      <c r="KVV86" s="101"/>
      <c r="KVW86" s="101"/>
      <c r="KVX86" s="101"/>
      <c r="KVY86" s="101"/>
      <c r="KVZ86" s="101"/>
      <c r="KWA86" s="101"/>
      <c r="KWB86" s="101"/>
      <c r="KWC86" s="101"/>
      <c r="KWD86" s="101"/>
      <c r="KWE86" s="101"/>
      <c r="KWF86" s="101"/>
      <c r="KWG86" s="101"/>
      <c r="KWH86" s="101"/>
      <c r="KWI86" s="101"/>
      <c r="KWJ86" s="101"/>
      <c r="KWK86" s="101"/>
      <c r="KWL86" s="101"/>
      <c r="KWM86" s="101"/>
      <c r="KWN86" s="101"/>
      <c r="KWO86" s="101"/>
      <c r="KWP86" s="101"/>
      <c r="KWQ86" s="101"/>
      <c r="KWR86" s="101"/>
      <c r="KWS86" s="101"/>
      <c r="KWT86" s="101"/>
      <c r="KWU86" s="101"/>
      <c r="KWV86" s="101"/>
      <c r="KWW86" s="101"/>
      <c r="KWX86" s="101"/>
      <c r="KWY86" s="101"/>
      <c r="KWZ86" s="101"/>
      <c r="KXA86" s="101"/>
      <c r="KXB86" s="101"/>
      <c r="KXC86" s="101"/>
      <c r="KXD86" s="101"/>
      <c r="KXE86" s="101"/>
      <c r="KXF86" s="101"/>
      <c r="KXG86" s="101"/>
      <c r="KXH86" s="101"/>
      <c r="KXI86" s="101"/>
      <c r="KXJ86" s="101"/>
      <c r="KXK86" s="101"/>
      <c r="KXL86" s="101"/>
      <c r="KXM86" s="101"/>
      <c r="KXN86" s="101"/>
      <c r="KXO86" s="101"/>
      <c r="KXP86" s="101"/>
      <c r="KXQ86" s="101"/>
      <c r="KXR86" s="101"/>
      <c r="KXS86" s="101"/>
      <c r="KXT86" s="101"/>
      <c r="KXU86" s="101"/>
      <c r="KXV86" s="101"/>
      <c r="KXW86" s="101"/>
      <c r="KXX86" s="101"/>
      <c r="KXY86" s="101"/>
      <c r="KXZ86" s="101"/>
      <c r="KYA86" s="101"/>
      <c r="KYB86" s="101"/>
      <c r="KYC86" s="101"/>
      <c r="KYD86" s="101"/>
      <c r="KYE86" s="101"/>
      <c r="KYF86" s="101"/>
      <c r="KYG86" s="101"/>
      <c r="KYH86" s="101"/>
      <c r="KYI86" s="101"/>
      <c r="KYJ86" s="101"/>
      <c r="KYK86" s="101"/>
      <c r="KYL86" s="101"/>
      <c r="KYM86" s="101"/>
      <c r="KYN86" s="101"/>
      <c r="KYO86" s="101"/>
      <c r="KYP86" s="101"/>
      <c r="KYQ86" s="101"/>
      <c r="KYR86" s="101"/>
      <c r="KYS86" s="101"/>
      <c r="KYT86" s="101"/>
      <c r="KYU86" s="101"/>
      <c r="KYV86" s="101"/>
      <c r="KYW86" s="101"/>
      <c r="KYX86" s="101"/>
      <c r="KYY86" s="101"/>
      <c r="KYZ86" s="101"/>
      <c r="KZA86" s="101"/>
      <c r="KZB86" s="101"/>
      <c r="KZC86" s="101"/>
      <c r="KZD86" s="101"/>
      <c r="KZE86" s="101"/>
      <c r="KZF86" s="101"/>
      <c r="KZG86" s="101"/>
      <c r="KZH86" s="101"/>
      <c r="KZI86" s="101"/>
      <c r="KZJ86" s="101"/>
      <c r="KZK86" s="101"/>
      <c r="KZL86" s="101"/>
      <c r="KZM86" s="101"/>
      <c r="KZN86" s="101"/>
      <c r="KZO86" s="101"/>
      <c r="KZP86" s="101"/>
      <c r="KZQ86" s="101"/>
      <c r="KZR86" s="101"/>
      <c r="KZS86" s="101"/>
      <c r="KZT86" s="101"/>
      <c r="KZU86" s="101"/>
      <c r="KZV86" s="101"/>
      <c r="KZW86" s="101"/>
      <c r="KZX86" s="101"/>
      <c r="KZY86" s="101"/>
      <c r="KZZ86" s="101"/>
      <c r="LAA86" s="101"/>
      <c r="LAB86" s="101"/>
      <c r="LAC86" s="101"/>
      <c r="LAD86" s="101"/>
      <c r="LAE86" s="101"/>
      <c r="LAF86" s="101"/>
      <c r="LAG86" s="101"/>
      <c r="LAH86" s="101"/>
      <c r="LAI86" s="101"/>
      <c r="LAJ86" s="101"/>
      <c r="LAK86" s="101"/>
      <c r="LAL86" s="101"/>
      <c r="LAM86" s="101"/>
      <c r="LAN86" s="101"/>
      <c r="LAO86" s="101"/>
      <c r="LAP86" s="101"/>
      <c r="LAQ86" s="101"/>
      <c r="LAR86" s="101"/>
      <c r="LAS86" s="101"/>
      <c r="LAT86" s="101"/>
      <c r="LAU86" s="101"/>
      <c r="LAV86" s="101"/>
      <c r="LAW86" s="101"/>
      <c r="LAX86" s="101"/>
      <c r="LAY86" s="101"/>
      <c r="LAZ86" s="101"/>
      <c r="LBA86" s="101"/>
      <c r="LBB86" s="101"/>
      <c r="LBC86" s="101"/>
      <c r="LBD86" s="101"/>
      <c r="LBE86" s="101"/>
      <c r="LBF86" s="101"/>
      <c r="LBG86" s="101"/>
      <c r="LBH86" s="101"/>
      <c r="LBI86" s="101"/>
      <c r="LBJ86" s="101"/>
      <c r="LBK86" s="101"/>
      <c r="LBL86" s="101"/>
      <c r="LBM86" s="101"/>
      <c r="LBN86" s="101"/>
      <c r="LBO86" s="101"/>
      <c r="LBP86" s="101"/>
      <c r="LBQ86" s="101"/>
      <c r="LBR86" s="101"/>
      <c r="LBS86" s="101"/>
      <c r="LBT86" s="101"/>
      <c r="LBU86" s="101"/>
      <c r="LBV86" s="101"/>
      <c r="LBW86" s="101"/>
      <c r="LBX86" s="101"/>
      <c r="LBY86" s="101"/>
      <c r="LBZ86" s="101"/>
      <c r="LCA86" s="101"/>
      <c r="LCB86" s="101"/>
      <c r="LCC86" s="101"/>
      <c r="LCD86" s="101"/>
      <c r="LCE86" s="101"/>
      <c r="LCF86" s="101"/>
      <c r="LCG86" s="101"/>
      <c r="LCH86" s="101"/>
      <c r="LCI86" s="101"/>
      <c r="LCJ86" s="101"/>
      <c r="LCK86" s="101"/>
      <c r="LCL86" s="101"/>
      <c r="LCM86" s="101"/>
      <c r="LCN86" s="101"/>
      <c r="LCO86" s="101"/>
      <c r="LCP86" s="101"/>
      <c r="LCQ86" s="101"/>
      <c r="LCR86" s="101"/>
      <c r="LCS86" s="101"/>
      <c r="LCT86" s="101"/>
      <c r="LCU86" s="101"/>
      <c r="LCV86" s="101"/>
      <c r="LCW86" s="101"/>
      <c r="LCX86" s="101"/>
      <c r="LCY86" s="101"/>
      <c r="LCZ86" s="101"/>
      <c r="LDA86" s="101"/>
      <c r="LDB86" s="101"/>
      <c r="LDC86" s="101"/>
      <c r="LDD86" s="101"/>
      <c r="LDE86" s="101"/>
      <c r="LDF86" s="101"/>
      <c r="LDG86" s="101"/>
      <c r="LDH86" s="101"/>
      <c r="LDI86" s="101"/>
      <c r="LDJ86" s="101"/>
      <c r="LDK86" s="101"/>
      <c r="LDL86" s="101"/>
      <c r="LDM86" s="101"/>
      <c r="LDN86" s="101"/>
      <c r="LDO86" s="101"/>
      <c r="LDP86" s="101"/>
      <c r="LDQ86" s="101"/>
      <c r="LDR86" s="101"/>
      <c r="LDS86" s="101"/>
      <c r="LDT86" s="101"/>
      <c r="LDU86" s="101"/>
      <c r="LDV86" s="101"/>
      <c r="LDW86" s="101"/>
      <c r="LDX86" s="101"/>
      <c r="LDY86" s="101"/>
      <c r="LDZ86" s="101"/>
      <c r="LEA86" s="101"/>
      <c r="LEB86" s="101"/>
      <c r="LEC86" s="101"/>
      <c r="LED86" s="101"/>
      <c r="LEE86" s="101"/>
      <c r="LEF86" s="101"/>
      <c r="LEG86" s="101"/>
      <c r="LEH86" s="101"/>
      <c r="LEI86" s="101"/>
      <c r="LEJ86" s="101"/>
      <c r="LEK86" s="101"/>
      <c r="LEL86" s="101"/>
      <c r="LEM86" s="101"/>
      <c r="LEN86" s="101"/>
      <c r="LEO86" s="101"/>
      <c r="LEP86" s="101"/>
      <c r="LEQ86" s="101"/>
      <c r="LER86" s="101"/>
      <c r="LES86" s="101"/>
      <c r="LET86" s="101"/>
      <c r="LEU86" s="101"/>
      <c r="LEV86" s="101"/>
      <c r="LEW86" s="101"/>
      <c r="LEX86" s="101"/>
      <c r="LEY86" s="101"/>
      <c r="LEZ86" s="101"/>
      <c r="LFA86" s="101"/>
      <c r="LFB86" s="101"/>
      <c r="LFC86" s="101"/>
      <c r="LFD86" s="101"/>
      <c r="LFE86" s="101"/>
      <c r="LFF86" s="101"/>
      <c r="LFG86" s="101"/>
      <c r="LFH86" s="101"/>
      <c r="LFI86" s="101"/>
      <c r="LFJ86" s="101"/>
      <c r="LFK86" s="101"/>
      <c r="LFL86" s="101"/>
      <c r="LFM86" s="101"/>
      <c r="LFN86" s="101"/>
      <c r="LFO86" s="101"/>
      <c r="LFP86" s="101"/>
      <c r="LFQ86" s="101"/>
      <c r="LFR86" s="101"/>
      <c r="LFS86" s="101"/>
      <c r="LFT86" s="101"/>
      <c r="LFU86" s="101"/>
      <c r="LFV86" s="101"/>
      <c r="LFW86" s="101"/>
      <c r="LFX86" s="101"/>
      <c r="LFY86" s="101"/>
      <c r="LFZ86" s="101"/>
      <c r="LGA86" s="101"/>
      <c r="LGB86" s="101"/>
      <c r="LGC86" s="101"/>
      <c r="LGD86" s="101"/>
      <c r="LGE86" s="101"/>
      <c r="LGF86" s="101"/>
      <c r="LGG86" s="101"/>
      <c r="LGH86" s="101"/>
      <c r="LGI86" s="101"/>
      <c r="LGJ86" s="101"/>
      <c r="LGK86" s="101"/>
      <c r="LGL86" s="101"/>
      <c r="LGM86" s="101"/>
      <c r="LGN86" s="101"/>
      <c r="LGO86" s="101"/>
      <c r="LGP86" s="101"/>
      <c r="LGQ86" s="101"/>
      <c r="LGR86" s="101"/>
      <c r="LGS86" s="101"/>
      <c r="LGT86" s="101"/>
      <c r="LGU86" s="101"/>
      <c r="LGV86" s="101"/>
      <c r="LGW86" s="101"/>
      <c r="LGX86" s="101"/>
      <c r="LGY86" s="101"/>
      <c r="LGZ86" s="101"/>
      <c r="LHA86" s="101"/>
      <c r="LHB86" s="101"/>
      <c r="LHC86" s="101"/>
      <c r="LHD86" s="101"/>
      <c r="LHE86" s="101"/>
      <c r="LHF86" s="101"/>
      <c r="LHG86" s="101"/>
      <c r="LHH86" s="101"/>
      <c r="LHI86" s="101"/>
      <c r="LHJ86" s="101"/>
      <c r="LHK86" s="101"/>
      <c r="LHL86" s="101"/>
      <c r="LHM86" s="101"/>
      <c r="LHN86" s="101"/>
      <c r="LHO86" s="101"/>
      <c r="LHP86" s="101"/>
      <c r="LHQ86" s="101"/>
      <c r="LHR86" s="101"/>
      <c r="LHS86" s="101"/>
      <c r="LHT86" s="101"/>
      <c r="LHU86" s="101"/>
      <c r="LHV86" s="101"/>
      <c r="LHW86" s="101"/>
      <c r="LHX86" s="101"/>
      <c r="LHY86" s="101"/>
      <c r="LHZ86" s="101"/>
      <c r="LIA86" s="101"/>
      <c r="LIB86" s="101"/>
      <c r="LIC86" s="101"/>
      <c r="LID86" s="101"/>
      <c r="LIE86" s="101"/>
      <c r="LIF86" s="101"/>
      <c r="LIG86" s="101"/>
      <c r="LIH86" s="101"/>
      <c r="LII86" s="101"/>
      <c r="LIJ86" s="101"/>
      <c r="LIK86" s="101"/>
      <c r="LIL86" s="101"/>
      <c r="LIM86" s="101"/>
      <c r="LIN86" s="101"/>
      <c r="LIO86" s="101"/>
      <c r="LIP86" s="101"/>
      <c r="LIQ86" s="101"/>
      <c r="LIR86" s="101"/>
      <c r="LIS86" s="101"/>
      <c r="LIT86" s="101"/>
      <c r="LIU86" s="101"/>
      <c r="LIV86" s="101"/>
      <c r="LIW86" s="101"/>
      <c r="LIX86" s="101"/>
      <c r="LIY86" s="101"/>
      <c r="LIZ86" s="101"/>
      <c r="LJA86" s="101"/>
      <c r="LJB86" s="101"/>
      <c r="LJC86" s="101"/>
      <c r="LJD86" s="101"/>
      <c r="LJE86" s="101"/>
      <c r="LJF86" s="101"/>
      <c r="LJG86" s="101"/>
      <c r="LJH86" s="101"/>
      <c r="LJI86" s="101"/>
      <c r="LJJ86" s="101"/>
      <c r="LJK86" s="101"/>
      <c r="LJL86" s="101"/>
      <c r="LJM86" s="101"/>
      <c r="LJN86" s="101"/>
      <c r="LJO86" s="101"/>
      <c r="LJP86" s="101"/>
      <c r="LJQ86" s="101"/>
      <c r="LJR86" s="101"/>
      <c r="LJS86" s="101"/>
      <c r="LJT86" s="101"/>
      <c r="LJU86" s="101"/>
      <c r="LJV86" s="101"/>
      <c r="LJW86" s="101"/>
      <c r="LJX86" s="101"/>
      <c r="LJY86" s="101"/>
      <c r="LJZ86" s="101"/>
      <c r="LKA86" s="101"/>
      <c r="LKB86" s="101"/>
      <c r="LKC86" s="101"/>
      <c r="LKD86" s="101"/>
      <c r="LKE86" s="101"/>
      <c r="LKF86" s="101"/>
      <c r="LKG86" s="101"/>
      <c r="LKH86" s="101"/>
      <c r="LKI86" s="101"/>
      <c r="LKJ86" s="101"/>
      <c r="LKK86" s="101"/>
      <c r="LKL86" s="101"/>
      <c r="LKM86" s="101"/>
      <c r="LKN86" s="101"/>
      <c r="LKO86" s="101"/>
      <c r="LKP86" s="101"/>
      <c r="LKQ86" s="101"/>
      <c r="LKR86" s="101"/>
      <c r="LKS86" s="101"/>
      <c r="LKT86" s="101"/>
      <c r="LKU86" s="101"/>
      <c r="LKV86" s="101"/>
      <c r="LKW86" s="101"/>
      <c r="LKX86" s="101"/>
      <c r="LKY86" s="101"/>
      <c r="LKZ86" s="101"/>
      <c r="LLA86" s="101"/>
      <c r="LLB86" s="101"/>
      <c r="LLC86" s="101"/>
      <c r="LLD86" s="101"/>
      <c r="LLE86" s="101"/>
      <c r="LLF86" s="101"/>
      <c r="LLG86" s="101"/>
      <c r="LLH86" s="101"/>
      <c r="LLI86" s="101"/>
      <c r="LLJ86" s="101"/>
      <c r="LLK86" s="101"/>
      <c r="LLL86" s="101"/>
      <c r="LLM86" s="101"/>
      <c r="LLN86" s="101"/>
      <c r="LLO86" s="101"/>
      <c r="LLP86" s="101"/>
      <c r="LLQ86" s="101"/>
      <c r="LLR86" s="101"/>
      <c r="LLS86" s="101"/>
      <c r="LLT86" s="101"/>
      <c r="LLU86" s="101"/>
      <c r="LLV86" s="101"/>
      <c r="LLW86" s="101"/>
      <c r="LLX86" s="101"/>
      <c r="LLY86" s="101"/>
      <c r="LLZ86" s="101"/>
      <c r="LMA86" s="101"/>
      <c r="LMB86" s="101"/>
      <c r="LMC86" s="101"/>
      <c r="LMD86" s="101"/>
      <c r="LME86" s="101"/>
      <c r="LMF86" s="101"/>
      <c r="LMG86" s="101"/>
      <c r="LMH86" s="101"/>
      <c r="LMI86" s="101"/>
      <c r="LMJ86" s="101"/>
      <c r="LMK86" s="101"/>
      <c r="LML86" s="101"/>
      <c r="LMM86" s="101"/>
      <c r="LMN86" s="101"/>
      <c r="LMO86" s="101"/>
      <c r="LMP86" s="101"/>
      <c r="LMQ86" s="101"/>
      <c r="LMR86" s="101"/>
      <c r="LMS86" s="101"/>
      <c r="LMT86" s="101"/>
      <c r="LMU86" s="101"/>
      <c r="LMV86" s="101"/>
      <c r="LMW86" s="101"/>
      <c r="LMX86" s="101"/>
      <c r="LMY86" s="101"/>
      <c r="LMZ86" s="101"/>
      <c r="LNA86" s="101"/>
      <c r="LNB86" s="101"/>
      <c r="LNC86" s="101"/>
      <c r="LND86" s="101"/>
      <c r="LNE86" s="101"/>
      <c r="LNF86" s="101"/>
      <c r="LNG86" s="101"/>
      <c r="LNH86" s="101"/>
      <c r="LNI86" s="101"/>
      <c r="LNJ86" s="101"/>
      <c r="LNK86" s="101"/>
      <c r="LNL86" s="101"/>
      <c r="LNM86" s="101"/>
      <c r="LNN86" s="101"/>
      <c r="LNO86" s="101"/>
      <c r="LNP86" s="101"/>
      <c r="LNQ86" s="101"/>
      <c r="LNR86" s="101"/>
      <c r="LNS86" s="101"/>
      <c r="LNT86" s="101"/>
      <c r="LNU86" s="101"/>
      <c r="LNV86" s="101"/>
      <c r="LNW86" s="101"/>
      <c r="LNX86" s="101"/>
      <c r="LNY86" s="101"/>
      <c r="LNZ86" s="101"/>
      <c r="LOA86" s="101"/>
      <c r="LOB86" s="101"/>
      <c r="LOC86" s="101"/>
      <c r="LOD86" s="101"/>
      <c r="LOE86" s="101"/>
      <c r="LOF86" s="101"/>
      <c r="LOG86" s="101"/>
      <c r="LOH86" s="101"/>
      <c r="LOI86" s="101"/>
      <c r="LOJ86" s="101"/>
      <c r="LOK86" s="101"/>
      <c r="LOL86" s="101"/>
      <c r="LOM86" s="101"/>
      <c r="LON86" s="101"/>
      <c r="LOO86" s="101"/>
      <c r="LOP86" s="101"/>
      <c r="LOQ86" s="101"/>
      <c r="LOR86" s="101"/>
      <c r="LOS86" s="101"/>
      <c r="LOT86" s="101"/>
      <c r="LOU86" s="101"/>
      <c r="LOV86" s="101"/>
      <c r="LOW86" s="101"/>
      <c r="LOX86" s="101"/>
      <c r="LOY86" s="101"/>
      <c r="LOZ86" s="101"/>
      <c r="LPA86" s="101"/>
      <c r="LPB86" s="101"/>
      <c r="LPC86" s="101"/>
      <c r="LPD86" s="101"/>
      <c r="LPE86" s="101"/>
      <c r="LPF86" s="101"/>
      <c r="LPG86" s="101"/>
      <c r="LPH86" s="101"/>
      <c r="LPI86" s="101"/>
      <c r="LPJ86" s="101"/>
      <c r="LPK86" s="101"/>
      <c r="LPL86" s="101"/>
      <c r="LPM86" s="101"/>
      <c r="LPN86" s="101"/>
      <c r="LPO86" s="101"/>
      <c r="LPP86" s="101"/>
      <c r="LPQ86" s="101"/>
      <c r="LPR86" s="101"/>
      <c r="LPS86" s="101"/>
      <c r="LPT86" s="101"/>
      <c r="LPU86" s="101"/>
      <c r="LPV86" s="101"/>
      <c r="LPW86" s="101"/>
      <c r="LPX86" s="101"/>
      <c r="LPY86" s="101"/>
      <c r="LPZ86" s="101"/>
      <c r="LQA86" s="101"/>
      <c r="LQB86" s="101"/>
      <c r="LQC86" s="101"/>
      <c r="LQD86" s="101"/>
      <c r="LQE86" s="101"/>
      <c r="LQF86" s="101"/>
      <c r="LQG86" s="101"/>
      <c r="LQH86" s="101"/>
      <c r="LQI86" s="101"/>
      <c r="LQJ86" s="101"/>
      <c r="LQK86" s="101"/>
      <c r="LQL86" s="101"/>
      <c r="LQM86" s="101"/>
      <c r="LQN86" s="101"/>
      <c r="LQO86" s="101"/>
      <c r="LQP86" s="101"/>
      <c r="LQQ86" s="101"/>
      <c r="LQR86" s="101"/>
      <c r="LQS86" s="101"/>
      <c r="LQT86" s="101"/>
      <c r="LQU86" s="101"/>
      <c r="LQV86" s="101"/>
      <c r="LQW86" s="101"/>
      <c r="LQX86" s="101"/>
      <c r="LQY86" s="101"/>
      <c r="LQZ86" s="101"/>
      <c r="LRA86" s="101"/>
      <c r="LRB86" s="101"/>
      <c r="LRC86" s="101"/>
      <c r="LRD86" s="101"/>
      <c r="LRE86" s="101"/>
      <c r="LRF86" s="101"/>
      <c r="LRG86" s="101"/>
      <c r="LRH86" s="101"/>
      <c r="LRI86" s="101"/>
      <c r="LRJ86" s="101"/>
      <c r="LRK86" s="101"/>
      <c r="LRL86" s="101"/>
      <c r="LRM86" s="101"/>
      <c r="LRN86" s="101"/>
      <c r="LRO86" s="101"/>
      <c r="LRP86" s="101"/>
      <c r="LRQ86" s="101"/>
      <c r="LRR86" s="101"/>
      <c r="LRS86" s="101"/>
      <c r="LRT86" s="101"/>
      <c r="LRU86" s="101"/>
      <c r="LRV86" s="101"/>
      <c r="LRW86" s="101"/>
      <c r="LRX86" s="101"/>
      <c r="LRY86" s="101"/>
      <c r="LRZ86" s="101"/>
      <c r="LSA86" s="101"/>
      <c r="LSB86" s="101"/>
      <c r="LSC86" s="101"/>
      <c r="LSD86" s="101"/>
      <c r="LSE86" s="101"/>
      <c r="LSF86" s="101"/>
      <c r="LSG86" s="101"/>
      <c r="LSH86" s="101"/>
      <c r="LSI86" s="101"/>
      <c r="LSJ86" s="101"/>
      <c r="LSK86" s="101"/>
      <c r="LSL86" s="101"/>
      <c r="LSM86" s="101"/>
      <c r="LSN86" s="101"/>
      <c r="LSO86" s="101"/>
      <c r="LSP86" s="101"/>
      <c r="LSQ86" s="101"/>
      <c r="LSR86" s="101"/>
      <c r="LSS86" s="101"/>
      <c r="LST86" s="101"/>
      <c r="LSU86" s="101"/>
      <c r="LSV86" s="101"/>
      <c r="LSW86" s="101"/>
      <c r="LSX86" s="101"/>
      <c r="LSY86" s="101"/>
      <c r="LSZ86" s="101"/>
      <c r="LTA86" s="101"/>
      <c r="LTB86" s="101"/>
      <c r="LTC86" s="101"/>
      <c r="LTD86" s="101"/>
      <c r="LTE86" s="101"/>
      <c r="LTF86" s="101"/>
      <c r="LTG86" s="101"/>
      <c r="LTH86" s="101"/>
      <c r="LTI86" s="101"/>
      <c r="LTJ86" s="101"/>
      <c r="LTK86" s="101"/>
      <c r="LTL86" s="101"/>
      <c r="LTM86" s="101"/>
      <c r="LTN86" s="101"/>
      <c r="LTO86" s="101"/>
      <c r="LTP86" s="101"/>
      <c r="LTQ86" s="101"/>
      <c r="LTR86" s="101"/>
      <c r="LTS86" s="101"/>
      <c r="LTT86" s="101"/>
      <c r="LTU86" s="101"/>
      <c r="LTV86" s="101"/>
      <c r="LTW86" s="101"/>
      <c r="LTX86" s="101"/>
      <c r="LTY86" s="101"/>
      <c r="LTZ86" s="101"/>
      <c r="LUA86" s="101"/>
      <c r="LUB86" s="101"/>
      <c r="LUC86" s="101"/>
      <c r="LUD86" s="101"/>
      <c r="LUE86" s="101"/>
      <c r="LUF86" s="101"/>
      <c r="LUG86" s="101"/>
      <c r="LUH86" s="101"/>
      <c r="LUI86" s="101"/>
      <c r="LUJ86" s="101"/>
      <c r="LUK86" s="101"/>
      <c r="LUL86" s="101"/>
      <c r="LUM86" s="101"/>
      <c r="LUN86" s="101"/>
      <c r="LUO86" s="101"/>
      <c r="LUP86" s="101"/>
      <c r="LUQ86" s="101"/>
      <c r="LUR86" s="101"/>
      <c r="LUS86" s="101"/>
      <c r="LUT86" s="101"/>
      <c r="LUU86" s="101"/>
      <c r="LUV86" s="101"/>
      <c r="LUW86" s="101"/>
      <c r="LUX86" s="101"/>
      <c r="LUY86" s="101"/>
      <c r="LUZ86" s="101"/>
      <c r="LVA86" s="101"/>
      <c r="LVB86" s="101"/>
      <c r="LVC86" s="101"/>
      <c r="LVD86" s="101"/>
      <c r="LVE86" s="101"/>
      <c r="LVF86" s="101"/>
      <c r="LVG86" s="101"/>
      <c r="LVH86" s="101"/>
      <c r="LVI86" s="101"/>
      <c r="LVJ86" s="101"/>
      <c r="LVK86" s="101"/>
      <c r="LVL86" s="101"/>
      <c r="LVM86" s="101"/>
      <c r="LVN86" s="101"/>
      <c r="LVO86" s="101"/>
      <c r="LVP86" s="101"/>
      <c r="LVQ86" s="101"/>
      <c r="LVR86" s="101"/>
      <c r="LVS86" s="101"/>
      <c r="LVT86" s="101"/>
      <c r="LVU86" s="101"/>
      <c r="LVV86" s="101"/>
      <c r="LVW86" s="101"/>
      <c r="LVX86" s="101"/>
      <c r="LVY86" s="101"/>
      <c r="LVZ86" s="101"/>
      <c r="LWA86" s="101"/>
      <c r="LWB86" s="101"/>
      <c r="LWC86" s="101"/>
      <c r="LWD86" s="101"/>
      <c r="LWE86" s="101"/>
      <c r="LWF86" s="101"/>
      <c r="LWG86" s="101"/>
      <c r="LWH86" s="101"/>
      <c r="LWI86" s="101"/>
      <c r="LWJ86" s="101"/>
      <c r="LWK86" s="101"/>
      <c r="LWL86" s="101"/>
      <c r="LWM86" s="101"/>
      <c r="LWN86" s="101"/>
      <c r="LWO86" s="101"/>
      <c r="LWP86" s="101"/>
      <c r="LWQ86" s="101"/>
      <c r="LWR86" s="101"/>
      <c r="LWS86" s="101"/>
      <c r="LWT86" s="101"/>
      <c r="LWU86" s="101"/>
      <c r="LWV86" s="101"/>
      <c r="LWW86" s="101"/>
      <c r="LWX86" s="101"/>
      <c r="LWY86" s="101"/>
      <c r="LWZ86" s="101"/>
      <c r="LXA86" s="101"/>
      <c r="LXB86" s="101"/>
      <c r="LXC86" s="101"/>
      <c r="LXD86" s="101"/>
      <c r="LXE86" s="101"/>
      <c r="LXF86" s="101"/>
      <c r="LXG86" s="101"/>
      <c r="LXH86" s="101"/>
      <c r="LXI86" s="101"/>
      <c r="LXJ86" s="101"/>
      <c r="LXK86" s="101"/>
      <c r="LXL86" s="101"/>
      <c r="LXM86" s="101"/>
      <c r="LXN86" s="101"/>
      <c r="LXO86" s="101"/>
      <c r="LXP86" s="101"/>
      <c r="LXQ86" s="101"/>
      <c r="LXR86" s="101"/>
      <c r="LXS86" s="101"/>
      <c r="LXT86" s="101"/>
      <c r="LXU86" s="101"/>
      <c r="LXV86" s="101"/>
      <c r="LXW86" s="101"/>
      <c r="LXX86" s="101"/>
      <c r="LXY86" s="101"/>
      <c r="LXZ86" s="101"/>
      <c r="LYA86" s="101"/>
      <c r="LYB86" s="101"/>
      <c r="LYC86" s="101"/>
      <c r="LYD86" s="101"/>
      <c r="LYE86" s="101"/>
      <c r="LYF86" s="101"/>
      <c r="LYG86" s="101"/>
      <c r="LYH86" s="101"/>
      <c r="LYI86" s="101"/>
      <c r="LYJ86" s="101"/>
      <c r="LYK86" s="101"/>
      <c r="LYL86" s="101"/>
      <c r="LYM86" s="101"/>
      <c r="LYN86" s="101"/>
      <c r="LYO86" s="101"/>
      <c r="LYP86" s="101"/>
      <c r="LYQ86" s="101"/>
      <c r="LYR86" s="101"/>
      <c r="LYS86" s="101"/>
      <c r="LYT86" s="101"/>
      <c r="LYU86" s="101"/>
      <c r="LYV86" s="101"/>
      <c r="LYW86" s="101"/>
      <c r="LYX86" s="101"/>
      <c r="LYY86" s="101"/>
      <c r="LYZ86" s="101"/>
      <c r="LZA86" s="101"/>
      <c r="LZB86" s="101"/>
      <c r="LZC86" s="101"/>
      <c r="LZD86" s="101"/>
      <c r="LZE86" s="101"/>
      <c r="LZF86" s="101"/>
      <c r="LZG86" s="101"/>
      <c r="LZH86" s="101"/>
      <c r="LZI86" s="101"/>
      <c r="LZJ86" s="101"/>
      <c r="LZK86" s="101"/>
      <c r="LZL86" s="101"/>
      <c r="LZM86" s="101"/>
      <c r="LZN86" s="101"/>
      <c r="LZO86" s="101"/>
      <c r="LZP86" s="101"/>
      <c r="LZQ86" s="101"/>
      <c r="LZR86" s="101"/>
      <c r="LZS86" s="101"/>
      <c r="LZT86" s="101"/>
      <c r="LZU86" s="101"/>
      <c r="LZV86" s="101"/>
      <c r="LZW86" s="101"/>
      <c r="LZX86" s="101"/>
      <c r="LZY86" s="101"/>
      <c r="LZZ86" s="101"/>
      <c r="MAA86" s="101"/>
      <c r="MAB86" s="101"/>
      <c r="MAC86" s="101"/>
      <c r="MAD86" s="101"/>
      <c r="MAE86" s="101"/>
      <c r="MAF86" s="101"/>
      <c r="MAG86" s="101"/>
      <c r="MAH86" s="101"/>
      <c r="MAI86" s="101"/>
      <c r="MAJ86" s="101"/>
      <c r="MAK86" s="101"/>
      <c r="MAL86" s="101"/>
      <c r="MAM86" s="101"/>
      <c r="MAN86" s="101"/>
      <c r="MAO86" s="101"/>
      <c r="MAP86" s="101"/>
      <c r="MAQ86" s="101"/>
      <c r="MAR86" s="101"/>
      <c r="MAS86" s="101"/>
      <c r="MAT86" s="101"/>
      <c r="MAU86" s="101"/>
      <c r="MAV86" s="101"/>
      <c r="MAW86" s="101"/>
      <c r="MAX86" s="101"/>
      <c r="MAY86" s="101"/>
      <c r="MAZ86" s="101"/>
      <c r="MBA86" s="101"/>
      <c r="MBB86" s="101"/>
      <c r="MBC86" s="101"/>
      <c r="MBD86" s="101"/>
      <c r="MBE86" s="101"/>
      <c r="MBF86" s="101"/>
      <c r="MBG86" s="101"/>
      <c r="MBH86" s="101"/>
      <c r="MBI86" s="101"/>
      <c r="MBJ86" s="101"/>
      <c r="MBK86" s="101"/>
      <c r="MBL86" s="101"/>
      <c r="MBM86" s="101"/>
      <c r="MBN86" s="101"/>
      <c r="MBO86" s="101"/>
      <c r="MBP86" s="101"/>
      <c r="MBQ86" s="101"/>
      <c r="MBR86" s="101"/>
      <c r="MBS86" s="101"/>
      <c r="MBT86" s="101"/>
      <c r="MBU86" s="101"/>
      <c r="MBV86" s="101"/>
      <c r="MBW86" s="101"/>
      <c r="MBX86" s="101"/>
      <c r="MBY86" s="101"/>
      <c r="MBZ86" s="101"/>
      <c r="MCA86" s="101"/>
      <c r="MCB86" s="101"/>
      <c r="MCC86" s="101"/>
      <c r="MCD86" s="101"/>
      <c r="MCE86" s="101"/>
      <c r="MCF86" s="101"/>
      <c r="MCG86" s="101"/>
      <c r="MCH86" s="101"/>
      <c r="MCI86" s="101"/>
      <c r="MCJ86" s="101"/>
      <c r="MCK86" s="101"/>
      <c r="MCL86" s="101"/>
      <c r="MCM86" s="101"/>
      <c r="MCN86" s="101"/>
      <c r="MCO86" s="101"/>
      <c r="MCP86" s="101"/>
      <c r="MCQ86" s="101"/>
      <c r="MCR86" s="101"/>
      <c r="MCS86" s="101"/>
      <c r="MCT86" s="101"/>
      <c r="MCU86" s="101"/>
      <c r="MCV86" s="101"/>
      <c r="MCW86" s="101"/>
      <c r="MCX86" s="101"/>
      <c r="MCY86" s="101"/>
      <c r="MCZ86" s="101"/>
      <c r="MDA86" s="101"/>
      <c r="MDB86" s="101"/>
      <c r="MDC86" s="101"/>
      <c r="MDD86" s="101"/>
      <c r="MDE86" s="101"/>
      <c r="MDF86" s="101"/>
      <c r="MDG86" s="101"/>
      <c r="MDH86" s="101"/>
      <c r="MDI86" s="101"/>
      <c r="MDJ86" s="101"/>
      <c r="MDK86" s="101"/>
      <c r="MDL86" s="101"/>
      <c r="MDM86" s="101"/>
      <c r="MDN86" s="101"/>
      <c r="MDO86" s="101"/>
      <c r="MDP86" s="101"/>
      <c r="MDQ86" s="101"/>
      <c r="MDR86" s="101"/>
      <c r="MDS86" s="101"/>
      <c r="MDT86" s="101"/>
      <c r="MDU86" s="101"/>
      <c r="MDV86" s="101"/>
      <c r="MDW86" s="101"/>
      <c r="MDX86" s="101"/>
      <c r="MDY86" s="101"/>
      <c r="MDZ86" s="101"/>
      <c r="MEA86" s="101"/>
      <c r="MEB86" s="101"/>
      <c r="MEC86" s="101"/>
      <c r="MED86" s="101"/>
      <c r="MEE86" s="101"/>
      <c r="MEF86" s="101"/>
      <c r="MEG86" s="101"/>
      <c r="MEH86" s="101"/>
      <c r="MEI86" s="101"/>
      <c r="MEJ86" s="101"/>
      <c r="MEK86" s="101"/>
      <c r="MEL86" s="101"/>
      <c r="MEM86" s="101"/>
      <c r="MEN86" s="101"/>
      <c r="MEO86" s="101"/>
      <c r="MEP86" s="101"/>
      <c r="MEQ86" s="101"/>
      <c r="MER86" s="101"/>
      <c r="MES86" s="101"/>
      <c r="MET86" s="101"/>
      <c r="MEU86" s="101"/>
      <c r="MEV86" s="101"/>
      <c r="MEW86" s="101"/>
      <c r="MEX86" s="101"/>
      <c r="MEY86" s="101"/>
      <c r="MEZ86" s="101"/>
      <c r="MFA86" s="101"/>
      <c r="MFB86" s="101"/>
      <c r="MFC86" s="101"/>
      <c r="MFD86" s="101"/>
      <c r="MFE86" s="101"/>
      <c r="MFF86" s="101"/>
      <c r="MFG86" s="101"/>
      <c r="MFH86" s="101"/>
      <c r="MFI86" s="101"/>
      <c r="MFJ86" s="101"/>
      <c r="MFK86" s="101"/>
      <c r="MFL86" s="101"/>
      <c r="MFM86" s="101"/>
      <c r="MFN86" s="101"/>
      <c r="MFO86" s="101"/>
      <c r="MFP86" s="101"/>
      <c r="MFQ86" s="101"/>
      <c r="MFR86" s="101"/>
      <c r="MFS86" s="101"/>
      <c r="MFT86" s="101"/>
      <c r="MFU86" s="101"/>
      <c r="MFV86" s="101"/>
      <c r="MFW86" s="101"/>
      <c r="MFX86" s="101"/>
      <c r="MFY86" s="101"/>
      <c r="MFZ86" s="101"/>
      <c r="MGA86" s="101"/>
      <c r="MGB86" s="101"/>
      <c r="MGC86" s="101"/>
      <c r="MGD86" s="101"/>
      <c r="MGE86" s="101"/>
      <c r="MGF86" s="101"/>
      <c r="MGG86" s="101"/>
      <c r="MGH86" s="101"/>
      <c r="MGI86" s="101"/>
      <c r="MGJ86" s="101"/>
      <c r="MGK86" s="101"/>
      <c r="MGL86" s="101"/>
      <c r="MGM86" s="101"/>
      <c r="MGN86" s="101"/>
      <c r="MGO86" s="101"/>
      <c r="MGP86" s="101"/>
      <c r="MGQ86" s="101"/>
      <c r="MGR86" s="101"/>
      <c r="MGS86" s="101"/>
      <c r="MGT86" s="101"/>
      <c r="MGU86" s="101"/>
      <c r="MGV86" s="101"/>
      <c r="MGW86" s="101"/>
      <c r="MGX86" s="101"/>
      <c r="MGY86" s="101"/>
      <c r="MGZ86" s="101"/>
      <c r="MHA86" s="101"/>
      <c r="MHB86" s="101"/>
      <c r="MHC86" s="101"/>
      <c r="MHD86" s="101"/>
      <c r="MHE86" s="101"/>
      <c r="MHF86" s="101"/>
      <c r="MHG86" s="101"/>
      <c r="MHH86" s="101"/>
      <c r="MHI86" s="101"/>
      <c r="MHJ86" s="101"/>
      <c r="MHK86" s="101"/>
      <c r="MHL86" s="101"/>
      <c r="MHM86" s="101"/>
      <c r="MHN86" s="101"/>
      <c r="MHO86" s="101"/>
      <c r="MHP86" s="101"/>
      <c r="MHQ86" s="101"/>
      <c r="MHR86" s="101"/>
      <c r="MHS86" s="101"/>
      <c r="MHT86" s="101"/>
      <c r="MHU86" s="101"/>
      <c r="MHV86" s="101"/>
      <c r="MHW86" s="101"/>
      <c r="MHX86" s="101"/>
      <c r="MHY86" s="101"/>
      <c r="MHZ86" s="101"/>
      <c r="MIA86" s="101"/>
      <c r="MIB86" s="101"/>
      <c r="MIC86" s="101"/>
      <c r="MID86" s="101"/>
      <c r="MIE86" s="101"/>
      <c r="MIF86" s="101"/>
      <c r="MIG86" s="101"/>
      <c r="MIH86" s="101"/>
      <c r="MII86" s="101"/>
      <c r="MIJ86" s="101"/>
      <c r="MIK86" s="101"/>
      <c r="MIL86" s="101"/>
      <c r="MIM86" s="101"/>
      <c r="MIN86" s="101"/>
      <c r="MIO86" s="101"/>
      <c r="MIP86" s="101"/>
      <c r="MIQ86" s="101"/>
      <c r="MIR86" s="101"/>
      <c r="MIS86" s="101"/>
      <c r="MIT86" s="101"/>
      <c r="MIU86" s="101"/>
      <c r="MIV86" s="101"/>
      <c r="MIW86" s="101"/>
      <c r="MIX86" s="101"/>
      <c r="MIY86" s="101"/>
      <c r="MIZ86" s="101"/>
      <c r="MJA86" s="101"/>
      <c r="MJB86" s="101"/>
      <c r="MJC86" s="101"/>
      <c r="MJD86" s="101"/>
      <c r="MJE86" s="101"/>
      <c r="MJF86" s="101"/>
      <c r="MJG86" s="101"/>
      <c r="MJH86" s="101"/>
      <c r="MJI86" s="101"/>
      <c r="MJJ86" s="101"/>
      <c r="MJK86" s="101"/>
      <c r="MJL86" s="101"/>
      <c r="MJM86" s="101"/>
      <c r="MJN86" s="101"/>
      <c r="MJO86" s="101"/>
      <c r="MJP86" s="101"/>
      <c r="MJQ86" s="101"/>
      <c r="MJR86" s="101"/>
      <c r="MJS86" s="101"/>
      <c r="MJT86" s="101"/>
      <c r="MJU86" s="101"/>
      <c r="MJV86" s="101"/>
      <c r="MJW86" s="101"/>
      <c r="MJX86" s="101"/>
      <c r="MJY86" s="101"/>
      <c r="MJZ86" s="101"/>
      <c r="MKA86" s="101"/>
      <c r="MKB86" s="101"/>
      <c r="MKC86" s="101"/>
      <c r="MKD86" s="101"/>
      <c r="MKE86" s="101"/>
      <c r="MKF86" s="101"/>
      <c r="MKG86" s="101"/>
      <c r="MKH86" s="101"/>
      <c r="MKI86" s="101"/>
      <c r="MKJ86" s="101"/>
      <c r="MKK86" s="101"/>
      <c r="MKL86" s="101"/>
      <c r="MKM86" s="101"/>
      <c r="MKN86" s="101"/>
      <c r="MKO86" s="101"/>
      <c r="MKP86" s="101"/>
      <c r="MKQ86" s="101"/>
      <c r="MKR86" s="101"/>
      <c r="MKS86" s="101"/>
      <c r="MKT86" s="101"/>
      <c r="MKU86" s="101"/>
      <c r="MKV86" s="101"/>
      <c r="MKW86" s="101"/>
      <c r="MKX86" s="101"/>
      <c r="MKY86" s="101"/>
      <c r="MKZ86" s="101"/>
      <c r="MLA86" s="101"/>
      <c r="MLB86" s="101"/>
      <c r="MLC86" s="101"/>
      <c r="MLD86" s="101"/>
      <c r="MLE86" s="101"/>
      <c r="MLF86" s="101"/>
      <c r="MLG86" s="101"/>
      <c r="MLH86" s="101"/>
      <c r="MLI86" s="101"/>
      <c r="MLJ86" s="101"/>
      <c r="MLK86" s="101"/>
      <c r="MLL86" s="101"/>
      <c r="MLM86" s="101"/>
      <c r="MLN86" s="101"/>
      <c r="MLO86" s="101"/>
      <c r="MLP86" s="101"/>
      <c r="MLQ86" s="101"/>
      <c r="MLR86" s="101"/>
      <c r="MLS86" s="101"/>
      <c r="MLT86" s="101"/>
      <c r="MLU86" s="101"/>
      <c r="MLV86" s="101"/>
      <c r="MLW86" s="101"/>
      <c r="MLX86" s="101"/>
      <c r="MLY86" s="101"/>
      <c r="MLZ86" s="101"/>
      <c r="MMA86" s="101"/>
      <c r="MMB86" s="101"/>
      <c r="MMC86" s="101"/>
      <c r="MMD86" s="101"/>
      <c r="MME86" s="101"/>
      <c r="MMF86" s="101"/>
      <c r="MMG86" s="101"/>
      <c r="MMH86" s="101"/>
      <c r="MMI86" s="101"/>
      <c r="MMJ86" s="101"/>
      <c r="MMK86" s="101"/>
      <c r="MML86" s="101"/>
      <c r="MMM86" s="101"/>
      <c r="MMN86" s="101"/>
      <c r="MMO86" s="101"/>
      <c r="MMP86" s="101"/>
      <c r="MMQ86" s="101"/>
      <c r="MMR86" s="101"/>
      <c r="MMS86" s="101"/>
      <c r="MMT86" s="101"/>
      <c r="MMU86" s="101"/>
      <c r="MMV86" s="101"/>
      <c r="MMW86" s="101"/>
      <c r="MMX86" s="101"/>
      <c r="MMY86" s="101"/>
      <c r="MMZ86" s="101"/>
      <c r="MNA86" s="101"/>
      <c r="MNB86" s="101"/>
      <c r="MNC86" s="101"/>
      <c r="MND86" s="101"/>
      <c r="MNE86" s="101"/>
      <c r="MNF86" s="101"/>
      <c r="MNG86" s="101"/>
      <c r="MNH86" s="101"/>
      <c r="MNI86" s="101"/>
      <c r="MNJ86" s="101"/>
      <c r="MNK86" s="101"/>
      <c r="MNL86" s="101"/>
      <c r="MNM86" s="101"/>
      <c r="MNN86" s="101"/>
      <c r="MNO86" s="101"/>
      <c r="MNP86" s="101"/>
      <c r="MNQ86" s="101"/>
      <c r="MNR86" s="101"/>
      <c r="MNS86" s="101"/>
      <c r="MNT86" s="101"/>
      <c r="MNU86" s="101"/>
      <c r="MNV86" s="101"/>
      <c r="MNW86" s="101"/>
      <c r="MNX86" s="101"/>
      <c r="MNY86" s="101"/>
      <c r="MNZ86" s="101"/>
      <c r="MOA86" s="101"/>
      <c r="MOB86" s="101"/>
      <c r="MOC86" s="101"/>
      <c r="MOD86" s="101"/>
      <c r="MOE86" s="101"/>
      <c r="MOF86" s="101"/>
      <c r="MOG86" s="101"/>
      <c r="MOH86" s="101"/>
      <c r="MOI86" s="101"/>
      <c r="MOJ86" s="101"/>
      <c r="MOK86" s="101"/>
      <c r="MOL86" s="101"/>
      <c r="MOM86" s="101"/>
      <c r="MON86" s="101"/>
      <c r="MOO86" s="101"/>
      <c r="MOP86" s="101"/>
      <c r="MOQ86" s="101"/>
      <c r="MOR86" s="101"/>
      <c r="MOS86" s="101"/>
      <c r="MOT86" s="101"/>
      <c r="MOU86" s="101"/>
      <c r="MOV86" s="101"/>
      <c r="MOW86" s="101"/>
      <c r="MOX86" s="101"/>
      <c r="MOY86" s="101"/>
      <c r="MOZ86" s="101"/>
      <c r="MPA86" s="101"/>
      <c r="MPB86" s="101"/>
      <c r="MPC86" s="101"/>
      <c r="MPD86" s="101"/>
      <c r="MPE86" s="101"/>
      <c r="MPF86" s="101"/>
      <c r="MPG86" s="101"/>
      <c r="MPH86" s="101"/>
      <c r="MPI86" s="101"/>
      <c r="MPJ86" s="101"/>
      <c r="MPK86" s="101"/>
      <c r="MPL86" s="101"/>
      <c r="MPM86" s="101"/>
      <c r="MPN86" s="101"/>
      <c r="MPO86" s="101"/>
      <c r="MPP86" s="101"/>
      <c r="MPQ86" s="101"/>
      <c r="MPR86" s="101"/>
      <c r="MPS86" s="101"/>
      <c r="MPT86" s="101"/>
      <c r="MPU86" s="101"/>
      <c r="MPV86" s="101"/>
      <c r="MPW86" s="101"/>
      <c r="MPX86" s="101"/>
      <c r="MPY86" s="101"/>
      <c r="MPZ86" s="101"/>
      <c r="MQA86" s="101"/>
      <c r="MQB86" s="101"/>
      <c r="MQC86" s="101"/>
      <c r="MQD86" s="101"/>
      <c r="MQE86" s="101"/>
      <c r="MQF86" s="101"/>
      <c r="MQG86" s="101"/>
      <c r="MQH86" s="101"/>
      <c r="MQI86" s="101"/>
      <c r="MQJ86" s="101"/>
      <c r="MQK86" s="101"/>
      <c r="MQL86" s="101"/>
      <c r="MQM86" s="101"/>
      <c r="MQN86" s="101"/>
      <c r="MQO86" s="101"/>
      <c r="MQP86" s="101"/>
      <c r="MQQ86" s="101"/>
      <c r="MQR86" s="101"/>
      <c r="MQS86" s="101"/>
      <c r="MQT86" s="101"/>
      <c r="MQU86" s="101"/>
      <c r="MQV86" s="101"/>
      <c r="MQW86" s="101"/>
      <c r="MQX86" s="101"/>
      <c r="MQY86" s="101"/>
      <c r="MQZ86" s="101"/>
      <c r="MRA86" s="101"/>
      <c r="MRB86" s="101"/>
      <c r="MRC86" s="101"/>
      <c r="MRD86" s="101"/>
      <c r="MRE86" s="101"/>
      <c r="MRF86" s="101"/>
      <c r="MRG86" s="101"/>
      <c r="MRH86" s="101"/>
      <c r="MRI86" s="101"/>
      <c r="MRJ86" s="101"/>
      <c r="MRK86" s="101"/>
      <c r="MRL86" s="101"/>
      <c r="MRM86" s="101"/>
      <c r="MRN86" s="101"/>
      <c r="MRO86" s="101"/>
      <c r="MRP86" s="101"/>
      <c r="MRQ86" s="101"/>
      <c r="MRR86" s="101"/>
      <c r="MRS86" s="101"/>
      <c r="MRT86" s="101"/>
      <c r="MRU86" s="101"/>
      <c r="MRV86" s="101"/>
      <c r="MRW86" s="101"/>
      <c r="MRX86" s="101"/>
      <c r="MRY86" s="101"/>
      <c r="MRZ86" s="101"/>
      <c r="MSA86" s="101"/>
      <c r="MSB86" s="101"/>
      <c r="MSC86" s="101"/>
      <c r="MSD86" s="101"/>
      <c r="MSE86" s="101"/>
      <c r="MSF86" s="101"/>
      <c r="MSG86" s="101"/>
      <c r="MSH86" s="101"/>
      <c r="MSI86" s="101"/>
      <c r="MSJ86" s="101"/>
      <c r="MSK86" s="101"/>
      <c r="MSL86" s="101"/>
      <c r="MSM86" s="101"/>
      <c r="MSN86" s="101"/>
      <c r="MSO86" s="101"/>
      <c r="MSP86" s="101"/>
      <c r="MSQ86" s="101"/>
      <c r="MSR86" s="101"/>
      <c r="MSS86" s="101"/>
      <c r="MST86" s="101"/>
      <c r="MSU86" s="101"/>
      <c r="MSV86" s="101"/>
      <c r="MSW86" s="101"/>
      <c r="MSX86" s="101"/>
      <c r="MSY86" s="101"/>
      <c r="MSZ86" s="101"/>
      <c r="MTA86" s="101"/>
      <c r="MTB86" s="101"/>
      <c r="MTC86" s="101"/>
      <c r="MTD86" s="101"/>
      <c r="MTE86" s="101"/>
      <c r="MTF86" s="101"/>
      <c r="MTG86" s="101"/>
      <c r="MTH86" s="101"/>
      <c r="MTI86" s="101"/>
      <c r="MTJ86" s="101"/>
      <c r="MTK86" s="101"/>
      <c r="MTL86" s="101"/>
      <c r="MTM86" s="101"/>
      <c r="MTN86" s="101"/>
      <c r="MTO86" s="101"/>
      <c r="MTP86" s="101"/>
      <c r="MTQ86" s="101"/>
      <c r="MTR86" s="101"/>
      <c r="MTS86" s="101"/>
      <c r="MTT86" s="101"/>
      <c r="MTU86" s="101"/>
      <c r="MTV86" s="101"/>
      <c r="MTW86" s="101"/>
      <c r="MTX86" s="101"/>
      <c r="MTY86" s="101"/>
      <c r="MTZ86" s="101"/>
      <c r="MUA86" s="101"/>
      <c r="MUB86" s="101"/>
      <c r="MUC86" s="101"/>
      <c r="MUD86" s="101"/>
      <c r="MUE86" s="101"/>
      <c r="MUF86" s="101"/>
      <c r="MUG86" s="101"/>
      <c r="MUH86" s="101"/>
      <c r="MUI86" s="101"/>
      <c r="MUJ86" s="101"/>
      <c r="MUK86" s="101"/>
      <c r="MUL86" s="101"/>
      <c r="MUM86" s="101"/>
      <c r="MUN86" s="101"/>
      <c r="MUO86" s="101"/>
      <c r="MUP86" s="101"/>
      <c r="MUQ86" s="101"/>
      <c r="MUR86" s="101"/>
      <c r="MUS86" s="101"/>
      <c r="MUT86" s="101"/>
      <c r="MUU86" s="101"/>
      <c r="MUV86" s="101"/>
      <c r="MUW86" s="101"/>
      <c r="MUX86" s="101"/>
      <c r="MUY86" s="101"/>
      <c r="MUZ86" s="101"/>
      <c r="MVA86" s="101"/>
      <c r="MVB86" s="101"/>
      <c r="MVC86" s="101"/>
      <c r="MVD86" s="101"/>
      <c r="MVE86" s="101"/>
      <c r="MVF86" s="101"/>
      <c r="MVG86" s="101"/>
      <c r="MVH86" s="101"/>
      <c r="MVI86" s="101"/>
      <c r="MVJ86" s="101"/>
      <c r="MVK86" s="101"/>
      <c r="MVL86" s="101"/>
      <c r="MVM86" s="101"/>
      <c r="MVN86" s="101"/>
      <c r="MVO86" s="101"/>
      <c r="MVP86" s="101"/>
      <c r="MVQ86" s="101"/>
      <c r="MVR86" s="101"/>
      <c r="MVS86" s="101"/>
      <c r="MVT86" s="101"/>
      <c r="MVU86" s="101"/>
      <c r="MVV86" s="101"/>
      <c r="MVW86" s="101"/>
      <c r="MVX86" s="101"/>
      <c r="MVY86" s="101"/>
      <c r="MVZ86" s="101"/>
      <c r="MWA86" s="101"/>
      <c r="MWB86" s="101"/>
      <c r="MWC86" s="101"/>
      <c r="MWD86" s="101"/>
      <c r="MWE86" s="101"/>
      <c r="MWF86" s="101"/>
      <c r="MWG86" s="101"/>
      <c r="MWH86" s="101"/>
      <c r="MWI86" s="101"/>
      <c r="MWJ86" s="101"/>
      <c r="MWK86" s="101"/>
      <c r="MWL86" s="101"/>
      <c r="MWM86" s="101"/>
      <c r="MWN86" s="101"/>
      <c r="MWO86" s="101"/>
      <c r="MWP86" s="101"/>
      <c r="MWQ86" s="101"/>
      <c r="MWR86" s="101"/>
      <c r="MWS86" s="101"/>
      <c r="MWT86" s="101"/>
      <c r="MWU86" s="101"/>
      <c r="MWV86" s="101"/>
      <c r="MWW86" s="101"/>
      <c r="MWX86" s="101"/>
      <c r="MWY86" s="101"/>
      <c r="MWZ86" s="101"/>
      <c r="MXA86" s="101"/>
      <c r="MXB86" s="101"/>
      <c r="MXC86" s="101"/>
      <c r="MXD86" s="101"/>
      <c r="MXE86" s="101"/>
      <c r="MXF86" s="101"/>
      <c r="MXG86" s="101"/>
      <c r="MXH86" s="101"/>
      <c r="MXI86" s="101"/>
      <c r="MXJ86" s="101"/>
      <c r="MXK86" s="101"/>
      <c r="MXL86" s="101"/>
      <c r="MXM86" s="101"/>
      <c r="MXN86" s="101"/>
      <c r="MXO86" s="101"/>
      <c r="MXP86" s="101"/>
      <c r="MXQ86" s="101"/>
      <c r="MXR86" s="101"/>
      <c r="MXS86" s="101"/>
      <c r="MXT86" s="101"/>
      <c r="MXU86" s="101"/>
      <c r="MXV86" s="101"/>
      <c r="MXW86" s="101"/>
      <c r="MXX86" s="101"/>
      <c r="MXY86" s="101"/>
      <c r="MXZ86" s="101"/>
      <c r="MYA86" s="101"/>
      <c r="MYB86" s="101"/>
      <c r="MYC86" s="101"/>
      <c r="MYD86" s="101"/>
      <c r="MYE86" s="101"/>
      <c r="MYF86" s="101"/>
      <c r="MYG86" s="101"/>
      <c r="MYH86" s="101"/>
      <c r="MYI86" s="101"/>
      <c r="MYJ86" s="101"/>
      <c r="MYK86" s="101"/>
      <c r="MYL86" s="101"/>
      <c r="MYM86" s="101"/>
      <c r="MYN86" s="101"/>
      <c r="MYO86" s="101"/>
      <c r="MYP86" s="101"/>
      <c r="MYQ86" s="101"/>
      <c r="MYR86" s="101"/>
      <c r="MYS86" s="101"/>
      <c r="MYT86" s="101"/>
      <c r="MYU86" s="101"/>
      <c r="MYV86" s="101"/>
      <c r="MYW86" s="101"/>
      <c r="MYX86" s="101"/>
      <c r="MYY86" s="101"/>
      <c r="MYZ86" s="101"/>
      <c r="MZA86" s="101"/>
      <c r="MZB86" s="101"/>
      <c r="MZC86" s="101"/>
      <c r="MZD86" s="101"/>
      <c r="MZE86" s="101"/>
      <c r="MZF86" s="101"/>
      <c r="MZG86" s="101"/>
      <c r="MZH86" s="101"/>
      <c r="MZI86" s="101"/>
      <c r="MZJ86" s="101"/>
      <c r="MZK86" s="101"/>
      <c r="MZL86" s="101"/>
      <c r="MZM86" s="101"/>
      <c r="MZN86" s="101"/>
      <c r="MZO86" s="101"/>
      <c r="MZP86" s="101"/>
      <c r="MZQ86" s="101"/>
      <c r="MZR86" s="101"/>
      <c r="MZS86" s="101"/>
      <c r="MZT86" s="101"/>
      <c r="MZU86" s="101"/>
      <c r="MZV86" s="101"/>
      <c r="MZW86" s="101"/>
      <c r="MZX86" s="101"/>
      <c r="MZY86" s="101"/>
      <c r="MZZ86" s="101"/>
      <c r="NAA86" s="101"/>
      <c r="NAB86" s="101"/>
      <c r="NAC86" s="101"/>
      <c r="NAD86" s="101"/>
      <c r="NAE86" s="101"/>
      <c r="NAF86" s="101"/>
      <c r="NAG86" s="101"/>
      <c r="NAH86" s="101"/>
      <c r="NAI86" s="101"/>
      <c r="NAJ86" s="101"/>
      <c r="NAK86" s="101"/>
      <c r="NAL86" s="101"/>
      <c r="NAM86" s="101"/>
      <c r="NAN86" s="101"/>
      <c r="NAO86" s="101"/>
      <c r="NAP86" s="101"/>
      <c r="NAQ86" s="101"/>
      <c r="NAR86" s="101"/>
      <c r="NAS86" s="101"/>
      <c r="NAT86" s="101"/>
      <c r="NAU86" s="101"/>
      <c r="NAV86" s="101"/>
      <c r="NAW86" s="101"/>
      <c r="NAX86" s="101"/>
      <c r="NAY86" s="101"/>
      <c r="NAZ86" s="101"/>
      <c r="NBA86" s="101"/>
      <c r="NBB86" s="101"/>
      <c r="NBC86" s="101"/>
      <c r="NBD86" s="101"/>
      <c r="NBE86" s="101"/>
      <c r="NBF86" s="101"/>
      <c r="NBG86" s="101"/>
      <c r="NBH86" s="101"/>
      <c r="NBI86" s="101"/>
      <c r="NBJ86" s="101"/>
      <c r="NBK86" s="101"/>
      <c r="NBL86" s="101"/>
      <c r="NBM86" s="101"/>
      <c r="NBN86" s="101"/>
      <c r="NBO86" s="101"/>
      <c r="NBP86" s="101"/>
      <c r="NBQ86" s="101"/>
      <c r="NBR86" s="101"/>
      <c r="NBS86" s="101"/>
      <c r="NBT86" s="101"/>
      <c r="NBU86" s="101"/>
      <c r="NBV86" s="101"/>
      <c r="NBW86" s="101"/>
      <c r="NBX86" s="101"/>
      <c r="NBY86" s="101"/>
      <c r="NBZ86" s="101"/>
      <c r="NCA86" s="101"/>
      <c r="NCB86" s="101"/>
      <c r="NCC86" s="101"/>
      <c r="NCD86" s="101"/>
      <c r="NCE86" s="101"/>
      <c r="NCF86" s="101"/>
      <c r="NCG86" s="101"/>
      <c r="NCH86" s="101"/>
      <c r="NCI86" s="101"/>
      <c r="NCJ86" s="101"/>
      <c r="NCK86" s="101"/>
      <c r="NCL86" s="101"/>
      <c r="NCM86" s="101"/>
      <c r="NCN86" s="101"/>
      <c r="NCO86" s="101"/>
      <c r="NCP86" s="101"/>
      <c r="NCQ86" s="101"/>
      <c r="NCR86" s="101"/>
      <c r="NCS86" s="101"/>
      <c r="NCT86" s="101"/>
      <c r="NCU86" s="101"/>
      <c r="NCV86" s="101"/>
      <c r="NCW86" s="101"/>
      <c r="NCX86" s="101"/>
      <c r="NCY86" s="101"/>
      <c r="NCZ86" s="101"/>
      <c r="NDA86" s="101"/>
      <c r="NDB86" s="101"/>
      <c r="NDC86" s="101"/>
      <c r="NDD86" s="101"/>
      <c r="NDE86" s="101"/>
      <c r="NDF86" s="101"/>
      <c r="NDG86" s="101"/>
      <c r="NDH86" s="101"/>
      <c r="NDI86" s="101"/>
      <c r="NDJ86" s="101"/>
      <c r="NDK86" s="101"/>
      <c r="NDL86" s="101"/>
      <c r="NDM86" s="101"/>
      <c r="NDN86" s="101"/>
      <c r="NDO86" s="101"/>
      <c r="NDP86" s="101"/>
      <c r="NDQ86" s="101"/>
      <c r="NDR86" s="101"/>
      <c r="NDS86" s="101"/>
      <c r="NDT86" s="101"/>
      <c r="NDU86" s="101"/>
      <c r="NDV86" s="101"/>
      <c r="NDW86" s="101"/>
      <c r="NDX86" s="101"/>
      <c r="NDY86" s="101"/>
      <c r="NDZ86" s="101"/>
      <c r="NEA86" s="101"/>
      <c r="NEB86" s="101"/>
      <c r="NEC86" s="101"/>
      <c r="NED86" s="101"/>
      <c r="NEE86" s="101"/>
      <c r="NEF86" s="101"/>
      <c r="NEG86" s="101"/>
      <c r="NEH86" s="101"/>
      <c r="NEI86" s="101"/>
      <c r="NEJ86" s="101"/>
      <c r="NEK86" s="101"/>
      <c r="NEL86" s="101"/>
      <c r="NEM86" s="101"/>
      <c r="NEN86" s="101"/>
      <c r="NEO86" s="101"/>
      <c r="NEP86" s="101"/>
      <c r="NEQ86" s="101"/>
      <c r="NER86" s="101"/>
      <c r="NES86" s="101"/>
      <c r="NET86" s="101"/>
      <c r="NEU86" s="101"/>
      <c r="NEV86" s="101"/>
      <c r="NEW86" s="101"/>
      <c r="NEX86" s="101"/>
      <c r="NEY86" s="101"/>
      <c r="NEZ86" s="101"/>
      <c r="NFA86" s="101"/>
      <c r="NFB86" s="101"/>
      <c r="NFC86" s="101"/>
      <c r="NFD86" s="101"/>
      <c r="NFE86" s="101"/>
      <c r="NFF86" s="101"/>
      <c r="NFG86" s="101"/>
      <c r="NFH86" s="101"/>
      <c r="NFI86" s="101"/>
      <c r="NFJ86" s="101"/>
      <c r="NFK86" s="101"/>
      <c r="NFL86" s="101"/>
      <c r="NFM86" s="101"/>
      <c r="NFN86" s="101"/>
      <c r="NFO86" s="101"/>
      <c r="NFP86" s="101"/>
      <c r="NFQ86" s="101"/>
      <c r="NFR86" s="101"/>
      <c r="NFS86" s="101"/>
      <c r="NFT86" s="101"/>
      <c r="NFU86" s="101"/>
      <c r="NFV86" s="101"/>
      <c r="NFW86" s="101"/>
      <c r="NFX86" s="101"/>
      <c r="NFY86" s="101"/>
      <c r="NFZ86" s="101"/>
      <c r="NGA86" s="101"/>
      <c r="NGB86" s="101"/>
      <c r="NGC86" s="101"/>
      <c r="NGD86" s="101"/>
      <c r="NGE86" s="101"/>
      <c r="NGF86" s="101"/>
      <c r="NGG86" s="101"/>
      <c r="NGH86" s="101"/>
      <c r="NGI86" s="101"/>
      <c r="NGJ86" s="101"/>
      <c r="NGK86" s="101"/>
      <c r="NGL86" s="101"/>
      <c r="NGM86" s="101"/>
      <c r="NGN86" s="101"/>
      <c r="NGO86" s="101"/>
      <c r="NGP86" s="101"/>
      <c r="NGQ86" s="101"/>
      <c r="NGR86" s="101"/>
      <c r="NGS86" s="101"/>
      <c r="NGT86" s="101"/>
      <c r="NGU86" s="101"/>
      <c r="NGV86" s="101"/>
      <c r="NGW86" s="101"/>
      <c r="NGX86" s="101"/>
      <c r="NGY86" s="101"/>
      <c r="NGZ86" s="101"/>
      <c r="NHA86" s="101"/>
      <c r="NHB86" s="101"/>
      <c r="NHC86" s="101"/>
      <c r="NHD86" s="101"/>
      <c r="NHE86" s="101"/>
      <c r="NHF86" s="101"/>
      <c r="NHG86" s="101"/>
      <c r="NHH86" s="101"/>
      <c r="NHI86" s="101"/>
      <c r="NHJ86" s="101"/>
      <c r="NHK86" s="101"/>
      <c r="NHL86" s="101"/>
      <c r="NHM86" s="101"/>
      <c r="NHN86" s="101"/>
      <c r="NHO86" s="101"/>
      <c r="NHP86" s="101"/>
      <c r="NHQ86" s="101"/>
      <c r="NHR86" s="101"/>
      <c r="NHS86" s="101"/>
      <c r="NHT86" s="101"/>
      <c r="NHU86" s="101"/>
      <c r="NHV86" s="101"/>
      <c r="NHW86" s="101"/>
      <c r="NHX86" s="101"/>
      <c r="NHY86" s="101"/>
      <c r="NHZ86" s="101"/>
      <c r="NIA86" s="101"/>
      <c r="NIB86" s="101"/>
      <c r="NIC86" s="101"/>
      <c r="NID86" s="101"/>
      <c r="NIE86" s="101"/>
      <c r="NIF86" s="101"/>
      <c r="NIG86" s="101"/>
      <c r="NIH86" s="101"/>
      <c r="NII86" s="101"/>
      <c r="NIJ86" s="101"/>
      <c r="NIK86" s="101"/>
      <c r="NIL86" s="101"/>
      <c r="NIM86" s="101"/>
      <c r="NIN86" s="101"/>
      <c r="NIO86" s="101"/>
      <c r="NIP86" s="101"/>
      <c r="NIQ86" s="101"/>
      <c r="NIR86" s="101"/>
      <c r="NIS86" s="101"/>
      <c r="NIT86" s="101"/>
      <c r="NIU86" s="101"/>
      <c r="NIV86" s="101"/>
      <c r="NIW86" s="101"/>
      <c r="NIX86" s="101"/>
      <c r="NIY86" s="101"/>
      <c r="NIZ86" s="101"/>
      <c r="NJA86" s="101"/>
      <c r="NJB86" s="101"/>
      <c r="NJC86" s="101"/>
      <c r="NJD86" s="101"/>
      <c r="NJE86" s="101"/>
      <c r="NJF86" s="101"/>
      <c r="NJG86" s="101"/>
      <c r="NJH86" s="101"/>
      <c r="NJI86" s="101"/>
      <c r="NJJ86" s="101"/>
      <c r="NJK86" s="101"/>
      <c r="NJL86" s="101"/>
      <c r="NJM86" s="101"/>
      <c r="NJN86" s="101"/>
      <c r="NJO86" s="101"/>
      <c r="NJP86" s="101"/>
      <c r="NJQ86" s="101"/>
      <c r="NJR86" s="101"/>
      <c r="NJS86" s="101"/>
      <c r="NJT86" s="101"/>
      <c r="NJU86" s="101"/>
      <c r="NJV86" s="101"/>
      <c r="NJW86" s="101"/>
      <c r="NJX86" s="101"/>
      <c r="NJY86" s="101"/>
      <c r="NJZ86" s="101"/>
      <c r="NKA86" s="101"/>
      <c r="NKB86" s="101"/>
      <c r="NKC86" s="101"/>
      <c r="NKD86" s="101"/>
      <c r="NKE86" s="101"/>
      <c r="NKF86" s="101"/>
      <c r="NKG86" s="101"/>
      <c r="NKH86" s="101"/>
      <c r="NKI86" s="101"/>
      <c r="NKJ86" s="101"/>
      <c r="NKK86" s="101"/>
      <c r="NKL86" s="101"/>
      <c r="NKM86" s="101"/>
      <c r="NKN86" s="101"/>
      <c r="NKO86" s="101"/>
      <c r="NKP86" s="101"/>
      <c r="NKQ86" s="101"/>
      <c r="NKR86" s="101"/>
      <c r="NKS86" s="101"/>
      <c r="NKT86" s="101"/>
      <c r="NKU86" s="101"/>
      <c r="NKV86" s="101"/>
      <c r="NKW86" s="101"/>
      <c r="NKX86" s="101"/>
      <c r="NKY86" s="101"/>
      <c r="NKZ86" s="101"/>
      <c r="NLA86" s="101"/>
      <c r="NLB86" s="101"/>
      <c r="NLC86" s="101"/>
      <c r="NLD86" s="101"/>
      <c r="NLE86" s="101"/>
      <c r="NLF86" s="101"/>
      <c r="NLG86" s="101"/>
      <c r="NLH86" s="101"/>
      <c r="NLI86" s="101"/>
      <c r="NLJ86" s="101"/>
      <c r="NLK86" s="101"/>
      <c r="NLL86" s="101"/>
      <c r="NLM86" s="101"/>
      <c r="NLN86" s="101"/>
      <c r="NLO86" s="101"/>
      <c r="NLP86" s="101"/>
      <c r="NLQ86" s="101"/>
      <c r="NLR86" s="101"/>
      <c r="NLS86" s="101"/>
      <c r="NLT86" s="101"/>
      <c r="NLU86" s="101"/>
      <c r="NLV86" s="101"/>
      <c r="NLW86" s="101"/>
      <c r="NLX86" s="101"/>
      <c r="NLY86" s="101"/>
      <c r="NLZ86" s="101"/>
      <c r="NMA86" s="101"/>
      <c r="NMB86" s="101"/>
      <c r="NMC86" s="101"/>
      <c r="NMD86" s="101"/>
      <c r="NME86" s="101"/>
      <c r="NMF86" s="101"/>
      <c r="NMG86" s="101"/>
      <c r="NMH86" s="101"/>
      <c r="NMI86" s="101"/>
      <c r="NMJ86" s="101"/>
      <c r="NMK86" s="101"/>
      <c r="NML86" s="101"/>
      <c r="NMM86" s="101"/>
      <c r="NMN86" s="101"/>
      <c r="NMO86" s="101"/>
      <c r="NMP86" s="101"/>
      <c r="NMQ86" s="101"/>
      <c r="NMR86" s="101"/>
      <c r="NMS86" s="101"/>
      <c r="NMT86" s="101"/>
      <c r="NMU86" s="101"/>
      <c r="NMV86" s="101"/>
      <c r="NMW86" s="101"/>
      <c r="NMX86" s="101"/>
      <c r="NMY86" s="101"/>
      <c r="NMZ86" s="101"/>
      <c r="NNA86" s="101"/>
      <c r="NNB86" s="101"/>
      <c r="NNC86" s="101"/>
      <c r="NND86" s="101"/>
      <c r="NNE86" s="101"/>
      <c r="NNF86" s="101"/>
      <c r="NNG86" s="101"/>
      <c r="NNH86" s="101"/>
      <c r="NNI86" s="101"/>
      <c r="NNJ86" s="101"/>
      <c r="NNK86" s="101"/>
      <c r="NNL86" s="101"/>
      <c r="NNM86" s="101"/>
      <c r="NNN86" s="101"/>
      <c r="NNO86" s="101"/>
      <c r="NNP86" s="101"/>
      <c r="NNQ86" s="101"/>
      <c r="NNR86" s="101"/>
      <c r="NNS86" s="101"/>
      <c r="NNT86" s="101"/>
      <c r="NNU86" s="101"/>
      <c r="NNV86" s="101"/>
      <c r="NNW86" s="101"/>
      <c r="NNX86" s="101"/>
      <c r="NNY86" s="101"/>
      <c r="NNZ86" s="101"/>
      <c r="NOA86" s="101"/>
      <c r="NOB86" s="101"/>
      <c r="NOC86" s="101"/>
      <c r="NOD86" s="101"/>
      <c r="NOE86" s="101"/>
      <c r="NOF86" s="101"/>
      <c r="NOG86" s="101"/>
      <c r="NOH86" s="101"/>
      <c r="NOI86" s="101"/>
      <c r="NOJ86" s="101"/>
      <c r="NOK86" s="101"/>
      <c r="NOL86" s="101"/>
      <c r="NOM86" s="101"/>
      <c r="NON86" s="101"/>
      <c r="NOO86" s="101"/>
      <c r="NOP86" s="101"/>
      <c r="NOQ86" s="101"/>
      <c r="NOR86" s="101"/>
      <c r="NOS86" s="101"/>
      <c r="NOT86" s="101"/>
      <c r="NOU86" s="101"/>
      <c r="NOV86" s="101"/>
      <c r="NOW86" s="101"/>
      <c r="NOX86" s="101"/>
      <c r="NOY86" s="101"/>
      <c r="NOZ86" s="101"/>
      <c r="NPA86" s="101"/>
      <c r="NPB86" s="101"/>
      <c r="NPC86" s="101"/>
      <c r="NPD86" s="101"/>
      <c r="NPE86" s="101"/>
      <c r="NPF86" s="101"/>
      <c r="NPG86" s="101"/>
      <c r="NPH86" s="101"/>
      <c r="NPI86" s="101"/>
      <c r="NPJ86" s="101"/>
      <c r="NPK86" s="101"/>
      <c r="NPL86" s="101"/>
      <c r="NPM86" s="101"/>
      <c r="NPN86" s="101"/>
      <c r="NPO86" s="101"/>
      <c r="NPP86" s="101"/>
      <c r="NPQ86" s="101"/>
      <c r="NPR86" s="101"/>
      <c r="NPS86" s="101"/>
      <c r="NPT86" s="101"/>
      <c r="NPU86" s="101"/>
      <c r="NPV86" s="101"/>
      <c r="NPW86" s="101"/>
      <c r="NPX86" s="101"/>
      <c r="NPY86" s="101"/>
      <c r="NPZ86" s="101"/>
      <c r="NQA86" s="101"/>
      <c r="NQB86" s="101"/>
      <c r="NQC86" s="101"/>
      <c r="NQD86" s="101"/>
      <c r="NQE86" s="101"/>
      <c r="NQF86" s="101"/>
      <c r="NQG86" s="101"/>
      <c r="NQH86" s="101"/>
      <c r="NQI86" s="101"/>
      <c r="NQJ86" s="101"/>
      <c r="NQK86" s="101"/>
      <c r="NQL86" s="101"/>
      <c r="NQM86" s="101"/>
      <c r="NQN86" s="101"/>
      <c r="NQO86" s="101"/>
      <c r="NQP86" s="101"/>
      <c r="NQQ86" s="101"/>
      <c r="NQR86" s="101"/>
      <c r="NQS86" s="101"/>
      <c r="NQT86" s="101"/>
      <c r="NQU86" s="101"/>
      <c r="NQV86" s="101"/>
      <c r="NQW86" s="101"/>
      <c r="NQX86" s="101"/>
      <c r="NQY86" s="101"/>
      <c r="NQZ86" s="101"/>
      <c r="NRA86" s="101"/>
      <c r="NRB86" s="101"/>
      <c r="NRC86" s="101"/>
      <c r="NRD86" s="101"/>
      <c r="NRE86" s="101"/>
    </row>
    <row r="87" spans="1:9937" ht="25" customHeight="1" x14ac:dyDescent="0.45">
      <c r="A87" s="194" t="s">
        <v>485</v>
      </c>
      <c r="B87" s="197"/>
      <c r="C87" s="392">
        <f t="shared" ref="C87" si="43">ROUND((C56*C42*C52*100),1)</f>
        <v>0</v>
      </c>
      <c r="D87" s="392">
        <f t="shared" ref="D87:F88" si="44">C87</f>
        <v>0</v>
      </c>
      <c r="E87" s="392">
        <f t="shared" si="44"/>
        <v>0</v>
      </c>
      <c r="F87" s="364">
        <f t="shared" si="44"/>
        <v>0</v>
      </c>
    </row>
    <row r="88" spans="1:9937" ht="25" customHeight="1" x14ac:dyDescent="0.45">
      <c r="A88" s="194" t="s">
        <v>486</v>
      </c>
      <c r="B88" s="197"/>
      <c r="C88" s="392">
        <f t="shared" ref="C88" si="45">ROUND((C57*C42*C53*100),1)</f>
        <v>0</v>
      </c>
      <c r="D88" s="392">
        <f t="shared" si="44"/>
        <v>0</v>
      </c>
      <c r="E88" s="392">
        <f t="shared" si="44"/>
        <v>0</v>
      </c>
      <c r="F88" s="364">
        <f t="shared" si="44"/>
        <v>0</v>
      </c>
    </row>
    <row r="89" spans="1:9937" ht="25" customHeight="1" thickBot="1" x14ac:dyDescent="0.5">
      <c r="A89" s="198" t="s">
        <v>640</v>
      </c>
      <c r="B89" s="199"/>
      <c r="C89" s="415">
        <f>SUM(C87:C88)</f>
        <v>0</v>
      </c>
      <c r="D89" s="415">
        <f>SUM(D87:D88)</f>
        <v>0</v>
      </c>
      <c r="E89" s="415">
        <f t="shared" ref="E89:F89" si="46">SUM(E87:E88)</f>
        <v>0</v>
      </c>
      <c r="F89" s="385">
        <f t="shared" si="46"/>
        <v>0</v>
      </c>
    </row>
    <row r="90" spans="1:9937" s="5" customFormat="1" ht="25" customHeight="1" thickTop="1" x14ac:dyDescent="0.45">
      <c r="A90" s="200" t="s">
        <v>11</v>
      </c>
      <c r="B90" s="65"/>
      <c r="C90" s="392"/>
      <c r="D90" s="392"/>
      <c r="E90" s="392"/>
      <c r="F90" s="364"/>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c r="JX90" s="91"/>
      <c r="JY90" s="91"/>
      <c r="JZ90" s="91"/>
      <c r="KA90" s="91"/>
      <c r="KB90" s="91"/>
      <c r="KC90" s="91"/>
      <c r="KD90" s="91"/>
      <c r="KE90" s="91"/>
      <c r="KF90" s="91"/>
      <c r="KG90" s="91"/>
      <c r="KH90" s="91"/>
      <c r="KI90" s="91"/>
      <c r="KJ90" s="91"/>
      <c r="KK90" s="91"/>
      <c r="KL90" s="91"/>
      <c r="KM90" s="91"/>
      <c r="KN90" s="91"/>
      <c r="KO90" s="91"/>
      <c r="KP90" s="91"/>
      <c r="KQ90" s="91"/>
      <c r="KR90" s="91"/>
      <c r="KS90" s="91"/>
      <c r="KT90" s="91"/>
      <c r="KU90" s="91"/>
      <c r="KV90" s="91"/>
      <c r="KW90" s="91"/>
      <c r="KX90" s="91"/>
      <c r="KY90" s="91"/>
      <c r="KZ90" s="91"/>
      <c r="LA90" s="91"/>
      <c r="LB90" s="91"/>
      <c r="LC90" s="91"/>
      <c r="LD90" s="91"/>
      <c r="LE90" s="91"/>
      <c r="LF90" s="91"/>
      <c r="LG90" s="91"/>
      <c r="LH90" s="91"/>
      <c r="LI90" s="91"/>
      <c r="LJ90" s="91"/>
      <c r="LK90" s="91"/>
      <c r="LL90" s="91"/>
      <c r="LM90" s="91"/>
      <c r="LN90" s="91"/>
      <c r="LO90" s="91"/>
      <c r="LP90" s="91"/>
      <c r="LQ90" s="91"/>
      <c r="LR90" s="91"/>
      <c r="LS90" s="91"/>
      <c r="LT90" s="91"/>
      <c r="LU90" s="91"/>
      <c r="LV90" s="91"/>
      <c r="LW90" s="91"/>
      <c r="LX90" s="91"/>
      <c r="LY90" s="91"/>
      <c r="LZ90" s="91"/>
      <c r="MA90" s="91"/>
      <c r="MB90" s="91"/>
      <c r="MC90" s="91"/>
      <c r="MD90" s="91"/>
      <c r="ME90" s="91"/>
      <c r="MF90" s="91"/>
      <c r="MG90" s="91"/>
      <c r="MH90" s="91"/>
      <c r="MI90" s="91"/>
      <c r="MJ90" s="91"/>
      <c r="MK90" s="91"/>
      <c r="ML90" s="91"/>
      <c r="MM90" s="91"/>
      <c r="MN90" s="91"/>
      <c r="MO90" s="91"/>
      <c r="MP90" s="91"/>
      <c r="MQ90" s="91"/>
      <c r="MR90" s="91"/>
      <c r="MS90" s="91"/>
      <c r="MT90" s="91"/>
      <c r="MU90" s="91"/>
      <c r="MV90" s="91"/>
      <c r="MW90" s="91"/>
      <c r="MX90" s="91"/>
      <c r="MY90" s="91"/>
      <c r="MZ90" s="91"/>
      <c r="NA90" s="91"/>
      <c r="NB90" s="91"/>
      <c r="NC90" s="91"/>
      <c r="ND90" s="91"/>
      <c r="NE90" s="91"/>
      <c r="NF90" s="91"/>
      <c r="NG90" s="91"/>
      <c r="NH90" s="91"/>
      <c r="NI90" s="91"/>
      <c r="NJ90" s="91"/>
      <c r="NK90" s="91"/>
      <c r="NL90" s="91"/>
      <c r="NM90" s="91"/>
      <c r="NN90" s="91"/>
      <c r="NO90" s="91"/>
      <c r="NP90" s="91"/>
      <c r="NQ90" s="91"/>
      <c r="NR90" s="91"/>
      <c r="NS90" s="91"/>
      <c r="NT90" s="91"/>
      <c r="NU90" s="91"/>
      <c r="NV90" s="91"/>
      <c r="NW90" s="91"/>
      <c r="NX90" s="91"/>
      <c r="NY90" s="91"/>
      <c r="NZ90" s="91"/>
      <c r="OA90" s="91"/>
      <c r="OB90" s="91"/>
      <c r="OC90" s="91"/>
      <c r="OD90" s="91"/>
      <c r="OE90" s="91"/>
      <c r="OF90" s="91"/>
      <c r="OG90" s="91"/>
      <c r="OH90" s="91"/>
      <c r="OI90" s="91"/>
      <c r="OJ90" s="91"/>
      <c r="OK90" s="91"/>
      <c r="OL90" s="91"/>
      <c r="OM90" s="91"/>
      <c r="ON90" s="91"/>
      <c r="OO90" s="91"/>
      <c r="OP90" s="91"/>
      <c r="OQ90" s="91"/>
      <c r="OR90" s="91"/>
      <c r="OS90" s="91"/>
      <c r="OT90" s="91"/>
      <c r="OU90" s="91"/>
      <c r="OV90" s="91"/>
      <c r="OW90" s="91"/>
      <c r="OX90" s="91"/>
      <c r="OY90" s="91"/>
      <c r="OZ90" s="91"/>
      <c r="PA90" s="91"/>
      <c r="PB90" s="91"/>
      <c r="PC90" s="91"/>
      <c r="PD90" s="91"/>
      <c r="PE90" s="91"/>
      <c r="PF90" s="91"/>
      <c r="PG90" s="91"/>
      <c r="PH90" s="91"/>
      <c r="PI90" s="91"/>
      <c r="PJ90" s="91"/>
      <c r="PK90" s="91"/>
      <c r="PL90" s="91"/>
      <c r="PM90" s="91"/>
      <c r="PN90" s="91"/>
      <c r="PO90" s="91"/>
      <c r="PP90" s="91"/>
      <c r="PQ90" s="91"/>
      <c r="PR90" s="91"/>
      <c r="PS90" s="91"/>
      <c r="PT90" s="91"/>
      <c r="PU90" s="91"/>
      <c r="PV90" s="91"/>
      <c r="PW90" s="91"/>
      <c r="PX90" s="91"/>
      <c r="PY90" s="91"/>
      <c r="PZ90" s="91"/>
      <c r="QA90" s="91"/>
      <c r="QB90" s="91"/>
      <c r="QC90" s="91"/>
      <c r="QD90" s="91"/>
      <c r="QE90" s="91"/>
      <c r="QF90" s="91"/>
      <c r="QG90" s="91"/>
      <c r="QH90" s="91"/>
      <c r="QI90" s="91"/>
      <c r="QJ90" s="91"/>
      <c r="QK90" s="91"/>
      <c r="QL90" s="91"/>
      <c r="QM90" s="91"/>
      <c r="QN90" s="91"/>
      <c r="QO90" s="91"/>
      <c r="QP90" s="91"/>
      <c r="QQ90" s="91"/>
      <c r="QR90" s="91"/>
      <c r="QS90" s="91"/>
      <c r="QT90" s="91"/>
      <c r="QU90" s="91"/>
      <c r="QV90" s="91"/>
      <c r="QW90" s="91"/>
      <c r="QX90" s="91"/>
      <c r="QY90" s="91"/>
      <c r="QZ90" s="91"/>
      <c r="RA90" s="91"/>
      <c r="RB90" s="91"/>
      <c r="RC90" s="91"/>
      <c r="RD90" s="91"/>
      <c r="RE90" s="91"/>
      <c r="RF90" s="91"/>
      <c r="RG90" s="91"/>
      <c r="RH90" s="91"/>
      <c r="RI90" s="91"/>
      <c r="RJ90" s="91"/>
      <c r="RK90" s="91"/>
      <c r="RL90" s="91"/>
      <c r="RM90" s="91"/>
      <c r="RN90" s="91"/>
      <c r="RO90" s="91"/>
      <c r="RP90" s="91"/>
      <c r="RQ90" s="91"/>
      <c r="RR90" s="91"/>
      <c r="RS90" s="91"/>
      <c r="RT90" s="91"/>
      <c r="RU90" s="91"/>
      <c r="RV90" s="91"/>
      <c r="RW90" s="91"/>
      <c r="RX90" s="91"/>
      <c r="RY90" s="91"/>
      <c r="RZ90" s="91"/>
      <c r="SA90" s="91"/>
      <c r="SB90" s="91"/>
      <c r="SC90" s="91"/>
      <c r="SD90" s="91"/>
      <c r="SE90" s="91"/>
      <c r="SF90" s="91"/>
      <c r="SG90" s="91"/>
      <c r="SH90" s="91"/>
      <c r="SI90" s="91"/>
      <c r="SJ90" s="91"/>
      <c r="SK90" s="91"/>
      <c r="SL90" s="91"/>
      <c r="SM90" s="91"/>
      <c r="SN90" s="91"/>
      <c r="SO90" s="91"/>
      <c r="SP90" s="91"/>
      <c r="SQ90" s="91"/>
      <c r="SR90" s="91"/>
      <c r="SS90" s="91"/>
      <c r="ST90" s="91"/>
      <c r="SU90" s="91"/>
      <c r="SV90" s="91"/>
      <c r="SW90" s="91"/>
      <c r="SX90" s="91"/>
      <c r="SY90" s="91"/>
      <c r="SZ90" s="91"/>
      <c r="TA90" s="91"/>
      <c r="TB90" s="91"/>
      <c r="TC90" s="91"/>
      <c r="TD90" s="91"/>
      <c r="TE90" s="91"/>
      <c r="TF90" s="91"/>
      <c r="TG90" s="91"/>
      <c r="TH90" s="91"/>
      <c r="TI90" s="91"/>
      <c r="TJ90" s="91"/>
      <c r="TK90" s="91"/>
      <c r="TL90" s="91"/>
      <c r="TM90" s="91"/>
      <c r="TN90" s="91"/>
      <c r="TO90" s="91"/>
      <c r="TP90" s="91"/>
      <c r="TQ90" s="91"/>
      <c r="TR90" s="91"/>
      <c r="TS90" s="91"/>
      <c r="TT90" s="91"/>
      <c r="TU90" s="91"/>
      <c r="TV90" s="91"/>
      <c r="TW90" s="91"/>
      <c r="TX90" s="91"/>
      <c r="TY90" s="91"/>
      <c r="TZ90" s="91"/>
      <c r="UA90" s="91"/>
      <c r="UB90" s="91"/>
      <c r="UC90" s="91"/>
      <c r="UD90" s="91"/>
      <c r="UE90" s="91"/>
      <c r="UF90" s="91"/>
      <c r="UG90" s="91"/>
      <c r="UH90" s="91"/>
      <c r="UI90" s="91"/>
      <c r="UJ90" s="91"/>
      <c r="UK90" s="91"/>
      <c r="UL90" s="91"/>
      <c r="UM90" s="91"/>
      <c r="UN90" s="91"/>
      <c r="UO90" s="91"/>
      <c r="UP90" s="91"/>
      <c r="UQ90" s="91"/>
      <c r="UR90" s="91"/>
      <c r="US90" s="91"/>
      <c r="UT90" s="91"/>
      <c r="UU90" s="91"/>
      <c r="UV90" s="91"/>
      <c r="UW90" s="91"/>
      <c r="UX90" s="91"/>
      <c r="UY90" s="91"/>
      <c r="UZ90" s="91"/>
      <c r="VA90" s="91"/>
      <c r="VB90" s="91"/>
      <c r="VC90" s="91"/>
      <c r="VD90" s="91"/>
      <c r="VE90" s="91"/>
      <c r="VF90" s="91"/>
      <c r="VG90" s="91"/>
      <c r="VH90" s="91"/>
      <c r="VI90" s="91"/>
      <c r="VJ90" s="91"/>
      <c r="VK90" s="91"/>
      <c r="VL90" s="91"/>
      <c r="VM90" s="91"/>
      <c r="VN90" s="91"/>
      <c r="VO90" s="91"/>
      <c r="VP90" s="91"/>
      <c r="VQ90" s="91"/>
      <c r="VR90" s="91"/>
      <c r="VS90" s="91"/>
      <c r="VT90" s="91"/>
      <c r="VU90" s="91"/>
      <c r="VV90" s="91"/>
      <c r="VW90" s="91"/>
      <c r="VX90" s="91"/>
      <c r="VY90" s="91"/>
      <c r="VZ90" s="91"/>
      <c r="WA90" s="91"/>
      <c r="WB90" s="91"/>
      <c r="WC90" s="91"/>
      <c r="WD90" s="91"/>
      <c r="WE90" s="91"/>
      <c r="WF90" s="91"/>
      <c r="WG90" s="91"/>
      <c r="WH90" s="91"/>
      <c r="WI90" s="91"/>
      <c r="WJ90" s="91"/>
      <c r="WK90" s="91"/>
      <c r="WL90" s="91"/>
      <c r="WM90" s="91"/>
      <c r="WN90" s="91"/>
      <c r="WO90" s="91"/>
      <c r="WP90" s="91"/>
      <c r="WQ90" s="91"/>
      <c r="WR90" s="91"/>
      <c r="WS90" s="91"/>
      <c r="WT90" s="91"/>
      <c r="WU90" s="91"/>
      <c r="WV90" s="91"/>
      <c r="WW90" s="91"/>
      <c r="WX90" s="91"/>
      <c r="WY90" s="91"/>
      <c r="WZ90" s="91"/>
      <c r="XA90" s="91"/>
      <c r="XB90" s="91"/>
      <c r="XC90" s="91"/>
      <c r="XD90" s="91"/>
      <c r="XE90" s="91"/>
      <c r="XF90" s="91"/>
      <c r="XG90" s="91"/>
      <c r="XH90" s="91"/>
      <c r="XI90" s="91"/>
      <c r="XJ90" s="91"/>
      <c r="XK90" s="91"/>
      <c r="XL90" s="91"/>
      <c r="XM90" s="91"/>
      <c r="XN90" s="91"/>
      <c r="XO90" s="91"/>
      <c r="XP90" s="91"/>
      <c r="XQ90" s="91"/>
      <c r="XR90" s="91"/>
      <c r="XS90" s="91"/>
      <c r="XT90" s="91"/>
      <c r="XU90" s="91"/>
      <c r="XV90" s="91"/>
      <c r="XW90" s="91"/>
      <c r="XX90" s="91"/>
      <c r="XY90" s="91"/>
      <c r="XZ90" s="91"/>
      <c r="YA90" s="91"/>
      <c r="YB90" s="91"/>
      <c r="YC90" s="91"/>
      <c r="YD90" s="91"/>
      <c r="YE90" s="91"/>
      <c r="YF90" s="91"/>
      <c r="YG90" s="91"/>
      <c r="YH90" s="91"/>
      <c r="YI90" s="91"/>
      <c r="YJ90" s="91"/>
      <c r="YK90" s="91"/>
      <c r="YL90" s="91"/>
      <c r="YM90" s="91"/>
      <c r="YN90" s="91"/>
      <c r="YO90" s="91"/>
      <c r="YP90" s="91"/>
      <c r="YQ90" s="91"/>
      <c r="YR90" s="91"/>
      <c r="YS90" s="91"/>
      <c r="YT90" s="91"/>
      <c r="YU90" s="91"/>
      <c r="YV90" s="91"/>
      <c r="YW90" s="91"/>
      <c r="YX90" s="91"/>
      <c r="YY90" s="91"/>
      <c r="YZ90" s="91"/>
      <c r="ZA90" s="91"/>
      <c r="ZB90" s="91"/>
      <c r="ZC90" s="91"/>
      <c r="ZD90" s="91"/>
      <c r="ZE90" s="91"/>
      <c r="ZF90" s="91"/>
      <c r="ZG90" s="91"/>
      <c r="ZH90" s="91"/>
      <c r="ZI90" s="91"/>
      <c r="ZJ90" s="91"/>
      <c r="ZK90" s="91"/>
      <c r="ZL90" s="91"/>
      <c r="ZM90" s="91"/>
      <c r="ZN90" s="91"/>
      <c r="ZO90" s="91"/>
      <c r="ZP90" s="91"/>
      <c r="ZQ90" s="91"/>
      <c r="ZR90" s="91"/>
      <c r="ZS90" s="91"/>
      <c r="ZT90" s="91"/>
      <c r="ZU90" s="91"/>
      <c r="ZV90" s="91"/>
      <c r="ZW90" s="91"/>
      <c r="ZX90" s="91"/>
      <c r="ZY90" s="91"/>
      <c r="ZZ90" s="91"/>
      <c r="AAA90" s="91"/>
      <c r="AAB90" s="91"/>
      <c r="AAC90" s="91"/>
      <c r="AAD90" s="91"/>
      <c r="AAE90" s="91"/>
      <c r="AAF90" s="91"/>
      <c r="AAG90" s="91"/>
      <c r="AAH90" s="91"/>
      <c r="AAI90" s="91"/>
      <c r="AAJ90" s="91"/>
      <c r="AAK90" s="91"/>
      <c r="AAL90" s="91"/>
      <c r="AAM90" s="91"/>
      <c r="AAN90" s="91"/>
      <c r="AAO90" s="91"/>
      <c r="AAP90" s="91"/>
      <c r="AAQ90" s="91"/>
      <c r="AAR90" s="91"/>
      <c r="AAS90" s="91"/>
      <c r="AAT90" s="91"/>
      <c r="AAU90" s="91"/>
      <c r="AAV90" s="91"/>
      <c r="AAW90" s="91"/>
      <c r="AAX90" s="91"/>
      <c r="AAY90" s="91"/>
      <c r="AAZ90" s="91"/>
      <c r="ABA90" s="91"/>
      <c r="ABB90" s="91"/>
      <c r="ABC90" s="91"/>
      <c r="ABD90" s="91"/>
      <c r="ABE90" s="91"/>
      <c r="ABF90" s="91"/>
      <c r="ABG90" s="91"/>
      <c r="ABH90" s="91"/>
      <c r="ABI90" s="91"/>
      <c r="ABJ90" s="91"/>
      <c r="ABK90" s="91"/>
      <c r="ABL90" s="91"/>
      <c r="ABM90" s="91"/>
      <c r="ABN90" s="91"/>
      <c r="ABO90" s="91"/>
      <c r="ABP90" s="91"/>
      <c r="ABQ90" s="91"/>
      <c r="ABR90" s="91"/>
      <c r="ABS90" s="91"/>
      <c r="ABT90" s="91"/>
      <c r="ABU90" s="91"/>
      <c r="ABV90" s="91"/>
      <c r="ABW90" s="91"/>
      <c r="ABX90" s="91"/>
      <c r="ABY90" s="91"/>
      <c r="ABZ90" s="91"/>
      <c r="ACA90" s="91"/>
      <c r="ACB90" s="91"/>
      <c r="ACC90" s="91"/>
      <c r="ACD90" s="91"/>
      <c r="ACE90" s="91"/>
      <c r="ACF90" s="91"/>
      <c r="ACG90" s="91"/>
      <c r="ACH90" s="91"/>
      <c r="ACI90" s="91"/>
      <c r="ACJ90" s="91"/>
      <c r="ACK90" s="91"/>
      <c r="ACL90" s="91"/>
      <c r="ACM90" s="91"/>
      <c r="ACN90" s="91"/>
      <c r="ACO90" s="91"/>
      <c r="ACP90" s="91"/>
      <c r="ACQ90" s="91"/>
      <c r="ACR90" s="91"/>
      <c r="ACS90" s="91"/>
      <c r="ACT90" s="91"/>
      <c r="ACU90" s="91"/>
      <c r="ACV90" s="91"/>
      <c r="ACW90" s="91"/>
      <c r="ACX90" s="91"/>
      <c r="ACY90" s="91"/>
      <c r="ACZ90" s="91"/>
      <c r="ADA90" s="91"/>
      <c r="ADB90" s="91"/>
      <c r="ADC90" s="91"/>
      <c r="ADD90" s="91"/>
      <c r="ADE90" s="91"/>
      <c r="ADF90" s="91"/>
      <c r="ADG90" s="91"/>
      <c r="ADH90" s="91"/>
      <c r="ADI90" s="91"/>
      <c r="ADJ90" s="91"/>
      <c r="ADK90" s="91"/>
      <c r="ADL90" s="91"/>
      <c r="ADM90" s="91"/>
      <c r="ADN90" s="91"/>
      <c r="ADO90" s="91"/>
      <c r="ADP90" s="91"/>
      <c r="ADQ90" s="91"/>
      <c r="ADR90" s="91"/>
      <c r="ADS90" s="91"/>
      <c r="ADT90" s="91"/>
      <c r="ADU90" s="91"/>
      <c r="ADV90" s="91"/>
      <c r="ADW90" s="91"/>
      <c r="ADX90" s="91"/>
      <c r="ADY90" s="91"/>
      <c r="ADZ90" s="91"/>
      <c r="AEA90" s="91"/>
      <c r="AEB90" s="91"/>
      <c r="AEC90" s="91"/>
      <c r="AED90" s="91"/>
      <c r="AEE90" s="91"/>
      <c r="AEF90" s="91"/>
      <c r="AEG90" s="91"/>
      <c r="AEH90" s="91"/>
      <c r="AEI90" s="91"/>
      <c r="AEJ90" s="91"/>
      <c r="AEK90" s="91"/>
      <c r="AEL90" s="91"/>
      <c r="AEM90" s="91"/>
      <c r="AEN90" s="91"/>
      <c r="AEO90" s="91"/>
      <c r="AEP90" s="91"/>
      <c r="AEQ90" s="91"/>
      <c r="AER90" s="91"/>
      <c r="AES90" s="91"/>
      <c r="AET90" s="91"/>
      <c r="AEU90" s="91"/>
      <c r="AEV90" s="91"/>
      <c r="AEW90" s="91"/>
      <c r="AEX90" s="91"/>
      <c r="AEY90" s="91"/>
      <c r="AEZ90" s="91"/>
      <c r="AFA90" s="91"/>
      <c r="AFB90" s="91"/>
      <c r="AFC90" s="91"/>
      <c r="AFD90" s="91"/>
      <c r="AFE90" s="91"/>
      <c r="AFF90" s="91"/>
      <c r="AFG90" s="91"/>
      <c r="AFH90" s="91"/>
      <c r="AFI90" s="91"/>
      <c r="AFJ90" s="91"/>
      <c r="AFK90" s="91"/>
      <c r="AFL90" s="91"/>
      <c r="AFM90" s="91"/>
      <c r="AFN90" s="91"/>
      <c r="AFO90" s="91"/>
      <c r="AFP90" s="91"/>
      <c r="AFQ90" s="91"/>
      <c r="AFR90" s="91"/>
      <c r="AFS90" s="91"/>
      <c r="AFT90" s="91"/>
      <c r="AFU90" s="91"/>
      <c r="AFV90" s="91"/>
      <c r="AFW90" s="91"/>
      <c r="AFX90" s="91"/>
      <c r="AFY90" s="91"/>
      <c r="AFZ90" s="91"/>
      <c r="AGA90" s="91"/>
      <c r="AGB90" s="91"/>
      <c r="AGC90" s="91"/>
      <c r="AGD90" s="91"/>
      <c r="AGE90" s="91"/>
      <c r="AGF90" s="91"/>
      <c r="AGG90" s="91"/>
      <c r="AGH90" s="91"/>
      <c r="AGI90" s="91"/>
      <c r="AGJ90" s="91"/>
      <c r="AGK90" s="91"/>
      <c r="AGL90" s="91"/>
      <c r="AGM90" s="91"/>
      <c r="AGN90" s="91"/>
      <c r="AGO90" s="91"/>
      <c r="AGP90" s="91"/>
      <c r="AGQ90" s="91"/>
      <c r="AGR90" s="91"/>
      <c r="AGS90" s="91"/>
      <c r="AGT90" s="91"/>
      <c r="AGU90" s="91"/>
      <c r="AGV90" s="91"/>
      <c r="AGW90" s="91"/>
      <c r="AGX90" s="91"/>
      <c r="AGY90" s="91"/>
      <c r="AGZ90" s="91"/>
      <c r="AHA90" s="91"/>
      <c r="AHB90" s="91"/>
      <c r="AHC90" s="91"/>
      <c r="AHD90" s="91"/>
      <c r="AHE90" s="91"/>
      <c r="AHF90" s="91"/>
      <c r="AHG90" s="91"/>
      <c r="AHH90" s="91"/>
      <c r="AHI90" s="91"/>
      <c r="AHJ90" s="91"/>
      <c r="AHK90" s="91"/>
      <c r="AHL90" s="91"/>
      <c r="AHM90" s="91"/>
      <c r="AHN90" s="91"/>
      <c r="AHO90" s="91"/>
      <c r="AHP90" s="91"/>
      <c r="AHQ90" s="91"/>
      <c r="AHR90" s="91"/>
      <c r="AHS90" s="91"/>
      <c r="AHT90" s="91"/>
      <c r="AHU90" s="91"/>
      <c r="AHV90" s="91"/>
      <c r="AHW90" s="91"/>
      <c r="AHX90" s="91"/>
      <c r="AHY90" s="91"/>
      <c r="AHZ90" s="91"/>
      <c r="AIA90" s="91"/>
      <c r="AIB90" s="91"/>
      <c r="AIC90" s="91"/>
      <c r="AID90" s="91"/>
      <c r="AIE90" s="91"/>
      <c r="AIF90" s="91"/>
      <c r="AIG90" s="91"/>
      <c r="AIH90" s="91"/>
      <c r="AII90" s="91"/>
      <c r="AIJ90" s="91"/>
      <c r="AIK90" s="91"/>
      <c r="AIL90" s="91"/>
      <c r="AIM90" s="91"/>
      <c r="AIN90" s="91"/>
      <c r="AIO90" s="91"/>
      <c r="AIP90" s="91"/>
      <c r="AIQ90" s="91"/>
      <c r="AIR90" s="91"/>
      <c r="AIS90" s="91"/>
      <c r="AIT90" s="91"/>
      <c r="AIU90" s="91"/>
      <c r="AIV90" s="91"/>
      <c r="AIW90" s="91"/>
      <c r="AIX90" s="91"/>
      <c r="AIY90" s="91"/>
      <c r="AIZ90" s="91"/>
      <c r="AJA90" s="91"/>
      <c r="AJB90" s="91"/>
      <c r="AJC90" s="91"/>
      <c r="AJD90" s="91"/>
      <c r="AJE90" s="91"/>
      <c r="AJF90" s="91"/>
      <c r="AJG90" s="91"/>
      <c r="AJH90" s="91"/>
      <c r="AJI90" s="91"/>
      <c r="AJJ90" s="91"/>
      <c r="AJK90" s="91"/>
      <c r="AJL90" s="91"/>
      <c r="AJM90" s="91"/>
      <c r="AJN90" s="91"/>
      <c r="AJO90" s="91"/>
      <c r="AJP90" s="91"/>
      <c r="AJQ90" s="91"/>
      <c r="AJR90" s="91"/>
      <c r="AJS90" s="91"/>
      <c r="AJT90" s="91"/>
      <c r="AJU90" s="91"/>
      <c r="AJV90" s="91"/>
      <c r="AJW90" s="91"/>
      <c r="AJX90" s="91"/>
      <c r="AJY90" s="91"/>
      <c r="AJZ90" s="91"/>
      <c r="AKA90" s="91"/>
      <c r="AKB90" s="91"/>
      <c r="AKC90" s="91"/>
      <c r="AKD90" s="91"/>
      <c r="AKE90" s="91"/>
      <c r="AKF90" s="91"/>
      <c r="AKG90" s="91"/>
      <c r="AKH90" s="91"/>
      <c r="AKI90" s="91"/>
      <c r="AKJ90" s="91"/>
      <c r="AKK90" s="91"/>
      <c r="AKL90" s="91"/>
      <c r="AKM90" s="91"/>
      <c r="AKN90" s="91"/>
      <c r="AKO90" s="91"/>
      <c r="AKP90" s="91"/>
      <c r="AKQ90" s="91"/>
      <c r="AKR90" s="91"/>
      <c r="AKS90" s="91"/>
      <c r="AKT90" s="91"/>
      <c r="AKU90" s="91"/>
      <c r="AKV90" s="91"/>
      <c r="AKW90" s="91"/>
      <c r="AKX90" s="91"/>
      <c r="AKY90" s="91"/>
      <c r="AKZ90" s="91"/>
      <c r="ALA90" s="91"/>
      <c r="ALB90" s="91"/>
      <c r="ALC90" s="91"/>
      <c r="ALD90" s="91"/>
      <c r="ALE90" s="91"/>
      <c r="ALF90" s="91"/>
      <c r="ALG90" s="91"/>
      <c r="ALH90" s="91"/>
      <c r="ALI90" s="91"/>
      <c r="ALJ90" s="91"/>
      <c r="ALK90" s="91"/>
      <c r="ALL90" s="91"/>
      <c r="ALM90" s="91"/>
      <c r="ALN90" s="91"/>
      <c r="ALO90" s="91"/>
      <c r="ALP90" s="91"/>
      <c r="ALQ90" s="91"/>
      <c r="ALR90" s="91"/>
      <c r="ALS90" s="91"/>
      <c r="ALT90" s="91"/>
      <c r="ALU90" s="91"/>
      <c r="ALV90" s="91"/>
      <c r="ALW90" s="91"/>
      <c r="ALX90" s="91"/>
      <c r="ALY90" s="91"/>
      <c r="ALZ90" s="91"/>
      <c r="AMA90" s="91"/>
      <c r="AMB90" s="91"/>
      <c r="AMC90" s="91"/>
      <c r="AMD90" s="91"/>
      <c r="AME90" s="91"/>
      <c r="AMF90" s="91"/>
      <c r="AMG90" s="91"/>
      <c r="AMH90" s="91"/>
      <c r="AMI90" s="91"/>
      <c r="AMJ90" s="91"/>
      <c r="AMK90" s="91"/>
      <c r="AML90" s="91"/>
      <c r="AMM90" s="91"/>
      <c r="AMN90" s="91"/>
      <c r="AMO90" s="91"/>
      <c r="AMP90" s="91"/>
      <c r="AMQ90" s="91"/>
      <c r="AMR90" s="91"/>
      <c r="AMS90" s="91"/>
      <c r="AMT90" s="91"/>
      <c r="AMU90" s="91"/>
      <c r="AMV90" s="91"/>
      <c r="AMW90" s="91"/>
      <c r="AMX90" s="91"/>
      <c r="AMY90" s="91"/>
      <c r="AMZ90" s="91"/>
      <c r="ANA90" s="91"/>
      <c r="ANB90" s="91"/>
      <c r="ANC90" s="91"/>
      <c r="AND90" s="91"/>
      <c r="ANE90" s="91"/>
      <c r="ANF90" s="91"/>
      <c r="ANG90" s="91"/>
      <c r="ANH90" s="91"/>
      <c r="ANI90" s="91"/>
      <c r="ANJ90" s="91"/>
      <c r="ANK90" s="91"/>
      <c r="ANL90" s="91"/>
      <c r="ANM90" s="91"/>
      <c r="ANN90" s="91"/>
      <c r="ANO90" s="91"/>
      <c r="ANP90" s="91"/>
      <c r="ANQ90" s="91"/>
      <c r="ANR90" s="91"/>
      <c r="ANS90" s="91"/>
      <c r="ANT90" s="91"/>
      <c r="ANU90" s="91"/>
      <c r="ANV90" s="91"/>
      <c r="ANW90" s="91"/>
      <c r="ANX90" s="91"/>
      <c r="ANY90" s="91"/>
      <c r="ANZ90" s="91"/>
      <c r="AOA90" s="91"/>
      <c r="AOB90" s="91"/>
      <c r="AOC90" s="91"/>
      <c r="AOD90" s="91"/>
      <c r="AOE90" s="91"/>
      <c r="AOF90" s="91"/>
      <c r="AOG90" s="91"/>
      <c r="AOH90" s="91"/>
      <c r="AOI90" s="91"/>
      <c r="AOJ90" s="91"/>
      <c r="AOK90" s="91"/>
      <c r="AOL90" s="91"/>
      <c r="AOM90" s="91"/>
      <c r="AON90" s="91"/>
      <c r="AOO90" s="91"/>
      <c r="AOP90" s="91"/>
      <c r="AOQ90" s="91"/>
      <c r="AOR90" s="91"/>
      <c r="AOS90" s="91"/>
      <c r="AOT90" s="91"/>
      <c r="AOU90" s="91"/>
      <c r="AOV90" s="91"/>
      <c r="AOW90" s="91"/>
      <c r="AOX90" s="91"/>
      <c r="AOY90" s="91"/>
      <c r="AOZ90" s="91"/>
      <c r="APA90" s="91"/>
      <c r="APB90" s="91"/>
      <c r="APC90" s="91"/>
      <c r="APD90" s="91"/>
      <c r="APE90" s="91"/>
      <c r="APF90" s="91"/>
      <c r="APG90" s="91"/>
      <c r="APH90" s="91"/>
      <c r="API90" s="91"/>
      <c r="APJ90" s="91"/>
      <c r="APK90" s="91"/>
      <c r="APL90" s="91"/>
      <c r="APM90" s="91"/>
      <c r="APN90" s="91"/>
      <c r="APO90" s="91"/>
      <c r="APP90" s="91"/>
      <c r="APQ90" s="91"/>
      <c r="APR90" s="91"/>
      <c r="APS90" s="91"/>
      <c r="APT90" s="91"/>
      <c r="APU90" s="91"/>
      <c r="APV90" s="91"/>
      <c r="APW90" s="91"/>
      <c r="APX90" s="91"/>
      <c r="APY90" s="91"/>
      <c r="APZ90" s="91"/>
      <c r="AQA90" s="91"/>
      <c r="AQB90" s="91"/>
      <c r="AQC90" s="91"/>
      <c r="AQD90" s="91"/>
      <c r="AQE90" s="91"/>
      <c r="AQF90" s="91"/>
      <c r="AQG90" s="91"/>
      <c r="AQH90" s="91"/>
      <c r="AQI90" s="91"/>
      <c r="AQJ90" s="91"/>
      <c r="AQK90" s="91"/>
      <c r="AQL90" s="91"/>
      <c r="AQM90" s="91"/>
      <c r="AQN90" s="91"/>
      <c r="AQO90" s="91"/>
      <c r="AQP90" s="91"/>
      <c r="AQQ90" s="91"/>
      <c r="AQR90" s="91"/>
      <c r="AQS90" s="91"/>
      <c r="AQT90" s="91"/>
      <c r="AQU90" s="91"/>
      <c r="AQV90" s="91"/>
      <c r="AQW90" s="91"/>
      <c r="AQX90" s="91"/>
      <c r="AQY90" s="91"/>
      <c r="AQZ90" s="91"/>
      <c r="ARA90" s="91"/>
      <c r="ARB90" s="91"/>
      <c r="ARC90" s="91"/>
      <c r="ARD90" s="91"/>
      <c r="ARE90" s="91"/>
      <c r="ARF90" s="91"/>
      <c r="ARG90" s="91"/>
      <c r="ARH90" s="91"/>
      <c r="ARI90" s="91"/>
      <c r="ARJ90" s="91"/>
      <c r="ARK90" s="91"/>
      <c r="ARL90" s="91"/>
      <c r="ARM90" s="91"/>
      <c r="ARN90" s="91"/>
      <c r="ARO90" s="91"/>
      <c r="ARP90" s="91"/>
      <c r="ARQ90" s="91"/>
      <c r="ARR90" s="91"/>
      <c r="ARS90" s="91"/>
      <c r="ART90" s="91"/>
      <c r="ARU90" s="91"/>
      <c r="ARV90" s="91"/>
      <c r="ARW90" s="91"/>
      <c r="ARX90" s="91"/>
      <c r="ARY90" s="91"/>
      <c r="ARZ90" s="91"/>
      <c r="ASA90" s="91"/>
      <c r="ASB90" s="91"/>
      <c r="ASC90" s="91"/>
      <c r="ASD90" s="91"/>
      <c r="ASE90" s="91"/>
      <c r="ASF90" s="91"/>
      <c r="ASG90" s="91"/>
      <c r="ASH90" s="91"/>
      <c r="ASI90" s="91"/>
      <c r="ASJ90" s="91"/>
      <c r="ASK90" s="91"/>
      <c r="ASL90" s="91"/>
      <c r="ASM90" s="91"/>
      <c r="ASN90" s="91"/>
      <c r="ASO90" s="91"/>
      <c r="ASP90" s="91"/>
      <c r="ASQ90" s="91"/>
      <c r="ASR90" s="91"/>
      <c r="ASS90" s="91"/>
      <c r="AST90" s="91"/>
      <c r="ASU90" s="91"/>
      <c r="ASV90" s="91"/>
      <c r="ASW90" s="91"/>
      <c r="ASX90" s="91"/>
      <c r="ASY90" s="91"/>
      <c r="ASZ90" s="91"/>
      <c r="ATA90" s="91"/>
      <c r="ATB90" s="91"/>
      <c r="ATC90" s="91"/>
      <c r="ATD90" s="91"/>
      <c r="ATE90" s="91"/>
      <c r="ATF90" s="91"/>
      <c r="ATG90" s="91"/>
      <c r="ATH90" s="91"/>
      <c r="ATI90" s="91"/>
      <c r="ATJ90" s="91"/>
      <c r="ATK90" s="91"/>
      <c r="ATL90" s="91"/>
      <c r="ATM90" s="91"/>
      <c r="ATN90" s="91"/>
      <c r="ATO90" s="91"/>
      <c r="ATP90" s="91"/>
      <c r="ATQ90" s="91"/>
      <c r="ATR90" s="91"/>
      <c r="ATS90" s="91"/>
      <c r="ATT90" s="91"/>
      <c r="ATU90" s="91"/>
      <c r="ATV90" s="91"/>
      <c r="ATW90" s="91"/>
      <c r="ATX90" s="91"/>
      <c r="ATY90" s="91"/>
      <c r="ATZ90" s="91"/>
      <c r="AUA90" s="91"/>
      <c r="AUB90" s="91"/>
      <c r="AUC90" s="91"/>
      <c r="AUD90" s="91"/>
      <c r="AUE90" s="91"/>
      <c r="AUF90" s="91"/>
      <c r="AUG90" s="91"/>
      <c r="AUH90" s="91"/>
      <c r="AUI90" s="91"/>
      <c r="AUJ90" s="91"/>
      <c r="AUK90" s="91"/>
      <c r="AUL90" s="91"/>
      <c r="AUM90" s="91"/>
      <c r="AUN90" s="91"/>
      <c r="AUO90" s="91"/>
      <c r="AUP90" s="91"/>
      <c r="AUQ90" s="91"/>
      <c r="AUR90" s="91"/>
      <c r="AUS90" s="91"/>
      <c r="AUT90" s="91"/>
      <c r="AUU90" s="91"/>
      <c r="AUV90" s="91"/>
      <c r="AUW90" s="91"/>
      <c r="AUX90" s="91"/>
      <c r="AUY90" s="91"/>
      <c r="AUZ90" s="91"/>
      <c r="AVA90" s="91"/>
      <c r="AVB90" s="91"/>
      <c r="AVC90" s="91"/>
      <c r="AVD90" s="91"/>
      <c r="AVE90" s="91"/>
      <c r="AVF90" s="91"/>
      <c r="AVG90" s="91"/>
      <c r="AVH90" s="91"/>
      <c r="AVI90" s="91"/>
      <c r="AVJ90" s="91"/>
      <c r="AVK90" s="91"/>
      <c r="AVL90" s="91"/>
      <c r="AVM90" s="91"/>
      <c r="AVN90" s="91"/>
      <c r="AVO90" s="91"/>
      <c r="AVP90" s="91"/>
      <c r="AVQ90" s="91"/>
      <c r="AVR90" s="91"/>
      <c r="AVS90" s="91"/>
      <c r="AVT90" s="91"/>
      <c r="AVU90" s="91"/>
      <c r="AVV90" s="91"/>
      <c r="AVW90" s="91"/>
      <c r="AVX90" s="91"/>
      <c r="AVY90" s="91"/>
      <c r="AVZ90" s="91"/>
      <c r="AWA90" s="91"/>
      <c r="AWB90" s="91"/>
      <c r="AWC90" s="91"/>
      <c r="AWD90" s="91"/>
      <c r="AWE90" s="91"/>
      <c r="AWF90" s="91"/>
      <c r="AWG90" s="91"/>
      <c r="AWH90" s="91"/>
      <c r="AWI90" s="91"/>
      <c r="AWJ90" s="91"/>
      <c r="AWK90" s="91"/>
      <c r="AWL90" s="91"/>
      <c r="AWM90" s="91"/>
      <c r="AWN90" s="91"/>
      <c r="AWO90" s="91"/>
      <c r="AWP90" s="91"/>
      <c r="AWQ90" s="91"/>
      <c r="AWR90" s="91"/>
      <c r="AWS90" s="91"/>
      <c r="AWT90" s="91"/>
      <c r="AWU90" s="91"/>
      <c r="AWV90" s="91"/>
      <c r="AWW90" s="91"/>
      <c r="AWX90" s="91"/>
      <c r="AWY90" s="91"/>
      <c r="AWZ90" s="91"/>
      <c r="AXA90" s="91"/>
      <c r="AXB90" s="91"/>
      <c r="AXC90" s="91"/>
      <c r="AXD90" s="91"/>
      <c r="AXE90" s="91"/>
      <c r="AXF90" s="91"/>
      <c r="AXG90" s="91"/>
      <c r="AXH90" s="91"/>
      <c r="AXI90" s="91"/>
      <c r="AXJ90" s="91"/>
      <c r="AXK90" s="91"/>
      <c r="AXL90" s="91"/>
      <c r="AXM90" s="91"/>
      <c r="AXN90" s="91"/>
      <c r="AXO90" s="91"/>
      <c r="AXP90" s="91"/>
      <c r="AXQ90" s="91"/>
      <c r="AXR90" s="91"/>
      <c r="AXS90" s="91"/>
      <c r="AXT90" s="91"/>
      <c r="AXU90" s="91"/>
      <c r="AXV90" s="91"/>
      <c r="AXW90" s="91"/>
      <c r="AXX90" s="91"/>
      <c r="AXY90" s="91"/>
      <c r="AXZ90" s="91"/>
      <c r="AYA90" s="91"/>
      <c r="AYB90" s="91"/>
      <c r="AYC90" s="91"/>
      <c r="AYD90" s="91"/>
      <c r="AYE90" s="91"/>
      <c r="AYF90" s="91"/>
      <c r="AYG90" s="91"/>
      <c r="AYH90" s="91"/>
      <c r="AYI90" s="91"/>
      <c r="AYJ90" s="91"/>
      <c r="AYK90" s="91"/>
      <c r="AYL90" s="91"/>
      <c r="AYM90" s="91"/>
      <c r="AYN90" s="91"/>
      <c r="AYO90" s="91"/>
      <c r="AYP90" s="91"/>
      <c r="AYQ90" s="91"/>
      <c r="AYR90" s="91"/>
      <c r="AYS90" s="91"/>
      <c r="AYT90" s="91"/>
      <c r="AYU90" s="91"/>
      <c r="AYV90" s="91"/>
      <c r="AYW90" s="91"/>
      <c r="AYX90" s="91"/>
      <c r="AYY90" s="91"/>
      <c r="AYZ90" s="91"/>
      <c r="AZA90" s="91"/>
      <c r="AZB90" s="91"/>
      <c r="AZC90" s="91"/>
      <c r="AZD90" s="91"/>
      <c r="AZE90" s="91"/>
      <c r="AZF90" s="91"/>
      <c r="AZG90" s="91"/>
      <c r="AZH90" s="91"/>
      <c r="AZI90" s="91"/>
      <c r="AZJ90" s="91"/>
      <c r="AZK90" s="91"/>
      <c r="AZL90" s="91"/>
      <c r="AZM90" s="91"/>
      <c r="AZN90" s="91"/>
      <c r="AZO90" s="91"/>
      <c r="AZP90" s="91"/>
      <c r="AZQ90" s="91"/>
      <c r="AZR90" s="91"/>
      <c r="AZS90" s="91"/>
      <c r="AZT90" s="91"/>
      <c r="AZU90" s="91"/>
      <c r="AZV90" s="91"/>
      <c r="AZW90" s="91"/>
      <c r="AZX90" s="91"/>
      <c r="AZY90" s="91"/>
      <c r="AZZ90" s="91"/>
      <c r="BAA90" s="91"/>
      <c r="BAB90" s="91"/>
      <c r="BAC90" s="91"/>
      <c r="BAD90" s="91"/>
      <c r="BAE90" s="91"/>
      <c r="BAF90" s="91"/>
      <c r="BAG90" s="91"/>
      <c r="BAH90" s="91"/>
      <c r="BAI90" s="91"/>
      <c r="BAJ90" s="91"/>
      <c r="BAK90" s="91"/>
      <c r="BAL90" s="91"/>
      <c r="BAM90" s="91"/>
      <c r="BAN90" s="91"/>
      <c r="BAO90" s="91"/>
      <c r="BAP90" s="91"/>
      <c r="BAQ90" s="91"/>
      <c r="BAR90" s="91"/>
      <c r="BAS90" s="91"/>
      <c r="BAT90" s="91"/>
      <c r="BAU90" s="91"/>
      <c r="BAV90" s="91"/>
      <c r="BAW90" s="91"/>
      <c r="BAX90" s="91"/>
      <c r="BAY90" s="91"/>
      <c r="BAZ90" s="91"/>
      <c r="BBA90" s="91"/>
      <c r="BBB90" s="91"/>
      <c r="BBC90" s="91"/>
      <c r="BBD90" s="91"/>
      <c r="BBE90" s="91"/>
      <c r="BBF90" s="91"/>
      <c r="BBG90" s="91"/>
      <c r="BBH90" s="91"/>
      <c r="BBI90" s="91"/>
      <c r="BBJ90" s="91"/>
      <c r="BBK90" s="91"/>
      <c r="BBL90" s="91"/>
      <c r="BBM90" s="91"/>
      <c r="BBN90" s="91"/>
      <c r="BBO90" s="91"/>
      <c r="BBP90" s="91"/>
      <c r="BBQ90" s="91"/>
      <c r="BBR90" s="91"/>
      <c r="BBS90" s="91"/>
      <c r="BBT90" s="91"/>
      <c r="BBU90" s="91"/>
      <c r="BBV90" s="91"/>
      <c r="BBW90" s="91"/>
      <c r="BBX90" s="91"/>
      <c r="BBY90" s="91"/>
      <c r="BBZ90" s="91"/>
      <c r="BCA90" s="91"/>
      <c r="BCB90" s="91"/>
      <c r="BCC90" s="91"/>
      <c r="BCD90" s="91"/>
      <c r="BCE90" s="91"/>
      <c r="BCF90" s="91"/>
      <c r="BCG90" s="91"/>
      <c r="BCH90" s="91"/>
      <c r="BCI90" s="91"/>
      <c r="BCJ90" s="91"/>
      <c r="BCK90" s="91"/>
      <c r="BCL90" s="91"/>
      <c r="BCM90" s="91"/>
      <c r="BCN90" s="91"/>
      <c r="BCO90" s="91"/>
      <c r="BCP90" s="91"/>
      <c r="BCQ90" s="91"/>
      <c r="BCR90" s="91"/>
      <c r="BCS90" s="91"/>
      <c r="BCT90" s="91"/>
      <c r="BCU90" s="91"/>
      <c r="BCV90" s="91"/>
      <c r="BCW90" s="91"/>
      <c r="BCX90" s="91"/>
      <c r="BCY90" s="91"/>
      <c r="BCZ90" s="91"/>
      <c r="BDA90" s="91"/>
      <c r="BDB90" s="91"/>
      <c r="BDC90" s="91"/>
      <c r="BDD90" s="91"/>
      <c r="BDE90" s="91"/>
      <c r="BDF90" s="91"/>
      <c r="BDG90" s="91"/>
      <c r="BDH90" s="91"/>
      <c r="BDI90" s="91"/>
      <c r="BDJ90" s="91"/>
      <c r="BDK90" s="91"/>
      <c r="BDL90" s="91"/>
      <c r="BDM90" s="91"/>
      <c r="BDN90" s="91"/>
      <c r="BDO90" s="91"/>
      <c r="BDP90" s="91"/>
      <c r="BDQ90" s="91"/>
      <c r="BDR90" s="91"/>
      <c r="BDS90" s="91"/>
      <c r="BDT90" s="91"/>
      <c r="BDU90" s="91"/>
      <c r="BDV90" s="91"/>
      <c r="BDW90" s="91"/>
      <c r="BDX90" s="91"/>
      <c r="BDY90" s="91"/>
      <c r="BDZ90" s="91"/>
      <c r="BEA90" s="91"/>
      <c r="BEB90" s="91"/>
      <c r="BEC90" s="91"/>
      <c r="BED90" s="91"/>
      <c r="BEE90" s="91"/>
      <c r="BEF90" s="91"/>
      <c r="BEG90" s="91"/>
      <c r="BEH90" s="91"/>
      <c r="BEI90" s="91"/>
      <c r="BEJ90" s="91"/>
      <c r="BEK90" s="91"/>
      <c r="BEL90" s="91"/>
      <c r="BEM90" s="91"/>
      <c r="BEN90" s="91"/>
      <c r="BEO90" s="91"/>
      <c r="BEP90" s="91"/>
      <c r="BEQ90" s="91"/>
      <c r="BER90" s="91"/>
      <c r="BES90" s="91"/>
      <c r="BET90" s="91"/>
      <c r="BEU90" s="91"/>
      <c r="BEV90" s="91"/>
      <c r="BEW90" s="91"/>
      <c r="BEX90" s="91"/>
      <c r="BEY90" s="91"/>
      <c r="BEZ90" s="91"/>
      <c r="BFA90" s="91"/>
      <c r="BFB90" s="91"/>
      <c r="BFC90" s="91"/>
      <c r="BFD90" s="91"/>
      <c r="BFE90" s="91"/>
      <c r="BFF90" s="91"/>
      <c r="BFG90" s="91"/>
      <c r="BFH90" s="91"/>
      <c r="BFI90" s="91"/>
      <c r="BFJ90" s="91"/>
      <c r="BFK90" s="91"/>
      <c r="BFL90" s="91"/>
      <c r="BFM90" s="91"/>
      <c r="BFN90" s="91"/>
      <c r="BFO90" s="91"/>
      <c r="BFP90" s="91"/>
      <c r="BFQ90" s="91"/>
      <c r="BFR90" s="91"/>
      <c r="BFS90" s="91"/>
      <c r="BFT90" s="91"/>
      <c r="BFU90" s="91"/>
      <c r="BFV90" s="91"/>
      <c r="BFW90" s="91"/>
      <c r="BFX90" s="91"/>
      <c r="BFY90" s="91"/>
      <c r="BFZ90" s="91"/>
      <c r="BGA90" s="91"/>
      <c r="BGB90" s="91"/>
      <c r="BGC90" s="91"/>
      <c r="BGD90" s="91"/>
      <c r="BGE90" s="91"/>
      <c r="BGF90" s="91"/>
      <c r="BGG90" s="91"/>
      <c r="BGH90" s="91"/>
      <c r="BGI90" s="91"/>
      <c r="BGJ90" s="91"/>
      <c r="BGK90" s="91"/>
      <c r="BGL90" s="91"/>
      <c r="BGM90" s="91"/>
      <c r="BGN90" s="91"/>
      <c r="BGO90" s="91"/>
      <c r="BGP90" s="91"/>
      <c r="BGQ90" s="91"/>
      <c r="BGR90" s="91"/>
      <c r="BGS90" s="91"/>
      <c r="BGT90" s="91"/>
      <c r="BGU90" s="91"/>
      <c r="BGV90" s="91"/>
      <c r="BGW90" s="91"/>
      <c r="BGX90" s="91"/>
      <c r="BGY90" s="91"/>
      <c r="BGZ90" s="91"/>
      <c r="BHA90" s="91"/>
      <c r="BHB90" s="91"/>
      <c r="BHC90" s="91"/>
      <c r="BHD90" s="91"/>
      <c r="BHE90" s="91"/>
      <c r="BHF90" s="91"/>
      <c r="BHG90" s="91"/>
      <c r="BHH90" s="91"/>
      <c r="BHI90" s="91"/>
      <c r="BHJ90" s="91"/>
      <c r="BHK90" s="91"/>
      <c r="BHL90" s="91"/>
      <c r="BHM90" s="91"/>
      <c r="BHN90" s="91"/>
      <c r="BHO90" s="91"/>
      <c r="BHP90" s="91"/>
      <c r="BHQ90" s="91"/>
      <c r="BHR90" s="91"/>
      <c r="BHS90" s="91"/>
      <c r="BHT90" s="91"/>
      <c r="BHU90" s="91"/>
      <c r="BHV90" s="91"/>
      <c r="BHW90" s="91"/>
      <c r="BHX90" s="91"/>
      <c r="BHY90" s="91"/>
      <c r="BHZ90" s="91"/>
      <c r="BIA90" s="91"/>
      <c r="BIB90" s="91"/>
      <c r="BIC90" s="91"/>
      <c r="BID90" s="91"/>
      <c r="BIE90" s="91"/>
      <c r="BIF90" s="91"/>
      <c r="BIG90" s="91"/>
      <c r="BIH90" s="91"/>
      <c r="BII90" s="91"/>
      <c r="BIJ90" s="91"/>
      <c r="BIK90" s="91"/>
      <c r="BIL90" s="91"/>
      <c r="BIM90" s="91"/>
      <c r="BIN90" s="91"/>
      <c r="BIO90" s="91"/>
      <c r="BIP90" s="91"/>
      <c r="BIQ90" s="91"/>
      <c r="BIR90" s="91"/>
      <c r="BIS90" s="91"/>
      <c r="BIT90" s="91"/>
      <c r="BIU90" s="91"/>
      <c r="BIV90" s="91"/>
      <c r="BIW90" s="91"/>
      <c r="BIX90" s="91"/>
      <c r="BIY90" s="91"/>
      <c r="BIZ90" s="91"/>
      <c r="BJA90" s="91"/>
      <c r="BJB90" s="91"/>
      <c r="BJC90" s="91"/>
      <c r="BJD90" s="91"/>
      <c r="BJE90" s="91"/>
      <c r="BJF90" s="91"/>
      <c r="BJG90" s="91"/>
      <c r="BJH90" s="91"/>
      <c r="BJI90" s="91"/>
      <c r="BJJ90" s="91"/>
      <c r="BJK90" s="91"/>
      <c r="BJL90" s="91"/>
      <c r="BJM90" s="91"/>
      <c r="BJN90" s="91"/>
      <c r="BJO90" s="91"/>
      <c r="BJP90" s="91"/>
      <c r="BJQ90" s="91"/>
      <c r="BJR90" s="91"/>
      <c r="BJS90" s="91"/>
      <c r="BJT90" s="91"/>
      <c r="BJU90" s="91"/>
      <c r="BJV90" s="91"/>
      <c r="BJW90" s="91"/>
      <c r="BJX90" s="91"/>
      <c r="BJY90" s="91"/>
      <c r="BJZ90" s="91"/>
      <c r="BKA90" s="91"/>
      <c r="BKB90" s="91"/>
      <c r="BKC90" s="91"/>
      <c r="BKD90" s="91"/>
      <c r="BKE90" s="91"/>
      <c r="BKF90" s="91"/>
      <c r="BKG90" s="91"/>
      <c r="BKH90" s="91"/>
      <c r="BKI90" s="91"/>
      <c r="BKJ90" s="91"/>
      <c r="BKK90" s="91"/>
      <c r="BKL90" s="91"/>
      <c r="BKM90" s="91"/>
      <c r="BKN90" s="91"/>
      <c r="BKO90" s="91"/>
      <c r="BKP90" s="91"/>
      <c r="BKQ90" s="91"/>
      <c r="BKR90" s="91"/>
      <c r="BKS90" s="91"/>
      <c r="BKT90" s="91"/>
      <c r="BKU90" s="91"/>
      <c r="BKV90" s="91"/>
      <c r="BKW90" s="91"/>
      <c r="BKX90" s="91"/>
      <c r="BKY90" s="91"/>
      <c r="BKZ90" s="91"/>
      <c r="BLA90" s="91"/>
      <c r="BLB90" s="91"/>
      <c r="BLC90" s="91"/>
      <c r="BLD90" s="91"/>
      <c r="BLE90" s="91"/>
      <c r="BLF90" s="91"/>
      <c r="BLG90" s="91"/>
      <c r="BLH90" s="91"/>
      <c r="BLI90" s="91"/>
      <c r="BLJ90" s="91"/>
      <c r="BLK90" s="91"/>
      <c r="BLL90" s="91"/>
      <c r="BLM90" s="91"/>
      <c r="BLN90" s="91"/>
      <c r="BLO90" s="91"/>
      <c r="BLP90" s="91"/>
      <c r="BLQ90" s="91"/>
      <c r="BLR90" s="91"/>
      <c r="BLS90" s="91"/>
      <c r="BLT90" s="91"/>
      <c r="BLU90" s="91"/>
      <c r="BLV90" s="91"/>
      <c r="BLW90" s="91"/>
      <c r="BLX90" s="91"/>
      <c r="BLY90" s="91"/>
      <c r="BLZ90" s="91"/>
      <c r="BMA90" s="91"/>
      <c r="BMB90" s="91"/>
      <c r="BMC90" s="91"/>
      <c r="BMD90" s="91"/>
      <c r="BME90" s="91"/>
      <c r="BMF90" s="91"/>
      <c r="BMG90" s="91"/>
      <c r="BMH90" s="91"/>
      <c r="BMI90" s="91"/>
      <c r="BMJ90" s="91"/>
      <c r="BMK90" s="91"/>
      <c r="BML90" s="91"/>
      <c r="BMM90" s="91"/>
      <c r="BMN90" s="91"/>
      <c r="BMO90" s="91"/>
      <c r="BMP90" s="91"/>
      <c r="BMQ90" s="91"/>
      <c r="BMR90" s="91"/>
      <c r="BMS90" s="91"/>
      <c r="BMT90" s="91"/>
      <c r="BMU90" s="91"/>
      <c r="BMV90" s="91"/>
      <c r="BMW90" s="91"/>
      <c r="BMX90" s="91"/>
      <c r="BMY90" s="91"/>
      <c r="BMZ90" s="91"/>
      <c r="BNA90" s="91"/>
      <c r="BNB90" s="91"/>
      <c r="BNC90" s="91"/>
      <c r="BND90" s="91"/>
      <c r="BNE90" s="91"/>
      <c r="BNF90" s="91"/>
      <c r="BNG90" s="91"/>
      <c r="BNH90" s="91"/>
      <c r="BNI90" s="91"/>
      <c r="BNJ90" s="91"/>
      <c r="BNK90" s="91"/>
      <c r="BNL90" s="91"/>
      <c r="BNM90" s="91"/>
      <c r="BNN90" s="91"/>
      <c r="BNO90" s="91"/>
      <c r="BNP90" s="91"/>
      <c r="BNQ90" s="91"/>
      <c r="BNR90" s="91"/>
      <c r="BNS90" s="91"/>
      <c r="BNT90" s="91"/>
      <c r="BNU90" s="91"/>
      <c r="BNV90" s="91"/>
      <c r="BNW90" s="91"/>
      <c r="BNX90" s="91"/>
      <c r="BNY90" s="91"/>
      <c r="BNZ90" s="91"/>
      <c r="BOA90" s="91"/>
      <c r="BOB90" s="91"/>
      <c r="BOC90" s="91"/>
      <c r="BOD90" s="91"/>
      <c r="BOE90" s="91"/>
      <c r="BOF90" s="91"/>
      <c r="BOG90" s="91"/>
      <c r="BOH90" s="91"/>
      <c r="BOI90" s="91"/>
      <c r="BOJ90" s="91"/>
      <c r="BOK90" s="91"/>
      <c r="BOL90" s="91"/>
      <c r="BOM90" s="91"/>
      <c r="BON90" s="91"/>
      <c r="BOO90" s="91"/>
      <c r="BOP90" s="91"/>
      <c r="BOQ90" s="91"/>
      <c r="BOR90" s="91"/>
      <c r="BOS90" s="91"/>
      <c r="BOT90" s="91"/>
      <c r="BOU90" s="91"/>
      <c r="BOV90" s="91"/>
      <c r="BOW90" s="91"/>
      <c r="BOX90" s="91"/>
      <c r="BOY90" s="91"/>
      <c r="BOZ90" s="91"/>
      <c r="BPA90" s="91"/>
      <c r="BPB90" s="91"/>
      <c r="BPC90" s="91"/>
      <c r="BPD90" s="91"/>
      <c r="BPE90" s="91"/>
      <c r="BPF90" s="91"/>
      <c r="BPG90" s="91"/>
      <c r="BPH90" s="91"/>
      <c r="BPI90" s="91"/>
      <c r="BPJ90" s="91"/>
      <c r="BPK90" s="91"/>
      <c r="BPL90" s="91"/>
      <c r="BPM90" s="91"/>
      <c r="BPN90" s="91"/>
      <c r="BPO90" s="91"/>
      <c r="BPP90" s="91"/>
      <c r="BPQ90" s="91"/>
      <c r="BPR90" s="91"/>
      <c r="BPS90" s="91"/>
      <c r="BPT90" s="91"/>
      <c r="BPU90" s="91"/>
      <c r="BPV90" s="91"/>
      <c r="BPW90" s="91"/>
      <c r="BPX90" s="91"/>
      <c r="BPY90" s="91"/>
      <c r="BPZ90" s="91"/>
      <c r="BQA90" s="91"/>
      <c r="BQB90" s="91"/>
      <c r="BQC90" s="91"/>
      <c r="BQD90" s="91"/>
      <c r="BQE90" s="91"/>
      <c r="BQF90" s="91"/>
      <c r="BQG90" s="91"/>
      <c r="BQH90" s="91"/>
      <c r="BQI90" s="91"/>
      <c r="BQJ90" s="91"/>
      <c r="BQK90" s="91"/>
      <c r="BQL90" s="91"/>
      <c r="BQM90" s="91"/>
      <c r="BQN90" s="91"/>
      <c r="BQO90" s="91"/>
      <c r="BQP90" s="91"/>
      <c r="BQQ90" s="91"/>
      <c r="BQR90" s="91"/>
      <c r="BQS90" s="91"/>
      <c r="BQT90" s="91"/>
      <c r="BQU90" s="91"/>
      <c r="BQV90" s="91"/>
      <c r="BQW90" s="91"/>
      <c r="BQX90" s="91"/>
      <c r="BQY90" s="91"/>
      <c r="BQZ90" s="91"/>
      <c r="BRA90" s="91"/>
      <c r="BRB90" s="91"/>
      <c r="BRC90" s="91"/>
      <c r="BRD90" s="91"/>
      <c r="BRE90" s="91"/>
      <c r="BRF90" s="91"/>
      <c r="BRG90" s="91"/>
      <c r="BRH90" s="91"/>
      <c r="BRI90" s="91"/>
      <c r="BRJ90" s="91"/>
      <c r="BRK90" s="91"/>
      <c r="BRL90" s="91"/>
      <c r="BRM90" s="91"/>
      <c r="BRN90" s="91"/>
      <c r="BRO90" s="91"/>
      <c r="BRP90" s="91"/>
      <c r="BRQ90" s="91"/>
      <c r="BRR90" s="91"/>
      <c r="BRS90" s="91"/>
      <c r="BRT90" s="91"/>
      <c r="BRU90" s="91"/>
      <c r="BRV90" s="91"/>
      <c r="BRW90" s="91"/>
      <c r="BRX90" s="91"/>
      <c r="BRY90" s="91"/>
      <c r="BRZ90" s="91"/>
      <c r="BSA90" s="91"/>
      <c r="BSB90" s="91"/>
      <c r="BSC90" s="91"/>
      <c r="BSD90" s="91"/>
      <c r="BSE90" s="91"/>
      <c r="BSF90" s="91"/>
      <c r="BSG90" s="91"/>
      <c r="BSH90" s="91"/>
      <c r="BSI90" s="91"/>
      <c r="BSJ90" s="91"/>
      <c r="BSK90" s="91"/>
      <c r="BSL90" s="91"/>
      <c r="BSM90" s="91"/>
      <c r="BSN90" s="91"/>
      <c r="BSO90" s="91"/>
      <c r="BSP90" s="91"/>
      <c r="BSQ90" s="91"/>
      <c r="BSR90" s="91"/>
      <c r="BSS90" s="91"/>
      <c r="BST90" s="91"/>
      <c r="BSU90" s="91"/>
      <c r="BSV90" s="91"/>
      <c r="BSW90" s="91"/>
      <c r="BSX90" s="91"/>
      <c r="BSY90" s="91"/>
      <c r="BSZ90" s="91"/>
      <c r="BTA90" s="91"/>
      <c r="BTB90" s="91"/>
      <c r="BTC90" s="91"/>
      <c r="BTD90" s="91"/>
      <c r="BTE90" s="91"/>
      <c r="BTF90" s="91"/>
      <c r="BTG90" s="91"/>
      <c r="BTH90" s="91"/>
      <c r="BTI90" s="91"/>
      <c r="BTJ90" s="91"/>
      <c r="BTK90" s="91"/>
      <c r="BTL90" s="91"/>
      <c r="BTM90" s="91"/>
      <c r="BTN90" s="91"/>
      <c r="BTO90" s="91"/>
      <c r="BTP90" s="91"/>
      <c r="BTQ90" s="91"/>
      <c r="BTR90" s="91"/>
      <c r="BTS90" s="91"/>
      <c r="BTT90" s="91"/>
      <c r="BTU90" s="91"/>
      <c r="BTV90" s="91"/>
      <c r="BTW90" s="91"/>
      <c r="BTX90" s="91"/>
      <c r="BTY90" s="91"/>
      <c r="BTZ90" s="91"/>
      <c r="BUA90" s="91"/>
      <c r="BUB90" s="91"/>
      <c r="BUC90" s="91"/>
      <c r="BUD90" s="91"/>
      <c r="BUE90" s="91"/>
      <c r="BUF90" s="91"/>
      <c r="BUG90" s="91"/>
      <c r="BUH90" s="91"/>
      <c r="BUI90" s="91"/>
      <c r="BUJ90" s="91"/>
      <c r="BUK90" s="91"/>
      <c r="BUL90" s="91"/>
      <c r="BUM90" s="91"/>
      <c r="BUN90" s="91"/>
      <c r="BUO90" s="91"/>
      <c r="BUP90" s="91"/>
      <c r="BUQ90" s="91"/>
      <c r="BUR90" s="91"/>
      <c r="BUS90" s="91"/>
      <c r="BUT90" s="91"/>
      <c r="BUU90" s="91"/>
      <c r="BUV90" s="91"/>
      <c r="BUW90" s="91"/>
      <c r="BUX90" s="91"/>
      <c r="BUY90" s="91"/>
      <c r="BUZ90" s="91"/>
      <c r="BVA90" s="91"/>
      <c r="BVB90" s="91"/>
      <c r="BVC90" s="91"/>
      <c r="BVD90" s="91"/>
      <c r="BVE90" s="91"/>
      <c r="BVF90" s="91"/>
      <c r="BVG90" s="91"/>
      <c r="BVH90" s="91"/>
      <c r="BVI90" s="91"/>
      <c r="BVJ90" s="91"/>
      <c r="BVK90" s="91"/>
      <c r="BVL90" s="91"/>
      <c r="BVM90" s="91"/>
      <c r="BVN90" s="91"/>
      <c r="BVO90" s="91"/>
      <c r="BVP90" s="91"/>
      <c r="BVQ90" s="91"/>
      <c r="BVR90" s="91"/>
      <c r="BVS90" s="91"/>
      <c r="BVT90" s="91"/>
      <c r="BVU90" s="91"/>
      <c r="BVV90" s="91"/>
      <c r="BVW90" s="91"/>
      <c r="BVX90" s="91"/>
      <c r="BVY90" s="91"/>
      <c r="BVZ90" s="91"/>
      <c r="BWA90" s="91"/>
      <c r="BWB90" s="91"/>
      <c r="BWC90" s="91"/>
      <c r="BWD90" s="91"/>
      <c r="BWE90" s="91"/>
      <c r="BWF90" s="91"/>
      <c r="BWG90" s="91"/>
      <c r="BWH90" s="91"/>
      <c r="BWI90" s="91"/>
      <c r="BWJ90" s="91"/>
      <c r="BWK90" s="91"/>
      <c r="BWL90" s="91"/>
      <c r="BWM90" s="91"/>
      <c r="BWN90" s="91"/>
      <c r="BWO90" s="91"/>
      <c r="BWP90" s="91"/>
      <c r="BWQ90" s="91"/>
      <c r="BWR90" s="91"/>
      <c r="BWS90" s="91"/>
      <c r="BWT90" s="91"/>
      <c r="BWU90" s="91"/>
      <c r="BWV90" s="91"/>
      <c r="BWW90" s="91"/>
      <c r="BWX90" s="91"/>
      <c r="BWY90" s="91"/>
      <c r="BWZ90" s="91"/>
      <c r="BXA90" s="91"/>
      <c r="BXB90" s="91"/>
      <c r="BXC90" s="91"/>
      <c r="BXD90" s="91"/>
      <c r="BXE90" s="91"/>
      <c r="BXF90" s="91"/>
      <c r="BXG90" s="91"/>
      <c r="BXH90" s="91"/>
      <c r="BXI90" s="91"/>
      <c r="BXJ90" s="91"/>
      <c r="BXK90" s="91"/>
      <c r="BXL90" s="91"/>
      <c r="BXM90" s="91"/>
      <c r="BXN90" s="91"/>
      <c r="BXO90" s="91"/>
      <c r="BXP90" s="91"/>
      <c r="BXQ90" s="91"/>
      <c r="BXR90" s="91"/>
      <c r="BXS90" s="91"/>
      <c r="BXT90" s="91"/>
      <c r="BXU90" s="91"/>
      <c r="BXV90" s="91"/>
      <c r="BXW90" s="91"/>
      <c r="BXX90" s="91"/>
      <c r="BXY90" s="91"/>
      <c r="BXZ90" s="91"/>
      <c r="BYA90" s="91"/>
      <c r="BYB90" s="91"/>
      <c r="BYC90" s="91"/>
      <c r="BYD90" s="91"/>
      <c r="BYE90" s="91"/>
      <c r="BYF90" s="91"/>
      <c r="BYG90" s="91"/>
      <c r="BYH90" s="91"/>
      <c r="BYI90" s="91"/>
      <c r="BYJ90" s="91"/>
      <c r="BYK90" s="91"/>
      <c r="BYL90" s="91"/>
      <c r="BYM90" s="91"/>
      <c r="BYN90" s="91"/>
      <c r="BYO90" s="91"/>
      <c r="BYP90" s="91"/>
      <c r="BYQ90" s="91"/>
      <c r="BYR90" s="91"/>
      <c r="BYS90" s="91"/>
      <c r="BYT90" s="91"/>
      <c r="BYU90" s="91"/>
      <c r="BYV90" s="91"/>
      <c r="BYW90" s="91"/>
      <c r="BYX90" s="91"/>
      <c r="BYY90" s="91"/>
      <c r="BYZ90" s="91"/>
      <c r="BZA90" s="91"/>
      <c r="BZB90" s="91"/>
      <c r="BZC90" s="91"/>
      <c r="BZD90" s="91"/>
      <c r="BZE90" s="91"/>
      <c r="BZF90" s="91"/>
      <c r="BZG90" s="91"/>
      <c r="BZH90" s="91"/>
      <c r="BZI90" s="91"/>
      <c r="BZJ90" s="91"/>
      <c r="BZK90" s="91"/>
      <c r="BZL90" s="91"/>
      <c r="BZM90" s="91"/>
      <c r="BZN90" s="91"/>
      <c r="BZO90" s="91"/>
      <c r="BZP90" s="91"/>
      <c r="BZQ90" s="91"/>
      <c r="BZR90" s="91"/>
      <c r="BZS90" s="91"/>
      <c r="BZT90" s="91"/>
      <c r="BZU90" s="91"/>
      <c r="BZV90" s="91"/>
      <c r="BZW90" s="91"/>
      <c r="BZX90" s="91"/>
      <c r="BZY90" s="91"/>
      <c r="BZZ90" s="91"/>
      <c r="CAA90" s="91"/>
      <c r="CAB90" s="91"/>
      <c r="CAC90" s="91"/>
      <c r="CAD90" s="91"/>
      <c r="CAE90" s="91"/>
      <c r="CAF90" s="91"/>
      <c r="CAG90" s="91"/>
      <c r="CAH90" s="91"/>
      <c r="CAI90" s="91"/>
      <c r="CAJ90" s="91"/>
      <c r="CAK90" s="91"/>
      <c r="CAL90" s="91"/>
      <c r="CAM90" s="91"/>
      <c r="CAN90" s="91"/>
      <c r="CAO90" s="91"/>
      <c r="CAP90" s="91"/>
      <c r="CAQ90" s="91"/>
      <c r="CAR90" s="91"/>
      <c r="CAS90" s="91"/>
      <c r="CAT90" s="91"/>
      <c r="CAU90" s="91"/>
      <c r="CAV90" s="91"/>
      <c r="CAW90" s="91"/>
      <c r="CAX90" s="91"/>
      <c r="CAY90" s="91"/>
      <c r="CAZ90" s="91"/>
      <c r="CBA90" s="91"/>
      <c r="CBB90" s="91"/>
      <c r="CBC90" s="91"/>
      <c r="CBD90" s="91"/>
      <c r="CBE90" s="91"/>
      <c r="CBF90" s="91"/>
      <c r="CBG90" s="91"/>
      <c r="CBH90" s="91"/>
      <c r="CBI90" s="91"/>
      <c r="CBJ90" s="91"/>
      <c r="CBK90" s="91"/>
      <c r="CBL90" s="91"/>
      <c r="CBM90" s="91"/>
      <c r="CBN90" s="91"/>
      <c r="CBO90" s="91"/>
      <c r="CBP90" s="91"/>
      <c r="CBQ90" s="91"/>
      <c r="CBR90" s="91"/>
      <c r="CBS90" s="91"/>
      <c r="CBT90" s="91"/>
      <c r="CBU90" s="91"/>
      <c r="CBV90" s="91"/>
      <c r="CBW90" s="91"/>
      <c r="CBX90" s="91"/>
      <c r="CBY90" s="91"/>
      <c r="CBZ90" s="91"/>
      <c r="CCA90" s="91"/>
      <c r="CCB90" s="91"/>
      <c r="CCC90" s="91"/>
      <c r="CCD90" s="91"/>
      <c r="CCE90" s="91"/>
      <c r="CCF90" s="91"/>
      <c r="CCG90" s="91"/>
      <c r="CCH90" s="91"/>
      <c r="CCI90" s="91"/>
      <c r="CCJ90" s="91"/>
      <c r="CCK90" s="91"/>
      <c r="CCL90" s="91"/>
      <c r="CCM90" s="91"/>
      <c r="CCN90" s="91"/>
      <c r="CCO90" s="91"/>
      <c r="CCP90" s="91"/>
      <c r="CCQ90" s="91"/>
      <c r="CCR90" s="91"/>
      <c r="CCS90" s="91"/>
      <c r="CCT90" s="91"/>
      <c r="CCU90" s="91"/>
      <c r="CCV90" s="91"/>
      <c r="CCW90" s="91"/>
      <c r="CCX90" s="91"/>
      <c r="CCY90" s="91"/>
      <c r="CCZ90" s="91"/>
      <c r="CDA90" s="91"/>
      <c r="CDB90" s="91"/>
      <c r="CDC90" s="91"/>
      <c r="CDD90" s="91"/>
      <c r="CDE90" s="91"/>
      <c r="CDF90" s="91"/>
      <c r="CDG90" s="91"/>
      <c r="CDH90" s="91"/>
      <c r="CDI90" s="91"/>
      <c r="CDJ90" s="91"/>
      <c r="CDK90" s="91"/>
      <c r="CDL90" s="91"/>
      <c r="CDM90" s="91"/>
      <c r="CDN90" s="91"/>
      <c r="CDO90" s="91"/>
      <c r="CDP90" s="91"/>
      <c r="CDQ90" s="91"/>
      <c r="CDR90" s="91"/>
      <c r="CDS90" s="91"/>
      <c r="CDT90" s="91"/>
      <c r="CDU90" s="91"/>
      <c r="CDV90" s="91"/>
      <c r="CDW90" s="91"/>
      <c r="CDX90" s="91"/>
      <c r="CDY90" s="91"/>
      <c r="CDZ90" s="91"/>
      <c r="CEA90" s="91"/>
      <c r="CEB90" s="91"/>
      <c r="CEC90" s="91"/>
      <c r="CED90" s="91"/>
      <c r="CEE90" s="91"/>
      <c r="CEF90" s="91"/>
      <c r="CEG90" s="91"/>
      <c r="CEH90" s="91"/>
      <c r="CEI90" s="91"/>
      <c r="CEJ90" s="91"/>
      <c r="CEK90" s="91"/>
      <c r="CEL90" s="91"/>
      <c r="CEM90" s="91"/>
      <c r="CEN90" s="91"/>
      <c r="CEO90" s="91"/>
      <c r="CEP90" s="91"/>
      <c r="CEQ90" s="91"/>
      <c r="CER90" s="91"/>
      <c r="CES90" s="91"/>
      <c r="CET90" s="91"/>
      <c r="CEU90" s="91"/>
      <c r="CEV90" s="91"/>
      <c r="CEW90" s="91"/>
      <c r="CEX90" s="91"/>
      <c r="CEY90" s="91"/>
      <c r="CEZ90" s="91"/>
      <c r="CFA90" s="91"/>
      <c r="CFB90" s="91"/>
      <c r="CFC90" s="91"/>
      <c r="CFD90" s="91"/>
      <c r="CFE90" s="91"/>
      <c r="CFF90" s="91"/>
      <c r="CFG90" s="91"/>
      <c r="CFH90" s="91"/>
      <c r="CFI90" s="91"/>
      <c r="CFJ90" s="91"/>
      <c r="CFK90" s="91"/>
      <c r="CFL90" s="91"/>
      <c r="CFM90" s="91"/>
      <c r="CFN90" s="91"/>
      <c r="CFO90" s="91"/>
      <c r="CFP90" s="91"/>
      <c r="CFQ90" s="91"/>
      <c r="CFR90" s="91"/>
      <c r="CFS90" s="91"/>
      <c r="CFT90" s="91"/>
      <c r="CFU90" s="91"/>
      <c r="CFV90" s="91"/>
      <c r="CFW90" s="91"/>
      <c r="CFX90" s="91"/>
      <c r="CFY90" s="91"/>
      <c r="CFZ90" s="91"/>
      <c r="CGA90" s="91"/>
      <c r="CGB90" s="91"/>
      <c r="CGC90" s="91"/>
      <c r="CGD90" s="91"/>
      <c r="CGE90" s="91"/>
      <c r="CGF90" s="91"/>
      <c r="CGG90" s="91"/>
      <c r="CGH90" s="91"/>
      <c r="CGI90" s="91"/>
      <c r="CGJ90" s="91"/>
      <c r="CGK90" s="91"/>
      <c r="CGL90" s="91"/>
      <c r="CGM90" s="91"/>
      <c r="CGN90" s="91"/>
      <c r="CGO90" s="91"/>
      <c r="CGP90" s="91"/>
      <c r="CGQ90" s="91"/>
      <c r="CGR90" s="91"/>
      <c r="CGS90" s="91"/>
      <c r="CGT90" s="91"/>
      <c r="CGU90" s="91"/>
      <c r="CGV90" s="91"/>
      <c r="CGW90" s="91"/>
      <c r="CGX90" s="91"/>
      <c r="CGY90" s="91"/>
      <c r="CGZ90" s="91"/>
      <c r="CHA90" s="91"/>
      <c r="CHB90" s="91"/>
      <c r="CHC90" s="91"/>
      <c r="CHD90" s="91"/>
      <c r="CHE90" s="91"/>
      <c r="CHF90" s="91"/>
      <c r="CHG90" s="91"/>
      <c r="CHH90" s="91"/>
      <c r="CHI90" s="91"/>
      <c r="CHJ90" s="91"/>
      <c r="CHK90" s="91"/>
      <c r="CHL90" s="91"/>
      <c r="CHM90" s="91"/>
      <c r="CHN90" s="91"/>
      <c r="CHO90" s="91"/>
      <c r="CHP90" s="91"/>
      <c r="CHQ90" s="91"/>
      <c r="CHR90" s="91"/>
      <c r="CHS90" s="91"/>
      <c r="CHT90" s="91"/>
      <c r="CHU90" s="91"/>
      <c r="CHV90" s="91"/>
      <c r="CHW90" s="91"/>
      <c r="CHX90" s="91"/>
      <c r="CHY90" s="91"/>
      <c r="CHZ90" s="91"/>
      <c r="CIA90" s="91"/>
      <c r="CIB90" s="91"/>
      <c r="CIC90" s="91"/>
      <c r="CID90" s="91"/>
      <c r="CIE90" s="91"/>
      <c r="CIF90" s="91"/>
      <c r="CIG90" s="91"/>
      <c r="CIH90" s="91"/>
      <c r="CII90" s="91"/>
      <c r="CIJ90" s="91"/>
      <c r="CIK90" s="91"/>
      <c r="CIL90" s="91"/>
      <c r="CIM90" s="91"/>
      <c r="CIN90" s="91"/>
      <c r="CIO90" s="91"/>
      <c r="CIP90" s="91"/>
      <c r="CIQ90" s="91"/>
      <c r="CIR90" s="91"/>
      <c r="CIS90" s="91"/>
      <c r="CIT90" s="91"/>
      <c r="CIU90" s="91"/>
      <c r="CIV90" s="91"/>
      <c r="CIW90" s="91"/>
      <c r="CIX90" s="91"/>
      <c r="CIY90" s="91"/>
      <c r="CIZ90" s="91"/>
      <c r="CJA90" s="91"/>
      <c r="CJB90" s="91"/>
      <c r="CJC90" s="91"/>
      <c r="CJD90" s="91"/>
      <c r="CJE90" s="91"/>
      <c r="CJF90" s="91"/>
      <c r="CJG90" s="91"/>
      <c r="CJH90" s="91"/>
      <c r="CJI90" s="91"/>
      <c r="CJJ90" s="91"/>
      <c r="CJK90" s="91"/>
      <c r="CJL90" s="91"/>
      <c r="CJM90" s="91"/>
      <c r="CJN90" s="91"/>
      <c r="CJO90" s="91"/>
      <c r="CJP90" s="91"/>
      <c r="CJQ90" s="91"/>
      <c r="CJR90" s="91"/>
      <c r="CJS90" s="91"/>
      <c r="CJT90" s="91"/>
      <c r="CJU90" s="91"/>
      <c r="CJV90" s="91"/>
      <c r="CJW90" s="91"/>
      <c r="CJX90" s="91"/>
      <c r="CJY90" s="91"/>
      <c r="CJZ90" s="91"/>
      <c r="CKA90" s="91"/>
      <c r="CKB90" s="91"/>
      <c r="CKC90" s="91"/>
      <c r="CKD90" s="91"/>
      <c r="CKE90" s="91"/>
      <c r="CKF90" s="91"/>
      <c r="CKG90" s="91"/>
      <c r="CKH90" s="91"/>
      <c r="CKI90" s="91"/>
      <c r="CKJ90" s="91"/>
      <c r="CKK90" s="91"/>
      <c r="CKL90" s="91"/>
      <c r="CKM90" s="91"/>
      <c r="CKN90" s="91"/>
      <c r="CKO90" s="91"/>
      <c r="CKP90" s="91"/>
      <c r="CKQ90" s="91"/>
      <c r="CKR90" s="91"/>
      <c r="CKS90" s="91"/>
      <c r="CKT90" s="91"/>
      <c r="CKU90" s="91"/>
      <c r="CKV90" s="91"/>
      <c r="CKW90" s="91"/>
      <c r="CKX90" s="91"/>
      <c r="CKY90" s="91"/>
      <c r="CKZ90" s="91"/>
      <c r="CLA90" s="91"/>
      <c r="CLB90" s="91"/>
      <c r="CLC90" s="91"/>
      <c r="CLD90" s="91"/>
      <c r="CLE90" s="91"/>
      <c r="CLF90" s="91"/>
      <c r="CLG90" s="91"/>
      <c r="CLH90" s="91"/>
      <c r="CLI90" s="91"/>
      <c r="CLJ90" s="91"/>
      <c r="CLK90" s="91"/>
      <c r="CLL90" s="91"/>
      <c r="CLM90" s="91"/>
      <c r="CLN90" s="91"/>
      <c r="CLO90" s="91"/>
      <c r="CLP90" s="91"/>
      <c r="CLQ90" s="91"/>
      <c r="CLR90" s="91"/>
      <c r="CLS90" s="91"/>
      <c r="CLT90" s="91"/>
      <c r="CLU90" s="91"/>
      <c r="CLV90" s="91"/>
      <c r="CLW90" s="91"/>
      <c r="CLX90" s="91"/>
      <c r="CLY90" s="91"/>
      <c r="CLZ90" s="91"/>
      <c r="CMA90" s="91"/>
      <c r="CMB90" s="91"/>
      <c r="CMC90" s="91"/>
      <c r="CMD90" s="91"/>
      <c r="CME90" s="91"/>
      <c r="CMF90" s="91"/>
      <c r="CMG90" s="91"/>
      <c r="CMH90" s="91"/>
      <c r="CMI90" s="91"/>
      <c r="CMJ90" s="91"/>
      <c r="CMK90" s="91"/>
      <c r="CML90" s="91"/>
      <c r="CMM90" s="91"/>
      <c r="CMN90" s="91"/>
      <c r="CMO90" s="91"/>
      <c r="CMP90" s="91"/>
      <c r="CMQ90" s="91"/>
      <c r="CMR90" s="91"/>
      <c r="CMS90" s="91"/>
      <c r="CMT90" s="91"/>
      <c r="CMU90" s="91"/>
      <c r="CMV90" s="91"/>
      <c r="CMW90" s="91"/>
      <c r="CMX90" s="91"/>
      <c r="CMY90" s="91"/>
      <c r="CMZ90" s="91"/>
      <c r="CNA90" s="91"/>
      <c r="CNB90" s="91"/>
      <c r="CNC90" s="91"/>
      <c r="CND90" s="91"/>
      <c r="CNE90" s="91"/>
      <c r="CNF90" s="91"/>
      <c r="CNG90" s="91"/>
      <c r="CNH90" s="91"/>
      <c r="CNI90" s="91"/>
      <c r="CNJ90" s="91"/>
      <c r="CNK90" s="91"/>
      <c r="CNL90" s="91"/>
      <c r="CNM90" s="91"/>
      <c r="CNN90" s="91"/>
      <c r="CNO90" s="91"/>
      <c r="CNP90" s="91"/>
      <c r="CNQ90" s="91"/>
      <c r="CNR90" s="91"/>
      <c r="CNS90" s="91"/>
      <c r="CNT90" s="91"/>
      <c r="CNU90" s="91"/>
      <c r="CNV90" s="91"/>
      <c r="CNW90" s="91"/>
      <c r="CNX90" s="91"/>
      <c r="CNY90" s="91"/>
      <c r="CNZ90" s="91"/>
      <c r="COA90" s="91"/>
      <c r="COB90" s="91"/>
      <c r="COC90" s="91"/>
      <c r="COD90" s="91"/>
      <c r="COE90" s="91"/>
      <c r="COF90" s="91"/>
      <c r="COG90" s="91"/>
      <c r="COH90" s="91"/>
      <c r="COI90" s="91"/>
      <c r="COJ90" s="91"/>
      <c r="COK90" s="91"/>
      <c r="COL90" s="91"/>
      <c r="COM90" s="91"/>
      <c r="CON90" s="91"/>
      <c r="COO90" s="91"/>
      <c r="COP90" s="91"/>
      <c r="COQ90" s="91"/>
      <c r="COR90" s="91"/>
      <c r="COS90" s="91"/>
      <c r="COT90" s="91"/>
      <c r="COU90" s="91"/>
      <c r="COV90" s="91"/>
      <c r="COW90" s="91"/>
      <c r="COX90" s="91"/>
      <c r="COY90" s="91"/>
      <c r="COZ90" s="91"/>
      <c r="CPA90" s="91"/>
      <c r="CPB90" s="91"/>
      <c r="CPC90" s="91"/>
      <c r="CPD90" s="91"/>
      <c r="CPE90" s="91"/>
      <c r="CPF90" s="91"/>
      <c r="CPG90" s="91"/>
      <c r="CPH90" s="91"/>
      <c r="CPI90" s="91"/>
      <c r="CPJ90" s="91"/>
      <c r="CPK90" s="91"/>
      <c r="CPL90" s="91"/>
      <c r="CPM90" s="91"/>
      <c r="CPN90" s="91"/>
      <c r="CPO90" s="91"/>
      <c r="CPP90" s="91"/>
      <c r="CPQ90" s="91"/>
      <c r="CPR90" s="91"/>
      <c r="CPS90" s="91"/>
      <c r="CPT90" s="91"/>
      <c r="CPU90" s="91"/>
      <c r="CPV90" s="91"/>
      <c r="CPW90" s="91"/>
      <c r="CPX90" s="91"/>
      <c r="CPY90" s="91"/>
      <c r="CPZ90" s="91"/>
      <c r="CQA90" s="91"/>
      <c r="CQB90" s="91"/>
      <c r="CQC90" s="91"/>
      <c r="CQD90" s="91"/>
      <c r="CQE90" s="91"/>
      <c r="CQF90" s="91"/>
      <c r="CQG90" s="91"/>
      <c r="CQH90" s="91"/>
      <c r="CQI90" s="91"/>
      <c r="CQJ90" s="91"/>
      <c r="CQK90" s="91"/>
      <c r="CQL90" s="91"/>
      <c r="CQM90" s="91"/>
      <c r="CQN90" s="91"/>
      <c r="CQO90" s="91"/>
      <c r="CQP90" s="91"/>
      <c r="CQQ90" s="91"/>
      <c r="CQR90" s="91"/>
      <c r="CQS90" s="91"/>
      <c r="CQT90" s="91"/>
      <c r="CQU90" s="91"/>
      <c r="CQV90" s="91"/>
      <c r="CQW90" s="91"/>
      <c r="CQX90" s="91"/>
      <c r="CQY90" s="91"/>
      <c r="CQZ90" s="91"/>
      <c r="CRA90" s="91"/>
      <c r="CRB90" s="91"/>
      <c r="CRC90" s="91"/>
      <c r="CRD90" s="91"/>
      <c r="CRE90" s="91"/>
      <c r="CRF90" s="91"/>
      <c r="CRG90" s="91"/>
      <c r="CRH90" s="91"/>
      <c r="CRI90" s="91"/>
      <c r="CRJ90" s="91"/>
      <c r="CRK90" s="91"/>
      <c r="CRL90" s="91"/>
      <c r="CRM90" s="91"/>
      <c r="CRN90" s="91"/>
      <c r="CRO90" s="91"/>
      <c r="CRP90" s="91"/>
      <c r="CRQ90" s="91"/>
      <c r="CRR90" s="91"/>
      <c r="CRS90" s="91"/>
      <c r="CRT90" s="91"/>
      <c r="CRU90" s="91"/>
      <c r="CRV90" s="91"/>
      <c r="CRW90" s="91"/>
      <c r="CRX90" s="91"/>
      <c r="CRY90" s="91"/>
      <c r="CRZ90" s="91"/>
      <c r="CSA90" s="91"/>
      <c r="CSB90" s="91"/>
      <c r="CSC90" s="91"/>
      <c r="CSD90" s="91"/>
      <c r="CSE90" s="91"/>
      <c r="CSF90" s="91"/>
      <c r="CSG90" s="91"/>
      <c r="CSH90" s="91"/>
      <c r="CSI90" s="91"/>
      <c r="CSJ90" s="91"/>
      <c r="CSK90" s="91"/>
      <c r="CSL90" s="91"/>
      <c r="CSM90" s="91"/>
      <c r="CSN90" s="91"/>
      <c r="CSO90" s="91"/>
      <c r="CSP90" s="91"/>
      <c r="CSQ90" s="91"/>
      <c r="CSR90" s="91"/>
      <c r="CSS90" s="91"/>
      <c r="CST90" s="91"/>
      <c r="CSU90" s="91"/>
      <c r="CSV90" s="91"/>
      <c r="CSW90" s="91"/>
      <c r="CSX90" s="91"/>
      <c r="CSY90" s="91"/>
      <c r="CSZ90" s="91"/>
      <c r="CTA90" s="91"/>
      <c r="CTB90" s="91"/>
      <c r="CTC90" s="91"/>
      <c r="CTD90" s="91"/>
      <c r="CTE90" s="91"/>
      <c r="CTF90" s="91"/>
      <c r="CTG90" s="91"/>
      <c r="CTH90" s="91"/>
      <c r="CTI90" s="91"/>
      <c r="CTJ90" s="91"/>
      <c r="CTK90" s="91"/>
      <c r="CTL90" s="91"/>
      <c r="CTM90" s="91"/>
      <c r="CTN90" s="91"/>
      <c r="CTO90" s="91"/>
      <c r="CTP90" s="91"/>
      <c r="CTQ90" s="91"/>
      <c r="CTR90" s="91"/>
      <c r="CTS90" s="91"/>
      <c r="CTT90" s="91"/>
      <c r="CTU90" s="91"/>
      <c r="CTV90" s="91"/>
      <c r="CTW90" s="91"/>
      <c r="CTX90" s="91"/>
      <c r="CTY90" s="91"/>
      <c r="CTZ90" s="91"/>
      <c r="CUA90" s="91"/>
      <c r="CUB90" s="91"/>
      <c r="CUC90" s="91"/>
      <c r="CUD90" s="91"/>
      <c r="CUE90" s="91"/>
      <c r="CUF90" s="91"/>
      <c r="CUG90" s="91"/>
      <c r="CUH90" s="91"/>
      <c r="CUI90" s="91"/>
      <c r="CUJ90" s="91"/>
      <c r="CUK90" s="91"/>
      <c r="CUL90" s="91"/>
      <c r="CUM90" s="91"/>
      <c r="CUN90" s="91"/>
      <c r="CUO90" s="91"/>
      <c r="CUP90" s="91"/>
      <c r="CUQ90" s="91"/>
      <c r="CUR90" s="91"/>
      <c r="CUS90" s="91"/>
      <c r="CUT90" s="91"/>
      <c r="CUU90" s="91"/>
      <c r="CUV90" s="91"/>
      <c r="CUW90" s="91"/>
      <c r="CUX90" s="91"/>
      <c r="CUY90" s="91"/>
      <c r="CUZ90" s="91"/>
      <c r="CVA90" s="91"/>
      <c r="CVB90" s="91"/>
      <c r="CVC90" s="91"/>
      <c r="CVD90" s="91"/>
      <c r="CVE90" s="91"/>
      <c r="CVF90" s="91"/>
      <c r="CVG90" s="91"/>
      <c r="CVH90" s="91"/>
      <c r="CVI90" s="91"/>
      <c r="CVJ90" s="91"/>
      <c r="CVK90" s="91"/>
      <c r="CVL90" s="91"/>
      <c r="CVM90" s="91"/>
      <c r="CVN90" s="91"/>
      <c r="CVO90" s="91"/>
      <c r="CVP90" s="91"/>
      <c r="CVQ90" s="91"/>
      <c r="CVR90" s="91"/>
      <c r="CVS90" s="91"/>
      <c r="CVT90" s="91"/>
      <c r="CVU90" s="91"/>
      <c r="CVV90" s="91"/>
      <c r="CVW90" s="91"/>
      <c r="CVX90" s="91"/>
      <c r="CVY90" s="91"/>
      <c r="CVZ90" s="91"/>
      <c r="CWA90" s="91"/>
      <c r="CWB90" s="91"/>
      <c r="CWC90" s="91"/>
      <c r="CWD90" s="91"/>
      <c r="CWE90" s="91"/>
      <c r="CWF90" s="91"/>
      <c r="CWG90" s="91"/>
      <c r="CWH90" s="91"/>
      <c r="CWI90" s="91"/>
      <c r="CWJ90" s="91"/>
      <c r="CWK90" s="91"/>
      <c r="CWL90" s="91"/>
      <c r="CWM90" s="91"/>
      <c r="CWN90" s="91"/>
      <c r="CWO90" s="91"/>
      <c r="CWP90" s="91"/>
      <c r="CWQ90" s="91"/>
      <c r="CWR90" s="91"/>
      <c r="CWS90" s="91"/>
      <c r="CWT90" s="91"/>
      <c r="CWU90" s="91"/>
      <c r="CWV90" s="91"/>
      <c r="CWW90" s="91"/>
      <c r="CWX90" s="91"/>
      <c r="CWY90" s="91"/>
      <c r="CWZ90" s="91"/>
      <c r="CXA90" s="91"/>
      <c r="CXB90" s="91"/>
      <c r="CXC90" s="91"/>
      <c r="CXD90" s="91"/>
      <c r="CXE90" s="91"/>
      <c r="CXF90" s="91"/>
      <c r="CXG90" s="91"/>
      <c r="CXH90" s="91"/>
      <c r="CXI90" s="91"/>
      <c r="CXJ90" s="91"/>
      <c r="CXK90" s="91"/>
      <c r="CXL90" s="91"/>
      <c r="CXM90" s="91"/>
      <c r="CXN90" s="91"/>
      <c r="CXO90" s="91"/>
      <c r="CXP90" s="91"/>
      <c r="CXQ90" s="91"/>
      <c r="CXR90" s="91"/>
      <c r="CXS90" s="91"/>
      <c r="CXT90" s="91"/>
      <c r="CXU90" s="91"/>
      <c r="CXV90" s="91"/>
      <c r="CXW90" s="91"/>
      <c r="CXX90" s="91"/>
      <c r="CXY90" s="91"/>
      <c r="CXZ90" s="91"/>
      <c r="CYA90" s="91"/>
      <c r="CYB90" s="91"/>
      <c r="CYC90" s="91"/>
      <c r="CYD90" s="91"/>
      <c r="CYE90" s="91"/>
      <c r="CYF90" s="91"/>
      <c r="CYG90" s="91"/>
      <c r="CYH90" s="91"/>
      <c r="CYI90" s="91"/>
      <c r="CYJ90" s="91"/>
      <c r="CYK90" s="91"/>
      <c r="CYL90" s="91"/>
      <c r="CYM90" s="91"/>
      <c r="CYN90" s="91"/>
      <c r="CYO90" s="91"/>
      <c r="CYP90" s="91"/>
      <c r="CYQ90" s="91"/>
      <c r="CYR90" s="91"/>
      <c r="CYS90" s="91"/>
      <c r="CYT90" s="91"/>
      <c r="CYU90" s="91"/>
      <c r="CYV90" s="91"/>
      <c r="CYW90" s="91"/>
      <c r="CYX90" s="91"/>
      <c r="CYY90" s="91"/>
      <c r="CYZ90" s="91"/>
      <c r="CZA90" s="91"/>
      <c r="CZB90" s="91"/>
      <c r="CZC90" s="91"/>
      <c r="CZD90" s="91"/>
      <c r="CZE90" s="91"/>
      <c r="CZF90" s="91"/>
      <c r="CZG90" s="91"/>
      <c r="CZH90" s="91"/>
      <c r="CZI90" s="91"/>
      <c r="CZJ90" s="91"/>
      <c r="CZK90" s="91"/>
      <c r="CZL90" s="91"/>
      <c r="CZM90" s="91"/>
      <c r="CZN90" s="91"/>
      <c r="CZO90" s="91"/>
      <c r="CZP90" s="91"/>
      <c r="CZQ90" s="91"/>
      <c r="CZR90" s="91"/>
      <c r="CZS90" s="91"/>
      <c r="CZT90" s="91"/>
      <c r="CZU90" s="91"/>
      <c r="CZV90" s="91"/>
      <c r="CZW90" s="91"/>
      <c r="CZX90" s="91"/>
      <c r="CZY90" s="91"/>
      <c r="CZZ90" s="91"/>
      <c r="DAA90" s="91"/>
      <c r="DAB90" s="91"/>
      <c r="DAC90" s="91"/>
      <c r="DAD90" s="91"/>
      <c r="DAE90" s="91"/>
      <c r="DAF90" s="91"/>
      <c r="DAG90" s="91"/>
      <c r="DAH90" s="91"/>
      <c r="DAI90" s="91"/>
      <c r="DAJ90" s="91"/>
      <c r="DAK90" s="91"/>
      <c r="DAL90" s="91"/>
      <c r="DAM90" s="91"/>
      <c r="DAN90" s="91"/>
      <c r="DAO90" s="91"/>
      <c r="DAP90" s="91"/>
      <c r="DAQ90" s="91"/>
      <c r="DAR90" s="91"/>
      <c r="DAS90" s="91"/>
      <c r="DAT90" s="91"/>
      <c r="DAU90" s="91"/>
      <c r="DAV90" s="91"/>
      <c r="DAW90" s="91"/>
      <c r="DAX90" s="91"/>
      <c r="DAY90" s="91"/>
      <c r="DAZ90" s="91"/>
      <c r="DBA90" s="91"/>
      <c r="DBB90" s="91"/>
      <c r="DBC90" s="91"/>
      <c r="DBD90" s="91"/>
      <c r="DBE90" s="91"/>
      <c r="DBF90" s="91"/>
      <c r="DBG90" s="91"/>
      <c r="DBH90" s="91"/>
      <c r="DBI90" s="91"/>
      <c r="DBJ90" s="91"/>
      <c r="DBK90" s="91"/>
      <c r="DBL90" s="91"/>
      <c r="DBM90" s="91"/>
      <c r="DBN90" s="91"/>
      <c r="DBO90" s="91"/>
      <c r="DBP90" s="91"/>
      <c r="DBQ90" s="91"/>
      <c r="DBR90" s="91"/>
      <c r="DBS90" s="91"/>
      <c r="DBT90" s="91"/>
      <c r="DBU90" s="91"/>
      <c r="DBV90" s="91"/>
      <c r="DBW90" s="91"/>
      <c r="DBX90" s="91"/>
      <c r="DBY90" s="91"/>
      <c r="DBZ90" s="91"/>
      <c r="DCA90" s="91"/>
      <c r="DCB90" s="91"/>
      <c r="DCC90" s="91"/>
      <c r="DCD90" s="91"/>
      <c r="DCE90" s="91"/>
      <c r="DCF90" s="91"/>
      <c r="DCG90" s="91"/>
      <c r="DCH90" s="91"/>
      <c r="DCI90" s="91"/>
      <c r="DCJ90" s="91"/>
      <c r="DCK90" s="91"/>
      <c r="DCL90" s="91"/>
      <c r="DCM90" s="91"/>
      <c r="DCN90" s="91"/>
      <c r="DCO90" s="91"/>
      <c r="DCP90" s="91"/>
      <c r="DCQ90" s="91"/>
      <c r="DCR90" s="91"/>
      <c r="DCS90" s="91"/>
      <c r="DCT90" s="91"/>
      <c r="DCU90" s="91"/>
      <c r="DCV90" s="91"/>
      <c r="DCW90" s="91"/>
      <c r="DCX90" s="91"/>
      <c r="DCY90" s="91"/>
      <c r="DCZ90" s="91"/>
      <c r="DDA90" s="91"/>
      <c r="DDB90" s="91"/>
      <c r="DDC90" s="91"/>
      <c r="DDD90" s="91"/>
      <c r="DDE90" s="91"/>
      <c r="DDF90" s="91"/>
      <c r="DDG90" s="91"/>
      <c r="DDH90" s="91"/>
      <c r="DDI90" s="91"/>
      <c r="DDJ90" s="91"/>
      <c r="DDK90" s="91"/>
      <c r="DDL90" s="91"/>
      <c r="DDM90" s="91"/>
      <c r="DDN90" s="91"/>
      <c r="DDO90" s="91"/>
      <c r="DDP90" s="91"/>
      <c r="DDQ90" s="91"/>
      <c r="DDR90" s="91"/>
      <c r="DDS90" s="91"/>
      <c r="DDT90" s="91"/>
      <c r="DDU90" s="91"/>
      <c r="DDV90" s="91"/>
      <c r="DDW90" s="91"/>
      <c r="DDX90" s="91"/>
      <c r="DDY90" s="91"/>
      <c r="DDZ90" s="91"/>
      <c r="DEA90" s="91"/>
      <c r="DEB90" s="91"/>
      <c r="DEC90" s="91"/>
      <c r="DED90" s="91"/>
      <c r="DEE90" s="91"/>
      <c r="DEF90" s="91"/>
      <c r="DEG90" s="91"/>
      <c r="DEH90" s="91"/>
      <c r="DEI90" s="91"/>
      <c r="DEJ90" s="91"/>
      <c r="DEK90" s="91"/>
      <c r="DEL90" s="91"/>
      <c r="DEM90" s="91"/>
      <c r="DEN90" s="91"/>
      <c r="DEO90" s="91"/>
      <c r="DEP90" s="91"/>
      <c r="DEQ90" s="91"/>
      <c r="DER90" s="91"/>
      <c r="DES90" s="91"/>
      <c r="DET90" s="91"/>
      <c r="DEU90" s="91"/>
      <c r="DEV90" s="91"/>
      <c r="DEW90" s="91"/>
      <c r="DEX90" s="91"/>
      <c r="DEY90" s="91"/>
      <c r="DEZ90" s="91"/>
      <c r="DFA90" s="91"/>
      <c r="DFB90" s="91"/>
      <c r="DFC90" s="91"/>
      <c r="DFD90" s="91"/>
      <c r="DFE90" s="91"/>
      <c r="DFF90" s="91"/>
      <c r="DFG90" s="91"/>
      <c r="DFH90" s="91"/>
      <c r="DFI90" s="91"/>
      <c r="DFJ90" s="91"/>
      <c r="DFK90" s="91"/>
      <c r="DFL90" s="91"/>
      <c r="DFM90" s="91"/>
      <c r="DFN90" s="91"/>
      <c r="DFO90" s="91"/>
      <c r="DFP90" s="91"/>
      <c r="DFQ90" s="91"/>
      <c r="DFR90" s="91"/>
      <c r="DFS90" s="91"/>
      <c r="DFT90" s="91"/>
      <c r="DFU90" s="91"/>
      <c r="DFV90" s="91"/>
      <c r="DFW90" s="91"/>
      <c r="DFX90" s="91"/>
      <c r="DFY90" s="91"/>
      <c r="DFZ90" s="91"/>
      <c r="DGA90" s="91"/>
      <c r="DGB90" s="91"/>
      <c r="DGC90" s="91"/>
      <c r="DGD90" s="91"/>
      <c r="DGE90" s="91"/>
      <c r="DGF90" s="91"/>
      <c r="DGG90" s="91"/>
      <c r="DGH90" s="91"/>
      <c r="DGI90" s="91"/>
      <c r="DGJ90" s="91"/>
      <c r="DGK90" s="91"/>
      <c r="DGL90" s="91"/>
      <c r="DGM90" s="91"/>
      <c r="DGN90" s="91"/>
      <c r="DGO90" s="91"/>
      <c r="DGP90" s="91"/>
      <c r="DGQ90" s="91"/>
      <c r="DGR90" s="91"/>
      <c r="DGS90" s="91"/>
      <c r="DGT90" s="91"/>
      <c r="DGU90" s="91"/>
      <c r="DGV90" s="91"/>
      <c r="DGW90" s="91"/>
      <c r="DGX90" s="91"/>
      <c r="DGY90" s="91"/>
      <c r="DGZ90" s="91"/>
      <c r="DHA90" s="91"/>
      <c r="DHB90" s="91"/>
      <c r="DHC90" s="91"/>
      <c r="DHD90" s="91"/>
      <c r="DHE90" s="91"/>
      <c r="DHF90" s="91"/>
      <c r="DHG90" s="91"/>
      <c r="DHH90" s="91"/>
      <c r="DHI90" s="91"/>
      <c r="DHJ90" s="91"/>
      <c r="DHK90" s="91"/>
      <c r="DHL90" s="91"/>
      <c r="DHM90" s="91"/>
      <c r="DHN90" s="91"/>
      <c r="DHO90" s="91"/>
      <c r="DHP90" s="91"/>
      <c r="DHQ90" s="91"/>
      <c r="DHR90" s="91"/>
      <c r="DHS90" s="91"/>
      <c r="DHT90" s="91"/>
      <c r="DHU90" s="91"/>
      <c r="DHV90" s="91"/>
      <c r="DHW90" s="91"/>
      <c r="DHX90" s="91"/>
      <c r="DHY90" s="91"/>
      <c r="DHZ90" s="91"/>
      <c r="DIA90" s="91"/>
      <c r="DIB90" s="91"/>
      <c r="DIC90" s="91"/>
      <c r="DID90" s="91"/>
      <c r="DIE90" s="91"/>
      <c r="DIF90" s="91"/>
      <c r="DIG90" s="91"/>
      <c r="DIH90" s="91"/>
      <c r="DII90" s="91"/>
      <c r="DIJ90" s="91"/>
      <c r="DIK90" s="91"/>
      <c r="DIL90" s="91"/>
      <c r="DIM90" s="91"/>
      <c r="DIN90" s="91"/>
      <c r="DIO90" s="91"/>
      <c r="DIP90" s="91"/>
      <c r="DIQ90" s="91"/>
      <c r="DIR90" s="91"/>
      <c r="DIS90" s="91"/>
      <c r="DIT90" s="91"/>
      <c r="DIU90" s="91"/>
      <c r="DIV90" s="91"/>
      <c r="DIW90" s="91"/>
      <c r="DIX90" s="91"/>
      <c r="DIY90" s="91"/>
      <c r="DIZ90" s="91"/>
      <c r="DJA90" s="91"/>
      <c r="DJB90" s="91"/>
      <c r="DJC90" s="91"/>
      <c r="DJD90" s="91"/>
      <c r="DJE90" s="91"/>
      <c r="DJF90" s="91"/>
      <c r="DJG90" s="91"/>
      <c r="DJH90" s="91"/>
      <c r="DJI90" s="91"/>
      <c r="DJJ90" s="91"/>
      <c r="DJK90" s="91"/>
      <c r="DJL90" s="91"/>
      <c r="DJM90" s="91"/>
      <c r="DJN90" s="91"/>
      <c r="DJO90" s="91"/>
      <c r="DJP90" s="91"/>
      <c r="DJQ90" s="91"/>
      <c r="DJR90" s="91"/>
      <c r="DJS90" s="91"/>
      <c r="DJT90" s="91"/>
      <c r="DJU90" s="91"/>
      <c r="DJV90" s="91"/>
      <c r="DJW90" s="91"/>
      <c r="DJX90" s="91"/>
      <c r="DJY90" s="91"/>
      <c r="DJZ90" s="91"/>
      <c r="DKA90" s="91"/>
      <c r="DKB90" s="91"/>
      <c r="DKC90" s="91"/>
      <c r="DKD90" s="91"/>
      <c r="DKE90" s="91"/>
      <c r="DKF90" s="91"/>
      <c r="DKG90" s="91"/>
      <c r="DKH90" s="91"/>
      <c r="DKI90" s="91"/>
      <c r="DKJ90" s="91"/>
      <c r="DKK90" s="91"/>
      <c r="DKL90" s="91"/>
      <c r="DKM90" s="91"/>
      <c r="DKN90" s="91"/>
      <c r="DKO90" s="91"/>
      <c r="DKP90" s="91"/>
      <c r="DKQ90" s="91"/>
      <c r="DKR90" s="91"/>
      <c r="DKS90" s="91"/>
      <c r="DKT90" s="91"/>
      <c r="DKU90" s="91"/>
      <c r="DKV90" s="91"/>
      <c r="DKW90" s="91"/>
      <c r="DKX90" s="91"/>
      <c r="DKY90" s="91"/>
      <c r="DKZ90" s="91"/>
      <c r="DLA90" s="91"/>
      <c r="DLB90" s="91"/>
      <c r="DLC90" s="91"/>
      <c r="DLD90" s="91"/>
      <c r="DLE90" s="91"/>
      <c r="DLF90" s="91"/>
      <c r="DLG90" s="91"/>
      <c r="DLH90" s="91"/>
      <c r="DLI90" s="91"/>
      <c r="DLJ90" s="91"/>
      <c r="DLK90" s="91"/>
      <c r="DLL90" s="91"/>
      <c r="DLM90" s="91"/>
      <c r="DLN90" s="91"/>
      <c r="DLO90" s="91"/>
      <c r="DLP90" s="91"/>
      <c r="DLQ90" s="91"/>
      <c r="DLR90" s="91"/>
      <c r="DLS90" s="91"/>
      <c r="DLT90" s="91"/>
      <c r="DLU90" s="91"/>
      <c r="DLV90" s="91"/>
      <c r="DLW90" s="91"/>
      <c r="DLX90" s="91"/>
      <c r="DLY90" s="91"/>
      <c r="DLZ90" s="91"/>
      <c r="DMA90" s="91"/>
      <c r="DMB90" s="91"/>
      <c r="DMC90" s="91"/>
      <c r="DMD90" s="91"/>
      <c r="DME90" s="91"/>
      <c r="DMF90" s="91"/>
      <c r="DMG90" s="91"/>
      <c r="DMH90" s="91"/>
      <c r="DMI90" s="91"/>
      <c r="DMJ90" s="91"/>
      <c r="DMK90" s="91"/>
      <c r="DML90" s="91"/>
      <c r="DMM90" s="91"/>
      <c r="DMN90" s="91"/>
      <c r="DMO90" s="91"/>
      <c r="DMP90" s="91"/>
      <c r="DMQ90" s="91"/>
      <c r="DMR90" s="91"/>
      <c r="DMS90" s="91"/>
      <c r="DMT90" s="91"/>
      <c r="DMU90" s="91"/>
      <c r="DMV90" s="91"/>
      <c r="DMW90" s="91"/>
      <c r="DMX90" s="91"/>
      <c r="DMY90" s="91"/>
      <c r="DMZ90" s="91"/>
      <c r="DNA90" s="91"/>
      <c r="DNB90" s="91"/>
      <c r="DNC90" s="91"/>
      <c r="DND90" s="91"/>
      <c r="DNE90" s="91"/>
      <c r="DNF90" s="91"/>
      <c r="DNG90" s="91"/>
      <c r="DNH90" s="91"/>
      <c r="DNI90" s="91"/>
      <c r="DNJ90" s="91"/>
      <c r="DNK90" s="91"/>
      <c r="DNL90" s="91"/>
      <c r="DNM90" s="91"/>
      <c r="DNN90" s="91"/>
      <c r="DNO90" s="91"/>
      <c r="DNP90" s="91"/>
      <c r="DNQ90" s="91"/>
      <c r="DNR90" s="91"/>
      <c r="DNS90" s="91"/>
      <c r="DNT90" s="91"/>
      <c r="DNU90" s="91"/>
      <c r="DNV90" s="91"/>
      <c r="DNW90" s="91"/>
      <c r="DNX90" s="91"/>
      <c r="DNY90" s="91"/>
      <c r="DNZ90" s="91"/>
      <c r="DOA90" s="91"/>
      <c r="DOB90" s="91"/>
      <c r="DOC90" s="91"/>
      <c r="DOD90" s="91"/>
      <c r="DOE90" s="91"/>
      <c r="DOF90" s="91"/>
      <c r="DOG90" s="91"/>
      <c r="DOH90" s="91"/>
      <c r="DOI90" s="91"/>
      <c r="DOJ90" s="91"/>
      <c r="DOK90" s="91"/>
      <c r="DOL90" s="91"/>
      <c r="DOM90" s="91"/>
      <c r="DON90" s="91"/>
      <c r="DOO90" s="91"/>
      <c r="DOP90" s="91"/>
      <c r="DOQ90" s="91"/>
      <c r="DOR90" s="91"/>
      <c r="DOS90" s="91"/>
      <c r="DOT90" s="91"/>
      <c r="DOU90" s="91"/>
      <c r="DOV90" s="91"/>
      <c r="DOW90" s="91"/>
      <c r="DOX90" s="91"/>
      <c r="DOY90" s="91"/>
      <c r="DOZ90" s="91"/>
      <c r="DPA90" s="91"/>
      <c r="DPB90" s="91"/>
      <c r="DPC90" s="91"/>
      <c r="DPD90" s="91"/>
      <c r="DPE90" s="91"/>
      <c r="DPF90" s="91"/>
      <c r="DPG90" s="91"/>
      <c r="DPH90" s="91"/>
      <c r="DPI90" s="91"/>
      <c r="DPJ90" s="91"/>
      <c r="DPK90" s="91"/>
      <c r="DPL90" s="91"/>
      <c r="DPM90" s="91"/>
      <c r="DPN90" s="91"/>
      <c r="DPO90" s="91"/>
      <c r="DPP90" s="91"/>
      <c r="DPQ90" s="91"/>
      <c r="DPR90" s="91"/>
      <c r="DPS90" s="91"/>
      <c r="DPT90" s="91"/>
      <c r="DPU90" s="91"/>
      <c r="DPV90" s="91"/>
      <c r="DPW90" s="91"/>
      <c r="DPX90" s="91"/>
      <c r="DPY90" s="91"/>
      <c r="DPZ90" s="91"/>
      <c r="DQA90" s="91"/>
      <c r="DQB90" s="91"/>
      <c r="DQC90" s="91"/>
      <c r="DQD90" s="91"/>
      <c r="DQE90" s="91"/>
      <c r="DQF90" s="91"/>
      <c r="DQG90" s="91"/>
      <c r="DQH90" s="91"/>
      <c r="DQI90" s="91"/>
      <c r="DQJ90" s="91"/>
      <c r="DQK90" s="91"/>
      <c r="DQL90" s="91"/>
      <c r="DQM90" s="91"/>
      <c r="DQN90" s="91"/>
      <c r="DQO90" s="91"/>
      <c r="DQP90" s="91"/>
      <c r="DQQ90" s="91"/>
      <c r="DQR90" s="91"/>
      <c r="DQS90" s="91"/>
      <c r="DQT90" s="91"/>
      <c r="DQU90" s="91"/>
      <c r="DQV90" s="91"/>
      <c r="DQW90" s="91"/>
      <c r="DQX90" s="91"/>
      <c r="DQY90" s="91"/>
      <c r="DQZ90" s="91"/>
      <c r="DRA90" s="91"/>
      <c r="DRB90" s="91"/>
      <c r="DRC90" s="91"/>
      <c r="DRD90" s="91"/>
      <c r="DRE90" s="91"/>
      <c r="DRF90" s="91"/>
      <c r="DRG90" s="91"/>
      <c r="DRH90" s="91"/>
      <c r="DRI90" s="91"/>
      <c r="DRJ90" s="91"/>
      <c r="DRK90" s="91"/>
      <c r="DRL90" s="91"/>
      <c r="DRM90" s="91"/>
      <c r="DRN90" s="91"/>
      <c r="DRO90" s="91"/>
      <c r="DRP90" s="91"/>
      <c r="DRQ90" s="91"/>
      <c r="DRR90" s="91"/>
      <c r="DRS90" s="91"/>
      <c r="DRT90" s="91"/>
      <c r="DRU90" s="91"/>
      <c r="DRV90" s="91"/>
      <c r="DRW90" s="91"/>
      <c r="DRX90" s="91"/>
      <c r="DRY90" s="91"/>
      <c r="DRZ90" s="91"/>
      <c r="DSA90" s="91"/>
      <c r="DSB90" s="91"/>
      <c r="DSC90" s="91"/>
      <c r="DSD90" s="91"/>
      <c r="DSE90" s="91"/>
      <c r="DSF90" s="91"/>
      <c r="DSG90" s="91"/>
      <c r="DSH90" s="91"/>
      <c r="DSI90" s="91"/>
      <c r="DSJ90" s="91"/>
      <c r="DSK90" s="91"/>
      <c r="DSL90" s="91"/>
      <c r="DSM90" s="91"/>
      <c r="DSN90" s="91"/>
      <c r="DSO90" s="91"/>
      <c r="DSP90" s="91"/>
      <c r="DSQ90" s="91"/>
      <c r="DSR90" s="91"/>
      <c r="DSS90" s="91"/>
      <c r="DST90" s="91"/>
      <c r="DSU90" s="91"/>
      <c r="DSV90" s="91"/>
      <c r="DSW90" s="91"/>
      <c r="DSX90" s="91"/>
      <c r="DSY90" s="91"/>
      <c r="DSZ90" s="91"/>
      <c r="DTA90" s="91"/>
      <c r="DTB90" s="91"/>
      <c r="DTC90" s="91"/>
      <c r="DTD90" s="91"/>
      <c r="DTE90" s="91"/>
      <c r="DTF90" s="91"/>
      <c r="DTG90" s="91"/>
      <c r="DTH90" s="91"/>
      <c r="DTI90" s="91"/>
      <c r="DTJ90" s="91"/>
      <c r="DTK90" s="91"/>
      <c r="DTL90" s="91"/>
      <c r="DTM90" s="91"/>
      <c r="DTN90" s="91"/>
      <c r="DTO90" s="91"/>
      <c r="DTP90" s="91"/>
      <c r="DTQ90" s="91"/>
      <c r="DTR90" s="91"/>
      <c r="DTS90" s="91"/>
      <c r="DTT90" s="91"/>
      <c r="DTU90" s="91"/>
      <c r="DTV90" s="91"/>
      <c r="DTW90" s="91"/>
      <c r="DTX90" s="91"/>
      <c r="DTY90" s="91"/>
      <c r="DTZ90" s="91"/>
      <c r="DUA90" s="91"/>
      <c r="DUB90" s="91"/>
      <c r="DUC90" s="91"/>
      <c r="DUD90" s="91"/>
      <c r="DUE90" s="91"/>
      <c r="DUF90" s="91"/>
      <c r="DUG90" s="91"/>
      <c r="DUH90" s="91"/>
      <c r="DUI90" s="91"/>
      <c r="DUJ90" s="91"/>
      <c r="DUK90" s="91"/>
      <c r="DUL90" s="91"/>
      <c r="DUM90" s="91"/>
      <c r="DUN90" s="91"/>
      <c r="DUO90" s="91"/>
      <c r="DUP90" s="91"/>
      <c r="DUQ90" s="91"/>
      <c r="DUR90" s="91"/>
      <c r="DUS90" s="91"/>
      <c r="DUT90" s="91"/>
      <c r="DUU90" s="91"/>
      <c r="DUV90" s="91"/>
      <c r="DUW90" s="91"/>
      <c r="DUX90" s="91"/>
      <c r="DUY90" s="91"/>
      <c r="DUZ90" s="91"/>
      <c r="DVA90" s="91"/>
      <c r="DVB90" s="91"/>
      <c r="DVC90" s="91"/>
      <c r="DVD90" s="91"/>
      <c r="DVE90" s="91"/>
      <c r="DVF90" s="91"/>
      <c r="DVG90" s="91"/>
      <c r="DVH90" s="91"/>
      <c r="DVI90" s="91"/>
      <c r="DVJ90" s="91"/>
      <c r="DVK90" s="91"/>
      <c r="DVL90" s="91"/>
      <c r="DVM90" s="91"/>
      <c r="DVN90" s="91"/>
      <c r="DVO90" s="91"/>
      <c r="DVP90" s="91"/>
      <c r="DVQ90" s="91"/>
      <c r="DVR90" s="91"/>
      <c r="DVS90" s="91"/>
      <c r="DVT90" s="91"/>
      <c r="DVU90" s="91"/>
      <c r="DVV90" s="91"/>
      <c r="DVW90" s="91"/>
      <c r="DVX90" s="91"/>
      <c r="DVY90" s="91"/>
      <c r="DVZ90" s="91"/>
      <c r="DWA90" s="91"/>
      <c r="DWB90" s="91"/>
      <c r="DWC90" s="91"/>
      <c r="DWD90" s="91"/>
      <c r="DWE90" s="91"/>
      <c r="DWF90" s="91"/>
      <c r="DWG90" s="91"/>
      <c r="DWH90" s="91"/>
      <c r="DWI90" s="91"/>
      <c r="DWJ90" s="91"/>
      <c r="DWK90" s="91"/>
      <c r="DWL90" s="91"/>
      <c r="DWM90" s="91"/>
      <c r="DWN90" s="91"/>
      <c r="DWO90" s="91"/>
      <c r="DWP90" s="91"/>
      <c r="DWQ90" s="91"/>
      <c r="DWR90" s="91"/>
      <c r="DWS90" s="91"/>
      <c r="DWT90" s="91"/>
      <c r="DWU90" s="91"/>
      <c r="DWV90" s="91"/>
      <c r="DWW90" s="91"/>
      <c r="DWX90" s="91"/>
      <c r="DWY90" s="91"/>
      <c r="DWZ90" s="91"/>
      <c r="DXA90" s="91"/>
      <c r="DXB90" s="91"/>
      <c r="DXC90" s="91"/>
      <c r="DXD90" s="91"/>
      <c r="DXE90" s="91"/>
      <c r="DXF90" s="91"/>
      <c r="DXG90" s="91"/>
      <c r="DXH90" s="91"/>
      <c r="DXI90" s="91"/>
      <c r="DXJ90" s="91"/>
      <c r="DXK90" s="91"/>
      <c r="DXL90" s="91"/>
      <c r="DXM90" s="91"/>
      <c r="DXN90" s="91"/>
      <c r="DXO90" s="91"/>
      <c r="DXP90" s="91"/>
      <c r="DXQ90" s="91"/>
      <c r="DXR90" s="91"/>
      <c r="DXS90" s="91"/>
      <c r="DXT90" s="91"/>
      <c r="DXU90" s="91"/>
      <c r="DXV90" s="91"/>
      <c r="DXW90" s="91"/>
      <c r="DXX90" s="91"/>
      <c r="DXY90" s="91"/>
      <c r="DXZ90" s="91"/>
      <c r="DYA90" s="91"/>
      <c r="DYB90" s="91"/>
      <c r="DYC90" s="91"/>
      <c r="DYD90" s="91"/>
      <c r="DYE90" s="91"/>
      <c r="DYF90" s="91"/>
      <c r="DYG90" s="91"/>
      <c r="DYH90" s="91"/>
      <c r="DYI90" s="91"/>
      <c r="DYJ90" s="91"/>
      <c r="DYK90" s="91"/>
      <c r="DYL90" s="91"/>
      <c r="DYM90" s="91"/>
      <c r="DYN90" s="91"/>
      <c r="DYO90" s="91"/>
      <c r="DYP90" s="91"/>
      <c r="DYQ90" s="91"/>
      <c r="DYR90" s="91"/>
      <c r="DYS90" s="91"/>
      <c r="DYT90" s="91"/>
      <c r="DYU90" s="91"/>
      <c r="DYV90" s="91"/>
      <c r="DYW90" s="91"/>
      <c r="DYX90" s="91"/>
      <c r="DYY90" s="91"/>
      <c r="DYZ90" s="91"/>
      <c r="DZA90" s="91"/>
      <c r="DZB90" s="91"/>
      <c r="DZC90" s="91"/>
      <c r="DZD90" s="91"/>
      <c r="DZE90" s="91"/>
      <c r="DZF90" s="91"/>
      <c r="DZG90" s="91"/>
      <c r="DZH90" s="91"/>
      <c r="DZI90" s="91"/>
      <c r="DZJ90" s="91"/>
      <c r="DZK90" s="91"/>
      <c r="DZL90" s="91"/>
      <c r="DZM90" s="91"/>
      <c r="DZN90" s="91"/>
      <c r="DZO90" s="91"/>
      <c r="DZP90" s="91"/>
      <c r="DZQ90" s="91"/>
      <c r="DZR90" s="91"/>
      <c r="DZS90" s="91"/>
      <c r="DZT90" s="91"/>
      <c r="DZU90" s="91"/>
      <c r="DZV90" s="91"/>
      <c r="DZW90" s="91"/>
      <c r="DZX90" s="91"/>
      <c r="DZY90" s="91"/>
      <c r="DZZ90" s="91"/>
      <c r="EAA90" s="91"/>
      <c r="EAB90" s="91"/>
      <c r="EAC90" s="91"/>
      <c r="EAD90" s="91"/>
      <c r="EAE90" s="91"/>
      <c r="EAF90" s="91"/>
      <c r="EAG90" s="91"/>
      <c r="EAH90" s="91"/>
      <c r="EAI90" s="91"/>
      <c r="EAJ90" s="91"/>
      <c r="EAK90" s="91"/>
      <c r="EAL90" s="91"/>
      <c r="EAM90" s="91"/>
      <c r="EAN90" s="91"/>
      <c r="EAO90" s="91"/>
      <c r="EAP90" s="91"/>
      <c r="EAQ90" s="91"/>
      <c r="EAR90" s="91"/>
      <c r="EAS90" s="91"/>
      <c r="EAT90" s="91"/>
      <c r="EAU90" s="91"/>
      <c r="EAV90" s="91"/>
      <c r="EAW90" s="91"/>
      <c r="EAX90" s="91"/>
      <c r="EAY90" s="91"/>
      <c r="EAZ90" s="91"/>
      <c r="EBA90" s="91"/>
      <c r="EBB90" s="91"/>
      <c r="EBC90" s="91"/>
      <c r="EBD90" s="91"/>
      <c r="EBE90" s="91"/>
      <c r="EBF90" s="91"/>
      <c r="EBG90" s="91"/>
      <c r="EBH90" s="91"/>
      <c r="EBI90" s="91"/>
      <c r="EBJ90" s="91"/>
      <c r="EBK90" s="91"/>
      <c r="EBL90" s="91"/>
      <c r="EBM90" s="91"/>
      <c r="EBN90" s="91"/>
      <c r="EBO90" s="91"/>
      <c r="EBP90" s="91"/>
      <c r="EBQ90" s="91"/>
      <c r="EBR90" s="91"/>
      <c r="EBS90" s="91"/>
      <c r="EBT90" s="91"/>
      <c r="EBU90" s="91"/>
      <c r="EBV90" s="91"/>
      <c r="EBW90" s="91"/>
      <c r="EBX90" s="91"/>
      <c r="EBY90" s="91"/>
      <c r="EBZ90" s="91"/>
      <c r="ECA90" s="91"/>
      <c r="ECB90" s="91"/>
      <c r="ECC90" s="91"/>
      <c r="ECD90" s="91"/>
      <c r="ECE90" s="91"/>
      <c r="ECF90" s="91"/>
      <c r="ECG90" s="91"/>
      <c r="ECH90" s="91"/>
      <c r="ECI90" s="91"/>
      <c r="ECJ90" s="91"/>
      <c r="ECK90" s="91"/>
      <c r="ECL90" s="91"/>
      <c r="ECM90" s="91"/>
      <c r="ECN90" s="91"/>
      <c r="ECO90" s="91"/>
      <c r="ECP90" s="91"/>
      <c r="ECQ90" s="91"/>
      <c r="ECR90" s="91"/>
      <c r="ECS90" s="91"/>
      <c r="ECT90" s="91"/>
      <c r="ECU90" s="91"/>
      <c r="ECV90" s="91"/>
      <c r="ECW90" s="91"/>
      <c r="ECX90" s="91"/>
      <c r="ECY90" s="91"/>
      <c r="ECZ90" s="91"/>
      <c r="EDA90" s="91"/>
      <c r="EDB90" s="91"/>
      <c r="EDC90" s="91"/>
      <c r="EDD90" s="91"/>
      <c r="EDE90" s="91"/>
      <c r="EDF90" s="91"/>
      <c r="EDG90" s="91"/>
      <c r="EDH90" s="91"/>
      <c r="EDI90" s="91"/>
      <c r="EDJ90" s="91"/>
      <c r="EDK90" s="91"/>
      <c r="EDL90" s="91"/>
      <c r="EDM90" s="91"/>
      <c r="EDN90" s="91"/>
      <c r="EDO90" s="91"/>
      <c r="EDP90" s="91"/>
      <c r="EDQ90" s="91"/>
      <c r="EDR90" s="91"/>
      <c r="EDS90" s="91"/>
      <c r="EDT90" s="91"/>
      <c r="EDU90" s="91"/>
      <c r="EDV90" s="91"/>
      <c r="EDW90" s="91"/>
      <c r="EDX90" s="91"/>
      <c r="EDY90" s="91"/>
      <c r="EDZ90" s="91"/>
      <c r="EEA90" s="91"/>
      <c r="EEB90" s="91"/>
      <c r="EEC90" s="91"/>
      <c r="EED90" s="91"/>
      <c r="EEE90" s="91"/>
      <c r="EEF90" s="91"/>
      <c r="EEG90" s="91"/>
      <c r="EEH90" s="91"/>
      <c r="EEI90" s="91"/>
      <c r="EEJ90" s="91"/>
      <c r="EEK90" s="91"/>
      <c r="EEL90" s="91"/>
      <c r="EEM90" s="91"/>
      <c r="EEN90" s="91"/>
      <c r="EEO90" s="91"/>
      <c r="EEP90" s="91"/>
      <c r="EEQ90" s="91"/>
      <c r="EER90" s="91"/>
      <c r="EES90" s="91"/>
      <c r="EET90" s="91"/>
      <c r="EEU90" s="91"/>
      <c r="EEV90" s="91"/>
      <c r="EEW90" s="91"/>
      <c r="EEX90" s="91"/>
      <c r="EEY90" s="91"/>
      <c r="EEZ90" s="91"/>
      <c r="EFA90" s="91"/>
      <c r="EFB90" s="91"/>
      <c r="EFC90" s="91"/>
      <c r="EFD90" s="91"/>
      <c r="EFE90" s="91"/>
      <c r="EFF90" s="91"/>
      <c r="EFG90" s="91"/>
      <c r="EFH90" s="91"/>
      <c r="EFI90" s="91"/>
      <c r="EFJ90" s="91"/>
      <c r="EFK90" s="91"/>
      <c r="EFL90" s="91"/>
      <c r="EFM90" s="91"/>
      <c r="EFN90" s="91"/>
      <c r="EFO90" s="91"/>
      <c r="EFP90" s="91"/>
      <c r="EFQ90" s="91"/>
      <c r="EFR90" s="91"/>
      <c r="EFS90" s="91"/>
      <c r="EFT90" s="91"/>
      <c r="EFU90" s="91"/>
      <c r="EFV90" s="91"/>
      <c r="EFW90" s="91"/>
      <c r="EFX90" s="91"/>
      <c r="EFY90" s="91"/>
      <c r="EFZ90" s="91"/>
      <c r="EGA90" s="91"/>
      <c r="EGB90" s="91"/>
      <c r="EGC90" s="91"/>
      <c r="EGD90" s="91"/>
      <c r="EGE90" s="91"/>
      <c r="EGF90" s="91"/>
      <c r="EGG90" s="91"/>
      <c r="EGH90" s="91"/>
      <c r="EGI90" s="91"/>
      <c r="EGJ90" s="91"/>
      <c r="EGK90" s="91"/>
      <c r="EGL90" s="91"/>
      <c r="EGM90" s="91"/>
      <c r="EGN90" s="91"/>
      <c r="EGO90" s="91"/>
      <c r="EGP90" s="91"/>
      <c r="EGQ90" s="91"/>
      <c r="EGR90" s="91"/>
      <c r="EGS90" s="91"/>
      <c r="EGT90" s="91"/>
      <c r="EGU90" s="91"/>
      <c r="EGV90" s="91"/>
      <c r="EGW90" s="91"/>
      <c r="EGX90" s="91"/>
      <c r="EGY90" s="91"/>
      <c r="EGZ90" s="91"/>
      <c r="EHA90" s="91"/>
      <c r="EHB90" s="91"/>
      <c r="EHC90" s="91"/>
      <c r="EHD90" s="91"/>
      <c r="EHE90" s="91"/>
      <c r="EHF90" s="91"/>
      <c r="EHG90" s="91"/>
      <c r="EHH90" s="91"/>
      <c r="EHI90" s="91"/>
      <c r="EHJ90" s="91"/>
      <c r="EHK90" s="91"/>
      <c r="EHL90" s="91"/>
      <c r="EHM90" s="91"/>
      <c r="EHN90" s="91"/>
      <c r="EHO90" s="91"/>
      <c r="EHP90" s="91"/>
      <c r="EHQ90" s="91"/>
      <c r="EHR90" s="91"/>
      <c r="EHS90" s="91"/>
      <c r="EHT90" s="91"/>
      <c r="EHU90" s="91"/>
      <c r="EHV90" s="91"/>
      <c r="EHW90" s="91"/>
      <c r="EHX90" s="91"/>
      <c r="EHY90" s="91"/>
      <c r="EHZ90" s="91"/>
      <c r="EIA90" s="91"/>
      <c r="EIB90" s="91"/>
      <c r="EIC90" s="91"/>
      <c r="EID90" s="91"/>
      <c r="EIE90" s="91"/>
      <c r="EIF90" s="91"/>
      <c r="EIG90" s="91"/>
      <c r="EIH90" s="91"/>
      <c r="EII90" s="91"/>
      <c r="EIJ90" s="91"/>
      <c r="EIK90" s="91"/>
      <c r="EIL90" s="91"/>
      <c r="EIM90" s="91"/>
      <c r="EIN90" s="91"/>
      <c r="EIO90" s="91"/>
      <c r="EIP90" s="91"/>
      <c r="EIQ90" s="91"/>
      <c r="EIR90" s="91"/>
      <c r="EIS90" s="91"/>
      <c r="EIT90" s="91"/>
      <c r="EIU90" s="91"/>
      <c r="EIV90" s="91"/>
      <c r="EIW90" s="91"/>
      <c r="EIX90" s="91"/>
      <c r="EIY90" s="91"/>
      <c r="EIZ90" s="91"/>
      <c r="EJA90" s="91"/>
      <c r="EJB90" s="91"/>
      <c r="EJC90" s="91"/>
      <c r="EJD90" s="91"/>
      <c r="EJE90" s="91"/>
      <c r="EJF90" s="91"/>
      <c r="EJG90" s="91"/>
      <c r="EJH90" s="91"/>
      <c r="EJI90" s="91"/>
      <c r="EJJ90" s="91"/>
      <c r="EJK90" s="91"/>
      <c r="EJL90" s="91"/>
      <c r="EJM90" s="91"/>
      <c r="EJN90" s="91"/>
      <c r="EJO90" s="91"/>
      <c r="EJP90" s="91"/>
      <c r="EJQ90" s="91"/>
      <c r="EJR90" s="91"/>
      <c r="EJS90" s="91"/>
      <c r="EJT90" s="91"/>
      <c r="EJU90" s="91"/>
      <c r="EJV90" s="91"/>
      <c r="EJW90" s="91"/>
      <c r="EJX90" s="91"/>
      <c r="EJY90" s="91"/>
      <c r="EJZ90" s="91"/>
      <c r="EKA90" s="91"/>
      <c r="EKB90" s="91"/>
      <c r="EKC90" s="91"/>
      <c r="EKD90" s="91"/>
      <c r="EKE90" s="91"/>
      <c r="EKF90" s="91"/>
      <c r="EKG90" s="91"/>
      <c r="EKH90" s="91"/>
      <c r="EKI90" s="91"/>
      <c r="EKJ90" s="91"/>
      <c r="EKK90" s="91"/>
      <c r="EKL90" s="91"/>
      <c r="EKM90" s="91"/>
      <c r="EKN90" s="91"/>
      <c r="EKO90" s="91"/>
      <c r="EKP90" s="91"/>
      <c r="EKQ90" s="91"/>
      <c r="EKR90" s="91"/>
      <c r="EKS90" s="91"/>
      <c r="EKT90" s="91"/>
      <c r="EKU90" s="91"/>
      <c r="EKV90" s="91"/>
      <c r="EKW90" s="91"/>
      <c r="EKX90" s="91"/>
      <c r="EKY90" s="91"/>
      <c r="EKZ90" s="91"/>
      <c r="ELA90" s="91"/>
      <c r="ELB90" s="91"/>
      <c r="ELC90" s="91"/>
      <c r="ELD90" s="91"/>
      <c r="ELE90" s="91"/>
      <c r="ELF90" s="91"/>
      <c r="ELG90" s="91"/>
      <c r="ELH90" s="91"/>
      <c r="ELI90" s="91"/>
      <c r="ELJ90" s="91"/>
      <c r="ELK90" s="91"/>
      <c r="ELL90" s="91"/>
      <c r="ELM90" s="91"/>
      <c r="ELN90" s="91"/>
      <c r="ELO90" s="91"/>
      <c r="ELP90" s="91"/>
      <c r="ELQ90" s="91"/>
      <c r="ELR90" s="91"/>
      <c r="ELS90" s="91"/>
      <c r="ELT90" s="91"/>
      <c r="ELU90" s="91"/>
      <c r="ELV90" s="91"/>
      <c r="ELW90" s="91"/>
      <c r="ELX90" s="91"/>
      <c r="ELY90" s="91"/>
      <c r="ELZ90" s="91"/>
      <c r="EMA90" s="91"/>
      <c r="EMB90" s="91"/>
      <c r="EMC90" s="91"/>
      <c r="EMD90" s="91"/>
      <c r="EME90" s="91"/>
      <c r="EMF90" s="91"/>
      <c r="EMG90" s="91"/>
      <c r="EMH90" s="91"/>
      <c r="EMI90" s="91"/>
      <c r="EMJ90" s="91"/>
      <c r="EMK90" s="91"/>
      <c r="EML90" s="91"/>
      <c r="EMM90" s="91"/>
      <c r="EMN90" s="91"/>
      <c r="EMO90" s="91"/>
      <c r="EMP90" s="91"/>
      <c r="EMQ90" s="91"/>
      <c r="EMR90" s="91"/>
      <c r="EMS90" s="91"/>
      <c r="EMT90" s="91"/>
      <c r="EMU90" s="91"/>
      <c r="EMV90" s="91"/>
      <c r="EMW90" s="91"/>
      <c r="EMX90" s="91"/>
      <c r="EMY90" s="91"/>
      <c r="EMZ90" s="91"/>
      <c r="ENA90" s="91"/>
      <c r="ENB90" s="91"/>
      <c r="ENC90" s="91"/>
      <c r="END90" s="91"/>
      <c r="ENE90" s="91"/>
      <c r="ENF90" s="91"/>
      <c r="ENG90" s="91"/>
      <c r="ENH90" s="91"/>
      <c r="ENI90" s="91"/>
      <c r="ENJ90" s="91"/>
      <c r="ENK90" s="91"/>
      <c r="ENL90" s="91"/>
      <c r="ENM90" s="91"/>
      <c r="ENN90" s="91"/>
      <c r="ENO90" s="91"/>
      <c r="ENP90" s="91"/>
      <c r="ENQ90" s="91"/>
      <c r="ENR90" s="91"/>
      <c r="ENS90" s="91"/>
      <c r="ENT90" s="91"/>
      <c r="ENU90" s="91"/>
      <c r="ENV90" s="91"/>
      <c r="ENW90" s="91"/>
      <c r="ENX90" s="91"/>
      <c r="ENY90" s="91"/>
      <c r="ENZ90" s="91"/>
      <c r="EOA90" s="91"/>
      <c r="EOB90" s="91"/>
      <c r="EOC90" s="91"/>
      <c r="EOD90" s="91"/>
      <c r="EOE90" s="91"/>
      <c r="EOF90" s="91"/>
      <c r="EOG90" s="91"/>
      <c r="EOH90" s="91"/>
      <c r="EOI90" s="91"/>
      <c r="EOJ90" s="91"/>
      <c r="EOK90" s="91"/>
      <c r="EOL90" s="91"/>
      <c r="EOM90" s="91"/>
      <c r="EON90" s="91"/>
      <c r="EOO90" s="91"/>
      <c r="EOP90" s="91"/>
      <c r="EOQ90" s="91"/>
      <c r="EOR90" s="91"/>
      <c r="EOS90" s="91"/>
      <c r="EOT90" s="91"/>
      <c r="EOU90" s="91"/>
      <c r="EOV90" s="91"/>
      <c r="EOW90" s="91"/>
      <c r="EOX90" s="91"/>
      <c r="EOY90" s="91"/>
      <c r="EOZ90" s="91"/>
      <c r="EPA90" s="91"/>
      <c r="EPB90" s="91"/>
      <c r="EPC90" s="91"/>
      <c r="EPD90" s="91"/>
      <c r="EPE90" s="91"/>
      <c r="EPF90" s="91"/>
      <c r="EPG90" s="91"/>
      <c r="EPH90" s="91"/>
      <c r="EPI90" s="91"/>
      <c r="EPJ90" s="91"/>
      <c r="EPK90" s="91"/>
      <c r="EPL90" s="91"/>
      <c r="EPM90" s="91"/>
      <c r="EPN90" s="91"/>
      <c r="EPO90" s="91"/>
      <c r="EPP90" s="91"/>
      <c r="EPQ90" s="91"/>
      <c r="EPR90" s="91"/>
      <c r="EPS90" s="91"/>
      <c r="EPT90" s="91"/>
      <c r="EPU90" s="91"/>
      <c r="EPV90" s="91"/>
      <c r="EPW90" s="91"/>
      <c r="EPX90" s="91"/>
      <c r="EPY90" s="91"/>
      <c r="EPZ90" s="91"/>
      <c r="EQA90" s="91"/>
      <c r="EQB90" s="91"/>
      <c r="EQC90" s="91"/>
      <c r="EQD90" s="91"/>
      <c r="EQE90" s="91"/>
      <c r="EQF90" s="91"/>
      <c r="EQG90" s="91"/>
      <c r="EQH90" s="91"/>
      <c r="EQI90" s="91"/>
      <c r="EQJ90" s="91"/>
      <c r="EQK90" s="91"/>
      <c r="EQL90" s="91"/>
      <c r="EQM90" s="91"/>
      <c r="EQN90" s="91"/>
      <c r="EQO90" s="91"/>
      <c r="EQP90" s="91"/>
      <c r="EQQ90" s="91"/>
      <c r="EQR90" s="91"/>
      <c r="EQS90" s="91"/>
      <c r="EQT90" s="91"/>
      <c r="EQU90" s="91"/>
      <c r="EQV90" s="91"/>
      <c r="EQW90" s="91"/>
      <c r="EQX90" s="91"/>
      <c r="EQY90" s="91"/>
      <c r="EQZ90" s="91"/>
      <c r="ERA90" s="91"/>
      <c r="ERB90" s="91"/>
      <c r="ERC90" s="91"/>
      <c r="ERD90" s="91"/>
      <c r="ERE90" s="91"/>
      <c r="ERF90" s="91"/>
      <c r="ERG90" s="91"/>
      <c r="ERH90" s="91"/>
      <c r="ERI90" s="91"/>
      <c r="ERJ90" s="91"/>
      <c r="ERK90" s="91"/>
      <c r="ERL90" s="91"/>
      <c r="ERM90" s="91"/>
      <c r="ERN90" s="91"/>
      <c r="ERO90" s="91"/>
      <c r="ERP90" s="91"/>
      <c r="ERQ90" s="91"/>
      <c r="ERR90" s="91"/>
      <c r="ERS90" s="91"/>
      <c r="ERT90" s="91"/>
      <c r="ERU90" s="91"/>
      <c r="ERV90" s="91"/>
      <c r="ERW90" s="91"/>
      <c r="ERX90" s="91"/>
      <c r="ERY90" s="91"/>
      <c r="ERZ90" s="91"/>
      <c r="ESA90" s="91"/>
      <c r="ESB90" s="91"/>
      <c r="ESC90" s="91"/>
      <c r="ESD90" s="91"/>
      <c r="ESE90" s="91"/>
      <c r="ESF90" s="91"/>
      <c r="ESG90" s="91"/>
      <c r="ESH90" s="91"/>
      <c r="ESI90" s="91"/>
      <c r="ESJ90" s="91"/>
      <c r="ESK90" s="91"/>
      <c r="ESL90" s="91"/>
      <c r="ESM90" s="91"/>
      <c r="ESN90" s="91"/>
      <c r="ESO90" s="91"/>
      <c r="ESP90" s="91"/>
      <c r="ESQ90" s="91"/>
      <c r="ESR90" s="91"/>
      <c r="ESS90" s="91"/>
      <c r="EST90" s="91"/>
      <c r="ESU90" s="91"/>
      <c r="ESV90" s="91"/>
      <c r="ESW90" s="91"/>
      <c r="ESX90" s="91"/>
      <c r="ESY90" s="91"/>
      <c r="ESZ90" s="91"/>
      <c r="ETA90" s="91"/>
      <c r="ETB90" s="91"/>
      <c r="ETC90" s="91"/>
      <c r="ETD90" s="91"/>
      <c r="ETE90" s="91"/>
      <c r="ETF90" s="91"/>
      <c r="ETG90" s="91"/>
      <c r="ETH90" s="91"/>
      <c r="ETI90" s="91"/>
      <c r="ETJ90" s="91"/>
      <c r="ETK90" s="91"/>
      <c r="ETL90" s="91"/>
      <c r="ETM90" s="91"/>
      <c r="ETN90" s="91"/>
      <c r="ETO90" s="91"/>
      <c r="ETP90" s="91"/>
      <c r="ETQ90" s="91"/>
      <c r="ETR90" s="91"/>
      <c r="ETS90" s="91"/>
      <c r="ETT90" s="91"/>
      <c r="ETU90" s="91"/>
      <c r="ETV90" s="91"/>
      <c r="ETW90" s="91"/>
      <c r="ETX90" s="91"/>
      <c r="ETY90" s="91"/>
      <c r="ETZ90" s="91"/>
      <c r="EUA90" s="91"/>
      <c r="EUB90" s="91"/>
      <c r="EUC90" s="91"/>
      <c r="EUD90" s="91"/>
      <c r="EUE90" s="91"/>
      <c r="EUF90" s="91"/>
      <c r="EUG90" s="91"/>
      <c r="EUH90" s="91"/>
      <c r="EUI90" s="91"/>
      <c r="EUJ90" s="91"/>
      <c r="EUK90" s="91"/>
      <c r="EUL90" s="91"/>
      <c r="EUM90" s="91"/>
      <c r="EUN90" s="91"/>
      <c r="EUO90" s="91"/>
      <c r="EUP90" s="91"/>
      <c r="EUQ90" s="91"/>
      <c r="EUR90" s="91"/>
      <c r="EUS90" s="91"/>
      <c r="EUT90" s="91"/>
      <c r="EUU90" s="91"/>
      <c r="EUV90" s="91"/>
      <c r="EUW90" s="91"/>
      <c r="EUX90" s="91"/>
      <c r="EUY90" s="91"/>
      <c r="EUZ90" s="91"/>
      <c r="EVA90" s="91"/>
      <c r="EVB90" s="91"/>
      <c r="EVC90" s="91"/>
      <c r="EVD90" s="91"/>
      <c r="EVE90" s="91"/>
      <c r="EVF90" s="91"/>
      <c r="EVG90" s="91"/>
      <c r="EVH90" s="91"/>
      <c r="EVI90" s="91"/>
      <c r="EVJ90" s="91"/>
      <c r="EVK90" s="91"/>
      <c r="EVL90" s="91"/>
      <c r="EVM90" s="91"/>
      <c r="EVN90" s="91"/>
      <c r="EVO90" s="91"/>
      <c r="EVP90" s="91"/>
      <c r="EVQ90" s="91"/>
      <c r="EVR90" s="91"/>
      <c r="EVS90" s="91"/>
      <c r="EVT90" s="91"/>
      <c r="EVU90" s="91"/>
      <c r="EVV90" s="91"/>
      <c r="EVW90" s="91"/>
      <c r="EVX90" s="91"/>
      <c r="EVY90" s="91"/>
      <c r="EVZ90" s="91"/>
      <c r="EWA90" s="91"/>
      <c r="EWB90" s="91"/>
      <c r="EWC90" s="91"/>
      <c r="EWD90" s="91"/>
      <c r="EWE90" s="91"/>
      <c r="EWF90" s="91"/>
      <c r="EWG90" s="91"/>
      <c r="EWH90" s="91"/>
      <c r="EWI90" s="91"/>
      <c r="EWJ90" s="91"/>
      <c r="EWK90" s="91"/>
      <c r="EWL90" s="91"/>
      <c r="EWM90" s="91"/>
      <c r="EWN90" s="91"/>
      <c r="EWO90" s="91"/>
      <c r="EWP90" s="91"/>
      <c r="EWQ90" s="91"/>
      <c r="EWR90" s="91"/>
      <c r="EWS90" s="91"/>
      <c r="EWT90" s="91"/>
      <c r="EWU90" s="91"/>
      <c r="EWV90" s="91"/>
      <c r="EWW90" s="91"/>
      <c r="EWX90" s="91"/>
      <c r="EWY90" s="91"/>
      <c r="EWZ90" s="91"/>
      <c r="EXA90" s="91"/>
      <c r="EXB90" s="91"/>
      <c r="EXC90" s="91"/>
      <c r="EXD90" s="91"/>
      <c r="EXE90" s="91"/>
      <c r="EXF90" s="91"/>
      <c r="EXG90" s="91"/>
      <c r="EXH90" s="91"/>
      <c r="EXI90" s="91"/>
      <c r="EXJ90" s="91"/>
      <c r="EXK90" s="91"/>
      <c r="EXL90" s="91"/>
      <c r="EXM90" s="91"/>
      <c r="EXN90" s="91"/>
      <c r="EXO90" s="91"/>
      <c r="EXP90" s="91"/>
      <c r="EXQ90" s="91"/>
      <c r="EXR90" s="91"/>
      <c r="EXS90" s="91"/>
      <c r="EXT90" s="91"/>
      <c r="EXU90" s="91"/>
      <c r="EXV90" s="91"/>
      <c r="EXW90" s="91"/>
      <c r="EXX90" s="91"/>
      <c r="EXY90" s="91"/>
      <c r="EXZ90" s="91"/>
      <c r="EYA90" s="91"/>
      <c r="EYB90" s="91"/>
      <c r="EYC90" s="91"/>
      <c r="EYD90" s="91"/>
      <c r="EYE90" s="91"/>
      <c r="EYF90" s="91"/>
      <c r="EYG90" s="91"/>
      <c r="EYH90" s="91"/>
      <c r="EYI90" s="91"/>
      <c r="EYJ90" s="91"/>
      <c r="EYK90" s="91"/>
      <c r="EYL90" s="91"/>
      <c r="EYM90" s="91"/>
      <c r="EYN90" s="91"/>
      <c r="EYO90" s="91"/>
      <c r="EYP90" s="91"/>
      <c r="EYQ90" s="91"/>
      <c r="EYR90" s="91"/>
      <c r="EYS90" s="91"/>
      <c r="EYT90" s="91"/>
      <c r="EYU90" s="91"/>
      <c r="EYV90" s="91"/>
      <c r="EYW90" s="91"/>
      <c r="EYX90" s="91"/>
      <c r="EYY90" s="91"/>
      <c r="EYZ90" s="91"/>
      <c r="EZA90" s="91"/>
      <c r="EZB90" s="91"/>
      <c r="EZC90" s="91"/>
      <c r="EZD90" s="91"/>
      <c r="EZE90" s="91"/>
      <c r="EZF90" s="91"/>
      <c r="EZG90" s="91"/>
      <c r="EZH90" s="91"/>
      <c r="EZI90" s="91"/>
      <c r="EZJ90" s="91"/>
      <c r="EZK90" s="91"/>
      <c r="EZL90" s="91"/>
      <c r="EZM90" s="91"/>
      <c r="EZN90" s="91"/>
      <c r="EZO90" s="91"/>
      <c r="EZP90" s="91"/>
      <c r="EZQ90" s="91"/>
      <c r="EZR90" s="91"/>
      <c r="EZS90" s="91"/>
      <c r="EZT90" s="91"/>
      <c r="EZU90" s="91"/>
      <c r="EZV90" s="91"/>
      <c r="EZW90" s="91"/>
      <c r="EZX90" s="91"/>
      <c r="EZY90" s="91"/>
      <c r="EZZ90" s="91"/>
      <c r="FAA90" s="91"/>
      <c r="FAB90" s="91"/>
      <c r="FAC90" s="91"/>
      <c r="FAD90" s="91"/>
      <c r="FAE90" s="91"/>
      <c r="FAF90" s="91"/>
      <c r="FAG90" s="91"/>
      <c r="FAH90" s="91"/>
      <c r="FAI90" s="91"/>
      <c r="FAJ90" s="91"/>
      <c r="FAK90" s="91"/>
      <c r="FAL90" s="91"/>
      <c r="FAM90" s="91"/>
      <c r="FAN90" s="91"/>
      <c r="FAO90" s="91"/>
      <c r="FAP90" s="91"/>
      <c r="FAQ90" s="91"/>
      <c r="FAR90" s="91"/>
      <c r="FAS90" s="91"/>
      <c r="FAT90" s="91"/>
      <c r="FAU90" s="91"/>
      <c r="FAV90" s="91"/>
      <c r="FAW90" s="91"/>
      <c r="FAX90" s="91"/>
      <c r="FAY90" s="91"/>
      <c r="FAZ90" s="91"/>
      <c r="FBA90" s="91"/>
      <c r="FBB90" s="91"/>
      <c r="FBC90" s="91"/>
      <c r="FBD90" s="91"/>
      <c r="FBE90" s="91"/>
      <c r="FBF90" s="91"/>
      <c r="FBG90" s="91"/>
      <c r="FBH90" s="91"/>
      <c r="FBI90" s="91"/>
      <c r="FBJ90" s="91"/>
      <c r="FBK90" s="91"/>
      <c r="FBL90" s="91"/>
      <c r="FBM90" s="91"/>
      <c r="FBN90" s="91"/>
      <c r="FBO90" s="91"/>
      <c r="FBP90" s="91"/>
      <c r="FBQ90" s="91"/>
      <c r="FBR90" s="91"/>
      <c r="FBS90" s="91"/>
      <c r="FBT90" s="91"/>
      <c r="FBU90" s="91"/>
      <c r="FBV90" s="91"/>
      <c r="FBW90" s="91"/>
      <c r="FBX90" s="91"/>
      <c r="FBY90" s="91"/>
      <c r="FBZ90" s="91"/>
      <c r="FCA90" s="91"/>
      <c r="FCB90" s="91"/>
      <c r="FCC90" s="91"/>
      <c r="FCD90" s="91"/>
      <c r="FCE90" s="91"/>
      <c r="FCF90" s="91"/>
      <c r="FCG90" s="91"/>
      <c r="FCH90" s="91"/>
      <c r="FCI90" s="91"/>
      <c r="FCJ90" s="91"/>
      <c r="FCK90" s="91"/>
      <c r="FCL90" s="91"/>
      <c r="FCM90" s="91"/>
      <c r="FCN90" s="91"/>
      <c r="FCO90" s="91"/>
      <c r="FCP90" s="91"/>
      <c r="FCQ90" s="91"/>
      <c r="FCR90" s="91"/>
      <c r="FCS90" s="91"/>
      <c r="FCT90" s="91"/>
      <c r="FCU90" s="91"/>
      <c r="FCV90" s="91"/>
      <c r="FCW90" s="91"/>
      <c r="FCX90" s="91"/>
      <c r="FCY90" s="91"/>
      <c r="FCZ90" s="91"/>
      <c r="FDA90" s="91"/>
      <c r="FDB90" s="91"/>
      <c r="FDC90" s="91"/>
      <c r="FDD90" s="91"/>
      <c r="FDE90" s="91"/>
      <c r="FDF90" s="91"/>
      <c r="FDG90" s="91"/>
      <c r="FDH90" s="91"/>
      <c r="FDI90" s="91"/>
      <c r="FDJ90" s="91"/>
      <c r="FDK90" s="91"/>
      <c r="FDL90" s="91"/>
      <c r="FDM90" s="91"/>
      <c r="FDN90" s="91"/>
      <c r="FDO90" s="91"/>
      <c r="FDP90" s="91"/>
      <c r="FDQ90" s="91"/>
      <c r="FDR90" s="91"/>
      <c r="FDS90" s="91"/>
      <c r="FDT90" s="91"/>
      <c r="FDU90" s="91"/>
      <c r="FDV90" s="91"/>
      <c r="FDW90" s="91"/>
      <c r="FDX90" s="91"/>
      <c r="FDY90" s="91"/>
      <c r="FDZ90" s="91"/>
      <c r="FEA90" s="91"/>
      <c r="FEB90" s="91"/>
      <c r="FEC90" s="91"/>
      <c r="FED90" s="91"/>
      <c r="FEE90" s="91"/>
      <c r="FEF90" s="91"/>
      <c r="FEG90" s="91"/>
      <c r="FEH90" s="91"/>
      <c r="FEI90" s="91"/>
      <c r="FEJ90" s="91"/>
      <c r="FEK90" s="91"/>
      <c r="FEL90" s="91"/>
      <c r="FEM90" s="91"/>
      <c r="FEN90" s="91"/>
      <c r="FEO90" s="91"/>
      <c r="FEP90" s="91"/>
      <c r="FEQ90" s="91"/>
      <c r="FER90" s="91"/>
      <c r="FES90" s="91"/>
      <c r="FET90" s="91"/>
      <c r="FEU90" s="91"/>
      <c r="FEV90" s="91"/>
      <c r="FEW90" s="91"/>
      <c r="FEX90" s="91"/>
      <c r="FEY90" s="91"/>
      <c r="FEZ90" s="91"/>
      <c r="FFA90" s="91"/>
      <c r="FFB90" s="91"/>
      <c r="FFC90" s="91"/>
      <c r="FFD90" s="91"/>
      <c r="FFE90" s="91"/>
      <c r="FFF90" s="91"/>
      <c r="FFG90" s="91"/>
      <c r="FFH90" s="91"/>
      <c r="FFI90" s="91"/>
      <c r="FFJ90" s="91"/>
      <c r="FFK90" s="91"/>
      <c r="FFL90" s="91"/>
      <c r="FFM90" s="91"/>
      <c r="FFN90" s="91"/>
      <c r="FFO90" s="91"/>
      <c r="FFP90" s="91"/>
      <c r="FFQ90" s="91"/>
      <c r="FFR90" s="91"/>
      <c r="FFS90" s="91"/>
      <c r="FFT90" s="91"/>
      <c r="FFU90" s="91"/>
      <c r="FFV90" s="91"/>
      <c r="FFW90" s="91"/>
      <c r="FFX90" s="91"/>
      <c r="FFY90" s="91"/>
      <c r="FFZ90" s="91"/>
      <c r="FGA90" s="91"/>
      <c r="FGB90" s="91"/>
      <c r="FGC90" s="91"/>
      <c r="FGD90" s="91"/>
      <c r="FGE90" s="91"/>
      <c r="FGF90" s="91"/>
      <c r="FGG90" s="91"/>
      <c r="FGH90" s="91"/>
      <c r="FGI90" s="91"/>
      <c r="FGJ90" s="91"/>
      <c r="FGK90" s="91"/>
      <c r="FGL90" s="91"/>
      <c r="FGM90" s="91"/>
      <c r="FGN90" s="91"/>
      <c r="FGO90" s="91"/>
      <c r="FGP90" s="91"/>
      <c r="FGQ90" s="91"/>
      <c r="FGR90" s="91"/>
      <c r="FGS90" s="91"/>
      <c r="FGT90" s="91"/>
      <c r="FGU90" s="91"/>
      <c r="FGV90" s="91"/>
      <c r="FGW90" s="91"/>
      <c r="FGX90" s="91"/>
      <c r="FGY90" s="91"/>
      <c r="FGZ90" s="91"/>
      <c r="FHA90" s="91"/>
      <c r="FHB90" s="91"/>
      <c r="FHC90" s="91"/>
      <c r="FHD90" s="91"/>
      <c r="FHE90" s="91"/>
      <c r="FHF90" s="91"/>
      <c r="FHG90" s="91"/>
      <c r="FHH90" s="91"/>
      <c r="FHI90" s="91"/>
      <c r="FHJ90" s="91"/>
      <c r="FHK90" s="91"/>
      <c r="FHL90" s="91"/>
      <c r="FHM90" s="91"/>
      <c r="FHN90" s="91"/>
      <c r="FHO90" s="91"/>
      <c r="FHP90" s="91"/>
      <c r="FHQ90" s="91"/>
      <c r="FHR90" s="91"/>
      <c r="FHS90" s="91"/>
      <c r="FHT90" s="91"/>
      <c r="FHU90" s="91"/>
      <c r="FHV90" s="91"/>
      <c r="FHW90" s="91"/>
      <c r="FHX90" s="91"/>
      <c r="FHY90" s="91"/>
      <c r="FHZ90" s="91"/>
      <c r="FIA90" s="91"/>
      <c r="FIB90" s="91"/>
      <c r="FIC90" s="91"/>
      <c r="FID90" s="91"/>
      <c r="FIE90" s="91"/>
      <c r="FIF90" s="91"/>
      <c r="FIG90" s="91"/>
      <c r="FIH90" s="91"/>
      <c r="FII90" s="91"/>
      <c r="FIJ90" s="91"/>
      <c r="FIK90" s="91"/>
      <c r="FIL90" s="91"/>
      <c r="FIM90" s="91"/>
      <c r="FIN90" s="91"/>
      <c r="FIO90" s="91"/>
      <c r="FIP90" s="91"/>
      <c r="FIQ90" s="91"/>
      <c r="FIR90" s="91"/>
      <c r="FIS90" s="91"/>
      <c r="FIT90" s="91"/>
      <c r="FIU90" s="91"/>
      <c r="FIV90" s="91"/>
      <c r="FIW90" s="91"/>
      <c r="FIX90" s="91"/>
      <c r="FIY90" s="91"/>
      <c r="FIZ90" s="91"/>
      <c r="FJA90" s="91"/>
      <c r="FJB90" s="91"/>
      <c r="FJC90" s="91"/>
      <c r="FJD90" s="91"/>
      <c r="FJE90" s="91"/>
      <c r="FJF90" s="91"/>
      <c r="FJG90" s="91"/>
      <c r="FJH90" s="91"/>
      <c r="FJI90" s="91"/>
      <c r="FJJ90" s="91"/>
      <c r="FJK90" s="91"/>
      <c r="FJL90" s="91"/>
      <c r="FJM90" s="91"/>
      <c r="FJN90" s="91"/>
      <c r="FJO90" s="91"/>
      <c r="FJP90" s="91"/>
      <c r="FJQ90" s="91"/>
      <c r="FJR90" s="91"/>
      <c r="FJS90" s="91"/>
      <c r="FJT90" s="91"/>
      <c r="FJU90" s="91"/>
      <c r="FJV90" s="91"/>
      <c r="FJW90" s="91"/>
      <c r="FJX90" s="91"/>
      <c r="FJY90" s="91"/>
      <c r="FJZ90" s="91"/>
      <c r="FKA90" s="91"/>
      <c r="FKB90" s="91"/>
      <c r="FKC90" s="91"/>
      <c r="FKD90" s="91"/>
      <c r="FKE90" s="91"/>
      <c r="FKF90" s="91"/>
      <c r="FKG90" s="91"/>
      <c r="FKH90" s="91"/>
      <c r="FKI90" s="91"/>
      <c r="FKJ90" s="91"/>
      <c r="FKK90" s="91"/>
      <c r="FKL90" s="91"/>
      <c r="FKM90" s="91"/>
      <c r="FKN90" s="91"/>
      <c r="FKO90" s="91"/>
      <c r="FKP90" s="91"/>
      <c r="FKQ90" s="91"/>
      <c r="FKR90" s="91"/>
      <c r="FKS90" s="91"/>
      <c r="FKT90" s="91"/>
      <c r="FKU90" s="91"/>
      <c r="FKV90" s="91"/>
      <c r="FKW90" s="91"/>
      <c r="FKX90" s="91"/>
      <c r="FKY90" s="91"/>
      <c r="FKZ90" s="91"/>
      <c r="FLA90" s="91"/>
      <c r="FLB90" s="91"/>
      <c r="FLC90" s="91"/>
      <c r="FLD90" s="91"/>
      <c r="FLE90" s="91"/>
      <c r="FLF90" s="91"/>
      <c r="FLG90" s="91"/>
      <c r="FLH90" s="91"/>
      <c r="FLI90" s="91"/>
      <c r="FLJ90" s="91"/>
      <c r="FLK90" s="91"/>
      <c r="FLL90" s="91"/>
      <c r="FLM90" s="91"/>
      <c r="FLN90" s="91"/>
      <c r="FLO90" s="91"/>
      <c r="FLP90" s="91"/>
      <c r="FLQ90" s="91"/>
      <c r="FLR90" s="91"/>
      <c r="FLS90" s="91"/>
      <c r="FLT90" s="91"/>
      <c r="FLU90" s="91"/>
      <c r="FLV90" s="91"/>
      <c r="FLW90" s="91"/>
      <c r="FLX90" s="91"/>
      <c r="FLY90" s="91"/>
      <c r="FLZ90" s="91"/>
      <c r="FMA90" s="91"/>
      <c r="FMB90" s="91"/>
      <c r="FMC90" s="91"/>
      <c r="FMD90" s="91"/>
      <c r="FME90" s="91"/>
      <c r="FMF90" s="91"/>
      <c r="FMG90" s="91"/>
      <c r="FMH90" s="91"/>
      <c r="FMI90" s="91"/>
      <c r="FMJ90" s="91"/>
      <c r="FMK90" s="91"/>
      <c r="FML90" s="91"/>
      <c r="FMM90" s="91"/>
      <c r="FMN90" s="91"/>
      <c r="FMO90" s="91"/>
      <c r="FMP90" s="91"/>
      <c r="FMQ90" s="91"/>
      <c r="FMR90" s="91"/>
      <c r="FMS90" s="91"/>
      <c r="FMT90" s="91"/>
      <c r="FMU90" s="91"/>
      <c r="FMV90" s="91"/>
      <c r="FMW90" s="91"/>
      <c r="FMX90" s="91"/>
      <c r="FMY90" s="91"/>
      <c r="FMZ90" s="91"/>
      <c r="FNA90" s="91"/>
      <c r="FNB90" s="91"/>
      <c r="FNC90" s="91"/>
      <c r="FND90" s="91"/>
      <c r="FNE90" s="91"/>
      <c r="FNF90" s="91"/>
      <c r="FNG90" s="91"/>
      <c r="FNH90" s="91"/>
      <c r="FNI90" s="91"/>
      <c r="FNJ90" s="91"/>
      <c r="FNK90" s="91"/>
      <c r="FNL90" s="91"/>
      <c r="FNM90" s="91"/>
      <c r="FNN90" s="91"/>
      <c r="FNO90" s="91"/>
      <c r="FNP90" s="91"/>
      <c r="FNQ90" s="91"/>
      <c r="FNR90" s="91"/>
      <c r="FNS90" s="91"/>
      <c r="FNT90" s="91"/>
      <c r="FNU90" s="91"/>
      <c r="FNV90" s="91"/>
      <c r="FNW90" s="91"/>
      <c r="FNX90" s="91"/>
      <c r="FNY90" s="91"/>
      <c r="FNZ90" s="91"/>
      <c r="FOA90" s="91"/>
      <c r="FOB90" s="91"/>
      <c r="FOC90" s="91"/>
      <c r="FOD90" s="91"/>
      <c r="FOE90" s="91"/>
      <c r="FOF90" s="91"/>
      <c r="FOG90" s="91"/>
      <c r="FOH90" s="91"/>
      <c r="FOI90" s="91"/>
      <c r="FOJ90" s="91"/>
      <c r="FOK90" s="91"/>
      <c r="FOL90" s="91"/>
      <c r="FOM90" s="91"/>
      <c r="FON90" s="91"/>
      <c r="FOO90" s="91"/>
      <c r="FOP90" s="91"/>
      <c r="FOQ90" s="91"/>
      <c r="FOR90" s="91"/>
      <c r="FOS90" s="91"/>
      <c r="FOT90" s="91"/>
      <c r="FOU90" s="91"/>
      <c r="FOV90" s="91"/>
      <c r="FOW90" s="91"/>
      <c r="FOX90" s="91"/>
      <c r="FOY90" s="91"/>
      <c r="FOZ90" s="91"/>
      <c r="FPA90" s="91"/>
      <c r="FPB90" s="91"/>
      <c r="FPC90" s="91"/>
      <c r="FPD90" s="91"/>
      <c r="FPE90" s="91"/>
      <c r="FPF90" s="91"/>
      <c r="FPG90" s="91"/>
      <c r="FPH90" s="91"/>
      <c r="FPI90" s="91"/>
      <c r="FPJ90" s="91"/>
      <c r="FPK90" s="91"/>
      <c r="FPL90" s="91"/>
      <c r="FPM90" s="91"/>
      <c r="FPN90" s="91"/>
      <c r="FPO90" s="91"/>
      <c r="FPP90" s="91"/>
      <c r="FPQ90" s="91"/>
      <c r="FPR90" s="91"/>
      <c r="FPS90" s="91"/>
      <c r="FPT90" s="91"/>
      <c r="FPU90" s="91"/>
      <c r="FPV90" s="91"/>
      <c r="FPW90" s="91"/>
      <c r="FPX90" s="91"/>
      <c r="FPY90" s="91"/>
      <c r="FPZ90" s="91"/>
      <c r="FQA90" s="91"/>
      <c r="FQB90" s="91"/>
      <c r="FQC90" s="91"/>
      <c r="FQD90" s="91"/>
      <c r="FQE90" s="91"/>
      <c r="FQF90" s="91"/>
      <c r="FQG90" s="91"/>
      <c r="FQH90" s="91"/>
      <c r="FQI90" s="91"/>
      <c r="FQJ90" s="91"/>
      <c r="FQK90" s="91"/>
      <c r="FQL90" s="91"/>
      <c r="FQM90" s="91"/>
      <c r="FQN90" s="91"/>
      <c r="FQO90" s="91"/>
      <c r="FQP90" s="91"/>
      <c r="FQQ90" s="91"/>
      <c r="FQR90" s="91"/>
      <c r="FQS90" s="91"/>
      <c r="FQT90" s="91"/>
      <c r="FQU90" s="91"/>
      <c r="FQV90" s="91"/>
      <c r="FQW90" s="91"/>
      <c r="FQX90" s="91"/>
      <c r="FQY90" s="91"/>
      <c r="FQZ90" s="91"/>
      <c r="FRA90" s="91"/>
      <c r="FRB90" s="91"/>
      <c r="FRC90" s="91"/>
      <c r="FRD90" s="91"/>
      <c r="FRE90" s="91"/>
      <c r="FRF90" s="91"/>
      <c r="FRG90" s="91"/>
      <c r="FRH90" s="91"/>
      <c r="FRI90" s="91"/>
      <c r="FRJ90" s="91"/>
      <c r="FRK90" s="91"/>
      <c r="FRL90" s="91"/>
      <c r="FRM90" s="91"/>
      <c r="FRN90" s="91"/>
      <c r="FRO90" s="91"/>
      <c r="FRP90" s="91"/>
      <c r="FRQ90" s="91"/>
      <c r="FRR90" s="91"/>
      <c r="FRS90" s="91"/>
      <c r="FRT90" s="91"/>
      <c r="FRU90" s="91"/>
      <c r="FRV90" s="91"/>
      <c r="FRW90" s="91"/>
      <c r="FRX90" s="91"/>
      <c r="FRY90" s="91"/>
      <c r="FRZ90" s="91"/>
      <c r="FSA90" s="91"/>
      <c r="FSB90" s="91"/>
      <c r="FSC90" s="91"/>
      <c r="FSD90" s="91"/>
      <c r="FSE90" s="91"/>
      <c r="FSF90" s="91"/>
      <c r="FSG90" s="91"/>
      <c r="FSH90" s="91"/>
      <c r="FSI90" s="91"/>
      <c r="FSJ90" s="91"/>
      <c r="FSK90" s="91"/>
      <c r="FSL90" s="91"/>
      <c r="FSM90" s="91"/>
      <c r="FSN90" s="91"/>
      <c r="FSO90" s="91"/>
      <c r="FSP90" s="91"/>
      <c r="FSQ90" s="91"/>
      <c r="FSR90" s="91"/>
      <c r="FSS90" s="91"/>
      <c r="FST90" s="91"/>
      <c r="FSU90" s="91"/>
      <c r="FSV90" s="91"/>
      <c r="FSW90" s="91"/>
      <c r="FSX90" s="91"/>
      <c r="FSY90" s="91"/>
      <c r="FSZ90" s="91"/>
      <c r="FTA90" s="91"/>
      <c r="FTB90" s="91"/>
      <c r="FTC90" s="91"/>
      <c r="FTD90" s="91"/>
      <c r="FTE90" s="91"/>
      <c r="FTF90" s="91"/>
      <c r="FTG90" s="91"/>
      <c r="FTH90" s="91"/>
      <c r="FTI90" s="91"/>
      <c r="FTJ90" s="91"/>
      <c r="FTK90" s="91"/>
      <c r="FTL90" s="91"/>
      <c r="FTM90" s="91"/>
      <c r="FTN90" s="91"/>
      <c r="FTO90" s="91"/>
      <c r="FTP90" s="91"/>
      <c r="FTQ90" s="91"/>
      <c r="FTR90" s="91"/>
      <c r="FTS90" s="91"/>
      <c r="FTT90" s="91"/>
      <c r="FTU90" s="91"/>
      <c r="FTV90" s="91"/>
      <c r="FTW90" s="91"/>
      <c r="FTX90" s="91"/>
      <c r="FTY90" s="91"/>
      <c r="FTZ90" s="91"/>
      <c r="FUA90" s="91"/>
      <c r="FUB90" s="91"/>
      <c r="FUC90" s="91"/>
      <c r="FUD90" s="91"/>
      <c r="FUE90" s="91"/>
      <c r="FUF90" s="91"/>
      <c r="FUG90" s="91"/>
      <c r="FUH90" s="91"/>
      <c r="FUI90" s="91"/>
      <c r="FUJ90" s="91"/>
      <c r="FUK90" s="91"/>
      <c r="FUL90" s="91"/>
      <c r="FUM90" s="91"/>
      <c r="FUN90" s="91"/>
      <c r="FUO90" s="91"/>
      <c r="FUP90" s="91"/>
      <c r="FUQ90" s="91"/>
      <c r="FUR90" s="91"/>
      <c r="FUS90" s="91"/>
      <c r="FUT90" s="91"/>
      <c r="FUU90" s="91"/>
      <c r="FUV90" s="91"/>
      <c r="FUW90" s="91"/>
      <c r="FUX90" s="91"/>
      <c r="FUY90" s="91"/>
      <c r="FUZ90" s="91"/>
      <c r="FVA90" s="91"/>
      <c r="FVB90" s="91"/>
      <c r="FVC90" s="91"/>
      <c r="FVD90" s="91"/>
      <c r="FVE90" s="91"/>
      <c r="FVF90" s="91"/>
      <c r="FVG90" s="91"/>
      <c r="FVH90" s="91"/>
      <c r="FVI90" s="91"/>
      <c r="FVJ90" s="91"/>
      <c r="FVK90" s="91"/>
      <c r="FVL90" s="91"/>
      <c r="FVM90" s="91"/>
      <c r="FVN90" s="91"/>
      <c r="FVO90" s="91"/>
      <c r="FVP90" s="91"/>
      <c r="FVQ90" s="91"/>
      <c r="FVR90" s="91"/>
      <c r="FVS90" s="91"/>
      <c r="FVT90" s="91"/>
      <c r="FVU90" s="91"/>
      <c r="FVV90" s="91"/>
      <c r="FVW90" s="91"/>
      <c r="FVX90" s="91"/>
      <c r="FVY90" s="91"/>
      <c r="FVZ90" s="91"/>
      <c r="FWA90" s="91"/>
      <c r="FWB90" s="91"/>
      <c r="FWC90" s="91"/>
      <c r="FWD90" s="91"/>
      <c r="FWE90" s="91"/>
      <c r="FWF90" s="91"/>
      <c r="FWG90" s="91"/>
      <c r="FWH90" s="91"/>
      <c r="FWI90" s="91"/>
      <c r="FWJ90" s="91"/>
      <c r="FWK90" s="91"/>
      <c r="FWL90" s="91"/>
      <c r="FWM90" s="91"/>
      <c r="FWN90" s="91"/>
      <c r="FWO90" s="91"/>
      <c r="FWP90" s="91"/>
      <c r="FWQ90" s="91"/>
      <c r="FWR90" s="91"/>
      <c r="FWS90" s="91"/>
      <c r="FWT90" s="91"/>
      <c r="FWU90" s="91"/>
      <c r="FWV90" s="91"/>
      <c r="FWW90" s="91"/>
      <c r="FWX90" s="91"/>
      <c r="FWY90" s="91"/>
      <c r="FWZ90" s="91"/>
      <c r="FXA90" s="91"/>
      <c r="FXB90" s="91"/>
      <c r="FXC90" s="91"/>
      <c r="FXD90" s="91"/>
      <c r="FXE90" s="91"/>
      <c r="FXF90" s="91"/>
      <c r="FXG90" s="91"/>
      <c r="FXH90" s="91"/>
      <c r="FXI90" s="91"/>
      <c r="FXJ90" s="91"/>
      <c r="FXK90" s="91"/>
      <c r="FXL90" s="91"/>
      <c r="FXM90" s="91"/>
      <c r="FXN90" s="91"/>
      <c r="FXO90" s="91"/>
      <c r="FXP90" s="91"/>
      <c r="FXQ90" s="91"/>
      <c r="FXR90" s="91"/>
      <c r="FXS90" s="91"/>
      <c r="FXT90" s="91"/>
      <c r="FXU90" s="91"/>
      <c r="FXV90" s="91"/>
      <c r="FXW90" s="91"/>
      <c r="FXX90" s="91"/>
      <c r="FXY90" s="91"/>
      <c r="FXZ90" s="91"/>
      <c r="FYA90" s="91"/>
      <c r="FYB90" s="91"/>
      <c r="FYC90" s="91"/>
      <c r="FYD90" s="91"/>
      <c r="FYE90" s="91"/>
      <c r="FYF90" s="91"/>
      <c r="FYG90" s="91"/>
      <c r="FYH90" s="91"/>
      <c r="FYI90" s="91"/>
      <c r="FYJ90" s="91"/>
      <c r="FYK90" s="91"/>
      <c r="FYL90" s="91"/>
      <c r="FYM90" s="91"/>
      <c r="FYN90" s="91"/>
      <c r="FYO90" s="91"/>
      <c r="FYP90" s="91"/>
      <c r="FYQ90" s="91"/>
      <c r="FYR90" s="91"/>
      <c r="FYS90" s="91"/>
      <c r="FYT90" s="91"/>
      <c r="FYU90" s="91"/>
      <c r="FYV90" s="91"/>
      <c r="FYW90" s="91"/>
      <c r="FYX90" s="91"/>
      <c r="FYY90" s="91"/>
      <c r="FYZ90" s="91"/>
      <c r="FZA90" s="91"/>
      <c r="FZB90" s="91"/>
      <c r="FZC90" s="91"/>
      <c r="FZD90" s="91"/>
      <c r="FZE90" s="91"/>
      <c r="FZF90" s="91"/>
      <c r="FZG90" s="91"/>
      <c r="FZH90" s="91"/>
      <c r="FZI90" s="91"/>
      <c r="FZJ90" s="91"/>
      <c r="FZK90" s="91"/>
      <c r="FZL90" s="91"/>
      <c r="FZM90" s="91"/>
      <c r="FZN90" s="91"/>
      <c r="FZO90" s="91"/>
      <c r="FZP90" s="91"/>
      <c r="FZQ90" s="91"/>
      <c r="FZR90" s="91"/>
      <c r="FZS90" s="91"/>
      <c r="FZT90" s="91"/>
      <c r="FZU90" s="91"/>
      <c r="FZV90" s="91"/>
      <c r="FZW90" s="91"/>
      <c r="FZX90" s="91"/>
      <c r="FZY90" s="91"/>
      <c r="FZZ90" s="91"/>
      <c r="GAA90" s="91"/>
      <c r="GAB90" s="91"/>
      <c r="GAC90" s="91"/>
      <c r="GAD90" s="91"/>
      <c r="GAE90" s="91"/>
      <c r="GAF90" s="91"/>
      <c r="GAG90" s="91"/>
      <c r="GAH90" s="91"/>
      <c r="GAI90" s="91"/>
      <c r="GAJ90" s="91"/>
      <c r="GAK90" s="91"/>
      <c r="GAL90" s="91"/>
      <c r="GAM90" s="91"/>
      <c r="GAN90" s="91"/>
      <c r="GAO90" s="91"/>
      <c r="GAP90" s="91"/>
      <c r="GAQ90" s="91"/>
      <c r="GAR90" s="91"/>
      <c r="GAS90" s="91"/>
      <c r="GAT90" s="91"/>
      <c r="GAU90" s="91"/>
      <c r="GAV90" s="91"/>
      <c r="GAW90" s="91"/>
      <c r="GAX90" s="91"/>
      <c r="GAY90" s="91"/>
      <c r="GAZ90" s="91"/>
      <c r="GBA90" s="91"/>
      <c r="GBB90" s="91"/>
      <c r="GBC90" s="91"/>
      <c r="GBD90" s="91"/>
      <c r="GBE90" s="91"/>
      <c r="GBF90" s="91"/>
      <c r="GBG90" s="91"/>
      <c r="GBH90" s="91"/>
      <c r="GBI90" s="91"/>
      <c r="GBJ90" s="91"/>
      <c r="GBK90" s="91"/>
      <c r="GBL90" s="91"/>
      <c r="GBM90" s="91"/>
      <c r="GBN90" s="91"/>
      <c r="GBO90" s="91"/>
      <c r="GBP90" s="91"/>
      <c r="GBQ90" s="91"/>
      <c r="GBR90" s="91"/>
      <c r="GBS90" s="91"/>
      <c r="GBT90" s="91"/>
      <c r="GBU90" s="91"/>
      <c r="GBV90" s="91"/>
      <c r="GBW90" s="91"/>
      <c r="GBX90" s="91"/>
      <c r="GBY90" s="91"/>
      <c r="GBZ90" s="91"/>
      <c r="GCA90" s="91"/>
      <c r="GCB90" s="91"/>
      <c r="GCC90" s="91"/>
      <c r="GCD90" s="91"/>
      <c r="GCE90" s="91"/>
      <c r="GCF90" s="91"/>
      <c r="GCG90" s="91"/>
      <c r="GCH90" s="91"/>
      <c r="GCI90" s="91"/>
      <c r="GCJ90" s="91"/>
      <c r="GCK90" s="91"/>
      <c r="GCL90" s="91"/>
      <c r="GCM90" s="91"/>
      <c r="GCN90" s="91"/>
      <c r="GCO90" s="91"/>
      <c r="GCP90" s="91"/>
      <c r="GCQ90" s="91"/>
      <c r="GCR90" s="91"/>
      <c r="GCS90" s="91"/>
      <c r="GCT90" s="91"/>
      <c r="GCU90" s="91"/>
      <c r="GCV90" s="91"/>
      <c r="GCW90" s="91"/>
      <c r="GCX90" s="91"/>
      <c r="GCY90" s="91"/>
      <c r="GCZ90" s="91"/>
      <c r="GDA90" s="91"/>
      <c r="GDB90" s="91"/>
      <c r="GDC90" s="91"/>
      <c r="GDD90" s="91"/>
      <c r="GDE90" s="91"/>
      <c r="GDF90" s="91"/>
      <c r="GDG90" s="91"/>
      <c r="GDH90" s="91"/>
      <c r="GDI90" s="91"/>
      <c r="GDJ90" s="91"/>
      <c r="GDK90" s="91"/>
      <c r="GDL90" s="91"/>
      <c r="GDM90" s="91"/>
      <c r="GDN90" s="91"/>
      <c r="GDO90" s="91"/>
      <c r="GDP90" s="91"/>
      <c r="GDQ90" s="91"/>
      <c r="GDR90" s="91"/>
      <c r="GDS90" s="91"/>
      <c r="GDT90" s="91"/>
      <c r="GDU90" s="91"/>
      <c r="GDV90" s="91"/>
      <c r="GDW90" s="91"/>
      <c r="GDX90" s="91"/>
      <c r="GDY90" s="91"/>
      <c r="GDZ90" s="91"/>
      <c r="GEA90" s="91"/>
      <c r="GEB90" s="91"/>
      <c r="GEC90" s="91"/>
      <c r="GED90" s="91"/>
      <c r="GEE90" s="91"/>
      <c r="GEF90" s="91"/>
      <c r="GEG90" s="91"/>
      <c r="GEH90" s="91"/>
      <c r="GEI90" s="91"/>
      <c r="GEJ90" s="91"/>
      <c r="GEK90" s="91"/>
      <c r="GEL90" s="91"/>
      <c r="GEM90" s="91"/>
      <c r="GEN90" s="91"/>
      <c r="GEO90" s="91"/>
      <c r="GEP90" s="91"/>
      <c r="GEQ90" s="91"/>
      <c r="GER90" s="91"/>
      <c r="GES90" s="91"/>
      <c r="GET90" s="91"/>
      <c r="GEU90" s="91"/>
      <c r="GEV90" s="91"/>
      <c r="GEW90" s="91"/>
      <c r="GEX90" s="91"/>
      <c r="GEY90" s="91"/>
      <c r="GEZ90" s="91"/>
      <c r="GFA90" s="91"/>
      <c r="GFB90" s="91"/>
      <c r="GFC90" s="91"/>
      <c r="GFD90" s="91"/>
      <c r="GFE90" s="91"/>
      <c r="GFF90" s="91"/>
      <c r="GFG90" s="91"/>
      <c r="GFH90" s="91"/>
      <c r="GFI90" s="91"/>
      <c r="GFJ90" s="91"/>
      <c r="GFK90" s="91"/>
      <c r="GFL90" s="91"/>
      <c r="GFM90" s="91"/>
      <c r="GFN90" s="91"/>
      <c r="GFO90" s="91"/>
      <c r="GFP90" s="91"/>
      <c r="GFQ90" s="91"/>
      <c r="GFR90" s="91"/>
      <c r="GFS90" s="91"/>
      <c r="GFT90" s="91"/>
      <c r="GFU90" s="91"/>
      <c r="GFV90" s="91"/>
      <c r="GFW90" s="91"/>
      <c r="GFX90" s="91"/>
      <c r="GFY90" s="91"/>
      <c r="GFZ90" s="91"/>
      <c r="GGA90" s="91"/>
      <c r="GGB90" s="91"/>
      <c r="GGC90" s="91"/>
      <c r="GGD90" s="91"/>
      <c r="GGE90" s="91"/>
      <c r="GGF90" s="91"/>
      <c r="GGG90" s="91"/>
      <c r="GGH90" s="91"/>
      <c r="GGI90" s="91"/>
      <c r="GGJ90" s="91"/>
      <c r="GGK90" s="91"/>
      <c r="GGL90" s="91"/>
      <c r="GGM90" s="91"/>
      <c r="GGN90" s="91"/>
      <c r="GGO90" s="91"/>
      <c r="GGP90" s="91"/>
      <c r="GGQ90" s="91"/>
      <c r="GGR90" s="91"/>
      <c r="GGS90" s="91"/>
      <c r="GGT90" s="91"/>
      <c r="GGU90" s="91"/>
      <c r="GGV90" s="91"/>
      <c r="GGW90" s="91"/>
      <c r="GGX90" s="91"/>
      <c r="GGY90" s="91"/>
      <c r="GGZ90" s="91"/>
      <c r="GHA90" s="91"/>
      <c r="GHB90" s="91"/>
      <c r="GHC90" s="91"/>
      <c r="GHD90" s="91"/>
      <c r="GHE90" s="91"/>
      <c r="GHF90" s="91"/>
      <c r="GHG90" s="91"/>
      <c r="GHH90" s="91"/>
      <c r="GHI90" s="91"/>
      <c r="GHJ90" s="91"/>
      <c r="GHK90" s="91"/>
      <c r="GHL90" s="91"/>
      <c r="GHM90" s="91"/>
      <c r="GHN90" s="91"/>
      <c r="GHO90" s="91"/>
      <c r="GHP90" s="91"/>
      <c r="GHQ90" s="91"/>
      <c r="GHR90" s="91"/>
      <c r="GHS90" s="91"/>
      <c r="GHT90" s="91"/>
      <c r="GHU90" s="91"/>
      <c r="GHV90" s="91"/>
      <c r="GHW90" s="91"/>
      <c r="GHX90" s="91"/>
      <c r="GHY90" s="91"/>
      <c r="GHZ90" s="91"/>
      <c r="GIA90" s="91"/>
      <c r="GIB90" s="91"/>
      <c r="GIC90" s="91"/>
      <c r="GID90" s="91"/>
      <c r="GIE90" s="91"/>
      <c r="GIF90" s="91"/>
      <c r="GIG90" s="91"/>
      <c r="GIH90" s="91"/>
      <c r="GII90" s="91"/>
      <c r="GIJ90" s="91"/>
      <c r="GIK90" s="91"/>
      <c r="GIL90" s="91"/>
      <c r="GIM90" s="91"/>
      <c r="GIN90" s="91"/>
      <c r="GIO90" s="91"/>
      <c r="GIP90" s="91"/>
      <c r="GIQ90" s="91"/>
      <c r="GIR90" s="91"/>
      <c r="GIS90" s="91"/>
      <c r="GIT90" s="91"/>
      <c r="GIU90" s="91"/>
      <c r="GIV90" s="91"/>
      <c r="GIW90" s="91"/>
      <c r="GIX90" s="91"/>
      <c r="GIY90" s="91"/>
      <c r="GIZ90" s="91"/>
      <c r="GJA90" s="91"/>
      <c r="GJB90" s="91"/>
      <c r="GJC90" s="91"/>
      <c r="GJD90" s="91"/>
      <c r="GJE90" s="91"/>
      <c r="GJF90" s="91"/>
      <c r="GJG90" s="91"/>
      <c r="GJH90" s="91"/>
      <c r="GJI90" s="91"/>
      <c r="GJJ90" s="91"/>
      <c r="GJK90" s="91"/>
      <c r="GJL90" s="91"/>
      <c r="GJM90" s="91"/>
      <c r="GJN90" s="91"/>
      <c r="GJO90" s="91"/>
      <c r="GJP90" s="91"/>
      <c r="GJQ90" s="91"/>
      <c r="GJR90" s="91"/>
      <c r="GJS90" s="91"/>
      <c r="GJT90" s="91"/>
      <c r="GJU90" s="91"/>
      <c r="GJV90" s="91"/>
      <c r="GJW90" s="91"/>
      <c r="GJX90" s="91"/>
      <c r="GJY90" s="91"/>
      <c r="GJZ90" s="91"/>
      <c r="GKA90" s="91"/>
      <c r="GKB90" s="91"/>
      <c r="GKC90" s="91"/>
      <c r="GKD90" s="91"/>
      <c r="GKE90" s="91"/>
      <c r="GKF90" s="91"/>
      <c r="GKG90" s="91"/>
      <c r="GKH90" s="91"/>
      <c r="GKI90" s="91"/>
      <c r="GKJ90" s="91"/>
      <c r="GKK90" s="91"/>
      <c r="GKL90" s="91"/>
      <c r="GKM90" s="91"/>
      <c r="GKN90" s="91"/>
      <c r="GKO90" s="91"/>
      <c r="GKP90" s="91"/>
      <c r="GKQ90" s="91"/>
      <c r="GKR90" s="91"/>
      <c r="GKS90" s="91"/>
      <c r="GKT90" s="91"/>
      <c r="GKU90" s="91"/>
      <c r="GKV90" s="91"/>
      <c r="GKW90" s="91"/>
      <c r="GKX90" s="91"/>
      <c r="GKY90" s="91"/>
      <c r="GKZ90" s="91"/>
      <c r="GLA90" s="91"/>
      <c r="GLB90" s="91"/>
      <c r="GLC90" s="91"/>
      <c r="GLD90" s="91"/>
      <c r="GLE90" s="91"/>
      <c r="GLF90" s="91"/>
      <c r="GLG90" s="91"/>
      <c r="GLH90" s="91"/>
      <c r="GLI90" s="91"/>
      <c r="GLJ90" s="91"/>
      <c r="GLK90" s="91"/>
      <c r="GLL90" s="91"/>
      <c r="GLM90" s="91"/>
      <c r="GLN90" s="91"/>
      <c r="GLO90" s="91"/>
      <c r="GLP90" s="91"/>
      <c r="GLQ90" s="91"/>
      <c r="GLR90" s="91"/>
      <c r="GLS90" s="91"/>
      <c r="GLT90" s="91"/>
      <c r="GLU90" s="91"/>
      <c r="GLV90" s="91"/>
      <c r="GLW90" s="91"/>
      <c r="GLX90" s="91"/>
      <c r="GLY90" s="91"/>
      <c r="GLZ90" s="91"/>
      <c r="GMA90" s="91"/>
      <c r="GMB90" s="91"/>
      <c r="GMC90" s="91"/>
      <c r="GMD90" s="91"/>
      <c r="GME90" s="91"/>
      <c r="GMF90" s="91"/>
      <c r="GMG90" s="91"/>
      <c r="GMH90" s="91"/>
      <c r="GMI90" s="91"/>
      <c r="GMJ90" s="91"/>
      <c r="GMK90" s="91"/>
      <c r="GML90" s="91"/>
      <c r="GMM90" s="91"/>
      <c r="GMN90" s="91"/>
      <c r="GMO90" s="91"/>
      <c r="GMP90" s="91"/>
      <c r="GMQ90" s="91"/>
      <c r="GMR90" s="91"/>
      <c r="GMS90" s="91"/>
      <c r="GMT90" s="91"/>
      <c r="GMU90" s="91"/>
      <c r="GMV90" s="91"/>
      <c r="GMW90" s="91"/>
      <c r="GMX90" s="91"/>
      <c r="GMY90" s="91"/>
      <c r="GMZ90" s="91"/>
      <c r="GNA90" s="91"/>
      <c r="GNB90" s="91"/>
      <c r="GNC90" s="91"/>
      <c r="GND90" s="91"/>
      <c r="GNE90" s="91"/>
      <c r="GNF90" s="91"/>
      <c r="GNG90" s="91"/>
      <c r="GNH90" s="91"/>
      <c r="GNI90" s="91"/>
      <c r="GNJ90" s="91"/>
      <c r="GNK90" s="91"/>
      <c r="GNL90" s="91"/>
      <c r="GNM90" s="91"/>
      <c r="GNN90" s="91"/>
      <c r="GNO90" s="91"/>
      <c r="GNP90" s="91"/>
      <c r="GNQ90" s="91"/>
      <c r="GNR90" s="91"/>
      <c r="GNS90" s="91"/>
      <c r="GNT90" s="91"/>
      <c r="GNU90" s="91"/>
      <c r="GNV90" s="91"/>
      <c r="GNW90" s="91"/>
      <c r="GNX90" s="91"/>
      <c r="GNY90" s="91"/>
      <c r="GNZ90" s="91"/>
      <c r="GOA90" s="91"/>
      <c r="GOB90" s="91"/>
      <c r="GOC90" s="91"/>
      <c r="GOD90" s="91"/>
      <c r="GOE90" s="91"/>
      <c r="GOF90" s="91"/>
      <c r="GOG90" s="91"/>
      <c r="GOH90" s="91"/>
      <c r="GOI90" s="91"/>
      <c r="GOJ90" s="91"/>
      <c r="GOK90" s="91"/>
      <c r="GOL90" s="91"/>
      <c r="GOM90" s="91"/>
      <c r="GON90" s="91"/>
      <c r="GOO90" s="91"/>
      <c r="GOP90" s="91"/>
      <c r="GOQ90" s="91"/>
      <c r="GOR90" s="91"/>
      <c r="GOS90" s="91"/>
      <c r="GOT90" s="91"/>
      <c r="GOU90" s="91"/>
      <c r="GOV90" s="91"/>
      <c r="GOW90" s="91"/>
      <c r="GOX90" s="91"/>
      <c r="GOY90" s="91"/>
      <c r="GOZ90" s="91"/>
      <c r="GPA90" s="91"/>
      <c r="GPB90" s="91"/>
      <c r="GPC90" s="91"/>
      <c r="GPD90" s="91"/>
      <c r="GPE90" s="91"/>
      <c r="GPF90" s="91"/>
      <c r="GPG90" s="91"/>
      <c r="GPH90" s="91"/>
      <c r="GPI90" s="91"/>
      <c r="GPJ90" s="91"/>
      <c r="GPK90" s="91"/>
      <c r="GPL90" s="91"/>
      <c r="GPM90" s="91"/>
      <c r="GPN90" s="91"/>
      <c r="GPO90" s="91"/>
      <c r="GPP90" s="91"/>
      <c r="GPQ90" s="91"/>
      <c r="GPR90" s="91"/>
      <c r="GPS90" s="91"/>
      <c r="GPT90" s="91"/>
      <c r="GPU90" s="91"/>
      <c r="GPV90" s="91"/>
      <c r="GPW90" s="91"/>
      <c r="GPX90" s="91"/>
      <c r="GPY90" s="91"/>
      <c r="GPZ90" s="91"/>
      <c r="GQA90" s="91"/>
      <c r="GQB90" s="91"/>
      <c r="GQC90" s="91"/>
      <c r="GQD90" s="91"/>
      <c r="GQE90" s="91"/>
      <c r="GQF90" s="91"/>
      <c r="GQG90" s="91"/>
      <c r="GQH90" s="91"/>
      <c r="GQI90" s="91"/>
      <c r="GQJ90" s="91"/>
      <c r="GQK90" s="91"/>
      <c r="GQL90" s="91"/>
      <c r="GQM90" s="91"/>
      <c r="GQN90" s="91"/>
      <c r="GQO90" s="91"/>
      <c r="GQP90" s="91"/>
      <c r="GQQ90" s="91"/>
      <c r="GQR90" s="91"/>
      <c r="GQS90" s="91"/>
      <c r="GQT90" s="91"/>
      <c r="GQU90" s="91"/>
      <c r="GQV90" s="91"/>
      <c r="GQW90" s="91"/>
      <c r="GQX90" s="91"/>
      <c r="GQY90" s="91"/>
      <c r="GQZ90" s="91"/>
      <c r="GRA90" s="91"/>
      <c r="GRB90" s="91"/>
      <c r="GRC90" s="91"/>
      <c r="GRD90" s="91"/>
      <c r="GRE90" s="91"/>
      <c r="GRF90" s="91"/>
      <c r="GRG90" s="91"/>
      <c r="GRH90" s="91"/>
      <c r="GRI90" s="91"/>
      <c r="GRJ90" s="91"/>
      <c r="GRK90" s="91"/>
      <c r="GRL90" s="91"/>
      <c r="GRM90" s="91"/>
      <c r="GRN90" s="91"/>
      <c r="GRO90" s="91"/>
      <c r="GRP90" s="91"/>
      <c r="GRQ90" s="91"/>
      <c r="GRR90" s="91"/>
      <c r="GRS90" s="91"/>
      <c r="GRT90" s="91"/>
      <c r="GRU90" s="91"/>
      <c r="GRV90" s="91"/>
      <c r="GRW90" s="91"/>
      <c r="GRX90" s="91"/>
      <c r="GRY90" s="91"/>
      <c r="GRZ90" s="91"/>
      <c r="GSA90" s="91"/>
      <c r="GSB90" s="91"/>
      <c r="GSC90" s="91"/>
      <c r="GSD90" s="91"/>
      <c r="GSE90" s="91"/>
      <c r="GSF90" s="91"/>
      <c r="GSG90" s="91"/>
      <c r="GSH90" s="91"/>
      <c r="GSI90" s="91"/>
      <c r="GSJ90" s="91"/>
      <c r="GSK90" s="91"/>
      <c r="GSL90" s="91"/>
      <c r="GSM90" s="91"/>
      <c r="GSN90" s="91"/>
      <c r="GSO90" s="91"/>
      <c r="GSP90" s="91"/>
      <c r="GSQ90" s="91"/>
      <c r="GSR90" s="91"/>
      <c r="GSS90" s="91"/>
      <c r="GST90" s="91"/>
      <c r="GSU90" s="91"/>
      <c r="GSV90" s="91"/>
      <c r="GSW90" s="91"/>
      <c r="GSX90" s="91"/>
      <c r="GSY90" s="91"/>
      <c r="GSZ90" s="91"/>
      <c r="GTA90" s="91"/>
      <c r="GTB90" s="91"/>
      <c r="GTC90" s="91"/>
      <c r="GTD90" s="91"/>
      <c r="GTE90" s="91"/>
      <c r="GTF90" s="91"/>
      <c r="GTG90" s="91"/>
      <c r="GTH90" s="91"/>
      <c r="GTI90" s="91"/>
      <c r="GTJ90" s="91"/>
      <c r="GTK90" s="91"/>
      <c r="GTL90" s="91"/>
      <c r="GTM90" s="91"/>
      <c r="GTN90" s="91"/>
      <c r="GTO90" s="91"/>
      <c r="GTP90" s="91"/>
      <c r="GTQ90" s="91"/>
      <c r="GTR90" s="91"/>
      <c r="GTS90" s="91"/>
      <c r="GTT90" s="91"/>
      <c r="GTU90" s="91"/>
      <c r="GTV90" s="91"/>
      <c r="GTW90" s="91"/>
      <c r="GTX90" s="91"/>
      <c r="GTY90" s="91"/>
      <c r="GTZ90" s="91"/>
      <c r="GUA90" s="91"/>
      <c r="GUB90" s="91"/>
      <c r="GUC90" s="91"/>
      <c r="GUD90" s="91"/>
      <c r="GUE90" s="91"/>
      <c r="GUF90" s="91"/>
      <c r="GUG90" s="91"/>
      <c r="GUH90" s="91"/>
      <c r="GUI90" s="91"/>
      <c r="GUJ90" s="91"/>
      <c r="GUK90" s="91"/>
      <c r="GUL90" s="91"/>
      <c r="GUM90" s="91"/>
      <c r="GUN90" s="91"/>
      <c r="GUO90" s="91"/>
      <c r="GUP90" s="91"/>
      <c r="GUQ90" s="91"/>
      <c r="GUR90" s="91"/>
      <c r="GUS90" s="91"/>
      <c r="GUT90" s="91"/>
      <c r="GUU90" s="91"/>
      <c r="GUV90" s="91"/>
      <c r="GUW90" s="91"/>
      <c r="GUX90" s="91"/>
      <c r="GUY90" s="91"/>
      <c r="GUZ90" s="91"/>
      <c r="GVA90" s="91"/>
      <c r="GVB90" s="91"/>
      <c r="GVC90" s="91"/>
      <c r="GVD90" s="91"/>
      <c r="GVE90" s="91"/>
      <c r="GVF90" s="91"/>
      <c r="GVG90" s="91"/>
      <c r="GVH90" s="91"/>
      <c r="GVI90" s="91"/>
      <c r="GVJ90" s="91"/>
      <c r="GVK90" s="91"/>
      <c r="GVL90" s="91"/>
      <c r="GVM90" s="91"/>
      <c r="GVN90" s="91"/>
      <c r="GVO90" s="91"/>
      <c r="GVP90" s="91"/>
      <c r="GVQ90" s="91"/>
      <c r="GVR90" s="91"/>
      <c r="GVS90" s="91"/>
      <c r="GVT90" s="91"/>
      <c r="GVU90" s="91"/>
      <c r="GVV90" s="91"/>
      <c r="GVW90" s="91"/>
      <c r="GVX90" s="91"/>
      <c r="GVY90" s="91"/>
      <c r="GVZ90" s="91"/>
      <c r="GWA90" s="91"/>
      <c r="GWB90" s="91"/>
      <c r="GWC90" s="91"/>
      <c r="GWD90" s="91"/>
      <c r="GWE90" s="91"/>
      <c r="GWF90" s="91"/>
      <c r="GWG90" s="91"/>
      <c r="GWH90" s="91"/>
      <c r="GWI90" s="91"/>
      <c r="GWJ90" s="91"/>
      <c r="GWK90" s="91"/>
      <c r="GWL90" s="91"/>
      <c r="GWM90" s="91"/>
      <c r="GWN90" s="91"/>
      <c r="GWO90" s="91"/>
      <c r="GWP90" s="91"/>
      <c r="GWQ90" s="91"/>
      <c r="GWR90" s="91"/>
      <c r="GWS90" s="91"/>
      <c r="GWT90" s="91"/>
      <c r="GWU90" s="91"/>
      <c r="GWV90" s="91"/>
      <c r="GWW90" s="91"/>
      <c r="GWX90" s="91"/>
      <c r="GWY90" s="91"/>
      <c r="GWZ90" s="91"/>
      <c r="GXA90" s="91"/>
      <c r="GXB90" s="91"/>
      <c r="GXC90" s="91"/>
      <c r="GXD90" s="91"/>
      <c r="GXE90" s="91"/>
      <c r="GXF90" s="91"/>
      <c r="GXG90" s="91"/>
      <c r="GXH90" s="91"/>
      <c r="GXI90" s="91"/>
      <c r="GXJ90" s="91"/>
      <c r="GXK90" s="91"/>
      <c r="GXL90" s="91"/>
      <c r="GXM90" s="91"/>
      <c r="GXN90" s="91"/>
      <c r="GXO90" s="91"/>
      <c r="GXP90" s="91"/>
      <c r="GXQ90" s="91"/>
      <c r="GXR90" s="91"/>
      <c r="GXS90" s="91"/>
      <c r="GXT90" s="91"/>
      <c r="GXU90" s="91"/>
      <c r="GXV90" s="91"/>
      <c r="GXW90" s="91"/>
      <c r="GXX90" s="91"/>
      <c r="GXY90" s="91"/>
      <c r="GXZ90" s="91"/>
      <c r="GYA90" s="91"/>
      <c r="GYB90" s="91"/>
      <c r="GYC90" s="91"/>
      <c r="GYD90" s="91"/>
      <c r="GYE90" s="91"/>
      <c r="GYF90" s="91"/>
      <c r="GYG90" s="91"/>
      <c r="GYH90" s="91"/>
      <c r="GYI90" s="91"/>
      <c r="GYJ90" s="91"/>
      <c r="GYK90" s="91"/>
      <c r="GYL90" s="91"/>
      <c r="GYM90" s="91"/>
      <c r="GYN90" s="91"/>
      <c r="GYO90" s="91"/>
      <c r="GYP90" s="91"/>
      <c r="GYQ90" s="91"/>
      <c r="GYR90" s="91"/>
      <c r="GYS90" s="91"/>
      <c r="GYT90" s="91"/>
      <c r="GYU90" s="91"/>
      <c r="GYV90" s="91"/>
      <c r="GYW90" s="91"/>
      <c r="GYX90" s="91"/>
      <c r="GYY90" s="91"/>
      <c r="GYZ90" s="91"/>
      <c r="GZA90" s="91"/>
      <c r="GZB90" s="91"/>
      <c r="GZC90" s="91"/>
      <c r="GZD90" s="91"/>
      <c r="GZE90" s="91"/>
      <c r="GZF90" s="91"/>
      <c r="GZG90" s="91"/>
      <c r="GZH90" s="91"/>
      <c r="GZI90" s="91"/>
      <c r="GZJ90" s="91"/>
      <c r="GZK90" s="91"/>
      <c r="GZL90" s="91"/>
      <c r="GZM90" s="91"/>
      <c r="GZN90" s="91"/>
      <c r="GZO90" s="91"/>
      <c r="GZP90" s="91"/>
      <c r="GZQ90" s="91"/>
      <c r="GZR90" s="91"/>
      <c r="GZS90" s="91"/>
      <c r="GZT90" s="91"/>
      <c r="GZU90" s="91"/>
      <c r="GZV90" s="91"/>
      <c r="GZW90" s="91"/>
      <c r="GZX90" s="91"/>
      <c r="GZY90" s="91"/>
      <c r="GZZ90" s="91"/>
      <c r="HAA90" s="91"/>
      <c r="HAB90" s="91"/>
      <c r="HAC90" s="91"/>
      <c r="HAD90" s="91"/>
      <c r="HAE90" s="91"/>
      <c r="HAF90" s="91"/>
      <c r="HAG90" s="91"/>
      <c r="HAH90" s="91"/>
      <c r="HAI90" s="91"/>
      <c r="HAJ90" s="91"/>
      <c r="HAK90" s="91"/>
      <c r="HAL90" s="91"/>
      <c r="HAM90" s="91"/>
      <c r="HAN90" s="91"/>
      <c r="HAO90" s="91"/>
      <c r="HAP90" s="91"/>
      <c r="HAQ90" s="91"/>
      <c r="HAR90" s="91"/>
      <c r="HAS90" s="91"/>
      <c r="HAT90" s="91"/>
      <c r="HAU90" s="91"/>
      <c r="HAV90" s="91"/>
      <c r="HAW90" s="91"/>
      <c r="HAX90" s="91"/>
      <c r="HAY90" s="91"/>
      <c r="HAZ90" s="91"/>
      <c r="HBA90" s="91"/>
      <c r="HBB90" s="91"/>
      <c r="HBC90" s="91"/>
      <c r="HBD90" s="91"/>
      <c r="HBE90" s="91"/>
      <c r="HBF90" s="91"/>
      <c r="HBG90" s="91"/>
      <c r="HBH90" s="91"/>
      <c r="HBI90" s="91"/>
      <c r="HBJ90" s="91"/>
      <c r="HBK90" s="91"/>
      <c r="HBL90" s="91"/>
      <c r="HBM90" s="91"/>
      <c r="HBN90" s="91"/>
      <c r="HBO90" s="91"/>
      <c r="HBP90" s="91"/>
      <c r="HBQ90" s="91"/>
      <c r="HBR90" s="91"/>
      <c r="HBS90" s="91"/>
      <c r="HBT90" s="91"/>
      <c r="HBU90" s="91"/>
      <c r="HBV90" s="91"/>
      <c r="HBW90" s="91"/>
      <c r="HBX90" s="91"/>
      <c r="HBY90" s="91"/>
      <c r="HBZ90" s="91"/>
      <c r="HCA90" s="91"/>
      <c r="HCB90" s="91"/>
      <c r="HCC90" s="91"/>
      <c r="HCD90" s="91"/>
      <c r="HCE90" s="91"/>
      <c r="HCF90" s="91"/>
      <c r="HCG90" s="91"/>
      <c r="HCH90" s="91"/>
      <c r="HCI90" s="91"/>
      <c r="HCJ90" s="91"/>
      <c r="HCK90" s="91"/>
      <c r="HCL90" s="91"/>
      <c r="HCM90" s="91"/>
      <c r="HCN90" s="91"/>
      <c r="HCO90" s="91"/>
      <c r="HCP90" s="91"/>
      <c r="HCQ90" s="91"/>
      <c r="HCR90" s="91"/>
      <c r="HCS90" s="91"/>
      <c r="HCT90" s="91"/>
      <c r="HCU90" s="91"/>
      <c r="HCV90" s="91"/>
      <c r="HCW90" s="91"/>
      <c r="HCX90" s="91"/>
      <c r="HCY90" s="91"/>
      <c r="HCZ90" s="91"/>
      <c r="HDA90" s="91"/>
      <c r="HDB90" s="91"/>
      <c r="HDC90" s="91"/>
      <c r="HDD90" s="91"/>
      <c r="HDE90" s="91"/>
      <c r="HDF90" s="91"/>
      <c r="HDG90" s="91"/>
      <c r="HDH90" s="91"/>
      <c r="HDI90" s="91"/>
      <c r="HDJ90" s="91"/>
      <c r="HDK90" s="91"/>
      <c r="HDL90" s="91"/>
      <c r="HDM90" s="91"/>
      <c r="HDN90" s="91"/>
      <c r="HDO90" s="91"/>
      <c r="HDP90" s="91"/>
      <c r="HDQ90" s="91"/>
      <c r="HDR90" s="91"/>
      <c r="HDS90" s="91"/>
      <c r="HDT90" s="91"/>
      <c r="HDU90" s="91"/>
      <c r="HDV90" s="91"/>
      <c r="HDW90" s="91"/>
      <c r="HDX90" s="91"/>
      <c r="HDY90" s="91"/>
      <c r="HDZ90" s="91"/>
      <c r="HEA90" s="91"/>
      <c r="HEB90" s="91"/>
      <c r="HEC90" s="91"/>
      <c r="HED90" s="91"/>
      <c r="HEE90" s="91"/>
      <c r="HEF90" s="91"/>
      <c r="HEG90" s="91"/>
      <c r="HEH90" s="91"/>
      <c r="HEI90" s="91"/>
      <c r="HEJ90" s="91"/>
      <c r="HEK90" s="91"/>
      <c r="HEL90" s="91"/>
      <c r="HEM90" s="91"/>
      <c r="HEN90" s="91"/>
      <c r="HEO90" s="91"/>
      <c r="HEP90" s="91"/>
      <c r="HEQ90" s="91"/>
      <c r="HER90" s="91"/>
      <c r="HES90" s="91"/>
      <c r="HET90" s="91"/>
      <c r="HEU90" s="91"/>
      <c r="HEV90" s="91"/>
      <c r="HEW90" s="91"/>
      <c r="HEX90" s="91"/>
      <c r="HEY90" s="91"/>
      <c r="HEZ90" s="91"/>
      <c r="HFA90" s="91"/>
      <c r="HFB90" s="91"/>
      <c r="HFC90" s="91"/>
      <c r="HFD90" s="91"/>
      <c r="HFE90" s="91"/>
      <c r="HFF90" s="91"/>
      <c r="HFG90" s="91"/>
      <c r="HFH90" s="91"/>
      <c r="HFI90" s="91"/>
      <c r="HFJ90" s="91"/>
      <c r="HFK90" s="91"/>
      <c r="HFL90" s="91"/>
      <c r="HFM90" s="91"/>
      <c r="HFN90" s="91"/>
      <c r="HFO90" s="91"/>
      <c r="HFP90" s="91"/>
      <c r="HFQ90" s="91"/>
      <c r="HFR90" s="91"/>
      <c r="HFS90" s="91"/>
      <c r="HFT90" s="91"/>
      <c r="HFU90" s="91"/>
      <c r="HFV90" s="91"/>
      <c r="HFW90" s="91"/>
      <c r="HFX90" s="91"/>
      <c r="HFY90" s="91"/>
      <c r="HFZ90" s="91"/>
      <c r="HGA90" s="91"/>
      <c r="HGB90" s="91"/>
      <c r="HGC90" s="91"/>
      <c r="HGD90" s="91"/>
      <c r="HGE90" s="91"/>
      <c r="HGF90" s="91"/>
      <c r="HGG90" s="91"/>
      <c r="HGH90" s="91"/>
      <c r="HGI90" s="91"/>
      <c r="HGJ90" s="91"/>
      <c r="HGK90" s="91"/>
      <c r="HGL90" s="91"/>
      <c r="HGM90" s="91"/>
      <c r="HGN90" s="91"/>
      <c r="HGO90" s="91"/>
      <c r="HGP90" s="91"/>
      <c r="HGQ90" s="91"/>
      <c r="HGR90" s="91"/>
      <c r="HGS90" s="91"/>
      <c r="HGT90" s="91"/>
      <c r="HGU90" s="91"/>
      <c r="HGV90" s="91"/>
      <c r="HGW90" s="91"/>
      <c r="HGX90" s="91"/>
      <c r="HGY90" s="91"/>
      <c r="HGZ90" s="91"/>
      <c r="HHA90" s="91"/>
      <c r="HHB90" s="91"/>
      <c r="HHC90" s="91"/>
      <c r="HHD90" s="91"/>
      <c r="HHE90" s="91"/>
      <c r="HHF90" s="91"/>
      <c r="HHG90" s="91"/>
      <c r="HHH90" s="91"/>
      <c r="HHI90" s="91"/>
      <c r="HHJ90" s="91"/>
      <c r="HHK90" s="91"/>
      <c r="HHL90" s="91"/>
      <c r="HHM90" s="91"/>
      <c r="HHN90" s="91"/>
      <c r="HHO90" s="91"/>
      <c r="HHP90" s="91"/>
      <c r="HHQ90" s="91"/>
      <c r="HHR90" s="91"/>
      <c r="HHS90" s="91"/>
      <c r="HHT90" s="91"/>
      <c r="HHU90" s="91"/>
      <c r="HHV90" s="91"/>
      <c r="HHW90" s="91"/>
      <c r="HHX90" s="91"/>
      <c r="HHY90" s="91"/>
      <c r="HHZ90" s="91"/>
      <c r="HIA90" s="91"/>
      <c r="HIB90" s="91"/>
      <c r="HIC90" s="91"/>
      <c r="HID90" s="91"/>
      <c r="HIE90" s="91"/>
      <c r="HIF90" s="91"/>
      <c r="HIG90" s="91"/>
      <c r="HIH90" s="91"/>
      <c r="HII90" s="91"/>
      <c r="HIJ90" s="91"/>
      <c r="HIK90" s="91"/>
      <c r="HIL90" s="91"/>
      <c r="HIM90" s="91"/>
      <c r="HIN90" s="91"/>
      <c r="HIO90" s="91"/>
      <c r="HIP90" s="91"/>
      <c r="HIQ90" s="91"/>
      <c r="HIR90" s="91"/>
      <c r="HIS90" s="91"/>
      <c r="HIT90" s="91"/>
      <c r="HIU90" s="91"/>
      <c r="HIV90" s="91"/>
      <c r="HIW90" s="91"/>
      <c r="HIX90" s="91"/>
      <c r="HIY90" s="91"/>
      <c r="HIZ90" s="91"/>
      <c r="HJA90" s="91"/>
      <c r="HJB90" s="91"/>
      <c r="HJC90" s="91"/>
      <c r="HJD90" s="91"/>
      <c r="HJE90" s="91"/>
      <c r="HJF90" s="91"/>
      <c r="HJG90" s="91"/>
      <c r="HJH90" s="91"/>
      <c r="HJI90" s="91"/>
      <c r="HJJ90" s="91"/>
      <c r="HJK90" s="91"/>
      <c r="HJL90" s="91"/>
      <c r="HJM90" s="91"/>
      <c r="HJN90" s="91"/>
      <c r="HJO90" s="91"/>
      <c r="HJP90" s="91"/>
      <c r="HJQ90" s="91"/>
      <c r="HJR90" s="91"/>
      <c r="HJS90" s="91"/>
      <c r="HJT90" s="91"/>
      <c r="HJU90" s="91"/>
      <c r="HJV90" s="91"/>
      <c r="HJW90" s="91"/>
      <c r="HJX90" s="91"/>
      <c r="HJY90" s="91"/>
      <c r="HJZ90" s="91"/>
      <c r="HKA90" s="91"/>
      <c r="HKB90" s="91"/>
      <c r="HKC90" s="91"/>
      <c r="HKD90" s="91"/>
      <c r="HKE90" s="91"/>
      <c r="HKF90" s="91"/>
      <c r="HKG90" s="91"/>
      <c r="HKH90" s="91"/>
      <c r="HKI90" s="91"/>
      <c r="HKJ90" s="91"/>
      <c r="HKK90" s="91"/>
      <c r="HKL90" s="91"/>
      <c r="HKM90" s="91"/>
      <c r="HKN90" s="91"/>
      <c r="HKO90" s="91"/>
      <c r="HKP90" s="91"/>
      <c r="HKQ90" s="91"/>
      <c r="HKR90" s="91"/>
      <c r="HKS90" s="91"/>
      <c r="HKT90" s="91"/>
      <c r="HKU90" s="91"/>
      <c r="HKV90" s="91"/>
      <c r="HKW90" s="91"/>
      <c r="HKX90" s="91"/>
      <c r="HKY90" s="91"/>
      <c r="HKZ90" s="91"/>
      <c r="HLA90" s="91"/>
      <c r="HLB90" s="91"/>
      <c r="HLC90" s="91"/>
      <c r="HLD90" s="91"/>
      <c r="HLE90" s="91"/>
      <c r="HLF90" s="91"/>
      <c r="HLG90" s="91"/>
      <c r="HLH90" s="91"/>
      <c r="HLI90" s="91"/>
      <c r="HLJ90" s="91"/>
      <c r="HLK90" s="91"/>
      <c r="HLL90" s="91"/>
      <c r="HLM90" s="91"/>
      <c r="HLN90" s="91"/>
      <c r="HLO90" s="91"/>
      <c r="HLP90" s="91"/>
      <c r="HLQ90" s="91"/>
      <c r="HLR90" s="91"/>
      <c r="HLS90" s="91"/>
      <c r="HLT90" s="91"/>
      <c r="HLU90" s="91"/>
      <c r="HLV90" s="91"/>
      <c r="HLW90" s="91"/>
      <c r="HLX90" s="91"/>
      <c r="HLY90" s="91"/>
      <c r="HLZ90" s="91"/>
      <c r="HMA90" s="91"/>
      <c r="HMB90" s="91"/>
      <c r="HMC90" s="91"/>
      <c r="HMD90" s="91"/>
      <c r="HME90" s="91"/>
      <c r="HMF90" s="91"/>
      <c r="HMG90" s="91"/>
      <c r="HMH90" s="91"/>
      <c r="HMI90" s="91"/>
      <c r="HMJ90" s="91"/>
      <c r="HMK90" s="91"/>
      <c r="HML90" s="91"/>
      <c r="HMM90" s="91"/>
      <c r="HMN90" s="91"/>
      <c r="HMO90" s="91"/>
      <c r="HMP90" s="91"/>
      <c r="HMQ90" s="91"/>
      <c r="HMR90" s="91"/>
      <c r="HMS90" s="91"/>
      <c r="HMT90" s="91"/>
      <c r="HMU90" s="91"/>
      <c r="HMV90" s="91"/>
      <c r="HMW90" s="91"/>
      <c r="HMX90" s="91"/>
      <c r="HMY90" s="91"/>
      <c r="HMZ90" s="91"/>
      <c r="HNA90" s="91"/>
      <c r="HNB90" s="91"/>
      <c r="HNC90" s="91"/>
      <c r="HND90" s="91"/>
      <c r="HNE90" s="91"/>
      <c r="HNF90" s="91"/>
      <c r="HNG90" s="91"/>
      <c r="HNH90" s="91"/>
      <c r="HNI90" s="91"/>
      <c r="HNJ90" s="91"/>
      <c r="HNK90" s="91"/>
      <c r="HNL90" s="91"/>
      <c r="HNM90" s="91"/>
      <c r="HNN90" s="91"/>
      <c r="HNO90" s="91"/>
      <c r="HNP90" s="91"/>
      <c r="HNQ90" s="91"/>
      <c r="HNR90" s="91"/>
      <c r="HNS90" s="91"/>
      <c r="HNT90" s="91"/>
      <c r="HNU90" s="91"/>
      <c r="HNV90" s="91"/>
      <c r="HNW90" s="91"/>
      <c r="HNX90" s="91"/>
      <c r="HNY90" s="91"/>
      <c r="HNZ90" s="91"/>
      <c r="HOA90" s="91"/>
      <c r="HOB90" s="91"/>
      <c r="HOC90" s="91"/>
      <c r="HOD90" s="91"/>
      <c r="HOE90" s="91"/>
      <c r="HOF90" s="91"/>
      <c r="HOG90" s="91"/>
      <c r="HOH90" s="91"/>
      <c r="HOI90" s="91"/>
      <c r="HOJ90" s="91"/>
      <c r="HOK90" s="91"/>
      <c r="HOL90" s="91"/>
      <c r="HOM90" s="91"/>
      <c r="HON90" s="91"/>
      <c r="HOO90" s="91"/>
      <c r="HOP90" s="91"/>
      <c r="HOQ90" s="91"/>
      <c r="HOR90" s="91"/>
      <c r="HOS90" s="91"/>
      <c r="HOT90" s="91"/>
      <c r="HOU90" s="91"/>
      <c r="HOV90" s="91"/>
      <c r="HOW90" s="91"/>
      <c r="HOX90" s="91"/>
      <c r="HOY90" s="91"/>
      <c r="HOZ90" s="91"/>
      <c r="HPA90" s="91"/>
      <c r="HPB90" s="91"/>
      <c r="HPC90" s="91"/>
      <c r="HPD90" s="91"/>
      <c r="HPE90" s="91"/>
      <c r="HPF90" s="91"/>
      <c r="HPG90" s="91"/>
      <c r="HPH90" s="91"/>
      <c r="HPI90" s="91"/>
      <c r="HPJ90" s="91"/>
      <c r="HPK90" s="91"/>
      <c r="HPL90" s="91"/>
      <c r="HPM90" s="91"/>
      <c r="HPN90" s="91"/>
      <c r="HPO90" s="91"/>
      <c r="HPP90" s="91"/>
      <c r="HPQ90" s="91"/>
      <c r="HPR90" s="91"/>
      <c r="HPS90" s="91"/>
      <c r="HPT90" s="91"/>
      <c r="HPU90" s="91"/>
      <c r="HPV90" s="91"/>
      <c r="HPW90" s="91"/>
      <c r="HPX90" s="91"/>
      <c r="HPY90" s="91"/>
      <c r="HPZ90" s="91"/>
      <c r="HQA90" s="91"/>
      <c r="HQB90" s="91"/>
      <c r="HQC90" s="91"/>
      <c r="HQD90" s="91"/>
      <c r="HQE90" s="91"/>
      <c r="HQF90" s="91"/>
      <c r="HQG90" s="91"/>
      <c r="HQH90" s="91"/>
      <c r="HQI90" s="91"/>
      <c r="HQJ90" s="91"/>
      <c r="HQK90" s="91"/>
      <c r="HQL90" s="91"/>
      <c r="HQM90" s="91"/>
      <c r="HQN90" s="91"/>
      <c r="HQO90" s="91"/>
      <c r="HQP90" s="91"/>
      <c r="HQQ90" s="91"/>
      <c r="HQR90" s="91"/>
      <c r="HQS90" s="91"/>
      <c r="HQT90" s="91"/>
      <c r="HQU90" s="91"/>
      <c r="HQV90" s="91"/>
      <c r="HQW90" s="91"/>
      <c r="HQX90" s="91"/>
      <c r="HQY90" s="91"/>
      <c r="HQZ90" s="91"/>
      <c r="HRA90" s="91"/>
      <c r="HRB90" s="91"/>
      <c r="HRC90" s="91"/>
      <c r="HRD90" s="91"/>
      <c r="HRE90" s="91"/>
      <c r="HRF90" s="91"/>
      <c r="HRG90" s="91"/>
      <c r="HRH90" s="91"/>
      <c r="HRI90" s="91"/>
      <c r="HRJ90" s="91"/>
      <c r="HRK90" s="91"/>
      <c r="HRL90" s="91"/>
      <c r="HRM90" s="91"/>
      <c r="HRN90" s="91"/>
      <c r="HRO90" s="91"/>
      <c r="HRP90" s="91"/>
      <c r="HRQ90" s="91"/>
      <c r="HRR90" s="91"/>
      <c r="HRS90" s="91"/>
      <c r="HRT90" s="91"/>
      <c r="HRU90" s="91"/>
      <c r="HRV90" s="91"/>
      <c r="HRW90" s="91"/>
      <c r="HRX90" s="91"/>
      <c r="HRY90" s="91"/>
      <c r="HRZ90" s="91"/>
      <c r="HSA90" s="91"/>
      <c r="HSB90" s="91"/>
      <c r="HSC90" s="91"/>
      <c r="HSD90" s="91"/>
      <c r="HSE90" s="91"/>
      <c r="HSF90" s="91"/>
      <c r="HSG90" s="91"/>
      <c r="HSH90" s="91"/>
      <c r="HSI90" s="91"/>
      <c r="HSJ90" s="91"/>
      <c r="HSK90" s="91"/>
      <c r="HSL90" s="91"/>
      <c r="HSM90" s="91"/>
      <c r="HSN90" s="91"/>
      <c r="HSO90" s="91"/>
      <c r="HSP90" s="91"/>
      <c r="HSQ90" s="91"/>
      <c r="HSR90" s="91"/>
      <c r="HSS90" s="91"/>
      <c r="HST90" s="91"/>
      <c r="HSU90" s="91"/>
      <c r="HSV90" s="91"/>
      <c r="HSW90" s="91"/>
      <c r="HSX90" s="91"/>
      <c r="HSY90" s="91"/>
      <c r="HSZ90" s="91"/>
      <c r="HTA90" s="91"/>
      <c r="HTB90" s="91"/>
      <c r="HTC90" s="91"/>
      <c r="HTD90" s="91"/>
      <c r="HTE90" s="91"/>
      <c r="HTF90" s="91"/>
      <c r="HTG90" s="91"/>
      <c r="HTH90" s="91"/>
      <c r="HTI90" s="91"/>
      <c r="HTJ90" s="91"/>
      <c r="HTK90" s="91"/>
      <c r="HTL90" s="91"/>
      <c r="HTM90" s="91"/>
      <c r="HTN90" s="91"/>
      <c r="HTO90" s="91"/>
      <c r="HTP90" s="91"/>
      <c r="HTQ90" s="91"/>
      <c r="HTR90" s="91"/>
      <c r="HTS90" s="91"/>
      <c r="HTT90" s="91"/>
      <c r="HTU90" s="91"/>
      <c r="HTV90" s="91"/>
      <c r="HTW90" s="91"/>
      <c r="HTX90" s="91"/>
      <c r="HTY90" s="91"/>
      <c r="HTZ90" s="91"/>
      <c r="HUA90" s="91"/>
      <c r="HUB90" s="91"/>
      <c r="HUC90" s="91"/>
      <c r="HUD90" s="91"/>
      <c r="HUE90" s="91"/>
      <c r="HUF90" s="91"/>
      <c r="HUG90" s="91"/>
      <c r="HUH90" s="91"/>
      <c r="HUI90" s="91"/>
      <c r="HUJ90" s="91"/>
      <c r="HUK90" s="91"/>
      <c r="HUL90" s="91"/>
      <c r="HUM90" s="91"/>
      <c r="HUN90" s="91"/>
      <c r="HUO90" s="91"/>
      <c r="HUP90" s="91"/>
      <c r="HUQ90" s="91"/>
      <c r="HUR90" s="91"/>
      <c r="HUS90" s="91"/>
      <c r="HUT90" s="91"/>
      <c r="HUU90" s="91"/>
      <c r="HUV90" s="91"/>
      <c r="HUW90" s="91"/>
      <c r="HUX90" s="91"/>
      <c r="HUY90" s="91"/>
      <c r="HUZ90" s="91"/>
      <c r="HVA90" s="91"/>
      <c r="HVB90" s="91"/>
      <c r="HVC90" s="91"/>
      <c r="HVD90" s="91"/>
      <c r="HVE90" s="91"/>
      <c r="HVF90" s="91"/>
      <c r="HVG90" s="91"/>
      <c r="HVH90" s="91"/>
      <c r="HVI90" s="91"/>
      <c r="HVJ90" s="91"/>
      <c r="HVK90" s="91"/>
      <c r="HVL90" s="91"/>
      <c r="HVM90" s="91"/>
      <c r="HVN90" s="91"/>
      <c r="HVO90" s="91"/>
      <c r="HVP90" s="91"/>
      <c r="HVQ90" s="91"/>
      <c r="HVR90" s="91"/>
      <c r="HVS90" s="91"/>
      <c r="HVT90" s="91"/>
      <c r="HVU90" s="91"/>
      <c r="HVV90" s="91"/>
      <c r="HVW90" s="91"/>
      <c r="HVX90" s="91"/>
      <c r="HVY90" s="91"/>
      <c r="HVZ90" s="91"/>
      <c r="HWA90" s="91"/>
      <c r="HWB90" s="91"/>
      <c r="HWC90" s="91"/>
      <c r="HWD90" s="91"/>
      <c r="HWE90" s="91"/>
      <c r="HWF90" s="91"/>
      <c r="HWG90" s="91"/>
      <c r="HWH90" s="91"/>
      <c r="HWI90" s="91"/>
      <c r="HWJ90" s="91"/>
      <c r="HWK90" s="91"/>
      <c r="HWL90" s="91"/>
      <c r="HWM90" s="91"/>
      <c r="HWN90" s="91"/>
      <c r="HWO90" s="91"/>
      <c r="HWP90" s="91"/>
      <c r="HWQ90" s="91"/>
      <c r="HWR90" s="91"/>
      <c r="HWS90" s="91"/>
      <c r="HWT90" s="91"/>
      <c r="HWU90" s="91"/>
      <c r="HWV90" s="91"/>
      <c r="HWW90" s="91"/>
      <c r="HWX90" s="91"/>
      <c r="HWY90" s="91"/>
      <c r="HWZ90" s="91"/>
      <c r="HXA90" s="91"/>
      <c r="HXB90" s="91"/>
      <c r="HXC90" s="91"/>
      <c r="HXD90" s="91"/>
      <c r="HXE90" s="91"/>
      <c r="HXF90" s="91"/>
      <c r="HXG90" s="91"/>
      <c r="HXH90" s="91"/>
      <c r="HXI90" s="91"/>
      <c r="HXJ90" s="91"/>
      <c r="HXK90" s="91"/>
      <c r="HXL90" s="91"/>
      <c r="HXM90" s="91"/>
      <c r="HXN90" s="91"/>
      <c r="HXO90" s="91"/>
      <c r="HXP90" s="91"/>
      <c r="HXQ90" s="91"/>
      <c r="HXR90" s="91"/>
      <c r="HXS90" s="91"/>
      <c r="HXT90" s="91"/>
      <c r="HXU90" s="91"/>
      <c r="HXV90" s="91"/>
      <c r="HXW90" s="91"/>
      <c r="HXX90" s="91"/>
      <c r="HXY90" s="91"/>
      <c r="HXZ90" s="91"/>
      <c r="HYA90" s="91"/>
      <c r="HYB90" s="91"/>
      <c r="HYC90" s="91"/>
      <c r="HYD90" s="91"/>
      <c r="HYE90" s="91"/>
      <c r="HYF90" s="91"/>
      <c r="HYG90" s="91"/>
      <c r="HYH90" s="91"/>
      <c r="HYI90" s="91"/>
      <c r="HYJ90" s="91"/>
      <c r="HYK90" s="91"/>
      <c r="HYL90" s="91"/>
      <c r="HYM90" s="91"/>
      <c r="HYN90" s="91"/>
      <c r="HYO90" s="91"/>
      <c r="HYP90" s="91"/>
      <c r="HYQ90" s="91"/>
      <c r="HYR90" s="91"/>
      <c r="HYS90" s="91"/>
      <c r="HYT90" s="91"/>
      <c r="HYU90" s="91"/>
      <c r="HYV90" s="91"/>
      <c r="HYW90" s="91"/>
      <c r="HYX90" s="91"/>
      <c r="HYY90" s="91"/>
      <c r="HYZ90" s="91"/>
      <c r="HZA90" s="91"/>
      <c r="HZB90" s="91"/>
      <c r="HZC90" s="91"/>
      <c r="HZD90" s="91"/>
      <c r="HZE90" s="91"/>
      <c r="HZF90" s="91"/>
      <c r="HZG90" s="91"/>
      <c r="HZH90" s="91"/>
      <c r="HZI90" s="91"/>
      <c r="HZJ90" s="91"/>
      <c r="HZK90" s="91"/>
      <c r="HZL90" s="91"/>
      <c r="HZM90" s="91"/>
      <c r="HZN90" s="91"/>
      <c r="HZO90" s="91"/>
      <c r="HZP90" s="91"/>
      <c r="HZQ90" s="91"/>
      <c r="HZR90" s="91"/>
      <c r="HZS90" s="91"/>
      <c r="HZT90" s="91"/>
      <c r="HZU90" s="91"/>
      <c r="HZV90" s="91"/>
      <c r="HZW90" s="91"/>
      <c r="HZX90" s="91"/>
      <c r="HZY90" s="91"/>
      <c r="HZZ90" s="91"/>
      <c r="IAA90" s="91"/>
      <c r="IAB90" s="91"/>
      <c r="IAC90" s="91"/>
      <c r="IAD90" s="91"/>
      <c r="IAE90" s="91"/>
      <c r="IAF90" s="91"/>
      <c r="IAG90" s="91"/>
      <c r="IAH90" s="91"/>
      <c r="IAI90" s="91"/>
      <c r="IAJ90" s="91"/>
      <c r="IAK90" s="91"/>
      <c r="IAL90" s="91"/>
      <c r="IAM90" s="91"/>
      <c r="IAN90" s="91"/>
      <c r="IAO90" s="91"/>
      <c r="IAP90" s="91"/>
      <c r="IAQ90" s="91"/>
      <c r="IAR90" s="91"/>
      <c r="IAS90" s="91"/>
      <c r="IAT90" s="91"/>
      <c r="IAU90" s="91"/>
      <c r="IAV90" s="91"/>
      <c r="IAW90" s="91"/>
      <c r="IAX90" s="91"/>
      <c r="IAY90" s="91"/>
      <c r="IAZ90" s="91"/>
      <c r="IBA90" s="91"/>
      <c r="IBB90" s="91"/>
      <c r="IBC90" s="91"/>
      <c r="IBD90" s="91"/>
      <c r="IBE90" s="91"/>
      <c r="IBF90" s="91"/>
      <c r="IBG90" s="91"/>
      <c r="IBH90" s="91"/>
      <c r="IBI90" s="91"/>
      <c r="IBJ90" s="91"/>
      <c r="IBK90" s="91"/>
      <c r="IBL90" s="91"/>
      <c r="IBM90" s="91"/>
      <c r="IBN90" s="91"/>
      <c r="IBO90" s="91"/>
      <c r="IBP90" s="91"/>
      <c r="IBQ90" s="91"/>
      <c r="IBR90" s="91"/>
      <c r="IBS90" s="91"/>
      <c r="IBT90" s="91"/>
      <c r="IBU90" s="91"/>
      <c r="IBV90" s="91"/>
      <c r="IBW90" s="91"/>
      <c r="IBX90" s="91"/>
      <c r="IBY90" s="91"/>
      <c r="IBZ90" s="91"/>
      <c r="ICA90" s="91"/>
      <c r="ICB90" s="91"/>
      <c r="ICC90" s="91"/>
      <c r="ICD90" s="91"/>
      <c r="ICE90" s="91"/>
      <c r="ICF90" s="91"/>
      <c r="ICG90" s="91"/>
      <c r="ICH90" s="91"/>
      <c r="ICI90" s="91"/>
      <c r="ICJ90" s="91"/>
      <c r="ICK90" s="91"/>
      <c r="ICL90" s="91"/>
      <c r="ICM90" s="91"/>
      <c r="ICN90" s="91"/>
      <c r="ICO90" s="91"/>
      <c r="ICP90" s="91"/>
      <c r="ICQ90" s="91"/>
      <c r="ICR90" s="91"/>
      <c r="ICS90" s="91"/>
      <c r="ICT90" s="91"/>
      <c r="ICU90" s="91"/>
      <c r="ICV90" s="91"/>
      <c r="ICW90" s="91"/>
      <c r="ICX90" s="91"/>
      <c r="ICY90" s="91"/>
      <c r="ICZ90" s="91"/>
      <c r="IDA90" s="91"/>
      <c r="IDB90" s="91"/>
      <c r="IDC90" s="91"/>
      <c r="IDD90" s="91"/>
      <c r="IDE90" s="91"/>
      <c r="IDF90" s="91"/>
      <c r="IDG90" s="91"/>
      <c r="IDH90" s="91"/>
      <c r="IDI90" s="91"/>
      <c r="IDJ90" s="91"/>
      <c r="IDK90" s="91"/>
      <c r="IDL90" s="91"/>
      <c r="IDM90" s="91"/>
      <c r="IDN90" s="91"/>
      <c r="IDO90" s="91"/>
      <c r="IDP90" s="91"/>
      <c r="IDQ90" s="91"/>
      <c r="IDR90" s="91"/>
      <c r="IDS90" s="91"/>
      <c r="IDT90" s="91"/>
      <c r="IDU90" s="91"/>
      <c r="IDV90" s="91"/>
      <c r="IDW90" s="91"/>
      <c r="IDX90" s="91"/>
      <c r="IDY90" s="91"/>
      <c r="IDZ90" s="91"/>
      <c r="IEA90" s="91"/>
      <c r="IEB90" s="91"/>
      <c r="IEC90" s="91"/>
      <c r="IED90" s="91"/>
      <c r="IEE90" s="91"/>
      <c r="IEF90" s="91"/>
      <c r="IEG90" s="91"/>
      <c r="IEH90" s="91"/>
      <c r="IEI90" s="91"/>
      <c r="IEJ90" s="91"/>
      <c r="IEK90" s="91"/>
      <c r="IEL90" s="91"/>
      <c r="IEM90" s="91"/>
      <c r="IEN90" s="91"/>
      <c r="IEO90" s="91"/>
      <c r="IEP90" s="91"/>
      <c r="IEQ90" s="91"/>
      <c r="IER90" s="91"/>
      <c r="IES90" s="91"/>
      <c r="IET90" s="91"/>
      <c r="IEU90" s="91"/>
      <c r="IEV90" s="91"/>
      <c r="IEW90" s="91"/>
      <c r="IEX90" s="91"/>
      <c r="IEY90" s="91"/>
      <c r="IEZ90" s="91"/>
      <c r="IFA90" s="91"/>
      <c r="IFB90" s="91"/>
      <c r="IFC90" s="91"/>
      <c r="IFD90" s="91"/>
      <c r="IFE90" s="91"/>
      <c r="IFF90" s="91"/>
      <c r="IFG90" s="91"/>
      <c r="IFH90" s="91"/>
      <c r="IFI90" s="91"/>
      <c r="IFJ90" s="91"/>
      <c r="IFK90" s="91"/>
      <c r="IFL90" s="91"/>
      <c r="IFM90" s="91"/>
      <c r="IFN90" s="91"/>
      <c r="IFO90" s="91"/>
      <c r="IFP90" s="91"/>
      <c r="IFQ90" s="91"/>
      <c r="IFR90" s="91"/>
      <c r="IFS90" s="91"/>
      <c r="IFT90" s="91"/>
      <c r="IFU90" s="91"/>
      <c r="IFV90" s="91"/>
      <c r="IFW90" s="91"/>
      <c r="IFX90" s="91"/>
      <c r="IFY90" s="91"/>
      <c r="IFZ90" s="91"/>
      <c r="IGA90" s="91"/>
      <c r="IGB90" s="91"/>
      <c r="IGC90" s="91"/>
      <c r="IGD90" s="91"/>
      <c r="IGE90" s="91"/>
      <c r="IGF90" s="91"/>
      <c r="IGG90" s="91"/>
      <c r="IGH90" s="91"/>
      <c r="IGI90" s="91"/>
      <c r="IGJ90" s="91"/>
      <c r="IGK90" s="91"/>
      <c r="IGL90" s="91"/>
      <c r="IGM90" s="91"/>
      <c r="IGN90" s="91"/>
      <c r="IGO90" s="91"/>
      <c r="IGP90" s="91"/>
      <c r="IGQ90" s="91"/>
      <c r="IGR90" s="91"/>
      <c r="IGS90" s="91"/>
      <c r="IGT90" s="91"/>
      <c r="IGU90" s="91"/>
      <c r="IGV90" s="91"/>
      <c r="IGW90" s="91"/>
      <c r="IGX90" s="91"/>
      <c r="IGY90" s="91"/>
      <c r="IGZ90" s="91"/>
      <c r="IHA90" s="91"/>
      <c r="IHB90" s="91"/>
      <c r="IHC90" s="91"/>
      <c r="IHD90" s="91"/>
      <c r="IHE90" s="91"/>
      <c r="IHF90" s="91"/>
      <c r="IHG90" s="91"/>
      <c r="IHH90" s="91"/>
      <c r="IHI90" s="91"/>
      <c r="IHJ90" s="91"/>
      <c r="IHK90" s="91"/>
      <c r="IHL90" s="91"/>
      <c r="IHM90" s="91"/>
      <c r="IHN90" s="91"/>
      <c r="IHO90" s="91"/>
      <c r="IHP90" s="91"/>
      <c r="IHQ90" s="91"/>
      <c r="IHR90" s="91"/>
      <c r="IHS90" s="91"/>
      <c r="IHT90" s="91"/>
      <c r="IHU90" s="91"/>
      <c r="IHV90" s="91"/>
      <c r="IHW90" s="91"/>
      <c r="IHX90" s="91"/>
      <c r="IHY90" s="91"/>
      <c r="IHZ90" s="91"/>
      <c r="IIA90" s="91"/>
      <c r="IIB90" s="91"/>
      <c r="IIC90" s="91"/>
      <c r="IID90" s="91"/>
      <c r="IIE90" s="91"/>
      <c r="IIF90" s="91"/>
      <c r="IIG90" s="91"/>
      <c r="IIH90" s="91"/>
      <c r="III90" s="91"/>
      <c r="IIJ90" s="91"/>
      <c r="IIK90" s="91"/>
      <c r="IIL90" s="91"/>
      <c r="IIM90" s="91"/>
      <c r="IIN90" s="91"/>
      <c r="IIO90" s="91"/>
      <c r="IIP90" s="91"/>
      <c r="IIQ90" s="91"/>
      <c r="IIR90" s="91"/>
      <c r="IIS90" s="91"/>
      <c r="IIT90" s="91"/>
      <c r="IIU90" s="91"/>
      <c r="IIV90" s="91"/>
      <c r="IIW90" s="91"/>
      <c r="IIX90" s="91"/>
      <c r="IIY90" s="91"/>
      <c r="IIZ90" s="91"/>
      <c r="IJA90" s="91"/>
      <c r="IJB90" s="91"/>
      <c r="IJC90" s="91"/>
      <c r="IJD90" s="91"/>
      <c r="IJE90" s="91"/>
      <c r="IJF90" s="91"/>
      <c r="IJG90" s="91"/>
      <c r="IJH90" s="91"/>
      <c r="IJI90" s="91"/>
      <c r="IJJ90" s="91"/>
      <c r="IJK90" s="91"/>
      <c r="IJL90" s="91"/>
      <c r="IJM90" s="91"/>
      <c r="IJN90" s="91"/>
      <c r="IJO90" s="91"/>
      <c r="IJP90" s="91"/>
      <c r="IJQ90" s="91"/>
      <c r="IJR90" s="91"/>
      <c r="IJS90" s="91"/>
      <c r="IJT90" s="91"/>
      <c r="IJU90" s="91"/>
      <c r="IJV90" s="91"/>
      <c r="IJW90" s="91"/>
      <c r="IJX90" s="91"/>
      <c r="IJY90" s="91"/>
      <c r="IJZ90" s="91"/>
      <c r="IKA90" s="91"/>
      <c r="IKB90" s="91"/>
      <c r="IKC90" s="91"/>
      <c r="IKD90" s="91"/>
      <c r="IKE90" s="91"/>
      <c r="IKF90" s="91"/>
      <c r="IKG90" s="91"/>
      <c r="IKH90" s="91"/>
      <c r="IKI90" s="91"/>
      <c r="IKJ90" s="91"/>
      <c r="IKK90" s="91"/>
      <c r="IKL90" s="91"/>
      <c r="IKM90" s="91"/>
      <c r="IKN90" s="91"/>
      <c r="IKO90" s="91"/>
      <c r="IKP90" s="91"/>
      <c r="IKQ90" s="91"/>
      <c r="IKR90" s="91"/>
      <c r="IKS90" s="91"/>
      <c r="IKT90" s="91"/>
      <c r="IKU90" s="91"/>
      <c r="IKV90" s="91"/>
      <c r="IKW90" s="91"/>
      <c r="IKX90" s="91"/>
      <c r="IKY90" s="91"/>
      <c r="IKZ90" s="91"/>
      <c r="ILA90" s="91"/>
      <c r="ILB90" s="91"/>
      <c r="ILC90" s="91"/>
      <c r="ILD90" s="91"/>
      <c r="ILE90" s="91"/>
      <c r="ILF90" s="91"/>
      <c r="ILG90" s="91"/>
      <c r="ILH90" s="91"/>
      <c r="ILI90" s="91"/>
      <c r="ILJ90" s="91"/>
      <c r="ILK90" s="91"/>
      <c r="ILL90" s="91"/>
      <c r="ILM90" s="91"/>
      <c r="ILN90" s="91"/>
      <c r="ILO90" s="91"/>
      <c r="ILP90" s="91"/>
      <c r="ILQ90" s="91"/>
      <c r="ILR90" s="91"/>
      <c r="ILS90" s="91"/>
      <c r="ILT90" s="91"/>
      <c r="ILU90" s="91"/>
      <c r="ILV90" s="91"/>
      <c r="ILW90" s="91"/>
      <c r="ILX90" s="91"/>
      <c r="ILY90" s="91"/>
      <c r="ILZ90" s="91"/>
      <c r="IMA90" s="91"/>
      <c r="IMB90" s="91"/>
      <c r="IMC90" s="91"/>
      <c r="IMD90" s="91"/>
      <c r="IME90" s="91"/>
      <c r="IMF90" s="91"/>
      <c r="IMG90" s="91"/>
      <c r="IMH90" s="91"/>
      <c r="IMI90" s="91"/>
      <c r="IMJ90" s="91"/>
      <c r="IMK90" s="91"/>
      <c r="IML90" s="91"/>
      <c r="IMM90" s="91"/>
      <c r="IMN90" s="91"/>
      <c r="IMO90" s="91"/>
      <c r="IMP90" s="91"/>
      <c r="IMQ90" s="91"/>
      <c r="IMR90" s="91"/>
      <c r="IMS90" s="91"/>
      <c r="IMT90" s="91"/>
      <c r="IMU90" s="91"/>
      <c r="IMV90" s="91"/>
      <c r="IMW90" s="91"/>
      <c r="IMX90" s="91"/>
      <c r="IMY90" s="91"/>
      <c r="IMZ90" s="91"/>
      <c r="INA90" s="91"/>
      <c r="INB90" s="91"/>
      <c r="INC90" s="91"/>
      <c r="IND90" s="91"/>
      <c r="INE90" s="91"/>
      <c r="INF90" s="91"/>
      <c r="ING90" s="91"/>
      <c r="INH90" s="91"/>
      <c r="INI90" s="91"/>
      <c r="INJ90" s="91"/>
      <c r="INK90" s="91"/>
      <c r="INL90" s="91"/>
      <c r="INM90" s="91"/>
      <c r="INN90" s="91"/>
      <c r="INO90" s="91"/>
      <c r="INP90" s="91"/>
      <c r="INQ90" s="91"/>
      <c r="INR90" s="91"/>
      <c r="INS90" s="91"/>
      <c r="INT90" s="91"/>
      <c r="INU90" s="91"/>
      <c r="INV90" s="91"/>
      <c r="INW90" s="91"/>
      <c r="INX90" s="91"/>
      <c r="INY90" s="91"/>
      <c r="INZ90" s="91"/>
      <c r="IOA90" s="91"/>
      <c r="IOB90" s="91"/>
      <c r="IOC90" s="91"/>
      <c r="IOD90" s="91"/>
      <c r="IOE90" s="91"/>
      <c r="IOF90" s="91"/>
      <c r="IOG90" s="91"/>
      <c r="IOH90" s="91"/>
      <c r="IOI90" s="91"/>
      <c r="IOJ90" s="91"/>
      <c r="IOK90" s="91"/>
      <c r="IOL90" s="91"/>
      <c r="IOM90" s="91"/>
      <c r="ION90" s="91"/>
      <c r="IOO90" s="91"/>
      <c r="IOP90" s="91"/>
      <c r="IOQ90" s="91"/>
      <c r="IOR90" s="91"/>
      <c r="IOS90" s="91"/>
      <c r="IOT90" s="91"/>
      <c r="IOU90" s="91"/>
      <c r="IOV90" s="91"/>
      <c r="IOW90" s="91"/>
      <c r="IOX90" s="91"/>
      <c r="IOY90" s="91"/>
      <c r="IOZ90" s="91"/>
      <c r="IPA90" s="91"/>
      <c r="IPB90" s="91"/>
      <c r="IPC90" s="91"/>
      <c r="IPD90" s="91"/>
      <c r="IPE90" s="91"/>
      <c r="IPF90" s="91"/>
      <c r="IPG90" s="91"/>
      <c r="IPH90" s="91"/>
      <c r="IPI90" s="91"/>
      <c r="IPJ90" s="91"/>
      <c r="IPK90" s="91"/>
      <c r="IPL90" s="91"/>
      <c r="IPM90" s="91"/>
      <c r="IPN90" s="91"/>
      <c r="IPO90" s="91"/>
      <c r="IPP90" s="91"/>
      <c r="IPQ90" s="91"/>
      <c r="IPR90" s="91"/>
      <c r="IPS90" s="91"/>
      <c r="IPT90" s="91"/>
      <c r="IPU90" s="91"/>
      <c r="IPV90" s="91"/>
      <c r="IPW90" s="91"/>
      <c r="IPX90" s="91"/>
      <c r="IPY90" s="91"/>
      <c r="IPZ90" s="91"/>
      <c r="IQA90" s="91"/>
      <c r="IQB90" s="91"/>
      <c r="IQC90" s="91"/>
      <c r="IQD90" s="91"/>
      <c r="IQE90" s="91"/>
      <c r="IQF90" s="91"/>
      <c r="IQG90" s="91"/>
      <c r="IQH90" s="91"/>
      <c r="IQI90" s="91"/>
      <c r="IQJ90" s="91"/>
      <c r="IQK90" s="91"/>
      <c r="IQL90" s="91"/>
      <c r="IQM90" s="91"/>
      <c r="IQN90" s="91"/>
      <c r="IQO90" s="91"/>
      <c r="IQP90" s="91"/>
      <c r="IQQ90" s="91"/>
      <c r="IQR90" s="91"/>
      <c r="IQS90" s="91"/>
      <c r="IQT90" s="91"/>
      <c r="IQU90" s="91"/>
      <c r="IQV90" s="91"/>
      <c r="IQW90" s="91"/>
      <c r="IQX90" s="91"/>
      <c r="IQY90" s="91"/>
      <c r="IQZ90" s="91"/>
      <c r="IRA90" s="91"/>
      <c r="IRB90" s="91"/>
      <c r="IRC90" s="91"/>
      <c r="IRD90" s="91"/>
      <c r="IRE90" s="91"/>
      <c r="IRF90" s="91"/>
      <c r="IRG90" s="91"/>
      <c r="IRH90" s="91"/>
      <c r="IRI90" s="91"/>
      <c r="IRJ90" s="91"/>
      <c r="IRK90" s="91"/>
      <c r="IRL90" s="91"/>
      <c r="IRM90" s="91"/>
      <c r="IRN90" s="91"/>
      <c r="IRO90" s="91"/>
      <c r="IRP90" s="91"/>
      <c r="IRQ90" s="91"/>
      <c r="IRR90" s="91"/>
      <c r="IRS90" s="91"/>
      <c r="IRT90" s="91"/>
      <c r="IRU90" s="91"/>
      <c r="IRV90" s="91"/>
      <c r="IRW90" s="91"/>
      <c r="IRX90" s="91"/>
      <c r="IRY90" s="91"/>
      <c r="IRZ90" s="91"/>
      <c r="ISA90" s="91"/>
      <c r="ISB90" s="91"/>
      <c r="ISC90" s="91"/>
      <c r="ISD90" s="91"/>
      <c r="ISE90" s="91"/>
      <c r="ISF90" s="91"/>
      <c r="ISG90" s="91"/>
      <c r="ISH90" s="91"/>
      <c r="ISI90" s="91"/>
      <c r="ISJ90" s="91"/>
      <c r="ISK90" s="91"/>
      <c r="ISL90" s="91"/>
      <c r="ISM90" s="91"/>
      <c r="ISN90" s="91"/>
      <c r="ISO90" s="91"/>
      <c r="ISP90" s="91"/>
      <c r="ISQ90" s="91"/>
      <c r="ISR90" s="91"/>
      <c r="ISS90" s="91"/>
      <c r="IST90" s="91"/>
      <c r="ISU90" s="91"/>
      <c r="ISV90" s="91"/>
      <c r="ISW90" s="91"/>
      <c r="ISX90" s="91"/>
      <c r="ISY90" s="91"/>
      <c r="ISZ90" s="91"/>
      <c r="ITA90" s="91"/>
      <c r="ITB90" s="91"/>
      <c r="ITC90" s="91"/>
      <c r="ITD90" s="91"/>
      <c r="ITE90" s="91"/>
      <c r="ITF90" s="91"/>
      <c r="ITG90" s="91"/>
      <c r="ITH90" s="91"/>
      <c r="ITI90" s="91"/>
      <c r="ITJ90" s="91"/>
      <c r="ITK90" s="91"/>
      <c r="ITL90" s="91"/>
      <c r="ITM90" s="91"/>
      <c r="ITN90" s="91"/>
      <c r="ITO90" s="91"/>
      <c r="ITP90" s="91"/>
      <c r="ITQ90" s="91"/>
      <c r="ITR90" s="91"/>
      <c r="ITS90" s="91"/>
      <c r="ITT90" s="91"/>
      <c r="ITU90" s="91"/>
      <c r="ITV90" s="91"/>
      <c r="ITW90" s="91"/>
      <c r="ITX90" s="91"/>
      <c r="ITY90" s="91"/>
      <c r="ITZ90" s="91"/>
      <c r="IUA90" s="91"/>
      <c r="IUB90" s="91"/>
      <c r="IUC90" s="91"/>
      <c r="IUD90" s="91"/>
      <c r="IUE90" s="91"/>
      <c r="IUF90" s="91"/>
      <c r="IUG90" s="91"/>
      <c r="IUH90" s="91"/>
      <c r="IUI90" s="91"/>
      <c r="IUJ90" s="91"/>
      <c r="IUK90" s="91"/>
      <c r="IUL90" s="91"/>
      <c r="IUM90" s="91"/>
      <c r="IUN90" s="91"/>
      <c r="IUO90" s="91"/>
      <c r="IUP90" s="91"/>
      <c r="IUQ90" s="91"/>
      <c r="IUR90" s="91"/>
      <c r="IUS90" s="91"/>
      <c r="IUT90" s="91"/>
      <c r="IUU90" s="91"/>
      <c r="IUV90" s="91"/>
      <c r="IUW90" s="91"/>
      <c r="IUX90" s="91"/>
      <c r="IUY90" s="91"/>
      <c r="IUZ90" s="91"/>
      <c r="IVA90" s="91"/>
      <c r="IVB90" s="91"/>
      <c r="IVC90" s="91"/>
      <c r="IVD90" s="91"/>
      <c r="IVE90" s="91"/>
      <c r="IVF90" s="91"/>
      <c r="IVG90" s="91"/>
      <c r="IVH90" s="91"/>
      <c r="IVI90" s="91"/>
      <c r="IVJ90" s="91"/>
      <c r="IVK90" s="91"/>
      <c r="IVL90" s="91"/>
      <c r="IVM90" s="91"/>
      <c r="IVN90" s="91"/>
      <c r="IVO90" s="91"/>
      <c r="IVP90" s="91"/>
      <c r="IVQ90" s="91"/>
      <c r="IVR90" s="91"/>
      <c r="IVS90" s="91"/>
      <c r="IVT90" s="91"/>
      <c r="IVU90" s="91"/>
      <c r="IVV90" s="91"/>
      <c r="IVW90" s="91"/>
      <c r="IVX90" s="91"/>
      <c r="IVY90" s="91"/>
      <c r="IVZ90" s="91"/>
      <c r="IWA90" s="91"/>
      <c r="IWB90" s="91"/>
      <c r="IWC90" s="91"/>
      <c r="IWD90" s="91"/>
      <c r="IWE90" s="91"/>
      <c r="IWF90" s="91"/>
      <c r="IWG90" s="91"/>
      <c r="IWH90" s="91"/>
      <c r="IWI90" s="91"/>
      <c r="IWJ90" s="91"/>
      <c r="IWK90" s="91"/>
      <c r="IWL90" s="91"/>
      <c r="IWM90" s="91"/>
      <c r="IWN90" s="91"/>
      <c r="IWO90" s="91"/>
      <c r="IWP90" s="91"/>
      <c r="IWQ90" s="91"/>
      <c r="IWR90" s="91"/>
      <c r="IWS90" s="91"/>
      <c r="IWT90" s="91"/>
      <c r="IWU90" s="91"/>
      <c r="IWV90" s="91"/>
      <c r="IWW90" s="91"/>
      <c r="IWX90" s="91"/>
      <c r="IWY90" s="91"/>
      <c r="IWZ90" s="91"/>
      <c r="IXA90" s="91"/>
      <c r="IXB90" s="91"/>
      <c r="IXC90" s="91"/>
      <c r="IXD90" s="91"/>
      <c r="IXE90" s="91"/>
      <c r="IXF90" s="91"/>
      <c r="IXG90" s="91"/>
      <c r="IXH90" s="91"/>
      <c r="IXI90" s="91"/>
      <c r="IXJ90" s="91"/>
      <c r="IXK90" s="91"/>
      <c r="IXL90" s="91"/>
      <c r="IXM90" s="91"/>
      <c r="IXN90" s="91"/>
      <c r="IXO90" s="91"/>
      <c r="IXP90" s="91"/>
      <c r="IXQ90" s="91"/>
      <c r="IXR90" s="91"/>
      <c r="IXS90" s="91"/>
      <c r="IXT90" s="91"/>
      <c r="IXU90" s="91"/>
      <c r="IXV90" s="91"/>
      <c r="IXW90" s="91"/>
      <c r="IXX90" s="91"/>
      <c r="IXY90" s="91"/>
      <c r="IXZ90" s="91"/>
      <c r="IYA90" s="91"/>
      <c r="IYB90" s="91"/>
      <c r="IYC90" s="91"/>
      <c r="IYD90" s="91"/>
      <c r="IYE90" s="91"/>
      <c r="IYF90" s="91"/>
      <c r="IYG90" s="91"/>
      <c r="IYH90" s="91"/>
      <c r="IYI90" s="91"/>
      <c r="IYJ90" s="91"/>
      <c r="IYK90" s="91"/>
      <c r="IYL90" s="91"/>
      <c r="IYM90" s="91"/>
      <c r="IYN90" s="91"/>
      <c r="IYO90" s="91"/>
      <c r="IYP90" s="91"/>
      <c r="IYQ90" s="91"/>
      <c r="IYR90" s="91"/>
      <c r="IYS90" s="91"/>
      <c r="IYT90" s="91"/>
      <c r="IYU90" s="91"/>
      <c r="IYV90" s="91"/>
      <c r="IYW90" s="91"/>
      <c r="IYX90" s="91"/>
      <c r="IYY90" s="91"/>
      <c r="IYZ90" s="91"/>
      <c r="IZA90" s="91"/>
      <c r="IZB90" s="91"/>
      <c r="IZC90" s="91"/>
      <c r="IZD90" s="91"/>
      <c r="IZE90" s="91"/>
      <c r="IZF90" s="91"/>
      <c r="IZG90" s="91"/>
      <c r="IZH90" s="91"/>
      <c r="IZI90" s="91"/>
      <c r="IZJ90" s="91"/>
      <c r="IZK90" s="91"/>
      <c r="IZL90" s="91"/>
      <c r="IZM90" s="91"/>
      <c r="IZN90" s="91"/>
      <c r="IZO90" s="91"/>
      <c r="IZP90" s="91"/>
      <c r="IZQ90" s="91"/>
      <c r="IZR90" s="91"/>
      <c r="IZS90" s="91"/>
      <c r="IZT90" s="91"/>
      <c r="IZU90" s="91"/>
      <c r="IZV90" s="91"/>
      <c r="IZW90" s="91"/>
      <c r="IZX90" s="91"/>
      <c r="IZY90" s="91"/>
      <c r="IZZ90" s="91"/>
      <c r="JAA90" s="91"/>
      <c r="JAB90" s="91"/>
      <c r="JAC90" s="91"/>
      <c r="JAD90" s="91"/>
      <c r="JAE90" s="91"/>
      <c r="JAF90" s="91"/>
      <c r="JAG90" s="91"/>
      <c r="JAH90" s="91"/>
      <c r="JAI90" s="91"/>
      <c r="JAJ90" s="91"/>
      <c r="JAK90" s="91"/>
      <c r="JAL90" s="91"/>
      <c r="JAM90" s="91"/>
      <c r="JAN90" s="91"/>
      <c r="JAO90" s="91"/>
      <c r="JAP90" s="91"/>
      <c r="JAQ90" s="91"/>
      <c r="JAR90" s="91"/>
      <c r="JAS90" s="91"/>
      <c r="JAT90" s="91"/>
      <c r="JAU90" s="91"/>
      <c r="JAV90" s="91"/>
      <c r="JAW90" s="91"/>
      <c r="JAX90" s="91"/>
      <c r="JAY90" s="91"/>
      <c r="JAZ90" s="91"/>
      <c r="JBA90" s="91"/>
      <c r="JBB90" s="91"/>
      <c r="JBC90" s="91"/>
      <c r="JBD90" s="91"/>
      <c r="JBE90" s="91"/>
      <c r="JBF90" s="91"/>
      <c r="JBG90" s="91"/>
      <c r="JBH90" s="91"/>
      <c r="JBI90" s="91"/>
      <c r="JBJ90" s="91"/>
      <c r="JBK90" s="91"/>
      <c r="JBL90" s="91"/>
      <c r="JBM90" s="91"/>
      <c r="JBN90" s="91"/>
      <c r="JBO90" s="91"/>
      <c r="JBP90" s="91"/>
      <c r="JBQ90" s="91"/>
      <c r="JBR90" s="91"/>
      <c r="JBS90" s="91"/>
      <c r="JBT90" s="91"/>
      <c r="JBU90" s="91"/>
      <c r="JBV90" s="91"/>
      <c r="JBW90" s="91"/>
      <c r="JBX90" s="91"/>
      <c r="JBY90" s="91"/>
      <c r="JBZ90" s="91"/>
      <c r="JCA90" s="91"/>
      <c r="JCB90" s="91"/>
      <c r="JCC90" s="91"/>
      <c r="JCD90" s="91"/>
      <c r="JCE90" s="91"/>
      <c r="JCF90" s="91"/>
      <c r="JCG90" s="91"/>
      <c r="JCH90" s="91"/>
      <c r="JCI90" s="91"/>
      <c r="JCJ90" s="91"/>
      <c r="JCK90" s="91"/>
      <c r="JCL90" s="91"/>
      <c r="JCM90" s="91"/>
      <c r="JCN90" s="91"/>
      <c r="JCO90" s="91"/>
      <c r="JCP90" s="91"/>
      <c r="JCQ90" s="91"/>
      <c r="JCR90" s="91"/>
      <c r="JCS90" s="91"/>
      <c r="JCT90" s="91"/>
      <c r="JCU90" s="91"/>
      <c r="JCV90" s="91"/>
      <c r="JCW90" s="91"/>
      <c r="JCX90" s="91"/>
      <c r="JCY90" s="91"/>
      <c r="JCZ90" s="91"/>
      <c r="JDA90" s="91"/>
      <c r="JDB90" s="91"/>
      <c r="JDC90" s="91"/>
      <c r="JDD90" s="91"/>
      <c r="JDE90" s="91"/>
      <c r="JDF90" s="91"/>
      <c r="JDG90" s="91"/>
      <c r="JDH90" s="91"/>
      <c r="JDI90" s="91"/>
      <c r="JDJ90" s="91"/>
      <c r="JDK90" s="91"/>
      <c r="JDL90" s="91"/>
      <c r="JDM90" s="91"/>
      <c r="JDN90" s="91"/>
      <c r="JDO90" s="91"/>
      <c r="JDP90" s="91"/>
      <c r="JDQ90" s="91"/>
      <c r="JDR90" s="91"/>
      <c r="JDS90" s="91"/>
      <c r="JDT90" s="91"/>
      <c r="JDU90" s="91"/>
      <c r="JDV90" s="91"/>
      <c r="JDW90" s="91"/>
      <c r="JDX90" s="91"/>
      <c r="JDY90" s="91"/>
      <c r="JDZ90" s="91"/>
      <c r="JEA90" s="91"/>
      <c r="JEB90" s="91"/>
      <c r="JEC90" s="91"/>
      <c r="JED90" s="91"/>
      <c r="JEE90" s="91"/>
      <c r="JEF90" s="91"/>
      <c r="JEG90" s="91"/>
      <c r="JEH90" s="91"/>
      <c r="JEI90" s="91"/>
      <c r="JEJ90" s="91"/>
      <c r="JEK90" s="91"/>
      <c r="JEL90" s="91"/>
      <c r="JEM90" s="91"/>
      <c r="JEN90" s="91"/>
      <c r="JEO90" s="91"/>
      <c r="JEP90" s="91"/>
      <c r="JEQ90" s="91"/>
      <c r="JER90" s="91"/>
      <c r="JES90" s="91"/>
      <c r="JET90" s="91"/>
      <c r="JEU90" s="91"/>
      <c r="JEV90" s="91"/>
      <c r="JEW90" s="91"/>
      <c r="JEX90" s="91"/>
      <c r="JEY90" s="91"/>
      <c r="JEZ90" s="91"/>
      <c r="JFA90" s="91"/>
      <c r="JFB90" s="91"/>
      <c r="JFC90" s="91"/>
      <c r="JFD90" s="91"/>
      <c r="JFE90" s="91"/>
      <c r="JFF90" s="91"/>
      <c r="JFG90" s="91"/>
      <c r="JFH90" s="91"/>
      <c r="JFI90" s="91"/>
      <c r="JFJ90" s="91"/>
      <c r="JFK90" s="91"/>
      <c r="JFL90" s="91"/>
      <c r="JFM90" s="91"/>
      <c r="JFN90" s="91"/>
      <c r="JFO90" s="91"/>
      <c r="JFP90" s="91"/>
      <c r="JFQ90" s="91"/>
      <c r="JFR90" s="91"/>
      <c r="JFS90" s="91"/>
      <c r="JFT90" s="91"/>
      <c r="JFU90" s="91"/>
      <c r="JFV90" s="91"/>
      <c r="JFW90" s="91"/>
      <c r="JFX90" s="91"/>
      <c r="JFY90" s="91"/>
      <c r="JFZ90" s="91"/>
      <c r="JGA90" s="91"/>
      <c r="JGB90" s="91"/>
      <c r="JGC90" s="91"/>
      <c r="JGD90" s="91"/>
      <c r="JGE90" s="91"/>
      <c r="JGF90" s="91"/>
      <c r="JGG90" s="91"/>
      <c r="JGH90" s="91"/>
      <c r="JGI90" s="91"/>
      <c r="JGJ90" s="91"/>
      <c r="JGK90" s="91"/>
      <c r="JGL90" s="91"/>
      <c r="JGM90" s="91"/>
      <c r="JGN90" s="91"/>
      <c r="JGO90" s="91"/>
      <c r="JGP90" s="91"/>
      <c r="JGQ90" s="91"/>
      <c r="JGR90" s="91"/>
      <c r="JGS90" s="91"/>
      <c r="JGT90" s="91"/>
      <c r="JGU90" s="91"/>
      <c r="JGV90" s="91"/>
      <c r="JGW90" s="91"/>
      <c r="JGX90" s="91"/>
      <c r="JGY90" s="91"/>
      <c r="JGZ90" s="91"/>
      <c r="JHA90" s="91"/>
      <c r="JHB90" s="91"/>
      <c r="JHC90" s="91"/>
      <c r="JHD90" s="91"/>
      <c r="JHE90" s="91"/>
      <c r="JHF90" s="91"/>
      <c r="JHG90" s="91"/>
      <c r="JHH90" s="91"/>
      <c r="JHI90" s="91"/>
      <c r="JHJ90" s="91"/>
      <c r="JHK90" s="91"/>
      <c r="JHL90" s="91"/>
      <c r="JHM90" s="91"/>
      <c r="JHN90" s="91"/>
      <c r="JHO90" s="91"/>
      <c r="JHP90" s="91"/>
      <c r="JHQ90" s="91"/>
      <c r="JHR90" s="91"/>
      <c r="JHS90" s="91"/>
      <c r="JHT90" s="91"/>
      <c r="JHU90" s="91"/>
      <c r="JHV90" s="91"/>
      <c r="JHW90" s="91"/>
      <c r="JHX90" s="91"/>
      <c r="JHY90" s="91"/>
      <c r="JHZ90" s="91"/>
      <c r="JIA90" s="91"/>
      <c r="JIB90" s="91"/>
      <c r="JIC90" s="91"/>
      <c r="JID90" s="91"/>
      <c r="JIE90" s="91"/>
      <c r="JIF90" s="91"/>
      <c r="JIG90" s="91"/>
      <c r="JIH90" s="91"/>
      <c r="JII90" s="91"/>
      <c r="JIJ90" s="91"/>
      <c r="JIK90" s="91"/>
      <c r="JIL90" s="91"/>
      <c r="JIM90" s="91"/>
      <c r="JIN90" s="91"/>
      <c r="JIO90" s="91"/>
      <c r="JIP90" s="91"/>
      <c r="JIQ90" s="91"/>
      <c r="JIR90" s="91"/>
      <c r="JIS90" s="91"/>
      <c r="JIT90" s="91"/>
      <c r="JIU90" s="91"/>
      <c r="JIV90" s="91"/>
      <c r="JIW90" s="91"/>
      <c r="JIX90" s="91"/>
      <c r="JIY90" s="91"/>
      <c r="JIZ90" s="91"/>
      <c r="JJA90" s="91"/>
      <c r="JJB90" s="91"/>
      <c r="JJC90" s="91"/>
      <c r="JJD90" s="91"/>
      <c r="JJE90" s="91"/>
      <c r="JJF90" s="91"/>
      <c r="JJG90" s="91"/>
      <c r="JJH90" s="91"/>
      <c r="JJI90" s="91"/>
      <c r="JJJ90" s="91"/>
      <c r="JJK90" s="91"/>
      <c r="JJL90" s="91"/>
      <c r="JJM90" s="91"/>
      <c r="JJN90" s="91"/>
      <c r="JJO90" s="91"/>
      <c r="JJP90" s="91"/>
      <c r="JJQ90" s="91"/>
      <c r="JJR90" s="91"/>
      <c r="JJS90" s="91"/>
      <c r="JJT90" s="91"/>
      <c r="JJU90" s="91"/>
      <c r="JJV90" s="91"/>
      <c r="JJW90" s="91"/>
      <c r="JJX90" s="91"/>
      <c r="JJY90" s="91"/>
      <c r="JJZ90" s="91"/>
      <c r="JKA90" s="91"/>
      <c r="JKB90" s="91"/>
      <c r="JKC90" s="91"/>
      <c r="JKD90" s="91"/>
      <c r="JKE90" s="91"/>
      <c r="JKF90" s="91"/>
      <c r="JKG90" s="91"/>
      <c r="JKH90" s="91"/>
      <c r="JKI90" s="91"/>
      <c r="JKJ90" s="91"/>
      <c r="JKK90" s="91"/>
      <c r="JKL90" s="91"/>
      <c r="JKM90" s="91"/>
      <c r="JKN90" s="91"/>
      <c r="JKO90" s="91"/>
      <c r="JKP90" s="91"/>
      <c r="JKQ90" s="91"/>
      <c r="JKR90" s="91"/>
      <c r="JKS90" s="91"/>
      <c r="JKT90" s="91"/>
      <c r="JKU90" s="91"/>
      <c r="JKV90" s="91"/>
      <c r="JKW90" s="91"/>
      <c r="JKX90" s="91"/>
      <c r="JKY90" s="91"/>
      <c r="JKZ90" s="91"/>
      <c r="JLA90" s="91"/>
      <c r="JLB90" s="91"/>
      <c r="JLC90" s="91"/>
      <c r="JLD90" s="91"/>
      <c r="JLE90" s="91"/>
      <c r="JLF90" s="91"/>
      <c r="JLG90" s="91"/>
      <c r="JLH90" s="91"/>
      <c r="JLI90" s="91"/>
      <c r="JLJ90" s="91"/>
      <c r="JLK90" s="91"/>
      <c r="JLL90" s="91"/>
      <c r="JLM90" s="91"/>
      <c r="JLN90" s="91"/>
      <c r="JLO90" s="91"/>
      <c r="JLP90" s="91"/>
      <c r="JLQ90" s="91"/>
      <c r="JLR90" s="91"/>
      <c r="JLS90" s="91"/>
      <c r="JLT90" s="91"/>
      <c r="JLU90" s="91"/>
      <c r="JLV90" s="91"/>
      <c r="JLW90" s="91"/>
      <c r="JLX90" s="91"/>
      <c r="JLY90" s="91"/>
      <c r="JLZ90" s="91"/>
      <c r="JMA90" s="91"/>
      <c r="JMB90" s="91"/>
      <c r="JMC90" s="91"/>
      <c r="JMD90" s="91"/>
      <c r="JME90" s="91"/>
      <c r="JMF90" s="91"/>
      <c r="JMG90" s="91"/>
      <c r="JMH90" s="91"/>
      <c r="JMI90" s="91"/>
      <c r="JMJ90" s="91"/>
      <c r="JMK90" s="91"/>
      <c r="JML90" s="91"/>
      <c r="JMM90" s="91"/>
      <c r="JMN90" s="91"/>
      <c r="JMO90" s="91"/>
      <c r="JMP90" s="91"/>
      <c r="JMQ90" s="91"/>
      <c r="JMR90" s="91"/>
      <c r="JMS90" s="91"/>
      <c r="JMT90" s="91"/>
      <c r="JMU90" s="91"/>
      <c r="JMV90" s="91"/>
      <c r="JMW90" s="91"/>
      <c r="JMX90" s="91"/>
      <c r="JMY90" s="91"/>
      <c r="JMZ90" s="91"/>
      <c r="JNA90" s="91"/>
      <c r="JNB90" s="91"/>
      <c r="JNC90" s="91"/>
      <c r="JND90" s="91"/>
      <c r="JNE90" s="91"/>
      <c r="JNF90" s="91"/>
      <c r="JNG90" s="91"/>
      <c r="JNH90" s="91"/>
      <c r="JNI90" s="91"/>
      <c r="JNJ90" s="91"/>
      <c r="JNK90" s="91"/>
      <c r="JNL90" s="91"/>
      <c r="JNM90" s="91"/>
      <c r="JNN90" s="91"/>
      <c r="JNO90" s="91"/>
      <c r="JNP90" s="91"/>
      <c r="JNQ90" s="91"/>
      <c r="JNR90" s="91"/>
      <c r="JNS90" s="91"/>
      <c r="JNT90" s="91"/>
      <c r="JNU90" s="91"/>
      <c r="JNV90" s="91"/>
      <c r="JNW90" s="91"/>
      <c r="JNX90" s="91"/>
      <c r="JNY90" s="91"/>
      <c r="JNZ90" s="91"/>
      <c r="JOA90" s="91"/>
      <c r="JOB90" s="91"/>
      <c r="JOC90" s="91"/>
      <c r="JOD90" s="91"/>
      <c r="JOE90" s="91"/>
      <c r="JOF90" s="91"/>
      <c r="JOG90" s="91"/>
      <c r="JOH90" s="91"/>
      <c r="JOI90" s="91"/>
      <c r="JOJ90" s="91"/>
      <c r="JOK90" s="91"/>
      <c r="JOL90" s="91"/>
      <c r="JOM90" s="91"/>
      <c r="JON90" s="91"/>
      <c r="JOO90" s="91"/>
      <c r="JOP90" s="91"/>
      <c r="JOQ90" s="91"/>
      <c r="JOR90" s="91"/>
      <c r="JOS90" s="91"/>
      <c r="JOT90" s="91"/>
      <c r="JOU90" s="91"/>
      <c r="JOV90" s="91"/>
      <c r="JOW90" s="91"/>
      <c r="JOX90" s="91"/>
      <c r="JOY90" s="91"/>
      <c r="JOZ90" s="91"/>
      <c r="JPA90" s="91"/>
      <c r="JPB90" s="91"/>
      <c r="JPC90" s="91"/>
      <c r="JPD90" s="91"/>
      <c r="JPE90" s="91"/>
      <c r="JPF90" s="91"/>
      <c r="JPG90" s="91"/>
      <c r="JPH90" s="91"/>
      <c r="JPI90" s="91"/>
      <c r="JPJ90" s="91"/>
      <c r="JPK90" s="91"/>
      <c r="JPL90" s="91"/>
      <c r="JPM90" s="91"/>
      <c r="JPN90" s="91"/>
      <c r="JPO90" s="91"/>
      <c r="JPP90" s="91"/>
      <c r="JPQ90" s="91"/>
      <c r="JPR90" s="91"/>
      <c r="JPS90" s="91"/>
      <c r="JPT90" s="91"/>
      <c r="JPU90" s="91"/>
      <c r="JPV90" s="91"/>
      <c r="JPW90" s="91"/>
      <c r="JPX90" s="91"/>
      <c r="JPY90" s="91"/>
      <c r="JPZ90" s="91"/>
      <c r="JQA90" s="91"/>
      <c r="JQB90" s="91"/>
      <c r="JQC90" s="91"/>
      <c r="JQD90" s="91"/>
      <c r="JQE90" s="91"/>
      <c r="JQF90" s="91"/>
      <c r="JQG90" s="91"/>
      <c r="JQH90" s="91"/>
      <c r="JQI90" s="91"/>
      <c r="JQJ90" s="91"/>
      <c r="JQK90" s="91"/>
      <c r="JQL90" s="91"/>
      <c r="JQM90" s="91"/>
      <c r="JQN90" s="91"/>
      <c r="JQO90" s="91"/>
      <c r="JQP90" s="91"/>
      <c r="JQQ90" s="91"/>
      <c r="JQR90" s="91"/>
      <c r="JQS90" s="91"/>
      <c r="JQT90" s="91"/>
      <c r="JQU90" s="91"/>
      <c r="JQV90" s="91"/>
      <c r="JQW90" s="91"/>
      <c r="JQX90" s="91"/>
      <c r="JQY90" s="91"/>
      <c r="JQZ90" s="91"/>
      <c r="JRA90" s="91"/>
      <c r="JRB90" s="91"/>
      <c r="JRC90" s="91"/>
      <c r="JRD90" s="91"/>
      <c r="JRE90" s="91"/>
      <c r="JRF90" s="91"/>
      <c r="JRG90" s="91"/>
      <c r="JRH90" s="91"/>
      <c r="JRI90" s="91"/>
      <c r="JRJ90" s="91"/>
      <c r="JRK90" s="91"/>
      <c r="JRL90" s="91"/>
      <c r="JRM90" s="91"/>
      <c r="JRN90" s="91"/>
      <c r="JRO90" s="91"/>
      <c r="JRP90" s="91"/>
      <c r="JRQ90" s="91"/>
      <c r="JRR90" s="91"/>
      <c r="JRS90" s="91"/>
      <c r="JRT90" s="91"/>
      <c r="JRU90" s="91"/>
      <c r="JRV90" s="91"/>
      <c r="JRW90" s="91"/>
      <c r="JRX90" s="91"/>
      <c r="JRY90" s="91"/>
      <c r="JRZ90" s="91"/>
      <c r="JSA90" s="91"/>
      <c r="JSB90" s="91"/>
      <c r="JSC90" s="91"/>
      <c r="JSD90" s="91"/>
      <c r="JSE90" s="91"/>
      <c r="JSF90" s="91"/>
      <c r="JSG90" s="91"/>
      <c r="JSH90" s="91"/>
      <c r="JSI90" s="91"/>
      <c r="JSJ90" s="91"/>
      <c r="JSK90" s="91"/>
      <c r="JSL90" s="91"/>
      <c r="JSM90" s="91"/>
      <c r="JSN90" s="91"/>
      <c r="JSO90" s="91"/>
      <c r="JSP90" s="91"/>
      <c r="JSQ90" s="91"/>
      <c r="JSR90" s="91"/>
      <c r="JSS90" s="91"/>
      <c r="JST90" s="91"/>
      <c r="JSU90" s="91"/>
      <c r="JSV90" s="91"/>
      <c r="JSW90" s="91"/>
      <c r="JSX90" s="91"/>
      <c r="JSY90" s="91"/>
      <c r="JSZ90" s="91"/>
      <c r="JTA90" s="91"/>
      <c r="JTB90" s="91"/>
      <c r="JTC90" s="91"/>
      <c r="JTD90" s="91"/>
      <c r="JTE90" s="91"/>
      <c r="JTF90" s="91"/>
      <c r="JTG90" s="91"/>
      <c r="JTH90" s="91"/>
      <c r="JTI90" s="91"/>
      <c r="JTJ90" s="91"/>
      <c r="JTK90" s="91"/>
      <c r="JTL90" s="91"/>
      <c r="JTM90" s="91"/>
      <c r="JTN90" s="91"/>
      <c r="JTO90" s="91"/>
      <c r="JTP90" s="91"/>
      <c r="JTQ90" s="91"/>
      <c r="JTR90" s="91"/>
      <c r="JTS90" s="91"/>
      <c r="JTT90" s="91"/>
      <c r="JTU90" s="91"/>
      <c r="JTV90" s="91"/>
      <c r="JTW90" s="91"/>
      <c r="JTX90" s="91"/>
      <c r="JTY90" s="91"/>
      <c r="JTZ90" s="91"/>
      <c r="JUA90" s="91"/>
      <c r="JUB90" s="91"/>
      <c r="JUC90" s="91"/>
      <c r="JUD90" s="91"/>
      <c r="JUE90" s="91"/>
      <c r="JUF90" s="91"/>
      <c r="JUG90" s="91"/>
      <c r="JUH90" s="91"/>
      <c r="JUI90" s="91"/>
      <c r="JUJ90" s="91"/>
      <c r="JUK90" s="91"/>
      <c r="JUL90" s="91"/>
      <c r="JUM90" s="91"/>
      <c r="JUN90" s="91"/>
      <c r="JUO90" s="91"/>
      <c r="JUP90" s="91"/>
      <c r="JUQ90" s="91"/>
      <c r="JUR90" s="91"/>
      <c r="JUS90" s="91"/>
      <c r="JUT90" s="91"/>
      <c r="JUU90" s="91"/>
      <c r="JUV90" s="91"/>
      <c r="JUW90" s="91"/>
      <c r="JUX90" s="91"/>
      <c r="JUY90" s="91"/>
      <c r="JUZ90" s="91"/>
      <c r="JVA90" s="91"/>
      <c r="JVB90" s="91"/>
      <c r="JVC90" s="91"/>
      <c r="JVD90" s="91"/>
      <c r="JVE90" s="91"/>
      <c r="JVF90" s="91"/>
      <c r="JVG90" s="91"/>
      <c r="JVH90" s="91"/>
      <c r="JVI90" s="91"/>
      <c r="JVJ90" s="91"/>
      <c r="JVK90" s="91"/>
      <c r="JVL90" s="91"/>
      <c r="JVM90" s="91"/>
      <c r="JVN90" s="91"/>
      <c r="JVO90" s="91"/>
      <c r="JVP90" s="91"/>
      <c r="JVQ90" s="91"/>
      <c r="JVR90" s="91"/>
      <c r="JVS90" s="91"/>
      <c r="JVT90" s="91"/>
      <c r="JVU90" s="91"/>
      <c r="JVV90" s="91"/>
      <c r="JVW90" s="91"/>
      <c r="JVX90" s="91"/>
      <c r="JVY90" s="91"/>
      <c r="JVZ90" s="91"/>
      <c r="JWA90" s="91"/>
      <c r="JWB90" s="91"/>
      <c r="JWC90" s="91"/>
      <c r="JWD90" s="91"/>
      <c r="JWE90" s="91"/>
      <c r="JWF90" s="91"/>
      <c r="JWG90" s="91"/>
      <c r="JWH90" s="91"/>
      <c r="JWI90" s="91"/>
      <c r="JWJ90" s="91"/>
      <c r="JWK90" s="91"/>
      <c r="JWL90" s="91"/>
      <c r="JWM90" s="91"/>
      <c r="JWN90" s="91"/>
      <c r="JWO90" s="91"/>
      <c r="JWP90" s="91"/>
      <c r="JWQ90" s="91"/>
      <c r="JWR90" s="91"/>
      <c r="JWS90" s="91"/>
      <c r="JWT90" s="91"/>
      <c r="JWU90" s="91"/>
      <c r="JWV90" s="91"/>
      <c r="JWW90" s="91"/>
      <c r="JWX90" s="91"/>
      <c r="JWY90" s="91"/>
      <c r="JWZ90" s="91"/>
      <c r="JXA90" s="91"/>
      <c r="JXB90" s="91"/>
      <c r="JXC90" s="91"/>
      <c r="JXD90" s="91"/>
      <c r="JXE90" s="91"/>
      <c r="JXF90" s="91"/>
      <c r="JXG90" s="91"/>
      <c r="JXH90" s="91"/>
      <c r="JXI90" s="91"/>
      <c r="JXJ90" s="91"/>
      <c r="JXK90" s="91"/>
      <c r="JXL90" s="91"/>
      <c r="JXM90" s="91"/>
      <c r="JXN90" s="91"/>
      <c r="JXO90" s="91"/>
      <c r="JXP90" s="91"/>
      <c r="JXQ90" s="91"/>
      <c r="JXR90" s="91"/>
      <c r="JXS90" s="91"/>
      <c r="JXT90" s="91"/>
      <c r="JXU90" s="91"/>
      <c r="JXV90" s="91"/>
      <c r="JXW90" s="91"/>
      <c r="JXX90" s="91"/>
      <c r="JXY90" s="91"/>
      <c r="JXZ90" s="91"/>
      <c r="JYA90" s="91"/>
      <c r="JYB90" s="91"/>
      <c r="JYC90" s="91"/>
      <c r="JYD90" s="91"/>
      <c r="JYE90" s="91"/>
      <c r="JYF90" s="91"/>
      <c r="JYG90" s="91"/>
      <c r="JYH90" s="91"/>
      <c r="JYI90" s="91"/>
      <c r="JYJ90" s="91"/>
      <c r="JYK90" s="91"/>
      <c r="JYL90" s="91"/>
      <c r="JYM90" s="91"/>
      <c r="JYN90" s="91"/>
      <c r="JYO90" s="91"/>
      <c r="JYP90" s="91"/>
      <c r="JYQ90" s="91"/>
      <c r="JYR90" s="91"/>
      <c r="JYS90" s="91"/>
      <c r="JYT90" s="91"/>
      <c r="JYU90" s="91"/>
      <c r="JYV90" s="91"/>
      <c r="JYW90" s="91"/>
      <c r="JYX90" s="91"/>
      <c r="JYY90" s="91"/>
      <c r="JYZ90" s="91"/>
      <c r="JZA90" s="91"/>
      <c r="JZB90" s="91"/>
      <c r="JZC90" s="91"/>
      <c r="JZD90" s="91"/>
      <c r="JZE90" s="91"/>
      <c r="JZF90" s="91"/>
      <c r="JZG90" s="91"/>
      <c r="JZH90" s="91"/>
      <c r="JZI90" s="91"/>
      <c r="JZJ90" s="91"/>
      <c r="JZK90" s="91"/>
      <c r="JZL90" s="91"/>
      <c r="JZM90" s="91"/>
      <c r="JZN90" s="91"/>
      <c r="JZO90" s="91"/>
      <c r="JZP90" s="91"/>
      <c r="JZQ90" s="91"/>
      <c r="JZR90" s="91"/>
      <c r="JZS90" s="91"/>
      <c r="JZT90" s="91"/>
      <c r="JZU90" s="91"/>
      <c r="JZV90" s="91"/>
      <c r="JZW90" s="91"/>
      <c r="JZX90" s="91"/>
      <c r="JZY90" s="91"/>
      <c r="JZZ90" s="91"/>
      <c r="KAA90" s="91"/>
      <c r="KAB90" s="91"/>
      <c r="KAC90" s="91"/>
      <c r="KAD90" s="91"/>
      <c r="KAE90" s="91"/>
      <c r="KAF90" s="91"/>
      <c r="KAG90" s="91"/>
      <c r="KAH90" s="91"/>
      <c r="KAI90" s="91"/>
      <c r="KAJ90" s="91"/>
      <c r="KAK90" s="91"/>
      <c r="KAL90" s="91"/>
      <c r="KAM90" s="91"/>
      <c r="KAN90" s="91"/>
      <c r="KAO90" s="91"/>
      <c r="KAP90" s="91"/>
      <c r="KAQ90" s="91"/>
      <c r="KAR90" s="91"/>
      <c r="KAS90" s="91"/>
      <c r="KAT90" s="91"/>
      <c r="KAU90" s="91"/>
      <c r="KAV90" s="91"/>
      <c r="KAW90" s="91"/>
      <c r="KAX90" s="91"/>
      <c r="KAY90" s="91"/>
      <c r="KAZ90" s="91"/>
      <c r="KBA90" s="91"/>
      <c r="KBB90" s="91"/>
      <c r="KBC90" s="91"/>
      <c r="KBD90" s="91"/>
      <c r="KBE90" s="91"/>
      <c r="KBF90" s="91"/>
      <c r="KBG90" s="91"/>
      <c r="KBH90" s="91"/>
      <c r="KBI90" s="91"/>
      <c r="KBJ90" s="91"/>
      <c r="KBK90" s="91"/>
      <c r="KBL90" s="91"/>
      <c r="KBM90" s="91"/>
      <c r="KBN90" s="91"/>
      <c r="KBO90" s="91"/>
      <c r="KBP90" s="91"/>
      <c r="KBQ90" s="91"/>
      <c r="KBR90" s="91"/>
      <c r="KBS90" s="91"/>
      <c r="KBT90" s="91"/>
      <c r="KBU90" s="91"/>
      <c r="KBV90" s="91"/>
      <c r="KBW90" s="91"/>
      <c r="KBX90" s="91"/>
      <c r="KBY90" s="91"/>
      <c r="KBZ90" s="91"/>
      <c r="KCA90" s="91"/>
      <c r="KCB90" s="91"/>
      <c r="KCC90" s="91"/>
      <c r="KCD90" s="91"/>
      <c r="KCE90" s="91"/>
      <c r="KCF90" s="91"/>
      <c r="KCG90" s="91"/>
      <c r="KCH90" s="91"/>
      <c r="KCI90" s="91"/>
      <c r="KCJ90" s="91"/>
      <c r="KCK90" s="91"/>
      <c r="KCL90" s="91"/>
      <c r="KCM90" s="91"/>
      <c r="KCN90" s="91"/>
      <c r="KCO90" s="91"/>
      <c r="KCP90" s="91"/>
      <c r="KCQ90" s="91"/>
      <c r="KCR90" s="91"/>
      <c r="KCS90" s="91"/>
      <c r="KCT90" s="91"/>
      <c r="KCU90" s="91"/>
      <c r="KCV90" s="91"/>
      <c r="KCW90" s="91"/>
      <c r="KCX90" s="91"/>
      <c r="KCY90" s="91"/>
      <c r="KCZ90" s="91"/>
      <c r="KDA90" s="91"/>
      <c r="KDB90" s="91"/>
      <c r="KDC90" s="91"/>
      <c r="KDD90" s="91"/>
      <c r="KDE90" s="91"/>
      <c r="KDF90" s="91"/>
      <c r="KDG90" s="91"/>
      <c r="KDH90" s="91"/>
      <c r="KDI90" s="91"/>
      <c r="KDJ90" s="91"/>
      <c r="KDK90" s="91"/>
      <c r="KDL90" s="91"/>
      <c r="KDM90" s="91"/>
      <c r="KDN90" s="91"/>
      <c r="KDO90" s="91"/>
      <c r="KDP90" s="91"/>
      <c r="KDQ90" s="91"/>
      <c r="KDR90" s="91"/>
      <c r="KDS90" s="91"/>
      <c r="KDT90" s="91"/>
      <c r="KDU90" s="91"/>
      <c r="KDV90" s="91"/>
      <c r="KDW90" s="91"/>
      <c r="KDX90" s="91"/>
      <c r="KDY90" s="91"/>
      <c r="KDZ90" s="91"/>
      <c r="KEA90" s="91"/>
      <c r="KEB90" s="91"/>
      <c r="KEC90" s="91"/>
      <c r="KED90" s="91"/>
      <c r="KEE90" s="91"/>
      <c r="KEF90" s="91"/>
      <c r="KEG90" s="91"/>
      <c r="KEH90" s="91"/>
      <c r="KEI90" s="91"/>
      <c r="KEJ90" s="91"/>
      <c r="KEK90" s="91"/>
      <c r="KEL90" s="91"/>
      <c r="KEM90" s="91"/>
      <c r="KEN90" s="91"/>
      <c r="KEO90" s="91"/>
      <c r="KEP90" s="91"/>
      <c r="KEQ90" s="91"/>
      <c r="KER90" s="91"/>
      <c r="KES90" s="91"/>
      <c r="KET90" s="91"/>
      <c r="KEU90" s="91"/>
      <c r="KEV90" s="91"/>
      <c r="KEW90" s="91"/>
      <c r="KEX90" s="91"/>
      <c r="KEY90" s="91"/>
      <c r="KEZ90" s="91"/>
      <c r="KFA90" s="91"/>
      <c r="KFB90" s="91"/>
      <c r="KFC90" s="91"/>
      <c r="KFD90" s="91"/>
      <c r="KFE90" s="91"/>
      <c r="KFF90" s="91"/>
      <c r="KFG90" s="91"/>
      <c r="KFH90" s="91"/>
      <c r="KFI90" s="91"/>
      <c r="KFJ90" s="91"/>
      <c r="KFK90" s="91"/>
      <c r="KFL90" s="91"/>
      <c r="KFM90" s="91"/>
      <c r="KFN90" s="91"/>
      <c r="KFO90" s="91"/>
      <c r="KFP90" s="91"/>
      <c r="KFQ90" s="91"/>
      <c r="KFR90" s="91"/>
      <c r="KFS90" s="91"/>
      <c r="KFT90" s="91"/>
      <c r="KFU90" s="91"/>
      <c r="KFV90" s="91"/>
      <c r="KFW90" s="91"/>
      <c r="KFX90" s="91"/>
      <c r="KFY90" s="91"/>
      <c r="KFZ90" s="91"/>
      <c r="KGA90" s="91"/>
      <c r="KGB90" s="91"/>
      <c r="KGC90" s="91"/>
      <c r="KGD90" s="91"/>
      <c r="KGE90" s="91"/>
      <c r="KGF90" s="91"/>
      <c r="KGG90" s="91"/>
      <c r="KGH90" s="91"/>
      <c r="KGI90" s="91"/>
      <c r="KGJ90" s="91"/>
      <c r="KGK90" s="91"/>
      <c r="KGL90" s="91"/>
      <c r="KGM90" s="91"/>
      <c r="KGN90" s="91"/>
      <c r="KGO90" s="91"/>
      <c r="KGP90" s="91"/>
      <c r="KGQ90" s="91"/>
      <c r="KGR90" s="91"/>
      <c r="KGS90" s="91"/>
      <c r="KGT90" s="91"/>
      <c r="KGU90" s="91"/>
      <c r="KGV90" s="91"/>
      <c r="KGW90" s="91"/>
      <c r="KGX90" s="91"/>
      <c r="KGY90" s="91"/>
      <c r="KGZ90" s="91"/>
      <c r="KHA90" s="91"/>
      <c r="KHB90" s="91"/>
      <c r="KHC90" s="91"/>
      <c r="KHD90" s="91"/>
      <c r="KHE90" s="91"/>
      <c r="KHF90" s="91"/>
      <c r="KHG90" s="91"/>
      <c r="KHH90" s="91"/>
      <c r="KHI90" s="91"/>
      <c r="KHJ90" s="91"/>
      <c r="KHK90" s="91"/>
      <c r="KHL90" s="91"/>
      <c r="KHM90" s="91"/>
      <c r="KHN90" s="91"/>
      <c r="KHO90" s="91"/>
      <c r="KHP90" s="91"/>
      <c r="KHQ90" s="91"/>
      <c r="KHR90" s="91"/>
      <c r="KHS90" s="91"/>
      <c r="KHT90" s="91"/>
      <c r="KHU90" s="91"/>
      <c r="KHV90" s="91"/>
      <c r="KHW90" s="91"/>
      <c r="KHX90" s="91"/>
      <c r="KHY90" s="91"/>
      <c r="KHZ90" s="91"/>
      <c r="KIA90" s="91"/>
      <c r="KIB90" s="91"/>
      <c r="KIC90" s="91"/>
      <c r="KID90" s="91"/>
      <c r="KIE90" s="91"/>
      <c r="KIF90" s="91"/>
      <c r="KIG90" s="91"/>
      <c r="KIH90" s="91"/>
      <c r="KII90" s="91"/>
      <c r="KIJ90" s="91"/>
      <c r="KIK90" s="91"/>
      <c r="KIL90" s="91"/>
      <c r="KIM90" s="91"/>
      <c r="KIN90" s="91"/>
      <c r="KIO90" s="91"/>
      <c r="KIP90" s="91"/>
      <c r="KIQ90" s="91"/>
      <c r="KIR90" s="91"/>
      <c r="KIS90" s="91"/>
      <c r="KIT90" s="91"/>
      <c r="KIU90" s="91"/>
      <c r="KIV90" s="91"/>
      <c r="KIW90" s="91"/>
      <c r="KIX90" s="91"/>
      <c r="KIY90" s="91"/>
      <c r="KIZ90" s="91"/>
      <c r="KJA90" s="91"/>
      <c r="KJB90" s="91"/>
      <c r="KJC90" s="91"/>
      <c r="KJD90" s="91"/>
      <c r="KJE90" s="91"/>
      <c r="KJF90" s="91"/>
      <c r="KJG90" s="91"/>
      <c r="KJH90" s="91"/>
      <c r="KJI90" s="91"/>
      <c r="KJJ90" s="91"/>
      <c r="KJK90" s="91"/>
      <c r="KJL90" s="91"/>
      <c r="KJM90" s="91"/>
      <c r="KJN90" s="91"/>
      <c r="KJO90" s="91"/>
      <c r="KJP90" s="91"/>
      <c r="KJQ90" s="91"/>
      <c r="KJR90" s="91"/>
      <c r="KJS90" s="91"/>
      <c r="KJT90" s="91"/>
      <c r="KJU90" s="91"/>
      <c r="KJV90" s="91"/>
      <c r="KJW90" s="91"/>
      <c r="KJX90" s="91"/>
      <c r="KJY90" s="91"/>
      <c r="KJZ90" s="91"/>
      <c r="KKA90" s="91"/>
      <c r="KKB90" s="91"/>
      <c r="KKC90" s="91"/>
      <c r="KKD90" s="91"/>
      <c r="KKE90" s="91"/>
      <c r="KKF90" s="91"/>
      <c r="KKG90" s="91"/>
      <c r="KKH90" s="91"/>
      <c r="KKI90" s="91"/>
      <c r="KKJ90" s="91"/>
      <c r="KKK90" s="91"/>
      <c r="KKL90" s="91"/>
      <c r="KKM90" s="91"/>
      <c r="KKN90" s="91"/>
      <c r="KKO90" s="91"/>
      <c r="KKP90" s="91"/>
      <c r="KKQ90" s="91"/>
      <c r="KKR90" s="91"/>
      <c r="KKS90" s="91"/>
      <c r="KKT90" s="91"/>
      <c r="KKU90" s="91"/>
      <c r="KKV90" s="91"/>
      <c r="KKW90" s="91"/>
      <c r="KKX90" s="91"/>
      <c r="KKY90" s="91"/>
      <c r="KKZ90" s="91"/>
      <c r="KLA90" s="91"/>
      <c r="KLB90" s="91"/>
      <c r="KLC90" s="91"/>
      <c r="KLD90" s="91"/>
      <c r="KLE90" s="91"/>
      <c r="KLF90" s="91"/>
      <c r="KLG90" s="91"/>
      <c r="KLH90" s="91"/>
      <c r="KLI90" s="91"/>
      <c r="KLJ90" s="91"/>
      <c r="KLK90" s="91"/>
      <c r="KLL90" s="91"/>
      <c r="KLM90" s="91"/>
      <c r="KLN90" s="91"/>
      <c r="KLO90" s="91"/>
      <c r="KLP90" s="91"/>
      <c r="KLQ90" s="91"/>
      <c r="KLR90" s="91"/>
      <c r="KLS90" s="91"/>
      <c r="KLT90" s="91"/>
      <c r="KLU90" s="91"/>
      <c r="KLV90" s="91"/>
      <c r="KLW90" s="91"/>
      <c r="KLX90" s="91"/>
      <c r="KLY90" s="91"/>
      <c r="KLZ90" s="91"/>
      <c r="KMA90" s="91"/>
      <c r="KMB90" s="91"/>
      <c r="KMC90" s="91"/>
      <c r="KMD90" s="91"/>
      <c r="KME90" s="91"/>
      <c r="KMF90" s="91"/>
      <c r="KMG90" s="91"/>
      <c r="KMH90" s="91"/>
      <c r="KMI90" s="91"/>
      <c r="KMJ90" s="91"/>
      <c r="KMK90" s="91"/>
      <c r="KML90" s="91"/>
      <c r="KMM90" s="91"/>
      <c r="KMN90" s="91"/>
      <c r="KMO90" s="91"/>
      <c r="KMP90" s="91"/>
      <c r="KMQ90" s="91"/>
      <c r="KMR90" s="91"/>
      <c r="KMS90" s="91"/>
      <c r="KMT90" s="91"/>
      <c r="KMU90" s="91"/>
      <c r="KMV90" s="91"/>
      <c r="KMW90" s="91"/>
      <c r="KMX90" s="91"/>
      <c r="KMY90" s="91"/>
      <c r="KMZ90" s="91"/>
      <c r="KNA90" s="91"/>
      <c r="KNB90" s="91"/>
      <c r="KNC90" s="91"/>
      <c r="KND90" s="91"/>
      <c r="KNE90" s="91"/>
      <c r="KNF90" s="91"/>
      <c r="KNG90" s="91"/>
      <c r="KNH90" s="91"/>
      <c r="KNI90" s="91"/>
      <c r="KNJ90" s="91"/>
      <c r="KNK90" s="91"/>
      <c r="KNL90" s="91"/>
      <c r="KNM90" s="91"/>
      <c r="KNN90" s="91"/>
      <c r="KNO90" s="91"/>
      <c r="KNP90" s="91"/>
      <c r="KNQ90" s="91"/>
      <c r="KNR90" s="91"/>
      <c r="KNS90" s="91"/>
      <c r="KNT90" s="91"/>
      <c r="KNU90" s="91"/>
      <c r="KNV90" s="91"/>
      <c r="KNW90" s="91"/>
      <c r="KNX90" s="91"/>
      <c r="KNY90" s="91"/>
      <c r="KNZ90" s="91"/>
      <c r="KOA90" s="91"/>
      <c r="KOB90" s="91"/>
      <c r="KOC90" s="91"/>
      <c r="KOD90" s="91"/>
      <c r="KOE90" s="91"/>
      <c r="KOF90" s="91"/>
      <c r="KOG90" s="91"/>
      <c r="KOH90" s="91"/>
      <c r="KOI90" s="91"/>
      <c r="KOJ90" s="91"/>
      <c r="KOK90" s="91"/>
      <c r="KOL90" s="91"/>
      <c r="KOM90" s="91"/>
      <c r="KON90" s="91"/>
      <c r="KOO90" s="91"/>
      <c r="KOP90" s="91"/>
      <c r="KOQ90" s="91"/>
      <c r="KOR90" s="91"/>
      <c r="KOS90" s="91"/>
      <c r="KOT90" s="91"/>
      <c r="KOU90" s="91"/>
      <c r="KOV90" s="91"/>
      <c r="KOW90" s="91"/>
      <c r="KOX90" s="91"/>
      <c r="KOY90" s="91"/>
      <c r="KOZ90" s="91"/>
      <c r="KPA90" s="91"/>
      <c r="KPB90" s="91"/>
      <c r="KPC90" s="91"/>
      <c r="KPD90" s="91"/>
      <c r="KPE90" s="91"/>
      <c r="KPF90" s="91"/>
      <c r="KPG90" s="91"/>
      <c r="KPH90" s="91"/>
      <c r="KPI90" s="91"/>
      <c r="KPJ90" s="91"/>
      <c r="KPK90" s="91"/>
      <c r="KPL90" s="91"/>
      <c r="KPM90" s="91"/>
      <c r="KPN90" s="91"/>
      <c r="KPO90" s="91"/>
      <c r="KPP90" s="91"/>
      <c r="KPQ90" s="91"/>
      <c r="KPR90" s="91"/>
      <c r="KPS90" s="91"/>
      <c r="KPT90" s="91"/>
      <c r="KPU90" s="91"/>
      <c r="KPV90" s="91"/>
      <c r="KPW90" s="91"/>
      <c r="KPX90" s="91"/>
      <c r="KPY90" s="91"/>
      <c r="KPZ90" s="91"/>
      <c r="KQA90" s="91"/>
      <c r="KQB90" s="91"/>
      <c r="KQC90" s="91"/>
      <c r="KQD90" s="91"/>
      <c r="KQE90" s="91"/>
      <c r="KQF90" s="91"/>
      <c r="KQG90" s="91"/>
      <c r="KQH90" s="91"/>
      <c r="KQI90" s="91"/>
      <c r="KQJ90" s="91"/>
      <c r="KQK90" s="91"/>
      <c r="KQL90" s="91"/>
      <c r="KQM90" s="91"/>
      <c r="KQN90" s="91"/>
      <c r="KQO90" s="91"/>
      <c r="KQP90" s="91"/>
      <c r="KQQ90" s="91"/>
      <c r="KQR90" s="91"/>
      <c r="KQS90" s="91"/>
      <c r="KQT90" s="91"/>
      <c r="KQU90" s="91"/>
      <c r="KQV90" s="91"/>
      <c r="KQW90" s="91"/>
      <c r="KQX90" s="91"/>
      <c r="KQY90" s="91"/>
      <c r="KQZ90" s="91"/>
      <c r="KRA90" s="91"/>
      <c r="KRB90" s="91"/>
      <c r="KRC90" s="91"/>
      <c r="KRD90" s="91"/>
      <c r="KRE90" s="91"/>
      <c r="KRF90" s="91"/>
      <c r="KRG90" s="91"/>
      <c r="KRH90" s="91"/>
      <c r="KRI90" s="91"/>
      <c r="KRJ90" s="91"/>
      <c r="KRK90" s="91"/>
      <c r="KRL90" s="91"/>
      <c r="KRM90" s="91"/>
      <c r="KRN90" s="91"/>
      <c r="KRO90" s="91"/>
      <c r="KRP90" s="91"/>
      <c r="KRQ90" s="91"/>
      <c r="KRR90" s="91"/>
      <c r="KRS90" s="91"/>
      <c r="KRT90" s="91"/>
      <c r="KRU90" s="91"/>
      <c r="KRV90" s="91"/>
      <c r="KRW90" s="91"/>
      <c r="KRX90" s="91"/>
      <c r="KRY90" s="91"/>
      <c r="KRZ90" s="91"/>
      <c r="KSA90" s="91"/>
      <c r="KSB90" s="91"/>
      <c r="KSC90" s="91"/>
      <c r="KSD90" s="91"/>
      <c r="KSE90" s="91"/>
      <c r="KSF90" s="91"/>
      <c r="KSG90" s="91"/>
      <c r="KSH90" s="91"/>
      <c r="KSI90" s="91"/>
      <c r="KSJ90" s="91"/>
      <c r="KSK90" s="91"/>
      <c r="KSL90" s="91"/>
      <c r="KSM90" s="91"/>
      <c r="KSN90" s="91"/>
      <c r="KSO90" s="91"/>
      <c r="KSP90" s="91"/>
      <c r="KSQ90" s="91"/>
      <c r="KSR90" s="91"/>
      <c r="KSS90" s="91"/>
      <c r="KST90" s="91"/>
      <c r="KSU90" s="91"/>
      <c r="KSV90" s="91"/>
      <c r="KSW90" s="91"/>
      <c r="KSX90" s="91"/>
      <c r="KSY90" s="91"/>
      <c r="KSZ90" s="91"/>
      <c r="KTA90" s="91"/>
      <c r="KTB90" s="91"/>
      <c r="KTC90" s="91"/>
      <c r="KTD90" s="91"/>
      <c r="KTE90" s="91"/>
      <c r="KTF90" s="91"/>
      <c r="KTG90" s="91"/>
      <c r="KTH90" s="91"/>
      <c r="KTI90" s="91"/>
      <c r="KTJ90" s="91"/>
      <c r="KTK90" s="91"/>
      <c r="KTL90" s="91"/>
      <c r="KTM90" s="91"/>
      <c r="KTN90" s="91"/>
      <c r="KTO90" s="91"/>
      <c r="KTP90" s="91"/>
      <c r="KTQ90" s="91"/>
      <c r="KTR90" s="91"/>
      <c r="KTS90" s="91"/>
      <c r="KTT90" s="91"/>
      <c r="KTU90" s="91"/>
      <c r="KTV90" s="91"/>
      <c r="KTW90" s="91"/>
      <c r="KTX90" s="91"/>
      <c r="KTY90" s="91"/>
      <c r="KTZ90" s="91"/>
      <c r="KUA90" s="91"/>
      <c r="KUB90" s="91"/>
      <c r="KUC90" s="91"/>
      <c r="KUD90" s="91"/>
      <c r="KUE90" s="91"/>
      <c r="KUF90" s="91"/>
      <c r="KUG90" s="91"/>
      <c r="KUH90" s="91"/>
      <c r="KUI90" s="91"/>
      <c r="KUJ90" s="91"/>
      <c r="KUK90" s="91"/>
      <c r="KUL90" s="91"/>
      <c r="KUM90" s="91"/>
      <c r="KUN90" s="91"/>
      <c r="KUO90" s="91"/>
      <c r="KUP90" s="91"/>
      <c r="KUQ90" s="91"/>
      <c r="KUR90" s="91"/>
      <c r="KUS90" s="91"/>
      <c r="KUT90" s="91"/>
      <c r="KUU90" s="91"/>
      <c r="KUV90" s="91"/>
      <c r="KUW90" s="91"/>
      <c r="KUX90" s="91"/>
      <c r="KUY90" s="91"/>
      <c r="KUZ90" s="91"/>
      <c r="KVA90" s="91"/>
      <c r="KVB90" s="91"/>
      <c r="KVC90" s="91"/>
      <c r="KVD90" s="91"/>
      <c r="KVE90" s="91"/>
      <c r="KVF90" s="91"/>
      <c r="KVG90" s="91"/>
      <c r="KVH90" s="91"/>
      <c r="KVI90" s="91"/>
      <c r="KVJ90" s="91"/>
      <c r="KVK90" s="91"/>
      <c r="KVL90" s="91"/>
      <c r="KVM90" s="91"/>
      <c r="KVN90" s="91"/>
      <c r="KVO90" s="91"/>
      <c r="KVP90" s="91"/>
      <c r="KVQ90" s="91"/>
      <c r="KVR90" s="91"/>
      <c r="KVS90" s="91"/>
      <c r="KVT90" s="91"/>
      <c r="KVU90" s="91"/>
      <c r="KVV90" s="91"/>
      <c r="KVW90" s="91"/>
      <c r="KVX90" s="91"/>
      <c r="KVY90" s="91"/>
      <c r="KVZ90" s="91"/>
      <c r="KWA90" s="91"/>
      <c r="KWB90" s="91"/>
      <c r="KWC90" s="91"/>
      <c r="KWD90" s="91"/>
      <c r="KWE90" s="91"/>
      <c r="KWF90" s="91"/>
      <c r="KWG90" s="91"/>
      <c r="KWH90" s="91"/>
      <c r="KWI90" s="91"/>
      <c r="KWJ90" s="91"/>
      <c r="KWK90" s="91"/>
      <c r="KWL90" s="91"/>
      <c r="KWM90" s="91"/>
      <c r="KWN90" s="91"/>
      <c r="KWO90" s="91"/>
      <c r="KWP90" s="91"/>
      <c r="KWQ90" s="91"/>
      <c r="KWR90" s="91"/>
      <c r="KWS90" s="91"/>
      <c r="KWT90" s="91"/>
      <c r="KWU90" s="91"/>
      <c r="KWV90" s="91"/>
      <c r="KWW90" s="91"/>
      <c r="KWX90" s="91"/>
      <c r="KWY90" s="91"/>
      <c r="KWZ90" s="91"/>
      <c r="KXA90" s="91"/>
      <c r="KXB90" s="91"/>
      <c r="KXC90" s="91"/>
      <c r="KXD90" s="91"/>
      <c r="KXE90" s="91"/>
      <c r="KXF90" s="91"/>
      <c r="KXG90" s="91"/>
      <c r="KXH90" s="91"/>
      <c r="KXI90" s="91"/>
      <c r="KXJ90" s="91"/>
      <c r="KXK90" s="91"/>
      <c r="KXL90" s="91"/>
      <c r="KXM90" s="91"/>
      <c r="KXN90" s="91"/>
      <c r="KXO90" s="91"/>
      <c r="KXP90" s="91"/>
      <c r="KXQ90" s="91"/>
      <c r="KXR90" s="91"/>
      <c r="KXS90" s="91"/>
      <c r="KXT90" s="91"/>
      <c r="KXU90" s="91"/>
      <c r="KXV90" s="91"/>
      <c r="KXW90" s="91"/>
      <c r="KXX90" s="91"/>
      <c r="KXY90" s="91"/>
      <c r="KXZ90" s="91"/>
      <c r="KYA90" s="91"/>
      <c r="KYB90" s="91"/>
      <c r="KYC90" s="91"/>
      <c r="KYD90" s="91"/>
      <c r="KYE90" s="91"/>
      <c r="KYF90" s="91"/>
      <c r="KYG90" s="91"/>
      <c r="KYH90" s="91"/>
      <c r="KYI90" s="91"/>
      <c r="KYJ90" s="91"/>
      <c r="KYK90" s="91"/>
      <c r="KYL90" s="91"/>
      <c r="KYM90" s="91"/>
      <c r="KYN90" s="91"/>
      <c r="KYO90" s="91"/>
      <c r="KYP90" s="91"/>
      <c r="KYQ90" s="91"/>
      <c r="KYR90" s="91"/>
      <c r="KYS90" s="91"/>
      <c r="KYT90" s="91"/>
      <c r="KYU90" s="91"/>
      <c r="KYV90" s="91"/>
      <c r="KYW90" s="91"/>
      <c r="KYX90" s="91"/>
      <c r="KYY90" s="91"/>
      <c r="KYZ90" s="91"/>
      <c r="KZA90" s="91"/>
      <c r="KZB90" s="91"/>
      <c r="KZC90" s="91"/>
      <c r="KZD90" s="91"/>
      <c r="KZE90" s="91"/>
      <c r="KZF90" s="91"/>
      <c r="KZG90" s="91"/>
      <c r="KZH90" s="91"/>
      <c r="KZI90" s="91"/>
      <c r="KZJ90" s="91"/>
      <c r="KZK90" s="91"/>
      <c r="KZL90" s="91"/>
      <c r="KZM90" s="91"/>
      <c r="KZN90" s="91"/>
      <c r="KZO90" s="91"/>
      <c r="KZP90" s="91"/>
      <c r="KZQ90" s="91"/>
      <c r="KZR90" s="91"/>
      <c r="KZS90" s="91"/>
      <c r="KZT90" s="91"/>
      <c r="KZU90" s="91"/>
      <c r="KZV90" s="91"/>
      <c r="KZW90" s="91"/>
      <c r="KZX90" s="91"/>
      <c r="KZY90" s="91"/>
      <c r="KZZ90" s="91"/>
      <c r="LAA90" s="91"/>
      <c r="LAB90" s="91"/>
      <c r="LAC90" s="91"/>
      <c r="LAD90" s="91"/>
      <c r="LAE90" s="91"/>
      <c r="LAF90" s="91"/>
      <c r="LAG90" s="91"/>
      <c r="LAH90" s="91"/>
      <c r="LAI90" s="91"/>
      <c r="LAJ90" s="91"/>
      <c r="LAK90" s="91"/>
      <c r="LAL90" s="91"/>
      <c r="LAM90" s="91"/>
      <c r="LAN90" s="91"/>
      <c r="LAO90" s="91"/>
      <c r="LAP90" s="91"/>
      <c r="LAQ90" s="91"/>
      <c r="LAR90" s="91"/>
      <c r="LAS90" s="91"/>
      <c r="LAT90" s="91"/>
      <c r="LAU90" s="91"/>
      <c r="LAV90" s="91"/>
      <c r="LAW90" s="91"/>
      <c r="LAX90" s="91"/>
      <c r="LAY90" s="91"/>
      <c r="LAZ90" s="91"/>
      <c r="LBA90" s="91"/>
      <c r="LBB90" s="91"/>
      <c r="LBC90" s="91"/>
      <c r="LBD90" s="91"/>
      <c r="LBE90" s="91"/>
      <c r="LBF90" s="91"/>
      <c r="LBG90" s="91"/>
      <c r="LBH90" s="91"/>
      <c r="LBI90" s="91"/>
      <c r="LBJ90" s="91"/>
      <c r="LBK90" s="91"/>
      <c r="LBL90" s="91"/>
      <c r="LBM90" s="91"/>
      <c r="LBN90" s="91"/>
      <c r="LBO90" s="91"/>
      <c r="LBP90" s="91"/>
      <c r="LBQ90" s="91"/>
      <c r="LBR90" s="91"/>
      <c r="LBS90" s="91"/>
      <c r="LBT90" s="91"/>
      <c r="LBU90" s="91"/>
      <c r="LBV90" s="91"/>
      <c r="LBW90" s="91"/>
      <c r="LBX90" s="91"/>
      <c r="LBY90" s="91"/>
      <c r="LBZ90" s="91"/>
      <c r="LCA90" s="91"/>
      <c r="LCB90" s="91"/>
      <c r="LCC90" s="91"/>
      <c r="LCD90" s="91"/>
      <c r="LCE90" s="91"/>
      <c r="LCF90" s="91"/>
      <c r="LCG90" s="91"/>
      <c r="LCH90" s="91"/>
      <c r="LCI90" s="91"/>
      <c r="LCJ90" s="91"/>
      <c r="LCK90" s="91"/>
      <c r="LCL90" s="91"/>
      <c r="LCM90" s="91"/>
      <c r="LCN90" s="91"/>
      <c r="LCO90" s="91"/>
      <c r="LCP90" s="91"/>
      <c r="LCQ90" s="91"/>
      <c r="LCR90" s="91"/>
      <c r="LCS90" s="91"/>
      <c r="LCT90" s="91"/>
      <c r="LCU90" s="91"/>
      <c r="LCV90" s="91"/>
      <c r="LCW90" s="91"/>
      <c r="LCX90" s="91"/>
      <c r="LCY90" s="91"/>
      <c r="LCZ90" s="91"/>
      <c r="LDA90" s="91"/>
      <c r="LDB90" s="91"/>
      <c r="LDC90" s="91"/>
      <c r="LDD90" s="91"/>
      <c r="LDE90" s="91"/>
      <c r="LDF90" s="91"/>
      <c r="LDG90" s="91"/>
      <c r="LDH90" s="91"/>
      <c r="LDI90" s="91"/>
      <c r="LDJ90" s="91"/>
      <c r="LDK90" s="91"/>
      <c r="LDL90" s="91"/>
      <c r="LDM90" s="91"/>
      <c r="LDN90" s="91"/>
      <c r="LDO90" s="91"/>
      <c r="LDP90" s="91"/>
      <c r="LDQ90" s="91"/>
      <c r="LDR90" s="91"/>
      <c r="LDS90" s="91"/>
      <c r="LDT90" s="91"/>
      <c r="LDU90" s="91"/>
      <c r="LDV90" s="91"/>
      <c r="LDW90" s="91"/>
      <c r="LDX90" s="91"/>
      <c r="LDY90" s="91"/>
      <c r="LDZ90" s="91"/>
      <c r="LEA90" s="91"/>
      <c r="LEB90" s="91"/>
      <c r="LEC90" s="91"/>
      <c r="LED90" s="91"/>
      <c r="LEE90" s="91"/>
      <c r="LEF90" s="91"/>
      <c r="LEG90" s="91"/>
      <c r="LEH90" s="91"/>
      <c r="LEI90" s="91"/>
      <c r="LEJ90" s="91"/>
      <c r="LEK90" s="91"/>
      <c r="LEL90" s="91"/>
      <c r="LEM90" s="91"/>
      <c r="LEN90" s="91"/>
      <c r="LEO90" s="91"/>
      <c r="LEP90" s="91"/>
      <c r="LEQ90" s="91"/>
      <c r="LER90" s="91"/>
      <c r="LES90" s="91"/>
      <c r="LET90" s="91"/>
      <c r="LEU90" s="91"/>
      <c r="LEV90" s="91"/>
      <c r="LEW90" s="91"/>
      <c r="LEX90" s="91"/>
      <c r="LEY90" s="91"/>
      <c r="LEZ90" s="91"/>
      <c r="LFA90" s="91"/>
      <c r="LFB90" s="91"/>
      <c r="LFC90" s="91"/>
      <c r="LFD90" s="91"/>
      <c r="LFE90" s="91"/>
      <c r="LFF90" s="91"/>
      <c r="LFG90" s="91"/>
      <c r="LFH90" s="91"/>
      <c r="LFI90" s="91"/>
      <c r="LFJ90" s="91"/>
      <c r="LFK90" s="91"/>
      <c r="LFL90" s="91"/>
      <c r="LFM90" s="91"/>
      <c r="LFN90" s="91"/>
      <c r="LFO90" s="91"/>
      <c r="LFP90" s="91"/>
      <c r="LFQ90" s="91"/>
      <c r="LFR90" s="91"/>
      <c r="LFS90" s="91"/>
      <c r="LFT90" s="91"/>
      <c r="LFU90" s="91"/>
      <c r="LFV90" s="91"/>
      <c r="LFW90" s="91"/>
      <c r="LFX90" s="91"/>
      <c r="LFY90" s="91"/>
      <c r="LFZ90" s="91"/>
      <c r="LGA90" s="91"/>
      <c r="LGB90" s="91"/>
      <c r="LGC90" s="91"/>
      <c r="LGD90" s="91"/>
      <c r="LGE90" s="91"/>
      <c r="LGF90" s="91"/>
      <c r="LGG90" s="91"/>
      <c r="LGH90" s="91"/>
      <c r="LGI90" s="91"/>
      <c r="LGJ90" s="91"/>
      <c r="LGK90" s="91"/>
      <c r="LGL90" s="91"/>
      <c r="LGM90" s="91"/>
      <c r="LGN90" s="91"/>
      <c r="LGO90" s="91"/>
      <c r="LGP90" s="91"/>
      <c r="LGQ90" s="91"/>
      <c r="LGR90" s="91"/>
      <c r="LGS90" s="91"/>
      <c r="LGT90" s="91"/>
      <c r="LGU90" s="91"/>
      <c r="LGV90" s="91"/>
      <c r="LGW90" s="91"/>
      <c r="LGX90" s="91"/>
      <c r="LGY90" s="91"/>
      <c r="LGZ90" s="91"/>
      <c r="LHA90" s="91"/>
      <c r="LHB90" s="91"/>
      <c r="LHC90" s="91"/>
      <c r="LHD90" s="91"/>
      <c r="LHE90" s="91"/>
      <c r="LHF90" s="91"/>
      <c r="LHG90" s="91"/>
      <c r="LHH90" s="91"/>
      <c r="LHI90" s="91"/>
      <c r="LHJ90" s="91"/>
      <c r="LHK90" s="91"/>
      <c r="LHL90" s="91"/>
      <c r="LHM90" s="91"/>
      <c r="LHN90" s="91"/>
      <c r="LHO90" s="91"/>
      <c r="LHP90" s="91"/>
      <c r="LHQ90" s="91"/>
      <c r="LHR90" s="91"/>
      <c r="LHS90" s="91"/>
      <c r="LHT90" s="91"/>
      <c r="LHU90" s="91"/>
      <c r="LHV90" s="91"/>
      <c r="LHW90" s="91"/>
      <c r="LHX90" s="91"/>
      <c r="LHY90" s="91"/>
      <c r="LHZ90" s="91"/>
      <c r="LIA90" s="91"/>
      <c r="LIB90" s="91"/>
      <c r="LIC90" s="91"/>
      <c r="LID90" s="91"/>
      <c r="LIE90" s="91"/>
      <c r="LIF90" s="91"/>
      <c r="LIG90" s="91"/>
      <c r="LIH90" s="91"/>
      <c r="LII90" s="91"/>
      <c r="LIJ90" s="91"/>
      <c r="LIK90" s="91"/>
      <c r="LIL90" s="91"/>
      <c r="LIM90" s="91"/>
      <c r="LIN90" s="91"/>
      <c r="LIO90" s="91"/>
      <c r="LIP90" s="91"/>
      <c r="LIQ90" s="91"/>
      <c r="LIR90" s="91"/>
      <c r="LIS90" s="91"/>
      <c r="LIT90" s="91"/>
      <c r="LIU90" s="91"/>
      <c r="LIV90" s="91"/>
      <c r="LIW90" s="91"/>
      <c r="LIX90" s="91"/>
      <c r="LIY90" s="91"/>
      <c r="LIZ90" s="91"/>
      <c r="LJA90" s="91"/>
      <c r="LJB90" s="91"/>
      <c r="LJC90" s="91"/>
      <c r="LJD90" s="91"/>
      <c r="LJE90" s="91"/>
      <c r="LJF90" s="91"/>
      <c r="LJG90" s="91"/>
      <c r="LJH90" s="91"/>
      <c r="LJI90" s="91"/>
      <c r="LJJ90" s="91"/>
      <c r="LJK90" s="91"/>
      <c r="LJL90" s="91"/>
      <c r="LJM90" s="91"/>
      <c r="LJN90" s="91"/>
      <c r="LJO90" s="91"/>
      <c r="LJP90" s="91"/>
      <c r="LJQ90" s="91"/>
      <c r="LJR90" s="91"/>
      <c r="LJS90" s="91"/>
      <c r="LJT90" s="91"/>
      <c r="LJU90" s="91"/>
      <c r="LJV90" s="91"/>
      <c r="LJW90" s="91"/>
      <c r="LJX90" s="91"/>
      <c r="LJY90" s="91"/>
      <c r="LJZ90" s="91"/>
      <c r="LKA90" s="91"/>
      <c r="LKB90" s="91"/>
      <c r="LKC90" s="91"/>
      <c r="LKD90" s="91"/>
      <c r="LKE90" s="91"/>
      <c r="LKF90" s="91"/>
      <c r="LKG90" s="91"/>
      <c r="LKH90" s="91"/>
      <c r="LKI90" s="91"/>
      <c r="LKJ90" s="91"/>
      <c r="LKK90" s="91"/>
      <c r="LKL90" s="91"/>
      <c r="LKM90" s="91"/>
      <c r="LKN90" s="91"/>
      <c r="LKO90" s="91"/>
      <c r="LKP90" s="91"/>
      <c r="LKQ90" s="91"/>
      <c r="LKR90" s="91"/>
      <c r="LKS90" s="91"/>
      <c r="LKT90" s="91"/>
      <c r="LKU90" s="91"/>
      <c r="LKV90" s="91"/>
      <c r="LKW90" s="91"/>
      <c r="LKX90" s="91"/>
      <c r="LKY90" s="91"/>
      <c r="LKZ90" s="91"/>
      <c r="LLA90" s="91"/>
      <c r="LLB90" s="91"/>
      <c r="LLC90" s="91"/>
      <c r="LLD90" s="91"/>
      <c r="LLE90" s="91"/>
      <c r="LLF90" s="91"/>
      <c r="LLG90" s="91"/>
      <c r="LLH90" s="91"/>
      <c r="LLI90" s="91"/>
      <c r="LLJ90" s="91"/>
      <c r="LLK90" s="91"/>
      <c r="LLL90" s="91"/>
      <c r="LLM90" s="91"/>
      <c r="LLN90" s="91"/>
      <c r="LLO90" s="91"/>
      <c r="LLP90" s="91"/>
      <c r="LLQ90" s="91"/>
      <c r="LLR90" s="91"/>
      <c r="LLS90" s="91"/>
      <c r="LLT90" s="91"/>
      <c r="LLU90" s="91"/>
      <c r="LLV90" s="91"/>
      <c r="LLW90" s="91"/>
      <c r="LLX90" s="91"/>
      <c r="LLY90" s="91"/>
      <c r="LLZ90" s="91"/>
      <c r="LMA90" s="91"/>
      <c r="LMB90" s="91"/>
      <c r="LMC90" s="91"/>
      <c r="LMD90" s="91"/>
      <c r="LME90" s="91"/>
      <c r="LMF90" s="91"/>
      <c r="LMG90" s="91"/>
      <c r="LMH90" s="91"/>
      <c r="LMI90" s="91"/>
      <c r="LMJ90" s="91"/>
      <c r="LMK90" s="91"/>
      <c r="LML90" s="91"/>
      <c r="LMM90" s="91"/>
      <c r="LMN90" s="91"/>
      <c r="LMO90" s="91"/>
      <c r="LMP90" s="91"/>
      <c r="LMQ90" s="91"/>
      <c r="LMR90" s="91"/>
      <c r="LMS90" s="91"/>
      <c r="LMT90" s="91"/>
      <c r="LMU90" s="91"/>
      <c r="LMV90" s="91"/>
      <c r="LMW90" s="91"/>
      <c r="LMX90" s="91"/>
      <c r="LMY90" s="91"/>
      <c r="LMZ90" s="91"/>
      <c r="LNA90" s="91"/>
      <c r="LNB90" s="91"/>
      <c r="LNC90" s="91"/>
      <c r="LND90" s="91"/>
      <c r="LNE90" s="91"/>
      <c r="LNF90" s="91"/>
      <c r="LNG90" s="91"/>
      <c r="LNH90" s="91"/>
      <c r="LNI90" s="91"/>
      <c r="LNJ90" s="91"/>
      <c r="LNK90" s="91"/>
      <c r="LNL90" s="91"/>
      <c r="LNM90" s="91"/>
      <c r="LNN90" s="91"/>
      <c r="LNO90" s="91"/>
      <c r="LNP90" s="91"/>
      <c r="LNQ90" s="91"/>
      <c r="LNR90" s="91"/>
      <c r="LNS90" s="91"/>
      <c r="LNT90" s="91"/>
      <c r="LNU90" s="91"/>
      <c r="LNV90" s="91"/>
      <c r="LNW90" s="91"/>
      <c r="LNX90" s="91"/>
      <c r="LNY90" s="91"/>
      <c r="LNZ90" s="91"/>
      <c r="LOA90" s="91"/>
      <c r="LOB90" s="91"/>
      <c r="LOC90" s="91"/>
      <c r="LOD90" s="91"/>
      <c r="LOE90" s="91"/>
      <c r="LOF90" s="91"/>
      <c r="LOG90" s="91"/>
      <c r="LOH90" s="91"/>
      <c r="LOI90" s="91"/>
      <c r="LOJ90" s="91"/>
      <c r="LOK90" s="91"/>
      <c r="LOL90" s="91"/>
      <c r="LOM90" s="91"/>
      <c r="LON90" s="91"/>
      <c r="LOO90" s="91"/>
      <c r="LOP90" s="91"/>
      <c r="LOQ90" s="91"/>
      <c r="LOR90" s="91"/>
      <c r="LOS90" s="91"/>
      <c r="LOT90" s="91"/>
      <c r="LOU90" s="91"/>
      <c r="LOV90" s="91"/>
      <c r="LOW90" s="91"/>
      <c r="LOX90" s="91"/>
      <c r="LOY90" s="91"/>
      <c r="LOZ90" s="91"/>
      <c r="LPA90" s="91"/>
      <c r="LPB90" s="91"/>
      <c r="LPC90" s="91"/>
      <c r="LPD90" s="91"/>
      <c r="LPE90" s="91"/>
      <c r="LPF90" s="91"/>
      <c r="LPG90" s="91"/>
      <c r="LPH90" s="91"/>
      <c r="LPI90" s="91"/>
      <c r="LPJ90" s="91"/>
      <c r="LPK90" s="91"/>
      <c r="LPL90" s="91"/>
      <c r="LPM90" s="91"/>
      <c r="LPN90" s="91"/>
      <c r="LPO90" s="91"/>
      <c r="LPP90" s="91"/>
      <c r="LPQ90" s="91"/>
      <c r="LPR90" s="91"/>
      <c r="LPS90" s="91"/>
      <c r="LPT90" s="91"/>
      <c r="LPU90" s="91"/>
      <c r="LPV90" s="91"/>
      <c r="LPW90" s="91"/>
      <c r="LPX90" s="91"/>
      <c r="LPY90" s="91"/>
      <c r="LPZ90" s="91"/>
      <c r="LQA90" s="91"/>
      <c r="LQB90" s="91"/>
      <c r="LQC90" s="91"/>
      <c r="LQD90" s="91"/>
      <c r="LQE90" s="91"/>
      <c r="LQF90" s="91"/>
      <c r="LQG90" s="91"/>
      <c r="LQH90" s="91"/>
      <c r="LQI90" s="91"/>
      <c r="LQJ90" s="91"/>
      <c r="LQK90" s="91"/>
      <c r="LQL90" s="91"/>
      <c r="LQM90" s="91"/>
      <c r="LQN90" s="91"/>
      <c r="LQO90" s="91"/>
      <c r="LQP90" s="91"/>
      <c r="LQQ90" s="91"/>
      <c r="LQR90" s="91"/>
      <c r="LQS90" s="91"/>
      <c r="LQT90" s="91"/>
      <c r="LQU90" s="91"/>
      <c r="LQV90" s="91"/>
      <c r="LQW90" s="91"/>
      <c r="LQX90" s="91"/>
      <c r="LQY90" s="91"/>
      <c r="LQZ90" s="91"/>
      <c r="LRA90" s="91"/>
      <c r="LRB90" s="91"/>
      <c r="LRC90" s="91"/>
      <c r="LRD90" s="91"/>
      <c r="LRE90" s="91"/>
      <c r="LRF90" s="91"/>
      <c r="LRG90" s="91"/>
      <c r="LRH90" s="91"/>
      <c r="LRI90" s="91"/>
      <c r="LRJ90" s="91"/>
      <c r="LRK90" s="91"/>
      <c r="LRL90" s="91"/>
      <c r="LRM90" s="91"/>
      <c r="LRN90" s="91"/>
      <c r="LRO90" s="91"/>
      <c r="LRP90" s="91"/>
      <c r="LRQ90" s="91"/>
      <c r="LRR90" s="91"/>
      <c r="LRS90" s="91"/>
      <c r="LRT90" s="91"/>
      <c r="LRU90" s="91"/>
      <c r="LRV90" s="91"/>
      <c r="LRW90" s="91"/>
      <c r="LRX90" s="91"/>
      <c r="LRY90" s="91"/>
      <c r="LRZ90" s="91"/>
      <c r="LSA90" s="91"/>
      <c r="LSB90" s="91"/>
      <c r="LSC90" s="91"/>
      <c r="LSD90" s="91"/>
      <c r="LSE90" s="91"/>
      <c r="LSF90" s="91"/>
      <c r="LSG90" s="91"/>
      <c r="LSH90" s="91"/>
      <c r="LSI90" s="91"/>
      <c r="LSJ90" s="91"/>
      <c r="LSK90" s="91"/>
      <c r="LSL90" s="91"/>
      <c r="LSM90" s="91"/>
      <c r="LSN90" s="91"/>
      <c r="LSO90" s="91"/>
      <c r="LSP90" s="91"/>
      <c r="LSQ90" s="91"/>
      <c r="LSR90" s="91"/>
      <c r="LSS90" s="91"/>
      <c r="LST90" s="91"/>
      <c r="LSU90" s="91"/>
      <c r="LSV90" s="91"/>
      <c r="LSW90" s="91"/>
      <c r="LSX90" s="91"/>
      <c r="LSY90" s="91"/>
      <c r="LSZ90" s="91"/>
      <c r="LTA90" s="91"/>
      <c r="LTB90" s="91"/>
      <c r="LTC90" s="91"/>
      <c r="LTD90" s="91"/>
      <c r="LTE90" s="91"/>
      <c r="LTF90" s="91"/>
      <c r="LTG90" s="91"/>
      <c r="LTH90" s="91"/>
      <c r="LTI90" s="91"/>
      <c r="LTJ90" s="91"/>
      <c r="LTK90" s="91"/>
      <c r="LTL90" s="91"/>
      <c r="LTM90" s="91"/>
      <c r="LTN90" s="91"/>
      <c r="LTO90" s="91"/>
      <c r="LTP90" s="91"/>
      <c r="LTQ90" s="91"/>
      <c r="LTR90" s="91"/>
      <c r="LTS90" s="91"/>
      <c r="LTT90" s="91"/>
      <c r="LTU90" s="91"/>
      <c r="LTV90" s="91"/>
      <c r="LTW90" s="91"/>
      <c r="LTX90" s="91"/>
      <c r="LTY90" s="91"/>
      <c r="LTZ90" s="91"/>
      <c r="LUA90" s="91"/>
      <c r="LUB90" s="91"/>
      <c r="LUC90" s="91"/>
      <c r="LUD90" s="91"/>
      <c r="LUE90" s="91"/>
      <c r="LUF90" s="91"/>
      <c r="LUG90" s="91"/>
      <c r="LUH90" s="91"/>
      <c r="LUI90" s="91"/>
      <c r="LUJ90" s="91"/>
      <c r="LUK90" s="91"/>
      <c r="LUL90" s="91"/>
      <c r="LUM90" s="91"/>
      <c r="LUN90" s="91"/>
      <c r="LUO90" s="91"/>
      <c r="LUP90" s="91"/>
      <c r="LUQ90" s="91"/>
      <c r="LUR90" s="91"/>
      <c r="LUS90" s="91"/>
      <c r="LUT90" s="91"/>
      <c r="LUU90" s="91"/>
      <c r="LUV90" s="91"/>
      <c r="LUW90" s="91"/>
      <c r="LUX90" s="91"/>
      <c r="LUY90" s="91"/>
      <c r="LUZ90" s="91"/>
      <c r="LVA90" s="91"/>
      <c r="LVB90" s="91"/>
      <c r="LVC90" s="91"/>
      <c r="LVD90" s="91"/>
      <c r="LVE90" s="91"/>
      <c r="LVF90" s="91"/>
      <c r="LVG90" s="91"/>
      <c r="LVH90" s="91"/>
      <c r="LVI90" s="91"/>
      <c r="LVJ90" s="91"/>
      <c r="LVK90" s="91"/>
      <c r="LVL90" s="91"/>
      <c r="LVM90" s="91"/>
      <c r="LVN90" s="91"/>
      <c r="LVO90" s="91"/>
      <c r="LVP90" s="91"/>
      <c r="LVQ90" s="91"/>
      <c r="LVR90" s="91"/>
      <c r="LVS90" s="91"/>
      <c r="LVT90" s="91"/>
      <c r="LVU90" s="91"/>
      <c r="LVV90" s="91"/>
      <c r="LVW90" s="91"/>
      <c r="LVX90" s="91"/>
      <c r="LVY90" s="91"/>
      <c r="LVZ90" s="91"/>
      <c r="LWA90" s="91"/>
      <c r="LWB90" s="91"/>
      <c r="LWC90" s="91"/>
      <c r="LWD90" s="91"/>
      <c r="LWE90" s="91"/>
      <c r="LWF90" s="91"/>
      <c r="LWG90" s="91"/>
      <c r="LWH90" s="91"/>
      <c r="LWI90" s="91"/>
      <c r="LWJ90" s="91"/>
      <c r="LWK90" s="91"/>
      <c r="LWL90" s="91"/>
      <c r="LWM90" s="91"/>
      <c r="LWN90" s="91"/>
      <c r="LWO90" s="91"/>
      <c r="LWP90" s="91"/>
      <c r="LWQ90" s="91"/>
      <c r="LWR90" s="91"/>
      <c r="LWS90" s="91"/>
      <c r="LWT90" s="91"/>
      <c r="LWU90" s="91"/>
      <c r="LWV90" s="91"/>
      <c r="LWW90" s="91"/>
      <c r="LWX90" s="91"/>
      <c r="LWY90" s="91"/>
      <c r="LWZ90" s="91"/>
      <c r="LXA90" s="91"/>
      <c r="LXB90" s="91"/>
      <c r="LXC90" s="91"/>
      <c r="LXD90" s="91"/>
      <c r="LXE90" s="91"/>
      <c r="LXF90" s="91"/>
      <c r="LXG90" s="91"/>
      <c r="LXH90" s="91"/>
      <c r="LXI90" s="91"/>
      <c r="LXJ90" s="91"/>
      <c r="LXK90" s="91"/>
      <c r="LXL90" s="91"/>
      <c r="LXM90" s="91"/>
      <c r="LXN90" s="91"/>
      <c r="LXO90" s="91"/>
      <c r="LXP90" s="91"/>
      <c r="LXQ90" s="91"/>
      <c r="LXR90" s="91"/>
      <c r="LXS90" s="91"/>
      <c r="LXT90" s="91"/>
      <c r="LXU90" s="91"/>
      <c r="LXV90" s="91"/>
      <c r="LXW90" s="91"/>
      <c r="LXX90" s="91"/>
      <c r="LXY90" s="91"/>
      <c r="LXZ90" s="91"/>
      <c r="LYA90" s="91"/>
      <c r="LYB90" s="91"/>
      <c r="LYC90" s="91"/>
      <c r="LYD90" s="91"/>
      <c r="LYE90" s="91"/>
      <c r="LYF90" s="91"/>
      <c r="LYG90" s="91"/>
      <c r="LYH90" s="91"/>
      <c r="LYI90" s="91"/>
      <c r="LYJ90" s="91"/>
      <c r="LYK90" s="91"/>
      <c r="LYL90" s="91"/>
      <c r="LYM90" s="91"/>
      <c r="LYN90" s="91"/>
      <c r="LYO90" s="91"/>
      <c r="LYP90" s="91"/>
      <c r="LYQ90" s="91"/>
      <c r="LYR90" s="91"/>
      <c r="LYS90" s="91"/>
      <c r="LYT90" s="91"/>
      <c r="LYU90" s="91"/>
      <c r="LYV90" s="91"/>
      <c r="LYW90" s="91"/>
      <c r="LYX90" s="91"/>
      <c r="LYY90" s="91"/>
      <c r="LYZ90" s="91"/>
      <c r="LZA90" s="91"/>
      <c r="LZB90" s="91"/>
      <c r="LZC90" s="91"/>
      <c r="LZD90" s="91"/>
      <c r="LZE90" s="91"/>
      <c r="LZF90" s="91"/>
      <c r="LZG90" s="91"/>
      <c r="LZH90" s="91"/>
      <c r="LZI90" s="91"/>
      <c r="LZJ90" s="91"/>
      <c r="LZK90" s="91"/>
      <c r="LZL90" s="91"/>
      <c r="LZM90" s="91"/>
      <c r="LZN90" s="91"/>
      <c r="LZO90" s="91"/>
      <c r="LZP90" s="91"/>
      <c r="LZQ90" s="91"/>
      <c r="LZR90" s="91"/>
      <c r="LZS90" s="91"/>
      <c r="LZT90" s="91"/>
      <c r="LZU90" s="91"/>
      <c r="LZV90" s="91"/>
      <c r="LZW90" s="91"/>
      <c r="LZX90" s="91"/>
      <c r="LZY90" s="91"/>
      <c r="LZZ90" s="91"/>
      <c r="MAA90" s="91"/>
      <c r="MAB90" s="91"/>
      <c r="MAC90" s="91"/>
      <c r="MAD90" s="91"/>
      <c r="MAE90" s="91"/>
      <c r="MAF90" s="91"/>
      <c r="MAG90" s="91"/>
      <c r="MAH90" s="91"/>
      <c r="MAI90" s="91"/>
      <c r="MAJ90" s="91"/>
      <c r="MAK90" s="91"/>
      <c r="MAL90" s="91"/>
      <c r="MAM90" s="91"/>
      <c r="MAN90" s="91"/>
      <c r="MAO90" s="91"/>
      <c r="MAP90" s="91"/>
      <c r="MAQ90" s="91"/>
      <c r="MAR90" s="91"/>
      <c r="MAS90" s="91"/>
      <c r="MAT90" s="91"/>
      <c r="MAU90" s="91"/>
      <c r="MAV90" s="91"/>
      <c r="MAW90" s="91"/>
      <c r="MAX90" s="91"/>
      <c r="MAY90" s="91"/>
      <c r="MAZ90" s="91"/>
      <c r="MBA90" s="91"/>
      <c r="MBB90" s="91"/>
      <c r="MBC90" s="91"/>
      <c r="MBD90" s="91"/>
      <c r="MBE90" s="91"/>
      <c r="MBF90" s="91"/>
      <c r="MBG90" s="91"/>
      <c r="MBH90" s="91"/>
      <c r="MBI90" s="91"/>
      <c r="MBJ90" s="91"/>
      <c r="MBK90" s="91"/>
      <c r="MBL90" s="91"/>
      <c r="MBM90" s="91"/>
      <c r="MBN90" s="91"/>
      <c r="MBO90" s="91"/>
      <c r="MBP90" s="91"/>
      <c r="MBQ90" s="91"/>
      <c r="MBR90" s="91"/>
      <c r="MBS90" s="91"/>
      <c r="MBT90" s="91"/>
      <c r="MBU90" s="91"/>
      <c r="MBV90" s="91"/>
      <c r="MBW90" s="91"/>
      <c r="MBX90" s="91"/>
      <c r="MBY90" s="91"/>
      <c r="MBZ90" s="91"/>
      <c r="MCA90" s="91"/>
      <c r="MCB90" s="91"/>
      <c r="MCC90" s="91"/>
      <c r="MCD90" s="91"/>
      <c r="MCE90" s="91"/>
      <c r="MCF90" s="91"/>
      <c r="MCG90" s="91"/>
      <c r="MCH90" s="91"/>
      <c r="MCI90" s="91"/>
      <c r="MCJ90" s="91"/>
      <c r="MCK90" s="91"/>
      <c r="MCL90" s="91"/>
      <c r="MCM90" s="91"/>
      <c r="MCN90" s="91"/>
      <c r="MCO90" s="91"/>
      <c r="MCP90" s="91"/>
      <c r="MCQ90" s="91"/>
      <c r="MCR90" s="91"/>
      <c r="MCS90" s="91"/>
      <c r="MCT90" s="91"/>
      <c r="MCU90" s="91"/>
      <c r="MCV90" s="91"/>
      <c r="MCW90" s="91"/>
      <c r="MCX90" s="91"/>
      <c r="MCY90" s="91"/>
      <c r="MCZ90" s="91"/>
      <c r="MDA90" s="91"/>
      <c r="MDB90" s="91"/>
      <c r="MDC90" s="91"/>
      <c r="MDD90" s="91"/>
      <c r="MDE90" s="91"/>
      <c r="MDF90" s="91"/>
      <c r="MDG90" s="91"/>
      <c r="MDH90" s="91"/>
      <c r="MDI90" s="91"/>
      <c r="MDJ90" s="91"/>
      <c r="MDK90" s="91"/>
      <c r="MDL90" s="91"/>
      <c r="MDM90" s="91"/>
      <c r="MDN90" s="91"/>
      <c r="MDO90" s="91"/>
      <c r="MDP90" s="91"/>
      <c r="MDQ90" s="91"/>
      <c r="MDR90" s="91"/>
      <c r="MDS90" s="91"/>
      <c r="MDT90" s="91"/>
      <c r="MDU90" s="91"/>
      <c r="MDV90" s="91"/>
      <c r="MDW90" s="91"/>
      <c r="MDX90" s="91"/>
      <c r="MDY90" s="91"/>
      <c r="MDZ90" s="91"/>
      <c r="MEA90" s="91"/>
      <c r="MEB90" s="91"/>
      <c r="MEC90" s="91"/>
      <c r="MED90" s="91"/>
      <c r="MEE90" s="91"/>
      <c r="MEF90" s="91"/>
      <c r="MEG90" s="91"/>
      <c r="MEH90" s="91"/>
      <c r="MEI90" s="91"/>
      <c r="MEJ90" s="91"/>
      <c r="MEK90" s="91"/>
      <c r="MEL90" s="91"/>
      <c r="MEM90" s="91"/>
      <c r="MEN90" s="91"/>
      <c r="MEO90" s="91"/>
      <c r="MEP90" s="91"/>
      <c r="MEQ90" s="91"/>
      <c r="MER90" s="91"/>
      <c r="MES90" s="91"/>
      <c r="MET90" s="91"/>
      <c r="MEU90" s="91"/>
      <c r="MEV90" s="91"/>
      <c r="MEW90" s="91"/>
      <c r="MEX90" s="91"/>
      <c r="MEY90" s="91"/>
      <c r="MEZ90" s="91"/>
      <c r="MFA90" s="91"/>
      <c r="MFB90" s="91"/>
      <c r="MFC90" s="91"/>
      <c r="MFD90" s="91"/>
      <c r="MFE90" s="91"/>
      <c r="MFF90" s="91"/>
      <c r="MFG90" s="91"/>
      <c r="MFH90" s="91"/>
      <c r="MFI90" s="91"/>
      <c r="MFJ90" s="91"/>
      <c r="MFK90" s="91"/>
      <c r="MFL90" s="91"/>
      <c r="MFM90" s="91"/>
      <c r="MFN90" s="91"/>
      <c r="MFO90" s="91"/>
      <c r="MFP90" s="91"/>
      <c r="MFQ90" s="91"/>
      <c r="MFR90" s="91"/>
      <c r="MFS90" s="91"/>
      <c r="MFT90" s="91"/>
      <c r="MFU90" s="91"/>
      <c r="MFV90" s="91"/>
      <c r="MFW90" s="91"/>
      <c r="MFX90" s="91"/>
      <c r="MFY90" s="91"/>
      <c r="MFZ90" s="91"/>
      <c r="MGA90" s="91"/>
      <c r="MGB90" s="91"/>
      <c r="MGC90" s="91"/>
      <c r="MGD90" s="91"/>
      <c r="MGE90" s="91"/>
      <c r="MGF90" s="91"/>
      <c r="MGG90" s="91"/>
      <c r="MGH90" s="91"/>
      <c r="MGI90" s="91"/>
      <c r="MGJ90" s="91"/>
      <c r="MGK90" s="91"/>
      <c r="MGL90" s="91"/>
      <c r="MGM90" s="91"/>
      <c r="MGN90" s="91"/>
      <c r="MGO90" s="91"/>
      <c r="MGP90" s="91"/>
      <c r="MGQ90" s="91"/>
      <c r="MGR90" s="91"/>
      <c r="MGS90" s="91"/>
      <c r="MGT90" s="91"/>
      <c r="MGU90" s="91"/>
      <c r="MGV90" s="91"/>
      <c r="MGW90" s="91"/>
      <c r="MGX90" s="91"/>
      <c r="MGY90" s="91"/>
      <c r="MGZ90" s="91"/>
      <c r="MHA90" s="91"/>
      <c r="MHB90" s="91"/>
      <c r="MHC90" s="91"/>
      <c r="MHD90" s="91"/>
      <c r="MHE90" s="91"/>
      <c r="MHF90" s="91"/>
      <c r="MHG90" s="91"/>
      <c r="MHH90" s="91"/>
      <c r="MHI90" s="91"/>
      <c r="MHJ90" s="91"/>
      <c r="MHK90" s="91"/>
      <c r="MHL90" s="91"/>
      <c r="MHM90" s="91"/>
      <c r="MHN90" s="91"/>
      <c r="MHO90" s="91"/>
      <c r="MHP90" s="91"/>
      <c r="MHQ90" s="91"/>
      <c r="MHR90" s="91"/>
      <c r="MHS90" s="91"/>
      <c r="MHT90" s="91"/>
      <c r="MHU90" s="91"/>
      <c r="MHV90" s="91"/>
      <c r="MHW90" s="91"/>
      <c r="MHX90" s="91"/>
      <c r="MHY90" s="91"/>
      <c r="MHZ90" s="91"/>
      <c r="MIA90" s="91"/>
      <c r="MIB90" s="91"/>
      <c r="MIC90" s="91"/>
      <c r="MID90" s="91"/>
      <c r="MIE90" s="91"/>
      <c r="MIF90" s="91"/>
      <c r="MIG90" s="91"/>
      <c r="MIH90" s="91"/>
      <c r="MII90" s="91"/>
      <c r="MIJ90" s="91"/>
      <c r="MIK90" s="91"/>
      <c r="MIL90" s="91"/>
      <c r="MIM90" s="91"/>
      <c r="MIN90" s="91"/>
      <c r="MIO90" s="91"/>
      <c r="MIP90" s="91"/>
      <c r="MIQ90" s="91"/>
      <c r="MIR90" s="91"/>
      <c r="MIS90" s="91"/>
      <c r="MIT90" s="91"/>
      <c r="MIU90" s="91"/>
      <c r="MIV90" s="91"/>
      <c r="MIW90" s="91"/>
      <c r="MIX90" s="91"/>
      <c r="MIY90" s="91"/>
      <c r="MIZ90" s="91"/>
      <c r="MJA90" s="91"/>
      <c r="MJB90" s="91"/>
      <c r="MJC90" s="91"/>
      <c r="MJD90" s="91"/>
      <c r="MJE90" s="91"/>
      <c r="MJF90" s="91"/>
      <c r="MJG90" s="91"/>
      <c r="MJH90" s="91"/>
      <c r="MJI90" s="91"/>
      <c r="MJJ90" s="91"/>
      <c r="MJK90" s="91"/>
      <c r="MJL90" s="91"/>
      <c r="MJM90" s="91"/>
      <c r="MJN90" s="91"/>
      <c r="MJO90" s="91"/>
      <c r="MJP90" s="91"/>
      <c r="MJQ90" s="91"/>
      <c r="MJR90" s="91"/>
      <c r="MJS90" s="91"/>
      <c r="MJT90" s="91"/>
      <c r="MJU90" s="91"/>
      <c r="MJV90" s="91"/>
      <c r="MJW90" s="91"/>
      <c r="MJX90" s="91"/>
      <c r="MJY90" s="91"/>
      <c r="MJZ90" s="91"/>
      <c r="MKA90" s="91"/>
      <c r="MKB90" s="91"/>
      <c r="MKC90" s="91"/>
      <c r="MKD90" s="91"/>
      <c r="MKE90" s="91"/>
      <c r="MKF90" s="91"/>
      <c r="MKG90" s="91"/>
      <c r="MKH90" s="91"/>
      <c r="MKI90" s="91"/>
      <c r="MKJ90" s="91"/>
      <c r="MKK90" s="91"/>
      <c r="MKL90" s="91"/>
      <c r="MKM90" s="91"/>
      <c r="MKN90" s="91"/>
      <c r="MKO90" s="91"/>
      <c r="MKP90" s="91"/>
      <c r="MKQ90" s="91"/>
      <c r="MKR90" s="91"/>
      <c r="MKS90" s="91"/>
      <c r="MKT90" s="91"/>
      <c r="MKU90" s="91"/>
      <c r="MKV90" s="91"/>
      <c r="MKW90" s="91"/>
      <c r="MKX90" s="91"/>
      <c r="MKY90" s="91"/>
      <c r="MKZ90" s="91"/>
      <c r="MLA90" s="91"/>
      <c r="MLB90" s="91"/>
      <c r="MLC90" s="91"/>
      <c r="MLD90" s="91"/>
      <c r="MLE90" s="91"/>
      <c r="MLF90" s="91"/>
      <c r="MLG90" s="91"/>
      <c r="MLH90" s="91"/>
      <c r="MLI90" s="91"/>
      <c r="MLJ90" s="91"/>
      <c r="MLK90" s="91"/>
      <c r="MLL90" s="91"/>
      <c r="MLM90" s="91"/>
      <c r="MLN90" s="91"/>
      <c r="MLO90" s="91"/>
      <c r="MLP90" s="91"/>
      <c r="MLQ90" s="91"/>
      <c r="MLR90" s="91"/>
      <c r="MLS90" s="91"/>
      <c r="MLT90" s="91"/>
      <c r="MLU90" s="91"/>
      <c r="MLV90" s="91"/>
      <c r="MLW90" s="91"/>
      <c r="MLX90" s="91"/>
      <c r="MLY90" s="91"/>
      <c r="MLZ90" s="91"/>
      <c r="MMA90" s="91"/>
      <c r="MMB90" s="91"/>
      <c r="MMC90" s="91"/>
      <c r="MMD90" s="91"/>
      <c r="MME90" s="91"/>
      <c r="MMF90" s="91"/>
      <c r="MMG90" s="91"/>
      <c r="MMH90" s="91"/>
      <c r="MMI90" s="91"/>
      <c r="MMJ90" s="91"/>
      <c r="MMK90" s="91"/>
      <c r="MML90" s="91"/>
      <c r="MMM90" s="91"/>
      <c r="MMN90" s="91"/>
      <c r="MMO90" s="91"/>
      <c r="MMP90" s="91"/>
      <c r="MMQ90" s="91"/>
      <c r="MMR90" s="91"/>
      <c r="MMS90" s="91"/>
      <c r="MMT90" s="91"/>
      <c r="MMU90" s="91"/>
      <c r="MMV90" s="91"/>
      <c r="MMW90" s="91"/>
      <c r="MMX90" s="91"/>
      <c r="MMY90" s="91"/>
      <c r="MMZ90" s="91"/>
      <c r="MNA90" s="91"/>
      <c r="MNB90" s="91"/>
      <c r="MNC90" s="91"/>
      <c r="MND90" s="91"/>
      <c r="MNE90" s="91"/>
      <c r="MNF90" s="91"/>
      <c r="MNG90" s="91"/>
      <c r="MNH90" s="91"/>
      <c r="MNI90" s="91"/>
      <c r="MNJ90" s="91"/>
      <c r="MNK90" s="91"/>
      <c r="MNL90" s="91"/>
      <c r="MNM90" s="91"/>
      <c r="MNN90" s="91"/>
      <c r="MNO90" s="91"/>
      <c r="MNP90" s="91"/>
      <c r="MNQ90" s="91"/>
      <c r="MNR90" s="91"/>
      <c r="MNS90" s="91"/>
      <c r="MNT90" s="91"/>
      <c r="MNU90" s="91"/>
      <c r="MNV90" s="91"/>
      <c r="MNW90" s="91"/>
      <c r="MNX90" s="91"/>
      <c r="MNY90" s="91"/>
      <c r="MNZ90" s="91"/>
      <c r="MOA90" s="91"/>
      <c r="MOB90" s="91"/>
      <c r="MOC90" s="91"/>
      <c r="MOD90" s="91"/>
      <c r="MOE90" s="91"/>
      <c r="MOF90" s="91"/>
      <c r="MOG90" s="91"/>
      <c r="MOH90" s="91"/>
      <c r="MOI90" s="91"/>
      <c r="MOJ90" s="91"/>
      <c r="MOK90" s="91"/>
      <c r="MOL90" s="91"/>
      <c r="MOM90" s="91"/>
      <c r="MON90" s="91"/>
      <c r="MOO90" s="91"/>
      <c r="MOP90" s="91"/>
      <c r="MOQ90" s="91"/>
      <c r="MOR90" s="91"/>
      <c r="MOS90" s="91"/>
      <c r="MOT90" s="91"/>
      <c r="MOU90" s="91"/>
      <c r="MOV90" s="91"/>
      <c r="MOW90" s="91"/>
      <c r="MOX90" s="91"/>
      <c r="MOY90" s="91"/>
      <c r="MOZ90" s="91"/>
      <c r="MPA90" s="91"/>
      <c r="MPB90" s="91"/>
      <c r="MPC90" s="91"/>
      <c r="MPD90" s="91"/>
      <c r="MPE90" s="91"/>
      <c r="MPF90" s="91"/>
      <c r="MPG90" s="91"/>
      <c r="MPH90" s="91"/>
      <c r="MPI90" s="91"/>
      <c r="MPJ90" s="91"/>
      <c r="MPK90" s="91"/>
      <c r="MPL90" s="91"/>
      <c r="MPM90" s="91"/>
      <c r="MPN90" s="91"/>
      <c r="MPO90" s="91"/>
      <c r="MPP90" s="91"/>
      <c r="MPQ90" s="91"/>
      <c r="MPR90" s="91"/>
      <c r="MPS90" s="91"/>
      <c r="MPT90" s="91"/>
      <c r="MPU90" s="91"/>
      <c r="MPV90" s="91"/>
      <c r="MPW90" s="91"/>
      <c r="MPX90" s="91"/>
      <c r="MPY90" s="91"/>
      <c r="MPZ90" s="91"/>
      <c r="MQA90" s="91"/>
      <c r="MQB90" s="91"/>
      <c r="MQC90" s="91"/>
      <c r="MQD90" s="91"/>
      <c r="MQE90" s="91"/>
      <c r="MQF90" s="91"/>
      <c r="MQG90" s="91"/>
      <c r="MQH90" s="91"/>
      <c r="MQI90" s="91"/>
      <c r="MQJ90" s="91"/>
      <c r="MQK90" s="91"/>
      <c r="MQL90" s="91"/>
      <c r="MQM90" s="91"/>
      <c r="MQN90" s="91"/>
      <c r="MQO90" s="91"/>
      <c r="MQP90" s="91"/>
      <c r="MQQ90" s="91"/>
      <c r="MQR90" s="91"/>
      <c r="MQS90" s="91"/>
      <c r="MQT90" s="91"/>
      <c r="MQU90" s="91"/>
      <c r="MQV90" s="91"/>
      <c r="MQW90" s="91"/>
      <c r="MQX90" s="91"/>
      <c r="MQY90" s="91"/>
      <c r="MQZ90" s="91"/>
      <c r="MRA90" s="91"/>
      <c r="MRB90" s="91"/>
      <c r="MRC90" s="91"/>
      <c r="MRD90" s="91"/>
      <c r="MRE90" s="91"/>
      <c r="MRF90" s="91"/>
      <c r="MRG90" s="91"/>
      <c r="MRH90" s="91"/>
      <c r="MRI90" s="91"/>
      <c r="MRJ90" s="91"/>
      <c r="MRK90" s="91"/>
      <c r="MRL90" s="91"/>
      <c r="MRM90" s="91"/>
      <c r="MRN90" s="91"/>
      <c r="MRO90" s="91"/>
      <c r="MRP90" s="91"/>
      <c r="MRQ90" s="91"/>
      <c r="MRR90" s="91"/>
      <c r="MRS90" s="91"/>
      <c r="MRT90" s="91"/>
      <c r="MRU90" s="91"/>
      <c r="MRV90" s="91"/>
      <c r="MRW90" s="91"/>
      <c r="MRX90" s="91"/>
      <c r="MRY90" s="91"/>
      <c r="MRZ90" s="91"/>
      <c r="MSA90" s="91"/>
      <c r="MSB90" s="91"/>
      <c r="MSC90" s="91"/>
      <c r="MSD90" s="91"/>
      <c r="MSE90" s="91"/>
      <c r="MSF90" s="91"/>
      <c r="MSG90" s="91"/>
      <c r="MSH90" s="91"/>
      <c r="MSI90" s="91"/>
      <c r="MSJ90" s="91"/>
      <c r="MSK90" s="91"/>
      <c r="MSL90" s="91"/>
      <c r="MSM90" s="91"/>
      <c r="MSN90" s="91"/>
      <c r="MSO90" s="91"/>
      <c r="MSP90" s="91"/>
      <c r="MSQ90" s="91"/>
      <c r="MSR90" s="91"/>
      <c r="MSS90" s="91"/>
      <c r="MST90" s="91"/>
      <c r="MSU90" s="91"/>
      <c r="MSV90" s="91"/>
      <c r="MSW90" s="91"/>
      <c r="MSX90" s="91"/>
      <c r="MSY90" s="91"/>
      <c r="MSZ90" s="91"/>
      <c r="MTA90" s="91"/>
      <c r="MTB90" s="91"/>
      <c r="MTC90" s="91"/>
      <c r="MTD90" s="91"/>
      <c r="MTE90" s="91"/>
      <c r="MTF90" s="91"/>
      <c r="MTG90" s="91"/>
      <c r="MTH90" s="91"/>
      <c r="MTI90" s="91"/>
      <c r="MTJ90" s="91"/>
      <c r="MTK90" s="91"/>
      <c r="MTL90" s="91"/>
      <c r="MTM90" s="91"/>
      <c r="MTN90" s="91"/>
      <c r="MTO90" s="91"/>
      <c r="MTP90" s="91"/>
      <c r="MTQ90" s="91"/>
      <c r="MTR90" s="91"/>
      <c r="MTS90" s="91"/>
      <c r="MTT90" s="91"/>
      <c r="MTU90" s="91"/>
      <c r="MTV90" s="91"/>
      <c r="MTW90" s="91"/>
      <c r="MTX90" s="91"/>
      <c r="MTY90" s="91"/>
      <c r="MTZ90" s="91"/>
      <c r="MUA90" s="91"/>
      <c r="MUB90" s="91"/>
      <c r="MUC90" s="91"/>
      <c r="MUD90" s="91"/>
      <c r="MUE90" s="91"/>
      <c r="MUF90" s="91"/>
      <c r="MUG90" s="91"/>
      <c r="MUH90" s="91"/>
      <c r="MUI90" s="91"/>
      <c r="MUJ90" s="91"/>
      <c r="MUK90" s="91"/>
      <c r="MUL90" s="91"/>
      <c r="MUM90" s="91"/>
      <c r="MUN90" s="91"/>
      <c r="MUO90" s="91"/>
      <c r="MUP90" s="91"/>
      <c r="MUQ90" s="91"/>
      <c r="MUR90" s="91"/>
      <c r="MUS90" s="91"/>
      <c r="MUT90" s="91"/>
      <c r="MUU90" s="91"/>
      <c r="MUV90" s="91"/>
      <c r="MUW90" s="91"/>
      <c r="MUX90" s="91"/>
      <c r="MUY90" s="91"/>
      <c r="MUZ90" s="91"/>
      <c r="MVA90" s="91"/>
      <c r="MVB90" s="91"/>
      <c r="MVC90" s="91"/>
      <c r="MVD90" s="91"/>
      <c r="MVE90" s="91"/>
      <c r="MVF90" s="91"/>
      <c r="MVG90" s="91"/>
      <c r="MVH90" s="91"/>
      <c r="MVI90" s="91"/>
      <c r="MVJ90" s="91"/>
      <c r="MVK90" s="91"/>
      <c r="MVL90" s="91"/>
      <c r="MVM90" s="91"/>
      <c r="MVN90" s="91"/>
      <c r="MVO90" s="91"/>
      <c r="MVP90" s="91"/>
      <c r="MVQ90" s="91"/>
      <c r="MVR90" s="91"/>
      <c r="MVS90" s="91"/>
      <c r="MVT90" s="91"/>
      <c r="MVU90" s="91"/>
      <c r="MVV90" s="91"/>
      <c r="MVW90" s="91"/>
      <c r="MVX90" s="91"/>
      <c r="MVY90" s="91"/>
      <c r="MVZ90" s="91"/>
      <c r="MWA90" s="91"/>
      <c r="MWB90" s="91"/>
      <c r="MWC90" s="91"/>
      <c r="MWD90" s="91"/>
      <c r="MWE90" s="91"/>
      <c r="MWF90" s="91"/>
      <c r="MWG90" s="91"/>
      <c r="MWH90" s="91"/>
      <c r="MWI90" s="91"/>
      <c r="MWJ90" s="91"/>
      <c r="MWK90" s="91"/>
      <c r="MWL90" s="91"/>
      <c r="MWM90" s="91"/>
      <c r="MWN90" s="91"/>
      <c r="MWO90" s="91"/>
      <c r="MWP90" s="91"/>
      <c r="MWQ90" s="91"/>
      <c r="MWR90" s="91"/>
      <c r="MWS90" s="91"/>
      <c r="MWT90" s="91"/>
      <c r="MWU90" s="91"/>
      <c r="MWV90" s="91"/>
      <c r="MWW90" s="91"/>
      <c r="MWX90" s="91"/>
      <c r="MWY90" s="91"/>
      <c r="MWZ90" s="91"/>
      <c r="MXA90" s="91"/>
      <c r="MXB90" s="91"/>
      <c r="MXC90" s="91"/>
      <c r="MXD90" s="91"/>
      <c r="MXE90" s="91"/>
      <c r="MXF90" s="91"/>
      <c r="MXG90" s="91"/>
      <c r="MXH90" s="91"/>
      <c r="MXI90" s="91"/>
      <c r="MXJ90" s="91"/>
      <c r="MXK90" s="91"/>
      <c r="MXL90" s="91"/>
      <c r="MXM90" s="91"/>
      <c r="MXN90" s="91"/>
      <c r="MXO90" s="91"/>
      <c r="MXP90" s="91"/>
      <c r="MXQ90" s="91"/>
      <c r="MXR90" s="91"/>
      <c r="MXS90" s="91"/>
      <c r="MXT90" s="91"/>
      <c r="MXU90" s="91"/>
      <c r="MXV90" s="91"/>
      <c r="MXW90" s="91"/>
      <c r="MXX90" s="91"/>
      <c r="MXY90" s="91"/>
      <c r="MXZ90" s="91"/>
      <c r="MYA90" s="91"/>
      <c r="MYB90" s="91"/>
      <c r="MYC90" s="91"/>
      <c r="MYD90" s="91"/>
      <c r="MYE90" s="91"/>
      <c r="MYF90" s="91"/>
      <c r="MYG90" s="91"/>
      <c r="MYH90" s="91"/>
      <c r="MYI90" s="91"/>
      <c r="MYJ90" s="91"/>
      <c r="MYK90" s="91"/>
      <c r="MYL90" s="91"/>
      <c r="MYM90" s="91"/>
      <c r="MYN90" s="91"/>
      <c r="MYO90" s="91"/>
      <c r="MYP90" s="91"/>
      <c r="MYQ90" s="91"/>
      <c r="MYR90" s="91"/>
      <c r="MYS90" s="91"/>
      <c r="MYT90" s="91"/>
      <c r="MYU90" s="91"/>
      <c r="MYV90" s="91"/>
      <c r="MYW90" s="91"/>
      <c r="MYX90" s="91"/>
      <c r="MYY90" s="91"/>
      <c r="MYZ90" s="91"/>
      <c r="MZA90" s="91"/>
      <c r="MZB90" s="91"/>
      <c r="MZC90" s="91"/>
      <c r="MZD90" s="91"/>
      <c r="MZE90" s="91"/>
      <c r="MZF90" s="91"/>
      <c r="MZG90" s="91"/>
      <c r="MZH90" s="91"/>
      <c r="MZI90" s="91"/>
      <c r="MZJ90" s="91"/>
      <c r="MZK90" s="91"/>
      <c r="MZL90" s="91"/>
      <c r="MZM90" s="91"/>
      <c r="MZN90" s="91"/>
      <c r="MZO90" s="91"/>
      <c r="MZP90" s="91"/>
      <c r="MZQ90" s="91"/>
      <c r="MZR90" s="91"/>
      <c r="MZS90" s="91"/>
      <c r="MZT90" s="91"/>
      <c r="MZU90" s="91"/>
      <c r="MZV90" s="91"/>
      <c r="MZW90" s="91"/>
      <c r="MZX90" s="91"/>
      <c r="MZY90" s="91"/>
      <c r="MZZ90" s="91"/>
      <c r="NAA90" s="91"/>
      <c r="NAB90" s="91"/>
      <c r="NAC90" s="91"/>
      <c r="NAD90" s="91"/>
      <c r="NAE90" s="91"/>
      <c r="NAF90" s="91"/>
      <c r="NAG90" s="91"/>
      <c r="NAH90" s="91"/>
      <c r="NAI90" s="91"/>
      <c r="NAJ90" s="91"/>
      <c r="NAK90" s="91"/>
      <c r="NAL90" s="91"/>
      <c r="NAM90" s="91"/>
      <c r="NAN90" s="91"/>
      <c r="NAO90" s="91"/>
      <c r="NAP90" s="91"/>
      <c r="NAQ90" s="91"/>
      <c r="NAR90" s="91"/>
      <c r="NAS90" s="91"/>
      <c r="NAT90" s="91"/>
      <c r="NAU90" s="91"/>
      <c r="NAV90" s="91"/>
      <c r="NAW90" s="91"/>
      <c r="NAX90" s="91"/>
      <c r="NAY90" s="91"/>
      <c r="NAZ90" s="91"/>
      <c r="NBA90" s="91"/>
      <c r="NBB90" s="91"/>
      <c r="NBC90" s="91"/>
      <c r="NBD90" s="91"/>
      <c r="NBE90" s="91"/>
      <c r="NBF90" s="91"/>
      <c r="NBG90" s="91"/>
      <c r="NBH90" s="91"/>
      <c r="NBI90" s="91"/>
      <c r="NBJ90" s="91"/>
      <c r="NBK90" s="91"/>
      <c r="NBL90" s="91"/>
      <c r="NBM90" s="91"/>
      <c r="NBN90" s="91"/>
      <c r="NBO90" s="91"/>
      <c r="NBP90" s="91"/>
      <c r="NBQ90" s="91"/>
      <c r="NBR90" s="91"/>
      <c r="NBS90" s="91"/>
      <c r="NBT90" s="91"/>
      <c r="NBU90" s="91"/>
      <c r="NBV90" s="91"/>
      <c r="NBW90" s="91"/>
      <c r="NBX90" s="91"/>
      <c r="NBY90" s="91"/>
      <c r="NBZ90" s="91"/>
      <c r="NCA90" s="91"/>
      <c r="NCB90" s="91"/>
      <c r="NCC90" s="91"/>
      <c r="NCD90" s="91"/>
      <c r="NCE90" s="91"/>
      <c r="NCF90" s="91"/>
      <c r="NCG90" s="91"/>
      <c r="NCH90" s="91"/>
      <c r="NCI90" s="91"/>
      <c r="NCJ90" s="91"/>
      <c r="NCK90" s="91"/>
      <c r="NCL90" s="91"/>
      <c r="NCM90" s="91"/>
      <c r="NCN90" s="91"/>
      <c r="NCO90" s="91"/>
      <c r="NCP90" s="91"/>
      <c r="NCQ90" s="91"/>
      <c r="NCR90" s="91"/>
      <c r="NCS90" s="91"/>
      <c r="NCT90" s="91"/>
      <c r="NCU90" s="91"/>
      <c r="NCV90" s="91"/>
      <c r="NCW90" s="91"/>
      <c r="NCX90" s="91"/>
      <c r="NCY90" s="91"/>
      <c r="NCZ90" s="91"/>
      <c r="NDA90" s="91"/>
      <c r="NDB90" s="91"/>
      <c r="NDC90" s="91"/>
      <c r="NDD90" s="91"/>
      <c r="NDE90" s="91"/>
      <c r="NDF90" s="91"/>
      <c r="NDG90" s="91"/>
      <c r="NDH90" s="91"/>
      <c r="NDI90" s="91"/>
      <c r="NDJ90" s="91"/>
      <c r="NDK90" s="91"/>
      <c r="NDL90" s="91"/>
      <c r="NDM90" s="91"/>
      <c r="NDN90" s="91"/>
      <c r="NDO90" s="91"/>
      <c r="NDP90" s="91"/>
      <c r="NDQ90" s="91"/>
      <c r="NDR90" s="91"/>
      <c r="NDS90" s="91"/>
      <c r="NDT90" s="91"/>
      <c r="NDU90" s="91"/>
      <c r="NDV90" s="91"/>
      <c r="NDW90" s="91"/>
      <c r="NDX90" s="91"/>
      <c r="NDY90" s="91"/>
      <c r="NDZ90" s="91"/>
      <c r="NEA90" s="91"/>
      <c r="NEB90" s="91"/>
      <c r="NEC90" s="91"/>
      <c r="NED90" s="91"/>
      <c r="NEE90" s="91"/>
      <c r="NEF90" s="91"/>
      <c r="NEG90" s="91"/>
      <c r="NEH90" s="91"/>
      <c r="NEI90" s="91"/>
      <c r="NEJ90" s="91"/>
      <c r="NEK90" s="91"/>
      <c r="NEL90" s="91"/>
      <c r="NEM90" s="91"/>
      <c r="NEN90" s="91"/>
      <c r="NEO90" s="91"/>
      <c r="NEP90" s="91"/>
      <c r="NEQ90" s="91"/>
      <c r="NER90" s="91"/>
      <c r="NES90" s="91"/>
      <c r="NET90" s="91"/>
      <c r="NEU90" s="91"/>
      <c r="NEV90" s="91"/>
      <c r="NEW90" s="91"/>
      <c r="NEX90" s="91"/>
      <c r="NEY90" s="91"/>
      <c r="NEZ90" s="91"/>
      <c r="NFA90" s="91"/>
      <c r="NFB90" s="91"/>
      <c r="NFC90" s="91"/>
      <c r="NFD90" s="91"/>
      <c r="NFE90" s="91"/>
      <c r="NFF90" s="91"/>
      <c r="NFG90" s="91"/>
      <c r="NFH90" s="91"/>
      <c r="NFI90" s="91"/>
      <c r="NFJ90" s="91"/>
      <c r="NFK90" s="91"/>
      <c r="NFL90" s="91"/>
      <c r="NFM90" s="91"/>
      <c r="NFN90" s="91"/>
      <c r="NFO90" s="91"/>
      <c r="NFP90" s="91"/>
      <c r="NFQ90" s="91"/>
      <c r="NFR90" s="91"/>
      <c r="NFS90" s="91"/>
      <c r="NFT90" s="91"/>
      <c r="NFU90" s="91"/>
      <c r="NFV90" s="91"/>
      <c r="NFW90" s="91"/>
      <c r="NFX90" s="91"/>
      <c r="NFY90" s="91"/>
      <c r="NFZ90" s="91"/>
      <c r="NGA90" s="91"/>
      <c r="NGB90" s="91"/>
      <c r="NGC90" s="91"/>
      <c r="NGD90" s="91"/>
      <c r="NGE90" s="91"/>
      <c r="NGF90" s="91"/>
      <c r="NGG90" s="91"/>
      <c r="NGH90" s="91"/>
      <c r="NGI90" s="91"/>
      <c r="NGJ90" s="91"/>
      <c r="NGK90" s="91"/>
      <c r="NGL90" s="91"/>
      <c r="NGM90" s="91"/>
      <c r="NGN90" s="91"/>
      <c r="NGO90" s="91"/>
      <c r="NGP90" s="91"/>
      <c r="NGQ90" s="91"/>
      <c r="NGR90" s="91"/>
      <c r="NGS90" s="91"/>
      <c r="NGT90" s="91"/>
      <c r="NGU90" s="91"/>
      <c r="NGV90" s="91"/>
      <c r="NGW90" s="91"/>
      <c r="NGX90" s="91"/>
      <c r="NGY90" s="91"/>
      <c r="NGZ90" s="91"/>
      <c r="NHA90" s="91"/>
      <c r="NHB90" s="91"/>
      <c r="NHC90" s="91"/>
      <c r="NHD90" s="91"/>
      <c r="NHE90" s="91"/>
      <c r="NHF90" s="91"/>
      <c r="NHG90" s="91"/>
      <c r="NHH90" s="91"/>
      <c r="NHI90" s="91"/>
      <c r="NHJ90" s="91"/>
      <c r="NHK90" s="91"/>
      <c r="NHL90" s="91"/>
      <c r="NHM90" s="91"/>
      <c r="NHN90" s="91"/>
      <c r="NHO90" s="91"/>
      <c r="NHP90" s="91"/>
      <c r="NHQ90" s="91"/>
      <c r="NHR90" s="91"/>
      <c r="NHS90" s="91"/>
      <c r="NHT90" s="91"/>
      <c r="NHU90" s="91"/>
      <c r="NHV90" s="91"/>
      <c r="NHW90" s="91"/>
      <c r="NHX90" s="91"/>
      <c r="NHY90" s="91"/>
      <c r="NHZ90" s="91"/>
      <c r="NIA90" s="91"/>
      <c r="NIB90" s="91"/>
      <c r="NIC90" s="91"/>
      <c r="NID90" s="91"/>
      <c r="NIE90" s="91"/>
      <c r="NIF90" s="91"/>
      <c r="NIG90" s="91"/>
      <c r="NIH90" s="91"/>
      <c r="NII90" s="91"/>
      <c r="NIJ90" s="91"/>
      <c r="NIK90" s="91"/>
      <c r="NIL90" s="91"/>
      <c r="NIM90" s="91"/>
      <c r="NIN90" s="91"/>
      <c r="NIO90" s="91"/>
      <c r="NIP90" s="91"/>
      <c r="NIQ90" s="91"/>
      <c r="NIR90" s="91"/>
      <c r="NIS90" s="91"/>
      <c r="NIT90" s="91"/>
      <c r="NIU90" s="91"/>
      <c r="NIV90" s="91"/>
      <c r="NIW90" s="91"/>
      <c r="NIX90" s="91"/>
      <c r="NIY90" s="91"/>
      <c r="NIZ90" s="91"/>
      <c r="NJA90" s="91"/>
      <c r="NJB90" s="91"/>
      <c r="NJC90" s="91"/>
      <c r="NJD90" s="91"/>
      <c r="NJE90" s="91"/>
      <c r="NJF90" s="91"/>
      <c r="NJG90" s="91"/>
      <c r="NJH90" s="91"/>
      <c r="NJI90" s="91"/>
      <c r="NJJ90" s="91"/>
      <c r="NJK90" s="91"/>
      <c r="NJL90" s="91"/>
      <c r="NJM90" s="91"/>
      <c r="NJN90" s="91"/>
      <c r="NJO90" s="91"/>
      <c r="NJP90" s="91"/>
      <c r="NJQ90" s="91"/>
      <c r="NJR90" s="91"/>
      <c r="NJS90" s="91"/>
      <c r="NJT90" s="91"/>
      <c r="NJU90" s="91"/>
      <c r="NJV90" s="91"/>
      <c r="NJW90" s="91"/>
      <c r="NJX90" s="91"/>
      <c r="NJY90" s="91"/>
      <c r="NJZ90" s="91"/>
      <c r="NKA90" s="91"/>
      <c r="NKB90" s="91"/>
      <c r="NKC90" s="91"/>
      <c r="NKD90" s="91"/>
      <c r="NKE90" s="91"/>
      <c r="NKF90" s="91"/>
      <c r="NKG90" s="91"/>
      <c r="NKH90" s="91"/>
      <c r="NKI90" s="91"/>
      <c r="NKJ90" s="91"/>
      <c r="NKK90" s="91"/>
      <c r="NKL90" s="91"/>
      <c r="NKM90" s="91"/>
      <c r="NKN90" s="91"/>
      <c r="NKO90" s="91"/>
      <c r="NKP90" s="91"/>
      <c r="NKQ90" s="91"/>
      <c r="NKR90" s="91"/>
      <c r="NKS90" s="91"/>
      <c r="NKT90" s="91"/>
      <c r="NKU90" s="91"/>
      <c r="NKV90" s="91"/>
      <c r="NKW90" s="91"/>
      <c r="NKX90" s="91"/>
      <c r="NKY90" s="91"/>
      <c r="NKZ90" s="91"/>
      <c r="NLA90" s="91"/>
      <c r="NLB90" s="91"/>
      <c r="NLC90" s="91"/>
      <c r="NLD90" s="91"/>
      <c r="NLE90" s="91"/>
      <c r="NLF90" s="91"/>
      <c r="NLG90" s="91"/>
      <c r="NLH90" s="91"/>
      <c r="NLI90" s="91"/>
      <c r="NLJ90" s="91"/>
      <c r="NLK90" s="91"/>
      <c r="NLL90" s="91"/>
      <c r="NLM90" s="91"/>
      <c r="NLN90" s="91"/>
      <c r="NLO90" s="91"/>
      <c r="NLP90" s="91"/>
      <c r="NLQ90" s="91"/>
      <c r="NLR90" s="91"/>
      <c r="NLS90" s="91"/>
      <c r="NLT90" s="91"/>
      <c r="NLU90" s="91"/>
      <c r="NLV90" s="91"/>
      <c r="NLW90" s="91"/>
      <c r="NLX90" s="91"/>
      <c r="NLY90" s="91"/>
      <c r="NLZ90" s="91"/>
      <c r="NMA90" s="91"/>
      <c r="NMB90" s="91"/>
      <c r="NMC90" s="91"/>
      <c r="NMD90" s="91"/>
      <c r="NME90" s="91"/>
      <c r="NMF90" s="91"/>
      <c r="NMG90" s="91"/>
      <c r="NMH90" s="91"/>
      <c r="NMI90" s="91"/>
      <c r="NMJ90" s="91"/>
      <c r="NMK90" s="91"/>
      <c r="NML90" s="91"/>
      <c r="NMM90" s="91"/>
      <c r="NMN90" s="91"/>
      <c r="NMO90" s="91"/>
      <c r="NMP90" s="91"/>
      <c r="NMQ90" s="91"/>
      <c r="NMR90" s="91"/>
      <c r="NMS90" s="91"/>
      <c r="NMT90" s="91"/>
      <c r="NMU90" s="91"/>
      <c r="NMV90" s="91"/>
      <c r="NMW90" s="91"/>
      <c r="NMX90" s="91"/>
      <c r="NMY90" s="91"/>
      <c r="NMZ90" s="91"/>
      <c r="NNA90" s="91"/>
      <c r="NNB90" s="91"/>
      <c r="NNC90" s="91"/>
      <c r="NND90" s="91"/>
      <c r="NNE90" s="91"/>
      <c r="NNF90" s="91"/>
      <c r="NNG90" s="91"/>
      <c r="NNH90" s="91"/>
      <c r="NNI90" s="91"/>
      <c r="NNJ90" s="91"/>
      <c r="NNK90" s="91"/>
      <c r="NNL90" s="91"/>
      <c r="NNM90" s="91"/>
      <c r="NNN90" s="91"/>
      <c r="NNO90" s="91"/>
      <c r="NNP90" s="91"/>
      <c r="NNQ90" s="91"/>
      <c r="NNR90" s="91"/>
      <c r="NNS90" s="91"/>
      <c r="NNT90" s="91"/>
      <c r="NNU90" s="91"/>
      <c r="NNV90" s="91"/>
      <c r="NNW90" s="91"/>
      <c r="NNX90" s="91"/>
      <c r="NNY90" s="91"/>
      <c r="NNZ90" s="91"/>
      <c r="NOA90" s="91"/>
      <c r="NOB90" s="91"/>
      <c r="NOC90" s="91"/>
      <c r="NOD90" s="91"/>
      <c r="NOE90" s="91"/>
      <c r="NOF90" s="91"/>
      <c r="NOG90" s="91"/>
      <c r="NOH90" s="91"/>
      <c r="NOI90" s="91"/>
      <c r="NOJ90" s="91"/>
      <c r="NOK90" s="91"/>
      <c r="NOL90" s="91"/>
      <c r="NOM90" s="91"/>
      <c r="NON90" s="91"/>
      <c r="NOO90" s="91"/>
      <c r="NOP90" s="91"/>
      <c r="NOQ90" s="91"/>
      <c r="NOR90" s="91"/>
      <c r="NOS90" s="91"/>
      <c r="NOT90" s="91"/>
      <c r="NOU90" s="91"/>
      <c r="NOV90" s="91"/>
      <c r="NOW90" s="91"/>
      <c r="NOX90" s="91"/>
      <c r="NOY90" s="91"/>
      <c r="NOZ90" s="91"/>
      <c r="NPA90" s="91"/>
      <c r="NPB90" s="91"/>
      <c r="NPC90" s="91"/>
      <c r="NPD90" s="91"/>
      <c r="NPE90" s="91"/>
      <c r="NPF90" s="91"/>
      <c r="NPG90" s="91"/>
      <c r="NPH90" s="91"/>
      <c r="NPI90" s="91"/>
      <c r="NPJ90" s="91"/>
      <c r="NPK90" s="91"/>
      <c r="NPL90" s="91"/>
      <c r="NPM90" s="91"/>
      <c r="NPN90" s="91"/>
      <c r="NPO90" s="91"/>
      <c r="NPP90" s="91"/>
      <c r="NPQ90" s="91"/>
      <c r="NPR90" s="91"/>
      <c r="NPS90" s="91"/>
      <c r="NPT90" s="91"/>
      <c r="NPU90" s="91"/>
      <c r="NPV90" s="91"/>
      <c r="NPW90" s="91"/>
      <c r="NPX90" s="91"/>
      <c r="NPY90" s="91"/>
      <c r="NPZ90" s="91"/>
      <c r="NQA90" s="91"/>
      <c r="NQB90" s="91"/>
      <c r="NQC90" s="91"/>
      <c r="NQD90" s="91"/>
      <c r="NQE90" s="91"/>
      <c r="NQF90" s="91"/>
      <c r="NQG90" s="91"/>
      <c r="NQH90" s="91"/>
      <c r="NQI90" s="91"/>
      <c r="NQJ90" s="91"/>
      <c r="NQK90" s="91"/>
      <c r="NQL90" s="91"/>
      <c r="NQM90" s="91"/>
      <c r="NQN90" s="91"/>
      <c r="NQO90" s="91"/>
      <c r="NQP90" s="91"/>
      <c r="NQQ90" s="91"/>
      <c r="NQR90" s="91"/>
      <c r="NQS90" s="91"/>
      <c r="NQT90" s="91"/>
      <c r="NQU90" s="91"/>
      <c r="NQV90" s="91"/>
      <c r="NQW90" s="91"/>
      <c r="NQX90" s="91"/>
      <c r="NQY90" s="91"/>
      <c r="NQZ90" s="91"/>
      <c r="NRA90" s="91"/>
      <c r="NRB90" s="91"/>
      <c r="NRC90" s="91"/>
      <c r="NRD90" s="91"/>
      <c r="NRE90" s="91"/>
    </row>
    <row r="91" spans="1:9937" ht="25" customHeight="1" x14ac:dyDescent="0.45">
      <c r="A91" s="201" t="s">
        <v>489</v>
      </c>
      <c r="B91" s="202"/>
      <c r="C91" s="392">
        <f t="shared" ref="C91:E91" si="47">IF(C43="YES", IFERROR(ROUND((C4*C54*C55*100),1),0), 0)</f>
        <v>0</v>
      </c>
      <c r="D91" s="392">
        <f t="shared" si="47"/>
        <v>0</v>
      </c>
      <c r="E91" s="392">
        <f t="shared" si="47"/>
        <v>0</v>
      </c>
      <c r="F91" s="364">
        <f t="shared" ref="F91" si="48">IF(F43="YES", IFERROR(ROUND((F4*F54*F55*100),1),0), 0)</f>
        <v>0</v>
      </c>
    </row>
    <row r="92" spans="1:9937" ht="25" customHeight="1" x14ac:dyDescent="0.45">
      <c r="A92" s="201" t="s">
        <v>641</v>
      </c>
      <c r="B92" s="202"/>
      <c r="C92" s="392">
        <f t="shared" ref="C92" si="49">IF(C44="YES",C45*500+C46*250,0)</f>
        <v>0</v>
      </c>
      <c r="D92" s="392">
        <f t="shared" ref="D92:E92" si="50">IF(D4=0,0,D45*500+D46*250)</f>
        <v>0</v>
      </c>
      <c r="E92" s="392">
        <f t="shared" si="50"/>
        <v>0</v>
      </c>
      <c r="F92" s="364">
        <f t="shared" ref="F92" si="51">IF(F4=0,0,F45*500+F46*250)</f>
        <v>0</v>
      </c>
    </row>
    <row r="93" spans="1:9937" s="17" customFormat="1" ht="25" customHeight="1" thickBot="1" x14ac:dyDescent="0.5">
      <c r="A93" s="198" t="s">
        <v>637</v>
      </c>
      <c r="B93" s="199"/>
      <c r="C93" s="416">
        <f t="shared" ref="C93:E93" si="52">+C92+C91</f>
        <v>0</v>
      </c>
      <c r="D93" s="416">
        <f t="shared" si="52"/>
        <v>0</v>
      </c>
      <c r="E93" s="416">
        <f t="shared" si="52"/>
        <v>0</v>
      </c>
      <c r="F93" s="386">
        <f t="shared" ref="F93" si="53">+F92+F91</f>
        <v>0</v>
      </c>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c r="DW93" s="101"/>
      <c r="DX93" s="101"/>
      <c r="DY93" s="101"/>
      <c r="DZ93" s="101"/>
      <c r="EA93" s="101"/>
      <c r="EB93" s="101"/>
      <c r="EC93" s="101"/>
      <c r="ED93" s="101"/>
      <c r="EE93" s="101"/>
      <c r="EF93" s="101"/>
      <c r="EG93" s="101"/>
      <c r="EH93" s="101"/>
      <c r="EI93" s="101"/>
      <c r="EJ93" s="101"/>
      <c r="EK93" s="101"/>
      <c r="EL93" s="101"/>
      <c r="EM93" s="101"/>
      <c r="EN93" s="101"/>
      <c r="EO93" s="101"/>
      <c r="EP93" s="101"/>
      <c r="EQ93" s="101"/>
      <c r="ER93" s="101"/>
      <c r="ES93" s="101"/>
      <c r="ET93" s="101"/>
      <c r="EU93" s="101"/>
      <c r="EV93" s="101"/>
      <c r="EW93" s="101"/>
      <c r="EX93" s="101"/>
      <c r="EY93" s="101"/>
      <c r="EZ93" s="101"/>
      <c r="FA93" s="101"/>
      <c r="FB93" s="101"/>
      <c r="FC93" s="101"/>
      <c r="FD93" s="101"/>
      <c r="FE93" s="101"/>
      <c r="FF93" s="101"/>
      <c r="FG93" s="101"/>
      <c r="FH93" s="101"/>
      <c r="FI93" s="101"/>
      <c r="FJ93" s="101"/>
      <c r="FK93" s="101"/>
      <c r="FL93" s="101"/>
      <c r="FM93" s="101"/>
      <c r="FN93" s="101"/>
      <c r="FO93" s="101"/>
      <c r="FP93" s="101"/>
      <c r="FQ93" s="101"/>
      <c r="FR93" s="101"/>
      <c r="FS93" s="101"/>
      <c r="FT93" s="101"/>
      <c r="FU93" s="101"/>
      <c r="FV93" s="101"/>
      <c r="FW93" s="101"/>
      <c r="FX93" s="101"/>
      <c r="FY93" s="101"/>
      <c r="FZ93" s="101"/>
      <c r="GA93" s="101"/>
      <c r="GB93" s="101"/>
      <c r="GC93" s="101"/>
      <c r="GD93" s="101"/>
      <c r="GE93" s="101"/>
      <c r="GF93" s="101"/>
      <c r="GG93" s="101"/>
      <c r="GH93" s="101"/>
      <c r="GI93" s="101"/>
      <c r="GJ93" s="101"/>
      <c r="GK93" s="101"/>
      <c r="GL93" s="101"/>
      <c r="GM93" s="101"/>
      <c r="GN93" s="101"/>
      <c r="GO93" s="101"/>
      <c r="GP93" s="101"/>
      <c r="GQ93" s="101"/>
      <c r="GR93" s="101"/>
      <c r="GS93" s="101"/>
      <c r="GT93" s="101"/>
      <c r="GU93" s="101"/>
      <c r="GV93" s="101"/>
      <c r="GW93" s="101"/>
      <c r="GX93" s="101"/>
      <c r="GY93" s="101"/>
      <c r="GZ93" s="101"/>
      <c r="HA93" s="101"/>
      <c r="HB93" s="101"/>
      <c r="HC93" s="101"/>
      <c r="HD93" s="101"/>
      <c r="HE93" s="101"/>
      <c r="HF93" s="101"/>
      <c r="HG93" s="101"/>
      <c r="HH93" s="101"/>
      <c r="HI93" s="101"/>
      <c r="HJ93" s="101"/>
      <c r="HK93" s="101"/>
      <c r="HL93" s="101"/>
      <c r="HM93" s="101"/>
      <c r="HN93" s="101"/>
      <c r="HO93" s="101"/>
      <c r="HP93" s="101"/>
      <c r="HQ93" s="101"/>
      <c r="HR93" s="101"/>
      <c r="HS93" s="101"/>
      <c r="HT93" s="101"/>
      <c r="HU93" s="101"/>
      <c r="HV93" s="101"/>
      <c r="HW93" s="101"/>
      <c r="HX93" s="101"/>
      <c r="HY93" s="101"/>
      <c r="HZ93" s="101"/>
      <c r="IA93" s="101"/>
      <c r="IB93" s="101"/>
      <c r="IC93" s="101"/>
      <c r="ID93" s="101"/>
      <c r="IE93" s="101"/>
      <c r="IF93" s="101"/>
      <c r="IG93" s="101"/>
      <c r="IH93" s="101"/>
      <c r="II93" s="101"/>
      <c r="IJ93" s="101"/>
      <c r="IK93" s="101"/>
      <c r="IL93" s="101"/>
      <c r="IM93" s="101"/>
      <c r="IN93" s="101"/>
      <c r="IO93" s="101"/>
      <c r="IP93" s="101"/>
      <c r="IQ93" s="101"/>
      <c r="IR93" s="101"/>
      <c r="IS93" s="101"/>
      <c r="IT93" s="101"/>
      <c r="IU93" s="101"/>
      <c r="IV93" s="101"/>
      <c r="IW93" s="101"/>
      <c r="IX93" s="101"/>
      <c r="IY93" s="101"/>
      <c r="IZ93" s="101"/>
      <c r="JA93" s="101"/>
      <c r="JB93" s="101"/>
      <c r="JC93" s="101"/>
      <c r="JD93" s="101"/>
      <c r="JE93" s="101"/>
      <c r="JF93" s="101"/>
      <c r="JG93" s="101"/>
      <c r="JH93" s="101"/>
      <c r="JI93" s="101"/>
      <c r="JJ93" s="101"/>
      <c r="JK93" s="101"/>
      <c r="JL93" s="101"/>
      <c r="JM93" s="101"/>
      <c r="JN93" s="101"/>
      <c r="JO93" s="101"/>
      <c r="JP93" s="101"/>
      <c r="JQ93" s="101"/>
      <c r="JR93" s="101"/>
      <c r="JS93" s="101"/>
      <c r="JT93" s="101"/>
      <c r="JU93" s="101"/>
      <c r="JV93" s="101"/>
      <c r="JW93" s="101"/>
      <c r="JX93" s="101"/>
      <c r="JY93" s="101"/>
      <c r="JZ93" s="101"/>
      <c r="KA93" s="101"/>
      <c r="KB93" s="101"/>
      <c r="KC93" s="101"/>
      <c r="KD93" s="101"/>
      <c r="KE93" s="101"/>
      <c r="KF93" s="101"/>
      <c r="KG93" s="101"/>
      <c r="KH93" s="101"/>
      <c r="KI93" s="101"/>
      <c r="KJ93" s="101"/>
      <c r="KK93" s="101"/>
      <c r="KL93" s="101"/>
      <c r="KM93" s="101"/>
      <c r="KN93" s="101"/>
      <c r="KO93" s="101"/>
      <c r="KP93" s="101"/>
      <c r="KQ93" s="101"/>
      <c r="KR93" s="101"/>
      <c r="KS93" s="101"/>
      <c r="KT93" s="101"/>
      <c r="KU93" s="101"/>
      <c r="KV93" s="101"/>
      <c r="KW93" s="101"/>
      <c r="KX93" s="101"/>
      <c r="KY93" s="101"/>
      <c r="KZ93" s="101"/>
      <c r="LA93" s="101"/>
      <c r="LB93" s="101"/>
      <c r="LC93" s="101"/>
      <c r="LD93" s="101"/>
      <c r="LE93" s="101"/>
      <c r="LF93" s="101"/>
      <c r="LG93" s="101"/>
      <c r="LH93" s="101"/>
      <c r="LI93" s="101"/>
      <c r="LJ93" s="101"/>
      <c r="LK93" s="101"/>
      <c r="LL93" s="101"/>
      <c r="LM93" s="101"/>
      <c r="LN93" s="101"/>
      <c r="LO93" s="101"/>
      <c r="LP93" s="101"/>
      <c r="LQ93" s="101"/>
      <c r="LR93" s="101"/>
      <c r="LS93" s="101"/>
      <c r="LT93" s="101"/>
      <c r="LU93" s="101"/>
      <c r="LV93" s="101"/>
      <c r="LW93" s="101"/>
      <c r="LX93" s="101"/>
      <c r="LY93" s="101"/>
      <c r="LZ93" s="101"/>
      <c r="MA93" s="101"/>
      <c r="MB93" s="101"/>
      <c r="MC93" s="101"/>
      <c r="MD93" s="101"/>
      <c r="ME93" s="101"/>
      <c r="MF93" s="101"/>
      <c r="MG93" s="101"/>
      <c r="MH93" s="101"/>
      <c r="MI93" s="101"/>
      <c r="MJ93" s="101"/>
      <c r="MK93" s="101"/>
      <c r="ML93" s="101"/>
      <c r="MM93" s="101"/>
      <c r="MN93" s="101"/>
      <c r="MO93" s="101"/>
      <c r="MP93" s="101"/>
      <c r="MQ93" s="101"/>
      <c r="MR93" s="101"/>
      <c r="MS93" s="101"/>
      <c r="MT93" s="101"/>
      <c r="MU93" s="101"/>
      <c r="MV93" s="101"/>
      <c r="MW93" s="101"/>
      <c r="MX93" s="101"/>
      <c r="MY93" s="101"/>
      <c r="MZ93" s="101"/>
      <c r="NA93" s="101"/>
      <c r="NB93" s="101"/>
      <c r="NC93" s="101"/>
      <c r="ND93" s="101"/>
      <c r="NE93" s="101"/>
      <c r="NF93" s="101"/>
      <c r="NG93" s="101"/>
      <c r="NH93" s="101"/>
      <c r="NI93" s="101"/>
      <c r="NJ93" s="101"/>
      <c r="NK93" s="101"/>
      <c r="NL93" s="101"/>
      <c r="NM93" s="101"/>
      <c r="NN93" s="101"/>
      <c r="NO93" s="101"/>
      <c r="NP93" s="101"/>
      <c r="NQ93" s="101"/>
      <c r="NR93" s="101"/>
      <c r="NS93" s="101"/>
      <c r="NT93" s="101"/>
      <c r="NU93" s="101"/>
      <c r="NV93" s="101"/>
      <c r="NW93" s="101"/>
      <c r="NX93" s="101"/>
      <c r="NY93" s="101"/>
      <c r="NZ93" s="101"/>
      <c r="OA93" s="101"/>
      <c r="OB93" s="101"/>
      <c r="OC93" s="101"/>
      <c r="OD93" s="101"/>
      <c r="OE93" s="101"/>
      <c r="OF93" s="101"/>
      <c r="OG93" s="101"/>
      <c r="OH93" s="101"/>
      <c r="OI93" s="101"/>
      <c r="OJ93" s="101"/>
      <c r="OK93" s="101"/>
      <c r="OL93" s="101"/>
      <c r="OM93" s="101"/>
      <c r="ON93" s="101"/>
      <c r="OO93" s="101"/>
      <c r="OP93" s="101"/>
      <c r="OQ93" s="101"/>
      <c r="OR93" s="101"/>
      <c r="OS93" s="101"/>
      <c r="OT93" s="101"/>
      <c r="OU93" s="101"/>
      <c r="OV93" s="101"/>
      <c r="OW93" s="101"/>
      <c r="OX93" s="101"/>
      <c r="OY93" s="101"/>
      <c r="OZ93" s="101"/>
      <c r="PA93" s="101"/>
      <c r="PB93" s="101"/>
      <c r="PC93" s="101"/>
      <c r="PD93" s="101"/>
      <c r="PE93" s="101"/>
      <c r="PF93" s="101"/>
      <c r="PG93" s="101"/>
      <c r="PH93" s="101"/>
      <c r="PI93" s="101"/>
      <c r="PJ93" s="101"/>
      <c r="PK93" s="101"/>
      <c r="PL93" s="101"/>
      <c r="PM93" s="101"/>
      <c r="PN93" s="101"/>
      <c r="PO93" s="101"/>
      <c r="PP93" s="101"/>
      <c r="PQ93" s="101"/>
      <c r="PR93" s="101"/>
      <c r="PS93" s="101"/>
      <c r="PT93" s="101"/>
      <c r="PU93" s="101"/>
      <c r="PV93" s="101"/>
      <c r="PW93" s="101"/>
      <c r="PX93" s="101"/>
      <c r="PY93" s="101"/>
      <c r="PZ93" s="101"/>
      <c r="QA93" s="101"/>
      <c r="QB93" s="101"/>
      <c r="QC93" s="101"/>
      <c r="QD93" s="101"/>
      <c r="QE93" s="101"/>
      <c r="QF93" s="101"/>
      <c r="QG93" s="101"/>
      <c r="QH93" s="101"/>
      <c r="QI93" s="101"/>
      <c r="QJ93" s="101"/>
      <c r="QK93" s="101"/>
      <c r="QL93" s="101"/>
      <c r="QM93" s="101"/>
      <c r="QN93" s="101"/>
      <c r="QO93" s="101"/>
      <c r="QP93" s="101"/>
      <c r="QQ93" s="101"/>
      <c r="QR93" s="101"/>
      <c r="QS93" s="101"/>
      <c r="QT93" s="101"/>
      <c r="QU93" s="101"/>
      <c r="QV93" s="101"/>
      <c r="QW93" s="101"/>
      <c r="QX93" s="101"/>
      <c r="QY93" s="101"/>
      <c r="QZ93" s="101"/>
      <c r="RA93" s="101"/>
      <c r="RB93" s="101"/>
      <c r="RC93" s="101"/>
      <c r="RD93" s="101"/>
      <c r="RE93" s="101"/>
      <c r="RF93" s="101"/>
      <c r="RG93" s="101"/>
      <c r="RH93" s="101"/>
      <c r="RI93" s="101"/>
      <c r="RJ93" s="101"/>
      <c r="RK93" s="101"/>
      <c r="RL93" s="101"/>
      <c r="RM93" s="101"/>
      <c r="RN93" s="101"/>
      <c r="RO93" s="101"/>
      <c r="RP93" s="101"/>
      <c r="RQ93" s="101"/>
      <c r="RR93" s="101"/>
      <c r="RS93" s="101"/>
      <c r="RT93" s="101"/>
      <c r="RU93" s="101"/>
      <c r="RV93" s="101"/>
      <c r="RW93" s="101"/>
      <c r="RX93" s="101"/>
      <c r="RY93" s="101"/>
      <c r="RZ93" s="101"/>
      <c r="SA93" s="101"/>
      <c r="SB93" s="101"/>
      <c r="SC93" s="101"/>
      <c r="SD93" s="101"/>
      <c r="SE93" s="101"/>
      <c r="SF93" s="101"/>
      <c r="SG93" s="101"/>
      <c r="SH93" s="101"/>
      <c r="SI93" s="101"/>
      <c r="SJ93" s="101"/>
      <c r="SK93" s="101"/>
      <c r="SL93" s="101"/>
      <c r="SM93" s="101"/>
      <c r="SN93" s="101"/>
      <c r="SO93" s="101"/>
      <c r="SP93" s="101"/>
      <c r="SQ93" s="101"/>
      <c r="SR93" s="101"/>
      <c r="SS93" s="101"/>
      <c r="ST93" s="101"/>
      <c r="SU93" s="101"/>
      <c r="SV93" s="101"/>
      <c r="SW93" s="101"/>
      <c r="SX93" s="101"/>
      <c r="SY93" s="101"/>
      <c r="SZ93" s="101"/>
      <c r="TA93" s="101"/>
      <c r="TB93" s="101"/>
      <c r="TC93" s="101"/>
      <c r="TD93" s="101"/>
      <c r="TE93" s="101"/>
      <c r="TF93" s="101"/>
      <c r="TG93" s="101"/>
      <c r="TH93" s="101"/>
      <c r="TI93" s="101"/>
      <c r="TJ93" s="101"/>
      <c r="TK93" s="101"/>
      <c r="TL93" s="101"/>
      <c r="TM93" s="101"/>
      <c r="TN93" s="101"/>
      <c r="TO93" s="101"/>
      <c r="TP93" s="101"/>
      <c r="TQ93" s="101"/>
      <c r="TR93" s="101"/>
      <c r="TS93" s="101"/>
      <c r="TT93" s="101"/>
      <c r="TU93" s="101"/>
      <c r="TV93" s="101"/>
      <c r="TW93" s="101"/>
      <c r="TX93" s="101"/>
      <c r="TY93" s="101"/>
      <c r="TZ93" s="101"/>
      <c r="UA93" s="101"/>
      <c r="UB93" s="101"/>
      <c r="UC93" s="101"/>
      <c r="UD93" s="101"/>
      <c r="UE93" s="101"/>
      <c r="UF93" s="101"/>
      <c r="UG93" s="101"/>
      <c r="UH93" s="101"/>
      <c r="UI93" s="101"/>
      <c r="UJ93" s="101"/>
      <c r="UK93" s="101"/>
      <c r="UL93" s="101"/>
      <c r="UM93" s="101"/>
      <c r="UN93" s="101"/>
      <c r="UO93" s="101"/>
      <c r="UP93" s="101"/>
      <c r="UQ93" s="101"/>
      <c r="UR93" s="101"/>
      <c r="US93" s="101"/>
      <c r="UT93" s="101"/>
      <c r="UU93" s="101"/>
      <c r="UV93" s="101"/>
      <c r="UW93" s="101"/>
      <c r="UX93" s="101"/>
      <c r="UY93" s="101"/>
      <c r="UZ93" s="101"/>
      <c r="VA93" s="101"/>
      <c r="VB93" s="101"/>
      <c r="VC93" s="101"/>
      <c r="VD93" s="101"/>
      <c r="VE93" s="101"/>
      <c r="VF93" s="101"/>
      <c r="VG93" s="101"/>
      <c r="VH93" s="101"/>
      <c r="VI93" s="101"/>
      <c r="VJ93" s="101"/>
      <c r="VK93" s="101"/>
      <c r="VL93" s="101"/>
      <c r="VM93" s="101"/>
      <c r="VN93" s="101"/>
      <c r="VO93" s="101"/>
      <c r="VP93" s="101"/>
      <c r="VQ93" s="101"/>
      <c r="VR93" s="101"/>
      <c r="VS93" s="101"/>
      <c r="VT93" s="101"/>
      <c r="VU93" s="101"/>
      <c r="VV93" s="101"/>
      <c r="VW93" s="101"/>
      <c r="VX93" s="101"/>
      <c r="VY93" s="101"/>
      <c r="VZ93" s="101"/>
      <c r="WA93" s="101"/>
      <c r="WB93" s="101"/>
      <c r="WC93" s="101"/>
      <c r="WD93" s="101"/>
      <c r="WE93" s="101"/>
      <c r="WF93" s="101"/>
      <c r="WG93" s="101"/>
      <c r="WH93" s="101"/>
      <c r="WI93" s="101"/>
      <c r="WJ93" s="101"/>
      <c r="WK93" s="101"/>
      <c r="WL93" s="101"/>
      <c r="WM93" s="101"/>
      <c r="WN93" s="101"/>
      <c r="WO93" s="101"/>
      <c r="WP93" s="101"/>
      <c r="WQ93" s="101"/>
      <c r="WR93" s="101"/>
      <c r="WS93" s="101"/>
      <c r="WT93" s="101"/>
      <c r="WU93" s="101"/>
      <c r="WV93" s="101"/>
      <c r="WW93" s="101"/>
      <c r="WX93" s="101"/>
      <c r="WY93" s="101"/>
      <c r="WZ93" s="101"/>
      <c r="XA93" s="101"/>
      <c r="XB93" s="101"/>
      <c r="XC93" s="101"/>
      <c r="XD93" s="101"/>
      <c r="XE93" s="101"/>
      <c r="XF93" s="101"/>
      <c r="XG93" s="101"/>
      <c r="XH93" s="101"/>
      <c r="XI93" s="101"/>
      <c r="XJ93" s="101"/>
      <c r="XK93" s="101"/>
      <c r="XL93" s="101"/>
      <c r="XM93" s="101"/>
      <c r="XN93" s="101"/>
      <c r="XO93" s="101"/>
      <c r="XP93" s="101"/>
      <c r="XQ93" s="101"/>
      <c r="XR93" s="101"/>
      <c r="XS93" s="101"/>
      <c r="XT93" s="101"/>
      <c r="XU93" s="101"/>
      <c r="XV93" s="101"/>
      <c r="XW93" s="101"/>
      <c r="XX93" s="101"/>
      <c r="XY93" s="101"/>
      <c r="XZ93" s="101"/>
      <c r="YA93" s="101"/>
      <c r="YB93" s="101"/>
      <c r="YC93" s="101"/>
      <c r="YD93" s="101"/>
      <c r="YE93" s="101"/>
      <c r="YF93" s="101"/>
      <c r="YG93" s="101"/>
      <c r="YH93" s="101"/>
      <c r="YI93" s="101"/>
      <c r="YJ93" s="101"/>
      <c r="YK93" s="101"/>
      <c r="YL93" s="101"/>
      <c r="YM93" s="101"/>
      <c r="YN93" s="101"/>
      <c r="YO93" s="101"/>
      <c r="YP93" s="101"/>
      <c r="YQ93" s="101"/>
      <c r="YR93" s="101"/>
      <c r="YS93" s="101"/>
      <c r="YT93" s="101"/>
      <c r="YU93" s="101"/>
      <c r="YV93" s="101"/>
      <c r="YW93" s="101"/>
      <c r="YX93" s="101"/>
      <c r="YY93" s="101"/>
      <c r="YZ93" s="101"/>
      <c r="ZA93" s="101"/>
      <c r="ZB93" s="101"/>
      <c r="ZC93" s="101"/>
      <c r="ZD93" s="101"/>
      <c r="ZE93" s="101"/>
      <c r="ZF93" s="101"/>
      <c r="ZG93" s="101"/>
      <c r="ZH93" s="101"/>
      <c r="ZI93" s="101"/>
      <c r="ZJ93" s="101"/>
      <c r="ZK93" s="101"/>
      <c r="ZL93" s="101"/>
      <c r="ZM93" s="101"/>
      <c r="ZN93" s="101"/>
      <c r="ZO93" s="101"/>
      <c r="ZP93" s="101"/>
      <c r="ZQ93" s="101"/>
      <c r="ZR93" s="101"/>
      <c r="ZS93" s="101"/>
      <c r="ZT93" s="101"/>
      <c r="ZU93" s="101"/>
      <c r="ZV93" s="101"/>
      <c r="ZW93" s="101"/>
      <c r="ZX93" s="101"/>
      <c r="ZY93" s="101"/>
      <c r="ZZ93" s="101"/>
      <c r="AAA93" s="101"/>
      <c r="AAB93" s="101"/>
      <c r="AAC93" s="101"/>
      <c r="AAD93" s="101"/>
      <c r="AAE93" s="101"/>
      <c r="AAF93" s="101"/>
      <c r="AAG93" s="101"/>
      <c r="AAH93" s="101"/>
      <c r="AAI93" s="101"/>
      <c r="AAJ93" s="101"/>
      <c r="AAK93" s="101"/>
      <c r="AAL93" s="101"/>
      <c r="AAM93" s="101"/>
      <c r="AAN93" s="101"/>
      <c r="AAO93" s="101"/>
      <c r="AAP93" s="101"/>
      <c r="AAQ93" s="101"/>
      <c r="AAR93" s="101"/>
      <c r="AAS93" s="101"/>
      <c r="AAT93" s="101"/>
      <c r="AAU93" s="101"/>
      <c r="AAV93" s="101"/>
      <c r="AAW93" s="101"/>
      <c r="AAX93" s="101"/>
      <c r="AAY93" s="101"/>
      <c r="AAZ93" s="101"/>
      <c r="ABA93" s="101"/>
      <c r="ABB93" s="101"/>
      <c r="ABC93" s="101"/>
      <c r="ABD93" s="101"/>
      <c r="ABE93" s="101"/>
      <c r="ABF93" s="101"/>
      <c r="ABG93" s="101"/>
      <c r="ABH93" s="101"/>
      <c r="ABI93" s="101"/>
      <c r="ABJ93" s="101"/>
      <c r="ABK93" s="101"/>
      <c r="ABL93" s="101"/>
      <c r="ABM93" s="101"/>
      <c r="ABN93" s="101"/>
      <c r="ABO93" s="101"/>
      <c r="ABP93" s="101"/>
      <c r="ABQ93" s="101"/>
      <c r="ABR93" s="101"/>
      <c r="ABS93" s="101"/>
      <c r="ABT93" s="101"/>
      <c r="ABU93" s="101"/>
      <c r="ABV93" s="101"/>
      <c r="ABW93" s="101"/>
      <c r="ABX93" s="101"/>
      <c r="ABY93" s="101"/>
      <c r="ABZ93" s="101"/>
      <c r="ACA93" s="101"/>
      <c r="ACB93" s="101"/>
      <c r="ACC93" s="101"/>
      <c r="ACD93" s="101"/>
      <c r="ACE93" s="101"/>
      <c r="ACF93" s="101"/>
      <c r="ACG93" s="101"/>
      <c r="ACH93" s="101"/>
      <c r="ACI93" s="101"/>
      <c r="ACJ93" s="101"/>
      <c r="ACK93" s="101"/>
      <c r="ACL93" s="101"/>
      <c r="ACM93" s="101"/>
      <c r="ACN93" s="101"/>
      <c r="ACO93" s="101"/>
      <c r="ACP93" s="101"/>
      <c r="ACQ93" s="101"/>
      <c r="ACR93" s="101"/>
      <c r="ACS93" s="101"/>
      <c r="ACT93" s="101"/>
      <c r="ACU93" s="101"/>
      <c r="ACV93" s="101"/>
      <c r="ACW93" s="101"/>
      <c r="ACX93" s="101"/>
      <c r="ACY93" s="101"/>
      <c r="ACZ93" s="101"/>
      <c r="ADA93" s="101"/>
      <c r="ADB93" s="101"/>
      <c r="ADC93" s="101"/>
      <c r="ADD93" s="101"/>
      <c r="ADE93" s="101"/>
      <c r="ADF93" s="101"/>
      <c r="ADG93" s="101"/>
      <c r="ADH93" s="101"/>
      <c r="ADI93" s="101"/>
      <c r="ADJ93" s="101"/>
      <c r="ADK93" s="101"/>
      <c r="ADL93" s="101"/>
      <c r="ADM93" s="101"/>
      <c r="ADN93" s="101"/>
      <c r="ADO93" s="101"/>
      <c r="ADP93" s="101"/>
      <c r="ADQ93" s="101"/>
      <c r="ADR93" s="101"/>
      <c r="ADS93" s="101"/>
      <c r="ADT93" s="101"/>
      <c r="ADU93" s="101"/>
      <c r="ADV93" s="101"/>
      <c r="ADW93" s="101"/>
      <c r="ADX93" s="101"/>
      <c r="ADY93" s="101"/>
      <c r="ADZ93" s="101"/>
      <c r="AEA93" s="101"/>
      <c r="AEB93" s="101"/>
      <c r="AEC93" s="101"/>
      <c r="AED93" s="101"/>
      <c r="AEE93" s="101"/>
      <c r="AEF93" s="101"/>
      <c r="AEG93" s="101"/>
      <c r="AEH93" s="101"/>
      <c r="AEI93" s="101"/>
      <c r="AEJ93" s="101"/>
      <c r="AEK93" s="101"/>
      <c r="AEL93" s="101"/>
      <c r="AEM93" s="101"/>
      <c r="AEN93" s="101"/>
      <c r="AEO93" s="101"/>
      <c r="AEP93" s="101"/>
      <c r="AEQ93" s="101"/>
      <c r="AER93" s="101"/>
      <c r="AES93" s="101"/>
      <c r="AET93" s="101"/>
      <c r="AEU93" s="101"/>
      <c r="AEV93" s="101"/>
      <c r="AEW93" s="101"/>
      <c r="AEX93" s="101"/>
      <c r="AEY93" s="101"/>
      <c r="AEZ93" s="101"/>
      <c r="AFA93" s="101"/>
      <c r="AFB93" s="101"/>
      <c r="AFC93" s="101"/>
      <c r="AFD93" s="101"/>
      <c r="AFE93" s="101"/>
      <c r="AFF93" s="101"/>
      <c r="AFG93" s="101"/>
      <c r="AFH93" s="101"/>
      <c r="AFI93" s="101"/>
      <c r="AFJ93" s="101"/>
      <c r="AFK93" s="101"/>
      <c r="AFL93" s="101"/>
      <c r="AFM93" s="101"/>
      <c r="AFN93" s="101"/>
      <c r="AFO93" s="101"/>
      <c r="AFP93" s="101"/>
      <c r="AFQ93" s="101"/>
      <c r="AFR93" s="101"/>
      <c r="AFS93" s="101"/>
      <c r="AFT93" s="101"/>
      <c r="AFU93" s="101"/>
      <c r="AFV93" s="101"/>
      <c r="AFW93" s="101"/>
      <c r="AFX93" s="101"/>
      <c r="AFY93" s="101"/>
      <c r="AFZ93" s="101"/>
      <c r="AGA93" s="101"/>
      <c r="AGB93" s="101"/>
      <c r="AGC93" s="101"/>
      <c r="AGD93" s="101"/>
      <c r="AGE93" s="101"/>
      <c r="AGF93" s="101"/>
      <c r="AGG93" s="101"/>
      <c r="AGH93" s="101"/>
      <c r="AGI93" s="101"/>
      <c r="AGJ93" s="101"/>
      <c r="AGK93" s="101"/>
      <c r="AGL93" s="101"/>
      <c r="AGM93" s="101"/>
      <c r="AGN93" s="101"/>
      <c r="AGO93" s="101"/>
      <c r="AGP93" s="101"/>
      <c r="AGQ93" s="101"/>
      <c r="AGR93" s="101"/>
      <c r="AGS93" s="101"/>
      <c r="AGT93" s="101"/>
      <c r="AGU93" s="101"/>
      <c r="AGV93" s="101"/>
      <c r="AGW93" s="101"/>
      <c r="AGX93" s="101"/>
      <c r="AGY93" s="101"/>
      <c r="AGZ93" s="101"/>
      <c r="AHA93" s="101"/>
      <c r="AHB93" s="101"/>
      <c r="AHC93" s="101"/>
      <c r="AHD93" s="101"/>
      <c r="AHE93" s="101"/>
      <c r="AHF93" s="101"/>
      <c r="AHG93" s="101"/>
      <c r="AHH93" s="101"/>
      <c r="AHI93" s="101"/>
      <c r="AHJ93" s="101"/>
      <c r="AHK93" s="101"/>
      <c r="AHL93" s="101"/>
      <c r="AHM93" s="101"/>
      <c r="AHN93" s="101"/>
      <c r="AHO93" s="101"/>
      <c r="AHP93" s="101"/>
      <c r="AHQ93" s="101"/>
      <c r="AHR93" s="101"/>
      <c r="AHS93" s="101"/>
      <c r="AHT93" s="101"/>
      <c r="AHU93" s="101"/>
      <c r="AHV93" s="101"/>
      <c r="AHW93" s="101"/>
      <c r="AHX93" s="101"/>
      <c r="AHY93" s="101"/>
      <c r="AHZ93" s="101"/>
      <c r="AIA93" s="101"/>
      <c r="AIB93" s="101"/>
      <c r="AIC93" s="101"/>
      <c r="AID93" s="101"/>
      <c r="AIE93" s="101"/>
      <c r="AIF93" s="101"/>
      <c r="AIG93" s="101"/>
      <c r="AIH93" s="101"/>
      <c r="AII93" s="101"/>
      <c r="AIJ93" s="101"/>
      <c r="AIK93" s="101"/>
      <c r="AIL93" s="101"/>
      <c r="AIM93" s="101"/>
      <c r="AIN93" s="101"/>
      <c r="AIO93" s="101"/>
      <c r="AIP93" s="101"/>
      <c r="AIQ93" s="101"/>
      <c r="AIR93" s="101"/>
      <c r="AIS93" s="101"/>
      <c r="AIT93" s="101"/>
      <c r="AIU93" s="101"/>
      <c r="AIV93" s="101"/>
      <c r="AIW93" s="101"/>
      <c r="AIX93" s="101"/>
      <c r="AIY93" s="101"/>
      <c r="AIZ93" s="101"/>
      <c r="AJA93" s="101"/>
      <c r="AJB93" s="101"/>
      <c r="AJC93" s="101"/>
      <c r="AJD93" s="101"/>
      <c r="AJE93" s="101"/>
      <c r="AJF93" s="101"/>
      <c r="AJG93" s="101"/>
      <c r="AJH93" s="101"/>
      <c r="AJI93" s="101"/>
      <c r="AJJ93" s="101"/>
      <c r="AJK93" s="101"/>
      <c r="AJL93" s="101"/>
      <c r="AJM93" s="101"/>
      <c r="AJN93" s="101"/>
      <c r="AJO93" s="101"/>
      <c r="AJP93" s="101"/>
      <c r="AJQ93" s="101"/>
      <c r="AJR93" s="101"/>
      <c r="AJS93" s="101"/>
      <c r="AJT93" s="101"/>
      <c r="AJU93" s="101"/>
      <c r="AJV93" s="101"/>
      <c r="AJW93" s="101"/>
      <c r="AJX93" s="101"/>
      <c r="AJY93" s="101"/>
      <c r="AJZ93" s="101"/>
      <c r="AKA93" s="101"/>
      <c r="AKB93" s="101"/>
      <c r="AKC93" s="101"/>
      <c r="AKD93" s="101"/>
      <c r="AKE93" s="101"/>
      <c r="AKF93" s="101"/>
      <c r="AKG93" s="101"/>
      <c r="AKH93" s="101"/>
      <c r="AKI93" s="101"/>
      <c r="AKJ93" s="101"/>
      <c r="AKK93" s="101"/>
      <c r="AKL93" s="101"/>
      <c r="AKM93" s="101"/>
      <c r="AKN93" s="101"/>
      <c r="AKO93" s="101"/>
      <c r="AKP93" s="101"/>
      <c r="AKQ93" s="101"/>
      <c r="AKR93" s="101"/>
      <c r="AKS93" s="101"/>
      <c r="AKT93" s="101"/>
      <c r="AKU93" s="101"/>
      <c r="AKV93" s="101"/>
      <c r="AKW93" s="101"/>
      <c r="AKX93" s="101"/>
      <c r="AKY93" s="101"/>
      <c r="AKZ93" s="101"/>
      <c r="ALA93" s="101"/>
      <c r="ALB93" s="101"/>
      <c r="ALC93" s="101"/>
      <c r="ALD93" s="101"/>
      <c r="ALE93" s="101"/>
      <c r="ALF93" s="101"/>
      <c r="ALG93" s="101"/>
      <c r="ALH93" s="101"/>
      <c r="ALI93" s="101"/>
      <c r="ALJ93" s="101"/>
      <c r="ALK93" s="101"/>
      <c r="ALL93" s="101"/>
      <c r="ALM93" s="101"/>
      <c r="ALN93" s="101"/>
      <c r="ALO93" s="101"/>
      <c r="ALP93" s="101"/>
      <c r="ALQ93" s="101"/>
      <c r="ALR93" s="101"/>
      <c r="ALS93" s="101"/>
      <c r="ALT93" s="101"/>
      <c r="ALU93" s="101"/>
      <c r="ALV93" s="101"/>
      <c r="ALW93" s="101"/>
      <c r="ALX93" s="101"/>
      <c r="ALY93" s="101"/>
      <c r="ALZ93" s="101"/>
      <c r="AMA93" s="101"/>
      <c r="AMB93" s="101"/>
      <c r="AMC93" s="101"/>
      <c r="AMD93" s="101"/>
      <c r="AME93" s="101"/>
      <c r="AMF93" s="101"/>
      <c r="AMG93" s="101"/>
      <c r="AMH93" s="101"/>
      <c r="AMI93" s="101"/>
      <c r="AMJ93" s="101"/>
      <c r="AMK93" s="101"/>
      <c r="AML93" s="101"/>
      <c r="AMM93" s="101"/>
      <c r="AMN93" s="101"/>
      <c r="AMO93" s="101"/>
      <c r="AMP93" s="101"/>
      <c r="AMQ93" s="101"/>
      <c r="AMR93" s="101"/>
      <c r="AMS93" s="101"/>
      <c r="AMT93" s="101"/>
      <c r="AMU93" s="101"/>
      <c r="AMV93" s="101"/>
      <c r="AMW93" s="101"/>
      <c r="AMX93" s="101"/>
      <c r="AMY93" s="101"/>
      <c r="AMZ93" s="101"/>
      <c r="ANA93" s="101"/>
      <c r="ANB93" s="101"/>
      <c r="ANC93" s="101"/>
      <c r="AND93" s="101"/>
      <c r="ANE93" s="101"/>
      <c r="ANF93" s="101"/>
      <c r="ANG93" s="101"/>
      <c r="ANH93" s="101"/>
      <c r="ANI93" s="101"/>
      <c r="ANJ93" s="101"/>
      <c r="ANK93" s="101"/>
      <c r="ANL93" s="101"/>
      <c r="ANM93" s="101"/>
      <c r="ANN93" s="101"/>
      <c r="ANO93" s="101"/>
      <c r="ANP93" s="101"/>
      <c r="ANQ93" s="101"/>
      <c r="ANR93" s="101"/>
      <c r="ANS93" s="101"/>
      <c r="ANT93" s="101"/>
      <c r="ANU93" s="101"/>
      <c r="ANV93" s="101"/>
      <c r="ANW93" s="101"/>
      <c r="ANX93" s="101"/>
      <c r="ANY93" s="101"/>
      <c r="ANZ93" s="101"/>
      <c r="AOA93" s="101"/>
      <c r="AOB93" s="101"/>
      <c r="AOC93" s="101"/>
      <c r="AOD93" s="101"/>
      <c r="AOE93" s="101"/>
      <c r="AOF93" s="101"/>
      <c r="AOG93" s="101"/>
      <c r="AOH93" s="101"/>
      <c r="AOI93" s="101"/>
      <c r="AOJ93" s="101"/>
      <c r="AOK93" s="101"/>
      <c r="AOL93" s="101"/>
      <c r="AOM93" s="101"/>
      <c r="AON93" s="101"/>
      <c r="AOO93" s="101"/>
      <c r="AOP93" s="101"/>
      <c r="AOQ93" s="101"/>
      <c r="AOR93" s="101"/>
      <c r="AOS93" s="101"/>
      <c r="AOT93" s="101"/>
      <c r="AOU93" s="101"/>
      <c r="AOV93" s="101"/>
      <c r="AOW93" s="101"/>
      <c r="AOX93" s="101"/>
      <c r="AOY93" s="101"/>
      <c r="AOZ93" s="101"/>
      <c r="APA93" s="101"/>
      <c r="APB93" s="101"/>
      <c r="APC93" s="101"/>
      <c r="APD93" s="101"/>
      <c r="APE93" s="101"/>
      <c r="APF93" s="101"/>
      <c r="APG93" s="101"/>
      <c r="APH93" s="101"/>
      <c r="API93" s="101"/>
      <c r="APJ93" s="101"/>
      <c r="APK93" s="101"/>
      <c r="APL93" s="101"/>
      <c r="APM93" s="101"/>
      <c r="APN93" s="101"/>
      <c r="APO93" s="101"/>
      <c r="APP93" s="101"/>
      <c r="APQ93" s="101"/>
      <c r="APR93" s="101"/>
      <c r="APS93" s="101"/>
      <c r="APT93" s="101"/>
      <c r="APU93" s="101"/>
      <c r="APV93" s="101"/>
      <c r="APW93" s="101"/>
      <c r="APX93" s="101"/>
      <c r="APY93" s="101"/>
      <c r="APZ93" s="101"/>
      <c r="AQA93" s="101"/>
      <c r="AQB93" s="101"/>
      <c r="AQC93" s="101"/>
      <c r="AQD93" s="101"/>
      <c r="AQE93" s="101"/>
      <c r="AQF93" s="101"/>
      <c r="AQG93" s="101"/>
      <c r="AQH93" s="101"/>
      <c r="AQI93" s="101"/>
      <c r="AQJ93" s="101"/>
      <c r="AQK93" s="101"/>
      <c r="AQL93" s="101"/>
      <c r="AQM93" s="101"/>
      <c r="AQN93" s="101"/>
      <c r="AQO93" s="101"/>
      <c r="AQP93" s="101"/>
      <c r="AQQ93" s="101"/>
      <c r="AQR93" s="101"/>
      <c r="AQS93" s="101"/>
      <c r="AQT93" s="101"/>
      <c r="AQU93" s="101"/>
      <c r="AQV93" s="101"/>
      <c r="AQW93" s="101"/>
      <c r="AQX93" s="101"/>
      <c r="AQY93" s="101"/>
      <c r="AQZ93" s="101"/>
      <c r="ARA93" s="101"/>
      <c r="ARB93" s="101"/>
      <c r="ARC93" s="101"/>
      <c r="ARD93" s="101"/>
      <c r="ARE93" s="101"/>
      <c r="ARF93" s="101"/>
      <c r="ARG93" s="101"/>
      <c r="ARH93" s="101"/>
      <c r="ARI93" s="101"/>
      <c r="ARJ93" s="101"/>
      <c r="ARK93" s="101"/>
      <c r="ARL93" s="101"/>
      <c r="ARM93" s="101"/>
      <c r="ARN93" s="101"/>
      <c r="ARO93" s="101"/>
      <c r="ARP93" s="101"/>
      <c r="ARQ93" s="101"/>
      <c r="ARR93" s="101"/>
      <c r="ARS93" s="101"/>
      <c r="ART93" s="101"/>
      <c r="ARU93" s="101"/>
      <c r="ARV93" s="101"/>
      <c r="ARW93" s="101"/>
      <c r="ARX93" s="101"/>
      <c r="ARY93" s="101"/>
      <c r="ARZ93" s="101"/>
      <c r="ASA93" s="101"/>
      <c r="ASB93" s="101"/>
      <c r="ASC93" s="101"/>
      <c r="ASD93" s="101"/>
      <c r="ASE93" s="101"/>
      <c r="ASF93" s="101"/>
      <c r="ASG93" s="101"/>
      <c r="ASH93" s="101"/>
      <c r="ASI93" s="101"/>
      <c r="ASJ93" s="101"/>
      <c r="ASK93" s="101"/>
      <c r="ASL93" s="101"/>
      <c r="ASM93" s="101"/>
      <c r="ASN93" s="101"/>
      <c r="ASO93" s="101"/>
      <c r="ASP93" s="101"/>
      <c r="ASQ93" s="101"/>
      <c r="ASR93" s="101"/>
      <c r="ASS93" s="101"/>
      <c r="AST93" s="101"/>
      <c r="ASU93" s="101"/>
      <c r="ASV93" s="101"/>
      <c r="ASW93" s="101"/>
      <c r="ASX93" s="101"/>
      <c r="ASY93" s="101"/>
      <c r="ASZ93" s="101"/>
      <c r="ATA93" s="101"/>
      <c r="ATB93" s="101"/>
      <c r="ATC93" s="101"/>
      <c r="ATD93" s="101"/>
      <c r="ATE93" s="101"/>
      <c r="ATF93" s="101"/>
      <c r="ATG93" s="101"/>
      <c r="ATH93" s="101"/>
      <c r="ATI93" s="101"/>
      <c r="ATJ93" s="101"/>
      <c r="ATK93" s="101"/>
      <c r="ATL93" s="101"/>
      <c r="ATM93" s="101"/>
      <c r="ATN93" s="101"/>
      <c r="ATO93" s="101"/>
      <c r="ATP93" s="101"/>
      <c r="ATQ93" s="101"/>
      <c r="ATR93" s="101"/>
      <c r="ATS93" s="101"/>
      <c r="ATT93" s="101"/>
      <c r="ATU93" s="101"/>
      <c r="ATV93" s="101"/>
      <c r="ATW93" s="101"/>
      <c r="ATX93" s="101"/>
      <c r="ATY93" s="101"/>
      <c r="ATZ93" s="101"/>
      <c r="AUA93" s="101"/>
      <c r="AUB93" s="101"/>
      <c r="AUC93" s="101"/>
      <c r="AUD93" s="101"/>
      <c r="AUE93" s="101"/>
      <c r="AUF93" s="101"/>
      <c r="AUG93" s="101"/>
      <c r="AUH93" s="101"/>
      <c r="AUI93" s="101"/>
      <c r="AUJ93" s="101"/>
      <c r="AUK93" s="101"/>
      <c r="AUL93" s="101"/>
      <c r="AUM93" s="101"/>
      <c r="AUN93" s="101"/>
      <c r="AUO93" s="101"/>
      <c r="AUP93" s="101"/>
      <c r="AUQ93" s="101"/>
      <c r="AUR93" s="101"/>
      <c r="AUS93" s="101"/>
      <c r="AUT93" s="101"/>
      <c r="AUU93" s="101"/>
      <c r="AUV93" s="101"/>
      <c r="AUW93" s="101"/>
      <c r="AUX93" s="101"/>
      <c r="AUY93" s="101"/>
      <c r="AUZ93" s="101"/>
      <c r="AVA93" s="101"/>
      <c r="AVB93" s="101"/>
      <c r="AVC93" s="101"/>
      <c r="AVD93" s="101"/>
      <c r="AVE93" s="101"/>
      <c r="AVF93" s="101"/>
      <c r="AVG93" s="101"/>
      <c r="AVH93" s="101"/>
      <c r="AVI93" s="101"/>
      <c r="AVJ93" s="101"/>
      <c r="AVK93" s="101"/>
      <c r="AVL93" s="101"/>
      <c r="AVM93" s="101"/>
      <c r="AVN93" s="101"/>
      <c r="AVO93" s="101"/>
      <c r="AVP93" s="101"/>
      <c r="AVQ93" s="101"/>
      <c r="AVR93" s="101"/>
      <c r="AVS93" s="101"/>
      <c r="AVT93" s="101"/>
      <c r="AVU93" s="101"/>
      <c r="AVV93" s="101"/>
      <c r="AVW93" s="101"/>
      <c r="AVX93" s="101"/>
      <c r="AVY93" s="101"/>
      <c r="AVZ93" s="101"/>
      <c r="AWA93" s="101"/>
      <c r="AWB93" s="101"/>
      <c r="AWC93" s="101"/>
      <c r="AWD93" s="101"/>
      <c r="AWE93" s="101"/>
      <c r="AWF93" s="101"/>
      <c r="AWG93" s="101"/>
      <c r="AWH93" s="101"/>
      <c r="AWI93" s="101"/>
      <c r="AWJ93" s="101"/>
      <c r="AWK93" s="101"/>
      <c r="AWL93" s="101"/>
      <c r="AWM93" s="101"/>
      <c r="AWN93" s="101"/>
      <c r="AWO93" s="101"/>
      <c r="AWP93" s="101"/>
      <c r="AWQ93" s="101"/>
      <c r="AWR93" s="101"/>
      <c r="AWS93" s="101"/>
      <c r="AWT93" s="101"/>
      <c r="AWU93" s="101"/>
      <c r="AWV93" s="101"/>
      <c r="AWW93" s="101"/>
      <c r="AWX93" s="101"/>
      <c r="AWY93" s="101"/>
      <c r="AWZ93" s="101"/>
      <c r="AXA93" s="101"/>
      <c r="AXB93" s="101"/>
      <c r="AXC93" s="101"/>
      <c r="AXD93" s="101"/>
      <c r="AXE93" s="101"/>
      <c r="AXF93" s="101"/>
      <c r="AXG93" s="101"/>
      <c r="AXH93" s="101"/>
      <c r="AXI93" s="101"/>
      <c r="AXJ93" s="101"/>
      <c r="AXK93" s="101"/>
      <c r="AXL93" s="101"/>
      <c r="AXM93" s="101"/>
      <c r="AXN93" s="101"/>
      <c r="AXO93" s="101"/>
      <c r="AXP93" s="101"/>
      <c r="AXQ93" s="101"/>
      <c r="AXR93" s="101"/>
      <c r="AXS93" s="101"/>
      <c r="AXT93" s="101"/>
      <c r="AXU93" s="101"/>
      <c r="AXV93" s="101"/>
      <c r="AXW93" s="101"/>
      <c r="AXX93" s="101"/>
      <c r="AXY93" s="101"/>
      <c r="AXZ93" s="101"/>
      <c r="AYA93" s="101"/>
      <c r="AYB93" s="101"/>
      <c r="AYC93" s="101"/>
      <c r="AYD93" s="101"/>
      <c r="AYE93" s="101"/>
      <c r="AYF93" s="101"/>
      <c r="AYG93" s="101"/>
      <c r="AYH93" s="101"/>
      <c r="AYI93" s="101"/>
      <c r="AYJ93" s="101"/>
      <c r="AYK93" s="101"/>
      <c r="AYL93" s="101"/>
      <c r="AYM93" s="101"/>
      <c r="AYN93" s="101"/>
      <c r="AYO93" s="101"/>
      <c r="AYP93" s="101"/>
      <c r="AYQ93" s="101"/>
      <c r="AYR93" s="101"/>
      <c r="AYS93" s="101"/>
      <c r="AYT93" s="101"/>
      <c r="AYU93" s="101"/>
      <c r="AYV93" s="101"/>
      <c r="AYW93" s="101"/>
      <c r="AYX93" s="101"/>
      <c r="AYY93" s="101"/>
      <c r="AYZ93" s="101"/>
      <c r="AZA93" s="101"/>
      <c r="AZB93" s="101"/>
      <c r="AZC93" s="101"/>
      <c r="AZD93" s="101"/>
      <c r="AZE93" s="101"/>
      <c r="AZF93" s="101"/>
      <c r="AZG93" s="101"/>
      <c r="AZH93" s="101"/>
      <c r="AZI93" s="101"/>
      <c r="AZJ93" s="101"/>
      <c r="AZK93" s="101"/>
      <c r="AZL93" s="101"/>
      <c r="AZM93" s="101"/>
      <c r="AZN93" s="101"/>
      <c r="AZO93" s="101"/>
      <c r="AZP93" s="101"/>
      <c r="AZQ93" s="101"/>
      <c r="AZR93" s="101"/>
      <c r="AZS93" s="101"/>
      <c r="AZT93" s="101"/>
      <c r="AZU93" s="101"/>
      <c r="AZV93" s="101"/>
      <c r="AZW93" s="101"/>
      <c r="AZX93" s="101"/>
      <c r="AZY93" s="101"/>
      <c r="AZZ93" s="101"/>
      <c r="BAA93" s="101"/>
      <c r="BAB93" s="101"/>
      <c r="BAC93" s="101"/>
      <c r="BAD93" s="101"/>
      <c r="BAE93" s="101"/>
      <c r="BAF93" s="101"/>
      <c r="BAG93" s="101"/>
      <c r="BAH93" s="101"/>
      <c r="BAI93" s="101"/>
      <c r="BAJ93" s="101"/>
      <c r="BAK93" s="101"/>
      <c r="BAL93" s="101"/>
      <c r="BAM93" s="101"/>
      <c r="BAN93" s="101"/>
      <c r="BAO93" s="101"/>
      <c r="BAP93" s="101"/>
      <c r="BAQ93" s="101"/>
      <c r="BAR93" s="101"/>
      <c r="BAS93" s="101"/>
      <c r="BAT93" s="101"/>
      <c r="BAU93" s="101"/>
      <c r="BAV93" s="101"/>
      <c r="BAW93" s="101"/>
      <c r="BAX93" s="101"/>
      <c r="BAY93" s="101"/>
      <c r="BAZ93" s="101"/>
      <c r="BBA93" s="101"/>
      <c r="BBB93" s="101"/>
      <c r="BBC93" s="101"/>
      <c r="BBD93" s="101"/>
      <c r="BBE93" s="101"/>
      <c r="BBF93" s="101"/>
      <c r="BBG93" s="101"/>
      <c r="BBH93" s="101"/>
      <c r="BBI93" s="101"/>
      <c r="BBJ93" s="101"/>
      <c r="BBK93" s="101"/>
      <c r="BBL93" s="101"/>
      <c r="BBM93" s="101"/>
      <c r="BBN93" s="101"/>
      <c r="BBO93" s="101"/>
      <c r="BBP93" s="101"/>
      <c r="BBQ93" s="101"/>
      <c r="BBR93" s="101"/>
      <c r="BBS93" s="101"/>
      <c r="BBT93" s="101"/>
      <c r="BBU93" s="101"/>
      <c r="BBV93" s="101"/>
      <c r="BBW93" s="101"/>
      <c r="BBX93" s="101"/>
      <c r="BBY93" s="101"/>
      <c r="BBZ93" s="101"/>
      <c r="BCA93" s="101"/>
      <c r="BCB93" s="101"/>
      <c r="BCC93" s="101"/>
      <c r="BCD93" s="101"/>
      <c r="BCE93" s="101"/>
      <c r="BCF93" s="101"/>
      <c r="BCG93" s="101"/>
      <c r="BCH93" s="101"/>
      <c r="BCI93" s="101"/>
      <c r="BCJ93" s="101"/>
      <c r="BCK93" s="101"/>
      <c r="BCL93" s="101"/>
      <c r="BCM93" s="101"/>
      <c r="BCN93" s="101"/>
      <c r="BCO93" s="101"/>
      <c r="BCP93" s="101"/>
      <c r="BCQ93" s="101"/>
      <c r="BCR93" s="101"/>
      <c r="BCS93" s="101"/>
      <c r="BCT93" s="101"/>
      <c r="BCU93" s="101"/>
      <c r="BCV93" s="101"/>
      <c r="BCW93" s="101"/>
      <c r="BCX93" s="101"/>
      <c r="BCY93" s="101"/>
      <c r="BCZ93" s="101"/>
      <c r="BDA93" s="101"/>
      <c r="BDB93" s="101"/>
      <c r="BDC93" s="101"/>
      <c r="BDD93" s="101"/>
      <c r="BDE93" s="101"/>
      <c r="BDF93" s="101"/>
      <c r="BDG93" s="101"/>
      <c r="BDH93" s="101"/>
      <c r="BDI93" s="101"/>
      <c r="BDJ93" s="101"/>
      <c r="BDK93" s="101"/>
      <c r="BDL93" s="101"/>
      <c r="BDM93" s="101"/>
      <c r="BDN93" s="101"/>
      <c r="BDO93" s="101"/>
      <c r="BDP93" s="101"/>
      <c r="BDQ93" s="101"/>
      <c r="BDR93" s="101"/>
      <c r="BDS93" s="101"/>
      <c r="BDT93" s="101"/>
      <c r="BDU93" s="101"/>
      <c r="BDV93" s="101"/>
      <c r="BDW93" s="101"/>
      <c r="BDX93" s="101"/>
      <c r="BDY93" s="101"/>
      <c r="BDZ93" s="101"/>
      <c r="BEA93" s="101"/>
      <c r="BEB93" s="101"/>
      <c r="BEC93" s="101"/>
      <c r="BED93" s="101"/>
      <c r="BEE93" s="101"/>
      <c r="BEF93" s="101"/>
      <c r="BEG93" s="101"/>
      <c r="BEH93" s="101"/>
      <c r="BEI93" s="101"/>
      <c r="BEJ93" s="101"/>
      <c r="BEK93" s="101"/>
      <c r="BEL93" s="101"/>
      <c r="BEM93" s="101"/>
      <c r="BEN93" s="101"/>
      <c r="BEO93" s="101"/>
      <c r="BEP93" s="101"/>
      <c r="BEQ93" s="101"/>
      <c r="BER93" s="101"/>
      <c r="BES93" s="101"/>
      <c r="BET93" s="101"/>
      <c r="BEU93" s="101"/>
      <c r="BEV93" s="101"/>
      <c r="BEW93" s="101"/>
      <c r="BEX93" s="101"/>
      <c r="BEY93" s="101"/>
      <c r="BEZ93" s="101"/>
      <c r="BFA93" s="101"/>
      <c r="BFB93" s="101"/>
      <c r="BFC93" s="101"/>
      <c r="BFD93" s="101"/>
      <c r="BFE93" s="101"/>
      <c r="BFF93" s="101"/>
      <c r="BFG93" s="101"/>
      <c r="BFH93" s="101"/>
      <c r="BFI93" s="101"/>
      <c r="BFJ93" s="101"/>
      <c r="BFK93" s="101"/>
      <c r="BFL93" s="101"/>
      <c r="BFM93" s="101"/>
      <c r="BFN93" s="101"/>
      <c r="BFO93" s="101"/>
      <c r="BFP93" s="101"/>
      <c r="BFQ93" s="101"/>
      <c r="BFR93" s="101"/>
      <c r="BFS93" s="101"/>
      <c r="BFT93" s="101"/>
      <c r="BFU93" s="101"/>
      <c r="BFV93" s="101"/>
      <c r="BFW93" s="101"/>
      <c r="BFX93" s="101"/>
      <c r="BFY93" s="101"/>
      <c r="BFZ93" s="101"/>
      <c r="BGA93" s="101"/>
      <c r="BGB93" s="101"/>
      <c r="BGC93" s="101"/>
      <c r="BGD93" s="101"/>
      <c r="BGE93" s="101"/>
      <c r="BGF93" s="101"/>
      <c r="BGG93" s="101"/>
      <c r="BGH93" s="101"/>
      <c r="BGI93" s="101"/>
      <c r="BGJ93" s="101"/>
      <c r="BGK93" s="101"/>
      <c r="BGL93" s="101"/>
      <c r="BGM93" s="101"/>
      <c r="BGN93" s="101"/>
      <c r="BGO93" s="101"/>
      <c r="BGP93" s="101"/>
      <c r="BGQ93" s="101"/>
      <c r="BGR93" s="101"/>
      <c r="BGS93" s="101"/>
      <c r="BGT93" s="101"/>
      <c r="BGU93" s="101"/>
      <c r="BGV93" s="101"/>
      <c r="BGW93" s="101"/>
      <c r="BGX93" s="101"/>
      <c r="BGY93" s="101"/>
      <c r="BGZ93" s="101"/>
      <c r="BHA93" s="101"/>
      <c r="BHB93" s="101"/>
      <c r="BHC93" s="101"/>
      <c r="BHD93" s="101"/>
      <c r="BHE93" s="101"/>
      <c r="BHF93" s="101"/>
      <c r="BHG93" s="101"/>
      <c r="BHH93" s="101"/>
      <c r="BHI93" s="101"/>
      <c r="BHJ93" s="101"/>
      <c r="BHK93" s="101"/>
      <c r="BHL93" s="101"/>
      <c r="BHM93" s="101"/>
      <c r="BHN93" s="101"/>
      <c r="BHO93" s="101"/>
      <c r="BHP93" s="101"/>
      <c r="BHQ93" s="101"/>
      <c r="BHR93" s="101"/>
      <c r="BHS93" s="101"/>
      <c r="BHT93" s="101"/>
      <c r="BHU93" s="101"/>
      <c r="BHV93" s="101"/>
      <c r="BHW93" s="101"/>
      <c r="BHX93" s="101"/>
      <c r="BHY93" s="101"/>
      <c r="BHZ93" s="101"/>
      <c r="BIA93" s="101"/>
      <c r="BIB93" s="101"/>
      <c r="BIC93" s="101"/>
      <c r="BID93" s="101"/>
      <c r="BIE93" s="101"/>
      <c r="BIF93" s="101"/>
      <c r="BIG93" s="101"/>
      <c r="BIH93" s="101"/>
      <c r="BII93" s="101"/>
      <c r="BIJ93" s="101"/>
      <c r="BIK93" s="101"/>
      <c r="BIL93" s="101"/>
      <c r="BIM93" s="101"/>
      <c r="BIN93" s="101"/>
      <c r="BIO93" s="101"/>
      <c r="BIP93" s="101"/>
      <c r="BIQ93" s="101"/>
      <c r="BIR93" s="101"/>
      <c r="BIS93" s="101"/>
      <c r="BIT93" s="101"/>
      <c r="BIU93" s="101"/>
      <c r="BIV93" s="101"/>
      <c r="BIW93" s="101"/>
      <c r="BIX93" s="101"/>
      <c r="BIY93" s="101"/>
      <c r="BIZ93" s="101"/>
      <c r="BJA93" s="101"/>
      <c r="BJB93" s="101"/>
      <c r="BJC93" s="101"/>
      <c r="BJD93" s="101"/>
      <c r="BJE93" s="101"/>
      <c r="BJF93" s="101"/>
      <c r="BJG93" s="101"/>
      <c r="BJH93" s="101"/>
      <c r="BJI93" s="101"/>
      <c r="BJJ93" s="101"/>
      <c r="BJK93" s="101"/>
      <c r="BJL93" s="101"/>
      <c r="BJM93" s="101"/>
      <c r="BJN93" s="101"/>
      <c r="BJO93" s="101"/>
      <c r="BJP93" s="101"/>
      <c r="BJQ93" s="101"/>
      <c r="BJR93" s="101"/>
      <c r="BJS93" s="101"/>
      <c r="BJT93" s="101"/>
      <c r="BJU93" s="101"/>
      <c r="BJV93" s="101"/>
      <c r="BJW93" s="101"/>
      <c r="BJX93" s="101"/>
      <c r="BJY93" s="101"/>
      <c r="BJZ93" s="101"/>
      <c r="BKA93" s="101"/>
      <c r="BKB93" s="101"/>
      <c r="BKC93" s="101"/>
      <c r="BKD93" s="101"/>
      <c r="BKE93" s="101"/>
      <c r="BKF93" s="101"/>
      <c r="BKG93" s="101"/>
      <c r="BKH93" s="101"/>
      <c r="BKI93" s="101"/>
      <c r="BKJ93" s="101"/>
      <c r="BKK93" s="101"/>
      <c r="BKL93" s="101"/>
      <c r="BKM93" s="101"/>
      <c r="BKN93" s="101"/>
      <c r="BKO93" s="101"/>
      <c r="BKP93" s="101"/>
      <c r="BKQ93" s="101"/>
      <c r="BKR93" s="101"/>
      <c r="BKS93" s="101"/>
      <c r="BKT93" s="101"/>
      <c r="BKU93" s="101"/>
      <c r="BKV93" s="101"/>
      <c r="BKW93" s="101"/>
      <c r="BKX93" s="101"/>
      <c r="BKY93" s="101"/>
      <c r="BKZ93" s="101"/>
      <c r="BLA93" s="101"/>
      <c r="BLB93" s="101"/>
      <c r="BLC93" s="101"/>
      <c r="BLD93" s="101"/>
      <c r="BLE93" s="101"/>
      <c r="BLF93" s="101"/>
      <c r="BLG93" s="101"/>
      <c r="BLH93" s="101"/>
      <c r="BLI93" s="101"/>
      <c r="BLJ93" s="101"/>
      <c r="BLK93" s="101"/>
      <c r="BLL93" s="101"/>
      <c r="BLM93" s="101"/>
      <c r="BLN93" s="101"/>
      <c r="BLO93" s="101"/>
      <c r="BLP93" s="101"/>
      <c r="BLQ93" s="101"/>
      <c r="BLR93" s="101"/>
      <c r="BLS93" s="101"/>
      <c r="BLT93" s="101"/>
      <c r="BLU93" s="101"/>
      <c r="BLV93" s="101"/>
      <c r="BLW93" s="101"/>
      <c r="BLX93" s="101"/>
      <c r="BLY93" s="101"/>
      <c r="BLZ93" s="101"/>
      <c r="BMA93" s="101"/>
      <c r="BMB93" s="101"/>
      <c r="BMC93" s="101"/>
      <c r="BMD93" s="101"/>
      <c r="BME93" s="101"/>
      <c r="BMF93" s="101"/>
      <c r="BMG93" s="101"/>
      <c r="BMH93" s="101"/>
      <c r="BMI93" s="101"/>
      <c r="BMJ93" s="101"/>
      <c r="BMK93" s="101"/>
      <c r="BML93" s="101"/>
      <c r="BMM93" s="101"/>
      <c r="BMN93" s="101"/>
      <c r="BMO93" s="101"/>
      <c r="BMP93" s="101"/>
      <c r="BMQ93" s="101"/>
      <c r="BMR93" s="101"/>
      <c r="BMS93" s="101"/>
      <c r="BMT93" s="101"/>
      <c r="BMU93" s="101"/>
      <c r="BMV93" s="101"/>
      <c r="BMW93" s="101"/>
      <c r="BMX93" s="101"/>
      <c r="BMY93" s="101"/>
      <c r="BMZ93" s="101"/>
      <c r="BNA93" s="101"/>
      <c r="BNB93" s="101"/>
      <c r="BNC93" s="101"/>
      <c r="BND93" s="101"/>
      <c r="BNE93" s="101"/>
      <c r="BNF93" s="101"/>
      <c r="BNG93" s="101"/>
      <c r="BNH93" s="101"/>
      <c r="BNI93" s="101"/>
      <c r="BNJ93" s="101"/>
      <c r="BNK93" s="101"/>
      <c r="BNL93" s="101"/>
      <c r="BNM93" s="101"/>
      <c r="BNN93" s="101"/>
      <c r="BNO93" s="101"/>
      <c r="BNP93" s="101"/>
      <c r="BNQ93" s="101"/>
      <c r="BNR93" s="101"/>
      <c r="BNS93" s="101"/>
      <c r="BNT93" s="101"/>
      <c r="BNU93" s="101"/>
      <c r="BNV93" s="101"/>
      <c r="BNW93" s="101"/>
      <c r="BNX93" s="101"/>
      <c r="BNY93" s="101"/>
      <c r="BNZ93" s="101"/>
      <c r="BOA93" s="101"/>
      <c r="BOB93" s="101"/>
      <c r="BOC93" s="101"/>
      <c r="BOD93" s="101"/>
      <c r="BOE93" s="101"/>
      <c r="BOF93" s="101"/>
      <c r="BOG93" s="101"/>
      <c r="BOH93" s="101"/>
      <c r="BOI93" s="101"/>
      <c r="BOJ93" s="101"/>
      <c r="BOK93" s="101"/>
      <c r="BOL93" s="101"/>
      <c r="BOM93" s="101"/>
      <c r="BON93" s="101"/>
      <c r="BOO93" s="101"/>
      <c r="BOP93" s="101"/>
      <c r="BOQ93" s="101"/>
      <c r="BOR93" s="101"/>
      <c r="BOS93" s="101"/>
      <c r="BOT93" s="101"/>
      <c r="BOU93" s="101"/>
      <c r="BOV93" s="101"/>
      <c r="BOW93" s="101"/>
      <c r="BOX93" s="101"/>
      <c r="BOY93" s="101"/>
      <c r="BOZ93" s="101"/>
      <c r="BPA93" s="101"/>
      <c r="BPB93" s="101"/>
      <c r="BPC93" s="101"/>
      <c r="BPD93" s="101"/>
      <c r="BPE93" s="101"/>
      <c r="BPF93" s="101"/>
      <c r="BPG93" s="101"/>
      <c r="BPH93" s="101"/>
      <c r="BPI93" s="101"/>
      <c r="BPJ93" s="101"/>
      <c r="BPK93" s="101"/>
      <c r="BPL93" s="101"/>
      <c r="BPM93" s="101"/>
      <c r="BPN93" s="101"/>
      <c r="BPO93" s="101"/>
      <c r="BPP93" s="101"/>
      <c r="BPQ93" s="101"/>
      <c r="BPR93" s="101"/>
      <c r="BPS93" s="101"/>
      <c r="BPT93" s="101"/>
      <c r="BPU93" s="101"/>
      <c r="BPV93" s="101"/>
      <c r="BPW93" s="101"/>
      <c r="BPX93" s="101"/>
      <c r="BPY93" s="101"/>
      <c r="BPZ93" s="101"/>
      <c r="BQA93" s="101"/>
      <c r="BQB93" s="101"/>
      <c r="BQC93" s="101"/>
      <c r="BQD93" s="101"/>
      <c r="BQE93" s="101"/>
      <c r="BQF93" s="101"/>
      <c r="BQG93" s="101"/>
      <c r="BQH93" s="101"/>
      <c r="BQI93" s="101"/>
      <c r="BQJ93" s="101"/>
      <c r="BQK93" s="101"/>
      <c r="BQL93" s="101"/>
      <c r="BQM93" s="101"/>
      <c r="BQN93" s="101"/>
      <c r="BQO93" s="101"/>
      <c r="BQP93" s="101"/>
      <c r="BQQ93" s="101"/>
      <c r="BQR93" s="101"/>
      <c r="BQS93" s="101"/>
      <c r="BQT93" s="101"/>
      <c r="BQU93" s="101"/>
      <c r="BQV93" s="101"/>
      <c r="BQW93" s="101"/>
      <c r="BQX93" s="101"/>
      <c r="BQY93" s="101"/>
      <c r="BQZ93" s="101"/>
      <c r="BRA93" s="101"/>
      <c r="BRB93" s="101"/>
      <c r="BRC93" s="101"/>
      <c r="BRD93" s="101"/>
      <c r="BRE93" s="101"/>
      <c r="BRF93" s="101"/>
      <c r="BRG93" s="101"/>
      <c r="BRH93" s="101"/>
      <c r="BRI93" s="101"/>
      <c r="BRJ93" s="101"/>
      <c r="BRK93" s="101"/>
      <c r="BRL93" s="101"/>
      <c r="BRM93" s="101"/>
      <c r="BRN93" s="101"/>
      <c r="BRO93" s="101"/>
      <c r="BRP93" s="101"/>
      <c r="BRQ93" s="101"/>
      <c r="BRR93" s="101"/>
      <c r="BRS93" s="101"/>
      <c r="BRT93" s="101"/>
      <c r="BRU93" s="101"/>
      <c r="BRV93" s="101"/>
      <c r="BRW93" s="101"/>
      <c r="BRX93" s="101"/>
      <c r="BRY93" s="101"/>
      <c r="BRZ93" s="101"/>
      <c r="BSA93" s="101"/>
      <c r="BSB93" s="101"/>
      <c r="BSC93" s="101"/>
      <c r="BSD93" s="101"/>
      <c r="BSE93" s="101"/>
      <c r="BSF93" s="101"/>
      <c r="BSG93" s="101"/>
      <c r="BSH93" s="101"/>
      <c r="BSI93" s="101"/>
      <c r="BSJ93" s="101"/>
      <c r="BSK93" s="101"/>
      <c r="BSL93" s="101"/>
      <c r="BSM93" s="101"/>
      <c r="BSN93" s="101"/>
      <c r="BSO93" s="101"/>
      <c r="BSP93" s="101"/>
      <c r="BSQ93" s="101"/>
      <c r="BSR93" s="101"/>
      <c r="BSS93" s="101"/>
      <c r="BST93" s="101"/>
      <c r="BSU93" s="101"/>
      <c r="BSV93" s="101"/>
      <c r="BSW93" s="101"/>
      <c r="BSX93" s="101"/>
      <c r="BSY93" s="101"/>
      <c r="BSZ93" s="101"/>
      <c r="BTA93" s="101"/>
      <c r="BTB93" s="101"/>
      <c r="BTC93" s="101"/>
      <c r="BTD93" s="101"/>
      <c r="BTE93" s="101"/>
      <c r="BTF93" s="101"/>
      <c r="BTG93" s="101"/>
      <c r="BTH93" s="101"/>
      <c r="BTI93" s="101"/>
      <c r="BTJ93" s="101"/>
      <c r="BTK93" s="101"/>
      <c r="BTL93" s="101"/>
      <c r="BTM93" s="101"/>
      <c r="BTN93" s="101"/>
      <c r="BTO93" s="101"/>
      <c r="BTP93" s="101"/>
      <c r="BTQ93" s="101"/>
      <c r="BTR93" s="101"/>
      <c r="BTS93" s="101"/>
      <c r="BTT93" s="101"/>
      <c r="BTU93" s="101"/>
      <c r="BTV93" s="101"/>
      <c r="BTW93" s="101"/>
      <c r="BTX93" s="101"/>
      <c r="BTY93" s="101"/>
      <c r="BTZ93" s="101"/>
      <c r="BUA93" s="101"/>
      <c r="BUB93" s="101"/>
      <c r="BUC93" s="101"/>
      <c r="BUD93" s="101"/>
      <c r="BUE93" s="101"/>
      <c r="BUF93" s="101"/>
      <c r="BUG93" s="101"/>
      <c r="BUH93" s="101"/>
      <c r="BUI93" s="101"/>
      <c r="BUJ93" s="101"/>
      <c r="BUK93" s="101"/>
      <c r="BUL93" s="101"/>
      <c r="BUM93" s="101"/>
      <c r="BUN93" s="101"/>
      <c r="BUO93" s="101"/>
      <c r="BUP93" s="101"/>
      <c r="BUQ93" s="101"/>
      <c r="BUR93" s="101"/>
      <c r="BUS93" s="101"/>
      <c r="BUT93" s="101"/>
      <c r="BUU93" s="101"/>
      <c r="BUV93" s="101"/>
      <c r="BUW93" s="101"/>
      <c r="BUX93" s="101"/>
      <c r="BUY93" s="101"/>
      <c r="BUZ93" s="101"/>
      <c r="BVA93" s="101"/>
      <c r="BVB93" s="101"/>
      <c r="BVC93" s="101"/>
      <c r="BVD93" s="101"/>
      <c r="BVE93" s="101"/>
      <c r="BVF93" s="101"/>
      <c r="BVG93" s="101"/>
      <c r="BVH93" s="101"/>
      <c r="BVI93" s="101"/>
      <c r="BVJ93" s="101"/>
      <c r="BVK93" s="101"/>
      <c r="BVL93" s="101"/>
      <c r="BVM93" s="101"/>
      <c r="BVN93" s="101"/>
      <c r="BVO93" s="101"/>
      <c r="BVP93" s="101"/>
      <c r="BVQ93" s="101"/>
      <c r="BVR93" s="101"/>
      <c r="BVS93" s="101"/>
      <c r="BVT93" s="101"/>
      <c r="BVU93" s="101"/>
      <c r="BVV93" s="101"/>
      <c r="BVW93" s="101"/>
      <c r="BVX93" s="101"/>
      <c r="BVY93" s="101"/>
      <c r="BVZ93" s="101"/>
      <c r="BWA93" s="101"/>
      <c r="BWB93" s="101"/>
      <c r="BWC93" s="101"/>
      <c r="BWD93" s="101"/>
      <c r="BWE93" s="101"/>
      <c r="BWF93" s="101"/>
      <c r="BWG93" s="101"/>
      <c r="BWH93" s="101"/>
      <c r="BWI93" s="101"/>
      <c r="BWJ93" s="101"/>
      <c r="BWK93" s="101"/>
      <c r="BWL93" s="101"/>
      <c r="BWM93" s="101"/>
      <c r="BWN93" s="101"/>
      <c r="BWO93" s="101"/>
      <c r="BWP93" s="101"/>
      <c r="BWQ93" s="101"/>
      <c r="BWR93" s="101"/>
      <c r="BWS93" s="101"/>
      <c r="BWT93" s="101"/>
      <c r="BWU93" s="101"/>
      <c r="BWV93" s="101"/>
      <c r="BWW93" s="101"/>
      <c r="BWX93" s="101"/>
      <c r="BWY93" s="101"/>
      <c r="BWZ93" s="101"/>
      <c r="BXA93" s="101"/>
      <c r="BXB93" s="101"/>
      <c r="BXC93" s="101"/>
      <c r="BXD93" s="101"/>
      <c r="BXE93" s="101"/>
      <c r="BXF93" s="101"/>
      <c r="BXG93" s="101"/>
      <c r="BXH93" s="101"/>
      <c r="BXI93" s="101"/>
      <c r="BXJ93" s="101"/>
      <c r="BXK93" s="101"/>
      <c r="BXL93" s="101"/>
      <c r="BXM93" s="101"/>
      <c r="BXN93" s="101"/>
      <c r="BXO93" s="101"/>
      <c r="BXP93" s="101"/>
      <c r="BXQ93" s="101"/>
      <c r="BXR93" s="101"/>
      <c r="BXS93" s="101"/>
      <c r="BXT93" s="101"/>
      <c r="BXU93" s="101"/>
      <c r="BXV93" s="101"/>
      <c r="BXW93" s="101"/>
      <c r="BXX93" s="101"/>
      <c r="BXY93" s="101"/>
      <c r="BXZ93" s="101"/>
      <c r="BYA93" s="101"/>
      <c r="BYB93" s="101"/>
      <c r="BYC93" s="101"/>
      <c r="BYD93" s="101"/>
      <c r="BYE93" s="101"/>
      <c r="BYF93" s="101"/>
      <c r="BYG93" s="101"/>
      <c r="BYH93" s="101"/>
      <c r="BYI93" s="101"/>
      <c r="BYJ93" s="101"/>
      <c r="BYK93" s="101"/>
      <c r="BYL93" s="101"/>
      <c r="BYM93" s="101"/>
      <c r="BYN93" s="101"/>
      <c r="BYO93" s="101"/>
      <c r="BYP93" s="101"/>
      <c r="BYQ93" s="101"/>
      <c r="BYR93" s="101"/>
      <c r="BYS93" s="101"/>
      <c r="BYT93" s="101"/>
      <c r="BYU93" s="101"/>
      <c r="BYV93" s="101"/>
      <c r="BYW93" s="101"/>
      <c r="BYX93" s="101"/>
      <c r="BYY93" s="101"/>
      <c r="BYZ93" s="101"/>
      <c r="BZA93" s="101"/>
      <c r="BZB93" s="101"/>
      <c r="BZC93" s="101"/>
      <c r="BZD93" s="101"/>
      <c r="BZE93" s="101"/>
      <c r="BZF93" s="101"/>
      <c r="BZG93" s="101"/>
      <c r="BZH93" s="101"/>
      <c r="BZI93" s="101"/>
      <c r="BZJ93" s="101"/>
      <c r="BZK93" s="101"/>
      <c r="BZL93" s="101"/>
      <c r="BZM93" s="101"/>
      <c r="BZN93" s="101"/>
      <c r="BZO93" s="101"/>
      <c r="BZP93" s="101"/>
      <c r="BZQ93" s="101"/>
      <c r="BZR93" s="101"/>
      <c r="BZS93" s="101"/>
      <c r="BZT93" s="101"/>
      <c r="BZU93" s="101"/>
      <c r="BZV93" s="101"/>
      <c r="BZW93" s="101"/>
      <c r="BZX93" s="101"/>
      <c r="BZY93" s="101"/>
      <c r="BZZ93" s="101"/>
      <c r="CAA93" s="101"/>
      <c r="CAB93" s="101"/>
      <c r="CAC93" s="101"/>
      <c r="CAD93" s="101"/>
      <c r="CAE93" s="101"/>
      <c r="CAF93" s="101"/>
      <c r="CAG93" s="101"/>
      <c r="CAH93" s="101"/>
      <c r="CAI93" s="101"/>
      <c r="CAJ93" s="101"/>
      <c r="CAK93" s="101"/>
      <c r="CAL93" s="101"/>
      <c r="CAM93" s="101"/>
      <c r="CAN93" s="101"/>
      <c r="CAO93" s="101"/>
      <c r="CAP93" s="101"/>
      <c r="CAQ93" s="101"/>
      <c r="CAR93" s="101"/>
      <c r="CAS93" s="101"/>
      <c r="CAT93" s="101"/>
      <c r="CAU93" s="101"/>
      <c r="CAV93" s="101"/>
      <c r="CAW93" s="101"/>
      <c r="CAX93" s="101"/>
      <c r="CAY93" s="101"/>
      <c r="CAZ93" s="101"/>
      <c r="CBA93" s="101"/>
      <c r="CBB93" s="101"/>
      <c r="CBC93" s="101"/>
      <c r="CBD93" s="101"/>
      <c r="CBE93" s="101"/>
      <c r="CBF93" s="101"/>
      <c r="CBG93" s="101"/>
      <c r="CBH93" s="101"/>
      <c r="CBI93" s="101"/>
      <c r="CBJ93" s="101"/>
      <c r="CBK93" s="101"/>
      <c r="CBL93" s="101"/>
      <c r="CBM93" s="101"/>
      <c r="CBN93" s="101"/>
      <c r="CBO93" s="101"/>
      <c r="CBP93" s="101"/>
      <c r="CBQ93" s="101"/>
      <c r="CBR93" s="101"/>
      <c r="CBS93" s="101"/>
      <c r="CBT93" s="101"/>
      <c r="CBU93" s="101"/>
      <c r="CBV93" s="101"/>
      <c r="CBW93" s="101"/>
      <c r="CBX93" s="101"/>
      <c r="CBY93" s="101"/>
      <c r="CBZ93" s="101"/>
      <c r="CCA93" s="101"/>
      <c r="CCB93" s="101"/>
      <c r="CCC93" s="101"/>
      <c r="CCD93" s="101"/>
      <c r="CCE93" s="101"/>
      <c r="CCF93" s="101"/>
      <c r="CCG93" s="101"/>
      <c r="CCH93" s="101"/>
      <c r="CCI93" s="101"/>
      <c r="CCJ93" s="101"/>
      <c r="CCK93" s="101"/>
      <c r="CCL93" s="101"/>
      <c r="CCM93" s="101"/>
      <c r="CCN93" s="101"/>
      <c r="CCO93" s="101"/>
      <c r="CCP93" s="101"/>
      <c r="CCQ93" s="101"/>
      <c r="CCR93" s="101"/>
      <c r="CCS93" s="101"/>
      <c r="CCT93" s="101"/>
      <c r="CCU93" s="101"/>
      <c r="CCV93" s="101"/>
      <c r="CCW93" s="101"/>
      <c r="CCX93" s="101"/>
      <c r="CCY93" s="101"/>
      <c r="CCZ93" s="101"/>
      <c r="CDA93" s="101"/>
      <c r="CDB93" s="101"/>
      <c r="CDC93" s="101"/>
      <c r="CDD93" s="101"/>
      <c r="CDE93" s="101"/>
      <c r="CDF93" s="101"/>
      <c r="CDG93" s="101"/>
      <c r="CDH93" s="101"/>
      <c r="CDI93" s="101"/>
      <c r="CDJ93" s="101"/>
      <c r="CDK93" s="101"/>
      <c r="CDL93" s="101"/>
      <c r="CDM93" s="101"/>
      <c r="CDN93" s="101"/>
      <c r="CDO93" s="101"/>
      <c r="CDP93" s="101"/>
      <c r="CDQ93" s="101"/>
      <c r="CDR93" s="101"/>
      <c r="CDS93" s="101"/>
      <c r="CDT93" s="101"/>
      <c r="CDU93" s="101"/>
      <c r="CDV93" s="101"/>
      <c r="CDW93" s="101"/>
      <c r="CDX93" s="101"/>
      <c r="CDY93" s="101"/>
      <c r="CDZ93" s="101"/>
      <c r="CEA93" s="101"/>
      <c r="CEB93" s="101"/>
      <c r="CEC93" s="101"/>
      <c r="CED93" s="101"/>
      <c r="CEE93" s="101"/>
      <c r="CEF93" s="101"/>
      <c r="CEG93" s="101"/>
      <c r="CEH93" s="101"/>
      <c r="CEI93" s="101"/>
      <c r="CEJ93" s="101"/>
      <c r="CEK93" s="101"/>
      <c r="CEL93" s="101"/>
      <c r="CEM93" s="101"/>
      <c r="CEN93" s="101"/>
      <c r="CEO93" s="101"/>
      <c r="CEP93" s="101"/>
      <c r="CEQ93" s="101"/>
      <c r="CER93" s="101"/>
      <c r="CES93" s="101"/>
      <c r="CET93" s="101"/>
      <c r="CEU93" s="101"/>
      <c r="CEV93" s="101"/>
      <c r="CEW93" s="101"/>
      <c r="CEX93" s="101"/>
      <c r="CEY93" s="101"/>
      <c r="CEZ93" s="101"/>
      <c r="CFA93" s="101"/>
      <c r="CFB93" s="101"/>
      <c r="CFC93" s="101"/>
      <c r="CFD93" s="101"/>
      <c r="CFE93" s="101"/>
      <c r="CFF93" s="101"/>
      <c r="CFG93" s="101"/>
      <c r="CFH93" s="101"/>
      <c r="CFI93" s="101"/>
      <c r="CFJ93" s="101"/>
      <c r="CFK93" s="101"/>
      <c r="CFL93" s="101"/>
      <c r="CFM93" s="101"/>
      <c r="CFN93" s="101"/>
      <c r="CFO93" s="101"/>
      <c r="CFP93" s="101"/>
      <c r="CFQ93" s="101"/>
      <c r="CFR93" s="101"/>
      <c r="CFS93" s="101"/>
      <c r="CFT93" s="101"/>
      <c r="CFU93" s="101"/>
      <c r="CFV93" s="101"/>
      <c r="CFW93" s="101"/>
      <c r="CFX93" s="101"/>
      <c r="CFY93" s="101"/>
      <c r="CFZ93" s="101"/>
      <c r="CGA93" s="101"/>
      <c r="CGB93" s="101"/>
      <c r="CGC93" s="101"/>
      <c r="CGD93" s="101"/>
      <c r="CGE93" s="101"/>
      <c r="CGF93" s="101"/>
      <c r="CGG93" s="101"/>
      <c r="CGH93" s="101"/>
      <c r="CGI93" s="101"/>
      <c r="CGJ93" s="101"/>
      <c r="CGK93" s="101"/>
      <c r="CGL93" s="101"/>
      <c r="CGM93" s="101"/>
      <c r="CGN93" s="101"/>
      <c r="CGO93" s="101"/>
      <c r="CGP93" s="101"/>
      <c r="CGQ93" s="101"/>
      <c r="CGR93" s="101"/>
      <c r="CGS93" s="101"/>
      <c r="CGT93" s="101"/>
      <c r="CGU93" s="101"/>
      <c r="CGV93" s="101"/>
      <c r="CGW93" s="101"/>
      <c r="CGX93" s="101"/>
      <c r="CGY93" s="101"/>
      <c r="CGZ93" s="101"/>
      <c r="CHA93" s="101"/>
      <c r="CHB93" s="101"/>
      <c r="CHC93" s="101"/>
      <c r="CHD93" s="101"/>
      <c r="CHE93" s="101"/>
      <c r="CHF93" s="101"/>
      <c r="CHG93" s="101"/>
      <c r="CHH93" s="101"/>
      <c r="CHI93" s="101"/>
      <c r="CHJ93" s="101"/>
      <c r="CHK93" s="101"/>
      <c r="CHL93" s="101"/>
      <c r="CHM93" s="101"/>
      <c r="CHN93" s="101"/>
      <c r="CHO93" s="101"/>
      <c r="CHP93" s="101"/>
      <c r="CHQ93" s="101"/>
      <c r="CHR93" s="101"/>
      <c r="CHS93" s="101"/>
      <c r="CHT93" s="101"/>
      <c r="CHU93" s="101"/>
      <c r="CHV93" s="101"/>
      <c r="CHW93" s="101"/>
      <c r="CHX93" s="101"/>
      <c r="CHY93" s="101"/>
      <c r="CHZ93" s="101"/>
      <c r="CIA93" s="101"/>
      <c r="CIB93" s="101"/>
      <c r="CIC93" s="101"/>
      <c r="CID93" s="101"/>
      <c r="CIE93" s="101"/>
      <c r="CIF93" s="101"/>
      <c r="CIG93" s="101"/>
      <c r="CIH93" s="101"/>
      <c r="CII93" s="101"/>
      <c r="CIJ93" s="101"/>
      <c r="CIK93" s="101"/>
      <c r="CIL93" s="101"/>
      <c r="CIM93" s="101"/>
      <c r="CIN93" s="101"/>
      <c r="CIO93" s="101"/>
      <c r="CIP93" s="101"/>
      <c r="CIQ93" s="101"/>
      <c r="CIR93" s="101"/>
      <c r="CIS93" s="101"/>
      <c r="CIT93" s="101"/>
      <c r="CIU93" s="101"/>
      <c r="CIV93" s="101"/>
      <c r="CIW93" s="101"/>
      <c r="CIX93" s="101"/>
      <c r="CIY93" s="101"/>
      <c r="CIZ93" s="101"/>
      <c r="CJA93" s="101"/>
      <c r="CJB93" s="101"/>
      <c r="CJC93" s="101"/>
      <c r="CJD93" s="101"/>
      <c r="CJE93" s="101"/>
      <c r="CJF93" s="101"/>
      <c r="CJG93" s="101"/>
      <c r="CJH93" s="101"/>
      <c r="CJI93" s="101"/>
      <c r="CJJ93" s="101"/>
      <c r="CJK93" s="101"/>
      <c r="CJL93" s="101"/>
      <c r="CJM93" s="101"/>
      <c r="CJN93" s="101"/>
      <c r="CJO93" s="101"/>
      <c r="CJP93" s="101"/>
      <c r="CJQ93" s="101"/>
      <c r="CJR93" s="101"/>
      <c r="CJS93" s="101"/>
      <c r="CJT93" s="101"/>
      <c r="CJU93" s="101"/>
      <c r="CJV93" s="101"/>
      <c r="CJW93" s="101"/>
      <c r="CJX93" s="101"/>
      <c r="CJY93" s="101"/>
      <c r="CJZ93" s="101"/>
      <c r="CKA93" s="101"/>
      <c r="CKB93" s="101"/>
      <c r="CKC93" s="101"/>
      <c r="CKD93" s="101"/>
      <c r="CKE93" s="101"/>
      <c r="CKF93" s="101"/>
      <c r="CKG93" s="101"/>
      <c r="CKH93" s="101"/>
      <c r="CKI93" s="101"/>
      <c r="CKJ93" s="101"/>
      <c r="CKK93" s="101"/>
      <c r="CKL93" s="101"/>
      <c r="CKM93" s="101"/>
      <c r="CKN93" s="101"/>
      <c r="CKO93" s="101"/>
      <c r="CKP93" s="101"/>
      <c r="CKQ93" s="101"/>
      <c r="CKR93" s="101"/>
      <c r="CKS93" s="101"/>
      <c r="CKT93" s="101"/>
      <c r="CKU93" s="101"/>
      <c r="CKV93" s="101"/>
      <c r="CKW93" s="101"/>
      <c r="CKX93" s="101"/>
      <c r="CKY93" s="101"/>
      <c r="CKZ93" s="101"/>
      <c r="CLA93" s="101"/>
      <c r="CLB93" s="101"/>
      <c r="CLC93" s="101"/>
      <c r="CLD93" s="101"/>
      <c r="CLE93" s="101"/>
      <c r="CLF93" s="101"/>
      <c r="CLG93" s="101"/>
      <c r="CLH93" s="101"/>
      <c r="CLI93" s="101"/>
      <c r="CLJ93" s="101"/>
      <c r="CLK93" s="101"/>
      <c r="CLL93" s="101"/>
      <c r="CLM93" s="101"/>
      <c r="CLN93" s="101"/>
      <c r="CLO93" s="101"/>
      <c r="CLP93" s="101"/>
      <c r="CLQ93" s="101"/>
      <c r="CLR93" s="101"/>
      <c r="CLS93" s="101"/>
      <c r="CLT93" s="101"/>
      <c r="CLU93" s="101"/>
      <c r="CLV93" s="101"/>
      <c r="CLW93" s="101"/>
      <c r="CLX93" s="101"/>
      <c r="CLY93" s="101"/>
      <c r="CLZ93" s="101"/>
      <c r="CMA93" s="101"/>
      <c r="CMB93" s="101"/>
      <c r="CMC93" s="101"/>
      <c r="CMD93" s="101"/>
      <c r="CME93" s="101"/>
      <c r="CMF93" s="101"/>
      <c r="CMG93" s="101"/>
      <c r="CMH93" s="101"/>
      <c r="CMI93" s="101"/>
      <c r="CMJ93" s="101"/>
      <c r="CMK93" s="101"/>
      <c r="CML93" s="101"/>
      <c r="CMM93" s="101"/>
      <c r="CMN93" s="101"/>
      <c r="CMO93" s="101"/>
      <c r="CMP93" s="101"/>
      <c r="CMQ93" s="101"/>
      <c r="CMR93" s="101"/>
      <c r="CMS93" s="101"/>
      <c r="CMT93" s="101"/>
      <c r="CMU93" s="101"/>
      <c r="CMV93" s="101"/>
      <c r="CMW93" s="101"/>
      <c r="CMX93" s="101"/>
      <c r="CMY93" s="101"/>
      <c r="CMZ93" s="101"/>
      <c r="CNA93" s="101"/>
      <c r="CNB93" s="101"/>
      <c r="CNC93" s="101"/>
      <c r="CND93" s="101"/>
      <c r="CNE93" s="101"/>
      <c r="CNF93" s="101"/>
      <c r="CNG93" s="101"/>
      <c r="CNH93" s="101"/>
      <c r="CNI93" s="101"/>
      <c r="CNJ93" s="101"/>
      <c r="CNK93" s="101"/>
      <c r="CNL93" s="101"/>
      <c r="CNM93" s="101"/>
      <c r="CNN93" s="101"/>
      <c r="CNO93" s="101"/>
      <c r="CNP93" s="101"/>
      <c r="CNQ93" s="101"/>
      <c r="CNR93" s="101"/>
      <c r="CNS93" s="101"/>
      <c r="CNT93" s="101"/>
      <c r="CNU93" s="101"/>
      <c r="CNV93" s="101"/>
      <c r="CNW93" s="101"/>
      <c r="CNX93" s="101"/>
      <c r="CNY93" s="101"/>
      <c r="CNZ93" s="101"/>
      <c r="COA93" s="101"/>
      <c r="COB93" s="101"/>
      <c r="COC93" s="101"/>
      <c r="COD93" s="101"/>
      <c r="COE93" s="101"/>
      <c r="COF93" s="101"/>
      <c r="COG93" s="101"/>
      <c r="COH93" s="101"/>
      <c r="COI93" s="101"/>
      <c r="COJ93" s="101"/>
      <c r="COK93" s="101"/>
      <c r="COL93" s="101"/>
      <c r="COM93" s="101"/>
      <c r="CON93" s="101"/>
      <c r="COO93" s="101"/>
      <c r="COP93" s="101"/>
      <c r="COQ93" s="101"/>
      <c r="COR93" s="101"/>
      <c r="COS93" s="101"/>
      <c r="COT93" s="101"/>
      <c r="COU93" s="101"/>
      <c r="COV93" s="101"/>
      <c r="COW93" s="101"/>
      <c r="COX93" s="101"/>
      <c r="COY93" s="101"/>
      <c r="COZ93" s="101"/>
      <c r="CPA93" s="101"/>
      <c r="CPB93" s="101"/>
      <c r="CPC93" s="101"/>
      <c r="CPD93" s="101"/>
      <c r="CPE93" s="101"/>
      <c r="CPF93" s="101"/>
      <c r="CPG93" s="101"/>
      <c r="CPH93" s="101"/>
      <c r="CPI93" s="101"/>
      <c r="CPJ93" s="101"/>
      <c r="CPK93" s="101"/>
      <c r="CPL93" s="101"/>
      <c r="CPM93" s="101"/>
      <c r="CPN93" s="101"/>
      <c r="CPO93" s="101"/>
      <c r="CPP93" s="101"/>
      <c r="CPQ93" s="101"/>
      <c r="CPR93" s="101"/>
      <c r="CPS93" s="101"/>
      <c r="CPT93" s="101"/>
      <c r="CPU93" s="101"/>
      <c r="CPV93" s="101"/>
      <c r="CPW93" s="101"/>
      <c r="CPX93" s="101"/>
      <c r="CPY93" s="101"/>
      <c r="CPZ93" s="101"/>
      <c r="CQA93" s="101"/>
      <c r="CQB93" s="101"/>
      <c r="CQC93" s="101"/>
      <c r="CQD93" s="101"/>
      <c r="CQE93" s="101"/>
      <c r="CQF93" s="101"/>
      <c r="CQG93" s="101"/>
      <c r="CQH93" s="101"/>
      <c r="CQI93" s="101"/>
      <c r="CQJ93" s="101"/>
      <c r="CQK93" s="101"/>
      <c r="CQL93" s="101"/>
      <c r="CQM93" s="101"/>
      <c r="CQN93" s="101"/>
      <c r="CQO93" s="101"/>
      <c r="CQP93" s="101"/>
      <c r="CQQ93" s="101"/>
      <c r="CQR93" s="101"/>
      <c r="CQS93" s="101"/>
      <c r="CQT93" s="101"/>
      <c r="CQU93" s="101"/>
      <c r="CQV93" s="101"/>
      <c r="CQW93" s="101"/>
      <c r="CQX93" s="101"/>
      <c r="CQY93" s="101"/>
      <c r="CQZ93" s="101"/>
      <c r="CRA93" s="101"/>
      <c r="CRB93" s="101"/>
      <c r="CRC93" s="101"/>
      <c r="CRD93" s="101"/>
      <c r="CRE93" s="101"/>
      <c r="CRF93" s="101"/>
      <c r="CRG93" s="101"/>
      <c r="CRH93" s="101"/>
      <c r="CRI93" s="101"/>
      <c r="CRJ93" s="101"/>
      <c r="CRK93" s="101"/>
      <c r="CRL93" s="101"/>
      <c r="CRM93" s="101"/>
      <c r="CRN93" s="101"/>
      <c r="CRO93" s="101"/>
      <c r="CRP93" s="101"/>
      <c r="CRQ93" s="101"/>
      <c r="CRR93" s="101"/>
      <c r="CRS93" s="101"/>
      <c r="CRT93" s="101"/>
      <c r="CRU93" s="101"/>
      <c r="CRV93" s="101"/>
      <c r="CRW93" s="101"/>
      <c r="CRX93" s="101"/>
      <c r="CRY93" s="101"/>
      <c r="CRZ93" s="101"/>
      <c r="CSA93" s="101"/>
      <c r="CSB93" s="101"/>
      <c r="CSC93" s="101"/>
      <c r="CSD93" s="101"/>
      <c r="CSE93" s="101"/>
      <c r="CSF93" s="101"/>
      <c r="CSG93" s="101"/>
      <c r="CSH93" s="101"/>
      <c r="CSI93" s="101"/>
      <c r="CSJ93" s="101"/>
      <c r="CSK93" s="101"/>
      <c r="CSL93" s="101"/>
      <c r="CSM93" s="101"/>
      <c r="CSN93" s="101"/>
      <c r="CSO93" s="101"/>
      <c r="CSP93" s="101"/>
      <c r="CSQ93" s="101"/>
      <c r="CSR93" s="101"/>
      <c r="CSS93" s="101"/>
      <c r="CST93" s="101"/>
      <c r="CSU93" s="101"/>
      <c r="CSV93" s="101"/>
      <c r="CSW93" s="101"/>
      <c r="CSX93" s="101"/>
      <c r="CSY93" s="101"/>
      <c r="CSZ93" s="101"/>
      <c r="CTA93" s="101"/>
      <c r="CTB93" s="101"/>
      <c r="CTC93" s="101"/>
      <c r="CTD93" s="101"/>
      <c r="CTE93" s="101"/>
      <c r="CTF93" s="101"/>
      <c r="CTG93" s="101"/>
      <c r="CTH93" s="101"/>
      <c r="CTI93" s="101"/>
      <c r="CTJ93" s="101"/>
      <c r="CTK93" s="101"/>
      <c r="CTL93" s="101"/>
      <c r="CTM93" s="101"/>
      <c r="CTN93" s="101"/>
      <c r="CTO93" s="101"/>
      <c r="CTP93" s="101"/>
      <c r="CTQ93" s="101"/>
      <c r="CTR93" s="101"/>
      <c r="CTS93" s="101"/>
      <c r="CTT93" s="101"/>
      <c r="CTU93" s="101"/>
      <c r="CTV93" s="101"/>
      <c r="CTW93" s="101"/>
      <c r="CTX93" s="101"/>
      <c r="CTY93" s="101"/>
      <c r="CTZ93" s="101"/>
      <c r="CUA93" s="101"/>
      <c r="CUB93" s="101"/>
      <c r="CUC93" s="101"/>
      <c r="CUD93" s="101"/>
      <c r="CUE93" s="101"/>
      <c r="CUF93" s="101"/>
      <c r="CUG93" s="101"/>
      <c r="CUH93" s="101"/>
      <c r="CUI93" s="101"/>
      <c r="CUJ93" s="101"/>
      <c r="CUK93" s="101"/>
      <c r="CUL93" s="101"/>
      <c r="CUM93" s="101"/>
      <c r="CUN93" s="101"/>
      <c r="CUO93" s="101"/>
      <c r="CUP93" s="101"/>
      <c r="CUQ93" s="101"/>
      <c r="CUR93" s="101"/>
      <c r="CUS93" s="101"/>
      <c r="CUT93" s="101"/>
      <c r="CUU93" s="101"/>
      <c r="CUV93" s="101"/>
      <c r="CUW93" s="101"/>
      <c r="CUX93" s="101"/>
      <c r="CUY93" s="101"/>
      <c r="CUZ93" s="101"/>
      <c r="CVA93" s="101"/>
      <c r="CVB93" s="101"/>
      <c r="CVC93" s="101"/>
      <c r="CVD93" s="101"/>
      <c r="CVE93" s="101"/>
      <c r="CVF93" s="101"/>
      <c r="CVG93" s="101"/>
      <c r="CVH93" s="101"/>
      <c r="CVI93" s="101"/>
      <c r="CVJ93" s="101"/>
      <c r="CVK93" s="101"/>
      <c r="CVL93" s="101"/>
      <c r="CVM93" s="101"/>
      <c r="CVN93" s="101"/>
      <c r="CVO93" s="101"/>
      <c r="CVP93" s="101"/>
      <c r="CVQ93" s="101"/>
      <c r="CVR93" s="101"/>
      <c r="CVS93" s="101"/>
      <c r="CVT93" s="101"/>
      <c r="CVU93" s="101"/>
      <c r="CVV93" s="101"/>
      <c r="CVW93" s="101"/>
      <c r="CVX93" s="101"/>
      <c r="CVY93" s="101"/>
      <c r="CVZ93" s="101"/>
      <c r="CWA93" s="101"/>
      <c r="CWB93" s="101"/>
      <c r="CWC93" s="101"/>
      <c r="CWD93" s="101"/>
      <c r="CWE93" s="101"/>
      <c r="CWF93" s="101"/>
      <c r="CWG93" s="101"/>
      <c r="CWH93" s="101"/>
      <c r="CWI93" s="101"/>
      <c r="CWJ93" s="101"/>
      <c r="CWK93" s="101"/>
      <c r="CWL93" s="101"/>
      <c r="CWM93" s="101"/>
      <c r="CWN93" s="101"/>
      <c r="CWO93" s="101"/>
      <c r="CWP93" s="101"/>
      <c r="CWQ93" s="101"/>
      <c r="CWR93" s="101"/>
      <c r="CWS93" s="101"/>
      <c r="CWT93" s="101"/>
      <c r="CWU93" s="101"/>
      <c r="CWV93" s="101"/>
      <c r="CWW93" s="101"/>
      <c r="CWX93" s="101"/>
      <c r="CWY93" s="101"/>
      <c r="CWZ93" s="101"/>
      <c r="CXA93" s="101"/>
      <c r="CXB93" s="101"/>
      <c r="CXC93" s="101"/>
      <c r="CXD93" s="101"/>
      <c r="CXE93" s="101"/>
      <c r="CXF93" s="101"/>
      <c r="CXG93" s="101"/>
      <c r="CXH93" s="101"/>
      <c r="CXI93" s="101"/>
      <c r="CXJ93" s="101"/>
      <c r="CXK93" s="101"/>
      <c r="CXL93" s="101"/>
      <c r="CXM93" s="101"/>
      <c r="CXN93" s="101"/>
      <c r="CXO93" s="101"/>
      <c r="CXP93" s="101"/>
      <c r="CXQ93" s="101"/>
      <c r="CXR93" s="101"/>
      <c r="CXS93" s="101"/>
      <c r="CXT93" s="101"/>
      <c r="CXU93" s="101"/>
      <c r="CXV93" s="101"/>
      <c r="CXW93" s="101"/>
      <c r="CXX93" s="101"/>
      <c r="CXY93" s="101"/>
      <c r="CXZ93" s="101"/>
      <c r="CYA93" s="101"/>
      <c r="CYB93" s="101"/>
      <c r="CYC93" s="101"/>
      <c r="CYD93" s="101"/>
      <c r="CYE93" s="101"/>
      <c r="CYF93" s="101"/>
      <c r="CYG93" s="101"/>
      <c r="CYH93" s="101"/>
      <c r="CYI93" s="101"/>
      <c r="CYJ93" s="101"/>
      <c r="CYK93" s="101"/>
      <c r="CYL93" s="101"/>
      <c r="CYM93" s="101"/>
      <c r="CYN93" s="101"/>
      <c r="CYO93" s="101"/>
      <c r="CYP93" s="101"/>
      <c r="CYQ93" s="101"/>
      <c r="CYR93" s="101"/>
      <c r="CYS93" s="101"/>
      <c r="CYT93" s="101"/>
      <c r="CYU93" s="101"/>
      <c r="CYV93" s="101"/>
      <c r="CYW93" s="101"/>
      <c r="CYX93" s="101"/>
      <c r="CYY93" s="101"/>
      <c r="CYZ93" s="101"/>
      <c r="CZA93" s="101"/>
      <c r="CZB93" s="101"/>
      <c r="CZC93" s="101"/>
      <c r="CZD93" s="101"/>
      <c r="CZE93" s="101"/>
      <c r="CZF93" s="101"/>
      <c r="CZG93" s="101"/>
      <c r="CZH93" s="101"/>
      <c r="CZI93" s="101"/>
      <c r="CZJ93" s="101"/>
      <c r="CZK93" s="101"/>
      <c r="CZL93" s="101"/>
      <c r="CZM93" s="101"/>
      <c r="CZN93" s="101"/>
      <c r="CZO93" s="101"/>
      <c r="CZP93" s="101"/>
      <c r="CZQ93" s="101"/>
      <c r="CZR93" s="101"/>
      <c r="CZS93" s="101"/>
      <c r="CZT93" s="101"/>
      <c r="CZU93" s="101"/>
      <c r="CZV93" s="101"/>
      <c r="CZW93" s="101"/>
      <c r="CZX93" s="101"/>
      <c r="CZY93" s="101"/>
      <c r="CZZ93" s="101"/>
      <c r="DAA93" s="101"/>
      <c r="DAB93" s="101"/>
      <c r="DAC93" s="101"/>
      <c r="DAD93" s="101"/>
      <c r="DAE93" s="101"/>
      <c r="DAF93" s="101"/>
      <c r="DAG93" s="101"/>
      <c r="DAH93" s="101"/>
      <c r="DAI93" s="101"/>
      <c r="DAJ93" s="101"/>
      <c r="DAK93" s="101"/>
      <c r="DAL93" s="101"/>
      <c r="DAM93" s="101"/>
      <c r="DAN93" s="101"/>
      <c r="DAO93" s="101"/>
      <c r="DAP93" s="101"/>
      <c r="DAQ93" s="101"/>
      <c r="DAR93" s="101"/>
      <c r="DAS93" s="101"/>
      <c r="DAT93" s="101"/>
      <c r="DAU93" s="101"/>
      <c r="DAV93" s="101"/>
      <c r="DAW93" s="101"/>
      <c r="DAX93" s="101"/>
      <c r="DAY93" s="101"/>
      <c r="DAZ93" s="101"/>
      <c r="DBA93" s="101"/>
      <c r="DBB93" s="101"/>
      <c r="DBC93" s="101"/>
      <c r="DBD93" s="101"/>
      <c r="DBE93" s="101"/>
      <c r="DBF93" s="101"/>
      <c r="DBG93" s="101"/>
      <c r="DBH93" s="101"/>
      <c r="DBI93" s="101"/>
      <c r="DBJ93" s="101"/>
      <c r="DBK93" s="101"/>
      <c r="DBL93" s="101"/>
      <c r="DBM93" s="101"/>
      <c r="DBN93" s="101"/>
      <c r="DBO93" s="101"/>
      <c r="DBP93" s="101"/>
      <c r="DBQ93" s="101"/>
      <c r="DBR93" s="101"/>
      <c r="DBS93" s="101"/>
      <c r="DBT93" s="101"/>
      <c r="DBU93" s="101"/>
      <c r="DBV93" s="101"/>
      <c r="DBW93" s="101"/>
      <c r="DBX93" s="101"/>
      <c r="DBY93" s="101"/>
      <c r="DBZ93" s="101"/>
      <c r="DCA93" s="101"/>
      <c r="DCB93" s="101"/>
      <c r="DCC93" s="101"/>
      <c r="DCD93" s="101"/>
      <c r="DCE93" s="101"/>
      <c r="DCF93" s="101"/>
      <c r="DCG93" s="101"/>
      <c r="DCH93" s="101"/>
      <c r="DCI93" s="101"/>
      <c r="DCJ93" s="101"/>
      <c r="DCK93" s="101"/>
      <c r="DCL93" s="101"/>
      <c r="DCM93" s="101"/>
      <c r="DCN93" s="101"/>
      <c r="DCO93" s="101"/>
      <c r="DCP93" s="101"/>
      <c r="DCQ93" s="101"/>
      <c r="DCR93" s="101"/>
      <c r="DCS93" s="101"/>
      <c r="DCT93" s="101"/>
      <c r="DCU93" s="101"/>
      <c r="DCV93" s="101"/>
      <c r="DCW93" s="101"/>
      <c r="DCX93" s="101"/>
      <c r="DCY93" s="101"/>
      <c r="DCZ93" s="101"/>
      <c r="DDA93" s="101"/>
      <c r="DDB93" s="101"/>
      <c r="DDC93" s="101"/>
      <c r="DDD93" s="101"/>
      <c r="DDE93" s="101"/>
      <c r="DDF93" s="101"/>
      <c r="DDG93" s="101"/>
      <c r="DDH93" s="101"/>
      <c r="DDI93" s="101"/>
      <c r="DDJ93" s="101"/>
      <c r="DDK93" s="101"/>
      <c r="DDL93" s="101"/>
      <c r="DDM93" s="101"/>
      <c r="DDN93" s="101"/>
      <c r="DDO93" s="101"/>
      <c r="DDP93" s="101"/>
      <c r="DDQ93" s="101"/>
      <c r="DDR93" s="101"/>
      <c r="DDS93" s="101"/>
      <c r="DDT93" s="101"/>
      <c r="DDU93" s="101"/>
      <c r="DDV93" s="101"/>
      <c r="DDW93" s="101"/>
      <c r="DDX93" s="101"/>
      <c r="DDY93" s="101"/>
      <c r="DDZ93" s="101"/>
      <c r="DEA93" s="101"/>
      <c r="DEB93" s="101"/>
      <c r="DEC93" s="101"/>
      <c r="DED93" s="101"/>
      <c r="DEE93" s="101"/>
      <c r="DEF93" s="101"/>
      <c r="DEG93" s="101"/>
      <c r="DEH93" s="101"/>
      <c r="DEI93" s="101"/>
      <c r="DEJ93" s="101"/>
      <c r="DEK93" s="101"/>
      <c r="DEL93" s="101"/>
      <c r="DEM93" s="101"/>
      <c r="DEN93" s="101"/>
      <c r="DEO93" s="101"/>
      <c r="DEP93" s="101"/>
      <c r="DEQ93" s="101"/>
      <c r="DER93" s="101"/>
      <c r="DES93" s="101"/>
      <c r="DET93" s="101"/>
      <c r="DEU93" s="101"/>
      <c r="DEV93" s="101"/>
      <c r="DEW93" s="101"/>
      <c r="DEX93" s="101"/>
      <c r="DEY93" s="101"/>
      <c r="DEZ93" s="101"/>
      <c r="DFA93" s="101"/>
      <c r="DFB93" s="101"/>
      <c r="DFC93" s="101"/>
      <c r="DFD93" s="101"/>
      <c r="DFE93" s="101"/>
      <c r="DFF93" s="101"/>
      <c r="DFG93" s="101"/>
      <c r="DFH93" s="101"/>
      <c r="DFI93" s="101"/>
      <c r="DFJ93" s="101"/>
      <c r="DFK93" s="101"/>
      <c r="DFL93" s="101"/>
      <c r="DFM93" s="101"/>
      <c r="DFN93" s="101"/>
      <c r="DFO93" s="101"/>
      <c r="DFP93" s="101"/>
      <c r="DFQ93" s="101"/>
      <c r="DFR93" s="101"/>
      <c r="DFS93" s="101"/>
      <c r="DFT93" s="101"/>
      <c r="DFU93" s="101"/>
      <c r="DFV93" s="101"/>
      <c r="DFW93" s="101"/>
      <c r="DFX93" s="101"/>
      <c r="DFY93" s="101"/>
      <c r="DFZ93" s="101"/>
      <c r="DGA93" s="101"/>
      <c r="DGB93" s="101"/>
      <c r="DGC93" s="101"/>
      <c r="DGD93" s="101"/>
      <c r="DGE93" s="101"/>
      <c r="DGF93" s="101"/>
      <c r="DGG93" s="101"/>
      <c r="DGH93" s="101"/>
      <c r="DGI93" s="101"/>
      <c r="DGJ93" s="101"/>
      <c r="DGK93" s="101"/>
      <c r="DGL93" s="101"/>
      <c r="DGM93" s="101"/>
      <c r="DGN93" s="101"/>
      <c r="DGO93" s="101"/>
      <c r="DGP93" s="101"/>
      <c r="DGQ93" s="101"/>
      <c r="DGR93" s="101"/>
      <c r="DGS93" s="101"/>
      <c r="DGT93" s="101"/>
      <c r="DGU93" s="101"/>
      <c r="DGV93" s="101"/>
      <c r="DGW93" s="101"/>
      <c r="DGX93" s="101"/>
      <c r="DGY93" s="101"/>
      <c r="DGZ93" s="101"/>
      <c r="DHA93" s="101"/>
      <c r="DHB93" s="101"/>
      <c r="DHC93" s="101"/>
      <c r="DHD93" s="101"/>
      <c r="DHE93" s="101"/>
      <c r="DHF93" s="101"/>
      <c r="DHG93" s="101"/>
      <c r="DHH93" s="101"/>
      <c r="DHI93" s="101"/>
      <c r="DHJ93" s="101"/>
      <c r="DHK93" s="101"/>
      <c r="DHL93" s="101"/>
      <c r="DHM93" s="101"/>
      <c r="DHN93" s="101"/>
      <c r="DHO93" s="101"/>
      <c r="DHP93" s="101"/>
      <c r="DHQ93" s="101"/>
      <c r="DHR93" s="101"/>
      <c r="DHS93" s="101"/>
      <c r="DHT93" s="101"/>
      <c r="DHU93" s="101"/>
      <c r="DHV93" s="101"/>
      <c r="DHW93" s="101"/>
      <c r="DHX93" s="101"/>
      <c r="DHY93" s="101"/>
      <c r="DHZ93" s="101"/>
      <c r="DIA93" s="101"/>
      <c r="DIB93" s="101"/>
      <c r="DIC93" s="101"/>
      <c r="DID93" s="101"/>
      <c r="DIE93" s="101"/>
      <c r="DIF93" s="101"/>
      <c r="DIG93" s="101"/>
      <c r="DIH93" s="101"/>
      <c r="DII93" s="101"/>
      <c r="DIJ93" s="101"/>
      <c r="DIK93" s="101"/>
      <c r="DIL93" s="101"/>
      <c r="DIM93" s="101"/>
      <c r="DIN93" s="101"/>
      <c r="DIO93" s="101"/>
      <c r="DIP93" s="101"/>
      <c r="DIQ93" s="101"/>
      <c r="DIR93" s="101"/>
      <c r="DIS93" s="101"/>
      <c r="DIT93" s="101"/>
      <c r="DIU93" s="101"/>
      <c r="DIV93" s="101"/>
      <c r="DIW93" s="101"/>
      <c r="DIX93" s="101"/>
      <c r="DIY93" s="101"/>
      <c r="DIZ93" s="101"/>
      <c r="DJA93" s="101"/>
      <c r="DJB93" s="101"/>
      <c r="DJC93" s="101"/>
      <c r="DJD93" s="101"/>
      <c r="DJE93" s="101"/>
      <c r="DJF93" s="101"/>
      <c r="DJG93" s="101"/>
      <c r="DJH93" s="101"/>
      <c r="DJI93" s="101"/>
      <c r="DJJ93" s="101"/>
      <c r="DJK93" s="101"/>
      <c r="DJL93" s="101"/>
      <c r="DJM93" s="101"/>
      <c r="DJN93" s="101"/>
      <c r="DJO93" s="101"/>
      <c r="DJP93" s="101"/>
      <c r="DJQ93" s="101"/>
      <c r="DJR93" s="101"/>
      <c r="DJS93" s="101"/>
      <c r="DJT93" s="101"/>
      <c r="DJU93" s="101"/>
      <c r="DJV93" s="101"/>
      <c r="DJW93" s="101"/>
      <c r="DJX93" s="101"/>
      <c r="DJY93" s="101"/>
      <c r="DJZ93" s="101"/>
      <c r="DKA93" s="101"/>
      <c r="DKB93" s="101"/>
      <c r="DKC93" s="101"/>
      <c r="DKD93" s="101"/>
      <c r="DKE93" s="101"/>
      <c r="DKF93" s="101"/>
      <c r="DKG93" s="101"/>
      <c r="DKH93" s="101"/>
      <c r="DKI93" s="101"/>
      <c r="DKJ93" s="101"/>
      <c r="DKK93" s="101"/>
      <c r="DKL93" s="101"/>
      <c r="DKM93" s="101"/>
      <c r="DKN93" s="101"/>
      <c r="DKO93" s="101"/>
      <c r="DKP93" s="101"/>
      <c r="DKQ93" s="101"/>
      <c r="DKR93" s="101"/>
      <c r="DKS93" s="101"/>
      <c r="DKT93" s="101"/>
      <c r="DKU93" s="101"/>
      <c r="DKV93" s="101"/>
      <c r="DKW93" s="101"/>
      <c r="DKX93" s="101"/>
      <c r="DKY93" s="101"/>
      <c r="DKZ93" s="101"/>
      <c r="DLA93" s="101"/>
      <c r="DLB93" s="101"/>
      <c r="DLC93" s="101"/>
      <c r="DLD93" s="101"/>
      <c r="DLE93" s="101"/>
      <c r="DLF93" s="101"/>
      <c r="DLG93" s="101"/>
      <c r="DLH93" s="101"/>
      <c r="DLI93" s="101"/>
      <c r="DLJ93" s="101"/>
      <c r="DLK93" s="101"/>
      <c r="DLL93" s="101"/>
      <c r="DLM93" s="101"/>
      <c r="DLN93" s="101"/>
      <c r="DLO93" s="101"/>
      <c r="DLP93" s="101"/>
      <c r="DLQ93" s="101"/>
      <c r="DLR93" s="101"/>
      <c r="DLS93" s="101"/>
      <c r="DLT93" s="101"/>
      <c r="DLU93" s="101"/>
      <c r="DLV93" s="101"/>
      <c r="DLW93" s="101"/>
      <c r="DLX93" s="101"/>
      <c r="DLY93" s="101"/>
      <c r="DLZ93" s="101"/>
      <c r="DMA93" s="101"/>
      <c r="DMB93" s="101"/>
      <c r="DMC93" s="101"/>
      <c r="DMD93" s="101"/>
      <c r="DME93" s="101"/>
      <c r="DMF93" s="101"/>
      <c r="DMG93" s="101"/>
      <c r="DMH93" s="101"/>
      <c r="DMI93" s="101"/>
      <c r="DMJ93" s="101"/>
      <c r="DMK93" s="101"/>
      <c r="DML93" s="101"/>
      <c r="DMM93" s="101"/>
      <c r="DMN93" s="101"/>
      <c r="DMO93" s="101"/>
      <c r="DMP93" s="101"/>
      <c r="DMQ93" s="101"/>
      <c r="DMR93" s="101"/>
      <c r="DMS93" s="101"/>
      <c r="DMT93" s="101"/>
      <c r="DMU93" s="101"/>
      <c r="DMV93" s="101"/>
      <c r="DMW93" s="101"/>
      <c r="DMX93" s="101"/>
      <c r="DMY93" s="101"/>
      <c r="DMZ93" s="101"/>
      <c r="DNA93" s="101"/>
      <c r="DNB93" s="101"/>
      <c r="DNC93" s="101"/>
      <c r="DND93" s="101"/>
      <c r="DNE93" s="101"/>
      <c r="DNF93" s="101"/>
      <c r="DNG93" s="101"/>
      <c r="DNH93" s="101"/>
      <c r="DNI93" s="101"/>
      <c r="DNJ93" s="101"/>
      <c r="DNK93" s="101"/>
      <c r="DNL93" s="101"/>
      <c r="DNM93" s="101"/>
      <c r="DNN93" s="101"/>
      <c r="DNO93" s="101"/>
      <c r="DNP93" s="101"/>
      <c r="DNQ93" s="101"/>
      <c r="DNR93" s="101"/>
      <c r="DNS93" s="101"/>
      <c r="DNT93" s="101"/>
      <c r="DNU93" s="101"/>
      <c r="DNV93" s="101"/>
      <c r="DNW93" s="101"/>
      <c r="DNX93" s="101"/>
      <c r="DNY93" s="101"/>
      <c r="DNZ93" s="101"/>
      <c r="DOA93" s="101"/>
      <c r="DOB93" s="101"/>
      <c r="DOC93" s="101"/>
      <c r="DOD93" s="101"/>
      <c r="DOE93" s="101"/>
      <c r="DOF93" s="101"/>
      <c r="DOG93" s="101"/>
      <c r="DOH93" s="101"/>
      <c r="DOI93" s="101"/>
      <c r="DOJ93" s="101"/>
      <c r="DOK93" s="101"/>
      <c r="DOL93" s="101"/>
      <c r="DOM93" s="101"/>
      <c r="DON93" s="101"/>
      <c r="DOO93" s="101"/>
      <c r="DOP93" s="101"/>
      <c r="DOQ93" s="101"/>
      <c r="DOR93" s="101"/>
      <c r="DOS93" s="101"/>
      <c r="DOT93" s="101"/>
      <c r="DOU93" s="101"/>
      <c r="DOV93" s="101"/>
      <c r="DOW93" s="101"/>
      <c r="DOX93" s="101"/>
      <c r="DOY93" s="101"/>
      <c r="DOZ93" s="101"/>
      <c r="DPA93" s="101"/>
      <c r="DPB93" s="101"/>
      <c r="DPC93" s="101"/>
      <c r="DPD93" s="101"/>
      <c r="DPE93" s="101"/>
      <c r="DPF93" s="101"/>
      <c r="DPG93" s="101"/>
      <c r="DPH93" s="101"/>
      <c r="DPI93" s="101"/>
      <c r="DPJ93" s="101"/>
      <c r="DPK93" s="101"/>
      <c r="DPL93" s="101"/>
      <c r="DPM93" s="101"/>
      <c r="DPN93" s="101"/>
      <c r="DPO93" s="101"/>
      <c r="DPP93" s="101"/>
      <c r="DPQ93" s="101"/>
      <c r="DPR93" s="101"/>
      <c r="DPS93" s="101"/>
      <c r="DPT93" s="101"/>
      <c r="DPU93" s="101"/>
      <c r="DPV93" s="101"/>
      <c r="DPW93" s="101"/>
      <c r="DPX93" s="101"/>
      <c r="DPY93" s="101"/>
      <c r="DPZ93" s="101"/>
      <c r="DQA93" s="101"/>
      <c r="DQB93" s="101"/>
      <c r="DQC93" s="101"/>
      <c r="DQD93" s="101"/>
      <c r="DQE93" s="101"/>
      <c r="DQF93" s="101"/>
      <c r="DQG93" s="101"/>
      <c r="DQH93" s="101"/>
      <c r="DQI93" s="101"/>
      <c r="DQJ93" s="101"/>
      <c r="DQK93" s="101"/>
      <c r="DQL93" s="101"/>
      <c r="DQM93" s="101"/>
      <c r="DQN93" s="101"/>
      <c r="DQO93" s="101"/>
      <c r="DQP93" s="101"/>
      <c r="DQQ93" s="101"/>
      <c r="DQR93" s="101"/>
      <c r="DQS93" s="101"/>
      <c r="DQT93" s="101"/>
      <c r="DQU93" s="101"/>
      <c r="DQV93" s="101"/>
      <c r="DQW93" s="101"/>
      <c r="DQX93" s="101"/>
      <c r="DQY93" s="101"/>
      <c r="DQZ93" s="101"/>
      <c r="DRA93" s="101"/>
      <c r="DRB93" s="101"/>
      <c r="DRC93" s="101"/>
      <c r="DRD93" s="101"/>
      <c r="DRE93" s="101"/>
      <c r="DRF93" s="101"/>
      <c r="DRG93" s="101"/>
      <c r="DRH93" s="101"/>
      <c r="DRI93" s="101"/>
      <c r="DRJ93" s="101"/>
      <c r="DRK93" s="101"/>
      <c r="DRL93" s="101"/>
      <c r="DRM93" s="101"/>
      <c r="DRN93" s="101"/>
      <c r="DRO93" s="101"/>
      <c r="DRP93" s="101"/>
      <c r="DRQ93" s="101"/>
      <c r="DRR93" s="101"/>
      <c r="DRS93" s="101"/>
      <c r="DRT93" s="101"/>
      <c r="DRU93" s="101"/>
      <c r="DRV93" s="101"/>
      <c r="DRW93" s="101"/>
      <c r="DRX93" s="101"/>
      <c r="DRY93" s="101"/>
      <c r="DRZ93" s="101"/>
      <c r="DSA93" s="101"/>
      <c r="DSB93" s="101"/>
      <c r="DSC93" s="101"/>
      <c r="DSD93" s="101"/>
      <c r="DSE93" s="101"/>
      <c r="DSF93" s="101"/>
      <c r="DSG93" s="101"/>
      <c r="DSH93" s="101"/>
      <c r="DSI93" s="101"/>
      <c r="DSJ93" s="101"/>
      <c r="DSK93" s="101"/>
      <c r="DSL93" s="101"/>
      <c r="DSM93" s="101"/>
      <c r="DSN93" s="101"/>
      <c r="DSO93" s="101"/>
      <c r="DSP93" s="101"/>
      <c r="DSQ93" s="101"/>
      <c r="DSR93" s="101"/>
      <c r="DSS93" s="101"/>
      <c r="DST93" s="101"/>
      <c r="DSU93" s="101"/>
      <c r="DSV93" s="101"/>
      <c r="DSW93" s="101"/>
      <c r="DSX93" s="101"/>
      <c r="DSY93" s="101"/>
      <c r="DSZ93" s="101"/>
      <c r="DTA93" s="101"/>
      <c r="DTB93" s="101"/>
      <c r="DTC93" s="101"/>
      <c r="DTD93" s="101"/>
      <c r="DTE93" s="101"/>
      <c r="DTF93" s="101"/>
      <c r="DTG93" s="101"/>
      <c r="DTH93" s="101"/>
      <c r="DTI93" s="101"/>
      <c r="DTJ93" s="101"/>
      <c r="DTK93" s="101"/>
      <c r="DTL93" s="101"/>
      <c r="DTM93" s="101"/>
      <c r="DTN93" s="101"/>
      <c r="DTO93" s="101"/>
      <c r="DTP93" s="101"/>
      <c r="DTQ93" s="101"/>
      <c r="DTR93" s="101"/>
      <c r="DTS93" s="101"/>
      <c r="DTT93" s="101"/>
      <c r="DTU93" s="101"/>
      <c r="DTV93" s="101"/>
      <c r="DTW93" s="101"/>
      <c r="DTX93" s="101"/>
      <c r="DTY93" s="101"/>
      <c r="DTZ93" s="101"/>
      <c r="DUA93" s="101"/>
      <c r="DUB93" s="101"/>
      <c r="DUC93" s="101"/>
      <c r="DUD93" s="101"/>
      <c r="DUE93" s="101"/>
      <c r="DUF93" s="101"/>
      <c r="DUG93" s="101"/>
      <c r="DUH93" s="101"/>
      <c r="DUI93" s="101"/>
      <c r="DUJ93" s="101"/>
      <c r="DUK93" s="101"/>
      <c r="DUL93" s="101"/>
      <c r="DUM93" s="101"/>
      <c r="DUN93" s="101"/>
      <c r="DUO93" s="101"/>
      <c r="DUP93" s="101"/>
      <c r="DUQ93" s="101"/>
      <c r="DUR93" s="101"/>
      <c r="DUS93" s="101"/>
      <c r="DUT93" s="101"/>
      <c r="DUU93" s="101"/>
      <c r="DUV93" s="101"/>
      <c r="DUW93" s="101"/>
      <c r="DUX93" s="101"/>
      <c r="DUY93" s="101"/>
      <c r="DUZ93" s="101"/>
      <c r="DVA93" s="101"/>
      <c r="DVB93" s="101"/>
      <c r="DVC93" s="101"/>
      <c r="DVD93" s="101"/>
      <c r="DVE93" s="101"/>
      <c r="DVF93" s="101"/>
      <c r="DVG93" s="101"/>
      <c r="DVH93" s="101"/>
      <c r="DVI93" s="101"/>
      <c r="DVJ93" s="101"/>
      <c r="DVK93" s="101"/>
      <c r="DVL93" s="101"/>
      <c r="DVM93" s="101"/>
      <c r="DVN93" s="101"/>
      <c r="DVO93" s="101"/>
      <c r="DVP93" s="101"/>
      <c r="DVQ93" s="101"/>
      <c r="DVR93" s="101"/>
      <c r="DVS93" s="101"/>
      <c r="DVT93" s="101"/>
      <c r="DVU93" s="101"/>
      <c r="DVV93" s="101"/>
      <c r="DVW93" s="101"/>
      <c r="DVX93" s="101"/>
      <c r="DVY93" s="101"/>
      <c r="DVZ93" s="101"/>
      <c r="DWA93" s="101"/>
      <c r="DWB93" s="101"/>
      <c r="DWC93" s="101"/>
      <c r="DWD93" s="101"/>
      <c r="DWE93" s="101"/>
      <c r="DWF93" s="101"/>
      <c r="DWG93" s="101"/>
      <c r="DWH93" s="101"/>
      <c r="DWI93" s="101"/>
      <c r="DWJ93" s="101"/>
      <c r="DWK93" s="101"/>
      <c r="DWL93" s="101"/>
      <c r="DWM93" s="101"/>
      <c r="DWN93" s="101"/>
      <c r="DWO93" s="101"/>
      <c r="DWP93" s="101"/>
      <c r="DWQ93" s="101"/>
      <c r="DWR93" s="101"/>
      <c r="DWS93" s="101"/>
      <c r="DWT93" s="101"/>
      <c r="DWU93" s="101"/>
      <c r="DWV93" s="101"/>
      <c r="DWW93" s="101"/>
      <c r="DWX93" s="101"/>
      <c r="DWY93" s="101"/>
      <c r="DWZ93" s="101"/>
      <c r="DXA93" s="101"/>
      <c r="DXB93" s="101"/>
      <c r="DXC93" s="101"/>
      <c r="DXD93" s="101"/>
      <c r="DXE93" s="101"/>
      <c r="DXF93" s="101"/>
      <c r="DXG93" s="101"/>
      <c r="DXH93" s="101"/>
      <c r="DXI93" s="101"/>
      <c r="DXJ93" s="101"/>
      <c r="DXK93" s="101"/>
      <c r="DXL93" s="101"/>
      <c r="DXM93" s="101"/>
      <c r="DXN93" s="101"/>
      <c r="DXO93" s="101"/>
      <c r="DXP93" s="101"/>
      <c r="DXQ93" s="101"/>
      <c r="DXR93" s="101"/>
      <c r="DXS93" s="101"/>
      <c r="DXT93" s="101"/>
      <c r="DXU93" s="101"/>
      <c r="DXV93" s="101"/>
      <c r="DXW93" s="101"/>
      <c r="DXX93" s="101"/>
      <c r="DXY93" s="101"/>
      <c r="DXZ93" s="101"/>
      <c r="DYA93" s="101"/>
      <c r="DYB93" s="101"/>
      <c r="DYC93" s="101"/>
      <c r="DYD93" s="101"/>
      <c r="DYE93" s="101"/>
      <c r="DYF93" s="101"/>
      <c r="DYG93" s="101"/>
      <c r="DYH93" s="101"/>
      <c r="DYI93" s="101"/>
      <c r="DYJ93" s="101"/>
      <c r="DYK93" s="101"/>
      <c r="DYL93" s="101"/>
      <c r="DYM93" s="101"/>
      <c r="DYN93" s="101"/>
      <c r="DYO93" s="101"/>
      <c r="DYP93" s="101"/>
      <c r="DYQ93" s="101"/>
      <c r="DYR93" s="101"/>
      <c r="DYS93" s="101"/>
      <c r="DYT93" s="101"/>
      <c r="DYU93" s="101"/>
      <c r="DYV93" s="101"/>
      <c r="DYW93" s="101"/>
      <c r="DYX93" s="101"/>
      <c r="DYY93" s="101"/>
      <c r="DYZ93" s="101"/>
      <c r="DZA93" s="101"/>
      <c r="DZB93" s="101"/>
      <c r="DZC93" s="101"/>
      <c r="DZD93" s="101"/>
      <c r="DZE93" s="101"/>
      <c r="DZF93" s="101"/>
      <c r="DZG93" s="101"/>
      <c r="DZH93" s="101"/>
      <c r="DZI93" s="101"/>
      <c r="DZJ93" s="101"/>
      <c r="DZK93" s="101"/>
      <c r="DZL93" s="101"/>
      <c r="DZM93" s="101"/>
      <c r="DZN93" s="101"/>
      <c r="DZO93" s="101"/>
      <c r="DZP93" s="101"/>
      <c r="DZQ93" s="101"/>
      <c r="DZR93" s="101"/>
      <c r="DZS93" s="101"/>
      <c r="DZT93" s="101"/>
      <c r="DZU93" s="101"/>
      <c r="DZV93" s="101"/>
      <c r="DZW93" s="101"/>
      <c r="DZX93" s="101"/>
      <c r="DZY93" s="101"/>
      <c r="DZZ93" s="101"/>
      <c r="EAA93" s="101"/>
      <c r="EAB93" s="101"/>
      <c r="EAC93" s="101"/>
      <c r="EAD93" s="101"/>
      <c r="EAE93" s="101"/>
      <c r="EAF93" s="101"/>
      <c r="EAG93" s="101"/>
      <c r="EAH93" s="101"/>
      <c r="EAI93" s="101"/>
      <c r="EAJ93" s="101"/>
      <c r="EAK93" s="101"/>
      <c r="EAL93" s="101"/>
      <c r="EAM93" s="101"/>
      <c r="EAN93" s="101"/>
      <c r="EAO93" s="101"/>
      <c r="EAP93" s="101"/>
      <c r="EAQ93" s="101"/>
      <c r="EAR93" s="101"/>
      <c r="EAS93" s="101"/>
      <c r="EAT93" s="101"/>
      <c r="EAU93" s="101"/>
      <c r="EAV93" s="101"/>
      <c r="EAW93" s="101"/>
      <c r="EAX93" s="101"/>
      <c r="EAY93" s="101"/>
      <c r="EAZ93" s="101"/>
      <c r="EBA93" s="101"/>
      <c r="EBB93" s="101"/>
      <c r="EBC93" s="101"/>
      <c r="EBD93" s="101"/>
      <c r="EBE93" s="101"/>
      <c r="EBF93" s="101"/>
      <c r="EBG93" s="101"/>
      <c r="EBH93" s="101"/>
      <c r="EBI93" s="101"/>
      <c r="EBJ93" s="101"/>
      <c r="EBK93" s="101"/>
      <c r="EBL93" s="101"/>
      <c r="EBM93" s="101"/>
      <c r="EBN93" s="101"/>
      <c r="EBO93" s="101"/>
      <c r="EBP93" s="101"/>
      <c r="EBQ93" s="101"/>
      <c r="EBR93" s="101"/>
      <c r="EBS93" s="101"/>
      <c r="EBT93" s="101"/>
      <c r="EBU93" s="101"/>
      <c r="EBV93" s="101"/>
      <c r="EBW93" s="101"/>
      <c r="EBX93" s="101"/>
      <c r="EBY93" s="101"/>
      <c r="EBZ93" s="101"/>
      <c r="ECA93" s="101"/>
      <c r="ECB93" s="101"/>
      <c r="ECC93" s="101"/>
      <c r="ECD93" s="101"/>
      <c r="ECE93" s="101"/>
      <c r="ECF93" s="101"/>
      <c r="ECG93" s="101"/>
      <c r="ECH93" s="101"/>
      <c r="ECI93" s="101"/>
      <c r="ECJ93" s="101"/>
      <c r="ECK93" s="101"/>
      <c r="ECL93" s="101"/>
      <c r="ECM93" s="101"/>
      <c r="ECN93" s="101"/>
      <c r="ECO93" s="101"/>
      <c r="ECP93" s="101"/>
      <c r="ECQ93" s="101"/>
      <c r="ECR93" s="101"/>
      <c r="ECS93" s="101"/>
      <c r="ECT93" s="101"/>
      <c r="ECU93" s="101"/>
      <c r="ECV93" s="101"/>
      <c r="ECW93" s="101"/>
      <c r="ECX93" s="101"/>
      <c r="ECY93" s="101"/>
      <c r="ECZ93" s="101"/>
      <c r="EDA93" s="101"/>
      <c r="EDB93" s="101"/>
      <c r="EDC93" s="101"/>
      <c r="EDD93" s="101"/>
      <c r="EDE93" s="101"/>
      <c r="EDF93" s="101"/>
      <c r="EDG93" s="101"/>
      <c r="EDH93" s="101"/>
      <c r="EDI93" s="101"/>
      <c r="EDJ93" s="101"/>
      <c r="EDK93" s="101"/>
      <c r="EDL93" s="101"/>
      <c r="EDM93" s="101"/>
      <c r="EDN93" s="101"/>
      <c r="EDO93" s="101"/>
      <c r="EDP93" s="101"/>
      <c r="EDQ93" s="101"/>
      <c r="EDR93" s="101"/>
      <c r="EDS93" s="101"/>
      <c r="EDT93" s="101"/>
      <c r="EDU93" s="101"/>
      <c r="EDV93" s="101"/>
      <c r="EDW93" s="101"/>
      <c r="EDX93" s="101"/>
      <c r="EDY93" s="101"/>
      <c r="EDZ93" s="101"/>
      <c r="EEA93" s="101"/>
      <c r="EEB93" s="101"/>
      <c r="EEC93" s="101"/>
      <c r="EED93" s="101"/>
      <c r="EEE93" s="101"/>
      <c r="EEF93" s="101"/>
      <c r="EEG93" s="101"/>
      <c r="EEH93" s="101"/>
      <c r="EEI93" s="101"/>
      <c r="EEJ93" s="101"/>
      <c r="EEK93" s="101"/>
      <c r="EEL93" s="101"/>
      <c r="EEM93" s="101"/>
      <c r="EEN93" s="101"/>
      <c r="EEO93" s="101"/>
      <c r="EEP93" s="101"/>
      <c r="EEQ93" s="101"/>
      <c r="EER93" s="101"/>
      <c r="EES93" s="101"/>
      <c r="EET93" s="101"/>
      <c r="EEU93" s="101"/>
      <c r="EEV93" s="101"/>
      <c r="EEW93" s="101"/>
      <c r="EEX93" s="101"/>
      <c r="EEY93" s="101"/>
      <c r="EEZ93" s="101"/>
      <c r="EFA93" s="101"/>
      <c r="EFB93" s="101"/>
      <c r="EFC93" s="101"/>
      <c r="EFD93" s="101"/>
      <c r="EFE93" s="101"/>
      <c r="EFF93" s="101"/>
      <c r="EFG93" s="101"/>
      <c r="EFH93" s="101"/>
      <c r="EFI93" s="101"/>
      <c r="EFJ93" s="101"/>
      <c r="EFK93" s="101"/>
      <c r="EFL93" s="101"/>
      <c r="EFM93" s="101"/>
      <c r="EFN93" s="101"/>
      <c r="EFO93" s="101"/>
      <c r="EFP93" s="101"/>
      <c r="EFQ93" s="101"/>
      <c r="EFR93" s="101"/>
      <c r="EFS93" s="101"/>
      <c r="EFT93" s="101"/>
      <c r="EFU93" s="101"/>
      <c r="EFV93" s="101"/>
      <c r="EFW93" s="101"/>
      <c r="EFX93" s="101"/>
      <c r="EFY93" s="101"/>
      <c r="EFZ93" s="101"/>
      <c r="EGA93" s="101"/>
      <c r="EGB93" s="101"/>
      <c r="EGC93" s="101"/>
      <c r="EGD93" s="101"/>
      <c r="EGE93" s="101"/>
      <c r="EGF93" s="101"/>
      <c r="EGG93" s="101"/>
      <c r="EGH93" s="101"/>
      <c r="EGI93" s="101"/>
      <c r="EGJ93" s="101"/>
      <c r="EGK93" s="101"/>
      <c r="EGL93" s="101"/>
      <c r="EGM93" s="101"/>
      <c r="EGN93" s="101"/>
      <c r="EGO93" s="101"/>
      <c r="EGP93" s="101"/>
      <c r="EGQ93" s="101"/>
      <c r="EGR93" s="101"/>
      <c r="EGS93" s="101"/>
      <c r="EGT93" s="101"/>
      <c r="EGU93" s="101"/>
      <c r="EGV93" s="101"/>
      <c r="EGW93" s="101"/>
      <c r="EGX93" s="101"/>
      <c r="EGY93" s="101"/>
      <c r="EGZ93" s="101"/>
      <c r="EHA93" s="101"/>
      <c r="EHB93" s="101"/>
      <c r="EHC93" s="101"/>
      <c r="EHD93" s="101"/>
      <c r="EHE93" s="101"/>
      <c r="EHF93" s="101"/>
      <c r="EHG93" s="101"/>
      <c r="EHH93" s="101"/>
      <c r="EHI93" s="101"/>
      <c r="EHJ93" s="101"/>
      <c r="EHK93" s="101"/>
      <c r="EHL93" s="101"/>
      <c r="EHM93" s="101"/>
      <c r="EHN93" s="101"/>
      <c r="EHO93" s="101"/>
      <c r="EHP93" s="101"/>
      <c r="EHQ93" s="101"/>
      <c r="EHR93" s="101"/>
      <c r="EHS93" s="101"/>
      <c r="EHT93" s="101"/>
      <c r="EHU93" s="101"/>
      <c r="EHV93" s="101"/>
      <c r="EHW93" s="101"/>
      <c r="EHX93" s="101"/>
      <c r="EHY93" s="101"/>
      <c r="EHZ93" s="101"/>
      <c r="EIA93" s="101"/>
      <c r="EIB93" s="101"/>
      <c r="EIC93" s="101"/>
      <c r="EID93" s="101"/>
      <c r="EIE93" s="101"/>
      <c r="EIF93" s="101"/>
      <c r="EIG93" s="101"/>
      <c r="EIH93" s="101"/>
      <c r="EII93" s="101"/>
      <c r="EIJ93" s="101"/>
      <c r="EIK93" s="101"/>
      <c r="EIL93" s="101"/>
      <c r="EIM93" s="101"/>
      <c r="EIN93" s="101"/>
      <c r="EIO93" s="101"/>
      <c r="EIP93" s="101"/>
      <c r="EIQ93" s="101"/>
      <c r="EIR93" s="101"/>
      <c r="EIS93" s="101"/>
      <c r="EIT93" s="101"/>
      <c r="EIU93" s="101"/>
      <c r="EIV93" s="101"/>
      <c r="EIW93" s="101"/>
      <c r="EIX93" s="101"/>
      <c r="EIY93" s="101"/>
      <c r="EIZ93" s="101"/>
      <c r="EJA93" s="101"/>
      <c r="EJB93" s="101"/>
      <c r="EJC93" s="101"/>
      <c r="EJD93" s="101"/>
      <c r="EJE93" s="101"/>
      <c r="EJF93" s="101"/>
      <c r="EJG93" s="101"/>
      <c r="EJH93" s="101"/>
      <c r="EJI93" s="101"/>
      <c r="EJJ93" s="101"/>
      <c r="EJK93" s="101"/>
      <c r="EJL93" s="101"/>
      <c r="EJM93" s="101"/>
      <c r="EJN93" s="101"/>
      <c r="EJO93" s="101"/>
      <c r="EJP93" s="101"/>
      <c r="EJQ93" s="101"/>
      <c r="EJR93" s="101"/>
      <c r="EJS93" s="101"/>
      <c r="EJT93" s="101"/>
      <c r="EJU93" s="101"/>
      <c r="EJV93" s="101"/>
      <c r="EJW93" s="101"/>
      <c r="EJX93" s="101"/>
      <c r="EJY93" s="101"/>
      <c r="EJZ93" s="101"/>
      <c r="EKA93" s="101"/>
      <c r="EKB93" s="101"/>
      <c r="EKC93" s="101"/>
      <c r="EKD93" s="101"/>
      <c r="EKE93" s="101"/>
      <c r="EKF93" s="101"/>
      <c r="EKG93" s="101"/>
      <c r="EKH93" s="101"/>
      <c r="EKI93" s="101"/>
      <c r="EKJ93" s="101"/>
      <c r="EKK93" s="101"/>
      <c r="EKL93" s="101"/>
      <c r="EKM93" s="101"/>
      <c r="EKN93" s="101"/>
      <c r="EKO93" s="101"/>
      <c r="EKP93" s="101"/>
      <c r="EKQ93" s="101"/>
      <c r="EKR93" s="101"/>
      <c r="EKS93" s="101"/>
      <c r="EKT93" s="101"/>
      <c r="EKU93" s="101"/>
      <c r="EKV93" s="101"/>
      <c r="EKW93" s="101"/>
      <c r="EKX93" s="101"/>
      <c r="EKY93" s="101"/>
      <c r="EKZ93" s="101"/>
      <c r="ELA93" s="101"/>
      <c r="ELB93" s="101"/>
      <c r="ELC93" s="101"/>
      <c r="ELD93" s="101"/>
      <c r="ELE93" s="101"/>
      <c r="ELF93" s="101"/>
      <c r="ELG93" s="101"/>
      <c r="ELH93" s="101"/>
      <c r="ELI93" s="101"/>
      <c r="ELJ93" s="101"/>
      <c r="ELK93" s="101"/>
      <c r="ELL93" s="101"/>
      <c r="ELM93" s="101"/>
      <c r="ELN93" s="101"/>
      <c r="ELO93" s="101"/>
      <c r="ELP93" s="101"/>
      <c r="ELQ93" s="101"/>
      <c r="ELR93" s="101"/>
      <c r="ELS93" s="101"/>
      <c r="ELT93" s="101"/>
      <c r="ELU93" s="101"/>
      <c r="ELV93" s="101"/>
      <c r="ELW93" s="101"/>
      <c r="ELX93" s="101"/>
      <c r="ELY93" s="101"/>
      <c r="ELZ93" s="101"/>
      <c r="EMA93" s="101"/>
      <c r="EMB93" s="101"/>
      <c r="EMC93" s="101"/>
      <c r="EMD93" s="101"/>
      <c r="EME93" s="101"/>
      <c r="EMF93" s="101"/>
      <c r="EMG93" s="101"/>
      <c r="EMH93" s="101"/>
      <c r="EMI93" s="101"/>
      <c r="EMJ93" s="101"/>
      <c r="EMK93" s="101"/>
      <c r="EML93" s="101"/>
      <c r="EMM93" s="101"/>
      <c r="EMN93" s="101"/>
      <c r="EMO93" s="101"/>
      <c r="EMP93" s="101"/>
      <c r="EMQ93" s="101"/>
      <c r="EMR93" s="101"/>
      <c r="EMS93" s="101"/>
      <c r="EMT93" s="101"/>
      <c r="EMU93" s="101"/>
      <c r="EMV93" s="101"/>
      <c r="EMW93" s="101"/>
      <c r="EMX93" s="101"/>
      <c r="EMY93" s="101"/>
      <c r="EMZ93" s="101"/>
      <c r="ENA93" s="101"/>
      <c r="ENB93" s="101"/>
      <c r="ENC93" s="101"/>
      <c r="END93" s="101"/>
      <c r="ENE93" s="101"/>
      <c r="ENF93" s="101"/>
      <c r="ENG93" s="101"/>
      <c r="ENH93" s="101"/>
      <c r="ENI93" s="101"/>
      <c r="ENJ93" s="101"/>
      <c r="ENK93" s="101"/>
      <c r="ENL93" s="101"/>
      <c r="ENM93" s="101"/>
      <c r="ENN93" s="101"/>
      <c r="ENO93" s="101"/>
      <c r="ENP93" s="101"/>
      <c r="ENQ93" s="101"/>
      <c r="ENR93" s="101"/>
      <c r="ENS93" s="101"/>
      <c r="ENT93" s="101"/>
      <c r="ENU93" s="101"/>
      <c r="ENV93" s="101"/>
      <c r="ENW93" s="101"/>
      <c r="ENX93" s="101"/>
      <c r="ENY93" s="101"/>
      <c r="ENZ93" s="101"/>
      <c r="EOA93" s="101"/>
      <c r="EOB93" s="101"/>
      <c r="EOC93" s="101"/>
      <c r="EOD93" s="101"/>
      <c r="EOE93" s="101"/>
      <c r="EOF93" s="101"/>
      <c r="EOG93" s="101"/>
      <c r="EOH93" s="101"/>
      <c r="EOI93" s="101"/>
      <c r="EOJ93" s="101"/>
      <c r="EOK93" s="101"/>
      <c r="EOL93" s="101"/>
      <c r="EOM93" s="101"/>
      <c r="EON93" s="101"/>
      <c r="EOO93" s="101"/>
      <c r="EOP93" s="101"/>
      <c r="EOQ93" s="101"/>
      <c r="EOR93" s="101"/>
      <c r="EOS93" s="101"/>
      <c r="EOT93" s="101"/>
      <c r="EOU93" s="101"/>
      <c r="EOV93" s="101"/>
      <c r="EOW93" s="101"/>
      <c r="EOX93" s="101"/>
      <c r="EOY93" s="101"/>
      <c r="EOZ93" s="101"/>
      <c r="EPA93" s="101"/>
      <c r="EPB93" s="101"/>
      <c r="EPC93" s="101"/>
      <c r="EPD93" s="101"/>
      <c r="EPE93" s="101"/>
      <c r="EPF93" s="101"/>
      <c r="EPG93" s="101"/>
      <c r="EPH93" s="101"/>
      <c r="EPI93" s="101"/>
      <c r="EPJ93" s="101"/>
      <c r="EPK93" s="101"/>
      <c r="EPL93" s="101"/>
      <c r="EPM93" s="101"/>
      <c r="EPN93" s="101"/>
      <c r="EPO93" s="101"/>
      <c r="EPP93" s="101"/>
      <c r="EPQ93" s="101"/>
      <c r="EPR93" s="101"/>
      <c r="EPS93" s="101"/>
      <c r="EPT93" s="101"/>
      <c r="EPU93" s="101"/>
      <c r="EPV93" s="101"/>
      <c r="EPW93" s="101"/>
      <c r="EPX93" s="101"/>
      <c r="EPY93" s="101"/>
      <c r="EPZ93" s="101"/>
      <c r="EQA93" s="101"/>
      <c r="EQB93" s="101"/>
      <c r="EQC93" s="101"/>
      <c r="EQD93" s="101"/>
      <c r="EQE93" s="101"/>
      <c r="EQF93" s="101"/>
      <c r="EQG93" s="101"/>
      <c r="EQH93" s="101"/>
      <c r="EQI93" s="101"/>
      <c r="EQJ93" s="101"/>
      <c r="EQK93" s="101"/>
      <c r="EQL93" s="101"/>
      <c r="EQM93" s="101"/>
      <c r="EQN93" s="101"/>
      <c r="EQO93" s="101"/>
      <c r="EQP93" s="101"/>
      <c r="EQQ93" s="101"/>
      <c r="EQR93" s="101"/>
      <c r="EQS93" s="101"/>
      <c r="EQT93" s="101"/>
      <c r="EQU93" s="101"/>
      <c r="EQV93" s="101"/>
      <c r="EQW93" s="101"/>
      <c r="EQX93" s="101"/>
      <c r="EQY93" s="101"/>
      <c r="EQZ93" s="101"/>
      <c r="ERA93" s="101"/>
      <c r="ERB93" s="101"/>
      <c r="ERC93" s="101"/>
      <c r="ERD93" s="101"/>
      <c r="ERE93" s="101"/>
      <c r="ERF93" s="101"/>
      <c r="ERG93" s="101"/>
      <c r="ERH93" s="101"/>
      <c r="ERI93" s="101"/>
      <c r="ERJ93" s="101"/>
      <c r="ERK93" s="101"/>
      <c r="ERL93" s="101"/>
      <c r="ERM93" s="101"/>
      <c r="ERN93" s="101"/>
      <c r="ERO93" s="101"/>
      <c r="ERP93" s="101"/>
      <c r="ERQ93" s="101"/>
      <c r="ERR93" s="101"/>
      <c r="ERS93" s="101"/>
      <c r="ERT93" s="101"/>
      <c r="ERU93" s="101"/>
      <c r="ERV93" s="101"/>
      <c r="ERW93" s="101"/>
      <c r="ERX93" s="101"/>
      <c r="ERY93" s="101"/>
      <c r="ERZ93" s="101"/>
      <c r="ESA93" s="101"/>
      <c r="ESB93" s="101"/>
      <c r="ESC93" s="101"/>
      <c r="ESD93" s="101"/>
      <c r="ESE93" s="101"/>
      <c r="ESF93" s="101"/>
      <c r="ESG93" s="101"/>
      <c r="ESH93" s="101"/>
      <c r="ESI93" s="101"/>
      <c r="ESJ93" s="101"/>
      <c r="ESK93" s="101"/>
      <c r="ESL93" s="101"/>
      <c r="ESM93" s="101"/>
      <c r="ESN93" s="101"/>
      <c r="ESO93" s="101"/>
      <c r="ESP93" s="101"/>
      <c r="ESQ93" s="101"/>
      <c r="ESR93" s="101"/>
      <c r="ESS93" s="101"/>
      <c r="EST93" s="101"/>
      <c r="ESU93" s="101"/>
      <c r="ESV93" s="101"/>
      <c r="ESW93" s="101"/>
      <c r="ESX93" s="101"/>
      <c r="ESY93" s="101"/>
      <c r="ESZ93" s="101"/>
      <c r="ETA93" s="101"/>
      <c r="ETB93" s="101"/>
      <c r="ETC93" s="101"/>
      <c r="ETD93" s="101"/>
      <c r="ETE93" s="101"/>
      <c r="ETF93" s="101"/>
      <c r="ETG93" s="101"/>
      <c r="ETH93" s="101"/>
      <c r="ETI93" s="101"/>
      <c r="ETJ93" s="101"/>
      <c r="ETK93" s="101"/>
      <c r="ETL93" s="101"/>
      <c r="ETM93" s="101"/>
      <c r="ETN93" s="101"/>
      <c r="ETO93" s="101"/>
      <c r="ETP93" s="101"/>
      <c r="ETQ93" s="101"/>
      <c r="ETR93" s="101"/>
      <c r="ETS93" s="101"/>
      <c r="ETT93" s="101"/>
      <c r="ETU93" s="101"/>
      <c r="ETV93" s="101"/>
      <c r="ETW93" s="101"/>
      <c r="ETX93" s="101"/>
      <c r="ETY93" s="101"/>
      <c r="ETZ93" s="101"/>
      <c r="EUA93" s="101"/>
      <c r="EUB93" s="101"/>
      <c r="EUC93" s="101"/>
      <c r="EUD93" s="101"/>
      <c r="EUE93" s="101"/>
      <c r="EUF93" s="101"/>
      <c r="EUG93" s="101"/>
      <c r="EUH93" s="101"/>
      <c r="EUI93" s="101"/>
      <c r="EUJ93" s="101"/>
      <c r="EUK93" s="101"/>
      <c r="EUL93" s="101"/>
      <c r="EUM93" s="101"/>
      <c r="EUN93" s="101"/>
      <c r="EUO93" s="101"/>
      <c r="EUP93" s="101"/>
      <c r="EUQ93" s="101"/>
      <c r="EUR93" s="101"/>
      <c r="EUS93" s="101"/>
      <c r="EUT93" s="101"/>
      <c r="EUU93" s="101"/>
      <c r="EUV93" s="101"/>
      <c r="EUW93" s="101"/>
      <c r="EUX93" s="101"/>
      <c r="EUY93" s="101"/>
      <c r="EUZ93" s="101"/>
      <c r="EVA93" s="101"/>
      <c r="EVB93" s="101"/>
      <c r="EVC93" s="101"/>
      <c r="EVD93" s="101"/>
      <c r="EVE93" s="101"/>
      <c r="EVF93" s="101"/>
      <c r="EVG93" s="101"/>
      <c r="EVH93" s="101"/>
      <c r="EVI93" s="101"/>
      <c r="EVJ93" s="101"/>
      <c r="EVK93" s="101"/>
      <c r="EVL93" s="101"/>
      <c r="EVM93" s="101"/>
      <c r="EVN93" s="101"/>
      <c r="EVO93" s="101"/>
      <c r="EVP93" s="101"/>
      <c r="EVQ93" s="101"/>
      <c r="EVR93" s="101"/>
      <c r="EVS93" s="101"/>
      <c r="EVT93" s="101"/>
      <c r="EVU93" s="101"/>
      <c r="EVV93" s="101"/>
      <c r="EVW93" s="101"/>
      <c r="EVX93" s="101"/>
      <c r="EVY93" s="101"/>
      <c r="EVZ93" s="101"/>
      <c r="EWA93" s="101"/>
      <c r="EWB93" s="101"/>
      <c r="EWC93" s="101"/>
      <c r="EWD93" s="101"/>
      <c r="EWE93" s="101"/>
      <c r="EWF93" s="101"/>
      <c r="EWG93" s="101"/>
      <c r="EWH93" s="101"/>
      <c r="EWI93" s="101"/>
      <c r="EWJ93" s="101"/>
      <c r="EWK93" s="101"/>
      <c r="EWL93" s="101"/>
      <c r="EWM93" s="101"/>
      <c r="EWN93" s="101"/>
      <c r="EWO93" s="101"/>
      <c r="EWP93" s="101"/>
      <c r="EWQ93" s="101"/>
      <c r="EWR93" s="101"/>
      <c r="EWS93" s="101"/>
      <c r="EWT93" s="101"/>
      <c r="EWU93" s="101"/>
      <c r="EWV93" s="101"/>
      <c r="EWW93" s="101"/>
      <c r="EWX93" s="101"/>
      <c r="EWY93" s="101"/>
      <c r="EWZ93" s="101"/>
      <c r="EXA93" s="101"/>
      <c r="EXB93" s="101"/>
      <c r="EXC93" s="101"/>
      <c r="EXD93" s="101"/>
      <c r="EXE93" s="101"/>
      <c r="EXF93" s="101"/>
      <c r="EXG93" s="101"/>
      <c r="EXH93" s="101"/>
      <c r="EXI93" s="101"/>
      <c r="EXJ93" s="101"/>
      <c r="EXK93" s="101"/>
      <c r="EXL93" s="101"/>
      <c r="EXM93" s="101"/>
      <c r="EXN93" s="101"/>
      <c r="EXO93" s="101"/>
      <c r="EXP93" s="101"/>
      <c r="EXQ93" s="101"/>
      <c r="EXR93" s="101"/>
      <c r="EXS93" s="101"/>
      <c r="EXT93" s="101"/>
      <c r="EXU93" s="101"/>
      <c r="EXV93" s="101"/>
      <c r="EXW93" s="101"/>
      <c r="EXX93" s="101"/>
      <c r="EXY93" s="101"/>
      <c r="EXZ93" s="101"/>
      <c r="EYA93" s="101"/>
      <c r="EYB93" s="101"/>
      <c r="EYC93" s="101"/>
      <c r="EYD93" s="101"/>
      <c r="EYE93" s="101"/>
      <c r="EYF93" s="101"/>
      <c r="EYG93" s="101"/>
      <c r="EYH93" s="101"/>
      <c r="EYI93" s="101"/>
      <c r="EYJ93" s="101"/>
      <c r="EYK93" s="101"/>
      <c r="EYL93" s="101"/>
      <c r="EYM93" s="101"/>
      <c r="EYN93" s="101"/>
      <c r="EYO93" s="101"/>
      <c r="EYP93" s="101"/>
      <c r="EYQ93" s="101"/>
      <c r="EYR93" s="101"/>
      <c r="EYS93" s="101"/>
      <c r="EYT93" s="101"/>
      <c r="EYU93" s="101"/>
      <c r="EYV93" s="101"/>
      <c r="EYW93" s="101"/>
      <c r="EYX93" s="101"/>
      <c r="EYY93" s="101"/>
      <c r="EYZ93" s="101"/>
      <c r="EZA93" s="101"/>
      <c r="EZB93" s="101"/>
      <c r="EZC93" s="101"/>
      <c r="EZD93" s="101"/>
      <c r="EZE93" s="101"/>
      <c r="EZF93" s="101"/>
      <c r="EZG93" s="101"/>
      <c r="EZH93" s="101"/>
      <c r="EZI93" s="101"/>
      <c r="EZJ93" s="101"/>
      <c r="EZK93" s="101"/>
      <c r="EZL93" s="101"/>
      <c r="EZM93" s="101"/>
      <c r="EZN93" s="101"/>
      <c r="EZO93" s="101"/>
      <c r="EZP93" s="101"/>
      <c r="EZQ93" s="101"/>
      <c r="EZR93" s="101"/>
      <c r="EZS93" s="101"/>
      <c r="EZT93" s="101"/>
      <c r="EZU93" s="101"/>
      <c r="EZV93" s="101"/>
      <c r="EZW93" s="101"/>
      <c r="EZX93" s="101"/>
      <c r="EZY93" s="101"/>
      <c r="EZZ93" s="101"/>
      <c r="FAA93" s="101"/>
      <c r="FAB93" s="101"/>
      <c r="FAC93" s="101"/>
      <c r="FAD93" s="101"/>
      <c r="FAE93" s="101"/>
      <c r="FAF93" s="101"/>
      <c r="FAG93" s="101"/>
      <c r="FAH93" s="101"/>
      <c r="FAI93" s="101"/>
      <c r="FAJ93" s="101"/>
      <c r="FAK93" s="101"/>
      <c r="FAL93" s="101"/>
      <c r="FAM93" s="101"/>
      <c r="FAN93" s="101"/>
      <c r="FAO93" s="101"/>
      <c r="FAP93" s="101"/>
      <c r="FAQ93" s="101"/>
      <c r="FAR93" s="101"/>
      <c r="FAS93" s="101"/>
      <c r="FAT93" s="101"/>
      <c r="FAU93" s="101"/>
      <c r="FAV93" s="101"/>
      <c r="FAW93" s="101"/>
      <c r="FAX93" s="101"/>
      <c r="FAY93" s="101"/>
      <c r="FAZ93" s="101"/>
      <c r="FBA93" s="101"/>
      <c r="FBB93" s="101"/>
      <c r="FBC93" s="101"/>
      <c r="FBD93" s="101"/>
      <c r="FBE93" s="101"/>
      <c r="FBF93" s="101"/>
      <c r="FBG93" s="101"/>
      <c r="FBH93" s="101"/>
      <c r="FBI93" s="101"/>
      <c r="FBJ93" s="101"/>
      <c r="FBK93" s="101"/>
      <c r="FBL93" s="101"/>
      <c r="FBM93" s="101"/>
      <c r="FBN93" s="101"/>
      <c r="FBO93" s="101"/>
      <c r="FBP93" s="101"/>
      <c r="FBQ93" s="101"/>
      <c r="FBR93" s="101"/>
      <c r="FBS93" s="101"/>
      <c r="FBT93" s="101"/>
      <c r="FBU93" s="101"/>
      <c r="FBV93" s="101"/>
      <c r="FBW93" s="101"/>
      <c r="FBX93" s="101"/>
      <c r="FBY93" s="101"/>
      <c r="FBZ93" s="101"/>
      <c r="FCA93" s="101"/>
      <c r="FCB93" s="101"/>
      <c r="FCC93" s="101"/>
      <c r="FCD93" s="101"/>
      <c r="FCE93" s="101"/>
      <c r="FCF93" s="101"/>
      <c r="FCG93" s="101"/>
      <c r="FCH93" s="101"/>
      <c r="FCI93" s="101"/>
      <c r="FCJ93" s="101"/>
      <c r="FCK93" s="101"/>
      <c r="FCL93" s="101"/>
      <c r="FCM93" s="101"/>
      <c r="FCN93" s="101"/>
      <c r="FCO93" s="101"/>
      <c r="FCP93" s="101"/>
      <c r="FCQ93" s="101"/>
      <c r="FCR93" s="101"/>
      <c r="FCS93" s="101"/>
      <c r="FCT93" s="101"/>
      <c r="FCU93" s="101"/>
      <c r="FCV93" s="101"/>
      <c r="FCW93" s="101"/>
      <c r="FCX93" s="101"/>
      <c r="FCY93" s="101"/>
      <c r="FCZ93" s="101"/>
      <c r="FDA93" s="101"/>
      <c r="FDB93" s="101"/>
      <c r="FDC93" s="101"/>
      <c r="FDD93" s="101"/>
      <c r="FDE93" s="101"/>
      <c r="FDF93" s="101"/>
      <c r="FDG93" s="101"/>
      <c r="FDH93" s="101"/>
      <c r="FDI93" s="101"/>
      <c r="FDJ93" s="101"/>
      <c r="FDK93" s="101"/>
      <c r="FDL93" s="101"/>
      <c r="FDM93" s="101"/>
      <c r="FDN93" s="101"/>
      <c r="FDO93" s="101"/>
      <c r="FDP93" s="101"/>
      <c r="FDQ93" s="101"/>
      <c r="FDR93" s="101"/>
      <c r="FDS93" s="101"/>
      <c r="FDT93" s="101"/>
      <c r="FDU93" s="101"/>
      <c r="FDV93" s="101"/>
      <c r="FDW93" s="101"/>
      <c r="FDX93" s="101"/>
      <c r="FDY93" s="101"/>
      <c r="FDZ93" s="101"/>
      <c r="FEA93" s="101"/>
      <c r="FEB93" s="101"/>
      <c r="FEC93" s="101"/>
      <c r="FED93" s="101"/>
      <c r="FEE93" s="101"/>
      <c r="FEF93" s="101"/>
      <c r="FEG93" s="101"/>
      <c r="FEH93" s="101"/>
      <c r="FEI93" s="101"/>
      <c r="FEJ93" s="101"/>
      <c r="FEK93" s="101"/>
      <c r="FEL93" s="101"/>
      <c r="FEM93" s="101"/>
      <c r="FEN93" s="101"/>
      <c r="FEO93" s="101"/>
      <c r="FEP93" s="101"/>
      <c r="FEQ93" s="101"/>
      <c r="FER93" s="101"/>
      <c r="FES93" s="101"/>
      <c r="FET93" s="101"/>
      <c r="FEU93" s="101"/>
      <c r="FEV93" s="101"/>
      <c r="FEW93" s="101"/>
      <c r="FEX93" s="101"/>
      <c r="FEY93" s="101"/>
      <c r="FEZ93" s="101"/>
      <c r="FFA93" s="101"/>
      <c r="FFB93" s="101"/>
      <c r="FFC93" s="101"/>
      <c r="FFD93" s="101"/>
      <c r="FFE93" s="101"/>
      <c r="FFF93" s="101"/>
      <c r="FFG93" s="101"/>
      <c r="FFH93" s="101"/>
      <c r="FFI93" s="101"/>
      <c r="FFJ93" s="101"/>
      <c r="FFK93" s="101"/>
      <c r="FFL93" s="101"/>
      <c r="FFM93" s="101"/>
      <c r="FFN93" s="101"/>
      <c r="FFO93" s="101"/>
      <c r="FFP93" s="101"/>
      <c r="FFQ93" s="101"/>
      <c r="FFR93" s="101"/>
      <c r="FFS93" s="101"/>
      <c r="FFT93" s="101"/>
      <c r="FFU93" s="101"/>
      <c r="FFV93" s="101"/>
      <c r="FFW93" s="101"/>
      <c r="FFX93" s="101"/>
      <c r="FFY93" s="101"/>
      <c r="FFZ93" s="101"/>
      <c r="FGA93" s="101"/>
      <c r="FGB93" s="101"/>
      <c r="FGC93" s="101"/>
      <c r="FGD93" s="101"/>
      <c r="FGE93" s="101"/>
      <c r="FGF93" s="101"/>
      <c r="FGG93" s="101"/>
      <c r="FGH93" s="101"/>
      <c r="FGI93" s="101"/>
      <c r="FGJ93" s="101"/>
      <c r="FGK93" s="101"/>
      <c r="FGL93" s="101"/>
      <c r="FGM93" s="101"/>
      <c r="FGN93" s="101"/>
      <c r="FGO93" s="101"/>
      <c r="FGP93" s="101"/>
      <c r="FGQ93" s="101"/>
      <c r="FGR93" s="101"/>
      <c r="FGS93" s="101"/>
      <c r="FGT93" s="101"/>
      <c r="FGU93" s="101"/>
      <c r="FGV93" s="101"/>
      <c r="FGW93" s="101"/>
      <c r="FGX93" s="101"/>
      <c r="FGY93" s="101"/>
      <c r="FGZ93" s="101"/>
      <c r="FHA93" s="101"/>
      <c r="FHB93" s="101"/>
      <c r="FHC93" s="101"/>
      <c r="FHD93" s="101"/>
      <c r="FHE93" s="101"/>
      <c r="FHF93" s="101"/>
      <c r="FHG93" s="101"/>
      <c r="FHH93" s="101"/>
      <c r="FHI93" s="101"/>
      <c r="FHJ93" s="101"/>
      <c r="FHK93" s="101"/>
      <c r="FHL93" s="101"/>
      <c r="FHM93" s="101"/>
      <c r="FHN93" s="101"/>
      <c r="FHO93" s="101"/>
      <c r="FHP93" s="101"/>
      <c r="FHQ93" s="101"/>
      <c r="FHR93" s="101"/>
      <c r="FHS93" s="101"/>
      <c r="FHT93" s="101"/>
      <c r="FHU93" s="101"/>
      <c r="FHV93" s="101"/>
      <c r="FHW93" s="101"/>
      <c r="FHX93" s="101"/>
      <c r="FHY93" s="101"/>
      <c r="FHZ93" s="101"/>
      <c r="FIA93" s="101"/>
      <c r="FIB93" s="101"/>
      <c r="FIC93" s="101"/>
      <c r="FID93" s="101"/>
      <c r="FIE93" s="101"/>
      <c r="FIF93" s="101"/>
      <c r="FIG93" s="101"/>
      <c r="FIH93" s="101"/>
      <c r="FII93" s="101"/>
      <c r="FIJ93" s="101"/>
      <c r="FIK93" s="101"/>
      <c r="FIL93" s="101"/>
      <c r="FIM93" s="101"/>
      <c r="FIN93" s="101"/>
      <c r="FIO93" s="101"/>
      <c r="FIP93" s="101"/>
      <c r="FIQ93" s="101"/>
      <c r="FIR93" s="101"/>
      <c r="FIS93" s="101"/>
      <c r="FIT93" s="101"/>
      <c r="FIU93" s="101"/>
      <c r="FIV93" s="101"/>
      <c r="FIW93" s="101"/>
      <c r="FIX93" s="101"/>
      <c r="FIY93" s="101"/>
      <c r="FIZ93" s="101"/>
      <c r="FJA93" s="101"/>
      <c r="FJB93" s="101"/>
      <c r="FJC93" s="101"/>
      <c r="FJD93" s="101"/>
      <c r="FJE93" s="101"/>
      <c r="FJF93" s="101"/>
      <c r="FJG93" s="101"/>
      <c r="FJH93" s="101"/>
      <c r="FJI93" s="101"/>
      <c r="FJJ93" s="101"/>
      <c r="FJK93" s="101"/>
      <c r="FJL93" s="101"/>
      <c r="FJM93" s="101"/>
      <c r="FJN93" s="101"/>
      <c r="FJO93" s="101"/>
      <c r="FJP93" s="101"/>
      <c r="FJQ93" s="101"/>
      <c r="FJR93" s="101"/>
      <c r="FJS93" s="101"/>
      <c r="FJT93" s="101"/>
      <c r="FJU93" s="101"/>
      <c r="FJV93" s="101"/>
      <c r="FJW93" s="101"/>
      <c r="FJX93" s="101"/>
      <c r="FJY93" s="101"/>
      <c r="FJZ93" s="101"/>
      <c r="FKA93" s="101"/>
      <c r="FKB93" s="101"/>
      <c r="FKC93" s="101"/>
      <c r="FKD93" s="101"/>
      <c r="FKE93" s="101"/>
      <c r="FKF93" s="101"/>
      <c r="FKG93" s="101"/>
      <c r="FKH93" s="101"/>
      <c r="FKI93" s="101"/>
      <c r="FKJ93" s="101"/>
      <c r="FKK93" s="101"/>
      <c r="FKL93" s="101"/>
      <c r="FKM93" s="101"/>
      <c r="FKN93" s="101"/>
      <c r="FKO93" s="101"/>
      <c r="FKP93" s="101"/>
      <c r="FKQ93" s="101"/>
      <c r="FKR93" s="101"/>
      <c r="FKS93" s="101"/>
      <c r="FKT93" s="101"/>
      <c r="FKU93" s="101"/>
      <c r="FKV93" s="101"/>
      <c r="FKW93" s="101"/>
      <c r="FKX93" s="101"/>
      <c r="FKY93" s="101"/>
      <c r="FKZ93" s="101"/>
      <c r="FLA93" s="101"/>
      <c r="FLB93" s="101"/>
      <c r="FLC93" s="101"/>
      <c r="FLD93" s="101"/>
      <c r="FLE93" s="101"/>
      <c r="FLF93" s="101"/>
      <c r="FLG93" s="101"/>
      <c r="FLH93" s="101"/>
      <c r="FLI93" s="101"/>
      <c r="FLJ93" s="101"/>
      <c r="FLK93" s="101"/>
      <c r="FLL93" s="101"/>
      <c r="FLM93" s="101"/>
      <c r="FLN93" s="101"/>
      <c r="FLO93" s="101"/>
      <c r="FLP93" s="101"/>
      <c r="FLQ93" s="101"/>
      <c r="FLR93" s="101"/>
      <c r="FLS93" s="101"/>
      <c r="FLT93" s="101"/>
      <c r="FLU93" s="101"/>
      <c r="FLV93" s="101"/>
      <c r="FLW93" s="101"/>
      <c r="FLX93" s="101"/>
      <c r="FLY93" s="101"/>
      <c r="FLZ93" s="101"/>
      <c r="FMA93" s="101"/>
      <c r="FMB93" s="101"/>
      <c r="FMC93" s="101"/>
      <c r="FMD93" s="101"/>
      <c r="FME93" s="101"/>
      <c r="FMF93" s="101"/>
      <c r="FMG93" s="101"/>
      <c r="FMH93" s="101"/>
      <c r="FMI93" s="101"/>
      <c r="FMJ93" s="101"/>
      <c r="FMK93" s="101"/>
      <c r="FML93" s="101"/>
      <c r="FMM93" s="101"/>
      <c r="FMN93" s="101"/>
      <c r="FMO93" s="101"/>
      <c r="FMP93" s="101"/>
      <c r="FMQ93" s="101"/>
      <c r="FMR93" s="101"/>
      <c r="FMS93" s="101"/>
      <c r="FMT93" s="101"/>
      <c r="FMU93" s="101"/>
      <c r="FMV93" s="101"/>
      <c r="FMW93" s="101"/>
      <c r="FMX93" s="101"/>
      <c r="FMY93" s="101"/>
      <c r="FMZ93" s="101"/>
      <c r="FNA93" s="101"/>
      <c r="FNB93" s="101"/>
      <c r="FNC93" s="101"/>
      <c r="FND93" s="101"/>
      <c r="FNE93" s="101"/>
      <c r="FNF93" s="101"/>
      <c r="FNG93" s="101"/>
      <c r="FNH93" s="101"/>
      <c r="FNI93" s="101"/>
      <c r="FNJ93" s="101"/>
      <c r="FNK93" s="101"/>
      <c r="FNL93" s="101"/>
      <c r="FNM93" s="101"/>
      <c r="FNN93" s="101"/>
      <c r="FNO93" s="101"/>
      <c r="FNP93" s="101"/>
      <c r="FNQ93" s="101"/>
      <c r="FNR93" s="101"/>
      <c r="FNS93" s="101"/>
      <c r="FNT93" s="101"/>
      <c r="FNU93" s="101"/>
      <c r="FNV93" s="101"/>
      <c r="FNW93" s="101"/>
      <c r="FNX93" s="101"/>
      <c r="FNY93" s="101"/>
      <c r="FNZ93" s="101"/>
      <c r="FOA93" s="101"/>
      <c r="FOB93" s="101"/>
      <c r="FOC93" s="101"/>
      <c r="FOD93" s="101"/>
      <c r="FOE93" s="101"/>
      <c r="FOF93" s="101"/>
      <c r="FOG93" s="101"/>
      <c r="FOH93" s="101"/>
      <c r="FOI93" s="101"/>
      <c r="FOJ93" s="101"/>
      <c r="FOK93" s="101"/>
      <c r="FOL93" s="101"/>
      <c r="FOM93" s="101"/>
      <c r="FON93" s="101"/>
      <c r="FOO93" s="101"/>
      <c r="FOP93" s="101"/>
      <c r="FOQ93" s="101"/>
      <c r="FOR93" s="101"/>
      <c r="FOS93" s="101"/>
      <c r="FOT93" s="101"/>
      <c r="FOU93" s="101"/>
      <c r="FOV93" s="101"/>
      <c r="FOW93" s="101"/>
      <c r="FOX93" s="101"/>
      <c r="FOY93" s="101"/>
      <c r="FOZ93" s="101"/>
      <c r="FPA93" s="101"/>
      <c r="FPB93" s="101"/>
      <c r="FPC93" s="101"/>
      <c r="FPD93" s="101"/>
      <c r="FPE93" s="101"/>
      <c r="FPF93" s="101"/>
      <c r="FPG93" s="101"/>
      <c r="FPH93" s="101"/>
      <c r="FPI93" s="101"/>
      <c r="FPJ93" s="101"/>
      <c r="FPK93" s="101"/>
      <c r="FPL93" s="101"/>
      <c r="FPM93" s="101"/>
      <c r="FPN93" s="101"/>
      <c r="FPO93" s="101"/>
      <c r="FPP93" s="101"/>
      <c r="FPQ93" s="101"/>
      <c r="FPR93" s="101"/>
      <c r="FPS93" s="101"/>
      <c r="FPT93" s="101"/>
      <c r="FPU93" s="101"/>
      <c r="FPV93" s="101"/>
      <c r="FPW93" s="101"/>
      <c r="FPX93" s="101"/>
      <c r="FPY93" s="101"/>
      <c r="FPZ93" s="101"/>
      <c r="FQA93" s="101"/>
      <c r="FQB93" s="101"/>
      <c r="FQC93" s="101"/>
      <c r="FQD93" s="101"/>
      <c r="FQE93" s="101"/>
      <c r="FQF93" s="101"/>
      <c r="FQG93" s="101"/>
      <c r="FQH93" s="101"/>
      <c r="FQI93" s="101"/>
      <c r="FQJ93" s="101"/>
      <c r="FQK93" s="101"/>
      <c r="FQL93" s="101"/>
      <c r="FQM93" s="101"/>
      <c r="FQN93" s="101"/>
      <c r="FQO93" s="101"/>
      <c r="FQP93" s="101"/>
      <c r="FQQ93" s="101"/>
      <c r="FQR93" s="101"/>
      <c r="FQS93" s="101"/>
      <c r="FQT93" s="101"/>
      <c r="FQU93" s="101"/>
      <c r="FQV93" s="101"/>
      <c r="FQW93" s="101"/>
      <c r="FQX93" s="101"/>
      <c r="FQY93" s="101"/>
      <c r="FQZ93" s="101"/>
      <c r="FRA93" s="101"/>
      <c r="FRB93" s="101"/>
      <c r="FRC93" s="101"/>
      <c r="FRD93" s="101"/>
      <c r="FRE93" s="101"/>
      <c r="FRF93" s="101"/>
      <c r="FRG93" s="101"/>
      <c r="FRH93" s="101"/>
      <c r="FRI93" s="101"/>
      <c r="FRJ93" s="101"/>
      <c r="FRK93" s="101"/>
      <c r="FRL93" s="101"/>
      <c r="FRM93" s="101"/>
      <c r="FRN93" s="101"/>
      <c r="FRO93" s="101"/>
      <c r="FRP93" s="101"/>
      <c r="FRQ93" s="101"/>
      <c r="FRR93" s="101"/>
      <c r="FRS93" s="101"/>
      <c r="FRT93" s="101"/>
      <c r="FRU93" s="101"/>
      <c r="FRV93" s="101"/>
      <c r="FRW93" s="101"/>
      <c r="FRX93" s="101"/>
      <c r="FRY93" s="101"/>
      <c r="FRZ93" s="101"/>
      <c r="FSA93" s="101"/>
      <c r="FSB93" s="101"/>
      <c r="FSC93" s="101"/>
      <c r="FSD93" s="101"/>
      <c r="FSE93" s="101"/>
      <c r="FSF93" s="101"/>
      <c r="FSG93" s="101"/>
      <c r="FSH93" s="101"/>
      <c r="FSI93" s="101"/>
      <c r="FSJ93" s="101"/>
      <c r="FSK93" s="101"/>
      <c r="FSL93" s="101"/>
      <c r="FSM93" s="101"/>
      <c r="FSN93" s="101"/>
      <c r="FSO93" s="101"/>
      <c r="FSP93" s="101"/>
      <c r="FSQ93" s="101"/>
      <c r="FSR93" s="101"/>
      <c r="FSS93" s="101"/>
      <c r="FST93" s="101"/>
      <c r="FSU93" s="101"/>
      <c r="FSV93" s="101"/>
      <c r="FSW93" s="101"/>
      <c r="FSX93" s="101"/>
      <c r="FSY93" s="101"/>
      <c r="FSZ93" s="101"/>
      <c r="FTA93" s="101"/>
      <c r="FTB93" s="101"/>
      <c r="FTC93" s="101"/>
      <c r="FTD93" s="101"/>
      <c r="FTE93" s="101"/>
      <c r="FTF93" s="101"/>
      <c r="FTG93" s="101"/>
      <c r="FTH93" s="101"/>
      <c r="FTI93" s="101"/>
      <c r="FTJ93" s="101"/>
      <c r="FTK93" s="101"/>
      <c r="FTL93" s="101"/>
      <c r="FTM93" s="101"/>
      <c r="FTN93" s="101"/>
      <c r="FTO93" s="101"/>
      <c r="FTP93" s="101"/>
      <c r="FTQ93" s="101"/>
      <c r="FTR93" s="101"/>
      <c r="FTS93" s="101"/>
      <c r="FTT93" s="101"/>
      <c r="FTU93" s="101"/>
      <c r="FTV93" s="101"/>
      <c r="FTW93" s="101"/>
      <c r="FTX93" s="101"/>
      <c r="FTY93" s="101"/>
      <c r="FTZ93" s="101"/>
      <c r="FUA93" s="101"/>
      <c r="FUB93" s="101"/>
      <c r="FUC93" s="101"/>
      <c r="FUD93" s="101"/>
      <c r="FUE93" s="101"/>
      <c r="FUF93" s="101"/>
      <c r="FUG93" s="101"/>
      <c r="FUH93" s="101"/>
      <c r="FUI93" s="101"/>
      <c r="FUJ93" s="101"/>
      <c r="FUK93" s="101"/>
      <c r="FUL93" s="101"/>
      <c r="FUM93" s="101"/>
      <c r="FUN93" s="101"/>
      <c r="FUO93" s="101"/>
      <c r="FUP93" s="101"/>
      <c r="FUQ93" s="101"/>
      <c r="FUR93" s="101"/>
      <c r="FUS93" s="101"/>
      <c r="FUT93" s="101"/>
      <c r="FUU93" s="101"/>
      <c r="FUV93" s="101"/>
      <c r="FUW93" s="101"/>
      <c r="FUX93" s="101"/>
      <c r="FUY93" s="101"/>
      <c r="FUZ93" s="101"/>
      <c r="FVA93" s="101"/>
      <c r="FVB93" s="101"/>
      <c r="FVC93" s="101"/>
      <c r="FVD93" s="101"/>
      <c r="FVE93" s="101"/>
      <c r="FVF93" s="101"/>
      <c r="FVG93" s="101"/>
      <c r="FVH93" s="101"/>
      <c r="FVI93" s="101"/>
      <c r="FVJ93" s="101"/>
      <c r="FVK93" s="101"/>
      <c r="FVL93" s="101"/>
      <c r="FVM93" s="101"/>
      <c r="FVN93" s="101"/>
      <c r="FVO93" s="101"/>
      <c r="FVP93" s="101"/>
      <c r="FVQ93" s="101"/>
      <c r="FVR93" s="101"/>
      <c r="FVS93" s="101"/>
      <c r="FVT93" s="101"/>
      <c r="FVU93" s="101"/>
      <c r="FVV93" s="101"/>
      <c r="FVW93" s="101"/>
      <c r="FVX93" s="101"/>
      <c r="FVY93" s="101"/>
      <c r="FVZ93" s="101"/>
      <c r="FWA93" s="101"/>
      <c r="FWB93" s="101"/>
      <c r="FWC93" s="101"/>
      <c r="FWD93" s="101"/>
      <c r="FWE93" s="101"/>
      <c r="FWF93" s="101"/>
      <c r="FWG93" s="101"/>
      <c r="FWH93" s="101"/>
      <c r="FWI93" s="101"/>
      <c r="FWJ93" s="101"/>
      <c r="FWK93" s="101"/>
      <c r="FWL93" s="101"/>
      <c r="FWM93" s="101"/>
      <c r="FWN93" s="101"/>
      <c r="FWO93" s="101"/>
      <c r="FWP93" s="101"/>
      <c r="FWQ93" s="101"/>
      <c r="FWR93" s="101"/>
      <c r="FWS93" s="101"/>
      <c r="FWT93" s="101"/>
      <c r="FWU93" s="101"/>
      <c r="FWV93" s="101"/>
      <c r="FWW93" s="101"/>
      <c r="FWX93" s="101"/>
      <c r="FWY93" s="101"/>
      <c r="FWZ93" s="101"/>
      <c r="FXA93" s="101"/>
      <c r="FXB93" s="101"/>
      <c r="FXC93" s="101"/>
      <c r="FXD93" s="101"/>
      <c r="FXE93" s="101"/>
      <c r="FXF93" s="101"/>
      <c r="FXG93" s="101"/>
      <c r="FXH93" s="101"/>
      <c r="FXI93" s="101"/>
      <c r="FXJ93" s="101"/>
      <c r="FXK93" s="101"/>
      <c r="FXL93" s="101"/>
      <c r="FXM93" s="101"/>
      <c r="FXN93" s="101"/>
      <c r="FXO93" s="101"/>
      <c r="FXP93" s="101"/>
      <c r="FXQ93" s="101"/>
      <c r="FXR93" s="101"/>
      <c r="FXS93" s="101"/>
      <c r="FXT93" s="101"/>
      <c r="FXU93" s="101"/>
      <c r="FXV93" s="101"/>
      <c r="FXW93" s="101"/>
      <c r="FXX93" s="101"/>
      <c r="FXY93" s="101"/>
      <c r="FXZ93" s="101"/>
      <c r="FYA93" s="101"/>
      <c r="FYB93" s="101"/>
      <c r="FYC93" s="101"/>
      <c r="FYD93" s="101"/>
      <c r="FYE93" s="101"/>
      <c r="FYF93" s="101"/>
      <c r="FYG93" s="101"/>
      <c r="FYH93" s="101"/>
      <c r="FYI93" s="101"/>
      <c r="FYJ93" s="101"/>
      <c r="FYK93" s="101"/>
      <c r="FYL93" s="101"/>
      <c r="FYM93" s="101"/>
      <c r="FYN93" s="101"/>
      <c r="FYO93" s="101"/>
      <c r="FYP93" s="101"/>
      <c r="FYQ93" s="101"/>
      <c r="FYR93" s="101"/>
      <c r="FYS93" s="101"/>
      <c r="FYT93" s="101"/>
      <c r="FYU93" s="101"/>
      <c r="FYV93" s="101"/>
      <c r="FYW93" s="101"/>
      <c r="FYX93" s="101"/>
      <c r="FYY93" s="101"/>
      <c r="FYZ93" s="101"/>
      <c r="FZA93" s="101"/>
      <c r="FZB93" s="101"/>
      <c r="FZC93" s="101"/>
      <c r="FZD93" s="101"/>
      <c r="FZE93" s="101"/>
      <c r="FZF93" s="101"/>
      <c r="FZG93" s="101"/>
      <c r="FZH93" s="101"/>
      <c r="FZI93" s="101"/>
      <c r="FZJ93" s="101"/>
      <c r="FZK93" s="101"/>
      <c r="FZL93" s="101"/>
      <c r="FZM93" s="101"/>
      <c r="FZN93" s="101"/>
      <c r="FZO93" s="101"/>
      <c r="FZP93" s="101"/>
      <c r="FZQ93" s="101"/>
      <c r="FZR93" s="101"/>
      <c r="FZS93" s="101"/>
      <c r="FZT93" s="101"/>
      <c r="FZU93" s="101"/>
      <c r="FZV93" s="101"/>
      <c r="FZW93" s="101"/>
      <c r="FZX93" s="101"/>
      <c r="FZY93" s="101"/>
      <c r="FZZ93" s="101"/>
      <c r="GAA93" s="101"/>
      <c r="GAB93" s="101"/>
      <c r="GAC93" s="101"/>
      <c r="GAD93" s="101"/>
      <c r="GAE93" s="101"/>
      <c r="GAF93" s="101"/>
      <c r="GAG93" s="101"/>
      <c r="GAH93" s="101"/>
      <c r="GAI93" s="101"/>
      <c r="GAJ93" s="101"/>
      <c r="GAK93" s="101"/>
      <c r="GAL93" s="101"/>
      <c r="GAM93" s="101"/>
      <c r="GAN93" s="101"/>
      <c r="GAO93" s="101"/>
      <c r="GAP93" s="101"/>
      <c r="GAQ93" s="101"/>
      <c r="GAR93" s="101"/>
      <c r="GAS93" s="101"/>
      <c r="GAT93" s="101"/>
      <c r="GAU93" s="101"/>
      <c r="GAV93" s="101"/>
      <c r="GAW93" s="101"/>
      <c r="GAX93" s="101"/>
      <c r="GAY93" s="101"/>
      <c r="GAZ93" s="101"/>
      <c r="GBA93" s="101"/>
      <c r="GBB93" s="101"/>
      <c r="GBC93" s="101"/>
      <c r="GBD93" s="101"/>
      <c r="GBE93" s="101"/>
      <c r="GBF93" s="101"/>
      <c r="GBG93" s="101"/>
      <c r="GBH93" s="101"/>
      <c r="GBI93" s="101"/>
      <c r="GBJ93" s="101"/>
      <c r="GBK93" s="101"/>
      <c r="GBL93" s="101"/>
      <c r="GBM93" s="101"/>
      <c r="GBN93" s="101"/>
      <c r="GBO93" s="101"/>
      <c r="GBP93" s="101"/>
      <c r="GBQ93" s="101"/>
      <c r="GBR93" s="101"/>
      <c r="GBS93" s="101"/>
      <c r="GBT93" s="101"/>
      <c r="GBU93" s="101"/>
      <c r="GBV93" s="101"/>
      <c r="GBW93" s="101"/>
      <c r="GBX93" s="101"/>
      <c r="GBY93" s="101"/>
      <c r="GBZ93" s="101"/>
      <c r="GCA93" s="101"/>
      <c r="GCB93" s="101"/>
      <c r="GCC93" s="101"/>
      <c r="GCD93" s="101"/>
      <c r="GCE93" s="101"/>
      <c r="GCF93" s="101"/>
      <c r="GCG93" s="101"/>
      <c r="GCH93" s="101"/>
      <c r="GCI93" s="101"/>
      <c r="GCJ93" s="101"/>
      <c r="GCK93" s="101"/>
      <c r="GCL93" s="101"/>
      <c r="GCM93" s="101"/>
      <c r="GCN93" s="101"/>
      <c r="GCO93" s="101"/>
      <c r="GCP93" s="101"/>
      <c r="GCQ93" s="101"/>
      <c r="GCR93" s="101"/>
      <c r="GCS93" s="101"/>
      <c r="GCT93" s="101"/>
      <c r="GCU93" s="101"/>
      <c r="GCV93" s="101"/>
      <c r="GCW93" s="101"/>
      <c r="GCX93" s="101"/>
      <c r="GCY93" s="101"/>
      <c r="GCZ93" s="101"/>
      <c r="GDA93" s="101"/>
      <c r="GDB93" s="101"/>
      <c r="GDC93" s="101"/>
      <c r="GDD93" s="101"/>
      <c r="GDE93" s="101"/>
      <c r="GDF93" s="101"/>
      <c r="GDG93" s="101"/>
      <c r="GDH93" s="101"/>
      <c r="GDI93" s="101"/>
      <c r="GDJ93" s="101"/>
      <c r="GDK93" s="101"/>
      <c r="GDL93" s="101"/>
      <c r="GDM93" s="101"/>
      <c r="GDN93" s="101"/>
      <c r="GDO93" s="101"/>
      <c r="GDP93" s="101"/>
      <c r="GDQ93" s="101"/>
      <c r="GDR93" s="101"/>
      <c r="GDS93" s="101"/>
      <c r="GDT93" s="101"/>
      <c r="GDU93" s="101"/>
      <c r="GDV93" s="101"/>
      <c r="GDW93" s="101"/>
      <c r="GDX93" s="101"/>
      <c r="GDY93" s="101"/>
      <c r="GDZ93" s="101"/>
      <c r="GEA93" s="101"/>
      <c r="GEB93" s="101"/>
      <c r="GEC93" s="101"/>
      <c r="GED93" s="101"/>
      <c r="GEE93" s="101"/>
      <c r="GEF93" s="101"/>
      <c r="GEG93" s="101"/>
      <c r="GEH93" s="101"/>
      <c r="GEI93" s="101"/>
      <c r="GEJ93" s="101"/>
      <c r="GEK93" s="101"/>
      <c r="GEL93" s="101"/>
      <c r="GEM93" s="101"/>
      <c r="GEN93" s="101"/>
      <c r="GEO93" s="101"/>
      <c r="GEP93" s="101"/>
      <c r="GEQ93" s="101"/>
      <c r="GER93" s="101"/>
      <c r="GES93" s="101"/>
      <c r="GET93" s="101"/>
      <c r="GEU93" s="101"/>
      <c r="GEV93" s="101"/>
      <c r="GEW93" s="101"/>
      <c r="GEX93" s="101"/>
      <c r="GEY93" s="101"/>
      <c r="GEZ93" s="101"/>
      <c r="GFA93" s="101"/>
      <c r="GFB93" s="101"/>
      <c r="GFC93" s="101"/>
      <c r="GFD93" s="101"/>
      <c r="GFE93" s="101"/>
      <c r="GFF93" s="101"/>
      <c r="GFG93" s="101"/>
      <c r="GFH93" s="101"/>
      <c r="GFI93" s="101"/>
      <c r="GFJ93" s="101"/>
      <c r="GFK93" s="101"/>
      <c r="GFL93" s="101"/>
      <c r="GFM93" s="101"/>
      <c r="GFN93" s="101"/>
      <c r="GFO93" s="101"/>
      <c r="GFP93" s="101"/>
      <c r="GFQ93" s="101"/>
      <c r="GFR93" s="101"/>
      <c r="GFS93" s="101"/>
      <c r="GFT93" s="101"/>
      <c r="GFU93" s="101"/>
      <c r="GFV93" s="101"/>
      <c r="GFW93" s="101"/>
      <c r="GFX93" s="101"/>
      <c r="GFY93" s="101"/>
      <c r="GFZ93" s="101"/>
      <c r="GGA93" s="101"/>
      <c r="GGB93" s="101"/>
      <c r="GGC93" s="101"/>
      <c r="GGD93" s="101"/>
      <c r="GGE93" s="101"/>
      <c r="GGF93" s="101"/>
      <c r="GGG93" s="101"/>
      <c r="GGH93" s="101"/>
      <c r="GGI93" s="101"/>
      <c r="GGJ93" s="101"/>
      <c r="GGK93" s="101"/>
      <c r="GGL93" s="101"/>
      <c r="GGM93" s="101"/>
      <c r="GGN93" s="101"/>
      <c r="GGO93" s="101"/>
      <c r="GGP93" s="101"/>
      <c r="GGQ93" s="101"/>
      <c r="GGR93" s="101"/>
      <c r="GGS93" s="101"/>
      <c r="GGT93" s="101"/>
      <c r="GGU93" s="101"/>
      <c r="GGV93" s="101"/>
      <c r="GGW93" s="101"/>
      <c r="GGX93" s="101"/>
      <c r="GGY93" s="101"/>
      <c r="GGZ93" s="101"/>
      <c r="GHA93" s="101"/>
      <c r="GHB93" s="101"/>
      <c r="GHC93" s="101"/>
      <c r="GHD93" s="101"/>
      <c r="GHE93" s="101"/>
      <c r="GHF93" s="101"/>
      <c r="GHG93" s="101"/>
      <c r="GHH93" s="101"/>
      <c r="GHI93" s="101"/>
      <c r="GHJ93" s="101"/>
      <c r="GHK93" s="101"/>
      <c r="GHL93" s="101"/>
      <c r="GHM93" s="101"/>
      <c r="GHN93" s="101"/>
      <c r="GHO93" s="101"/>
      <c r="GHP93" s="101"/>
      <c r="GHQ93" s="101"/>
      <c r="GHR93" s="101"/>
      <c r="GHS93" s="101"/>
      <c r="GHT93" s="101"/>
      <c r="GHU93" s="101"/>
      <c r="GHV93" s="101"/>
      <c r="GHW93" s="101"/>
      <c r="GHX93" s="101"/>
      <c r="GHY93" s="101"/>
      <c r="GHZ93" s="101"/>
      <c r="GIA93" s="101"/>
      <c r="GIB93" s="101"/>
      <c r="GIC93" s="101"/>
      <c r="GID93" s="101"/>
      <c r="GIE93" s="101"/>
      <c r="GIF93" s="101"/>
      <c r="GIG93" s="101"/>
      <c r="GIH93" s="101"/>
      <c r="GII93" s="101"/>
      <c r="GIJ93" s="101"/>
      <c r="GIK93" s="101"/>
      <c r="GIL93" s="101"/>
      <c r="GIM93" s="101"/>
      <c r="GIN93" s="101"/>
      <c r="GIO93" s="101"/>
      <c r="GIP93" s="101"/>
      <c r="GIQ93" s="101"/>
      <c r="GIR93" s="101"/>
      <c r="GIS93" s="101"/>
      <c r="GIT93" s="101"/>
      <c r="GIU93" s="101"/>
      <c r="GIV93" s="101"/>
      <c r="GIW93" s="101"/>
      <c r="GIX93" s="101"/>
      <c r="GIY93" s="101"/>
      <c r="GIZ93" s="101"/>
      <c r="GJA93" s="101"/>
      <c r="GJB93" s="101"/>
      <c r="GJC93" s="101"/>
      <c r="GJD93" s="101"/>
      <c r="GJE93" s="101"/>
      <c r="GJF93" s="101"/>
      <c r="GJG93" s="101"/>
      <c r="GJH93" s="101"/>
      <c r="GJI93" s="101"/>
      <c r="GJJ93" s="101"/>
      <c r="GJK93" s="101"/>
      <c r="GJL93" s="101"/>
      <c r="GJM93" s="101"/>
      <c r="GJN93" s="101"/>
      <c r="GJO93" s="101"/>
      <c r="GJP93" s="101"/>
      <c r="GJQ93" s="101"/>
      <c r="GJR93" s="101"/>
      <c r="GJS93" s="101"/>
      <c r="GJT93" s="101"/>
      <c r="GJU93" s="101"/>
      <c r="GJV93" s="101"/>
      <c r="GJW93" s="101"/>
      <c r="GJX93" s="101"/>
      <c r="GJY93" s="101"/>
      <c r="GJZ93" s="101"/>
      <c r="GKA93" s="101"/>
      <c r="GKB93" s="101"/>
      <c r="GKC93" s="101"/>
      <c r="GKD93" s="101"/>
      <c r="GKE93" s="101"/>
      <c r="GKF93" s="101"/>
      <c r="GKG93" s="101"/>
      <c r="GKH93" s="101"/>
      <c r="GKI93" s="101"/>
      <c r="GKJ93" s="101"/>
      <c r="GKK93" s="101"/>
      <c r="GKL93" s="101"/>
      <c r="GKM93" s="101"/>
      <c r="GKN93" s="101"/>
      <c r="GKO93" s="101"/>
      <c r="GKP93" s="101"/>
      <c r="GKQ93" s="101"/>
      <c r="GKR93" s="101"/>
      <c r="GKS93" s="101"/>
      <c r="GKT93" s="101"/>
      <c r="GKU93" s="101"/>
      <c r="GKV93" s="101"/>
      <c r="GKW93" s="101"/>
      <c r="GKX93" s="101"/>
      <c r="GKY93" s="101"/>
      <c r="GKZ93" s="101"/>
      <c r="GLA93" s="101"/>
      <c r="GLB93" s="101"/>
      <c r="GLC93" s="101"/>
      <c r="GLD93" s="101"/>
      <c r="GLE93" s="101"/>
      <c r="GLF93" s="101"/>
      <c r="GLG93" s="101"/>
      <c r="GLH93" s="101"/>
      <c r="GLI93" s="101"/>
      <c r="GLJ93" s="101"/>
      <c r="GLK93" s="101"/>
      <c r="GLL93" s="101"/>
      <c r="GLM93" s="101"/>
      <c r="GLN93" s="101"/>
      <c r="GLO93" s="101"/>
      <c r="GLP93" s="101"/>
      <c r="GLQ93" s="101"/>
      <c r="GLR93" s="101"/>
      <c r="GLS93" s="101"/>
      <c r="GLT93" s="101"/>
      <c r="GLU93" s="101"/>
      <c r="GLV93" s="101"/>
      <c r="GLW93" s="101"/>
      <c r="GLX93" s="101"/>
      <c r="GLY93" s="101"/>
      <c r="GLZ93" s="101"/>
      <c r="GMA93" s="101"/>
      <c r="GMB93" s="101"/>
      <c r="GMC93" s="101"/>
      <c r="GMD93" s="101"/>
      <c r="GME93" s="101"/>
      <c r="GMF93" s="101"/>
      <c r="GMG93" s="101"/>
      <c r="GMH93" s="101"/>
      <c r="GMI93" s="101"/>
      <c r="GMJ93" s="101"/>
      <c r="GMK93" s="101"/>
      <c r="GML93" s="101"/>
      <c r="GMM93" s="101"/>
      <c r="GMN93" s="101"/>
      <c r="GMO93" s="101"/>
      <c r="GMP93" s="101"/>
      <c r="GMQ93" s="101"/>
      <c r="GMR93" s="101"/>
      <c r="GMS93" s="101"/>
      <c r="GMT93" s="101"/>
      <c r="GMU93" s="101"/>
      <c r="GMV93" s="101"/>
      <c r="GMW93" s="101"/>
      <c r="GMX93" s="101"/>
      <c r="GMY93" s="101"/>
      <c r="GMZ93" s="101"/>
      <c r="GNA93" s="101"/>
      <c r="GNB93" s="101"/>
      <c r="GNC93" s="101"/>
      <c r="GND93" s="101"/>
      <c r="GNE93" s="101"/>
      <c r="GNF93" s="101"/>
      <c r="GNG93" s="101"/>
      <c r="GNH93" s="101"/>
      <c r="GNI93" s="101"/>
      <c r="GNJ93" s="101"/>
      <c r="GNK93" s="101"/>
      <c r="GNL93" s="101"/>
      <c r="GNM93" s="101"/>
      <c r="GNN93" s="101"/>
      <c r="GNO93" s="101"/>
      <c r="GNP93" s="101"/>
      <c r="GNQ93" s="101"/>
      <c r="GNR93" s="101"/>
      <c r="GNS93" s="101"/>
      <c r="GNT93" s="101"/>
      <c r="GNU93" s="101"/>
      <c r="GNV93" s="101"/>
      <c r="GNW93" s="101"/>
      <c r="GNX93" s="101"/>
      <c r="GNY93" s="101"/>
      <c r="GNZ93" s="101"/>
      <c r="GOA93" s="101"/>
      <c r="GOB93" s="101"/>
      <c r="GOC93" s="101"/>
      <c r="GOD93" s="101"/>
      <c r="GOE93" s="101"/>
      <c r="GOF93" s="101"/>
      <c r="GOG93" s="101"/>
      <c r="GOH93" s="101"/>
      <c r="GOI93" s="101"/>
      <c r="GOJ93" s="101"/>
      <c r="GOK93" s="101"/>
      <c r="GOL93" s="101"/>
      <c r="GOM93" s="101"/>
      <c r="GON93" s="101"/>
      <c r="GOO93" s="101"/>
      <c r="GOP93" s="101"/>
      <c r="GOQ93" s="101"/>
      <c r="GOR93" s="101"/>
      <c r="GOS93" s="101"/>
      <c r="GOT93" s="101"/>
      <c r="GOU93" s="101"/>
      <c r="GOV93" s="101"/>
      <c r="GOW93" s="101"/>
      <c r="GOX93" s="101"/>
      <c r="GOY93" s="101"/>
      <c r="GOZ93" s="101"/>
      <c r="GPA93" s="101"/>
      <c r="GPB93" s="101"/>
      <c r="GPC93" s="101"/>
      <c r="GPD93" s="101"/>
      <c r="GPE93" s="101"/>
      <c r="GPF93" s="101"/>
      <c r="GPG93" s="101"/>
      <c r="GPH93" s="101"/>
      <c r="GPI93" s="101"/>
      <c r="GPJ93" s="101"/>
      <c r="GPK93" s="101"/>
      <c r="GPL93" s="101"/>
      <c r="GPM93" s="101"/>
      <c r="GPN93" s="101"/>
      <c r="GPO93" s="101"/>
      <c r="GPP93" s="101"/>
      <c r="GPQ93" s="101"/>
      <c r="GPR93" s="101"/>
      <c r="GPS93" s="101"/>
      <c r="GPT93" s="101"/>
      <c r="GPU93" s="101"/>
      <c r="GPV93" s="101"/>
      <c r="GPW93" s="101"/>
      <c r="GPX93" s="101"/>
      <c r="GPY93" s="101"/>
      <c r="GPZ93" s="101"/>
      <c r="GQA93" s="101"/>
      <c r="GQB93" s="101"/>
      <c r="GQC93" s="101"/>
      <c r="GQD93" s="101"/>
      <c r="GQE93" s="101"/>
      <c r="GQF93" s="101"/>
      <c r="GQG93" s="101"/>
      <c r="GQH93" s="101"/>
      <c r="GQI93" s="101"/>
      <c r="GQJ93" s="101"/>
      <c r="GQK93" s="101"/>
      <c r="GQL93" s="101"/>
      <c r="GQM93" s="101"/>
      <c r="GQN93" s="101"/>
      <c r="GQO93" s="101"/>
      <c r="GQP93" s="101"/>
      <c r="GQQ93" s="101"/>
      <c r="GQR93" s="101"/>
      <c r="GQS93" s="101"/>
      <c r="GQT93" s="101"/>
      <c r="GQU93" s="101"/>
      <c r="GQV93" s="101"/>
      <c r="GQW93" s="101"/>
      <c r="GQX93" s="101"/>
      <c r="GQY93" s="101"/>
      <c r="GQZ93" s="101"/>
      <c r="GRA93" s="101"/>
      <c r="GRB93" s="101"/>
      <c r="GRC93" s="101"/>
      <c r="GRD93" s="101"/>
      <c r="GRE93" s="101"/>
      <c r="GRF93" s="101"/>
      <c r="GRG93" s="101"/>
      <c r="GRH93" s="101"/>
      <c r="GRI93" s="101"/>
      <c r="GRJ93" s="101"/>
      <c r="GRK93" s="101"/>
      <c r="GRL93" s="101"/>
      <c r="GRM93" s="101"/>
      <c r="GRN93" s="101"/>
      <c r="GRO93" s="101"/>
      <c r="GRP93" s="101"/>
      <c r="GRQ93" s="101"/>
      <c r="GRR93" s="101"/>
      <c r="GRS93" s="101"/>
      <c r="GRT93" s="101"/>
      <c r="GRU93" s="101"/>
      <c r="GRV93" s="101"/>
      <c r="GRW93" s="101"/>
      <c r="GRX93" s="101"/>
      <c r="GRY93" s="101"/>
      <c r="GRZ93" s="101"/>
      <c r="GSA93" s="101"/>
      <c r="GSB93" s="101"/>
      <c r="GSC93" s="101"/>
      <c r="GSD93" s="101"/>
      <c r="GSE93" s="101"/>
      <c r="GSF93" s="101"/>
      <c r="GSG93" s="101"/>
      <c r="GSH93" s="101"/>
      <c r="GSI93" s="101"/>
      <c r="GSJ93" s="101"/>
      <c r="GSK93" s="101"/>
      <c r="GSL93" s="101"/>
      <c r="GSM93" s="101"/>
      <c r="GSN93" s="101"/>
      <c r="GSO93" s="101"/>
      <c r="GSP93" s="101"/>
      <c r="GSQ93" s="101"/>
      <c r="GSR93" s="101"/>
      <c r="GSS93" s="101"/>
      <c r="GST93" s="101"/>
      <c r="GSU93" s="101"/>
      <c r="GSV93" s="101"/>
      <c r="GSW93" s="101"/>
      <c r="GSX93" s="101"/>
      <c r="GSY93" s="101"/>
      <c r="GSZ93" s="101"/>
      <c r="GTA93" s="101"/>
      <c r="GTB93" s="101"/>
      <c r="GTC93" s="101"/>
      <c r="GTD93" s="101"/>
      <c r="GTE93" s="101"/>
      <c r="GTF93" s="101"/>
      <c r="GTG93" s="101"/>
      <c r="GTH93" s="101"/>
      <c r="GTI93" s="101"/>
      <c r="GTJ93" s="101"/>
      <c r="GTK93" s="101"/>
      <c r="GTL93" s="101"/>
      <c r="GTM93" s="101"/>
      <c r="GTN93" s="101"/>
      <c r="GTO93" s="101"/>
      <c r="GTP93" s="101"/>
      <c r="GTQ93" s="101"/>
      <c r="GTR93" s="101"/>
      <c r="GTS93" s="101"/>
      <c r="GTT93" s="101"/>
      <c r="GTU93" s="101"/>
      <c r="GTV93" s="101"/>
      <c r="GTW93" s="101"/>
      <c r="GTX93" s="101"/>
      <c r="GTY93" s="101"/>
      <c r="GTZ93" s="101"/>
      <c r="GUA93" s="101"/>
      <c r="GUB93" s="101"/>
      <c r="GUC93" s="101"/>
      <c r="GUD93" s="101"/>
      <c r="GUE93" s="101"/>
      <c r="GUF93" s="101"/>
      <c r="GUG93" s="101"/>
      <c r="GUH93" s="101"/>
      <c r="GUI93" s="101"/>
      <c r="GUJ93" s="101"/>
      <c r="GUK93" s="101"/>
      <c r="GUL93" s="101"/>
      <c r="GUM93" s="101"/>
      <c r="GUN93" s="101"/>
      <c r="GUO93" s="101"/>
      <c r="GUP93" s="101"/>
      <c r="GUQ93" s="101"/>
      <c r="GUR93" s="101"/>
      <c r="GUS93" s="101"/>
      <c r="GUT93" s="101"/>
      <c r="GUU93" s="101"/>
      <c r="GUV93" s="101"/>
      <c r="GUW93" s="101"/>
      <c r="GUX93" s="101"/>
      <c r="GUY93" s="101"/>
      <c r="GUZ93" s="101"/>
      <c r="GVA93" s="101"/>
      <c r="GVB93" s="101"/>
      <c r="GVC93" s="101"/>
      <c r="GVD93" s="101"/>
      <c r="GVE93" s="101"/>
      <c r="GVF93" s="101"/>
      <c r="GVG93" s="101"/>
      <c r="GVH93" s="101"/>
      <c r="GVI93" s="101"/>
      <c r="GVJ93" s="101"/>
      <c r="GVK93" s="101"/>
      <c r="GVL93" s="101"/>
      <c r="GVM93" s="101"/>
      <c r="GVN93" s="101"/>
      <c r="GVO93" s="101"/>
      <c r="GVP93" s="101"/>
      <c r="GVQ93" s="101"/>
      <c r="GVR93" s="101"/>
      <c r="GVS93" s="101"/>
      <c r="GVT93" s="101"/>
      <c r="GVU93" s="101"/>
      <c r="GVV93" s="101"/>
      <c r="GVW93" s="101"/>
      <c r="GVX93" s="101"/>
      <c r="GVY93" s="101"/>
      <c r="GVZ93" s="101"/>
      <c r="GWA93" s="101"/>
      <c r="GWB93" s="101"/>
      <c r="GWC93" s="101"/>
      <c r="GWD93" s="101"/>
      <c r="GWE93" s="101"/>
      <c r="GWF93" s="101"/>
      <c r="GWG93" s="101"/>
      <c r="GWH93" s="101"/>
      <c r="GWI93" s="101"/>
      <c r="GWJ93" s="101"/>
      <c r="GWK93" s="101"/>
      <c r="GWL93" s="101"/>
      <c r="GWM93" s="101"/>
      <c r="GWN93" s="101"/>
      <c r="GWO93" s="101"/>
      <c r="GWP93" s="101"/>
      <c r="GWQ93" s="101"/>
      <c r="GWR93" s="101"/>
      <c r="GWS93" s="101"/>
      <c r="GWT93" s="101"/>
      <c r="GWU93" s="101"/>
      <c r="GWV93" s="101"/>
      <c r="GWW93" s="101"/>
      <c r="GWX93" s="101"/>
      <c r="GWY93" s="101"/>
      <c r="GWZ93" s="101"/>
      <c r="GXA93" s="101"/>
      <c r="GXB93" s="101"/>
      <c r="GXC93" s="101"/>
      <c r="GXD93" s="101"/>
      <c r="GXE93" s="101"/>
      <c r="GXF93" s="101"/>
      <c r="GXG93" s="101"/>
      <c r="GXH93" s="101"/>
      <c r="GXI93" s="101"/>
      <c r="GXJ93" s="101"/>
      <c r="GXK93" s="101"/>
      <c r="GXL93" s="101"/>
      <c r="GXM93" s="101"/>
      <c r="GXN93" s="101"/>
      <c r="GXO93" s="101"/>
      <c r="GXP93" s="101"/>
      <c r="GXQ93" s="101"/>
      <c r="GXR93" s="101"/>
      <c r="GXS93" s="101"/>
      <c r="GXT93" s="101"/>
      <c r="GXU93" s="101"/>
      <c r="GXV93" s="101"/>
      <c r="GXW93" s="101"/>
      <c r="GXX93" s="101"/>
      <c r="GXY93" s="101"/>
      <c r="GXZ93" s="101"/>
      <c r="GYA93" s="101"/>
      <c r="GYB93" s="101"/>
      <c r="GYC93" s="101"/>
      <c r="GYD93" s="101"/>
      <c r="GYE93" s="101"/>
      <c r="GYF93" s="101"/>
      <c r="GYG93" s="101"/>
      <c r="GYH93" s="101"/>
      <c r="GYI93" s="101"/>
      <c r="GYJ93" s="101"/>
      <c r="GYK93" s="101"/>
      <c r="GYL93" s="101"/>
      <c r="GYM93" s="101"/>
      <c r="GYN93" s="101"/>
      <c r="GYO93" s="101"/>
      <c r="GYP93" s="101"/>
      <c r="GYQ93" s="101"/>
      <c r="GYR93" s="101"/>
      <c r="GYS93" s="101"/>
      <c r="GYT93" s="101"/>
      <c r="GYU93" s="101"/>
      <c r="GYV93" s="101"/>
      <c r="GYW93" s="101"/>
      <c r="GYX93" s="101"/>
      <c r="GYY93" s="101"/>
      <c r="GYZ93" s="101"/>
      <c r="GZA93" s="101"/>
      <c r="GZB93" s="101"/>
      <c r="GZC93" s="101"/>
      <c r="GZD93" s="101"/>
      <c r="GZE93" s="101"/>
      <c r="GZF93" s="101"/>
      <c r="GZG93" s="101"/>
      <c r="GZH93" s="101"/>
      <c r="GZI93" s="101"/>
      <c r="GZJ93" s="101"/>
      <c r="GZK93" s="101"/>
      <c r="GZL93" s="101"/>
      <c r="GZM93" s="101"/>
      <c r="GZN93" s="101"/>
      <c r="GZO93" s="101"/>
      <c r="GZP93" s="101"/>
      <c r="GZQ93" s="101"/>
      <c r="GZR93" s="101"/>
      <c r="GZS93" s="101"/>
      <c r="GZT93" s="101"/>
      <c r="GZU93" s="101"/>
      <c r="GZV93" s="101"/>
      <c r="GZW93" s="101"/>
      <c r="GZX93" s="101"/>
      <c r="GZY93" s="101"/>
      <c r="GZZ93" s="101"/>
      <c r="HAA93" s="101"/>
      <c r="HAB93" s="101"/>
      <c r="HAC93" s="101"/>
      <c r="HAD93" s="101"/>
      <c r="HAE93" s="101"/>
      <c r="HAF93" s="101"/>
      <c r="HAG93" s="101"/>
      <c r="HAH93" s="101"/>
      <c r="HAI93" s="101"/>
      <c r="HAJ93" s="101"/>
      <c r="HAK93" s="101"/>
      <c r="HAL93" s="101"/>
      <c r="HAM93" s="101"/>
      <c r="HAN93" s="101"/>
      <c r="HAO93" s="101"/>
      <c r="HAP93" s="101"/>
      <c r="HAQ93" s="101"/>
      <c r="HAR93" s="101"/>
      <c r="HAS93" s="101"/>
      <c r="HAT93" s="101"/>
      <c r="HAU93" s="101"/>
      <c r="HAV93" s="101"/>
      <c r="HAW93" s="101"/>
      <c r="HAX93" s="101"/>
      <c r="HAY93" s="101"/>
      <c r="HAZ93" s="101"/>
      <c r="HBA93" s="101"/>
      <c r="HBB93" s="101"/>
      <c r="HBC93" s="101"/>
      <c r="HBD93" s="101"/>
      <c r="HBE93" s="101"/>
      <c r="HBF93" s="101"/>
      <c r="HBG93" s="101"/>
      <c r="HBH93" s="101"/>
      <c r="HBI93" s="101"/>
      <c r="HBJ93" s="101"/>
      <c r="HBK93" s="101"/>
      <c r="HBL93" s="101"/>
      <c r="HBM93" s="101"/>
      <c r="HBN93" s="101"/>
      <c r="HBO93" s="101"/>
      <c r="HBP93" s="101"/>
      <c r="HBQ93" s="101"/>
      <c r="HBR93" s="101"/>
      <c r="HBS93" s="101"/>
      <c r="HBT93" s="101"/>
      <c r="HBU93" s="101"/>
      <c r="HBV93" s="101"/>
      <c r="HBW93" s="101"/>
      <c r="HBX93" s="101"/>
      <c r="HBY93" s="101"/>
      <c r="HBZ93" s="101"/>
      <c r="HCA93" s="101"/>
      <c r="HCB93" s="101"/>
      <c r="HCC93" s="101"/>
      <c r="HCD93" s="101"/>
      <c r="HCE93" s="101"/>
      <c r="HCF93" s="101"/>
      <c r="HCG93" s="101"/>
      <c r="HCH93" s="101"/>
      <c r="HCI93" s="101"/>
      <c r="HCJ93" s="101"/>
      <c r="HCK93" s="101"/>
      <c r="HCL93" s="101"/>
      <c r="HCM93" s="101"/>
      <c r="HCN93" s="101"/>
      <c r="HCO93" s="101"/>
      <c r="HCP93" s="101"/>
      <c r="HCQ93" s="101"/>
      <c r="HCR93" s="101"/>
      <c r="HCS93" s="101"/>
      <c r="HCT93" s="101"/>
      <c r="HCU93" s="101"/>
      <c r="HCV93" s="101"/>
      <c r="HCW93" s="101"/>
      <c r="HCX93" s="101"/>
      <c r="HCY93" s="101"/>
      <c r="HCZ93" s="101"/>
      <c r="HDA93" s="101"/>
      <c r="HDB93" s="101"/>
      <c r="HDC93" s="101"/>
      <c r="HDD93" s="101"/>
      <c r="HDE93" s="101"/>
      <c r="HDF93" s="101"/>
      <c r="HDG93" s="101"/>
      <c r="HDH93" s="101"/>
      <c r="HDI93" s="101"/>
      <c r="HDJ93" s="101"/>
      <c r="HDK93" s="101"/>
      <c r="HDL93" s="101"/>
      <c r="HDM93" s="101"/>
      <c r="HDN93" s="101"/>
      <c r="HDO93" s="101"/>
      <c r="HDP93" s="101"/>
      <c r="HDQ93" s="101"/>
      <c r="HDR93" s="101"/>
      <c r="HDS93" s="101"/>
      <c r="HDT93" s="101"/>
      <c r="HDU93" s="101"/>
      <c r="HDV93" s="101"/>
      <c r="HDW93" s="101"/>
      <c r="HDX93" s="101"/>
      <c r="HDY93" s="101"/>
      <c r="HDZ93" s="101"/>
      <c r="HEA93" s="101"/>
      <c r="HEB93" s="101"/>
      <c r="HEC93" s="101"/>
      <c r="HED93" s="101"/>
      <c r="HEE93" s="101"/>
      <c r="HEF93" s="101"/>
      <c r="HEG93" s="101"/>
      <c r="HEH93" s="101"/>
      <c r="HEI93" s="101"/>
      <c r="HEJ93" s="101"/>
      <c r="HEK93" s="101"/>
      <c r="HEL93" s="101"/>
      <c r="HEM93" s="101"/>
      <c r="HEN93" s="101"/>
      <c r="HEO93" s="101"/>
      <c r="HEP93" s="101"/>
      <c r="HEQ93" s="101"/>
      <c r="HER93" s="101"/>
      <c r="HES93" s="101"/>
      <c r="HET93" s="101"/>
      <c r="HEU93" s="101"/>
      <c r="HEV93" s="101"/>
      <c r="HEW93" s="101"/>
      <c r="HEX93" s="101"/>
      <c r="HEY93" s="101"/>
      <c r="HEZ93" s="101"/>
      <c r="HFA93" s="101"/>
      <c r="HFB93" s="101"/>
      <c r="HFC93" s="101"/>
      <c r="HFD93" s="101"/>
      <c r="HFE93" s="101"/>
      <c r="HFF93" s="101"/>
      <c r="HFG93" s="101"/>
      <c r="HFH93" s="101"/>
      <c r="HFI93" s="101"/>
      <c r="HFJ93" s="101"/>
      <c r="HFK93" s="101"/>
      <c r="HFL93" s="101"/>
      <c r="HFM93" s="101"/>
      <c r="HFN93" s="101"/>
      <c r="HFO93" s="101"/>
      <c r="HFP93" s="101"/>
      <c r="HFQ93" s="101"/>
      <c r="HFR93" s="101"/>
      <c r="HFS93" s="101"/>
      <c r="HFT93" s="101"/>
      <c r="HFU93" s="101"/>
      <c r="HFV93" s="101"/>
      <c r="HFW93" s="101"/>
      <c r="HFX93" s="101"/>
      <c r="HFY93" s="101"/>
      <c r="HFZ93" s="101"/>
      <c r="HGA93" s="101"/>
      <c r="HGB93" s="101"/>
      <c r="HGC93" s="101"/>
      <c r="HGD93" s="101"/>
      <c r="HGE93" s="101"/>
      <c r="HGF93" s="101"/>
      <c r="HGG93" s="101"/>
      <c r="HGH93" s="101"/>
      <c r="HGI93" s="101"/>
      <c r="HGJ93" s="101"/>
      <c r="HGK93" s="101"/>
      <c r="HGL93" s="101"/>
      <c r="HGM93" s="101"/>
      <c r="HGN93" s="101"/>
      <c r="HGO93" s="101"/>
      <c r="HGP93" s="101"/>
      <c r="HGQ93" s="101"/>
      <c r="HGR93" s="101"/>
      <c r="HGS93" s="101"/>
      <c r="HGT93" s="101"/>
      <c r="HGU93" s="101"/>
      <c r="HGV93" s="101"/>
      <c r="HGW93" s="101"/>
      <c r="HGX93" s="101"/>
      <c r="HGY93" s="101"/>
      <c r="HGZ93" s="101"/>
      <c r="HHA93" s="101"/>
      <c r="HHB93" s="101"/>
      <c r="HHC93" s="101"/>
      <c r="HHD93" s="101"/>
      <c r="HHE93" s="101"/>
      <c r="HHF93" s="101"/>
      <c r="HHG93" s="101"/>
      <c r="HHH93" s="101"/>
      <c r="HHI93" s="101"/>
      <c r="HHJ93" s="101"/>
      <c r="HHK93" s="101"/>
      <c r="HHL93" s="101"/>
      <c r="HHM93" s="101"/>
      <c r="HHN93" s="101"/>
      <c r="HHO93" s="101"/>
      <c r="HHP93" s="101"/>
      <c r="HHQ93" s="101"/>
      <c r="HHR93" s="101"/>
      <c r="HHS93" s="101"/>
      <c r="HHT93" s="101"/>
      <c r="HHU93" s="101"/>
      <c r="HHV93" s="101"/>
      <c r="HHW93" s="101"/>
      <c r="HHX93" s="101"/>
      <c r="HHY93" s="101"/>
      <c r="HHZ93" s="101"/>
      <c r="HIA93" s="101"/>
      <c r="HIB93" s="101"/>
      <c r="HIC93" s="101"/>
      <c r="HID93" s="101"/>
      <c r="HIE93" s="101"/>
      <c r="HIF93" s="101"/>
      <c r="HIG93" s="101"/>
      <c r="HIH93" s="101"/>
      <c r="HII93" s="101"/>
      <c r="HIJ93" s="101"/>
      <c r="HIK93" s="101"/>
      <c r="HIL93" s="101"/>
      <c r="HIM93" s="101"/>
      <c r="HIN93" s="101"/>
      <c r="HIO93" s="101"/>
      <c r="HIP93" s="101"/>
      <c r="HIQ93" s="101"/>
      <c r="HIR93" s="101"/>
      <c r="HIS93" s="101"/>
      <c r="HIT93" s="101"/>
      <c r="HIU93" s="101"/>
      <c r="HIV93" s="101"/>
      <c r="HIW93" s="101"/>
      <c r="HIX93" s="101"/>
      <c r="HIY93" s="101"/>
      <c r="HIZ93" s="101"/>
      <c r="HJA93" s="101"/>
      <c r="HJB93" s="101"/>
      <c r="HJC93" s="101"/>
      <c r="HJD93" s="101"/>
      <c r="HJE93" s="101"/>
      <c r="HJF93" s="101"/>
      <c r="HJG93" s="101"/>
      <c r="HJH93" s="101"/>
      <c r="HJI93" s="101"/>
      <c r="HJJ93" s="101"/>
      <c r="HJK93" s="101"/>
      <c r="HJL93" s="101"/>
      <c r="HJM93" s="101"/>
      <c r="HJN93" s="101"/>
      <c r="HJO93" s="101"/>
      <c r="HJP93" s="101"/>
      <c r="HJQ93" s="101"/>
      <c r="HJR93" s="101"/>
      <c r="HJS93" s="101"/>
      <c r="HJT93" s="101"/>
      <c r="HJU93" s="101"/>
      <c r="HJV93" s="101"/>
      <c r="HJW93" s="101"/>
      <c r="HJX93" s="101"/>
      <c r="HJY93" s="101"/>
      <c r="HJZ93" s="101"/>
      <c r="HKA93" s="101"/>
      <c r="HKB93" s="101"/>
      <c r="HKC93" s="101"/>
      <c r="HKD93" s="101"/>
      <c r="HKE93" s="101"/>
      <c r="HKF93" s="101"/>
      <c r="HKG93" s="101"/>
      <c r="HKH93" s="101"/>
      <c r="HKI93" s="101"/>
      <c r="HKJ93" s="101"/>
      <c r="HKK93" s="101"/>
      <c r="HKL93" s="101"/>
      <c r="HKM93" s="101"/>
      <c r="HKN93" s="101"/>
      <c r="HKO93" s="101"/>
      <c r="HKP93" s="101"/>
      <c r="HKQ93" s="101"/>
      <c r="HKR93" s="101"/>
      <c r="HKS93" s="101"/>
      <c r="HKT93" s="101"/>
      <c r="HKU93" s="101"/>
      <c r="HKV93" s="101"/>
      <c r="HKW93" s="101"/>
      <c r="HKX93" s="101"/>
      <c r="HKY93" s="101"/>
      <c r="HKZ93" s="101"/>
      <c r="HLA93" s="101"/>
      <c r="HLB93" s="101"/>
      <c r="HLC93" s="101"/>
      <c r="HLD93" s="101"/>
      <c r="HLE93" s="101"/>
      <c r="HLF93" s="101"/>
      <c r="HLG93" s="101"/>
      <c r="HLH93" s="101"/>
      <c r="HLI93" s="101"/>
      <c r="HLJ93" s="101"/>
      <c r="HLK93" s="101"/>
      <c r="HLL93" s="101"/>
      <c r="HLM93" s="101"/>
      <c r="HLN93" s="101"/>
      <c r="HLO93" s="101"/>
      <c r="HLP93" s="101"/>
      <c r="HLQ93" s="101"/>
      <c r="HLR93" s="101"/>
      <c r="HLS93" s="101"/>
      <c r="HLT93" s="101"/>
      <c r="HLU93" s="101"/>
      <c r="HLV93" s="101"/>
      <c r="HLW93" s="101"/>
      <c r="HLX93" s="101"/>
      <c r="HLY93" s="101"/>
      <c r="HLZ93" s="101"/>
      <c r="HMA93" s="101"/>
      <c r="HMB93" s="101"/>
      <c r="HMC93" s="101"/>
      <c r="HMD93" s="101"/>
      <c r="HME93" s="101"/>
      <c r="HMF93" s="101"/>
      <c r="HMG93" s="101"/>
      <c r="HMH93" s="101"/>
      <c r="HMI93" s="101"/>
      <c r="HMJ93" s="101"/>
      <c r="HMK93" s="101"/>
      <c r="HML93" s="101"/>
      <c r="HMM93" s="101"/>
      <c r="HMN93" s="101"/>
      <c r="HMO93" s="101"/>
      <c r="HMP93" s="101"/>
      <c r="HMQ93" s="101"/>
      <c r="HMR93" s="101"/>
      <c r="HMS93" s="101"/>
      <c r="HMT93" s="101"/>
      <c r="HMU93" s="101"/>
      <c r="HMV93" s="101"/>
      <c r="HMW93" s="101"/>
      <c r="HMX93" s="101"/>
      <c r="HMY93" s="101"/>
      <c r="HMZ93" s="101"/>
      <c r="HNA93" s="101"/>
      <c r="HNB93" s="101"/>
      <c r="HNC93" s="101"/>
      <c r="HND93" s="101"/>
      <c r="HNE93" s="101"/>
      <c r="HNF93" s="101"/>
      <c r="HNG93" s="101"/>
      <c r="HNH93" s="101"/>
      <c r="HNI93" s="101"/>
      <c r="HNJ93" s="101"/>
      <c r="HNK93" s="101"/>
      <c r="HNL93" s="101"/>
      <c r="HNM93" s="101"/>
      <c r="HNN93" s="101"/>
      <c r="HNO93" s="101"/>
      <c r="HNP93" s="101"/>
      <c r="HNQ93" s="101"/>
      <c r="HNR93" s="101"/>
      <c r="HNS93" s="101"/>
      <c r="HNT93" s="101"/>
      <c r="HNU93" s="101"/>
      <c r="HNV93" s="101"/>
      <c r="HNW93" s="101"/>
      <c r="HNX93" s="101"/>
      <c r="HNY93" s="101"/>
      <c r="HNZ93" s="101"/>
      <c r="HOA93" s="101"/>
      <c r="HOB93" s="101"/>
      <c r="HOC93" s="101"/>
      <c r="HOD93" s="101"/>
      <c r="HOE93" s="101"/>
      <c r="HOF93" s="101"/>
      <c r="HOG93" s="101"/>
      <c r="HOH93" s="101"/>
      <c r="HOI93" s="101"/>
      <c r="HOJ93" s="101"/>
      <c r="HOK93" s="101"/>
      <c r="HOL93" s="101"/>
      <c r="HOM93" s="101"/>
      <c r="HON93" s="101"/>
      <c r="HOO93" s="101"/>
      <c r="HOP93" s="101"/>
      <c r="HOQ93" s="101"/>
      <c r="HOR93" s="101"/>
      <c r="HOS93" s="101"/>
      <c r="HOT93" s="101"/>
      <c r="HOU93" s="101"/>
      <c r="HOV93" s="101"/>
      <c r="HOW93" s="101"/>
      <c r="HOX93" s="101"/>
      <c r="HOY93" s="101"/>
      <c r="HOZ93" s="101"/>
      <c r="HPA93" s="101"/>
      <c r="HPB93" s="101"/>
      <c r="HPC93" s="101"/>
      <c r="HPD93" s="101"/>
      <c r="HPE93" s="101"/>
      <c r="HPF93" s="101"/>
      <c r="HPG93" s="101"/>
      <c r="HPH93" s="101"/>
      <c r="HPI93" s="101"/>
      <c r="HPJ93" s="101"/>
      <c r="HPK93" s="101"/>
      <c r="HPL93" s="101"/>
      <c r="HPM93" s="101"/>
      <c r="HPN93" s="101"/>
      <c r="HPO93" s="101"/>
      <c r="HPP93" s="101"/>
      <c r="HPQ93" s="101"/>
      <c r="HPR93" s="101"/>
      <c r="HPS93" s="101"/>
      <c r="HPT93" s="101"/>
      <c r="HPU93" s="101"/>
      <c r="HPV93" s="101"/>
      <c r="HPW93" s="101"/>
      <c r="HPX93" s="101"/>
      <c r="HPY93" s="101"/>
      <c r="HPZ93" s="101"/>
      <c r="HQA93" s="101"/>
      <c r="HQB93" s="101"/>
      <c r="HQC93" s="101"/>
      <c r="HQD93" s="101"/>
      <c r="HQE93" s="101"/>
      <c r="HQF93" s="101"/>
      <c r="HQG93" s="101"/>
      <c r="HQH93" s="101"/>
      <c r="HQI93" s="101"/>
      <c r="HQJ93" s="101"/>
      <c r="HQK93" s="101"/>
      <c r="HQL93" s="101"/>
      <c r="HQM93" s="101"/>
      <c r="HQN93" s="101"/>
      <c r="HQO93" s="101"/>
      <c r="HQP93" s="101"/>
      <c r="HQQ93" s="101"/>
      <c r="HQR93" s="101"/>
      <c r="HQS93" s="101"/>
      <c r="HQT93" s="101"/>
      <c r="HQU93" s="101"/>
      <c r="HQV93" s="101"/>
      <c r="HQW93" s="101"/>
      <c r="HQX93" s="101"/>
      <c r="HQY93" s="101"/>
      <c r="HQZ93" s="101"/>
      <c r="HRA93" s="101"/>
      <c r="HRB93" s="101"/>
      <c r="HRC93" s="101"/>
      <c r="HRD93" s="101"/>
      <c r="HRE93" s="101"/>
      <c r="HRF93" s="101"/>
      <c r="HRG93" s="101"/>
      <c r="HRH93" s="101"/>
      <c r="HRI93" s="101"/>
      <c r="HRJ93" s="101"/>
      <c r="HRK93" s="101"/>
      <c r="HRL93" s="101"/>
      <c r="HRM93" s="101"/>
      <c r="HRN93" s="101"/>
      <c r="HRO93" s="101"/>
      <c r="HRP93" s="101"/>
      <c r="HRQ93" s="101"/>
      <c r="HRR93" s="101"/>
      <c r="HRS93" s="101"/>
      <c r="HRT93" s="101"/>
      <c r="HRU93" s="101"/>
      <c r="HRV93" s="101"/>
      <c r="HRW93" s="101"/>
      <c r="HRX93" s="101"/>
      <c r="HRY93" s="101"/>
      <c r="HRZ93" s="101"/>
      <c r="HSA93" s="101"/>
      <c r="HSB93" s="101"/>
      <c r="HSC93" s="101"/>
      <c r="HSD93" s="101"/>
      <c r="HSE93" s="101"/>
      <c r="HSF93" s="101"/>
      <c r="HSG93" s="101"/>
      <c r="HSH93" s="101"/>
      <c r="HSI93" s="101"/>
      <c r="HSJ93" s="101"/>
      <c r="HSK93" s="101"/>
      <c r="HSL93" s="101"/>
      <c r="HSM93" s="101"/>
      <c r="HSN93" s="101"/>
      <c r="HSO93" s="101"/>
      <c r="HSP93" s="101"/>
      <c r="HSQ93" s="101"/>
      <c r="HSR93" s="101"/>
      <c r="HSS93" s="101"/>
      <c r="HST93" s="101"/>
      <c r="HSU93" s="101"/>
      <c r="HSV93" s="101"/>
      <c r="HSW93" s="101"/>
      <c r="HSX93" s="101"/>
      <c r="HSY93" s="101"/>
      <c r="HSZ93" s="101"/>
      <c r="HTA93" s="101"/>
      <c r="HTB93" s="101"/>
      <c r="HTC93" s="101"/>
      <c r="HTD93" s="101"/>
      <c r="HTE93" s="101"/>
      <c r="HTF93" s="101"/>
      <c r="HTG93" s="101"/>
      <c r="HTH93" s="101"/>
      <c r="HTI93" s="101"/>
      <c r="HTJ93" s="101"/>
      <c r="HTK93" s="101"/>
      <c r="HTL93" s="101"/>
      <c r="HTM93" s="101"/>
      <c r="HTN93" s="101"/>
      <c r="HTO93" s="101"/>
      <c r="HTP93" s="101"/>
      <c r="HTQ93" s="101"/>
      <c r="HTR93" s="101"/>
      <c r="HTS93" s="101"/>
      <c r="HTT93" s="101"/>
      <c r="HTU93" s="101"/>
      <c r="HTV93" s="101"/>
      <c r="HTW93" s="101"/>
      <c r="HTX93" s="101"/>
      <c r="HTY93" s="101"/>
      <c r="HTZ93" s="101"/>
      <c r="HUA93" s="101"/>
      <c r="HUB93" s="101"/>
      <c r="HUC93" s="101"/>
      <c r="HUD93" s="101"/>
      <c r="HUE93" s="101"/>
      <c r="HUF93" s="101"/>
      <c r="HUG93" s="101"/>
      <c r="HUH93" s="101"/>
      <c r="HUI93" s="101"/>
      <c r="HUJ93" s="101"/>
      <c r="HUK93" s="101"/>
      <c r="HUL93" s="101"/>
      <c r="HUM93" s="101"/>
      <c r="HUN93" s="101"/>
      <c r="HUO93" s="101"/>
      <c r="HUP93" s="101"/>
      <c r="HUQ93" s="101"/>
      <c r="HUR93" s="101"/>
      <c r="HUS93" s="101"/>
      <c r="HUT93" s="101"/>
      <c r="HUU93" s="101"/>
      <c r="HUV93" s="101"/>
      <c r="HUW93" s="101"/>
      <c r="HUX93" s="101"/>
      <c r="HUY93" s="101"/>
      <c r="HUZ93" s="101"/>
      <c r="HVA93" s="101"/>
      <c r="HVB93" s="101"/>
      <c r="HVC93" s="101"/>
      <c r="HVD93" s="101"/>
      <c r="HVE93" s="101"/>
      <c r="HVF93" s="101"/>
      <c r="HVG93" s="101"/>
      <c r="HVH93" s="101"/>
      <c r="HVI93" s="101"/>
      <c r="HVJ93" s="101"/>
      <c r="HVK93" s="101"/>
      <c r="HVL93" s="101"/>
      <c r="HVM93" s="101"/>
      <c r="HVN93" s="101"/>
      <c r="HVO93" s="101"/>
      <c r="HVP93" s="101"/>
      <c r="HVQ93" s="101"/>
      <c r="HVR93" s="101"/>
      <c r="HVS93" s="101"/>
      <c r="HVT93" s="101"/>
      <c r="HVU93" s="101"/>
      <c r="HVV93" s="101"/>
      <c r="HVW93" s="101"/>
      <c r="HVX93" s="101"/>
      <c r="HVY93" s="101"/>
      <c r="HVZ93" s="101"/>
      <c r="HWA93" s="101"/>
      <c r="HWB93" s="101"/>
      <c r="HWC93" s="101"/>
      <c r="HWD93" s="101"/>
      <c r="HWE93" s="101"/>
      <c r="HWF93" s="101"/>
      <c r="HWG93" s="101"/>
      <c r="HWH93" s="101"/>
      <c r="HWI93" s="101"/>
      <c r="HWJ93" s="101"/>
      <c r="HWK93" s="101"/>
      <c r="HWL93" s="101"/>
      <c r="HWM93" s="101"/>
      <c r="HWN93" s="101"/>
      <c r="HWO93" s="101"/>
      <c r="HWP93" s="101"/>
      <c r="HWQ93" s="101"/>
      <c r="HWR93" s="101"/>
      <c r="HWS93" s="101"/>
      <c r="HWT93" s="101"/>
      <c r="HWU93" s="101"/>
      <c r="HWV93" s="101"/>
      <c r="HWW93" s="101"/>
      <c r="HWX93" s="101"/>
      <c r="HWY93" s="101"/>
      <c r="HWZ93" s="101"/>
      <c r="HXA93" s="101"/>
      <c r="HXB93" s="101"/>
      <c r="HXC93" s="101"/>
      <c r="HXD93" s="101"/>
      <c r="HXE93" s="101"/>
      <c r="HXF93" s="101"/>
      <c r="HXG93" s="101"/>
      <c r="HXH93" s="101"/>
      <c r="HXI93" s="101"/>
      <c r="HXJ93" s="101"/>
      <c r="HXK93" s="101"/>
      <c r="HXL93" s="101"/>
      <c r="HXM93" s="101"/>
      <c r="HXN93" s="101"/>
      <c r="HXO93" s="101"/>
      <c r="HXP93" s="101"/>
      <c r="HXQ93" s="101"/>
      <c r="HXR93" s="101"/>
      <c r="HXS93" s="101"/>
      <c r="HXT93" s="101"/>
      <c r="HXU93" s="101"/>
      <c r="HXV93" s="101"/>
      <c r="HXW93" s="101"/>
      <c r="HXX93" s="101"/>
      <c r="HXY93" s="101"/>
      <c r="HXZ93" s="101"/>
      <c r="HYA93" s="101"/>
      <c r="HYB93" s="101"/>
      <c r="HYC93" s="101"/>
      <c r="HYD93" s="101"/>
      <c r="HYE93" s="101"/>
      <c r="HYF93" s="101"/>
      <c r="HYG93" s="101"/>
      <c r="HYH93" s="101"/>
      <c r="HYI93" s="101"/>
      <c r="HYJ93" s="101"/>
      <c r="HYK93" s="101"/>
      <c r="HYL93" s="101"/>
      <c r="HYM93" s="101"/>
      <c r="HYN93" s="101"/>
      <c r="HYO93" s="101"/>
      <c r="HYP93" s="101"/>
      <c r="HYQ93" s="101"/>
      <c r="HYR93" s="101"/>
      <c r="HYS93" s="101"/>
      <c r="HYT93" s="101"/>
      <c r="HYU93" s="101"/>
      <c r="HYV93" s="101"/>
      <c r="HYW93" s="101"/>
      <c r="HYX93" s="101"/>
      <c r="HYY93" s="101"/>
      <c r="HYZ93" s="101"/>
      <c r="HZA93" s="101"/>
      <c r="HZB93" s="101"/>
      <c r="HZC93" s="101"/>
      <c r="HZD93" s="101"/>
      <c r="HZE93" s="101"/>
      <c r="HZF93" s="101"/>
      <c r="HZG93" s="101"/>
      <c r="HZH93" s="101"/>
      <c r="HZI93" s="101"/>
      <c r="HZJ93" s="101"/>
      <c r="HZK93" s="101"/>
      <c r="HZL93" s="101"/>
      <c r="HZM93" s="101"/>
      <c r="HZN93" s="101"/>
      <c r="HZO93" s="101"/>
      <c r="HZP93" s="101"/>
      <c r="HZQ93" s="101"/>
      <c r="HZR93" s="101"/>
      <c r="HZS93" s="101"/>
      <c r="HZT93" s="101"/>
      <c r="HZU93" s="101"/>
      <c r="HZV93" s="101"/>
      <c r="HZW93" s="101"/>
      <c r="HZX93" s="101"/>
      <c r="HZY93" s="101"/>
      <c r="HZZ93" s="101"/>
      <c r="IAA93" s="101"/>
      <c r="IAB93" s="101"/>
      <c r="IAC93" s="101"/>
      <c r="IAD93" s="101"/>
      <c r="IAE93" s="101"/>
      <c r="IAF93" s="101"/>
      <c r="IAG93" s="101"/>
      <c r="IAH93" s="101"/>
      <c r="IAI93" s="101"/>
      <c r="IAJ93" s="101"/>
      <c r="IAK93" s="101"/>
      <c r="IAL93" s="101"/>
      <c r="IAM93" s="101"/>
      <c r="IAN93" s="101"/>
      <c r="IAO93" s="101"/>
      <c r="IAP93" s="101"/>
      <c r="IAQ93" s="101"/>
      <c r="IAR93" s="101"/>
      <c r="IAS93" s="101"/>
      <c r="IAT93" s="101"/>
      <c r="IAU93" s="101"/>
      <c r="IAV93" s="101"/>
      <c r="IAW93" s="101"/>
      <c r="IAX93" s="101"/>
      <c r="IAY93" s="101"/>
      <c r="IAZ93" s="101"/>
      <c r="IBA93" s="101"/>
      <c r="IBB93" s="101"/>
      <c r="IBC93" s="101"/>
      <c r="IBD93" s="101"/>
      <c r="IBE93" s="101"/>
      <c r="IBF93" s="101"/>
      <c r="IBG93" s="101"/>
      <c r="IBH93" s="101"/>
      <c r="IBI93" s="101"/>
      <c r="IBJ93" s="101"/>
      <c r="IBK93" s="101"/>
      <c r="IBL93" s="101"/>
      <c r="IBM93" s="101"/>
      <c r="IBN93" s="101"/>
      <c r="IBO93" s="101"/>
      <c r="IBP93" s="101"/>
      <c r="IBQ93" s="101"/>
      <c r="IBR93" s="101"/>
      <c r="IBS93" s="101"/>
      <c r="IBT93" s="101"/>
      <c r="IBU93" s="101"/>
      <c r="IBV93" s="101"/>
      <c r="IBW93" s="101"/>
      <c r="IBX93" s="101"/>
      <c r="IBY93" s="101"/>
      <c r="IBZ93" s="101"/>
      <c r="ICA93" s="101"/>
      <c r="ICB93" s="101"/>
      <c r="ICC93" s="101"/>
      <c r="ICD93" s="101"/>
      <c r="ICE93" s="101"/>
      <c r="ICF93" s="101"/>
      <c r="ICG93" s="101"/>
      <c r="ICH93" s="101"/>
      <c r="ICI93" s="101"/>
      <c r="ICJ93" s="101"/>
      <c r="ICK93" s="101"/>
      <c r="ICL93" s="101"/>
      <c r="ICM93" s="101"/>
      <c r="ICN93" s="101"/>
      <c r="ICO93" s="101"/>
      <c r="ICP93" s="101"/>
      <c r="ICQ93" s="101"/>
      <c r="ICR93" s="101"/>
      <c r="ICS93" s="101"/>
      <c r="ICT93" s="101"/>
      <c r="ICU93" s="101"/>
      <c r="ICV93" s="101"/>
      <c r="ICW93" s="101"/>
      <c r="ICX93" s="101"/>
      <c r="ICY93" s="101"/>
      <c r="ICZ93" s="101"/>
      <c r="IDA93" s="101"/>
      <c r="IDB93" s="101"/>
      <c r="IDC93" s="101"/>
      <c r="IDD93" s="101"/>
      <c r="IDE93" s="101"/>
      <c r="IDF93" s="101"/>
      <c r="IDG93" s="101"/>
      <c r="IDH93" s="101"/>
      <c r="IDI93" s="101"/>
      <c r="IDJ93" s="101"/>
      <c r="IDK93" s="101"/>
      <c r="IDL93" s="101"/>
      <c r="IDM93" s="101"/>
      <c r="IDN93" s="101"/>
      <c r="IDO93" s="101"/>
      <c r="IDP93" s="101"/>
      <c r="IDQ93" s="101"/>
      <c r="IDR93" s="101"/>
      <c r="IDS93" s="101"/>
      <c r="IDT93" s="101"/>
      <c r="IDU93" s="101"/>
      <c r="IDV93" s="101"/>
      <c r="IDW93" s="101"/>
      <c r="IDX93" s="101"/>
      <c r="IDY93" s="101"/>
      <c r="IDZ93" s="101"/>
      <c r="IEA93" s="101"/>
      <c r="IEB93" s="101"/>
      <c r="IEC93" s="101"/>
      <c r="IED93" s="101"/>
      <c r="IEE93" s="101"/>
      <c r="IEF93" s="101"/>
      <c r="IEG93" s="101"/>
      <c r="IEH93" s="101"/>
      <c r="IEI93" s="101"/>
      <c r="IEJ93" s="101"/>
      <c r="IEK93" s="101"/>
      <c r="IEL93" s="101"/>
      <c r="IEM93" s="101"/>
      <c r="IEN93" s="101"/>
      <c r="IEO93" s="101"/>
      <c r="IEP93" s="101"/>
      <c r="IEQ93" s="101"/>
      <c r="IER93" s="101"/>
      <c r="IES93" s="101"/>
      <c r="IET93" s="101"/>
      <c r="IEU93" s="101"/>
      <c r="IEV93" s="101"/>
      <c r="IEW93" s="101"/>
      <c r="IEX93" s="101"/>
      <c r="IEY93" s="101"/>
      <c r="IEZ93" s="101"/>
      <c r="IFA93" s="101"/>
      <c r="IFB93" s="101"/>
      <c r="IFC93" s="101"/>
      <c r="IFD93" s="101"/>
      <c r="IFE93" s="101"/>
      <c r="IFF93" s="101"/>
      <c r="IFG93" s="101"/>
      <c r="IFH93" s="101"/>
      <c r="IFI93" s="101"/>
      <c r="IFJ93" s="101"/>
      <c r="IFK93" s="101"/>
      <c r="IFL93" s="101"/>
      <c r="IFM93" s="101"/>
      <c r="IFN93" s="101"/>
      <c r="IFO93" s="101"/>
      <c r="IFP93" s="101"/>
      <c r="IFQ93" s="101"/>
      <c r="IFR93" s="101"/>
      <c r="IFS93" s="101"/>
      <c r="IFT93" s="101"/>
      <c r="IFU93" s="101"/>
      <c r="IFV93" s="101"/>
      <c r="IFW93" s="101"/>
      <c r="IFX93" s="101"/>
      <c r="IFY93" s="101"/>
      <c r="IFZ93" s="101"/>
      <c r="IGA93" s="101"/>
      <c r="IGB93" s="101"/>
      <c r="IGC93" s="101"/>
      <c r="IGD93" s="101"/>
      <c r="IGE93" s="101"/>
      <c r="IGF93" s="101"/>
      <c r="IGG93" s="101"/>
      <c r="IGH93" s="101"/>
      <c r="IGI93" s="101"/>
      <c r="IGJ93" s="101"/>
      <c r="IGK93" s="101"/>
      <c r="IGL93" s="101"/>
      <c r="IGM93" s="101"/>
      <c r="IGN93" s="101"/>
      <c r="IGO93" s="101"/>
      <c r="IGP93" s="101"/>
      <c r="IGQ93" s="101"/>
      <c r="IGR93" s="101"/>
      <c r="IGS93" s="101"/>
      <c r="IGT93" s="101"/>
      <c r="IGU93" s="101"/>
      <c r="IGV93" s="101"/>
      <c r="IGW93" s="101"/>
      <c r="IGX93" s="101"/>
      <c r="IGY93" s="101"/>
      <c r="IGZ93" s="101"/>
      <c r="IHA93" s="101"/>
      <c r="IHB93" s="101"/>
      <c r="IHC93" s="101"/>
      <c r="IHD93" s="101"/>
      <c r="IHE93" s="101"/>
      <c r="IHF93" s="101"/>
      <c r="IHG93" s="101"/>
      <c r="IHH93" s="101"/>
      <c r="IHI93" s="101"/>
      <c r="IHJ93" s="101"/>
      <c r="IHK93" s="101"/>
      <c r="IHL93" s="101"/>
      <c r="IHM93" s="101"/>
      <c r="IHN93" s="101"/>
      <c r="IHO93" s="101"/>
      <c r="IHP93" s="101"/>
      <c r="IHQ93" s="101"/>
      <c r="IHR93" s="101"/>
      <c r="IHS93" s="101"/>
      <c r="IHT93" s="101"/>
      <c r="IHU93" s="101"/>
      <c r="IHV93" s="101"/>
      <c r="IHW93" s="101"/>
      <c r="IHX93" s="101"/>
      <c r="IHY93" s="101"/>
      <c r="IHZ93" s="101"/>
      <c r="IIA93" s="101"/>
      <c r="IIB93" s="101"/>
      <c r="IIC93" s="101"/>
      <c r="IID93" s="101"/>
      <c r="IIE93" s="101"/>
      <c r="IIF93" s="101"/>
      <c r="IIG93" s="101"/>
      <c r="IIH93" s="101"/>
      <c r="III93" s="101"/>
      <c r="IIJ93" s="101"/>
      <c r="IIK93" s="101"/>
      <c r="IIL93" s="101"/>
      <c r="IIM93" s="101"/>
      <c r="IIN93" s="101"/>
      <c r="IIO93" s="101"/>
      <c r="IIP93" s="101"/>
      <c r="IIQ93" s="101"/>
      <c r="IIR93" s="101"/>
      <c r="IIS93" s="101"/>
      <c r="IIT93" s="101"/>
      <c r="IIU93" s="101"/>
      <c r="IIV93" s="101"/>
      <c r="IIW93" s="101"/>
      <c r="IIX93" s="101"/>
      <c r="IIY93" s="101"/>
      <c r="IIZ93" s="101"/>
      <c r="IJA93" s="101"/>
      <c r="IJB93" s="101"/>
      <c r="IJC93" s="101"/>
      <c r="IJD93" s="101"/>
      <c r="IJE93" s="101"/>
      <c r="IJF93" s="101"/>
      <c r="IJG93" s="101"/>
      <c r="IJH93" s="101"/>
      <c r="IJI93" s="101"/>
      <c r="IJJ93" s="101"/>
      <c r="IJK93" s="101"/>
      <c r="IJL93" s="101"/>
      <c r="IJM93" s="101"/>
      <c r="IJN93" s="101"/>
      <c r="IJO93" s="101"/>
      <c r="IJP93" s="101"/>
      <c r="IJQ93" s="101"/>
      <c r="IJR93" s="101"/>
      <c r="IJS93" s="101"/>
      <c r="IJT93" s="101"/>
      <c r="IJU93" s="101"/>
      <c r="IJV93" s="101"/>
      <c r="IJW93" s="101"/>
      <c r="IJX93" s="101"/>
      <c r="IJY93" s="101"/>
      <c r="IJZ93" s="101"/>
      <c r="IKA93" s="101"/>
      <c r="IKB93" s="101"/>
      <c r="IKC93" s="101"/>
      <c r="IKD93" s="101"/>
      <c r="IKE93" s="101"/>
      <c r="IKF93" s="101"/>
      <c r="IKG93" s="101"/>
      <c r="IKH93" s="101"/>
      <c r="IKI93" s="101"/>
      <c r="IKJ93" s="101"/>
      <c r="IKK93" s="101"/>
      <c r="IKL93" s="101"/>
      <c r="IKM93" s="101"/>
      <c r="IKN93" s="101"/>
      <c r="IKO93" s="101"/>
      <c r="IKP93" s="101"/>
      <c r="IKQ93" s="101"/>
      <c r="IKR93" s="101"/>
      <c r="IKS93" s="101"/>
      <c r="IKT93" s="101"/>
      <c r="IKU93" s="101"/>
      <c r="IKV93" s="101"/>
      <c r="IKW93" s="101"/>
      <c r="IKX93" s="101"/>
      <c r="IKY93" s="101"/>
      <c r="IKZ93" s="101"/>
      <c r="ILA93" s="101"/>
      <c r="ILB93" s="101"/>
      <c r="ILC93" s="101"/>
      <c r="ILD93" s="101"/>
      <c r="ILE93" s="101"/>
      <c r="ILF93" s="101"/>
      <c r="ILG93" s="101"/>
      <c r="ILH93" s="101"/>
      <c r="ILI93" s="101"/>
      <c r="ILJ93" s="101"/>
      <c r="ILK93" s="101"/>
      <c r="ILL93" s="101"/>
      <c r="ILM93" s="101"/>
      <c r="ILN93" s="101"/>
      <c r="ILO93" s="101"/>
      <c r="ILP93" s="101"/>
      <c r="ILQ93" s="101"/>
      <c r="ILR93" s="101"/>
      <c r="ILS93" s="101"/>
      <c r="ILT93" s="101"/>
      <c r="ILU93" s="101"/>
      <c r="ILV93" s="101"/>
      <c r="ILW93" s="101"/>
      <c r="ILX93" s="101"/>
      <c r="ILY93" s="101"/>
      <c r="ILZ93" s="101"/>
      <c r="IMA93" s="101"/>
      <c r="IMB93" s="101"/>
      <c r="IMC93" s="101"/>
      <c r="IMD93" s="101"/>
      <c r="IME93" s="101"/>
      <c r="IMF93" s="101"/>
      <c r="IMG93" s="101"/>
      <c r="IMH93" s="101"/>
      <c r="IMI93" s="101"/>
      <c r="IMJ93" s="101"/>
      <c r="IMK93" s="101"/>
      <c r="IML93" s="101"/>
      <c r="IMM93" s="101"/>
      <c r="IMN93" s="101"/>
      <c r="IMO93" s="101"/>
      <c r="IMP93" s="101"/>
      <c r="IMQ93" s="101"/>
      <c r="IMR93" s="101"/>
      <c r="IMS93" s="101"/>
      <c r="IMT93" s="101"/>
      <c r="IMU93" s="101"/>
      <c r="IMV93" s="101"/>
      <c r="IMW93" s="101"/>
      <c r="IMX93" s="101"/>
      <c r="IMY93" s="101"/>
      <c r="IMZ93" s="101"/>
      <c r="INA93" s="101"/>
      <c r="INB93" s="101"/>
      <c r="INC93" s="101"/>
      <c r="IND93" s="101"/>
      <c r="INE93" s="101"/>
      <c r="INF93" s="101"/>
      <c r="ING93" s="101"/>
      <c r="INH93" s="101"/>
      <c r="INI93" s="101"/>
      <c r="INJ93" s="101"/>
      <c r="INK93" s="101"/>
      <c r="INL93" s="101"/>
      <c r="INM93" s="101"/>
      <c r="INN93" s="101"/>
      <c r="INO93" s="101"/>
      <c r="INP93" s="101"/>
      <c r="INQ93" s="101"/>
      <c r="INR93" s="101"/>
      <c r="INS93" s="101"/>
      <c r="INT93" s="101"/>
      <c r="INU93" s="101"/>
      <c r="INV93" s="101"/>
      <c r="INW93" s="101"/>
      <c r="INX93" s="101"/>
      <c r="INY93" s="101"/>
      <c r="INZ93" s="101"/>
      <c r="IOA93" s="101"/>
      <c r="IOB93" s="101"/>
      <c r="IOC93" s="101"/>
      <c r="IOD93" s="101"/>
      <c r="IOE93" s="101"/>
      <c r="IOF93" s="101"/>
      <c r="IOG93" s="101"/>
      <c r="IOH93" s="101"/>
      <c r="IOI93" s="101"/>
      <c r="IOJ93" s="101"/>
      <c r="IOK93" s="101"/>
      <c r="IOL93" s="101"/>
      <c r="IOM93" s="101"/>
      <c r="ION93" s="101"/>
      <c r="IOO93" s="101"/>
      <c r="IOP93" s="101"/>
      <c r="IOQ93" s="101"/>
      <c r="IOR93" s="101"/>
      <c r="IOS93" s="101"/>
      <c r="IOT93" s="101"/>
      <c r="IOU93" s="101"/>
      <c r="IOV93" s="101"/>
      <c r="IOW93" s="101"/>
      <c r="IOX93" s="101"/>
      <c r="IOY93" s="101"/>
      <c r="IOZ93" s="101"/>
      <c r="IPA93" s="101"/>
      <c r="IPB93" s="101"/>
      <c r="IPC93" s="101"/>
      <c r="IPD93" s="101"/>
      <c r="IPE93" s="101"/>
      <c r="IPF93" s="101"/>
      <c r="IPG93" s="101"/>
      <c r="IPH93" s="101"/>
      <c r="IPI93" s="101"/>
      <c r="IPJ93" s="101"/>
      <c r="IPK93" s="101"/>
      <c r="IPL93" s="101"/>
      <c r="IPM93" s="101"/>
      <c r="IPN93" s="101"/>
      <c r="IPO93" s="101"/>
      <c r="IPP93" s="101"/>
      <c r="IPQ93" s="101"/>
      <c r="IPR93" s="101"/>
      <c r="IPS93" s="101"/>
      <c r="IPT93" s="101"/>
      <c r="IPU93" s="101"/>
      <c r="IPV93" s="101"/>
      <c r="IPW93" s="101"/>
      <c r="IPX93" s="101"/>
      <c r="IPY93" s="101"/>
      <c r="IPZ93" s="101"/>
      <c r="IQA93" s="101"/>
      <c r="IQB93" s="101"/>
      <c r="IQC93" s="101"/>
      <c r="IQD93" s="101"/>
      <c r="IQE93" s="101"/>
      <c r="IQF93" s="101"/>
      <c r="IQG93" s="101"/>
      <c r="IQH93" s="101"/>
      <c r="IQI93" s="101"/>
      <c r="IQJ93" s="101"/>
      <c r="IQK93" s="101"/>
      <c r="IQL93" s="101"/>
      <c r="IQM93" s="101"/>
      <c r="IQN93" s="101"/>
      <c r="IQO93" s="101"/>
      <c r="IQP93" s="101"/>
      <c r="IQQ93" s="101"/>
      <c r="IQR93" s="101"/>
      <c r="IQS93" s="101"/>
      <c r="IQT93" s="101"/>
      <c r="IQU93" s="101"/>
      <c r="IQV93" s="101"/>
      <c r="IQW93" s="101"/>
      <c r="IQX93" s="101"/>
      <c r="IQY93" s="101"/>
      <c r="IQZ93" s="101"/>
      <c r="IRA93" s="101"/>
      <c r="IRB93" s="101"/>
      <c r="IRC93" s="101"/>
      <c r="IRD93" s="101"/>
      <c r="IRE93" s="101"/>
      <c r="IRF93" s="101"/>
      <c r="IRG93" s="101"/>
      <c r="IRH93" s="101"/>
      <c r="IRI93" s="101"/>
      <c r="IRJ93" s="101"/>
      <c r="IRK93" s="101"/>
      <c r="IRL93" s="101"/>
      <c r="IRM93" s="101"/>
      <c r="IRN93" s="101"/>
      <c r="IRO93" s="101"/>
      <c r="IRP93" s="101"/>
      <c r="IRQ93" s="101"/>
      <c r="IRR93" s="101"/>
      <c r="IRS93" s="101"/>
      <c r="IRT93" s="101"/>
      <c r="IRU93" s="101"/>
      <c r="IRV93" s="101"/>
      <c r="IRW93" s="101"/>
      <c r="IRX93" s="101"/>
      <c r="IRY93" s="101"/>
      <c r="IRZ93" s="101"/>
      <c r="ISA93" s="101"/>
      <c r="ISB93" s="101"/>
      <c r="ISC93" s="101"/>
      <c r="ISD93" s="101"/>
      <c r="ISE93" s="101"/>
      <c r="ISF93" s="101"/>
      <c r="ISG93" s="101"/>
      <c r="ISH93" s="101"/>
      <c r="ISI93" s="101"/>
      <c r="ISJ93" s="101"/>
      <c r="ISK93" s="101"/>
      <c r="ISL93" s="101"/>
      <c r="ISM93" s="101"/>
      <c r="ISN93" s="101"/>
      <c r="ISO93" s="101"/>
      <c r="ISP93" s="101"/>
      <c r="ISQ93" s="101"/>
      <c r="ISR93" s="101"/>
      <c r="ISS93" s="101"/>
      <c r="IST93" s="101"/>
      <c r="ISU93" s="101"/>
      <c r="ISV93" s="101"/>
      <c r="ISW93" s="101"/>
      <c r="ISX93" s="101"/>
      <c r="ISY93" s="101"/>
      <c r="ISZ93" s="101"/>
      <c r="ITA93" s="101"/>
      <c r="ITB93" s="101"/>
      <c r="ITC93" s="101"/>
      <c r="ITD93" s="101"/>
      <c r="ITE93" s="101"/>
      <c r="ITF93" s="101"/>
      <c r="ITG93" s="101"/>
      <c r="ITH93" s="101"/>
      <c r="ITI93" s="101"/>
      <c r="ITJ93" s="101"/>
      <c r="ITK93" s="101"/>
      <c r="ITL93" s="101"/>
      <c r="ITM93" s="101"/>
      <c r="ITN93" s="101"/>
      <c r="ITO93" s="101"/>
      <c r="ITP93" s="101"/>
      <c r="ITQ93" s="101"/>
      <c r="ITR93" s="101"/>
      <c r="ITS93" s="101"/>
      <c r="ITT93" s="101"/>
      <c r="ITU93" s="101"/>
      <c r="ITV93" s="101"/>
      <c r="ITW93" s="101"/>
      <c r="ITX93" s="101"/>
      <c r="ITY93" s="101"/>
      <c r="ITZ93" s="101"/>
      <c r="IUA93" s="101"/>
      <c r="IUB93" s="101"/>
      <c r="IUC93" s="101"/>
      <c r="IUD93" s="101"/>
      <c r="IUE93" s="101"/>
      <c r="IUF93" s="101"/>
      <c r="IUG93" s="101"/>
      <c r="IUH93" s="101"/>
      <c r="IUI93" s="101"/>
      <c r="IUJ93" s="101"/>
      <c r="IUK93" s="101"/>
      <c r="IUL93" s="101"/>
      <c r="IUM93" s="101"/>
      <c r="IUN93" s="101"/>
      <c r="IUO93" s="101"/>
      <c r="IUP93" s="101"/>
      <c r="IUQ93" s="101"/>
      <c r="IUR93" s="101"/>
      <c r="IUS93" s="101"/>
      <c r="IUT93" s="101"/>
      <c r="IUU93" s="101"/>
      <c r="IUV93" s="101"/>
      <c r="IUW93" s="101"/>
      <c r="IUX93" s="101"/>
      <c r="IUY93" s="101"/>
      <c r="IUZ93" s="101"/>
      <c r="IVA93" s="101"/>
      <c r="IVB93" s="101"/>
      <c r="IVC93" s="101"/>
      <c r="IVD93" s="101"/>
      <c r="IVE93" s="101"/>
      <c r="IVF93" s="101"/>
      <c r="IVG93" s="101"/>
      <c r="IVH93" s="101"/>
      <c r="IVI93" s="101"/>
      <c r="IVJ93" s="101"/>
      <c r="IVK93" s="101"/>
      <c r="IVL93" s="101"/>
      <c r="IVM93" s="101"/>
      <c r="IVN93" s="101"/>
      <c r="IVO93" s="101"/>
      <c r="IVP93" s="101"/>
      <c r="IVQ93" s="101"/>
      <c r="IVR93" s="101"/>
      <c r="IVS93" s="101"/>
      <c r="IVT93" s="101"/>
      <c r="IVU93" s="101"/>
      <c r="IVV93" s="101"/>
      <c r="IVW93" s="101"/>
      <c r="IVX93" s="101"/>
      <c r="IVY93" s="101"/>
      <c r="IVZ93" s="101"/>
      <c r="IWA93" s="101"/>
      <c r="IWB93" s="101"/>
      <c r="IWC93" s="101"/>
      <c r="IWD93" s="101"/>
      <c r="IWE93" s="101"/>
      <c r="IWF93" s="101"/>
      <c r="IWG93" s="101"/>
      <c r="IWH93" s="101"/>
      <c r="IWI93" s="101"/>
      <c r="IWJ93" s="101"/>
      <c r="IWK93" s="101"/>
      <c r="IWL93" s="101"/>
      <c r="IWM93" s="101"/>
      <c r="IWN93" s="101"/>
      <c r="IWO93" s="101"/>
      <c r="IWP93" s="101"/>
      <c r="IWQ93" s="101"/>
      <c r="IWR93" s="101"/>
      <c r="IWS93" s="101"/>
      <c r="IWT93" s="101"/>
      <c r="IWU93" s="101"/>
      <c r="IWV93" s="101"/>
      <c r="IWW93" s="101"/>
      <c r="IWX93" s="101"/>
      <c r="IWY93" s="101"/>
      <c r="IWZ93" s="101"/>
      <c r="IXA93" s="101"/>
      <c r="IXB93" s="101"/>
      <c r="IXC93" s="101"/>
      <c r="IXD93" s="101"/>
      <c r="IXE93" s="101"/>
      <c r="IXF93" s="101"/>
      <c r="IXG93" s="101"/>
      <c r="IXH93" s="101"/>
      <c r="IXI93" s="101"/>
      <c r="IXJ93" s="101"/>
      <c r="IXK93" s="101"/>
      <c r="IXL93" s="101"/>
      <c r="IXM93" s="101"/>
      <c r="IXN93" s="101"/>
      <c r="IXO93" s="101"/>
      <c r="IXP93" s="101"/>
      <c r="IXQ93" s="101"/>
      <c r="IXR93" s="101"/>
      <c r="IXS93" s="101"/>
      <c r="IXT93" s="101"/>
      <c r="IXU93" s="101"/>
      <c r="IXV93" s="101"/>
      <c r="IXW93" s="101"/>
      <c r="IXX93" s="101"/>
      <c r="IXY93" s="101"/>
      <c r="IXZ93" s="101"/>
      <c r="IYA93" s="101"/>
      <c r="IYB93" s="101"/>
      <c r="IYC93" s="101"/>
      <c r="IYD93" s="101"/>
      <c r="IYE93" s="101"/>
      <c r="IYF93" s="101"/>
      <c r="IYG93" s="101"/>
      <c r="IYH93" s="101"/>
      <c r="IYI93" s="101"/>
      <c r="IYJ93" s="101"/>
      <c r="IYK93" s="101"/>
      <c r="IYL93" s="101"/>
      <c r="IYM93" s="101"/>
      <c r="IYN93" s="101"/>
      <c r="IYO93" s="101"/>
      <c r="IYP93" s="101"/>
      <c r="IYQ93" s="101"/>
      <c r="IYR93" s="101"/>
      <c r="IYS93" s="101"/>
      <c r="IYT93" s="101"/>
      <c r="IYU93" s="101"/>
      <c r="IYV93" s="101"/>
      <c r="IYW93" s="101"/>
      <c r="IYX93" s="101"/>
      <c r="IYY93" s="101"/>
      <c r="IYZ93" s="101"/>
      <c r="IZA93" s="101"/>
      <c r="IZB93" s="101"/>
      <c r="IZC93" s="101"/>
      <c r="IZD93" s="101"/>
      <c r="IZE93" s="101"/>
      <c r="IZF93" s="101"/>
      <c r="IZG93" s="101"/>
      <c r="IZH93" s="101"/>
      <c r="IZI93" s="101"/>
      <c r="IZJ93" s="101"/>
      <c r="IZK93" s="101"/>
      <c r="IZL93" s="101"/>
      <c r="IZM93" s="101"/>
      <c r="IZN93" s="101"/>
      <c r="IZO93" s="101"/>
      <c r="IZP93" s="101"/>
      <c r="IZQ93" s="101"/>
      <c r="IZR93" s="101"/>
      <c r="IZS93" s="101"/>
      <c r="IZT93" s="101"/>
      <c r="IZU93" s="101"/>
      <c r="IZV93" s="101"/>
      <c r="IZW93" s="101"/>
      <c r="IZX93" s="101"/>
      <c r="IZY93" s="101"/>
      <c r="IZZ93" s="101"/>
      <c r="JAA93" s="101"/>
      <c r="JAB93" s="101"/>
      <c r="JAC93" s="101"/>
      <c r="JAD93" s="101"/>
      <c r="JAE93" s="101"/>
      <c r="JAF93" s="101"/>
      <c r="JAG93" s="101"/>
      <c r="JAH93" s="101"/>
      <c r="JAI93" s="101"/>
      <c r="JAJ93" s="101"/>
      <c r="JAK93" s="101"/>
      <c r="JAL93" s="101"/>
      <c r="JAM93" s="101"/>
      <c r="JAN93" s="101"/>
      <c r="JAO93" s="101"/>
      <c r="JAP93" s="101"/>
      <c r="JAQ93" s="101"/>
      <c r="JAR93" s="101"/>
      <c r="JAS93" s="101"/>
      <c r="JAT93" s="101"/>
      <c r="JAU93" s="101"/>
      <c r="JAV93" s="101"/>
      <c r="JAW93" s="101"/>
      <c r="JAX93" s="101"/>
      <c r="JAY93" s="101"/>
      <c r="JAZ93" s="101"/>
      <c r="JBA93" s="101"/>
      <c r="JBB93" s="101"/>
      <c r="JBC93" s="101"/>
      <c r="JBD93" s="101"/>
      <c r="JBE93" s="101"/>
      <c r="JBF93" s="101"/>
      <c r="JBG93" s="101"/>
      <c r="JBH93" s="101"/>
      <c r="JBI93" s="101"/>
      <c r="JBJ93" s="101"/>
      <c r="JBK93" s="101"/>
      <c r="JBL93" s="101"/>
      <c r="JBM93" s="101"/>
      <c r="JBN93" s="101"/>
      <c r="JBO93" s="101"/>
      <c r="JBP93" s="101"/>
      <c r="JBQ93" s="101"/>
      <c r="JBR93" s="101"/>
      <c r="JBS93" s="101"/>
      <c r="JBT93" s="101"/>
      <c r="JBU93" s="101"/>
      <c r="JBV93" s="101"/>
      <c r="JBW93" s="101"/>
      <c r="JBX93" s="101"/>
      <c r="JBY93" s="101"/>
      <c r="JBZ93" s="101"/>
      <c r="JCA93" s="101"/>
      <c r="JCB93" s="101"/>
      <c r="JCC93" s="101"/>
      <c r="JCD93" s="101"/>
      <c r="JCE93" s="101"/>
      <c r="JCF93" s="101"/>
      <c r="JCG93" s="101"/>
      <c r="JCH93" s="101"/>
      <c r="JCI93" s="101"/>
      <c r="JCJ93" s="101"/>
      <c r="JCK93" s="101"/>
      <c r="JCL93" s="101"/>
      <c r="JCM93" s="101"/>
      <c r="JCN93" s="101"/>
      <c r="JCO93" s="101"/>
      <c r="JCP93" s="101"/>
      <c r="JCQ93" s="101"/>
      <c r="JCR93" s="101"/>
      <c r="JCS93" s="101"/>
      <c r="JCT93" s="101"/>
      <c r="JCU93" s="101"/>
      <c r="JCV93" s="101"/>
      <c r="JCW93" s="101"/>
      <c r="JCX93" s="101"/>
      <c r="JCY93" s="101"/>
      <c r="JCZ93" s="101"/>
      <c r="JDA93" s="101"/>
      <c r="JDB93" s="101"/>
      <c r="JDC93" s="101"/>
      <c r="JDD93" s="101"/>
      <c r="JDE93" s="101"/>
      <c r="JDF93" s="101"/>
      <c r="JDG93" s="101"/>
      <c r="JDH93" s="101"/>
      <c r="JDI93" s="101"/>
      <c r="JDJ93" s="101"/>
      <c r="JDK93" s="101"/>
      <c r="JDL93" s="101"/>
      <c r="JDM93" s="101"/>
      <c r="JDN93" s="101"/>
      <c r="JDO93" s="101"/>
      <c r="JDP93" s="101"/>
      <c r="JDQ93" s="101"/>
      <c r="JDR93" s="101"/>
      <c r="JDS93" s="101"/>
      <c r="JDT93" s="101"/>
      <c r="JDU93" s="101"/>
      <c r="JDV93" s="101"/>
      <c r="JDW93" s="101"/>
      <c r="JDX93" s="101"/>
      <c r="JDY93" s="101"/>
      <c r="JDZ93" s="101"/>
      <c r="JEA93" s="101"/>
      <c r="JEB93" s="101"/>
      <c r="JEC93" s="101"/>
      <c r="JED93" s="101"/>
      <c r="JEE93" s="101"/>
      <c r="JEF93" s="101"/>
      <c r="JEG93" s="101"/>
      <c r="JEH93" s="101"/>
      <c r="JEI93" s="101"/>
      <c r="JEJ93" s="101"/>
      <c r="JEK93" s="101"/>
      <c r="JEL93" s="101"/>
      <c r="JEM93" s="101"/>
      <c r="JEN93" s="101"/>
      <c r="JEO93" s="101"/>
      <c r="JEP93" s="101"/>
      <c r="JEQ93" s="101"/>
      <c r="JER93" s="101"/>
      <c r="JES93" s="101"/>
      <c r="JET93" s="101"/>
      <c r="JEU93" s="101"/>
      <c r="JEV93" s="101"/>
      <c r="JEW93" s="101"/>
      <c r="JEX93" s="101"/>
      <c r="JEY93" s="101"/>
      <c r="JEZ93" s="101"/>
      <c r="JFA93" s="101"/>
      <c r="JFB93" s="101"/>
      <c r="JFC93" s="101"/>
      <c r="JFD93" s="101"/>
      <c r="JFE93" s="101"/>
      <c r="JFF93" s="101"/>
      <c r="JFG93" s="101"/>
      <c r="JFH93" s="101"/>
      <c r="JFI93" s="101"/>
      <c r="JFJ93" s="101"/>
      <c r="JFK93" s="101"/>
      <c r="JFL93" s="101"/>
      <c r="JFM93" s="101"/>
      <c r="JFN93" s="101"/>
      <c r="JFO93" s="101"/>
      <c r="JFP93" s="101"/>
      <c r="JFQ93" s="101"/>
      <c r="JFR93" s="101"/>
      <c r="JFS93" s="101"/>
      <c r="JFT93" s="101"/>
      <c r="JFU93" s="101"/>
      <c r="JFV93" s="101"/>
      <c r="JFW93" s="101"/>
      <c r="JFX93" s="101"/>
      <c r="JFY93" s="101"/>
      <c r="JFZ93" s="101"/>
      <c r="JGA93" s="101"/>
      <c r="JGB93" s="101"/>
      <c r="JGC93" s="101"/>
      <c r="JGD93" s="101"/>
      <c r="JGE93" s="101"/>
      <c r="JGF93" s="101"/>
      <c r="JGG93" s="101"/>
      <c r="JGH93" s="101"/>
      <c r="JGI93" s="101"/>
      <c r="JGJ93" s="101"/>
      <c r="JGK93" s="101"/>
      <c r="JGL93" s="101"/>
      <c r="JGM93" s="101"/>
      <c r="JGN93" s="101"/>
      <c r="JGO93" s="101"/>
      <c r="JGP93" s="101"/>
      <c r="JGQ93" s="101"/>
      <c r="JGR93" s="101"/>
      <c r="JGS93" s="101"/>
      <c r="JGT93" s="101"/>
      <c r="JGU93" s="101"/>
      <c r="JGV93" s="101"/>
      <c r="JGW93" s="101"/>
      <c r="JGX93" s="101"/>
      <c r="JGY93" s="101"/>
      <c r="JGZ93" s="101"/>
      <c r="JHA93" s="101"/>
      <c r="JHB93" s="101"/>
      <c r="JHC93" s="101"/>
      <c r="JHD93" s="101"/>
      <c r="JHE93" s="101"/>
      <c r="JHF93" s="101"/>
      <c r="JHG93" s="101"/>
      <c r="JHH93" s="101"/>
      <c r="JHI93" s="101"/>
      <c r="JHJ93" s="101"/>
      <c r="JHK93" s="101"/>
      <c r="JHL93" s="101"/>
      <c r="JHM93" s="101"/>
      <c r="JHN93" s="101"/>
      <c r="JHO93" s="101"/>
      <c r="JHP93" s="101"/>
      <c r="JHQ93" s="101"/>
      <c r="JHR93" s="101"/>
      <c r="JHS93" s="101"/>
      <c r="JHT93" s="101"/>
      <c r="JHU93" s="101"/>
      <c r="JHV93" s="101"/>
      <c r="JHW93" s="101"/>
      <c r="JHX93" s="101"/>
      <c r="JHY93" s="101"/>
      <c r="JHZ93" s="101"/>
      <c r="JIA93" s="101"/>
      <c r="JIB93" s="101"/>
      <c r="JIC93" s="101"/>
      <c r="JID93" s="101"/>
      <c r="JIE93" s="101"/>
      <c r="JIF93" s="101"/>
      <c r="JIG93" s="101"/>
      <c r="JIH93" s="101"/>
      <c r="JII93" s="101"/>
      <c r="JIJ93" s="101"/>
      <c r="JIK93" s="101"/>
      <c r="JIL93" s="101"/>
      <c r="JIM93" s="101"/>
      <c r="JIN93" s="101"/>
      <c r="JIO93" s="101"/>
      <c r="JIP93" s="101"/>
      <c r="JIQ93" s="101"/>
      <c r="JIR93" s="101"/>
      <c r="JIS93" s="101"/>
      <c r="JIT93" s="101"/>
      <c r="JIU93" s="101"/>
      <c r="JIV93" s="101"/>
      <c r="JIW93" s="101"/>
      <c r="JIX93" s="101"/>
      <c r="JIY93" s="101"/>
      <c r="JIZ93" s="101"/>
      <c r="JJA93" s="101"/>
      <c r="JJB93" s="101"/>
      <c r="JJC93" s="101"/>
      <c r="JJD93" s="101"/>
      <c r="JJE93" s="101"/>
      <c r="JJF93" s="101"/>
      <c r="JJG93" s="101"/>
      <c r="JJH93" s="101"/>
      <c r="JJI93" s="101"/>
      <c r="JJJ93" s="101"/>
      <c r="JJK93" s="101"/>
      <c r="JJL93" s="101"/>
      <c r="JJM93" s="101"/>
      <c r="JJN93" s="101"/>
      <c r="JJO93" s="101"/>
      <c r="JJP93" s="101"/>
      <c r="JJQ93" s="101"/>
      <c r="JJR93" s="101"/>
      <c r="JJS93" s="101"/>
      <c r="JJT93" s="101"/>
      <c r="JJU93" s="101"/>
      <c r="JJV93" s="101"/>
      <c r="JJW93" s="101"/>
      <c r="JJX93" s="101"/>
      <c r="JJY93" s="101"/>
      <c r="JJZ93" s="101"/>
      <c r="JKA93" s="101"/>
      <c r="JKB93" s="101"/>
      <c r="JKC93" s="101"/>
      <c r="JKD93" s="101"/>
      <c r="JKE93" s="101"/>
      <c r="JKF93" s="101"/>
      <c r="JKG93" s="101"/>
      <c r="JKH93" s="101"/>
      <c r="JKI93" s="101"/>
      <c r="JKJ93" s="101"/>
      <c r="JKK93" s="101"/>
      <c r="JKL93" s="101"/>
      <c r="JKM93" s="101"/>
      <c r="JKN93" s="101"/>
      <c r="JKO93" s="101"/>
      <c r="JKP93" s="101"/>
      <c r="JKQ93" s="101"/>
      <c r="JKR93" s="101"/>
      <c r="JKS93" s="101"/>
      <c r="JKT93" s="101"/>
      <c r="JKU93" s="101"/>
      <c r="JKV93" s="101"/>
      <c r="JKW93" s="101"/>
      <c r="JKX93" s="101"/>
      <c r="JKY93" s="101"/>
      <c r="JKZ93" s="101"/>
      <c r="JLA93" s="101"/>
      <c r="JLB93" s="101"/>
      <c r="JLC93" s="101"/>
      <c r="JLD93" s="101"/>
      <c r="JLE93" s="101"/>
      <c r="JLF93" s="101"/>
      <c r="JLG93" s="101"/>
      <c r="JLH93" s="101"/>
      <c r="JLI93" s="101"/>
      <c r="JLJ93" s="101"/>
      <c r="JLK93" s="101"/>
      <c r="JLL93" s="101"/>
      <c r="JLM93" s="101"/>
      <c r="JLN93" s="101"/>
      <c r="JLO93" s="101"/>
      <c r="JLP93" s="101"/>
      <c r="JLQ93" s="101"/>
      <c r="JLR93" s="101"/>
      <c r="JLS93" s="101"/>
      <c r="JLT93" s="101"/>
      <c r="JLU93" s="101"/>
      <c r="JLV93" s="101"/>
      <c r="JLW93" s="101"/>
      <c r="JLX93" s="101"/>
      <c r="JLY93" s="101"/>
      <c r="JLZ93" s="101"/>
      <c r="JMA93" s="101"/>
      <c r="JMB93" s="101"/>
      <c r="JMC93" s="101"/>
      <c r="JMD93" s="101"/>
      <c r="JME93" s="101"/>
      <c r="JMF93" s="101"/>
      <c r="JMG93" s="101"/>
      <c r="JMH93" s="101"/>
      <c r="JMI93" s="101"/>
      <c r="JMJ93" s="101"/>
      <c r="JMK93" s="101"/>
      <c r="JML93" s="101"/>
      <c r="JMM93" s="101"/>
      <c r="JMN93" s="101"/>
      <c r="JMO93" s="101"/>
      <c r="JMP93" s="101"/>
      <c r="JMQ93" s="101"/>
      <c r="JMR93" s="101"/>
      <c r="JMS93" s="101"/>
      <c r="JMT93" s="101"/>
      <c r="JMU93" s="101"/>
      <c r="JMV93" s="101"/>
      <c r="JMW93" s="101"/>
      <c r="JMX93" s="101"/>
      <c r="JMY93" s="101"/>
      <c r="JMZ93" s="101"/>
      <c r="JNA93" s="101"/>
      <c r="JNB93" s="101"/>
      <c r="JNC93" s="101"/>
      <c r="JND93" s="101"/>
      <c r="JNE93" s="101"/>
      <c r="JNF93" s="101"/>
      <c r="JNG93" s="101"/>
      <c r="JNH93" s="101"/>
      <c r="JNI93" s="101"/>
      <c r="JNJ93" s="101"/>
      <c r="JNK93" s="101"/>
      <c r="JNL93" s="101"/>
      <c r="JNM93" s="101"/>
      <c r="JNN93" s="101"/>
      <c r="JNO93" s="101"/>
      <c r="JNP93" s="101"/>
      <c r="JNQ93" s="101"/>
      <c r="JNR93" s="101"/>
      <c r="JNS93" s="101"/>
      <c r="JNT93" s="101"/>
      <c r="JNU93" s="101"/>
      <c r="JNV93" s="101"/>
      <c r="JNW93" s="101"/>
      <c r="JNX93" s="101"/>
      <c r="JNY93" s="101"/>
      <c r="JNZ93" s="101"/>
      <c r="JOA93" s="101"/>
      <c r="JOB93" s="101"/>
      <c r="JOC93" s="101"/>
      <c r="JOD93" s="101"/>
      <c r="JOE93" s="101"/>
      <c r="JOF93" s="101"/>
      <c r="JOG93" s="101"/>
      <c r="JOH93" s="101"/>
      <c r="JOI93" s="101"/>
      <c r="JOJ93" s="101"/>
      <c r="JOK93" s="101"/>
      <c r="JOL93" s="101"/>
      <c r="JOM93" s="101"/>
      <c r="JON93" s="101"/>
      <c r="JOO93" s="101"/>
      <c r="JOP93" s="101"/>
      <c r="JOQ93" s="101"/>
      <c r="JOR93" s="101"/>
      <c r="JOS93" s="101"/>
      <c r="JOT93" s="101"/>
      <c r="JOU93" s="101"/>
      <c r="JOV93" s="101"/>
      <c r="JOW93" s="101"/>
      <c r="JOX93" s="101"/>
      <c r="JOY93" s="101"/>
      <c r="JOZ93" s="101"/>
      <c r="JPA93" s="101"/>
      <c r="JPB93" s="101"/>
      <c r="JPC93" s="101"/>
      <c r="JPD93" s="101"/>
      <c r="JPE93" s="101"/>
      <c r="JPF93" s="101"/>
      <c r="JPG93" s="101"/>
      <c r="JPH93" s="101"/>
      <c r="JPI93" s="101"/>
      <c r="JPJ93" s="101"/>
      <c r="JPK93" s="101"/>
      <c r="JPL93" s="101"/>
      <c r="JPM93" s="101"/>
      <c r="JPN93" s="101"/>
      <c r="JPO93" s="101"/>
      <c r="JPP93" s="101"/>
      <c r="JPQ93" s="101"/>
      <c r="JPR93" s="101"/>
      <c r="JPS93" s="101"/>
      <c r="JPT93" s="101"/>
      <c r="JPU93" s="101"/>
      <c r="JPV93" s="101"/>
      <c r="JPW93" s="101"/>
      <c r="JPX93" s="101"/>
      <c r="JPY93" s="101"/>
      <c r="JPZ93" s="101"/>
      <c r="JQA93" s="101"/>
      <c r="JQB93" s="101"/>
      <c r="JQC93" s="101"/>
      <c r="JQD93" s="101"/>
      <c r="JQE93" s="101"/>
      <c r="JQF93" s="101"/>
      <c r="JQG93" s="101"/>
      <c r="JQH93" s="101"/>
      <c r="JQI93" s="101"/>
      <c r="JQJ93" s="101"/>
      <c r="JQK93" s="101"/>
      <c r="JQL93" s="101"/>
      <c r="JQM93" s="101"/>
      <c r="JQN93" s="101"/>
      <c r="JQO93" s="101"/>
      <c r="JQP93" s="101"/>
      <c r="JQQ93" s="101"/>
      <c r="JQR93" s="101"/>
      <c r="JQS93" s="101"/>
      <c r="JQT93" s="101"/>
      <c r="JQU93" s="101"/>
      <c r="JQV93" s="101"/>
      <c r="JQW93" s="101"/>
      <c r="JQX93" s="101"/>
      <c r="JQY93" s="101"/>
      <c r="JQZ93" s="101"/>
      <c r="JRA93" s="101"/>
      <c r="JRB93" s="101"/>
      <c r="JRC93" s="101"/>
      <c r="JRD93" s="101"/>
      <c r="JRE93" s="101"/>
      <c r="JRF93" s="101"/>
      <c r="JRG93" s="101"/>
      <c r="JRH93" s="101"/>
      <c r="JRI93" s="101"/>
      <c r="JRJ93" s="101"/>
      <c r="JRK93" s="101"/>
      <c r="JRL93" s="101"/>
      <c r="JRM93" s="101"/>
      <c r="JRN93" s="101"/>
      <c r="JRO93" s="101"/>
      <c r="JRP93" s="101"/>
      <c r="JRQ93" s="101"/>
      <c r="JRR93" s="101"/>
      <c r="JRS93" s="101"/>
      <c r="JRT93" s="101"/>
      <c r="JRU93" s="101"/>
      <c r="JRV93" s="101"/>
      <c r="JRW93" s="101"/>
      <c r="JRX93" s="101"/>
      <c r="JRY93" s="101"/>
      <c r="JRZ93" s="101"/>
      <c r="JSA93" s="101"/>
      <c r="JSB93" s="101"/>
      <c r="JSC93" s="101"/>
      <c r="JSD93" s="101"/>
      <c r="JSE93" s="101"/>
      <c r="JSF93" s="101"/>
      <c r="JSG93" s="101"/>
      <c r="JSH93" s="101"/>
      <c r="JSI93" s="101"/>
      <c r="JSJ93" s="101"/>
      <c r="JSK93" s="101"/>
      <c r="JSL93" s="101"/>
      <c r="JSM93" s="101"/>
      <c r="JSN93" s="101"/>
      <c r="JSO93" s="101"/>
      <c r="JSP93" s="101"/>
      <c r="JSQ93" s="101"/>
      <c r="JSR93" s="101"/>
      <c r="JSS93" s="101"/>
      <c r="JST93" s="101"/>
      <c r="JSU93" s="101"/>
      <c r="JSV93" s="101"/>
      <c r="JSW93" s="101"/>
      <c r="JSX93" s="101"/>
      <c r="JSY93" s="101"/>
      <c r="JSZ93" s="101"/>
      <c r="JTA93" s="101"/>
      <c r="JTB93" s="101"/>
      <c r="JTC93" s="101"/>
      <c r="JTD93" s="101"/>
      <c r="JTE93" s="101"/>
      <c r="JTF93" s="101"/>
      <c r="JTG93" s="101"/>
      <c r="JTH93" s="101"/>
      <c r="JTI93" s="101"/>
      <c r="JTJ93" s="101"/>
      <c r="JTK93" s="101"/>
      <c r="JTL93" s="101"/>
      <c r="JTM93" s="101"/>
      <c r="JTN93" s="101"/>
      <c r="JTO93" s="101"/>
      <c r="JTP93" s="101"/>
      <c r="JTQ93" s="101"/>
      <c r="JTR93" s="101"/>
      <c r="JTS93" s="101"/>
      <c r="JTT93" s="101"/>
      <c r="JTU93" s="101"/>
      <c r="JTV93" s="101"/>
      <c r="JTW93" s="101"/>
      <c r="JTX93" s="101"/>
      <c r="JTY93" s="101"/>
      <c r="JTZ93" s="101"/>
      <c r="JUA93" s="101"/>
      <c r="JUB93" s="101"/>
      <c r="JUC93" s="101"/>
      <c r="JUD93" s="101"/>
      <c r="JUE93" s="101"/>
      <c r="JUF93" s="101"/>
      <c r="JUG93" s="101"/>
      <c r="JUH93" s="101"/>
      <c r="JUI93" s="101"/>
      <c r="JUJ93" s="101"/>
      <c r="JUK93" s="101"/>
      <c r="JUL93" s="101"/>
      <c r="JUM93" s="101"/>
      <c r="JUN93" s="101"/>
      <c r="JUO93" s="101"/>
      <c r="JUP93" s="101"/>
      <c r="JUQ93" s="101"/>
      <c r="JUR93" s="101"/>
      <c r="JUS93" s="101"/>
      <c r="JUT93" s="101"/>
      <c r="JUU93" s="101"/>
      <c r="JUV93" s="101"/>
      <c r="JUW93" s="101"/>
      <c r="JUX93" s="101"/>
      <c r="JUY93" s="101"/>
      <c r="JUZ93" s="101"/>
      <c r="JVA93" s="101"/>
      <c r="JVB93" s="101"/>
      <c r="JVC93" s="101"/>
      <c r="JVD93" s="101"/>
      <c r="JVE93" s="101"/>
      <c r="JVF93" s="101"/>
      <c r="JVG93" s="101"/>
      <c r="JVH93" s="101"/>
      <c r="JVI93" s="101"/>
      <c r="JVJ93" s="101"/>
      <c r="JVK93" s="101"/>
      <c r="JVL93" s="101"/>
      <c r="JVM93" s="101"/>
      <c r="JVN93" s="101"/>
      <c r="JVO93" s="101"/>
      <c r="JVP93" s="101"/>
      <c r="JVQ93" s="101"/>
      <c r="JVR93" s="101"/>
      <c r="JVS93" s="101"/>
      <c r="JVT93" s="101"/>
      <c r="JVU93" s="101"/>
      <c r="JVV93" s="101"/>
      <c r="JVW93" s="101"/>
      <c r="JVX93" s="101"/>
      <c r="JVY93" s="101"/>
      <c r="JVZ93" s="101"/>
      <c r="JWA93" s="101"/>
      <c r="JWB93" s="101"/>
      <c r="JWC93" s="101"/>
      <c r="JWD93" s="101"/>
      <c r="JWE93" s="101"/>
      <c r="JWF93" s="101"/>
      <c r="JWG93" s="101"/>
      <c r="JWH93" s="101"/>
      <c r="JWI93" s="101"/>
      <c r="JWJ93" s="101"/>
      <c r="JWK93" s="101"/>
      <c r="JWL93" s="101"/>
      <c r="JWM93" s="101"/>
      <c r="JWN93" s="101"/>
      <c r="JWO93" s="101"/>
      <c r="JWP93" s="101"/>
      <c r="JWQ93" s="101"/>
      <c r="JWR93" s="101"/>
      <c r="JWS93" s="101"/>
      <c r="JWT93" s="101"/>
      <c r="JWU93" s="101"/>
      <c r="JWV93" s="101"/>
      <c r="JWW93" s="101"/>
      <c r="JWX93" s="101"/>
      <c r="JWY93" s="101"/>
      <c r="JWZ93" s="101"/>
      <c r="JXA93" s="101"/>
      <c r="JXB93" s="101"/>
      <c r="JXC93" s="101"/>
      <c r="JXD93" s="101"/>
      <c r="JXE93" s="101"/>
      <c r="JXF93" s="101"/>
      <c r="JXG93" s="101"/>
      <c r="JXH93" s="101"/>
      <c r="JXI93" s="101"/>
      <c r="JXJ93" s="101"/>
      <c r="JXK93" s="101"/>
      <c r="JXL93" s="101"/>
      <c r="JXM93" s="101"/>
      <c r="JXN93" s="101"/>
      <c r="JXO93" s="101"/>
      <c r="JXP93" s="101"/>
      <c r="JXQ93" s="101"/>
      <c r="JXR93" s="101"/>
      <c r="JXS93" s="101"/>
      <c r="JXT93" s="101"/>
      <c r="JXU93" s="101"/>
      <c r="JXV93" s="101"/>
      <c r="JXW93" s="101"/>
      <c r="JXX93" s="101"/>
      <c r="JXY93" s="101"/>
      <c r="JXZ93" s="101"/>
      <c r="JYA93" s="101"/>
      <c r="JYB93" s="101"/>
      <c r="JYC93" s="101"/>
      <c r="JYD93" s="101"/>
      <c r="JYE93" s="101"/>
      <c r="JYF93" s="101"/>
      <c r="JYG93" s="101"/>
      <c r="JYH93" s="101"/>
      <c r="JYI93" s="101"/>
      <c r="JYJ93" s="101"/>
      <c r="JYK93" s="101"/>
      <c r="JYL93" s="101"/>
      <c r="JYM93" s="101"/>
      <c r="JYN93" s="101"/>
      <c r="JYO93" s="101"/>
      <c r="JYP93" s="101"/>
      <c r="JYQ93" s="101"/>
      <c r="JYR93" s="101"/>
      <c r="JYS93" s="101"/>
      <c r="JYT93" s="101"/>
      <c r="JYU93" s="101"/>
      <c r="JYV93" s="101"/>
      <c r="JYW93" s="101"/>
      <c r="JYX93" s="101"/>
      <c r="JYY93" s="101"/>
      <c r="JYZ93" s="101"/>
      <c r="JZA93" s="101"/>
      <c r="JZB93" s="101"/>
      <c r="JZC93" s="101"/>
      <c r="JZD93" s="101"/>
      <c r="JZE93" s="101"/>
      <c r="JZF93" s="101"/>
      <c r="JZG93" s="101"/>
      <c r="JZH93" s="101"/>
      <c r="JZI93" s="101"/>
      <c r="JZJ93" s="101"/>
      <c r="JZK93" s="101"/>
      <c r="JZL93" s="101"/>
      <c r="JZM93" s="101"/>
      <c r="JZN93" s="101"/>
      <c r="JZO93" s="101"/>
      <c r="JZP93" s="101"/>
      <c r="JZQ93" s="101"/>
      <c r="JZR93" s="101"/>
      <c r="JZS93" s="101"/>
      <c r="JZT93" s="101"/>
      <c r="JZU93" s="101"/>
      <c r="JZV93" s="101"/>
      <c r="JZW93" s="101"/>
      <c r="JZX93" s="101"/>
      <c r="JZY93" s="101"/>
      <c r="JZZ93" s="101"/>
      <c r="KAA93" s="101"/>
      <c r="KAB93" s="101"/>
      <c r="KAC93" s="101"/>
      <c r="KAD93" s="101"/>
      <c r="KAE93" s="101"/>
      <c r="KAF93" s="101"/>
      <c r="KAG93" s="101"/>
      <c r="KAH93" s="101"/>
      <c r="KAI93" s="101"/>
      <c r="KAJ93" s="101"/>
      <c r="KAK93" s="101"/>
      <c r="KAL93" s="101"/>
      <c r="KAM93" s="101"/>
      <c r="KAN93" s="101"/>
      <c r="KAO93" s="101"/>
      <c r="KAP93" s="101"/>
      <c r="KAQ93" s="101"/>
      <c r="KAR93" s="101"/>
      <c r="KAS93" s="101"/>
      <c r="KAT93" s="101"/>
      <c r="KAU93" s="101"/>
      <c r="KAV93" s="101"/>
      <c r="KAW93" s="101"/>
      <c r="KAX93" s="101"/>
      <c r="KAY93" s="101"/>
      <c r="KAZ93" s="101"/>
      <c r="KBA93" s="101"/>
      <c r="KBB93" s="101"/>
      <c r="KBC93" s="101"/>
      <c r="KBD93" s="101"/>
      <c r="KBE93" s="101"/>
      <c r="KBF93" s="101"/>
      <c r="KBG93" s="101"/>
      <c r="KBH93" s="101"/>
      <c r="KBI93" s="101"/>
      <c r="KBJ93" s="101"/>
      <c r="KBK93" s="101"/>
      <c r="KBL93" s="101"/>
      <c r="KBM93" s="101"/>
      <c r="KBN93" s="101"/>
      <c r="KBO93" s="101"/>
      <c r="KBP93" s="101"/>
      <c r="KBQ93" s="101"/>
      <c r="KBR93" s="101"/>
      <c r="KBS93" s="101"/>
      <c r="KBT93" s="101"/>
      <c r="KBU93" s="101"/>
      <c r="KBV93" s="101"/>
      <c r="KBW93" s="101"/>
      <c r="KBX93" s="101"/>
      <c r="KBY93" s="101"/>
      <c r="KBZ93" s="101"/>
      <c r="KCA93" s="101"/>
      <c r="KCB93" s="101"/>
      <c r="KCC93" s="101"/>
      <c r="KCD93" s="101"/>
      <c r="KCE93" s="101"/>
      <c r="KCF93" s="101"/>
      <c r="KCG93" s="101"/>
      <c r="KCH93" s="101"/>
      <c r="KCI93" s="101"/>
      <c r="KCJ93" s="101"/>
      <c r="KCK93" s="101"/>
      <c r="KCL93" s="101"/>
      <c r="KCM93" s="101"/>
      <c r="KCN93" s="101"/>
      <c r="KCO93" s="101"/>
      <c r="KCP93" s="101"/>
      <c r="KCQ93" s="101"/>
      <c r="KCR93" s="101"/>
      <c r="KCS93" s="101"/>
      <c r="KCT93" s="101"/>
      <c r="KCU93" s="101"/>
      <c r="KCV93" s="101"/>
      <c r="KCW93" s="101"/>
      <c r="KCX93" s="101"/>
      <c r="KCY93" s="101"/>
      <c r="KCZ93" s="101"/>
      <c r="KDA93" s="101"/>
      <c r="KDB93" s="101"/>
      <c r="KDC93" s="101"/>
      <c r="KDD93" s="101"/>
      <c r="KDE93" s="101"/>
      <c r="KDF93" s="101"/>
      <c r="KDG93" s="101"/>
      <c r="KDH93" s="101"/>
      <c r="KDI93" s="101"/>
      <c r="KDJ93" s="101"/>
      <c r="KDK93" s="101"/>
      <c r="KDL93" s="101"/>
      <c r="KDM93" s="101"/>
      <c r="KDN93" s="101"/>
      <c r="KDO93" s="101"/>
      <c r="KDP93" s="101"/>
      <c r="KDQ93" s="101"/>
      <c r="KDR93" s="101"/>
      <c r="KDS93" s="101"/>
      <c r="KDT93" s="101"/>
      <c r="KDU93" s="101"/>
      <c r="KDV93" s="101"/>
      <c r="KDW93" s="101"/>
      <c r="KDX93" s="101"/>
      <c r="KDY93" s="101"/>
      <c r="KDZ93" s="101"/>
      <c r="KEA93" s="101"/>
      <c r="KEB93" s="101"/>
      <c r="KEC93" s="101"/>
      <c r="KED93" s="101"/>
      <c r="KEE93" s="101"/>
      <c r="KEF93" s="101"/>
      <c r="KEG93" s="101"/>
      <c r="KEH93" s="101"/>
      <c r="KEI93" s="101"/>
      <c r="KEJ93" s="101"/>
      <c r="KEK93" s="101"/>
      <c r="KEL93" s="101"/>
      <c r="KEM93" s="101"/>
      <c r="KEN93" s="101"/>
      <c r="KEO93" s="101"/>
      <c r="KEP93" s="101"/>
      <c r="KEQ93" s="101"/>
      <c r="KER93" s="101"/>
      <c r="KES93" s="101"/>
      <c r="KET93" s="101"/>
      <c r="KEU93" s="101"/>
      <c r="KEV93" s="101"/>
      <c r="KEW93" s="101"/>
      <c r="KEX93" s="101"/>
      <c r="KEY93" s="101"/>
      <c r="KEZ93" s="101"/>
      <c r="KFA93" s="101"/>
      <c r="KFB93" s="101"/>
      <c r="KFC93" s="101"/>
      <c r="KFD93" s="101"/>
      <c r="KFE93" s="101"/>
      <c r="KFF93" s="101"/>
      <c r="KFG93" s="101"/>
      <c r="KFH93" s="101"/>
      <c r="KFI93" s="101"/>
      <c r="KFJ93" s="101"/>
      <c r="KFK93" s="101"/>
      <c r="KFL93" s="101"/>
      <c r="KFM93" s="101"/>
      <c r="KFN93" s="101"/>
      <c r="KFO93" s="101"/>
      <c r="KFP93" s="101"/>
      <c r="KFQ93" s="101"/>
      <c r="KFR93" s="101"/>
      <c r="KFS93" s="101"/>
      <c r="KFT93" s="101"/>
      <c r="KFU93" s="101"/>
      <c r="KFV93" s="101"/>
      <c r="KFW93" s="101"/>
      <c r="KFX93" s="101"/>
      <c r="KFY93" s="101"/>
      <c r="KFZ93" s="101"/>
      <c r="KGA93" s="101"/>
      <c r="KGB93" s="101"/>
      <c r="KGC93" s="101"/>
      <c r="KGD93" s="101"/>
      <c r="KGE93" s="101"/>
      <c r="KGF93" s="101"/>
      <c r="KGG93" s="101"/>
      <c r="KGH93" s="101"/>
      <c r="KGI93" s="101"/>
      <c r="KGJ93" s="101"/>
      <c r="KGK93" s="101"/>
      <c r="KGL93" s="101"/>
      <c r="KGM93" s="101"/>
      <c r="KGN93" s="101"/>
      <c r="KGO93" s="101"/>
      <c r="KGP93" s="101"/>
      <c r="KGQ93" s="101"/>
      <c r="KGR93" s="101"/>
      <c r="KGS93" s="101"/>
      <c r="KGT93" s="101"/>
      <c r="KGU93" s="101"/>
      <c r="KGV93" s="101"/>
      <c r="KGW93" s="101"/>
      <c r="KGX93" s="101"/>
      <c r="KGY93" s="101"/>
      <c r="KGZ93" s="101"/>
      <c r="KHA93" s="101"/>
      <c r="KHB93" s="101"/>
      <c r="KHC93" s="101"/>
      <c r="KHD93" s="101"/>
      <c r="KHE93" s="101"/>
      <c r="KHF93" s="101"/>
      <c r="KHG93" s="101"/>
      <c r="KHH93" s="101"/>
      <c r="KHI93" s="101"/>
      <c r="KHJ93" s="101"/>
      <c r="KHK93" s="101"/>
      <c r="KHL93" s="101"/>
      <c r="KHM93" s="101"/>
      <c r="KHN93" s="101"/>
      <c r="KHO93" s="101"/>
      <c r="KHP93" s="101"/>
      <c r="KHQ93" s="101"/>
      <c r="KHR93" s="101"/>
      <c r="KHS93" s="101"/>
      <c r="KHT93" s="101"/>
      <c r="KHU93" s="101"/>
      <c r="KHV93" s="101"/>
      <c r="KHW93" s="101"/>
      <c r="KHX93" s="101"/>
      <c r="KHY93" s="101"/>
      <c r="KHZ93" s="101"/>
      <c r="KIA93" s="101"/>
      <c r="KIB93" s="101"/>
      <c r="KIC93" s="101"/>
      <c r="KID93" s="101"/>
      <c r="KIE93" s="101"/>
      <c r="KIF93" s="101"/>
      <c r="KIG93" s="101"/>
      <c r="KIH93" s="101"/>
      <c r="KII93" s="101"/>
      <c r="KIJ93" s="101"/>
      <c r="KIK93" s="101"/>
      <c r="KIL93" s="101"/>
      <c r="KIM93" s="101"/>
      <c r="KIN93" s="101"/>
      <c r="KIO93" s="101"/>
      <c r="KIP93" s="101"/>
      <c r="KIQ93" s="101"/>
      <c r="KIR93" s="101"/>
      <c r="KIS93" s="101"/>
      <c r="KIT93" s="101"/>
      <c r="KIU93" s="101"/>
      <c r="KIV93" s="101"/>
      <c r="KIW93" s="101"/>
      <c r="KIX93" s="101"/>
      <c r="KIY93" s="101"/>
      <c r="KIZ93" s="101"/>
      <c r="KJA93" s="101"/>
      <c r="KJB93" s="101"/>
      <c r="KJC93" s="101"/>
      <c r="KJD93" s="101"/>
      <c r="KJE93" s="101"/>
      <c r="KJF93" s="101"/>
      <c r="KJG93" s="101"/>
      <c r="KJH93" s="101"/>
      <c r="KJI93" s="101"/>
      <c r="KJJ93" s="101"/>
      <c r="KJK93" s="101"/>
      <c r="KJL93" s="101"/>
      <c r="KJM93" s="101"/>
      <c r="KJN93" s="101"/>
      <c r="KJO93" s="101"/>
      <c r="KJP93" s="101"/>
      <c r="KJQ93" s="101"/>
      <c r="KJR93" s="101"/>
      <c r="KJS93" s="101"/>
      <c r="KJT93" s="101"/>
      <c r="KJU93" s="101"/>
      <c r="KJV93" s="101"/>
      <c r="KJW93" s="101"/>
      <c r="KJX93" s="101"/>
      <c r="KJY93" s="101"/>
      <c r="KJZ93" s="101"/>
      <c r="KKA93" s="101"/>
      <c r="KKB93" s="101"/>
      <c r="KKC93" s="101"/>
      <c r="KKD93" s="101"/>
      <c r="KKE93" s="101"/>
      <c r="KKF93" s="101"/>
      <c r="KKG93" s="101"/>
      <c r="KKH93" s="101"/>
      <c r="KKI93" s="101"/>
      <c r="KKJ93" s="101"/>
      <c r="KKK93" s="101"/>
      <c r="KKL93" s="101"/>
      <c r="KKM93" s="101"/>
      <c r="KKN93" s="101"/>
      <c r="KKO93" s="101"/>
      <c r="KKP93" s="101"/>
      <c r="KKQ93" s="101"/>
      <c r="KKR93" s="101"/>
      <c r="KKS93" s="101"/>
      <c r="KKT93" s="101"/>
      <c r="KKU93" s="101"/>
      <c r="KKV93" s="101"/>
      <c r="KKW93" s="101"/>
      <c r="KKX93" s="101"/>
      <c r="KKY93" s="101"/>
      <c r="KKZ93" s="101"/>
      <c r="KLA93" s="101"/>
      <c r="KLB93" s="101"/>
      <c r="KLC93" s="101"/>
      <c r="KLD93" s="101"/>
      <c r="KLE93" s="101"/>
      <c r="KLF93" s="101"/>
      <c r="KLG93" s="101"/>
      <c r="KLH93" s="101"/>
      <c r="KLI93" s="101"/>
      <c r="KLJ93" s="101"/>
      <c r="KLK93" s="101"/>
      <c r="KLL93" s="101"/>
      <c r="KLM93" s="101"/>
      <c r="KLN93" s="101"/>
      <c r="KLO93" s="101"/>
      <c r="KLP93" s="101"/>
      <c r="KLQ93" s="101"/>
      <c r="KLR93" s="101"/>
      <c r="KLS93" s="101"/>
      <c r="KLT93" s="101"/>
      <c r="KLU93" s="101"/>
      <c r="KLV93" s="101"/>
      <c r="KLW93" s="101"/>
      <c r="KLX93" s="101"/>
      <c r="KLY93" s="101"/>
      <c r="KLZ93" s="101"/>
      <c r="KMA93" s="101"/>
      <c r="KMB93" s="101"/>
      <c r="KMC93" s="101"/>
      <c r="KMD93" s="101"/>
      <c r="KME93" s="101"/>
      <c r="KMF93" s="101"/>
      <c r="KMG93" s="101"/>
      <c r="KMH93" s="101"/>
      <c r="KMI93" s="101"/>
      <c r="KMJ93" s="101"/>
      <c r="KMK93" s="101"/>
      <c r="KML93" s="101"/>
      <c r="KMM93" s="101"/>
      <c r="KMN93" s="101"/>
      <c r="KMO93" s="101"/>
      <c r="KMP93" s="101"/>
      <c r="KMQ93" s="101"/>
      <c r="KMR93" s="101"/>
      <c r="KMS93" s="101"/>
      <c r="KMT93" s="101"/>
      <c r="KMU93" s="101"/>
      <c r="KMV93" s="101"/>
      <c r="KMW93" s="101"/>
      <c r="KMX93" s="101"/>
      <c r="KMY93" s="101"/>
      <c r="KMZ93" s="101"/>
      <c r="KNA93" s="101"/>
      <c r="KNB93" s="101"/>
      <c r="KNC93" s="101"/>
      <c r="KND93" s="101"/>
      <c r="KNE93" s="101"/>
      <c r="KNF93" s="101"/>
      <c r="KNG93" s="101"/>
      <c r="KNH93" s="101"/>
      <c r="KNI93" s="101"/>
      <c r="KNJ93" s="101"/>
      <c r="KNK93" s="101"/>
      <c r="KNL93" s="101"/>
      <c r="KNM93" s="101"/>
      <c r="KNN93" s="101"/>
      <c r="KNO93" s="101"/>
      <c r="KNP93" s="101"/>
      <c r="KNQ93" s="101"/>
      <c r="KNR93" s="101"/>
      <c r="KNS93" s="101"/>
      <c r="KNT93" s="101"/>
      <c r="KNU93" s="101"/>
      <c r="KNV93" s="101"/>
      <c r="KNW93" s="101"/>
      <c r="KNX93" s="101"/>
      <c r="KNY93" s="101"/>
      <c r="KNZ93" s="101"/>
      <c r="KOA93" s="101"/>
      <c r="KOB93" s="101"/>
      <c r="KOC93" s="101"/>
      <c r="KOD93" s="101"/>
      <c r="KOE93" s="101"/>
      <c r="KOF93" s="101"/>
      <c r="KOG93" s="101"/>
      <c r="KOH93" s="101"/>
      <c r="KOI93" s="101"/>
      <c r="KOJ93" s="101"/>
      <c r="KOK93" s="101"/>
      <c r="KOL93" s="101"/>
      <c r="KOM93" s="101"/>
      <c r="KON93" s="101"/>
      <c r="KOO93" s="101"/>
      <c r="KOP93" s="101"/>
      <c r="KOQ93" s="101"/>
      <c r="KOR93" s="101"/>
      <c r="KOS93" s="101"/>
      <c r="KOT93" s="101"/>
      <c r="KOU93" s="101"/>
      <c r="KOV93" s="101"/>
      <c r="KOW93" s="101"/>
      <c r="KOX93" s="101"/>
      <c r="KOY93" s="101"/>
      <c r="KOZ93" s="101"/>
      <c r="KPA93" s="101"/>
      <c r="KPB93" s="101"/>
      <c r="KPC93" s="101"/>
      <c r="KPD93" s="101"/>
      <c r="KPE93" s="101"/>
      <c r="KPF93" s="101"/>
      <c r="KPG93" s="101"/>
      <c r="KPH93" s="101"/>
      <c r="KPI93" s="101"/>
      <c r="KPJ93" s="101"/>
      <c r="KPK93" s="101"/>
      <c r="KPL93" s="101"/>
      <c r="KPM93" s="101"/>
      <c r="KPN93" s="101"/>
      <c r="KPO93" s="101"/>
      <c r="KPP93" s="101"/>
      <c r="KPQ93" s="101"/>
      <c r="KPR93" s="101"/>
      <c r="KPS93" s="101"/>
      <c r="KPT93" s="101"/>
      <c r="KPU93" s="101"/>
      <c r="KPV93" s="101"/>
      <c r="KPW93" s="101"/>
      <c r="KPX93" s="101"/>
      <c r="KPY93" s="101"/>
      <c r="KPZ93" s="101"/>
      <c r="KQA93" s="101"/>
      <c r="KQB93" s="101"/>
      <c r="KQC93" s="101"/>
      <c r="KQD93" s="101"/>
      <c r="KQE93" s="101"/>
      <c r="KQF93" s="101"/>
      <c r="KQG93" s="101"/>
      <c r="KQH93" s="101"/>
      <c r="KQI93" s="101"/>
      <c r="KQJ93" s="101"/>
      <c r="KQK93" s="101"/>
      <c r="KQL93" s="101"/>
      <c r="KQM93" s="101"/>
      <c r="KQN93" s="101"/>
      <c r="KQO93" s="101"/>
      <c r="KQP93" s="101"/>
      <c r="KQQ93" s="101"/>
      <c r="KQR93" s="101"/>
      <c r="KQS93" s="101"/>
      <c r="KQT93" s="101"/>
      <c r="KQU93" s="101"/>
      <c r="KQV93" s="101"/>
      <c r="KQW93" s="101"/>
      <c r="KQX93" s="101"/>
      <c r="KQY93" s="101"/>
      <c r="KQZ93" s="101"/>
      <c r="KRA93" s="101"/>
      <c r="KRB93" s="101"/>
      <c r="KRC93" s="101"/>
      <c r="KRD93" s="101"/>
      <c r="KRE93" s="101"/>
      <c r="KRF93" s="101"/>
      <c r="KRG93" s="101"/>
      <c r="KRH93" s="101"/>
      <c r="KRI93" s="101"/>
      <c r="KRJ93" s="101"/>
      <c r="KRK93" s="101"/>
      <c r="KRL93" s="101"/>
      <c r="KRM93" s="101"/>
      <c r="KRN93" s="101"/>
      <c r="KRO93" s="101"/>
      <c r="KRP93" s="101"/>
      <c r="KRQ93" s="101"/>
      <c r="KRR93" s="101"/>
      <c r="KRS93" s="101"/>
      <c r="KRT93" s="101"/>
      <c r="KRU93" s="101"/>
      <c r="KRV93" s="101"/>
      <c r="KRW93" s="101"/>
      <c r="KRX93" s="101"/>
      <c r="KRY93" s="101"/>
      <c r="KRZ93" s="101"/>
      <c r="KSA93" s="101"/>
      <c r="KSB93" s="101"/>
      <c r="KSC93" s="101"/>
      <c r="KSD93" s="101"/>
      <c r="KSE93" s="101"/>
      <c r="KSF93" s="101"/>
      <c r="KSG93" s="101"/>
      <c r="KSH93" s="101"/>
      <c r="KSI93" s="101"/>
      <c r="KSJ93" s="101"/>
      <c r="KSK93" s="101"/>
      <c r="KSL93" s="101"/>
      <c r="KSM93" s="101"/>
      <c r="KSN93" s="101"/>
      <c r="KSO93" s="101"/>
      <c r="KSP93" s="101"/>
      <c r="KSQ93" s="101"/>
      <c r="KSR93" s="101"/>
      <c r="KSS93" s="101"/>
      <c r="KST93" s="101"/>
      <c r="KSU93" s="101"/>
      <c r="KSV93" s="101"/>
      <c r="KSW93" s="101"/>
      <c r="KSX93" s="101"/>
      <c r="KSY93" s="101"/>
      <c r="KSZ93" s="101"/>
      <c r="KTA93" s="101"/>
      <c r="KTB93" s="101"/>
      <c r="KTC93" s="101"/>
      <c r="KTD93" s="101"/>
      <c r="KTE93" s="101"/>
      <c r="KTF93" s="101"/>
      <c r="KTG93" s="101"/>
      <c r="KTH93" s="101"/>
      <c r="KTI93" s="101"/>
      <c r="KTJ93" s="101"/>
      <c r="KTK93" s="101"/>
      <c r="KTL93" s="101"/>
      <c r="KTM93" s="101"/>
      <c r="KTN93" s="101"/>
      <c r="KTO93" s="101"/>
      <c r="KTP93" s="101"/>
      <c r="KTQ93" s="101"/>
      <c r="KTR93" s="101"/>
      <c r="KTS93" s="101"/>
      <c r="KTT93" s="101"/>
      <c r="KTU93" s="101"/>
      <c r="KTV93" s="101"/>
      <c r="KTW93" s="101"/>
      <c r="KTX93" s="101"/>
      <c r="KTY93" s="101"/>
      <c r="KTZ93" s="101"/>
      <c r="KUA93" s="101"/>
      <c r="KUB93" s="101"/>
      <c r="KUC93" s="101"/>
      <c r="KUD93" s="101"/>
      <c r="KUE93" s="101"/>
      <c r="KUF93" s="101"/>
      <c r="KUG93" s="101"/>
      <c r="KUH93" s="101"/>
      <c r="KUI93" s="101"/>
      <c r="KUJ93" s="101"/>
      <c r="KUK93" s="101"/>
      <c r="KUL93" s="101"/>
      <c r="KUM93" s="101"/>
      <c r="KUN93" s="101"/>
      <c r="KUO93" s="101"/>
      <c r="KUP93" s="101"/>
      <c r="KUQ93" s="101"/>
      <c r="KUR93" s="101"/>
      <c r="KUS93" s="101"/>
      <c r="KUT93" s="101"/>
      <c r="KUU93" s="101"/>
      <c r="KUV93" s="101"/>
      <c r="KUW93" s="101"/>
      <c r="KUX93" s="101"/>
      <c r="KUY93" s="101"/>
      <c r="KUZ93" s="101"/>
      <c r="KVA93" s="101"/>
      <c r="KVB93" s="101"/>
      <c r="KVC93" s="101"/>
      <c r="KVD93" s="101"/>
      <c r="KVE93" s="101"/>
      <c r="KVF93" s="101"/>
      <c r="KVG93" s="101"/>
      <c r="KVH93" s="101"/>
      <c r="KVI93" s="101"/>
      <c r="KVJ93" s="101"/>
      <c r="KVK93" s="101"/>
      <c r="KVL93" s="101"/>
      <c r="KVM93" s="101"/>
      <c r="KVN93" s="101"/>
      <c r="KVO93" s="101"/>
      <c r="KVP93" s="101"/>
      <c r="KVQ93" s="101"/>
      <c r="KVR93" s="101"/>
      <c r="KVS93" s="101"/>
      <c r="KVT93" s="101"/>
      <c r="KVU93" s="101"/>
      <c r="KVV93" s="101"/>
      <c r="KVW93" s="101"/>
      <c r="KVX93" s="101"/>
      <c r="KVY93" s="101"/>
      <c r="KVZ93" s="101"/>
      <c r="KWA93" s="101"/>
      <c r="KWB93" s="101"/>
      <c r="KWC93" s="101"/>
      <c r="KWD93" s="101"/>
      <c r="KWE93" s="101"/>
      <c r="KWF93" s="101"/>
      <c r="KWG93" s="101"/>
      <c r="KWH93" s="101"/>
      <c r="KWI93" s="101"/>
      <c r="KWJ93" s="101"/>
      <c r="KWK93" s="101"/>
      <c r="KWL93" s="101"/>
      <c r="KWM93" s="101"/>
      <c r="KWN93" s="101"/>
      <c r="KWO93" s="101"/>
      <c r="KWP93" s="101"/>
      <c r="KWQ93" s="101"/>
      <c r="KWR93" s="101"/>
      <c r="KWS93" s="101"/>
      <c r="KWT93" s="101"/>
      <c r="KWU93" s="101"/>
      <c r="KWV93" s="101"/>
      <c r="KWW93" s="101"/>
      <c r="KWX93" s="101"/>
      <c r="KWY93" s="101"/>
      <c r="KWZ93" s="101"/>
      <c r="KXA93" s="101"/>
      <c r="KXB93" s="101"/>
      <c r="KXC93" s="101"/>
      <c r="KXD93" s="101"/>
      <c r="KXE93" s="101"/>
      <c r="KXF93" s="101"/>
      <c r="KXG93" s="101"/>
      <c r="KXH93" s="101"/>
      <c r="KXI93" s="101"/>
      <c r="KXJ93" s="101"/>
      <c r="KXK93" s="101"/>
      <c r="KXL93" s="101"/>
      <c r="KXM93" s="101"/>
      <c r="KXN93" s="101"/>
      <c r="KXO93" s="101"/>
      <c r="KXP93" s="101"/>
      <c r="KXQ93" s="101"/>
      <c r="KXR93" s="101"/>
      <c r="KXS93" s="101"/>
      <c r="KXT93" s="101"/>
      <c r="KXU93" s="101"/>
      <c r="KXV93" s="101"/>
      <c r="KXW93" s="101"/>
      <c r="KXX93" s="101"/>
      <c r="KXY93" s="101"/>
      <c r="KXZ93" s="101"/>
      <c r="KYA93" s="101"/>
      <c r="KYB93" s="101"/>
      <c r="KYC93" s="101"/>
      <c r="KYD93" s="101"/>
      <c r="KYE93" s="101"/>
      <c r="KYF93" s="101"/>
      <c r="KYG93" s="101"/>
      <c r="KYH93" s="101"/>
      <c r="KYI93" s="101"/>
      <c r="KYJ93" s="101"/>
      <c r="KYK93" s="101"/>
      <c r="KYL93" s="101"/>
      <c r="KYM93" s="101"/>
      <c r="KYN93" s="101"/>
      <c r="KYO93" s="101"/>
      <c r="KYP93" s="101"/>
      <c r="KYQ93" s="101"/>
      <c r="KYR93" s="101"/>
      <c r="KYS93" s="101"/>
      <c r="KYT93" s="101"/>
      <c r="KYU93" s="101"/>
      <c r="KYV93" s="101"/>
      <c r="KYW93" s="101"/>
      <c r="KYX93" s="101"/>
      <c r="KYY93" s="101"/>
      <c r="KYZ93" s="101"/>
      <c r="KZA93" s="101"/>
      <c r="KZB93" s="101"/>
      <c r="KZC93" s="101"/>
      <c r="KZD93" s="101"/>
      <c r="KZE93" s="101"/>
      <c r="KZF93" s="101"/>
      <c r="KZG93" s="101"/>
      <c r="KZH93" s="101"/>
      <c r="KZI93" s="101"/>
      <c r="KZJ93" s="101"/>
      <c r="KZK93" s="101"/>
      <c r="KZL93" s="101"/>
      <c r="KZM93" s="101"/>
      <c r="KZN93" s="101"/>
      <c r="KZO93" s="101"/>
      <c r="KZP93" s="101"/>
      <c r="KZQ93" s="101"/>
      <c r="KZR93" s="101"/>
      <c r="KZS93" s="101"/>
      <c r="KZT93" s="101"/>
      <c r="KZU93" s="101"/>
      <c r="KZV93" s="101"/>
      <c r="KZW93" s="101"/>
      <c r="KZX93" s="101"/>
      <c r="KZY93" s="101"/>
      <c r="KZZ93" s="101"/>
      <c r="LAA93" s="101"/>
      <c r="LAB93" s="101"/>
      <c r="LAC93" s="101"/>
      <c r="LAD93" s="101"/>
      <c r="LAE93" s="101"/>
      <c r="LAF93" s="101"/>
      <c r="LAG93" s="101"/>
      <c r="LAH93" s="101"/>
      <c r="LAI93" s="101"/>
      <c r="LAJ93" s="101"/>
      <c r="LAK93" s="101"/>
      <c r="LAL93" s="101"/>
      <c r="LAM93" s="101"/>
      <c r="LAN93" s="101"/>
      <c r="LAO93" s="101"/>
      <c r="LAP93" s="101"/>
      <c r="LAQ93" s="101"/>
      <c r="LAR93" s="101"/>
      <c r="LAS93" s="101"/>
      <c r="LAT93" s="101"/>
      <c r="LAU93" s="101"/>
      <c r="LAV93" s="101"/>
      <c r="LAW93" s="101"/>
      <c r="LAX93" s="101"/>
      <c r="LAY93" s="101"/>
      <c r="LAZ93" s="101"/>
      <c r="LBA93" s="101"/>
      <c r="LBB93" s="101"/>
      <c r="LBC93" s="101"/>
      <c r="LBD93" s="101"/>
      <c r="LBE93" s="101"/>
      <c r="LBF93" s="101"/>
      <c r="LBG93" s="101"/>
      <c r="LBH93" s="101"/>
      <c r="LBI93" s="101"/>
      <c r="LBJ93" s="101"/>
      <c r="LBK93" s="101"/>
      <c r="LBL93" s="101"/>
      <c r="LBM93" s="101"/>
      <c r="LBN93" s="101"/>
      <c r="LBO93" s="101"/>
      <c r="LBP93" s="101"/>
      <c r="LBQ93" s="101"/>
      <c r="LBR93" s="101"/>
      <c r="LBS93" s="101"/>
      <c r="LBT93" s="101"/>
      <c r="LBU93" s="101"/>
      <c r="LBV93" s="101"/>
      <c r="LBW93" s="101"/>
      <c r="LBX93" s="101"/>
      <c r="LBY93" s="101"/>
      <c r="LBZ93" s="101"/>
      <c r="LCA93" s="101"/>
      <c r="LCB93" s="101"/>
      <c r="LCC93" s="101"/>
      <c r="LCD93" s="101"/>
      <c r="LCE93" s="101"/>
      <c r="LCF93" s="101"/>
      <c r="LCG93" s="101"/>
      <c r="LCH93" s="101"/>
      <c r="LCI93" s="101"/>
      <c r="LCJ93" s="101"/>
      <c r="LCK93" s="101"/>
      <c r="LCL93" s="101"/>
      <c r="LCM93" s="101"/>
      <c r="LCN93" s="101"/>
      <c r="LCO93" s="101"/>
      <c r="LCP93" s="101"/>
      <c r="LCQ93" s="101"/>
      <c r="LCR93" s="101"/>
      <c r="LCS93" s="101"/>
      <c r="LCT93" s="101"/>
      <c r="LCU93" s="101"/>
      <c r="LCV93" s="101"/>
      <c r="LCW93" s="101"/>
      <c r="LCX93" s="101"/>
      <c r="LCY93" s="101"/>
      <c r="LCZ93" s="101"/>
      <c r="LDA93" s="101"/>
      <c r="LDB93" s="101"/>
      <c r="LDC93" s="101"/>
      <c r="LDD93" s="101"/>
      <c r="LDE93" s="101"/>
      <c r="LDF93" s="101"/>
      <c r="LDG93" s="101"/>
      <c r="LDH93" s="101"/>
      <c r="LDI93" s="101"/>
      <c r="LDJ93" s="101"/>
      <c r="LDK93" s="101"/>
      <c r="LDL93" s="101"/>
      <c r="LDM93" s="101"/>
      <c r="LDN93" s="101"/>
      <c r="LDO93" s="101"/>
      <c r="LDP93" s="101"/>
      <c r="LDQ93" s="101"/>
      <c r="LDR93" s="101"/>
      <c r="LDS93" s="101"/>
      <c r="LDT93" s="101"/>
      <c r="LDU93" s="101"/>
      <c r="LDV93" s="101"/>
      <c r="LDW93" s="101"/>
      <c r="LDX93" s="101"/>
      <c r="LDY93" s="101"/>
      <c r="LDZ93" s="101"/>
      <c r="LEA93" s="101"/>
      <c r="LEB93" s="101"/>
      <c r="LEC93" s="101"/>
      <c r="LED93" s="101"/>
      <c r="LEE93" s="101"/>
      <c r="LEF93" s="101"/>
      <c r="LEG93" s="101"/>
      <c r="LEH93" s="101"/>
      <c r="LEI93" s="101"/>
      <c r="LEJ93" s="101"/>
      <c r="LEK93" s="101"/>
      <c r="LEL93" s="101"/>
      <c r="LEM93" s="101"/>
      <c r="LEN93" s="101"/>
      <c r="LEO93" s="101"/>
      <c r="LEP93" s="101"/>
      <c r="LEQ93" s="101"/>
      <c r="LER93" s="101"/>
      <c r="LES93" s="101"/>
      <c r="LET93" s="101"/>
      <c r="LEU93" s="101"/>
      <c r="LEV93" s="101"/>
      <c r="LEW93" s="101"/>
      <c r="LEX93" s="101"/>
      <c r="LEY93" s="101"/>
      <c r="LEZ93" s="101"/>
      <c r="LFA93" s="101"/>
      <c r="LFB93" s="101"/>
      <c r="LFC93" s="101"/>
      <c r="LFD93" s="101"/>
      <c r="LFE93" s="101"/>
      <c r="LFF93" s="101"/>
      <c r="LFG93" s="101"/>
      <c r="LFH93" s="101"/>
      <c r="LFI93" s="101"/>
      <c r="LFJ93" s="101"/>
      <c r="LFK93" s="101"/>
      <c r="LFL93" s="101"/>
      <c r="LFM93" s="101"/>
      <c r="LFN93" s="101"/>
      <c r="LFO93" s="101"/>
      <c r="LFP93" s="101"/>
      <c r="LFQ93" s="101"/>
      <c r="LFR93" s="101"/>
      <c r="LFS93" s="101"/>
      <c r="LFT93" s="101"/>
      <c r="LFU93" s="101"/>
      <c r="LFV93" s="101"/>
      <c r="LFW93" s="101"/>
      <c r="LFX93" s="101"/>
      <c r="LFY93" s="101"/>
      <c r="LFZ93" s="101"/>
      <c r="LGA93" s="101"/>
      <c r="LGB93" s="101"/>
      <c r="LGC93" s="101"/>
      <c r="LGD93" s="101"/>
      <c r="LGE93" s="101"/>
      <c r="LGF93" s="101"/>
      <c r="LGG93" s="101"/>
      <c r="LGH93" s="101"/>
      <c r="LGI93" s="101"/>
      <c r="LGJ93" s="101"/>
      <c r="LGK93" s="101"/>
      <c r="LGL93" s="101"/>
      <c r="LGM93" s="101"/>
      <c r="LGN93" s="101"/>
      <c r="LGO93" s="101"/>
      <c r="LGP93" s="101"/>
      <c r="LGQ93" s="101"/>
      <c r="LGR93" s="101"/>
      <c r="LGS93" s="101"/>
      <c r="LGT93" s="101"/>
      <c r="LGU93" s="101"/>
      <c r="LGV93" s="101"/>
      <c r="LGW93" s="101"/>
      <c r="LGX93" s="101"/>
      <c r="LGY93" s="101"/>
      <c r="LGZ93" s="101"/>
      <c r="LHA93" s="101"/>
      <c r="LHB93" s="101"/>
      <c r="LHC93" s="101"/>
      <c r="LHD93" s="101"/>
      <c r="LHE93" s="101"/>
      <c r="LHF93" s="101"/>
      <c r="LHG93" s="101"/>
      <c r="LHH93" s="101"/>
      <c r="LHI93" s="101"/>
      <c r="LHJ93" s="101"/>
      <c r="LHK93" s="101"/>
      <c r="LHL93" s="101"/>
      <c r="LHM93" s="101"/>
      <c r="LHN93" s="101"/>
      <c r="LHO93" s="101"/>
      <c r="LHP93" s="101"/>
      <c r="LHQ93" s="101"/>
      <c r="LHR93" s="101"/>
      <c r="LHS93" s="101"/>
      <c r="LHT93" s="101"/>
      <c r="LHU93" s="101"/>
      <c r="LHV93" s="101"/>
      <c r="LHW93" s="101"/>
      <c r="LHX93" s="101"/>
      <c r="LHY93" s="101"/>
      <c r="LHZ93" s="101"/>
      <c r="LIA93" s="101"/>
      <c r="LIB93" s="101"/>
      <c r="LIC93" s="101"/>
      <c r="LID93" s="101"/>
      <c r="LIE93" s="101"/>
      <c r="LIF93" s="101"/>
      <c r="LIG93" s="101"/>
      <c r="LIH93" s="101"/>
      <c r="LII93" s="101"/>
      <c r="LIJ93" s="101"/>
      <c r="LIK93" s="101"/>
      <c r="LIL93" s="101"/>
      <c r="LIM93" s="101"/>
      <c r="LIN93" s="101"/>
      <c r="LIO93" s="101"/>
      <c r="LIP93" s="101"/>
      <c r="LIQ93" s="101"/>
      <c r="LIR93" s="101"/>
      <c r="LIS93" s="101"/>
      <c r="LIT93" s="101"/>
      <c r="LIU93" s="101"/>
      <c r="LIV93" s="101"/>
      <c r="LIW93" s="101"/>
      <c r="LIX93" s="101"/>
      <c r="LIY93" s="101"/>
      <c r="LIZ93" s="101"/>
      <c r="LJA93" s="101"/>
      <c r="LJB93" s="101"/>
      <c r="LJC93" s="101"/>
      <c r="LJD93" s="101"/>
      <c r="LJE93" s="101"/>
      <c r="LJF93" s="101"/>
      <c r="LJG93" s="101"/>
      <c r="LJH93" s="101"/>
      <c r="LJI93" s="101"/>
      <c r="LJJ93" s="101"/>
      <c r="LJK93" s="101"/>
      <c r="LJL93" s="101"/>
      <c r="LJM93" s="101"/>
      <c r="LJN93" s="101"/>
      <c r="LJO93" s="101"/>
      <c r="LJP93" s="101"/>
      <c r="LJQ93" s="101"/>
      <c r="LJR93" s="101"/>
      <c r="LJS93" s="101"/>
      <c r="LJT93" s="101"/>
      <c r="LJU93" s="101"/>
      <c r="LJV93" s="101"/>
      <c r="LJW93" s="101"/>
      <c r="LJX93" s="101"/>
      <c r="LJY93" s="101"/>
      <c r="LJZ93" s="101"/>
      <c r="LKA93" s="101"/>
      <c r="LKB93" s="101"/>
      <c r="LKC93" s="101"/>
      <c r="LKD93" s="101"/>
      <c r="LKE93" s="101"/>
      <c r="LKF93" s="101"/>
      <c r="LKG93" s="101"/>
      <c r="LKH93" s="101"/>
      <c r="LKI93" s="101"/>
      <c r="LKJ93" s="101"/>
      <c r="LKK93" s="101"/>
      <c r="LKL93" s="101"/>
      <c r="LKM93" s="101"/>
      <c r="LKN93" s="101"/>
      <c r="LKO93" s="101"/>
      <c r="LKP93" s="101"/>
      <c r="LKQ93" s="101"/>
      <c r="LKR93" s="101"/>
      <c r="LKS93" s="101"/>
      <c r="LKT93" s="101"/>
      <c r="LKU93" s="101"/>
      <c r="LKV93" s="101"/>
      <c r="LKW93" s="101"/>
      <c r="LKX93" s="101"/>
      <c r="LKY93" s="101"/>
      <c r="LKZ93" s="101"/>
      <c r="LLA93" s="101"/>
      <c r="LLB93" s="101"/>
      <c r="LLC93" s="101"/>
      <c r="LLD93" s="101"/>
      <c r="LLE93" s="101"/>
      <c r="LLF93" s="101"/>
      <c r="LLG93" s="101"/>
      <c r="LLH93" s="101"/>
      <c r="LLI93" s="101"/>
      <c r="LLJ93" s="101"/>
      <c r="LLK93" s="101"/>
      <c r="LLL93" s="101"/>
      <c r="LLM93" s="101"/>
      <c r="LLN93" s="101"/>
      <c r="LLO93" s="101"/>
      <c r="LLP93" s="101"/>
      <c r="LLQ93" s="101"/>
      <c r="LLR93" s="101"/>
      <c r="LLS93" s="101"/>
      <c r="LLT93" s="101"/>
      <c r="LLU93" s="101"/>
      <c r="LLV93" s="101"/>
      <c r="LLW93" s="101"/>
      <c r="LLX93" s="101"/>
      <c r="LLY93" s="101"/>
      <c r="LLZ93" s="101"/>
      <c r="LMA93" s="101"/>
      <c r="LMB93" s="101"/>
      <c r="LMC93" s="101"/>
      <c r="LMD93" s="101"/>
      <c r="LME93" s="101"/>
      <c r="LMF93" s="101"/>
      <c r="LMG93" s="101"/>
      <c r="LMH93" s="101"/>
      <c r="LMI93" s="101"/>
      <c r="LMJ93" s="101"/>
      <c r="LMK93" s="101"/>
      <c r="LML93" s="101"/>
      <c r="LMM93" s="101"/>
      <c r="LMN93" s="101"/>
      <c r="LMO93" s="101"/>
      <c r="LMP93" s="101"/>
      <c r="LMQ93" s="101"/>
      <c r="LMR93" s="101"/>
      <c r="LMS93" s="101"/>
      <c r="LMT93" s="101"/>
      <c r="LMU93" s="101"/>
      <c r="LMV93" s="101"/>
      <c r="LMW93" s="101"/>
      <c r="LMX93" s="101"/>
      <c r="LMY93" s="101"/>
      <c r="LMZ93" s="101"/>
      <c r="LNA93" s="101"/>
      <c r="LNB93" s="101"/>
      <c r="LNC93" s="101"/>
      <c r="LND93" s="101"/>
      <c r="LNE93" s="101"/>
      <c r="LNF93" s="101"/>
      <c r="LNG93" s="101"/>
      <c r="LNH93" s="101"/>
      <c r="LNI93" s="101"/>
      <c r="LNJ93" s="101"/>
      <c r="LNK93" s="101"/>
      <c r="LNL93" s="101"/>
      <c r="LNM93" s="101"/>
      <c r="LNN93" s="101"/>
      <c r="LNO93" s="101"/>
      <c r="LNP93" s="101"/>
      <c r="LNQ93" s="101"/>
      <c r="LNR93" s="101"/>
      <c r="LNS93" s="101"/>
      <c r="LNT93" s="101"/>
      <c r="LNU93" s="101"/>
      <c r="LNV93" s="101"/>
      <c r="LNW93" s="101"/>
      <c r="LNX93" s="101"/>
      <c r="LNY93" s="101"/>
      <c r="LNZ93" s="101"/>
      <c r="LOA93" s="101"/>
      <c r="LOB93" s="101"/>
      <c r="LOC93" s="101"/>
      <c r="LOD93" s="101"/>
      <c r="LOE93" s="101"/>
      <c r="LOF93" s="101"/>
      <c r="LOG93" s="101"/>
      <c r="LOH93" s="101"/>
      <c r="LOI93" s="101"/>
      <c r="LOJ93" s="101"/>
      <c r="LOK93" s="101"/>
      <c r="LOL93" s="101"/>
      <c r="LOM93" s="101"/>
      <c r="LON93" s="101"/>
      <c r="LOO93" s="101"/>
      <c r="LOP93" s="101"/>
      <c r="LOQ93" s="101"/>
      <c r="LOR93" s="101"/>
      <c r="LOS93" s="101"/>
      <c r="LOT93" s="101"/>
      <c r="LOU93" s="101"/>
      <c r="LOV93" s="101"/>
      <c r="LOW93" s="101"/>
      <c r="LOX93" s="101"/>
      <c r="LOY93" s="101"/>
      <c r="LOZ93" s="101"/>
      <c r="LPA93" s="101"/>
      <c r="LPB93" s="101"/>
      <c r="LPC93" s="101"/>
      <c r="LPD93" s="101"/>
      <c r="LPE93" s="101"/>
      <c r="LPF93" s="101"/>
      <c r="LPG93" s="101"/>
      <c r="LPH93" s="101"/>
      <c r="LPI93" s="101"/>
      <c r="LPJ93" s="101"/>
      <c r="LPK93" s="101"/>
      <c r="LPL93" s="101"/>
      <c r="LPM93" s="101"/>
      <c r="LPN93" s="101"/>
      <c r="LPO93" s="101"/>
      <c r="LPP93" s="101"/>
      <c r="LPQ93" s="101"/>
      <c r="LPR93" s="101"/>
      <c r="LPS93" s="101"/>
      <c r="LPT93" s="101"/>
      <c r="LPU93" s="101"/>
      <c r="LPV93" s="101"/>
      <c r="LPW93" s="101"/>
      <c r="LPX93" s="101"/>
      <c r="LPY93" s="101"/>
      <c r="LPZ93" s="101"/>
      <c r="LQA93" s="101"/>
      <c r="LQB93" s="101"/>
      <c r="LQC93" s="101"/>
      <c r="LQD93" s="101"/>
      <c r="LQE93" s="101"/>
      <c r="LQF93" s="101"/>
      <c r="LQG93" s="101"/>
      <c r="LQH93" s="101"/>
      <c r="LQI93" s="101"/>
      <c r="LQJ93" s="101"/>
      <c r="LQK93" s="101"/>
      <c r="LQL93" s="101"/>
      <c r="LQM93" s="101"/>
      <c r="LQN93" s="101"/>
      <c r="LQO93" s="101"/>
      <c r="LQP93" s="101"/>
      <c r="LQQ93" s="101"/>
      <c r="LQR93" s="101"/>
      <c r="LQS93" s="101"/>
      <c r="LQT93" s="101"/>
      <c r="LQU93" s="101"/>
      <c r="LQV93" s="101"/>
      <c r="LQW93" s="101"/>
      <c r="LQX93" s="101"/>
      <c r="LQY93" s="101"/>
      <c r="LQZ93" s="101"/>
      <c r="LRA93" s="101"/>
      <c r="LRB93" s="101"/>
      <c r="LRC93" s="101"/>
      <c r="LRD93" s="101"/>
      <c r="LRE93" s="101"/>
      <c r="LRF93" s="101"/>
      <c r="LRG93" s="101"/>
      <c r="LRH93" s="101"/>
      <c r="LRI93" s="101"/>
      <c r="LRJ93" s="101"/>
      <c r="LRK93" s="101"/>
      <c r="LRL93" s="101"/>
      <c r="LRM93" s="101"/>
      <c r="LRN93" s="101"/>
      <c r="LRO93" s="101"/>
      <c r="LRP93" s="101"/>
      <c r="LRQ93" s="101"/>
      <c r="LRR93" s="101"/>
      <c r="LRS93" s="101"/>
      <c r="LRT93" s="101"/>
      <c r="LRU93" s="101"/>
      <c r="LRV93" s="101"/>
      <c r="LRW93" s="101"/>
      <c r="LRX93" s="101"/>
      <c r="LRY93" s="101"/>
      <c r="LRZ93" s="101"/>
      <c r="LSA93" s="101"/>
      <c r="LSB93" s="101"/>
      <c r="LSC93" s="101"/>
      <c r="LSD93" s="101"/>
      <c r="LSE93" s="101"/>
      <c r="LSF93" s="101"/>
      <c r="LSG93" s="101"/>
      <c r="LSH93" s="101"/>
      <c r="LSI93" s="101"/>
      <c r="LSJ93" s="101"/>
      <c r="LSK93" s="101"/>
      <c r="LSL93" s="101"/>
      <c r="LSM93" s="101"/>
      <c r="LSN93" s="101"/>
      <c r="LSO93" s="101"/>
      <c r="LSP93" s="101"/>
      <c r="LSQ93" s="101"/>
      <c r="LSR93" s="101"/>
      <c r="LSS93" s="101"/>
      <c r="LST93" s="101"/>
      <c r="LSU93" s="101"/>
      <c r="LSV93" s="101"/>
      <c r="LSW93" s="101"/>
      <c r="LSX93" s="101"/>
      <c r="LSY93" s="101"/>
      <c r="LSZ93" s="101"/>
      <c r="LTA93" s="101"/>
      <c r="LTB93" s="101"/>
      <c r="LTC93" s="101"/>
      <c r="LTD93" s="101"/>
      <c r="LTE93" s="101"/>
      <c r="LTF93" s="101"/>
      <c r="LTG93" s="101"/>
      <c r="LTH93" s="101"/>
      <c r="LTI93" s="101"/>
      <c r="LTJ93" s="101"/>
      <c r="LTK93" s="101"/>
      <c r="LTL93" s="101"/>
      <c r="LTM93" s="101"/>
      <c r="LTN93" s="101"/>
      <c r="LTO93" s="101"/>
      <c r="LTP93" s="101"/>
      <c r="LTQ93" s="101"/>
      <c r="LTR93" s="101"/>
      <c r="LTS93" s="101"/>
      <c r="LTT93" s="101"/>
      <c r="LTU93" s="101"/>
      <c r="LTV93" s="101"/>
      <c r="LTW93" s="101"/>
      <c r="LTX93" s="101"/>
      <c r="LTY93" s="101"/>
      <c r="LTZ93" s="101"/>
      <c r="LUA93" s="101"/>
      <c r="LUB93" s="101"/>
      <c r="LUC93" s="101"/>
      <c r="LUD93" s="101"/>
      <c r="LUE93" s="101"/>
      <c r="LUF93" s="101"/>
      <c r="LUG93" s="101"/>
      <c r="LUH93" s="101"/>
      <c r="LUI93" s="101"/>
      <c r="LUJ93" s="101"/>
      <c r="LUK93" s="101"/>
      <c r="LUL93" s="101"/>
      <c r="LUM93" s="101"/>
      <c r="LUN93" s="101"/>
      <c r="LUO93" s="101"/>
      <c r="LUP93" s="101"/>
      <c r="LUQ93" s="101"/>
      <c r="LUR93" s="101"/>
      <c r="LUS93" s="101"/>
      <c r="LUT93" s="101"/>
      <c r="LUU93" s="101"/>
      <c r="LUV93" s="101"/>
      <c r="LUW93" s="101"/>
      <c r="LUX93" s="101"/>
      <c r="LUY93" s="101"/>
      <c r="LUZ93" s="101"/>
      <c r="LVA93" s="101"/>
      <c r="LVB93" s="101"/>
      <c r="LVC93" s="101"/>
      <c r="LVD93" s="101"/>
      <c r="LVE93" s="101"/>
      <c r="LVF93" s="101"/>
      <c r="LVG93" s="101"/>
      <c r="LVH93" s="101"/>
      <c r="LVI93" s="101"/>
      <c r="LVJ93" s="101"/>
      <c r="LVK93" s="101"/>
      <c r="LVL93" s="101"/>
      <c r="LVM93" s="101"/>
      <c r="LVN93" s="101"/>
      <c r="LVO93" s="101"/>
      <c r="LVP93" s="101"/>
      <c r="LVQ93" s="101"/>
      <c r="LVR93" s="101"/>
      <c r="LVS93" s="101"/>
      <c r="LVT93" s="101"/>
      <c r="LVU93" s="101"/>
      <c r="LVV93" s="101"/>
      <c r="LVW93" s="101"/>
      <c r="LVX93" s="101"/>
      <c r="LVY93" s="101"/>
      <c r="LVZ93" s="101"/>
      <c r="LWA93" s="101"/>
      <c r="LWB93" s="101"/>
      <c r="LWC93" s="101"/>
      <c r="LWD93" s="101"/>
      <c r="LWE93" s="101"/>
      <c r="LWF93" s="101"/>
      <c r="LWG93" s="101"/>
      <c r="LWH93" s="101"/>
      <c r="LWI93" s="101"/>
      <c r="LWJ93" s="101"/>
      <c r="LWK93" s="101"/>
      <c r="LWL93" s="101"/>
      <c r="LWM93" s="101"/>
      <c r="LWN93" s="101"/>
      <c r="LWO93" s="101"/>
      <c r="LWP93" s="101"/>
      <c r="LWQ93" s="101"/>
      <c r="LWR93" s="101"/>
      <c r="LWS93" s="101"/>
      <c r="LWT93" s="101"/>
      <c r="LWU93" s="101"/>
      <c r="LWV93" s="101"/>
      <c r="LWW93" s="101"/>
      <c r="LWX93" s="101"/>
      <c r="LWY93" s="101"/>
      <c r="LWZ93" s="101"/>
      <c r="LXA93" s="101"/>
      <c r="LXB93" s="101"/>
      <c r="LXC93" s="101"/>
      <c r="LXD93" s="101"/>
      <c r="LXE93" s="101"/>
      <c r="LXF93" s="101"/>
      <c r="LXG93" s="101"/>
      <c r="LXH93" s="101"/>
      <c r="LXI93" s="101"/>
      <c r="LXJ93" s="101"/>
      <c r="LXK93" s="101"/>
      <c r="LXL93" s="101"/>
      <c r="LXM93" s="101"/>
      <c r="LXN93" s="101"/>
      <c r="LXO93" s="101"/>
      <c r="LXP93" s="101"/>
      <c r="LXQ93" s="101"/>
      <c r="LXR93" s="101"/>
      <c r="LXS93" s="101"/>
      <c r="LXT93" s="101"/>
      <c r="LXU93" s="101"/>
      <c r="LXV93" s="101"/>
      <c r="LXW93" s="101"/>
      <c r="LXX93" s="101"/>
      <c r="LXY93" s="101"/>
      <c r="LXZ93" s="101"/>
      <c r="LYA93" s="101"/>
      <c r="LYB93" s="101"/>
      <c r="LYC93" s="101"/>
      <c r="LYD93" s="101"/>
      <c r="LYE93" s="101"/>
      <c r="LYF93" s="101"/>
      <c r="LYG93" s="101"/>
      <c r="LYH93" s="101"/>
      <c r="LYI93" s="101"/>
      <c r="LYJ93" s="101"/>
      <c r="LYK93" s="101"/>
      <c r="LYL93" s="101"/>
      <c r="LYM93" s="101"/>
      <c r="LYN93" s="101"/>
      <c r="LYO93" s="101"/>
      <c r="LYP93" s="101"/>
      <c r="LYQ93" s="101"/>
      <c r="LYR93" s="101"/>
      <c r="LYS93" s="101"/>
      <c r="LYT93" s="101"/>
      <c r="LYU93" s="101"/>
      <c r="LYV93" s="101"/>
      <c r="LYW93" s="101"/>
      <c r="LYX93" s="101"/>
      <c r="LYY93" s="101"/>
      <c r="LYZ93" s="101"/>
      <c r="LZA93" s="101"/>
      <c r="LZB93" s="101"/>
      <c r="LZC93" s="101"/>
      <c r="LZD93" s="101"/>
      <c r="LZE93" s="101"/>
      <c r="LZF93" s="101"/>
      <c r="LZG93" s="101"/>
      <c r="LZH93" s="101"/>
      <c r="LZI93" s="101"/>
      <c r="LZJ93" s="101"/>
      <c r="LZK93" s="101"/>
      <c r="LZL93" s="101"/>
      <c r="LZM93" s="101"/>
      <c r="LZN93" s="101"/>
      <c r="LZO93" s="101"/>
      <c r="LZP93" s="101"/>
      <c r="LZQ93" s="101"/>
      <c r="LZR93" s="101"/>
      <c r="LZS93" s="101"/>
      <c r="LZT93" s="101"/>
      <c r="LZU93" s="101"/>
      <c r="LZV93" s="101"/>
      <c r="LZW93" s="101"/>
      <c r="LZX93" s="101"/>
      <c r="LZY93" s="101"/>
      <c r="LZZ93" s="101"/>
      <c r="MAA93" s="101"/>
      <c r="MAB93" s="101"/>
      <c r="MAC93" s="101"/>
      <c r="MAD93" s="101"/>
      <c r="MAE93" s="101"/>
      <c r="MAF93" s="101"/>
      <c r="MAG93" s="101"/>
      <c r="MAH93" s="101"/>
      <c r="MAI93" s="101"/>
      <c r="MAJ93" s="101"/>
      <c r="MAK93" s="101"/>
      <c r="MAL93" s="101"/>
      <c r="MAM93" s="101"/>
      <c r="MAN93" s="101"/>
      <c r="MAO93" s="101"/>
      <c r="MAP93" s="101"/>
      <c r="MAQ93" s="101"/>
      <c r="MAR93" s="101"/>
      <c r="MAS93" s="101"/>
      <c r="MAT93" s="101"/>
      <c r="MAU93" s="101"/>
      <c r="MAV93" s="101"/>
      <c r="MAW93" s="101"/>
      <c r="MAX93" s="101"/>
      <c r="MAY93" s="101"/>
      <c r="MAZ93" s="101"/>
      <c r="MBA93" s="101"/>
      <c r="MBB93" s="101"/>
      <c r="MBC93" s="101"/>
      <c r="MBD93" s="101"/>
      <c r="MBE93" s="101"/>
      <c r="MBF93" s="101"/>
      <c r="MBG93" s="101"/>
      <c r="MBH93" s="101"/>
      <c r="MBI93" s="101"/>
      <c r="MBJ93" s="101"/>
      <c r="MBK93" s="101"/>
      <c r="MBL93" s="101"/>
      <c r="MBM93" s="101"/>
      <c r="MBN93" s="101"/>
      <c r="MBO93" s="101"/>
      <c r="MBP93" s="101"/>
      <c r="MBQ93" s="101"/>
      <c r="MBR93" s="101"/>
      <c r="MBS93" s="101"/>
      <c r="MBT93" s="101"/>
      <c r="MBU93" s="101"/>
      <c r="MBV93" s="101"/>
      <c r="MBW93" s="101"/>
      <c r="MBX93" s="101"/>
      <c r="MBY93" s="101"/>
      <c r="MBZ93" s="101"/>
      <c r="MCA93" s="101"/>
      <c r="MCB93" s="101"/>
      <c r="MCC93" s="101"/>
      <c r="MCD93" s="101"/>
      <c r="MCE93" s="101"/>
      <c r="MCF93" s="101"/>
      <c r="MCG93" s="101"/>
      <c r="MCH93" s="101"/>
      <c r="MCI93" s="101"/>
      <c r="MCJ93" s="101"/>
      <c r="MCK93" s="101"/>
      <c r="MCL93" s="101"/>
      <c r="MCM93" s="101"/>
      <c r="MCN93" s="101"/>
      <c r="MCO93" s="101"/>
      <c r="MCP93" s="101"/>
      <c r="MCQ93" s="101"/>
      <c r="MCR93" s="101"/>
      <c r="MCS93" s="101"/>
      <c r="MCT93" s="101"/>
      <c r="MCU93" s="101"/>
      <c r="MCV93" s="101"/>
      <c r="MCW93" s="101"/>
      <c r="MCX93" s="101"/>
      <c r="MCY93" s="101"/>
      <c r="MCZ93" s="101"/>
      <c r="MDA93" s="101"/>
      <c r="MDB93" s="101"/>
      <c r="MDC93" s="101"/>
      <c r="MDD93" s="101"/>
      <c r="MDE93" s="101"/>
      <c r="MDF93" s="101"/>
      <c r="MDG93" s="101"/>
      <c r="MDH93" s="101"/>
      <c r="MDI93" s="101"/>
      <c r="MDJ93" s="101"/>
      <c r="MDK93" s="101"/>
      <c r="MDL93" s="101"/>
      <c r="MDM93" s="101"/>
      <c r="MDN93" s="101"/>
      <c r="MDO93" s="101"/>
      <c r="MDP93" s="101"/>
      <c r="MDQ93" s="101"/>
      <c r="MDR93" s="101"/>
      <c r="MDS93" s="101"/>
      <c r="MDT93" s="101"/>
      <c r="MDU93" s="101"/>
      <c r="MDV93" s="101"/>
      <c r="MDW93" s="101"/>
      <c r="MDX93" s="101"/>
      <c r="MDY93" s="101"/>
      <c r="MDZ93" s="101"/>
      <c r="MEA93" s="101"/>
      <c r="MEB93" s="101"/>
      <c r="MEC93" s="101"/>
      <c r="MED93" s="101"/>
      <c r="MEE93" s="101"/>
      <c r="MEF93" s="101"/>
      <c r="MEG93" s="101"/>
      <c r="MEH93" s="101"/>
      <c r="MEI93" s="101"/>
      <c r="MEJ93" s="101"/>
      <c r="MEK93" s="101"/>
      <c r="MEL93" s="101"/>
      <c r="MEM93" s="101"/>
      <c r="MEN93" s="101"/>
      <c r="MEO93" s="101"/>
      <c r="MEP93" s="101"/>
      <c r="MEQ93" s="101"/>
      <c r="MER93" s="101"/>
      <c r="MES93" s="101"/>
      <c r="MET93" s="101"/>
      <c r="MEU93" s="101"/>
      <c r="MEV93" s="101"/>
      <c r="MEW93" s="101"/>
      <c r="MEX93" s="101"/>
      <c r="MEY93" s="101"/>
      <c r="MEZ93" s="101"/>
      <c r="MFA93" s="101"/>
      <c r="MFB93" s="101"/>
      <c r="MFC93" s="101"/>
      <c r="MFD93" s="101"/>
      <c r="MFE93" s="101"/>
      <c r="MFF93" s="101"/>
      <c r="MFG93" s="101"/>
      <c r="MFH93" s="101"/>
      <c r="MFI93" s="101"/>
      <c r="MFJ93" s="101"/>
      <c r="MFK93" s="101"/>
      <c r="MFL93" s="101"/>
      <c r="MFM93" s="101"/>
      <c r="MFN93" s="101"/>
      <c r="MFO93" s="101"/>
      <c r="MFP93" s="101"/>
      <c r="MFQ93" s="101"/>
      <c r="MFR93" s="101"/>
      <c r="MFS93" s="101"/>
      <c r="MFT93" s="101"/>
      <c r="MFU93" s="101"/>
      <c r="MFV93" s="101"/>
      <c r="MFW93" s="101"/>
      <c r="MFX93" s="101"/>
      <c r="MFY93" s="101"/>
      <c r="MFZ93" s="101"/>
      <c r="MGA93" s="101"/>
      <c r="MGB93" s="101"/>
      <c r="MGC93" s="101"/>
      <c r="MGD93" s="101"/>
      <c r="MGE93" s="101"/>
      <c r="MGF93" s="101"/>
      <c r="MGG93" s="101"/>
      <c r="MGH93" s="101"/>
      <c r="MGI93" s="101"/>
      <c r="MGJ93" s="101"/>
      <c r="MGK93" s="101"/>
      <c r="MGL93" s="101"/>
      <c r="MGM93" s="101"/>
      <c r="MGN93" s="101"/>
      <c r="MGO93" s="101"/>
      <c r="MGP93" s="101"/>
      <c r="MGQ93" s="101"/>
      <c r="MGR93" s="101"/>
      <c r="MGS93" s="101"/>
      <c r="MGT93" s="101"/>
      <c r="MGU93" s="101"/>
      <c r="MGV93" s="101"/>
      <c r="MGW93" s="101"/>
      <c r="MGX93" s="101"/>
      <c r="MGY93" s="101"/>
      <c r="MGZ93" s="101"/>
      <c r="MHA93" s="101"/>
      <c r="MHB93" s="101"/>
      <c r="MHC93" s="101"/>
      <c r="MHD93" s="101"/>
      <c r="MHE93" s="101"/>
      <c r="MHF93" s="101"/>
      <c r="MHG93" s="101"/>
      <c r="MHH93" s="101"/>
      <c r="MHI93" s="101"/>
      <c r="MHJ93" s="101"/>
      <c r="MHK93" s="101"/>
      <c r="MHL93" s="101"/>
      <c r="MHM93" s="101"/>
      <c r="MHN93" s="101"/>
      <c r="MHO93" s="101"/>
      <c r="MHP93" s="101"/>
      <c r="MHQ93" s="101"/>
      <c r="MHR93" s="101"/>
      <c r="MHS93" s="101"/>
      <c r="MHT93" s="101"/>
      <c r="MHU93" s="101"/>
      <c r="MHV93" s="101"/>
      <c r="MHW93" s="101"/>
      <c r="MHX93" s="101"/>
      <c r="MHY93" s="101"/>
      <c r="MHZ93" s="101"/>
      <c r="MIA93" s="101"/>
      <c r="MIB93" s="101"/>
      <c r="MIC93" s="101"/>
      <c r="MID93" s="101"/>
      <c r="MIE93" s="101"/>
      <c r="MIF93" s="101"/>
      <c r="MIG93" s="101"/>
      <c r="MIH93" s="101"/>
      <c r="MII93" s="101"/>
      <c r="MIJ93" s="101"/>
      <c r="MIK93" s="101"/>
      <c r="MIL93" s="101"/>
      <c r="MIM93" s="101"/>
      <c r="MIN93" s="101"/>
      <c r="MIO93" s="101"/>
      <c r="MIP93" s="101"/>
      <c r="MIQ93" s="101"/>
      <c r="MIR93" s="101"/>
      <c r="MIS93" s="101"/>
      <c r="MIT93" s="101"/>
      <c r="MIU93" s="101"/>
      <c r="MIV93" s="101"/>
      <c r="MIW93" s="101"/>
      <c r="MIX93" s="101"/>
      <c r="MIY93" s="101"/>
      <c r="MIZ93" s="101"/>
      <c r="MJA93" s="101"/>
      <c r="MJB93" s="101"/>
      <c r="MJC93" s="101"/>
      <c r="MJD93" s="101"/>
      <c r="MJE93" s="101"/>
      <c r="MJF93" s="101"/>
      <c r="MJG93" s="101"/>
      <c r="MJH93" s="101"/>
      <c r="MJI93" s="101"/>
      <c r="MJJ93" s="101"/>
      <c r="MJK93" s="101"/>
      <c r="MJL93" s="101"/>
      <c r="MJM93" s="101"/>
      <c r="MJN93" s="101"/>
      <c r="MJO93" s="101"/>
      <c r="MJP93" s="101"/>
      <c r="MJQ93" s="101"/>
      <c r="MJR93" s="101"/>
      <c r="MJS93" s="101"/>
      <c r="MJT93" s="101"/>
      <c r="MJU93" s="101"/>
      <c r="MJV93" s="101"/>
      <c r="MJW93" s="101"/>
      <c r="MJX93" s="101"/>
      <c r="MJY93" s="101"/>
      <c r="MJZ93" s="101"/>
      <c r="MKA93" s="101"/>
      <c r="MKB93" s="101"/>
      <c r="MKC93" s="101"/>
      <c r="MKD93" s="101"/>
      <c r="MKE93" s="101"/>
      <c r="MKF93" s="101"/>
      <c r="MKG93" s="101"/>
      <c r="MKH93" s="101"/>
      <c r="MKI93" s="101"/>
      <c r="MKJ93" s="101"/>
      <c r="MKK93" s="101"/>
      <c r="MKL93" s="101"/>
      <c r="MKM93" s="101"/>
      <c r="MKN93" s="101"/>
      <c r="MKO93" s="101"/>
      <c r="MKP93" s="101"/>
      <c r="MKQ93" s="101"/>
      <c r="MKR93" s="101"/>
      <c r="MKS93" s="101"/>
      <c r="MKT93" s="101"/>
      <c r="MKU93" s="101"/>
      <c r="MKV93" s="101"/>
      <c r="MKW93" s="101"/>
      <c r="MKX93" s="101"/>
      <c r="MKY93" s="101"/>
      <c r="MKZ93" s="101"/>
      <c r="MLA93" s="101"/>
      <c r="MLB93" s="101"/>
      <c r="MLC93" s="101"/>
      <c r="MLD93" s="101"/>
      <c r="MLE93" s="101"/>
      <c r="MLF93" s="101"/>
      <c r="MLG93" s="101"/>
      <c r="MLH93" s="101"/>
      <c r="MLI93" s="101"/>
      <c r="MLJ93" s="101"/>
      <c r="MLK93" s="101"/>
      <c r="MLL93" s="101"/>
      <c r="MLM93" s="101"/>
      <c r="MLN93" s="101"/>
      <c r="MLO93" s="101"/>
      <c r="MLP93" s="101"/>
      <c r="MLQ93" s="101"/>
      <c r="MLR93" s="101"/>
      <c r="MLS93" s="101"/>
      <c r="MLT93" s="101"/>
      <c r="MLU93" s="101"/>
      <c r="MLV93" s="101"/>
      <c r="MLW93" s="101"/>
      <c r="MLX93" s="101"/>
      <c r="MLY93" s="101"/>
      <c r="MLZ93" s="101"/>
      <c r="MMA93" s="101"/>
      <c r="MMB93" s="101"/>
      <c r="MMC93" s="101"/>
      <c r="MMD93" s="101"/>
      <c r="MME93" s="101"/>
      <c r="MMF93" s="101"/>
      <c r="MMG93" s="101"/>
      <c r="MMH93" s="101"/>
      <c r="MMI93" s="101"/>
      <c r="MMJ93" s="101"/>
      <c r="MMK93" s="101"/>
      <c r="MML93" s="101"/>
      <c r="MMM93" s="101"/>
      <c r="MMN93" s="101"/>
      <c r="MMO93" s="101"/>
      <c r="MMP93" s="101"/>
      <c r="MMQ93" s="101"/>
      <c r="MMR93" s="101"/>
      <c r="MMS93" s="101"/>
      <c r="MMT93" s="101"/>
      <c r="MMU93" s="101"/>
      <c r="MMV93" s="101"/>
      <c r="MMW93" s="101"/>
      <c r="MMX93" s="101"/>
      <c r="MMY93" s="101"/>
      <c r="MMZ93" s="101"/>
      <c r="MNA93" s="101"/>
      <c r="MNB93" s="101"/>
      <c r="MNC93" s="101"/>
      <c r="MND93" s="101"/>
      <c r="MNE93" s="101"/>
      <c r="MNF93" s="101"/>
      <c r="MNG93" s="101"/>
      <c r="MNH93" s="101"/>
      <c r="MNI93" s="101"/>
      <c r="MNJ93" s="101"/>
      <c r="MNK93" s="101"/>
      <c r="MNL93" s="101"/>
      <c r="MNM93" s="101"/>
      <c r="MNN93" s="101"/>
      <c r="MNO93" s="101"/>
      <c r="MNP93" s="101"/>
      <c r="MNQ93" s="101"/>
      <c r="MNR93" s="101"/>
      <c r="MNS93" s="101"/>
      <c r="MNT93" s="101"/>
      <c r="MNU93" s="101"/>
      <c r="MNV93" s="101"/>
      <c r="MNW93" s="101"/>
      <c r="MNX93" s="101"/>
      <c r="MNY93" s="101"/>
      <c r="MNZ93" s="101"/>
      <c r="MOA93" s="101"/>
      <c r="MOB93" s="101"/>
      <c r="MOC93" s="101"/>
      <c r="MOD93" s="101"/>
      <c r="MOE93" s="101"/>
      <c r="MOF93" s="101"/>
      <c r="MOG93" s="101"/>
      <c r="MOH93" s="101"/>
      <c r="MOI93" s="101"/>
      <c r="MOJ93" s="101"/>
      <c r="MOK93" s="101"/>
      <c r="MOL93" s="101"/>
      <c r="MOM93" s="101"/>
      <c r="MON93" s="101"/>
      <c r="MOO93" s="101"/>
      <c r="MOP93" s="101"/>
      <c r="MOQ93" s="101"/>
      <c r="MOR93" s="101"/>
      <c r="MOS93" s="101"/>
      <c r="MOT93" s="101"/>
      <c r="MOU93" s="101"/>
      <c r="MOV93" s="101"/>
      <c r="MOW93" s="101"/>
      <c r="MOX93" s="101"/>
      <c r="MOY93" s="101"/>
      <c r="MOZ93" s="101"/>
      <c r="MPA93" s="101"/>
      <c r="MPB93" s="101"/>
      <c r="MPC93" s="101"/>
      <c r="MPD93" s="101"/>
      <c r="MPE93" s="101"/>
      <c r="MPF93" s="101"/>
      <c r="MPG93" s="101"/>
      <c r="MPH93" s="101"/>
      <c r="MPI93" s="101"/>
      <c r="MPJ93" s="101"/>
      <c r="MPK93" s="101"/>
      <c r="MPL93" s="101"/>
      <c r="MPM93" s="101"/>
      <c r="MPN93" s="101"/>
      <c r="MPO93" s="101"/>
      <c r="MPP93" s="101"/>
      <c r="MPQ93" s="101"/>
      <c r="MPR93" s="101"/>
      <c r="MPS93" s="101"/>
      <c r="MPT93" s="101"/>
      <c r="MPU93" s="101"/>
      <c r="MPV93" s="101"/>
      <c r="MPW93" s="101"/>
      <c r="MPX93" s="101"/>
      <c r="MPY93" s="101"/>
      <c r="MPZ93" s="101"/>
      <c r="MQA93" s="101"/>
      <c r="MQB93" s="101"/>
      <c r="MQC93" s="101"/>
      <c r="MQD93" s="101"/>
      <c r="MQE93" s="101"/>
      <c r="MQF93" s="101"/>
      <c r="MQG93" s="101"/>
      <c r="MQH93" s="101"/>
      <c r="MQI93" s="101"/>
      <c r="MQJ93" s="101"/>
      <c r="MQK93" s="101"/>
      <c r="MQL93" s="101"/>
      <c r="MQM93" s="101"/>
      <c r="MQN93" s="101"/>
      <c r="MQO93" s="101"/>
      <c r="MQP93" s="101"/>
      <c r="MQQ93" s="101"/>
      <c r="MQR93" s="101"/>
      <c r="MQS93" s="101"/>
      <c r="MQT93" s="101"/>
      <c r="MQU93" s="101"/>
      <c r="MQV93" s="101"/>
      <c r="MQW93" s="101"/>
      <c r="MQX93" s="101"/>
      <c r="MQY93" s="101"/>
      <c r="MQZ93" s="101"/>
      <c r="MRA93" s="101"/>
      <c r="MRB93" s="101"/>
      <c r="MRC93" s="101"/>
      <c r="MRD93" s="101"/>
      <c r="MRE93" s="101"/>
      <c r="MRF93" s="101"/>
      <c r="MRG93" s="101"/>
      <c r="MRH93" s="101"/>
      <c r="MRI93" s="101"/>
      <c r="MRJ93" s="101"/>
      <c r="MRK93" s="101"/>
      <c r="MRL93" s="101"/>
      <c r="MRM93" s="101"/>
      <c r="MRN93" s="101"/>
      <c r="MRO93" s="101"/>
      <c r="MRP93" s="101"/>
      <c r="MRQ93" s="101"/>
      <c r="MRR93" s="101"/>
      <c r="MRS93" s="101"/>
      <c r="MRT93" s="101"/>
      <c r="MRU93" s="101"/>
      <c r="MRV93" s="101"/>
      <c r="MRW93" s="101"/>
      <c r="MRX93" s="101"/>
      <c r="MRY93" s="101"/>
      <c r="MRZ93" s="101"/>
      <c r="MSA93" s="101"/>
      <c r="MSB93" s="101"/>
      <c r="MSC93" s="101"/>
      <c r="MSD93" s="101"/>
      <c r="MSE93" s="101"/>
      <c r="MSF93" s="101"/>
      <c r="MSG93" s="101"/>
      <c r="MSH93" s="101"/>
      <c r="MSI93" s="101"/>
      <c r="MSJ93" s="101"/>
      <c r="MSK93" s="101"/>
      <c r="MSL93" s="101"/>
      <c r="MSM93" s="101"/>
      <c r="MSN93" s="101"/>
      <c r="MSO93" s="101"/>
      <c r="MSP93" s="101"/>
      <c r="MSQ93" s="101"/>
      <c r="MSR93" s="101"/>
      <c r="MSS93" s="101"/>
      <c r="MST93" s="101"/>
      <c r="MSU93" s="101"/>
      <c r="MSV93" s="101"/>
      <c r="MSW93" s="101"/>
      <c r="MSX93" s="101"/>
      <c r="MSY93" s="101"/>
      <c r="MSZ93" s="101"/>
      <c r="MTA93" s="101"/>
      <c r="MTB93" s="101"/>
      <c r="MTC93" s="101"/>
      <c r="MTD93" s="101"/>
      <c r="MTE93" s="101"/>
      <c r="MTF93" s="101"/>
      <c r="MTG93" s="101"/>
      <c r="MTH93" s="101"/>
      <c r="MTI93" s="101"/>
      <c r="MTJ93" s="101"/>
      <c r="MTK93" s="101"/>
      <c r="MTL93" s="101"/>
      <c r="MTM93" s="101"/>
      <c r="MTN93" s="101"/>
      <c r="MTO93" s="101"/>
      <c r="MTP93" s="101"/>
      <c r="MTQ93" s="101"/>
      <c r="MTR93" s="101"/>
      <c r="MTS93" s="101"/>
      <c r="MTT93" s="101"/>
      <c r="MTU93" s="101"/>
      <c r="MTV93" s="101"/>
      <c r="MTW93" s="101"/>
      <c r="MTX93" s="101"/>
      <c r="MTY93" s="101"/>
      <c r="MTZ93" s="101"/>
      <c r="MUA93" s="101"/>
      <c r="MUB93" s="101"/>
      <c r="MUC93" s="101"/>
      <c r="MUD93" s="101"/>
      <c r="MUE93" s="101"/>
      <c r="MUF93" s="101"/>
      <c r="MUG93" s="101"/>
      <c r="MUH93" s="101"/>
      <c r="MUI93" s="101"/>
      <c r="MUJ93" s="101"/>
      <c r="MUK93" s="101"/>
      <c r="MUL93" s="101"/>
      <c r="MUM93" s="101"/>
      <c r="MUN93" s="101"/>
      <c r="MUO93" s="101"/>
      <c r="MUP93" s="101"/>
      <c r="MUQ93" s="101"/>
      <c r="MUR93" s="101"/>
      <c r="MUS93" s="101"/>
      <c r="MUT93" s="101"/>
      <c r="MUU93" s="101"/>
      <c r="MUV93" s="101"/>
      <c r="MUW93" s="101"/>
      <c r="MUX93" s="101"/>
      <c r="MUY93" s="101"/>
      <c r="MUZ93" s="101"/>
      <c r="MVA93" s="101"/>
      <c r="MVB93" s="101"/>
      <c r="MVC93" s="101"/>
      <c r="MVD93" s="101"/>
      <c r="MVE93" s="101"/>
      <c r="MVF93" s="101"/>
      <c r="MVG93" s="101"/>
      <c r="MVH93" s="101"/>
      <c r="MVI93" s="101"/>
      <c r="MVJ93" s="101"/>
      <c r="MVK93" s="101"/>
      <c r="MVL93" s="101"/>
      <c r="MVM93" s="101"/>
      <c r="MVN93" s="101"/>
      <c r="MVO93" s="101"/>
      <c r="MVP93" s="101"/>
      <c r="MVQ93" s="101"/>
      <c r="MVR93" s="101"/>
      <c r="MVS93" s="101"/>
      <c r="MVT93" s="101"/>
      <c r="MVU93" s="101"/>
      <c r="MVV93" s="101"/>
      <c r="MVW93" s="101"/>
      <c r="MVX93" s="101"/>
      <c r="MVY93" s="101"/>
      <c r="MVZ93" s="101"/>
      <c r="MWA93" s="101"/>
      <c r="MWB93" s="101"/>
      <c r="MWC93" s="101"/>
      <c r="MWD93" s="101"/>
      <c r="MWE93" s="101"/>
      <c r="MWF93" s="101"/>
      <c r="MWG93" s="101"/>
      <c r="MWH93" s="101"/>
      <c r="MWI93" s="101"/>
      <c r="MWJ93" s="101"/>
      <c r="MWK93" s="101"/>
      <c r="MWL93" s="101"/>
      <c r="MWM93" s="101"/>
      <c r="MWN93" s="101"/>
      <c r="MWO93" s="101"/>
      <c r="MWP93" s="101"/>
      <c r="MWQ93" s="101"/>
      <c r="MWR93" s="101"/>
      <c r="MWS93" s="101"/>
      <c r="MWT93" s="101"/>
      <c r="MWU93" s="101"/>
      <c r="MWV93" s="101"/>
      <c r="MWW93" s="101"/>
      <c r="MWX93" s="101"/>
      <c r="MWY93" s="101"/>
      <c r="MWZ93" s="101"/>
      <c r="MXA93" s="101"/>
      <c r="MXB93" s="101"/>
      <c r="MXC93" s="101"/>
      <c r="MXD93" s="101"/>
      <c r="MXE93" s="101"/>
      <c r="MXF93" s="101"/>
      <c r="MXG93" s="101"/>
      <c r="MXH93" s="101"/>
      <c r="MXI93" s="101"/>
      <c r="MXJ93" s="101"/>
      <c r="MXK93" s="101"/>
      <c r="MXL93" s="101"/>
      <c r="MXM93" s="101"/>
      <c r="MXN93" s="101"/>
      <c r="MXO93" s="101"/>
      <c r="MXP93" s="101"/>
      <c r="MXQ93" s="101"/>
      <c r="MXR93" s="101"/>
      <c r="MXS93" s="101"/>
      <c r="MXT93" s="101"/>
      <c r="MXU93" s="101"/>
      <c r="MXV93" s="101"/>
      <c r="MXW93" s="101"/>
      <c r="MXX93" s="101"/>
      <c r="MXY93" s="101"/>
      <c r="MXZ93" s="101"/>
      <c r="MYA93" s="101"/>
      <c r="MYB93" s="101"/>
      <c r="MYC93" s="101"/>
      <c r="MYD93" s="101"/>
      <c r="MYE93" s="101"/>
      <c r="MYF93" s="101"/>
      <c r="MYG93" s="101"/>
      <c r="MYH93" s="101"/>
      <c r="MYI93" s="101"/>
      <c r="MYJ93" s="101"/>
      <c r="MYK93" s="101"/>
      <c r="MYL93" s="101"/>
      <c r="MYM93" s="101"/>
      <c r="MYN93" s="101"/>
      <c r="MYO93" s="101"/>
      <c r="MYP93" s="101"/>
      <c r="MYQ93" s="101"/>
      <c r="MYR93" s="101"/>
      <c r="MYS93" s="101"/>
      <c r="MYT93" s="101"/>
      <c r="MYU93" s="101"/>
      <c r="MYV93" s="101"/>
      <c r="MYW93" s="101"/>
      <c r="MYX93" s="101"/>
      <c r="MYY93" s="101"/>
      <c r="MYZ93" s="101"/>
      <c r="MZA93" s="101"/>
      <c r="MZB93" s="101"/>
      <c r="MZC93" s="101"/>
      <c r="MZD93" s="101"/>
      <c r="MZE93" s="101"/>
      <c r="MZF93" s="101"/>
      <c r="MZG93" s="101"/>
      <c r="MZH93" s="101"/>
      <c r="MZI93" s="101"/>
      <c r="MZJ93" s="101"/>
      <c r="MZK93" s="101"/>
      <c r="MZL93" s="101"/>
      <c r="MZM93" s="101"/>
      <c r="MZN93" s="101"/>
      <c r="MZO93" s="101"/>
      <c r="MZP93" s="101"/>
      <c r="MZQ93" s="101"/>
      <c r="MZR93" s="101"/>
      <c r="MZS93" s="101"/>
      <c r="MZT93" s="101"/>
      <c r="MZU93" s="101"/>
      <c r="MZV93" s="101"/>
      <c r="MZW93" s="101"/>
      <c r="MZX93" s="101"/>
      <c r="MZY93" s="101"/>
      <c r="MZZ93" s="101"/>
      <c r="NAA93" s="101"/>
      <c r="NAB93" s="101"/>
      <c r="NAC93" s="101"/>
      <c r="NAD93" s="101"/>
      <c r="NAE93" s="101"/>
      <c r="NAF93" s="101"/>
      <c r="NAG93" s="101"/>
      <c r="NAH93" s="101"/>
      <c r="NAI93" s="101"/>
      <c r="NAJ93" s="101"/>
      <c r="NAK93" s="101"/>
      <c r="NAL93" s="101"/>
      <c r="NAM93" s="101"/>
      <c r="NAN93" s="101"/>
      <c r="NAO93" s="101"/>
      <c r="NAP93" s="101"/>
      <c r="NAQ93" s="101"/>
      <c r="NAR93" s="101"/>
      <c r="NAS93" s="101"/>
      <c r="NAT93" s="101"/>
      <c r="NAU93" s="101"/>
      <c r="NAV93" s="101"/>
      <c r="NAW93" s="101"/>
      <c r="NAX93" s="101"/>
      <c r="NAY93" s="101"/>
      <c r="NAZ93" s="101"/>
      <c r="NBA93" s="101"/>
      <c r="NBB93" s="101"/>
      <c r="NBC93" s="101"/>
      <c r="NBD93" s="101"/>
      <c r="NBE93" s="101"/>
      <c r="NBF93" s="101"/>
      <c r="NBG93" s="101"/>
      <c r="NBH93" s="101"/>
      <c r="NBI93" s="101"/>
      <c r="NBJ93" s="101"/>
      <c r="NBK93" s="101"/>
      <c r="NBL93" s="101"/>
      <c r="NBM93" s="101"/>
      <c r="NBN93" s="101"/>
      <c r="NBO93" s="101"/>
      <c r="NBP93" s="101"/>
      <c r="NBQ93" s="101"/>
      <c r="NBR93" s="101"/>
      <c r="NBS93" s="101"/>
      <c r="NBT93" s="101"/>
      <c r="NBU93" s="101"/>
      <c r="NBV93" s="101"/>
      <c r="NBW93" s="101"/>
      <c r="NBX93" s="101"/>
      <c r="NBY93" s="101"/>
      <c r="NBZ93" s="101"/>
      <c r="NCA93" s="101"/>
      <c r="NCB93" s="101"/>
      <c r="NCC93" s="101"/>
      <c r="NCD93" s="101"/>
      <c r="NCE93" s="101"/>
      <c r="NCF93" s="101"/>
      <c r="NCG93" s="101"/>
      <c r="NCH93" s="101"/>
      <c r="NCI93" s="101"/>
      <c r="NCJ93" s="101"/>
      <c r="NCK93" s="101"/>
      <c r="NCL93" s="101"/>
      <c r="NCM93" s="101"/>
      <c r="NCN93" s="101"/>
      <c r="NCO93" s="101"/>
      <c r="NCP93" s="101"/>
      <c r="NCQ93" s="101"/>
      <c r="NCR93" s="101"/>
      <c r="NCS93" s="101"/>
      <c r="NCT93" s="101"/>
      <c r="NCU93" s="101"/>
      <c r="NCV93" s="101"/>
      <c r="NCW93" s="101"/>
      <c r="NCX93" s="101"/>
      <c r="NCY93" s="101"/>
      <c r="NCZ93" s="101"/>
      <c r="NDA93" s="101"/>
      <c r="NDB93" s="101"/>
      <c r="NDC93" s="101"/>
      <c r="NDD93" s="101"/>
      <c r="NDE93" s="101"/>
      <c r="NDF93" s="101"/>
      <c r="NDG93" s="101"/>
      <c r="NDH93" s="101"/>
      <c r="NDI93" s="101"/>
      <c r="NDJ93" s="101"/>
      <c r="NDK93" s="101"/>
      <c r="NDL93" s="101"/>
      <c r="NDM93" s="101"/>
      <c r="NDN93" s="101"/>
      <c r="NDO93" s="101"/>
      <c r="NDP93" s="101"/>
      <c r="NDQ93" s="101"/>
      <c r="NDR93" s="101"/>
      <c r="NDS93" s="101"/>
      <c r="NDT93" s="101"/>
      <c r="NDU93" s="101"/>
      <c r="NDV93" s="101"/>
      <c r="NDW93" s="101"/>
      <c r="NDX93" s="101"/>
      <c r="NDY93" s="101"/>
      <c r="NDZ93" s="101"/>
      <c r="NEA93" s="101"/>
      <c r="NEB93" s="101"/>
      <c r="NEC93" s="101"/>
      <c r="NED93" s="101"/>
      <c r="NEE93" s="101"/>
      <c r="NEF93" s="101"/>
      <c r="NEG93" s="101"/>
      <c r="NEH93" s="101"/>
      <c r="NEI93" s="101"/>
      <c r="NEJ93" s="101"/>
      <c r="NEK93" s="101"/>
      <c r="NEL93" s="101"/>
      <c r="NEM93" s="101"/>
      <c r="NEN93" s="101"/>
      <c r="NEO93" s="101"/>
      <c r="NEP93" s="101"/>
      <c r="NEQ93" s="101"/>
      <c r="NER93" s="101"/>
      <c r="NES93" s="101"/>
      <c r="NET93" s="101"/>
      <c r="NEU93" s="101"/>
      <c r="NEV93" s="101"/>
      <c r="NEW93" s="101"/>
      <c r="NEX93" s="101"/>
      <c r="NEY93" s="101"/>
      <c r="NEZ93" s="101"/>
      <c r="NFA93" s="101"/>
      <c r="NFB93" s="101"/>
      <c r="NFC93" s="101"/>
      <c r="NFD93" s="101"/>
      <c r="NFE93" s="101"/>
      <c r="NFF93" s="101"/>
      <c r="NFG93" s="101"/>
      <c r="NFH93" s="101"/>
      <c r="NFI93" s="101"/>
      <c r="NFJ93" s="101"/>
      <c r="NFK93" s="101"/>
      <c r="NFL93" s="101"/>
      <c r="NFM93" s="101"/>
      <c r="NFN93" s="101"/>
      <c r="NFO93" s="101"/>
      <c r="NFP93" s="101"/>
      <c r="NFQ93" s="101"/>
      <c r="NFR93" s="101"/>
      <c r="NFS93" s="101"/>
      <c r="NFT93" s="101"/>
      <c r="NFU93" s="101"/>
      <c r="NFV93" s="101"/>
      <c r="NFW93" s="101"/>
      <c r="NFX93" s="101"/>
      <c r="NFY93" s="101"/>
      <c r="NFZ93" s="101"/>
      <c r="NGA93" s="101"/>
      <c r="NGB93" s="101"/>
      <c r="NGC93" s="101"/>
      <c r="NGD93" s="101"/>
      <c r="NGE93" s="101"/>
      <c r="NGF93" s="101"/>
      <c r="NGG93" s="101"/>
      <c r="NGH93" s="101"/>
      <c r="NGI93" s="101"/>
      <c r="NGJ93" s="101"/>
      <c r="NGK93" s="101"/>
      <c r="NGL93" s="101"/>
      <c r="NGM93" s="101"/>
      <c r="NGN93" s="101"/>
      <c r="NGO93" s="101"/>
      <c r="NGP93" s="101"/>
      <c r="NGQ93" s="101"/>
      <c r="NGR93" s="101"/>
      <c r="NGS93" s="101"/>
      <c r="NGT93" s="101"/>
      <c r="NGU93" s="101"/>
      <c r="NGV93" s="101"/>
      <c r="NGW93" s="101"/>
      <c r="NGX93" s="101"/>
      <c r="NGY93" s="101"/>
      <c r="NGZ93" s="101"/>
      <c r="NHA93" s="101"/>
      <c r="NHB93" s="101"/>
      <c r="NHC93" s="101"/>
      <c r="NHD93" s="101"/>
      <c r="NHE93" s="101"/>
      <c r="NHF93" s="101"/>
      <c r="NHG93" s="101"/>
      <c r="NHH93" s="101"/>
      <c r="NHI93" s="101"/>
      <c r="NHJ93" s="101"/>
      <c r="NHK93" s="101"/>
      <c r="NHL93" s="101"/>
      <c r="NHM93" s="101"/>
      <c r="NHN93" s="101"/>
      <c r="NHO93" s="101"/>
      <c r="NHP93" s="101"/>
      <c r="NHQ93" s="101"/>
      <c r="NHR93" s="101"/>
      <c r="NHS93" s="101"/>
      <c r="NHT93" s="101"/>
      <c r="NHU93" s="101"/>
      <c r="NHV93" s="101"/>
      <c r="NHW93" s="101"/>
      <c r="NHX93" s="101"/>
      <c r="NHY93" s="101"/>
      <c r="NHZ93" s="101"/>
      <c r="NIA93" s="101"/>
      <c r="NIB93" s="101"/>
      <c r="NIC93" s="101"/>
      <c r="NID93" s="101"/>
      <c r="NIE93" s="101"/>
      <c r="NIF93" s="101"/>
      <c r="NIG93" s="101"/>
      <c r="NIH93" s="101"/>
      <c r="NII93" s="101"/>
      <c r="NIJ93" s="101"/>
      <c r="NIK93" s="101"/>
      <c r="NIL93" s="101"/>
      <c r="NIM93" s="101"/>
      <c r="NIN93" s="101"/>
      <c r="NIO93" s="101"/>
      <c r="NIP93" s="101"/>
      <c r="NIQ93" s="101"/>
      <c r="NIR93" s="101"/>
      <c r="NIS93" s="101"/>
      <c r="NIT93" s="101"/>
      <c r="NIU93" s="101"/>
      <c r="NIV93" s="101"/>
      <c r="NIW93" s="101"/>
      <c r="NIX93" s="101"/>
      <c r="NIY93" s="101"/>
      <c r="NIZ93" s="101"/>
      <c r="NJA93" s="101"/>
      <c r="NJB93" s="101"/>
      <c r="NJC93" s="101"/>
      <c r="NJD93" s="101"/>
      <c r="NJE93" s="101"/>
      <c r="NJF93" s="101"/>
      <c r="NJG93" s="101"/>
      <c r="NJH93" s="101"/>
      <c r="NJI93" s="101"/>
      <c r="NJJ93" s="101"/>
      <c r="NJK93" s="101"/>
      <c r="NJL93" s="101"/>
      <c r="NJM93" s="101"/>
      <c r="NJN93" s="101"/>
      <c r="NJO93" s="101"/>
      <c r="NJP93" s="101"/>
      <c r="NJQ93" s="101"/>
      <c r="NJR93" s="101"/>
      <c r="NJS93" s="101"/>
      <c r="NJT93" s="101"/>
      <c r="NJU93" s="101"/>
      <c r="NJV93" s="101"/>
      <c r="NJW93" s="101"/>
      <c r="NJX93" s="101"/>
      <c r="NJY93" s="101"/>
      <c r="NJZ93" s="101"/>
      <c r="NKA93" s="101"/>
      <c r="NKB93" s="101"/>
      <c r="NKC93" s="101"/>
      <c r="NKD93" s="101"/>
      <c r="NKE93" s="101"/>
      <c r="NKF93" s="101"/>
      <c r="NKG93" s="101"/>
      <c r="NKH93" s="101"/>
      <c r="NKI93" s="101"/>
      <c r="NKJ93" s="101"/>
      <c r="NKK93" s="101"/>
      <c r="NKL93" s="101"/>
      <c r="NKM93" s="101"/>
      <c r="NKN93" s="101"/>
      <c r="NKO93" s="101"/>
      <c r="NKP93" s="101"/>
      <c r="NKQ93" s="101"/>
      <c r="NKR93" s="101"/>
      <c r="NKS93" s="101"/>
      <c r="NKT93" s="101"/>
      <c r="NKU93" s="101"/>
      <c r="NKV93" s="101"/>
      <c r="NKW93" s="101"/>
      <c r="NKX93" s="101"/>
      <c r="NKY93" s="101"/>
      <c r="NKZ93" s="101"/>
      <c r="NLA93" s="101"/>
      <c r="NLB93" s="101"/>
      <c r="NLC93" s="101"/>
      <c r="NLD93" s="101"/>
      <c r="NLE93" s="101"/>
      <c r="NLF93" s="101"/>
      <c r="NLG93" s="101"/>
      <c r="NLH93" s="101"/>
      <c r="NLI93" s="101"/>
      <c r="NLJ93" s="101"/>
      <c r="NLK93" s="101"/>
      <c r="NLL93" s="101"/>
      <c r="NLM93" s="101"/>
      <c r="NLN93" s="101"/>
      <c r="NLO93" s="101"/>
      <c r="NLP93" s="101"/>
      <c r="NLQ93" s="101"/>
      <c r="NLR93" s="101"/>
      <c r="NLS93" s="101"/>
      <c r="NLT93" s="101"/>
      <c r="NLU93" s="101"/>
      <c r="NLV93" s="101"/>
      <c r="NLW93" s="101"/>
      <c r="NLX93" s="101"/>
      <c r="NLY93" s="101"/>
      <c r="NLZ93" s="101"/>
      <c r="NMA93" s="101"/>
      <c r="NMB93" s="101"/>
      <c r="NMC93" s="101"/>
      <c r="NMD93" s="101"/>
      <c r="NME93" s="101"/>
      <c r="NMF93" s="101"/>
      <c r="NMG93" s="101"/>
      <c r="NMH93" s="101"/>
      <c r="NMI93" s="101"/>
      <c r="NMJ93" s="101"/>
      <c r="NMK93" s="101"/>
      <c r="NML93" s="101"/>
      <c r="NMM93" s="101"/>
      <c r="NMN93" s="101"/>
      <c r="NMO93" s="101"/>
      <c r="NMP93" s="101"/>
      <c r="NMQ93" s="101"/>
      <c r="NMR93" s="101"/>
      <c r="NMS93" s="101"/>
      <c r="NMT93" s="101"/>
      <c r="NMU93" s="101"/>
      <c r="NMV93" s="101"/>
      <c r="NMW93" s="101"/>
      <c r="NMX93" s="101"/>
      <c r="NMY93" s="101"/>
      <c r="NMZ93" s="101"/>
      <c r="NNA93" s="101"/>
      <c r="NNB93" s="101"/>
      <c r="NNC93" s="101"/>
      <c r="NND93" s="101"/>
      <c r="NNE93" s="101"/>
      <c r="NNF93" s="101"/>
      <c r="NNG93" s="101"/>
      <c r="NNH93" s="101"/>
      <c r="NNI93" s="101"/>
      <c r="NNJ93" s="101"/>
      <c r="NNK93" s="101"/>
      <c r="NNL93" s="101"/>
      <c r="NNM93" s="101"/>
      <c r="NNN93" s="101"/>
      <c r="NNO93" s="101"/>
      <c r="NNP93" s="101"/>
      <c r="NNQ93" s="101"/>
      <c r="NNR93" s="101"/>
      <c r="NNS93" s="101"/>
      <c r="NNT93" s="101"/>
      <c r="NNU93" s="101"/>
      <c r="NNV93" s="101"/>
      <c r="NNW93" s="101"/>
      <c r="NNX93" s="101"/>
      <c r="NNY93" s="101"/>
      <c r="NNZ93" s="101"/>
      <c r="NOA93" s="101"/>
      <c r="NOB93" s="101"/>
      <c r="NOC93" s="101"/>
      <c r="NOD93" s="101"/>
      <c r="NOE93" s="101"/>
      <c r="NOF93" s="101"/>
      <c r="NOG93" s="101"/>
      <c r="NOH93" s="101"/>
      <c r="NOI93" s="101"/>
      <c r="NOJ93" s="101"/>
      <c r="NOK93" s="101"/>
      <c r="NOL93" s="101"/>
      <c r="NOM93" s="101"/>
      <c r="NON93" s="101"/>
      <c r="NOO93" s="101"/>
      <c r="NOP93" s="101"/>
      <c r="NOQ93" s="101"/>
      <c r="NOR93" s="101"/>
      <c r="NOS93" s="101"/>
      <c r="NOT93" s="101"/>
      <c r="NOU93" s="101"/>
      <c r="NOV93" s="101"/>
      <c r="NOW93" s="101"/>
      <c r="NOX93" s="101"/>
      <c r="NOY93" s="101"/>
      <c r="NOZ93" s="101"/>
      <c r="NPA93" s="101"/>
      <c r="NPB93" s="101"/>
      <c r="NPC93" s="101"/>
      <c r="NPD93" s="101"/>
      <c r="NPE93" s="101"/>
      <c r="NPF93" s="101"/>
      <c r="NPG93" s="101"/>
      <c r="NPH93" s="101"/>
      <c r="NPI93" s="101"/>
      <c r="NPJ93" s="101"/>
      <c r="NPK93" s="101"/>
      <c r="NPL93" s="101"/>
      <c r="NPM93" s="101"/>
      <c r="NPN93" s="101"/>
      <c r="NPO93" s="101"/>
      <c r="NPP93" s="101"/>
      <c r="NPQ93" s="101"/>
      <c r="NPR93" s="101"/>
      <c r="NPS93" s="101"/>
      <c r="NPT93" s="101"/>
      <c r="NPU93" s="101"/>
      <c r="NPV93" s="101"/>
      <c r="NPW93" s="101"/>
      <c r="NPX93" s="101"/>
      <c r="NPY93" s="101"/>
      <c r="NPZ93" s="101"/>
      <c r="NQA93" s="101"/>
      <c r="NQB93" s="101"/>
      <c r="NQC93" s="101"/>
      <c r="NQD93" s="101"/>
      <c r="NQE93" s="101"/>
      <c r="NQF93" s="101"/>
      <c r="NQG93" s="101"/>
      <c r="NQH93" s="101"/>
      <c r="NQI93" s="101"/>
      <c r="NQJ93" s="101"/>
      <c r="NQK93" s="101"/>
      <c r="NQL93" s="101"/>
      <c r="NQM93" s="101"/>
      <c r="NQN93" s="101"/>
      <c r="NQO93" s="101"/>
      <c r="NQP93" s="101"/>
      <c r="NQQ93" s="101"/>
      <c r="NQR93" s="101"/>
      <c r="NQS93" s="101"/>
      <c r="NQT93" s="101"/>
      <c r="NQU93" s="101"/>
      <c r="NQV93" s="101"/>
      <c r="NQW93" s="101"/>
      <c r="NQX93" s="101"/>
      <c r="NQY93" s="101"/>
      <c r="NQZ93" s="101"/>
      <c r="NRA93" s="101"/>
      <c r="NRB93" s="101"/>
      <c r="NRC93" s="101"/>
      <c r="NRD93" s="101"/>
      <c r="NRE93" s="101"/>
    </row>
    <row r="94" spans="1:9937" s="18" customFormat="1" ht="25" customHeight="1" thickTop="1" thickBot="1" x14ac:dyDescent="0.5">
      <c r="A94" s="203" t="s">
        <v>638</v>
      </c>
      <c r="B94" s="67"/>
      <c r="C94" s="392">
        <f t="shared" ref="C94:F94" si="54">C85+C89+C93</f>
        <v>0</v>
      </c>
      <c r="D94" s="392">
        <f t="shared" si="54"/>
        <v>0</v>
      </c>
      <c r="E94" s="392">
        <f t="shared" si="54"/>
        <v>0</v>
      </c>
      <c r="F94" s="366">
        <f t="shared" si="54"/>
        <v>0</v>
      </c>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c r="IW94" s="102"/>
      <c r="IX94" s="102"/>
      <c r="IY94" s="102"/>
      <c r="IZ94" s="102"/>
      <c r="JA94" s="102"/>
      <c r="JB94" s="102"/>
      <c r="JC94" s="102"/>
      <c r="JD94" s="102"/>
      <c r="JE94" s="102"/>
      <c r="JF94" s="102"/>
      <c r="JG94" s="102"/>
      <c r="JH94" s="102"/>
      <c r="JI94" s="102"/>
      <c r="JJ94" s="102"/>
      <c r="JK94" s="102"/>
      <c r="JL94" s="102"/>
      <c r="JM94" s="102"/>
      <c r="JN94" s="102"/>
      <c r="JO94" s="102"/>
      <c r="JP94" s="102"/>
      <c r="JQ94" s="102"/>
      <c r="JR94" s="102"/>
      <c r="JS94" s="102"/>
      <c r="JT94" s="102"/>
      <c r="JU94" s="102"/>
      <c r="JV94" s="102"/>
      <c r="JW94" s="102"/>
      <c r="JX94" s="102"/>
      <c r="JY94" s="102"/>
      <c r="JZ94" s="102"/>
      <c r="KA94" s="102"/>
      <c r="KB94" s="102"/>
      <c r="KC94" s="102"/>
      <c r="KD94" s="102"/>
      <c r="KE94" s="102"/>
      <c r="KF94" s="102"/>
      <c r="KG94" s="102"/>
      <c r="KH94" s="102"/>
      <c r="KI94" s="102"/>
      <c r="KJ94" s="102"/>
      <c r="KK94" s="102"/>
      <c r="KL94" s="102"/>
      <c r="KM94" s="102"/>
      <c r="KN94" s="102"/>
      <c r="KO94" s="102"/>
      <c r="KP94" s="102"/>
      <c r="KQ94" s="102"/>
      <c r="KR94" s="102"/>
      <c r="KS94" s="102"/>
      <c r="KT94" s="102"/>
      <c r="KU94" s="102"/>
      <c r="KV94" s="102"/>
      <c r="KW94" s="102"/>
      <c r="KX94" s="102"/>
      <c r="KY94" s="102"/>
      <c r="KZ94" s="102"/>
      <c r="LA94" s="102"/>
      <c r="LB94" s="102"/>
      <c r="LC94" s="102"/>
      <c r="LD94" s="102"/>
      <c r="LE94" s="102"/>
      <c r="LF94" s="102"/>
      <c r="LG94" s="102"/>
      <c r="LH94" s="102"/>
      <c r="LI94" s="102"/>
      <c r="LJ94" s="102"/>
      <c r="LK94" s="102"/>
      <c r="LL94" s="102"/>
      <c r="LM94" s="102"/>
      <c r="LN94" s="102"/>
      <c r="LO94" s="102"/>
      <c r="LP94" s="102"/>
      <c r="LQ94" s="102"/>
      <c r="LR94" s="102"/>
      <c r="LS94" s="102"/>
      <c r="LT94" s="102"/>
      <c r="LU94" s="102"/>
      <c r="LV94" s="102"/>
      <c r="LW94" s="102"/>
      <c r="LX94" s="102"/>
      <c r="LY94" s="102"/>
      <c r="LZ94" s="102"/>
      <c r="MA94" s="102"/>
      <c r="MB94" s="102"/>
      <c r="MC94" s="102"/>
      <c r="MD94" s="102"/>
      <c r="ME94" s="102"/>
      <c r="MF94" s="102"/>
      <c r="MG94" s="102"/>
      <c r="MH94" s="102"/>
      <c r="MI94" s="102"/>
      <c r="MJ94" s="102"/>
      <c r="MK94" s="102"/>
      <c r="ML94" s="102"/>
      <c r="MM94" s="102"/>
      <c r="MN94" s="102"/>
      <c r="MO94" s="102"/>
      <c r="MP94" s="102"/>
      <c r="MQ94" s="102"/>
      <c r="MR94" s="102"/>
      <c r="MS94" s="102"/>
      <c r="MT94" s="102"/>
      <c r="MU94" s="102"/>
      <c r="MV94" s="102"/>
      <c r="MW94" s="102"/>
      <c r="MX94" s="102"/>
      <c r="MY94" s="102"/>
      <c r="MZ94" s="102"/>
      <c r="NA94" s="102"/>
      <c r="NB94" s="102"/>
      <c r="NC94" s="102"/>
      <c r="ND94" s="102"/>
      <c r="NE94" s="102"/>
      <c r="NF94" s="102"/>
      <c r="NG94" s="102"/>
      <c r="NH94" s="102"/>
      <c r="NI94" s="102"/>
      <c r="NJ94" s="102"/>
      <c r="NK94" s="102"/>
      <c r="NL94" s="102"/>
      <c r="NM94" s="102"/>
      <c r="NN94" s="102"/>
      <c r="NO94" s="102"/>
      <c r="NP94" s="102"/>
      <c r="NQ94" s="102"/>
      <c r="NR94" s="102"/>
      <c r="NS94" s="102"/>
      <c r="NT94" s="102"/>
      <c r="NU94" s="102"/>
      <c r="NV94" s="102"/>
      <c r="NW94" s="102"/>
      <c r="NX94" s="102"/>
      <c r="NY94" s="102"/>
      <c r="NZ94" s="102"/>
      <c r="OA94" s="102"/>
      <c r="OB94" s="102"/>
      <c r="OC94" s="102"/>
      <c r="OD94" s="102"/>
      <c r="OE94" s="102"/>
      <c r="OF94" s="102"/>
      <c r="OG94" s="102"/>
      <c r="OH94" s="102"/>
      <c r="OI94" s="102"/>
      <c r="OJ94" s="102"/>
      <c r="OK94" s="102"/>
      <c r="OL94" s="102"/>
      <c r="OM94" s="102"/>
      <c r="ON94" s="102"/>
      <c r="OO94" s="102"/>
      <c r="OP94" s="102"/>
      <c r="OQ94" s="102"/>
      <c r="OR94" s="102"/>
      <c r="OS94" s="102"/>
      <c r="OT94" s="102"/>
      <c r="OU94" s="102"/>
      <c r="OV94" s="102"/>
      <c r="OW94" s="102"/>
      <c r="OX94" s="102"/>
      <c r="OY94" s="102"/>
      <c r="OZ94" s="102"/>
      <c r="PA94" s="102"/>
      <c r="PB94" s="102"/>
      <c r="PC94" s="102"/>
      <c r="PD94" s="102"/>
      <c r="PE94" s="102"/>
      <c r="PF94" s="102"/>
      <c r="PG94" s="102"/>
      <c r="PH94" s="102"/>
      <c r="PI94" s="102"/>
      <c r="PJ94" s="102"/>
      <c r="PK94" s="102"/>
      <c r="PL94" s="102"/>
      <c r="PM94" s="102"/>
      <c r="PN94" s="102"/>
      <c r="PO94" s="102"/>
      <c r="PP94" s="102"/>
      <c r="PQ94" s="102"/>
      <c r="PR94" s="102"/>
      <c r="PS94" s="102"/>
      <c r="PT94" s="102"/>
      <c r="PU94" s="102"/>
      <c r="PV94" s="102"/>
      <c r="PW94" s="102"/>
      <c r="PX94" s="102"/>
      <c r="PY94" s="102"/>
      <c r="PZ94" s="102"/>
      <c r="QA94" s="102"/>
      <c r="QB94" s="102"/>
      <c r="QC94" s="102"/>
      <c r="QD94" s="102"/>
      <c r="QE94" s="102"/>
      <c r="QF94" s="102"/>
      <c r="QG94" s="102"/>
      <c r="QH94" s="102"/>
      <c r="QI94" s="102"/>
      <c r="QJ94" s="102"/>
      <c r="QK94" s="102"/>
      <c r="QL94" s="102"/>
      <c r="QM94" s="102"/>
      <c r="QN94" s="102"/>
      <c r="QO94" s="102"/>
      <c r="QP94" s="102"/>
      <c r="QQ94" s="102"/>
      <c r="QR94" s="102"/>
      <c r="QS94" s="102"/>
      <c r="QT94" s="102"/>
      <c r="QU94" s="102"/>
      <c r="QV94" s="102"/>
      <c r="QW94" s="102"/>
      <c r="QX94" s="102"/>
      <c r="QY94" s="102"/>
      <c r="QZ94" s="102"/>
      <c r="RA94" s="102"/>
      <c r="RB94" s="102"/>
      <c r="RC94" s="102"/>
      <c r="RD94" s="102"/>
      <c r="RE94" s="102"/>
      <c r="RF94" s="102"/>
      <c r="RG94" s="102"/>
      <c r="RH94" s="102"/>
      <c r="RI94" s="102"/>
      <c r="RJ94" s="102"/>
      <c r="RK94" s="102"/>
      <c r="RL94" s="102"/>
      <c r="RM94" s="102"/>
      <c r="RN94" s="102"/>
      <c r="RO94" s="102"/>
      <c r="RP94" s="102"/>
      <c r="RQ94" s="102"/>
      <c r="RR94" s="102"/>
      <c r="RS94" s="102"/>
      <c r="RT94" s="102"/>
      <c r="RU94" s="102"/>
      <c r="RV94" s="102"/>
      <c r="RW94" s="102"/>
      <c r="RX94" s="102"/>
      <c r="RY94" s="102"/>
      <c r="RZ94" s="102"/>
      <c r="SA94" s="102"/>
      <c r="SB94" s="102"/>
      <c r="SC94" s="102"/>
      <c r="SD94" s="102"/>
      <c r="SE94" s="102"/>
      <c r="SF94" s="102"/>
      <c r="SG94" s="102"/>
      <c r="SH94" s="102"/>
      <c r="SI94" s="102"/>
      <c r="SJ94" s="102"/>
      <c r="SK94" s="102"/>
      <c r="SL94" s="102"/>
      <c r="SM94" s="102"/>
      <c r="SN94" s="102"/>
      <c r="SO94" s="102"/>
      <c r="SP94" s="102"/>
      <c r="SQ94" s="102"/>
      <c r="SR94" s="102"/>
      <c r="SS94" s="102"/>
      <c r="ST94" s="102"/>
      <c r="SU94" s="102"/>
      <c r="SV94" s="102"/>
      <c r="SW94" s="102"/>
      <c r="SX94" s="102"/>
      <c r="SY94" s="102"/>
      <c r="SZ94" s="102"/>
      <c r="TA94" s="102"/>
      <c r="TB94" s="102"/>
      <c r="TC94" s="102"/>
      <c r="TD94" s="102"/>
      <c r="TE94" s="102"/>
      <c r="TF94" s="102"/>
      <c r="TG94" s="102"/>
      <c r="TH94" s="102"/>
      <c r="TI94" s="102"/>
      <c r="TJ94" s="102"/>
      <c r="TK94" s="102"/>
      <c r="TL94" s="102"/>
      <c r="TM94" s="102"/>
      <c r="TN94" s="102"/>
      <c r="TO94" s="102"/>
      <c r="TP94" s="102"/>
      <c r="TQ94" s="102"/>
      <c r="TR94" s="102"/>
      <c r="TS94" s="102"/>
      <c r="TT94" s="102"/>
      <c r="TU94" s="102"/>
      <c r="TV94" s="102"/>
      <c r="TW94" s="102"/>
      <c r="TX94" s="102"/>
      <c r="TY94" s="102"/>
      <c r="TZ94" s="102"/>
      <c r="UA94" s="102"/>
      <c r="UB94" s="102"/>
      <c r="UC94" s="102"/>
      <c r="UD94" s="102"/>
      <c r="UE94" s="102"/>
      <c r="UF94" s="102"/>
      <c r="UG94" s="102"/>
      <c r="UH94" s="102"/>
      <c r="UI94" s="102"/>
      <c r="UJ94" s="102"/>
      <c r="UK94" s="102"/>
      <c r="UL94" s="102"/>
      <c r="UM94" s="102"/>
      <c r="UN94" s="102"/>
      <c r="UO94" s="102"/>
      <c r="UP94" s="102"/>
      <c r="UQ94" s="102"/>
      <c r="UR94" s="102"/>
      <c r="US94" s="102"/>
      <c r="UT94" s="102"/>
      <c r="UU94" s="102"/>
      <c r="UV94" s="102"/>
      <c r="UW94" s="102"/>
      <c r="UX94" s="102"/>
      <c r="UY94" s="102"/>
      <c r="UZ94" s="102"/>
      <c r="VA94" s="102"/>
      <c r="VB94" s="102"/>
      <c r="VC94" s="102"/>
      <c r="VD94" s="102"/>
      <c r="VE94" s="102"/>
      <c r="VF94" s="102"/>
      <c r="VG94" s="102"/>
      <c r="VH94" s="102"/>
      <c r="VI94" s="102"/>
      <c r="VJ94" s="102"/>
      <c r="VK94" s="102"/>
      <c r="VL94" s="102"/>
      <c r="VM94" s="102"/>
      <c r="VN94" s="102"/>
      <c r="VO94" s="102"/>
      <c r="VP94" s="102"/>
      <c r="VQ94" s="102"/>
      <c r="VR94" s="102"/>
      <c r="VS94" s="102"/>
      <c r="VT94" s="102"/>
      <c r="VU94" s="102"/>
      <c r="VV94" s="102"/>
      <c r="VW94" s="102"/>
      <c r="VX94" s="102"/>
      <c r="VY94" s="102"/>
      <c r="VZ94" s="102"/>
      <c r="WA94" s="102"/>
      <c r="WB94" s="102"/>
      <c r="WC94" s="102"/>
      <c r="WD94" s="102"/>
      <c r="WE94" s="102"/>
      <c r="WF94" s="102"/>
      <c r="WG94" s="102"/>
      <c r="WH94" s="102"/>
      <c r="WI94" s="102"/>
      <c r="WJ94" s="102"/>
      <c r="WK94" s="102"/>
      <c r="WL94" s="102"/>
      <c r="WM94" s="102"/>
      <c r="WN94" s="102"/>
      <c r="WO94" s="102"/>
      <c r="WP94" s="102"/>
      <c r="WQ94" s="102"/>
      <c r="WR94" s="102"/>
      <c r="WS94" s="102"/>
      <c r="WT94" s="102"/>
      <c r="WU94" s="102"/>
      <c r="WV94" s="102"/>
      <c r="WW94" s="102"/>
      <c r="WX94" s="102"/>
      <c r="WY94" s="102"/>
      <c r="WZ94" s="102"/>
      <c r="XA94" s="102"/>
      <c r="XB94" s="102"/>
      <c r="XC94" s="102"/>
      <c r="XD94" s="102"/>
      <c r="XE94" s="102"/>
      <c r="XF94" s="102"/>
      <c r="XG94" s="102"/>
      <c r="XH94" s="102"/>
      <c r="XI94" s="102"/>
      <c r="XJ94" s="102"/>
      <c r="XK94" s="102"/>
      <c r="XL94" s="102"/>
      <c r="XM94" s="102"/>
      <c r="XN94" s="102"/>
      <c r="XO94" s="102"/>
      <c r="XP94" s="102"/>
      <c r="XQ94" s="102"/>
      <c r="XR94" s="102"/>
      <c r="XS94" s="102"/>
      <c r="XT94" s="102"/>
      <c r="XU94" s="102"/>
      <c r="XV94" s="102"/>
      <c r="XW94" s="102"/>
      <c r="XX94" s="102"/>
      <c r="XY94" s="102"/>
      <c r="XZ94" s="102"/>
      <c r="YA94" s="102"/>
      <c r="YB94" s="102"/>
      <c r="YC94" s="102"/>
      <c r="YD94" s="102"/>
      <c r="YE94" s="102"/>
      <c r="YF94" s="102"/>
      <c r="YG94" s="102"/>
      <c r="YH94" s="102"/>
      <c r="YI94" s="102"/>
      <c r="YJ94" s="102"/>
      <c r="YK94" s="102"/>
      <c r="YL94" s="102"/>
      <c r="YM94" s="102"/>
      <c r="YN94" s="102"/>
      <c r="YO94" s="102"/>
      <c r="YP94" s="102"/>
      <c r="YQ94" s="102"/>
      <c r="YR94" s="102"/>
      <c r="YS94" s="102"/>
      <c r="YT94" s="102"/>
      <c r="YU94" s="102"/>
      <c r="YV94" s="102"/>
      <c r="YW94" s="102"/>
      <c r="YX94" s="102"/>
      <c r="YY94" s="102"/>
      <c r="YZ94" s="102"/>
      <c r="ZA94" s="102"/>
      <c r="ZB94" s="102"/>
      <c r="ZC94" s="102"/>
      <c r="ZD94" s="102"/>
      <c r="ZE94" s="102"/>
      <c r="ZF94" s="102"/>
      <c r="ZG94" s="102"/>
      <c r="ZH94" s="102"/>
      <c r="ZI94" s="102"/>
      <c r="ZJ94" s="102"/>
      <c r="ZK94" s="102"/>
      <c r="ZL94" s="102"/>
      <c r="ZM94" s="102"/>
      <c r="ZN94" s="102"/>
      <c r="ZO94" s="102"/>
      <c r="ZP94" s="102"/>
      <c r="ZQ94" s="102"/>
      <c r="ZR94" s="102"/>
      <c r="ZS94" s="102"/>
      <c r="ZT94" s="102"/>
      <c r="ZU94" s="102"/>
      <c r="ZV94" s="102"/>
      <c r="ZW94" s="102"/>
      <c r="ZX94" s="102"/>
      <c r="ZY94" s="102"/>
      <c r="ZZ94" s="102"/>
      <c r="AAA94" s="102"/>
      <c r="AAB94" s="102"/>
      <c r="AAC94" s="102"/>
      <c r="AAD94" s="102"/>
      <c r="AAE94" s="102"/>
      <c r="AAF94" s="102"/>
      <c r="AAG94" s="102"/>
      <c r="AAH94" s="102"/>
      <c r="AAI94" s="102"/>
      <c r="AAJ94" s="102"/>
      <c r="AAK94" s="102"/>
      <c r="AAL94" s="102"/>
      <c r="AAM94" s="102"/>
      <c r="AAN94" s="102"/>
      <c r="AAO94" s="102"/>
      <c r="AAP94" s="102"/>
      <c r="AAQ94" s="102"/>
      <c r="AAR94" s="102"/>
      <c r="AAS94" s="102"/>
      <c r="AAT94" s="102"/>
      <c r="AAU94" s="102"/>
      <c r="AAV94" s="102"/>
      <c r="AAW94" s="102"/>
      <c r="AAX94" s="102"/>
      <c r="AAY94" s="102"/>
      <c r="AAZ94" s="102"/>
      <c r="ABA94" s="102"/>
      <c r="ABB94" s="102"/>
      <c r="ABC94" s="102"/>
      <c r="ABD94" s="102"/>
      <c r="ABE94" s="102"/>
      <c r="ABF94" s="102"/>
      <c r="ABG94" s="102"/>
      <c r="ABH94" s="102"/>
      <c r="ABI94" s="102"/>
      <c r="ABJ94" s="102"/>
      <c r="ABK94" s="102"/>
      <c r="ABL94" s="102"/>
      <c r="ABM94" s="102"/>
      <c r="ABN94" s="102"/>
      <c r="ABO94" s="102"/>
      <c r="ABP94" s="102"/>
      <c r="ABQ94" s="102"/>
      <c r="ABR94" s="102"/>
      <c r="ABS94" s="102"/>
      <c r="ABT94" s="102"/>
      <c r="ABU94" s="102"/>
      <c r="ABV94" s="102"/>
      <c r="ABW94" s="102"/>
      <c r="ABX94" s="102"/>
      <c r="ABY94" s="102"/>
      <c r="ABZ94" s="102"/>
      <c r="ACA94" s="102"/>
      <c r="ACB94" s="102"/>
      <c r="ACC94" s="102"/>
      <c r="ACD94" s="102"/>
      <c r="ACE94" s="102"/>
      <c r="ACF94" s="102"/>
      <c r="ACG94" s="102"/>
      <c r="ACH94" s="102"/>
      <c r="ACI94" s="102"/>
      <c r="ACJ94" s="102"/>
      <c r="ACK94" s="102"/>
      <c r="ACL94" s="102"/>
      <c r="ACM94" s="102"/>
      <c r="ACN94" s="102"/>
      <c r="ACO94" s="102"/>
      <c r="ACP94" s="102"/>
      <c r="ACQ94" s="102"/>
      <c r="ACR94" s="102"/>
      <c r="ACS94" s="102"/>
      <c r="ACT94" s="102"/>
      <c r="ACU94" s="102"/>
      <c r="ACV94" s="102"/>
      <c r="ACW94" s="102"/>
      <c r="ACX94" s="102"/>
      <c r="ACY94" s="102"/>
      <c r="ACZ94" s="102"/>
      <c r="ADA94" s="102"/>
      <c r="ADB94" s="102"/>
      <c r="ADC94" s="102"/>
      <c r="ADD94" s="102"/>
      <c r="ADE94" s="102"/>
      <c r="ADF94" s="102"/>
      <c r="ADG94" s="102"/>
      <c r="ADH94" s="102"/>
      <c r="ADI94" s="102"/>
      <c r="ADJ94" s="102"/>
      <c r="ADK94" s="102"/>
      <c r="ADL94" s="102"/>
      <c r="ADM94" s="102"/>
      <c r="ADN94" s="102"/>
      <c r="ADO94" s="102"/>
      <c r="ADP94" s="102"/>
      <c r="ADQ94" s="102"/>
      <c r="ADR94" s="102"/>
      <c r="ADS94" s="102"/>
      <c r="ADT94" s="102"/>
      <c r="ADU94" s="102"/>
      <c r="ADV94" s="102"/>
      <c r="ADW94" s="102"/>
      <c r="ADX94" s="102"/>
      <c r="ADY94" s="102"/>
      <c r="ADZ94" s="102"/>
      <c r="AEA94" s="102"/>
      <c r="AEB94" s="102"/>
      <c r="AEC94" s="102"/>
      <c r="AED94" s="102"/>
      <c r="AEE94" s="102"/>
      <c r="AEF94" s="102"/>
      <c r="AEG94" s="102"/>
      <c r="AEH94" s="102"/>
      <c r="AEI94" s="102"/>
      <c r="AEJ94" s="102"/>
      <c r="AEK94" s="102"/>
      <c r="AEL94" s="102"/>
      <c r="AEM94" s="102"/>
      <c r="AEN94" s="102"/>
      <c r="AEO94" s="102"/>
      <c r="AEP94" s="102"/>
      <c r="AEQ94" s="102"/>
      <c r="AER94" s="102"/>
      <c r="AES94" s="102"/>
      <c r="AET94" s="102"/>
      <c r="AEU94" s="102"/>
      <c r="AEV94" s="102"/>
      <c r="AEW94" s="102"/>
      <c r="AEX94" s="102"/>
      <c r="AEY94" s="102"/>
      <c r="AEZ94" s="102"/>
      <c r="AFA94" s="102"/>
      <c r="AFB94" s="102"/>
      <c r="AFC94" s="102"/>
      <c r="AFD94" s="102"/>
      <c r="AFE94" s="102"/>
      <c r="AFF94" s="102"/>
      <c r="AFG94" s="102"/>
      <c r="AFH94" s="102"/>
      <c r="AFI94" s="102"/>
      <c r="AFJ94" s="102"/>
      <c r="AFK94" s="102"/>
      <c r="AFL94" s="102"/>
      <c r="AFM94" s="102"/>
      <c r="AFN94" s="102"/>
      <c r="AFO94" s="102"/>
      <c r="AFP94" s="102"/>
      <c r="AFQ94" s="102"/>
      <c r="AFR94" s="102"/>
      <c r="AFS94" s="102"/>
      <c r="AFT94" s="102"/>
      <c r="AFU94" s="102"/>
      <c r="AFV94" s="102"/>
      <c r="AFW94" s="102"/>
      <c r="AFX94" s="102"/>
      <c r="AFY94" s="102"/>
      <c r="AFZ94" s="102"/>
      <c r="AGA94" s="102"/>
      <c r="AGB94" s="102"/>
      <c r="AGC94" s="102"/>
      <c r="AGD94" s="102"/>
      <c r="AGE94" s="102"/>
      <c r="AGF94" s="102"/>
      <c r="AGG94" s="102"/>
      <c r="AGH94" s="102"/>
      <c r="AGI94" s="102"/>
      <c r="AGJ94" s="102"/>
      <c r="AGK94" s="102"/>
      <c r="AGL94" s="102"/>
      <c r="AGM94" s="102"/>
      <c r="AGN94" s="102"/>
      <c r="AGO94" s="102"/>
      <c r="AGP94" s="102"/>
      <c r="AGQ94" s="102"/>
      <c r="AGR94" s="102"/>
      <c r="AGS94" s="102"/>
      <c r="AGT94" s="102"/>
      <c r="AGU94" s="102"/>
      <c r="AGV94" s="102"/>
      <c r="AGW94" s="102"/>
      <c r="AGX94" s="102"/>
      <c r="AGY94" s="102"/>
      <c r="AGZ94" s="102"/>
      <c r="AHA94" s="102"/>
      <c r="AHB94" s="102"/>
      <c r="AHC94" s="102"/>
      <c r="AHD94" s="102"/>
      <c r="AHE94" s="102"/>
      <c r="AHF94" s="102"/>
      <c r="AHG94" s="102"/>
      <c r="AHH94" s="102"/>
      <c r="AHI94" s="102"/>
      <c r="AHJ94" s="102"/>
      <c r="AHK94" s="102"/>
      <c r="AHL94" s="102"/>
      <c r="AHM94" s="102"/>
      <c r="AHN94" s="102"/>
      <c r="AHO94" s="102"/>
      <c r="AHP94" s="102"/>
      <c r="AHQ94" s="102"/>
      <c r="AHR94" s="102"/>
      <c r="AHS94" s="102"/>
      <c r="AHT94" s="102"/>
      <c r="AHU94" s="102"/>
      <c r="AHV94" s="102"/>
      <c r="AHW94" s="102"/>
      <c r="AHX94" s="102"/>
      <c r="AHY94" s="102"/>
      <c r="AHZ94" s="102"/>
      <c r="AIA94" s="102"/>
      <c r="AIB94" s="102"/>
      <c r="AIC94" s="102"/>
      <c r="AID94" s="102"/>
      <c r="AIE94" s="102"/>
      <c r="AIF94" s="102"/>
      <c r="AIG94" s="102"/>
      <c r="AIH94" s="102"/>
      <c r="AII94" s="102"/>
      <c r="AIJ94" s="102"/>
      <c r="AIK94" s="102"/>
      <c r="AIL94" s="102"/>
      <c r="AIM94" s="102"/>
      <c r="AIN94" s="102"/>
      <c r="AIO94" s="102"/>
      <c r="AIP94" s="102"/>
      <c r="AIQ94" s="102"/>
      <c r="AIR94" s="102"/>
      <c r="AIS94" s="102"/>
      <c r="AIT94" s="102"/>
      <c r="AIU94" s="102"/>
      <c r="AIV94" s="102"/>
      <c r="AIW94" s="102"/>
      <c r="AIX94" s="102"/>
      <c r="AIY94" s="102"/>
      <c r="AIZ94" s="102"/>
      <c r="AJA94" s="102"/>
      <c r="AJB94" s="102"/>
      <c r="AJC94" s="102"/>
      <c r="AJD94" s="102"/>
      <c r="AJE94" s="102"/>
      <c r="AJF94" s="102"/>
      <c r="AJG94" s="102"/>
      <c r="AJH94" s="102"/>
      <c r="AJI94" s="102"/>
      <c r="AJJ94" s="102"/>
      <c r="AJK94" s="102"/>
      <c r="AJL94" s="102"/>
      <c r="AJM94" s="102"/>
      <c r="AJN94" s="102"/>
      <c r="AJO94" s="102"/>
      <c r="AJP94" s="102"/>
      <c r="AJQ94" s="102"/>
      <c r="AJR94" s="102"/>
      <c r="AJS94" s="102"/>
      <c r="AJT94" s="102"/>
      <c r="AJU94" s="102"/>
      <c r="AJV94" s="102"/>
      <c r="AJW94" s="102"/>
      <c r="AJX94" s="102"/>
      <c r="AJY94" s="102"/>
      <c r="AJZ94" s="102"/>
      <c r="AKA94" s="102"/>
      <c r="AKB94" s="102"/>
      <c r="AKC94" s="102"/>
      <c r="AKD94" s="102"/>
      <c r="AKE94" s="102"/>
      <c r="AKF94" s="102"/>
      <c r="AKG94" s="102"/>
      <c r="AKH94" s="102"/>
      <c r="AKI94" s="102"/>
      <c r="AKJ94" s="102"/>
      <c r="AKK94" s="102"/>
      <c r="AKL94" s="102"/>
      <c r="AKM94" s="102"/>
      <c r="AKN94" s="102"/>
      <c r="AKO94" s="102"/>
      <c r="AKP94" s="102"/>
      <c r="AKQ94" s="102"/>
      <c r="AKR94" s="102"/>
      <c r="AKS94" s="102"/>
      <c r="AKT94" s="102"/>
      <c r="AKU94" s="102"/>
      <c r="AKV94" s="102"/>
      <c r="AKW94" s="102"/>
      <c r="AKX94" s="102"/>
      <c r="AKY94" s="102"/>
      <c r="AKZ94" s="102"/>
      <c r="ALA94" s="102"/>
      <c r="ALB94" s="102"/>
      <c r="ALC94" s="102"/>
      <c r="ALD94" s="102"/>
      <c r="ALE94" s="102"/>
      <c r="ALF94" s="102"/>
      <c r="ALG94" s="102"/>
      <c r="ALH94" s="102"/>
      <c r="ALI94" s="102"/>
      <c r="ALJ94" s="102"/>
      <c r="ALK94" s="102"/>
      <c r="ALL94" s="102"/>
      <c r="ALM94" s="102"/>
      <c r="ALN94" s="102"/>
      <c r="ALO94" s="102"/>
      <c r="ALP94" s="102"/>
      <c r="ALQ94" s="102"/>
      <c r="ALR94" s="102"/>
      <c r="ALS94" s="102"/>
      <c r="ALT94" s="102"/>
      <c r="ALU94" s="102"/>
      <c r="ALV94" s="102"/>
      <c r="ALW94" s="102"/>
      <c r="ALX94" s="102"/>
      <c r="ALY94" s="102"/>
      <c r="ALZ94" s="102"/>
      <c r="AMA94" s="102"/>
      <c r="AMB94" s="102"/>
      <c r="AMC94" s="102"/>
      <c r="AMD94" s="102"/>
      <c r="AME94" s="102"/>
      <c r="AMF94" s="102"/>
      <c r="AMG94" s="102"/>
      <c r="AMH94" s="102"/>
      <c r="AMI94" s="102"/>
      <c r="AMJ94" s="102"/>
      <c r="AMK94" s="102"/>
      <c r="AML94" s="102"/>
      <c r="AMM94" s="102"/>
      <c r="AMN94" s="102"/>
      <c r="AMO94" s="102"/>
      <c r="AMP94" s="102"/>
      <c r="AMQ94" s="102"/>
      <c r="AMR94" s="102"/>
      <c r="AMS94" s="102"/>
      <c r="AMT94" s="102"/>
      <c r="AMU94" s="102"/>
      <c r="AMV94" s="102"/>
      <c r="AMW94" s="102"/>
      <c r="AMX94" s="102"/>
      <c r="AMY94" s="102"/>
      <c r="AMZ94" s="102"/>
      <c r="ANA94" s="102"/>
      <c r="ANB94" s="102"/>
      <c r="ANC94" s="102"/>
      <c r="AND94" s="102"/>
      <c r="ANE94" s="102"/>
      <c r="ANF94" s="102"/>
      <c r="ANG94" s="102"/>
      <c r="ANH94" s="102"/>
      <c r="ANI94" s="102"/>
      <c r="ANJ94" s="102"/>
      <c r="ANK94" s="102"/>
      <c r="ANL94" s="102"/>
      <c r="ANM94" s="102"/>
      <c r="ANN94" s="102"/>
      <c r="ANO94" s="102"/>
      <c r="ANP94" s="102"/>
      <c r="ANQ94" s="102"/>
      <c r="ANR94" s="102"/>
      <c r="ANS94" s="102"/>
      <c r="ANT94" s="102"/>
      <c r="ANU94" s="102"/>
      <c r="ANV94" s="102"/>
      <c r="ANW94" s="102"/>
      <c r="ANX94" s="102"/>
      <c r="ANY94" s="102"/>
      <c r="ANZ94" s="102"/>
      <c r="AOA94" s="102"/>
      <c r="AOB94" s="102"/>
      <c r="AOC94" s="102"/>
      <c r="AOD94" s="102"/>
      <c r="AOE94" s="102"/>
      <c r="AOF94" s="102"/>
      <c r="AOG94" s="102"/>
      <c r="AOH94" s="102"/>
      <c r="AOI94" s="102"/>
      <c r="AOJ94" s="102"/>
      <c r="AOK94" s="102"/>
      <c r="AOL94" s="102"/>
      <c r="AOM94" s="102"/>
      <c r="AON94" s="102"/>
      <c r="AOO94" s="102"/>
      <c r="AOP94" s="102"/>
      <c r="AOQ94" s="102"/>
      <c r="AOR94" s="102"/>
      <c r="AOS94" s="102"/>
      <c r="AOT94" s="102"/>
      <c r="AOU94" s="102"/>
      <c r="AOV94" s="102"/>
      <c r="AOW94" s="102"/>
      <c r="AOX94" s="102"/>
      <c r="AOY94" s="102"/>
      <c r="AOZ94" s="102"/>
      <c r="APA94" s="102"/>
      <c r="APB94" s="102"/>
      <c r="APC94" s="102"/>
      <c r="APD94" s="102"/>
      <c r="APE94" s="102"/>
      <c r="APF94" s="102"/>
      <c r="APG94" s="102"/>
      <c r="APH94" s="102"/>
      <c r="API94" s="102"/>
      <c r="APJ94" s="102"/>
      <c r="APK94" s="102"/>
      <c r="APL94" s="102"/>
      <c r="APM94" s="102"/>
      <c r="APN94" s="102"/>
      <c r="APO94" s="102"/>
      <c r="APP94" s="102"/>
      <c r="APQ94" s="102"/>
      <c r="APR94" s="102"/>
      <c r="APS94" s="102"/>
      <c r="APT94" s="102"/>
      <c r="APU94" s="102"/>
      <c r="APV94" s="102"/>
      <c r="APW94" s="102"/>
      <c r="APX94" s="102"/>
      <c r="APY94" s="102"/>
      <c r="APZ94" s="102"/>
      <c r="AQA94" s="102"/>
      <c r="AQB94" s="102"/>
      <c r="AQC94" s="102"/>
      <c r="AQD94" s="102"/>
      <c r="AQE94" s="102"/>
      <c r="AQF94" s="102"/>
      <c r="AQG94" s="102"/>
      <c r="AQH94" s="102"/>
      <c r="AQI94" s="102"/>
      <c r="AQJ94" s="102"/>
      <c r="AQK94" s="102"/>
      <c r="AQL94" s="102"/>
      <c r="AQM94" s="102"/>
      <c r="AQN94" s="102"/>
      <c r="AQO94" s="102"/>
      <c r="AQP94" s="102"/>
      <c r="AQQ94" s="102"/>
      <c r="AQR94" s="102"/>
      <c r="AQS94" s="102"/>
      <c r="AQT94" s="102"/>
      <c r="AQU94" s="102"/>
      <c r="AQV94" s="102"/>
      <c r="AQW94" s="102"/>
      <c r="AQX94" s="102"/>
      <c r="AQY94" s="102"/>
      <c r="AQZ94" s="102"/>
      <c r="ARA94" s="102"/>
      <c r="ARB94" s="102"/>
      <c r="ARC94" s="102"/>
      <c r="ARD94" s="102"/>
      <c r="ARE94" s="102"/>
      <c r="ARF94" s="102"/>
      <c r="ARG94" s="102"/>
      <c r="ARH94" s="102"/>
      <c r="ARI94" s="102"/>
      <c r="ARJ94" s="102"/>
      <c r="ARK94" s="102"/>
      <c r="ARL94" s="102"/>
      <c r="ARM94" s="102"/>
      <c r="ARN94" s="102"/>
      <c r="ARO94" s="102"/>
      <c r="ARP94" s="102"/>
      <c r="ARQ94" s="102"/>
      <c r="ARR94" s="102"/>
      <c r="ARS94" s="102"/>
      <c r="ART94" s="102"/>
      <c r="ARU94" s="102"/>
      <c r="ARV94" s="102"/>
      <c r="ARW94" s="102"/>
      <c r="ARX94" s="102"/>
      <c r="ARY94" s="102"/>
      <c r="ARZ94" s="102"/>
      <c r="ASA94" s="102"/>
      <c r="ASB94" s="102"/>
      <c r="ASC94" s="102"/>
      <c r="ASD94" s="102"/>
      <c r="ASE94" s="102"/>
      <c r="ASF94" s="102"/>
      <c r="ASG94" s="102"/>
      <c r="ASH94" s="102"/>
      <c r="ASI94" s="102"/>
      <c r="ASJ94" s="102"/>
      <c r="ASK94" s="102"/>
      <c r="ASL94" s="102"/>
      <c r="ASM94" s="102"/>
      <c r="ASN94" s="102"/>
      <c r="ASO94" s="102"/>
      <c r="ASP94" s="102"/>
      <c r="ASQ94" s="102"/>
      <c r="ASR94" s="102"/>
      <c r="ASS94" s="102"/>
      <c r="AST94" s="102"/>
      <c r="ASU94" s="102"/>
      <c r="ASV94" s="102"/>
      <c r="ASW94" s="102"/>
      <c r="ASX94" s="102"/>
      <c r="ASY94" s="102"/>
      <c r="ASZ94" s="102"/>
      <c r="ATA94" s="102"/>
      <c r="ATB94" s="102"/>
      <c r="ATC94" s="102"/>
      <c r="ATD94" s="102"/>
      <c r="ATE94" s="102"/>
      <c r="ATF94" s="102"/>
      <c r="ATG94" s="102"/>
      <c r="ATH94" s="102"/>
      <c r="ATI94" s="102"/>
      <c r="ATJ94" s="102"/>
      <c r="ATK94" s="102"/>
      <c r="ATL94" s="102"/>
      <c r="ATM94" s="102"/>
      <c r="ATN94" s="102"/>
      <c r="ATO94" s="102"/>
      <c r="ATP94" s="102"/>
      <c r="ATQ94" s="102"/>
      <c r="ATR94" s="102"/>
      <c r="ATS94" s="102"/>
      <c r="ATT94" s="102"/>
      <c r="ATU94" s="102"/>
      <c r="ATV94" s="102"/>
      <c r="ATW94" s="102"/>
      <c r="ATX94" s="102"/>
      <c r="ATY94" s="102"/>
      <c r="ATZ94" s="102"/>
      <c r="AUA94" s="102"/>
      <c r="AUB94" s="102"/>
      <c r="AUC94" s="102"/>
      <c r="AUD94" s="102"/>
      <c r="AUE94" s="102"/>
      <c r="AUF94" s="102"/>
      <c r="AUG94" s="102"/>
      <c r="AUH94" s="102"/>
      <c r="AUI94" s="102"/>
      <c r="AUJ94" s="102"/>
      <c r="AUK94" s="102"/>
      <c r="AUL94" s="102"/>
      <c r="AUM94" s="102"/>
      <c r="AUN94" s="102"/>
      <c r="AUO94" s="102"/>
      <c r="AUP94" s="102"/>
      <c r="AUQ94" s="102"/>
      <c r="AUR94" s="102"/>
      <c r="AUS94" s="102"/>
      <c r="AUT94" s="102"/>
      <c r="AUU94" s="102"/>
      <c r="AUV94" s="102"/>
      <c r="AUW94" s="102"/>
      <c r="AUX94" s="102"/>
      <c r="AUY94" s="102"/>
      <c r="AUZ94" s="102"/>
      <c r="AVA94" s="102"/>
      <c r="AVB94" s="102"/>
      <c r="AVC94" s="102"/>
      <c r="AVD94" s="102"/>
      <c r="AVE94" s="102"/>
      <c r="AVF94" s="102"/>
      <c r="AVG94" s="102"/>
      <c r="AVH94" s="102"/>
      <c r="AVI94" s="102"/>
      <c r="AVJ94" s="102"/>
      <c r="AVK94" s="102"/>
      <c r="AVL94" s="102"/>
      <c r="AVM94" s="102"/>
      <c r="AVN94" s="102"/>
      <c r="AVO94" s="102"/>
      <c r="AVP94" s="102"/>
      <c r="AVQ94" s="102"/>
      <c r="AVR94" s="102"/>
      <c r="AVS94" s="102"/>
      <c r="AVT94" s="102"/>
      <c r="AVU94" s="102"/>
      <c r="AVV94" s="102"/>
      <c r="AVW94" s="102"/>
      <c r="AVX94" s="102"/>
      <c r="AVY94" s="102"/>
      <c r="AVZ94" s="102"/>
      <c r="AWA94" s="102"/>
      <c r="AWB94" s="102"/>
      <c r="AWC94" s="102"/>
      <c r="AWD94" s="102"/>
      <c r="AWE94" s="102"/>
      <c r="AWF94" s="102"/>
      <c r="AWG94" s="102"/>
      <c r="AWH94" s="102"/>
      <c r="AWI94" s="102"/>
      <c r="AWJ94" s="102"/>
      <c r="AWK94" s="102"/>
      <c r="AWL94" s="102"/>
      <c r="AWM94" s="102"/>
      <c r="AWN94" s="102"/>
      <c r="AWO94" s="102"/>
      <c r="AWP94" s="102"/>
      <c r="AWQ94" s="102"/>
      <c r="AWR94" s="102"/>
      <c r="AWS94" s="102"/>
      <c r="AWT94" s="102"/>
      <c r="AWU94" s="102"/>
      <c r="AWV94" s="102"/>
      <c r="AWW94" s="102"/>
      <c r="AWX94" s="102"/>
      <c r="AWY94" s="102"/>
      <c r="AWZ94" s="102"/>
      <c r="AXA94" s="102"/>
      <c r="AXB94" s="102"/>
      <c r="AXC94" s="102"/>
      <c r="AXD94" s="102"/>
      <c r="AXE94" s="102"/>
      <c r="AXF94" s="102"/>
      <c r="AXG94" s="102"/>
      <c r="AXH94" s="102"/>
      <c r="AXI94" s="102"/>
      <c r="AXJ94" s="102"/>
      <c r="AXK94" s="102"/>
      <c r="AXL94" s="102"/>
      <c r="AXM94" s="102"/>
      <c r="AXN94" s="102"/>
      <c r="AXO94" s="102"/>
      <c r="AXP94" s="102"/>
      <c r="AXQ94" s="102"/>
      <c r="AXR94" s="102"/>
      <c r="AXS94" s="102"/>
      <c r="AXT94" s="102"/>
      <c r="AXU94" s="102"/>
      <c r="AXV94" s="102"/>
      <c r="AXW94" s="102"/>
      <c r="AXX94" s="102"/>
      <c r="AXY94" s="102"/>
      <c r="AXZ94" s="102"/>
      <c r="AYA94" s="102"/>
      <c r="AYB94" s="102"/>
      <c r="AYC94" s="102"/>
      <c r="AYD94" s="102"/>
      <c r="AYE94" s="102"/>
      <c r="AYF94" s="102"/>
      <c r="AYG94" s="102"/>
      <c r="AYH94" s="102"/>
      <c r="AYI94" s="102"/>
      <c r="AYJ94" s="102"/>
      <c r="AYK94" s="102"/>
      <c r="AYL94" s="102"/>
      <c r="AYM94" s="102"/>
      <c r="AYN94" s="102"/>
      <c r="AYO94" s="102"/>
      <c r="AYP94" s="102"/>
      <c r="AYQ94" s="102"/>
      <c r="AYR94" s="102"/>
      <c r="AYS94" s="102"/>
      <c r="AYT94" s="102"/>
      <c r="AYU94" s="102"/>
      <c r="AYV94" s="102"/>
      <c r="AYW94" s="102"/>
      <c r="AYX94" s="102"/>
      <c r="AYY94" s="102"/>
      <c r="AYZ94" s="102"/>
      <c r="AZA94" s="102"/>
      <c r="AZB94" s="102"/>
      <c r="AZC94" s="102"/>
      <c r="AZD94" s="102"/>
      <c r="AZE94" s="102"/>
      <c r="AZF94" s="102"/>
      <c r="AZG94" s="102"/>
      <c r="AZH94" s="102"/>
      <c r="AZI94" s="102"/>
      <c r="AZJ94" s="102"/>
      <c r="AZK94" s="102"/>
      <c r="AZL94" s="102"/>
      <c r="AZM94" s="102"/>
      <c r="AZN94" s="102"/>
      <c r="AZO94" s="102"/>
      <c r="AZP94" s="102"/>
      <c r="AZQ94" s="102"/>
      <c r="AZR94" s="102"/>
      <c r="AZS94" s="102"/>
      <c r="AZT94" s="102"/>
      <c r="AZU94" s="102"/>
      <c r="AZV94" s="102"/>
      <c r="AZW94" s="102"/>
      <c r="AZX94" s="102"/>
      <c r="AZY94" s="102"/>
      <c r="AZZ94" s="102"/>
      <c r="BAA94" s="102"/>
      <c r="BAB94" s="102"/>
      <c r="BAC94" s="102"/>
      <c r="BAD94" s="102"/>
      <c r="BAE94" s="102"/>
      <c r="BAF94" s="102"/>
      <c r="BAG94" s="102"/>
      <c r="BAH94" s="102"/>
      <c r="BAI94" s="102"/>
      <c r="BAJ94" s="102"/>
      <c r="BAK94" s="102"/>
      <c r="BAL94" s="102"/>
      <c r="BAM94" s="102"/>
      <c r="BAN94" s="102"/>
      <c r="BAO94" s="102"/>
      <c r="BAP94" s="102"/>
      <c r="BAQ94" s="102"/>
      <c r="BAR94" s="102"/>
      <c r="BAS94" s="102"/>
      <c r="BAT94" s="102"/>
      <c r="BAU94" s="102"/>
      <c r="BAV94" s="102"/>
      <c r="BAW94" s="102"/>
      <c r="BAX94" s="102"/>
      <c r="BAY94" s="102"/>
      <c r="BAZ94" s="102"/>
      <c r="BBA94" s="102"/>
      <c r="BBB94" s="102"/>
      <c r="BBC94" s="102"/>
      <c r="BBD94" s="102"/>
      <c r="BBE94" s="102"/>
      <c r="BBF94" s="102"/>
      <c r="BBG94" s="102"/>
      <c r="BBH94" s="102"/>
      <c r="BBI94" s="102"/>
      <c r="BBJ94" s="102"/>
      <c r="BBK94" s="102"/>
      <c r="BBL94" s="102"/>
      <c r="BBM94" s="102"/>
      <c r="BBN94" s="102"/>
      <c r="BBO94" s="102"/>
      <c r="BBP94" s="102"/>
      <c r="BBQ94" s="102"/>
      <c r="BBR94" s="102"/>
      <c r="BBS94" s="102"/>
      <c r="BBT94" s="102"/>
      <c r="BBU94" s="102"/>
      <c r="BBV94" s="102"/>
      <c r="BBW94" s="102"/>
      <c r="BBX94" s="102"/>
      <c r="BBY94" s="102"/>
      <c r="BBZ94" s="102"/>
      <c r="BCA94" s="102"/>
      <c r="BCB94" s="102"/>
      <c r="BCC94" s="102"/>
      <c r="BCD94" s="102"/>
      <c r="BCE94" s="102"/>
      <c r="BCF94" s="102"/>
      <c r="BCG94" s="102"/>
      <c r="BCH94" s="102"/>
      <c r="BCI94" s="102"/>
      <c r="BCJ94" s="102"/>
      <c r="BCK94" s="102"/>
      <c r="BCL94" s="102"/>
      <c r="BCM94" s="102"/>
      <c r="BCN94" s="102"/>
      <c r="BCO94" s="102"/>
      <c r="BCP94" s="102"/>
      <c r="BCQ94" s="102"/>
      <c r="BCR94" s="102"/>
      <c r="BCS94" s="102"/>
      <c r="BCT94" s="102"/>
      <c r="BCU94" s="102"/>
      <c r="BCV94" s="102"/>
      <c r="BCW94" s="102"/>
      <c r="BCX94" s="102"/>
      <c r="BCY94" s="102"/>
      <c r="BCZ94" s="102"/>
      <c r="BDA94" s="102"/>
      <c r="BDB94" s="102"/>
      <c r="BDC94" s="102"/>
      <c r="BDD94" s="102"/>
      <c r="BDE94" s="102"/>
      <c r="BDF94" s="102"/>
      <c r="BDG94" s="102"/>
      <c r="BDH94" s="102"/>
      <c r="BDI94" s="102"/>
      <c r="BDJ94" s="102"/>
      <c r="BDK94" s="102"/>
      <c r="BDL94" s="102"/>
      <c r="BDM94" s="102"/>
      <c r="BDN94" s="102"/>
      <c r="BDO94" s="102"/>
      <c r="BDP94" s="102"/>
      <c r="BDQ94" s="102"/>
      <c r="BDR94" s="102"/>
      <c r="BDS94" s="102"/>
      <c r="BDT94" s="102"/>
      <c r="BDU94" s="102"/>
      <c r="BDV94" s="102"/>
      <c r="BDW94" s="102"/>
      <c r="BDX94" s="102"/>
      <c r="BDY94" s="102"/>
      <c r="BDZ94" s="102"/>
      <c r="BEA94" s="102"/>
      <c r="BEB94" s="102"/>
      <c r="BEC94" s="102"/>
      <c r="BED94" s="102"/>
      <c r="BEE94" s="102"/>
      <c r="BEF94" s="102"/>
      <c r="BEG94" s="102"/>
      <c r="BEH94" s="102"/>
      <c r="BEI94" s="102"/>
      <c r="BEJ94" s="102"/>
      <c r="BEK94" s="102"/>
      <c r="BEL94" s="102"/>
      <c r="BEM94" s="102"/>
      <c r="BEN94" s="102"/>
      <c r="BEO94" s="102"/>
      <c r="BEP94" s="102"/>
      <c r="BEQ94" s="102"/>
      <c r="BER94" s="102"/>
      <c r="BES94" s="102"/>
      <c r="BET94" s="102"/>
      <c r="BEU94" s="102"/>
      <c r="BEV94" s="102"/>
      <c r="BEW94" s="102"/>
      <c r="BEX94" s="102"/>
      <c r="BEY94" s="102"/>
      <c r="BEZ94" s="102"/>
      <c r="BFA94" s="102"/>
      <c r="BFB94" s="102"/>
      <c r="BFC94" s="102"/>
      <c r="BFD94" s="102"/>
      <c r="BFE94" s="102"/>
      <c r="BFF94" s="102"/>
      <c r="BFG94" s="102"/>
      <c r="BFH94" s="102"/>
      <c r="BFI94" s="102"/>
      <c r="BFJ94" s="102"/>
      <c r="BFK94" s="102"/>
      <c r="BFL94" s="102"/>
      <c r="BFM94" s="102"/>
      <c r="BFN94" s="102"/>
      <c r="BFO94" s="102"/>
      <c r="BFP94" s="102"/>
      <c r="BFQ94" s="102"/>
      <c r="BFR94" s="102"/>
      <c r="BFS94" s="102"/>
      <c r="BFT94" s="102"/>
      <c r="BFU94" s="102"/>
      <c r="BFV94" s="102"/>
      <c r="BFW94" s="102"/>
      <c r="BFX94" s="102"/>
      <c r="BFY94" s="102"/>
      <c r="BFZ94" s="102"/>
      <c r="BGA94" s="102"/>
      <c r="BGB94" s="102"/>
      <c r="BGC94" s="102"/>
      <c r="BGD94" s="102"/>
      <c r="BGE94" s="102"/>
      <c r="BGF94" s="102"/>
      <c r="BGG94" s="102"/>
      <c r="BGH94" s="102"/>
      <c r="BGI94" s="102"/>
      <c r="BGJ94" s="102"/>
      <c r="BGK94" s="102"/>
      <c r="BGL94" s="102"/>
      <c r="BGM94" s="102"/>
      <c r="BGN94" s="102"/>
      <c r="BGO94" s="102"/>
      <c r="BGP94" s="102"/>
      <c r="BGQ94" s="102"/>
      <c r="BGR94" s="102"/>
      <c r="BGS94" s="102"/>
      <c r="BGT94" s="102"/>
      <c r="BGU94" s="102"/>
      <c r="BGV94" s="102"/>
      <c r="BGW94" s="102"/>
      <c r="BGX94" s="102"/>
      <c r="BGY94" s="102"/>
      <c r="BGZ94" s="102"/>
      <c r="BHA94" s="102"/>
      <c r="BHB94" s="102"/>
      <c r="BHC94" s="102"/>
      <c r="BHD94" s="102"/>
      <c r="BHE94" s="102"/>
      <c r="BHF94" s="102"/>
      <c r="BHG94" s="102"/>
      <c r="BHH94" s="102"/>
      <c r="BHI94" s="102"/>
      <c r="BHJ94" s="102"/>
      <c r="BHK94" s="102"/>
      <c r="BHL94" s="102"/>
      <c r="BHM94" s="102"/>
      <c r="BHN94" s="102"/>
      <c r="BHO94" s="102"/>
      <c r="BHP94" s="102"/>
      <c r="BHQ94" s="102"/>
      <c r="BHR94" s="102"/>
      <c r="BHS94" s="102"/>
      <c r="BHT94" s="102"/>
      <c r="BHU94" s="102"/>
      <c r="BHV94" s="102"/>
      <c r="BHW94" s="102"/>
      <c r="BHX94" s="102"/>
      <c r="BHY94" s="102"/>
      <c r="BHZ94" s="102"/>
      <c r="BIA94" s="102"/>
      <c r="BIB94" s="102"/>
      <c r="BIC94" s="102"/>
      <c r="BID94" s="102"/>
      <c r="BIE94" s="102"/>
      <c r="BIF94" s="102"/>
      <c r="BIG94" s="102"/>
      <c r="BIH94" s="102"/>
      <c r="BII94" s="102"/>
      <c r="BIJ94" s="102"/>
      <c r="BIK94" s="102"/>
      <c r="BIL94" s="102"/>
      <c r="BIM94" s="102"/>
      <c r="BIN94" s="102"/>
      <c r="BIO94" s="102"/>
      <c r="BIP94" s="102"/>
      <c r="BIQ94" s="102"/>
      <c r="BIR94" s="102"/>
      <c r="BIS94" s="102"/>
      <c r="BIT94" s="102"/>
      <c r="BIU94" s="102"/>
      <c r="BIV94" s="102"/>
      <c r="BIW94" s="102"/>
      <c r="BIX94" s="102"/>
      <c r="BIY94" s="102"/>
      <c r="BIZ94" s="102"/>
      <c r="BJA94" s="102"/>
      <c r="BJB94" s="102"/>
      <c r="BJC94" s="102"/>
      <c r="BJD94" s="102"/>
      <c r="BJE94" s="102"/>
      <c r="BJF94" s="102"/>
      <c r="BJG94" s="102"/>
      <c r="BJH94" s="102"/>
      <c r="BJI94" s="102"/>
      <c r="BJJ94" s="102"/>
      <c r="BJK94" s="102"/>
      <c r="BJL94" s="102"/>
      <c r="BJM94" s="102"/>
      <c r="BJN94" s="102"/>
      <c r="BJO94" s="102"/>
      <c r="BJP94" s="102"/>
      <c r="BJQ94" s="102"/>
      <c r="BJR94" s="102"/>
      <c r="BJS94" s="102"/>
      <c r="BJT94" s="102"/>
      <c r="BJU94" s="102"/>
      <c r="BJV94" s="102"/>
      <c r="BJW94" s="102"/>
      <c r="BJX94" s="102"/>
      <c r="BJY94" s="102"/>
      <c r="BJZ94" s="102"/>
      <c r="BKA94" s="102"/>
      <c r="BKB94" s="102"/>
      <c r="BKC94" s="102"/>
      <c r="BKD94" s="102"/>
      <c r="BKE94" s="102"/>
      <c r="BKF94" s="102"/>
      <c r="BKG94" s="102"/>
      <c r="BKH94" s="102"/>
      <c r="BKI94" s="102"/>
      <c r="BKJ94" s="102"/>
      <c r="BKK94" s="102"/>
      <c r="BKL94" s="102"/>
      <c r="BKM94" s="102"/>
      <c r="BKN94" s="102"/>
      <c r="BKO94" s="102"/>
      <c r="BKP94" s="102"/>
      <c r="BKQ94" s="102"/>
      <c r="BKR94" s="102"/>
      <c r="BKS94" s="102"/>
      <c r="BKT94" s="102"/>
      <c r="BKU94" s="102"/>
      <c r="BKV94" s="102"/>
      <c r="BKW94" s="102"/>
      <c r="BKX94" s="102"/>
      <c r="BKY94" s="102"/>
      <c r="BKZ94" s="102"/>
      <c r="BLA94" s="102"/>
      <c r="BLB94" s="102"/>
      <c r="BLC94" s="102"/>
      <c r="BLD94" s="102"/>
      <c r="BLE94" s="102"/>
      <c r="BLF94" s="102"/>
      <c r="BLG94" s="102"/>
      <c r="BLH94" s="102"/>
      <c r="BLI94" s="102"/>
      <c r="BLJ94" s="102"/>
      <c r="BLK94" s="102"/>
      <c r="BLL94" s="102"/>
      <c r="BLM94" s="102"/>
      <c r="BLN94" s="102"/>
      <c r="BLO94" s="102"/>
      <c r="BLP94" s="102"/>
      <c r="BLQ94" s="102"/>
      <c r="BLR94" s="102"/>
      <c r="BLS94" s="102"/>
      <c r="BLT94" s="102"/>
      <c r="BLU94" s="102"/>
      <c r="BLV94" s="102"/>
      <c r="BLW94" s="102"/>
      <c r="BLX94" s="102"/>
      <c r="BLY94" s="102"/>
      <c r="BLZ94" s="102"/>
      <c r="BMA94" s="102"/>
      <c r="BMB94" s="102"/>
      <c r="BMC94" s="102"/>
      <c r="BMD94" s="102"/>
      <c r="BME94" s="102"/>
      <c r="BMF94" s="102"/>
      <c r="BMG94" s="102"/>
      <c r="BMH94" s="102"/>
      <c r="BMI94" s="102"/>
      <c r="BMJ94" s="102"/>
      <c r="BMK94" s="102"/>
      <c r="BML94" s="102"/>
      <c r="BMM94" s="102"/>
      <c r="BMN94" s="102"/>
      <c r="BMO94" s="102"/>
      <c r="BMP94" s="102"/>
      <c r="BMQ94" s="102"/>
      <c r="BMR94" s="102"/>
      <c r="BMS94" s="102"/>
      <c r="BMT94" s="102"/>
      <c r="BMU94" s="102"/>
      <c r="BMV94" s="102"/>
      <c r="BMW94" s="102"/>
      <c r="BMX94" s="102"/>
      <c r="BMY94" s="102"/>
      <c r="BMZ94" s="102"/>
      <c r="BNA94" s="102"/>
      <c r="BNB94" s="102"/>
      <c r="BNC94" s="102"/>
      <c r="BND94" s="102"/>
      <c r="BNE94" s="102"/>
      <c r="BNF94" s="102"/>
      <c r="BNG94" s="102"/>
      <c r="BNH94" s="102"/>
      <c r="BNI94" s="102"/>
      <c r="BNJ94" s="102"/>
      <c r="BNK94" s="102"/>
      <c r="BNL94" s="102"/>
      <c r="BNM94" s="102"/>
      <c r="BNN94" s="102"/>
      <c r="BNO94" s="102"/>
      <c r="BNP94" s="102"/>
      <c r="BNQ94" s="102"/>
      <c r="BNR94" s="102"/>
      <c r="BNS94" s="102"/>
      <c r="BNT94" s="102"/>
      <c r="BNU94" s="102"/>
      <c r="BNV94" s="102"/>
      <c r="BNW94" s="102"/>
      <c r="BNX94" s="102"/>
      <c r="BNY94" s="102"/>
      <c r="BNZ94" s="102"/>
      <c r="BOA94" s="102"/>
      <c r="BOB94" s="102"/>
      <c r="BOC94" s="102"/>
      <c r="BOD94" s="102"/>
      <c r="BOE94" s="102"/>
      <c r="BOF94" s="102"/>
      <c r="BOG94" s="102"/>
      <c r="BOH94" s="102"/>
      <c r="BOI94" s="102"/>
      <c r="BOJ94" s="102"/>
      <c r="BOK94" s="102"/>
      <c r="BOL94" s="102"/>
      <c r="BOM94" s="102"/>
      <c r="BON94" s="102"/>
      <c r="BOO94" s="102"/>
      <c r="BOP94" s="102"/>
      <c r="BOQ94" s="102"/>
      <c r="BOR94" s="102"/>
      <c r="BOS94" s="102"/>
      <c r="BOT94" s="102"/>
      <c r="BOU94" s="102"/>
      <c r="BOV94" s="102"/>
      <c r="BOW94" s="102"/>
      <c r="BOX94" s="102"/>
      <c r="BOY94" s="102"/>
      <c r="BOZ94" s="102"/>
      <c r="BPA94" s="102"/>
      <c r="BPB94" s="102"/>
      <c r="BPC94" s="102"/>
      <c r="BPD94" s="102"/>
      <c r="BPE94" s="102"/>
      <c r="BPF94" s="102"/>
      <c r="BPG94" s="102"/>
      <c r="BPH94" s="102"/>
      <c r="BPI94" s="102"/>
      <c r="BPJ94" s="102"/>
      <c r="BPK94" s="102"/>
      <c r="BPL94" s="102"/>
      <c r="BPM94" s="102"/>
      <c r="BPN94" s="102"/>
      <c r="BPO94" s="102"/>
      <c r="BPP94" s="102"/>
      <c r="BPQ94" s="102"/>
      <c r="BPR94" s="102"/>
      <c r="BPS94" s="102"/>
      <c r="BPT94" s="102"/>
      <c r="BPU94" s="102"/>
      <c r="BPV94" s="102"/>
      <c r="BPW94" s="102"/>
      <c r="BPX94" s="102"/>
      <c r="BPY94" s="102"/>
      <c r="BPZ94" s="102"/>
      <c r="BQA94" s="102"/>
      <c r="BQB94" s="102"/>
      <c r="BQC94" s="102"/>
      <c r="BQD94" s="102"/>
      <c r="BQE94" s="102"/>
      <c r="BQF94" s="102"/>
      <c r="BQG94" s="102"/>
      <c r="BQH94" s="102"/>
      <c r="BQI94" s="102"/>
      <c r="BQJ94" s="102"/>
      <c r="BQK94" s="102"/>
      <c r="BQL94" s="102"/>
      <c r="BQM94" s="102"/>
      <c r="BQN94" s="102"/>
      <c r="BQO94" s="102"/>
      <c r="BQP94" s="102"/>
      <c r="BQQ94" s="102"/>
      <c r="BQR94" s="102"/>
      <c r="BQS94" s="102"/>
      <c r="BQT94" s="102"/>
      <c r="BQU94" s="102"/>
      <c r="BQV94" s="102"/>
      <c r="BQW94" s="102"/>
      <c r="BQX94" s="102"/>
      <c r="BQY94" s="102"/>
      <c r="BQZ94" s="102"/>
      <c r="BRA94" s="102"/>
      <c r="BRB94" s="102"/>
      <c r="BRC94" s="102"/>
      <c r="BRD94" s="102"/>
      <c r="BRE94" s="102"/>
      <c r="BRF94" s="102"/>
      <c r="BRG94" s="102"/>
      <c r="BRH94" s="102"/>
      <c r="BRI94" s="102"/>
      <c r="BRJ94" s="102"/>
      <c r="BRK94" s="102"/>
      <c r="BRL94" s="102"/>
      <c r="BRM94" s="102"/>
      <c r="BRN94" s="102"/>
      <c r="BRO94" s="102"/>
      <c r="BRP94" s="102"/>
      <c r="BRQ94" s="102"/>
      <c r="BRR94" s="102"/>
      <c r="BRS94" s="102"/>
      <c r="BRT94" s="102"/>
      <c r="BRU94" s="102"/>
      <c r="BRV94" s="102"/>
      <c r="BRW94" s="102"/>
      <c r="BRX94" s="102"/>
      <c r="BRY94" s="102"/>
      <c r="BRZ94" s="102"/>
      <c r="BSA94" s="102"/>
      <c r="BSB94" s="102"/>
      <c r="BSC94" s="102"/>
      <c r="BSD94" s="102"/>
      <c r="BSE94" s="102"/>
      <c r="BSF94" s="102"/>
      <c r="BSG94" s="102"/>
      <c r="BSH94" s="102"/>
      <c r="BSI94" s="102"/>
      <c r="BSJ94" s="102"/>
      <c r="BSK94" s="102"/>
      <c r="BSL94" s="102"/>
      <c r="BSM94" s="102"/>
      <c r="BSN94" s="102"/>
      <c r="BSO94" s="102"/>
      <c r="BSP94" s="102"/>
      <c r="BSQ94" s="102"/>
      <c r="BSR94" s="102"/>
      <c r="BSS94" s="102"/>
      <c r="BST94" s="102"/>
      <c r="BSU94" s="102"/>
      <c r="BSV94" s="102"/>
      <c r="BSW94" s="102"/>
      <c r="BSX94" s="102"/>
      <c r="BSY94" s="102"/>
      <c r="BSZ94" s="102"/>
      <c r="BTA94" s="102"/>
      <c r="BTB94" s="102"/>
      <c r="BTC94" s="102"/>
      <c r="BTD94" s="102"/>
      <c r="BTE94" s="102"/>
      <c r="BTF94" s="102"/>
      <c r="BTG94" s="102"/>
      <c r="BTH94" s="102"/>
      <c r="BTI94" s="102"/>
      <c r="BTJ94" s="102"/>
      <c r="BTK94" s="102"/>
      <c r="BTL94" s="102"/>
      <c r="BTM94" s="102"/>
      <c r="BTN94" s="102"/>
      <c r="BTO94" s="102"/>
      <c r="BTP94" s="102"/>
      <c r="BTQ94" s="102"/>
      <c r="BTR94" s="102"/>
      <c r="BTS94" s="102"/>
      <c r="BTT94" s="102"/>
      <c r="BTU94" s="102"/>
      <c r="BTV94" s="102"/>
      <c r="BTW94" s="102"/>
      <c r="BTX94" s="102"/>
      <c r="BTY94" s="102"/>
      <c r="BTZ94" s="102"/>
      <c r="BUA94" s="102"/>
      <c r="BUB94" s="102"/>
      <c r="BUC94" s="102"/>
      <c r="BUD94" s="102"/>
      <c r="BUE94" s="102"/>
      <c r="BUF94" s="102"/>
      <c r="BUG94" s="102"/>
      <c r="BUH94" s="102"/>
      <c r="BUI94" s="102"/>
      <c r="BUJ94" s="102"/>
      <c r="BUK94" s="102"/>
      <c r="BUL94" s="102"/>
      <c r="BUM94" s="102"/>
      <c r="BUN94" s="102"/>
      <c r="BUO94" s="102"/>
      <c r="BUP94" s="102"/>
      <c r="BUQ94" s="102"/>
      <c r="BUR94" s="102"/>
      <c r="BUS94" s="102"/>
      <c r="BUT94" s="102"/>
      <c r="BUU94" s="102"/>
      <c r="BUV94" s="102"/>
      <c r="BUW94" s="102"/>
      <c r="BUX94" s="102"/>
      <c r="BUY94" s="102"/>
      <c r="BUZ94" s="102"/>
      <c r="BVA94" s="102"/>
      <c r="BVB94" s="102"/>
      <c r="BVC94" s="102"/>
      <c r="BVD94" s="102"/>
      <c r="BVE94" s="102"/>
      <c r="BVF94" s="102"/>
      <c r="BVG94" s="102"/>
      <c r="BVH94" s="102"/>
      <c r="BVI94" s="102"/>
      <c r="BVJ94" s="102"/>
      <c r="BVK94" s="102"/>
      <c r="BVL94" s="102"/>
      <c r="BVM94" s="102"/>
      <c r="BVN94" s="102"/>
      <c r="BVO94" s="102"/>
      <c r="BVP94" s="102"/>
      <c r="BVQ94" s="102"/>
      <c r="BVR94" s="102"/>
      <c r="BVS94" s="102"/>
      <c r="BVT94" s="102"/>
      <c r="BVU94" s="102"/>
      <c r="BVV94" s="102"/>
      <c r="BVW94" s="102"/>
      <c r="BVX94" s="102"/>
      <c r="BVY94" s="102"/>
      <c r="BVZ94" s="102"/>
      <c r="BWA94" s="102"/>
      <c r="BWB94" s="102"/>
      <c r="BWC94" s="102"/>
      <c r="BWD94" s="102"/>
      <c r="BWE94" s="102"/>
      <c r="BWF94" s="102"/>
      <c r="BWG94" s="102"/>
      <c r="BWH94" s="102"/>
      <c r="BWI94" s="102"/>
      <c r="BWJ94" s="102"/>
      <c r="BWK94" s="102"/>
      <c r="BWL94" s="102"/>
      <c r="BWM94" s="102"/>
      <c r="BWN94" s="102"/>
      <c r="BWO94" s="102"/>
      <c r="BWP94" s="102"/>
      <c r="BWQ94" s="102"/>
      <c r="BWR94" s="102"/>
      <c r="BWS94" s="102"/>
      <c r="BWT94" s="102"/>
      <c r="BWU94" s="102"/>
      <c r="BWV94" s="102"/>
      <c r="BWW94" s="102"/>
      <c r="BWX94" s="102"/>
      <c r="BWY94" s="102"/>
      <c r="BWZ94" s="102"/>
      <c r="BXA94" s="102"/>
      <c r="BXB94" s="102"/>
      <c r="BXC94" s="102"/>
      <c r="BXD94" s="102"/>
      <c r="BXE94" s="102"/>
      <c r="BXF94" s="102"/>
      <c r="BXG94" s="102"/>
      <c r="BXH94" s="102"/>
      <c r="BXI94" s="102"/>
      <c r="BXJ94" s="102"/>
      <c r="BXK94" s="102"/>
      <c r="BXL94" s="102"/>
      <c r="BXM94" s="102"/>
      <c r="BXN94" s="102"/>
      <c r="BXO94" s="102"/>
      <c r="BXP94" s="102"/>
      <c r="BXQ94" s="102"/>
      <c r="BXR94" s="102"/>
      <c r="BXS94" s="102"/>
      <c r="BXT94" s="102"/>
      <c r="BXU94" s="102"/>
      <c r="BXV94" s="102"/>
      <c r="BXW94" s="102"/>
      <c r="BXX94" s="102"/>
      <c r="BXY94" s="102"/>
      <c r="BXZ94" s="102"/>
      <c r="BYA94" s="102"/>
      <c r="BYB94" s="102"/>
      <c r="BYC94" s="102"/>
      <c r="BYD94" s="102"/>
      <c r="BYE94" s="102"/>
      <c r="BYF94" s="102"/>
      <c r="BYG94" s="102"/>
      <c r="BYH94" s="102"/>
      <c r="BYI94" s="102"/>
      <c r="BYJ94" s="102"/>
      <c r="BYK94" s="102"/>
      <c r="BYL94" s="102"/>
      <c r="BYM94" s="102"/>
      <c r="BYN94" s="102"/>
      <c r="BYO94" s="102"/>
      <c r="BYP94" s="102"/>
      <c r="BYQ94" s="102"/>
      <c r="BYR94" s="102"/>
      <c r="BYS94" s="102"/>
      <c r="BYT94" s="102"/>
      <c r="BYU94" s="102"/>
      <c r="BYV94" s="102"/>
      <c r="BYW94" s="102"/>
      <c r="BYX94" s="102"/>
      <c r="BYY94" s="102"/>
      <c r="BYZ94" s="102"/>
      <c r="BZA94" s="102"/>
      <c r="BZB94" s="102"/>
      <c r="BZC94" s="102"/>
      <c r="BZD94" s="102"/>
      <c r="BZE94" s="102"/>
      <c r="BZF94" s="102"/>
      <c r="BZG94" s="102"/>
      <c r="BZH94" s="102"/>
      <c r="BZI94" s="102"/>
      <c r="BZJ94" s="102"/>
      <c r="BZK94" s="102"/>
      <c r="BZL94" s="102"/>
      <c r="BZM94" s="102"/>
      <c r="BZN94" s="102"/>
      <c r="BZO94" s="102"/>
      <c r="BZP94" s="102"/>
      <c r="BZQ94" s="102"/>
      <c r="BZR94" s="102"/>
      <c r="BZS94" s="102"/>
      <c r="BZT94" s="102"/>
      <c r="BZU94" s="102"/>
      <c r="BZV94" s="102"/>
      <c r="BZW94" s="102"/>
      <c r="BZX94" s="102"/>
      <c r="BZY94" s="102"/>
      <c r="BZZ94" s="102"/>
      <c r="CAA94" s="102"/>
      <c r="CAB94" s="102"/>
      <c r="CAC94" s="102"/>
      <c r="CAD94" s="102"/>
      <c r="CAE94" s="102"/>
      <c r="CAF94" s="102"/>
      <c r="CAG94" s="102"/>
      <c r="CAH94" s="102"/>
      <c r="CAI94" s="102"/>
      <c r="CAJ94" s="102"/>
      <c r="CAK94" s="102"/>
      <c r="CAL94" s="102"/>
      <c r="CAM94" s="102"/>
      <c r="CAN94" s="102"/>
      <c r="CAO94" s="102"/>
      <c r="CAP94" s="102"/>
      <c r="CAQ94" s="102"/>
      <c r="CAR94" s="102"/>
      <c r="CAS94" s="102"/>
      <c r="CAT94" s="102"/>
      <c r="CAU94" s="102"/>
      <c r="CAV94" s="102"/>
      <c r="CAW94" s="102"/>
      <c r="CAX94" s="102"/>
      <c r="CAY94" s="102"/>
      <c r="CAZ94" s="102"/>
      <c r="CBA94" s="102"/>
      <c r="CBB94" s="102"/>
      <c r="CBC94" s="102"/>
      <c r="CBD94" s="102"/>
      <c r="CBE94" s="102"/>
      <c r="CBF94" s="102"/>
      <c r="CBG94" s="102"/>
      <c r="CBH94" s="102"/>
      <c r="CBI94" s="102"/>
      <c r="CBJ94" s="102"/>
      <c r="CBK94" s="102"/>
      <c r="CBL94" s="102"/>
      <c r="CBM94" s="102"/>
      <c r="CBN94" s="102"/>
      <c r="CBO94" s="102"/>
      <c r="CBP94" s="102"/>
      <c r="CBQ94" s="102"/>
      <c r="CBR94" s="102"/>
      <c r="CBS94" s="102"/>
      <c r="CBT94" s="102"/>
      <c r="CBU94" s="102"/>
      <c r="CBV94" s="102"/>
      <c r="CBW94" s="102"/>
      <c r="CBX94" s="102"/>
      <c r="CBY94" s="102"/>
      <c r="CBZ94" s="102"/>
      <c r="CCA94" s="102"/>
      <c r="CCB94" s="102"/>
      <c r="CCC94" s="102"/>
      <c r="CCD94" s="102"/>
      <c r="CCE94" s="102"/>
      <c r="CCF94" s="102"/>
      <c r="CCG94" s="102"/>
      <c r="CCH94" s="102"/>
      <c r="CCI94" s="102"/>
      <c r="CCJ94" s="102"/>
      <c r="CCK94" s="102"/>
      <c r="CCL94" s="102"/>
      <c r="CCM94" s="102"/>
      <c r="CCN94" s="102"/>
      <c r="CCO94" s="102"/>
      <c r="CCP94" s="102"/>
      <c r="CCQ94" s="102"/>
      <c r="CCR94" s="102"/>
      <c r="CCS94" s="102"/>
      <c r="CCT94" s="102"/>
      <c r="CCU94" s="102"/>
      <c r="CCV94" s="102"/>
      <c r="CCW94" s="102"/>
      <c r="CCX94" s="102"/>
      <c r="CCY94" s="102"/>
      <c r="CCZ94" s="102"/>
      <c r="CDA94" s="102"/>
      <c r="CDB94" s="102"/>
      <c r="CDC94" s="102"/>
      <c r="CDD94" s="102"/>
      <c r="CDE94" s="102"/>
      <c r="CDF94" s="102"/>
      <c r="CDG94" s="102"/>
      <c r="CDH94" s="102"/>
      <c r="CDI94" s="102"/>
      <c r="CDJ94" s="102"/>
      <c r="CDK94" s="102"/>
      <c r="CDL94" s="102"/>
      <c r="CDM94" s="102"/>
      <c r="CDN94" s="102"/>
      <c r="CDO94" s="102"/>
      <c r="CDP94" s="102"/>
      <c r="CDQ94" s="102"/>
      <c r="CDR94" s="102"/>
      <c r="CDS94" s="102"/>
      <c r="CDT94" s="102"/>
      <c r="CDU94" s="102"/>
      <c r="CDV94" s="102"/>
      <c r="CDW94" s="102"/>
      <c r="CDX94" s="102"/>
      <c r="CDY94" s="102"/>
      <c r="CDZ94" s="102"/>
      <c r="CEA94" s="102"/>
      <c r="CEB94" s="102"/>
      <c r="CEC94" s="102"/>
      <c r="CED94" s="102"/>
      <c r="CEE94" s="102"/>
      <c r="CEF94" s="102"/>
      <c r="CEG94" s="102"/>
      <c r="CEH94" s="102"/>
      <c r="CEI94" s="102"/>
      <c r="CEJ94" s="102"/>
      <c r="CEK94" s="102"/>
      <c r="CEL94" s="102"/>
      <c r="CEM94" s="102"/>
      <c r="CEN94" s="102"/>
      <c r="CEO94" s="102"/>
      <c r="CEP94" s="102"/>
      <c r="CEQ94" s="102"/>
      <c r="CER94" s="102"/>
      <c r="CES94" s="102"/>
      <c r="CET94" s="102"/>
      <c r="CEU94" s="102"/>
      <c r="CEV94" s="102"/>
      <c r="CEW94" s="102"/>
      <c r="CEX94" s="102"/>
      <c r="CEY94" s="102"/>
      <c r="CEZ94" s="102"/>
      <c r="CFA94" s="102"/>
      <c r="CFB94" s="102"/>
      <c r="CFC94" s="102"/>
      <c r="CFD94" s="102"/>
      <c r="CFE94" s="102"/>
      <c r="CFF94" s="102"/>
      <c r="CFG94" s="102"/>
      <c r="CFH94" s="102"/>
      <c r="CFI94" s="102"/>
      <c r="CFJ94" s="102"/>
      <c r="CFK94" s="102"/>
      <c r="CFL94" s="102"/>
      <c r="CFM94" s="102"/>
      <c r="CFN94" s="102"/>
      <c r="CFO94" s="102"/>
      <c r="CFP94" s="102"/>
      <c r="CFQ94" s="102"/>
      <c r="CFR94" s="102"/>
      <c r="CFS94" s="102"/>
      <c r="CFT94" s="102"/>
      <c r="CFU94" s="102"/>
      <c r="CFV94" s="102"/>
      <c r="CFW94" s="102"/>
      <c r="CFX94" s="102"/>
      <c r="CFY94" s="102"/>
      <c r="CFZ94" s="102"/>
      <c r="CGA94" s="102"/>
      <c r="CGB94" s="102"/>
      <c r="CGC94" s="102"/>
      <c r="CGD94" s="102"/>
      <c r="CGE94" s="102"/>
      <c r="CGF94" s="102"/>
      <c r="CGG94" s="102"/>
      <c r="CGH94" s="102"/>
      <c r="CGI94" s="102"/>
      <c r="CGJ94" s="102"/>
      <c r="CGK94" s="102"/>
      <c r="CGL94" s="102"/>
      <c r="CGM94" s="102"/>
      <c r="CGN94" s="102"/>
      <c r="CGO94" s="102"/>
      <c r="CGP94" s="102"/>
      <c r="CGQ94" s="102"/>
      <c r="CGR94" s="102"/>
      <c r="CGS94" s="102"/>
      <c r="CGT94" s="102"/>
      <c r="CGU94" s="102"/>
      <c r="CGV94" s="102"/>
      <c r="CGW94" s="102"/>
      <c r="CGX94" s="102"/>
      <c r="CGY94" s="102"/>
      <c r="CGZ94" s="102"/>
      <c r="CHA94" s="102"/>
      <c r="CHB94" s="102"/>
      <c r="CHC94" s="102"/>
      <c r="CHD94" s="102"/>
      <c r="CHE94" s="102"/>
      <c r="CHF94" s="102"/>
      <c r="CHG94" s="102"/>
      <c r="CHH94" s="102"/>
      <c r="CHI94" s="102"/>
      <c r="CHJ94" s="102"/>
      <c r="CHK94" s="102"/>
      <c r="CHL94" s="102"/>
      <c r="CHM94" s="102"/>
      <c r="CHN94" s="102"/>
      <c r="CHO94" s="102"/>
      <c r="CHP94" s="102"/>
      <c r="CHQ94" s="102"/>
      <c r="CHR94" s="102"/>
      <c r="CHS94" s="102"/>
      <c r="CHT94" s="102"/>
      <c r="CHU94" s="102"/>
      <c r="CHV94" s="102"/>
      <c r="CHW94" s="102"/>
      <c r="CHX94" s="102"/>
      <c r="CHY94" s="102"/>
      <c r="CHZ94" s="102"/>
      <c r="CIA94" s="102"/>
      <c r="CIB94" s="102"/>
      <c r="CIC94" s="102"/>
      <c r="CID94" s="102"/>
      <c r="CIE94" s="102"/>
      <c r="CIF94" s="102"/>
      <c r="CIG94" s="102"/>
      <c r="CIH94" s="102"/>
      <c r="CII94" s="102"/>
      <c r="CIJ94" s="102"/>
      <c r="CIK94" s="102"/>
      <c r="CIL94" s="102"/>
      <c r="CIM94" s="102"/>
      <c r="CIN94" s="102"/>
      <c r="CIO94" s="102"/>
      <c r="CIP94" s="102"/>
      <c r="CIQ94" s="102"/>
      <c r="CIR94" s="102"/>
      <c r="CIS94" s="102"/>
      <c r="CIT94" s="102"/>
      <c r="CIU94" s="102"/>
      <c r="CIV94" s="102"/>
      <c r="CIW94" s="102"/>
      <c r="CIX94" s="102"/>
      <c r="CIY94" s="102"/>
      <c r="CIZ94" s="102"/>
      <c r="CJA94" s="102"/>
      <c r="CJB94" s="102"/>
      <c r="CJC94" s="102"/>
      <c r="CJD94" s="102"/>
      <c r="CJE94" s="102"/>
      <c r="CJF94" s="102"/>
      <c r="CJG94" s="102"/>
      <c r="CJH94" s="102"/>
      <c r="CJI94" s="102"/>
      <c r="CJJ94" s="102"/>
      <c r="CJK94" s="102"/>
      <c r="CJL94" s="102"/>
      <c r="CJM94" s="102"/>
      <c r="CJN94" s="102"/>
      <c r="CJO94" s="102"/>
      <c r="CJP94" s="102"/>
      <c r="CJQ94" s="102"/>
      <c r="CJR94" s="102"/>
      <c r="CJS94" s="102"/>
      <c r="CJT94" s="102"/>
      <c r="CJU94" s="102"/>
      <c r="CJV94" s="102"/>
      <c r="CJW94" s="102"/>
      <c r="CJX94" s="102"/>
      <c r="CJY94" s="102"/>
      <c r="CJZ94" s="102"/>
      <c r="CKA94" s="102"/>
      <c r="CKB94" s="102"/>
      <c r="CKC94" s="102"/>
      <c r="CKD94" s="102"/>
      <c r="CKE94" s="102"/>
      <c r="CKF94" s="102"/>
      <c r="CKG94" s="102"/>
      <c r="CKH94" s="102"/>
      <c r="CKI94" s="102"/>
      <c r="CKJ94" s="102"/>
      <c r="CKK94" s="102"/>
      <c r="CKL94" s="102"/>
      <c r="CKM94" s="102"/>
      <c r="CKN94" s="102"/>
      <c r="CKO94" s="102"/>
      <c r="CKP94" s="102"/>
      <c r="CKQ94" s="102"/>
      <c r="CKR94" s="102"/>
      <c r="CKS94" s="102"/>
      <c r="CKT94" s="102"/>
      <c r="CKU94" s="102"/>
      <c r="CKV94" s="102"/>
      <c r="CKW94" s="102"/>
      <c r="CKX94" s="102"/>
      <c r="CKY94" s="102"/>
      <c r="CKZ94" s="102"/>
      <c r="CLA94" s="102"/>
      <c r="CLB94" s="102"/>
      <c r="CLC94" s="102"/>
      <c r="CLD94" s="102"/>
      <c r="CLE94" s="102"/>
      <c r="CLF94" s="102"/>
      <c r="CLG94" s="102"/>
      <c r="CLH94" s="102"/>
      <c r="CLI94" s="102"/>
      <c r="CLJ94" s="102"/>
      <c r="CLK94" s="102"/>
      <c r="CLL94" s="102"/>
      <c r="CLM94" s="102"/>
      <c r="CLN94" s="102"/>
      <c r="CLO94" s="102"/>
      <c r="CLP94" s="102"/>
      <c r="CLQ94" s="102"/>
      <c r="CLR94" s="102"/>
      <c r="CLS94" s="102"/>
      <c r="CLT94" s="102"/>
      <c r="CLU94" s="102"/>
      <c r="CLV94" s="102"/>
      <c r="CLW94" s="102"/>
      <c r="CLX94" s="102"/>
      <c r="CLY94" s="102"/>
      <c r="CLZ94" s="102"/>
      <c r="CMA94" s="102"/>
      <c r="CMB94" s="102"/>
      <c r="CMC94" s="102"/>
      <c r="CMD94" s="102"/>
      <c r="CME94" s="102"/>
      <c r="CMF94" s="102"/>
      <c r="CMG94" s="102"/>
      <c r="CMH94" s="102"/>
      <c r="CMI94" s="102"/>
      <c r="CMJ94" s="102"/>
      <c r="CMK94" s="102"/>
      <c r="CML94" s="102"/>
      <c r="CMM94" s="102"/>
      <c r="CMN94" s="102"/>
      <c r="CMO94" s="102"/>
      <c r="CMP94" s="102"/>
      <c r="CMQ94" s="102"/>
      <c r="CMR94" s="102"/>
      <c r="CMS94" s="102"/>
      <c r="CMT94" s="102"/>
      <c r="CMU94" s="102"/>
      <c r="CMV94" s="102"/>
      <c r="CMW94" s="102"/>
      <c r="CMX94" s="102"/>
      <c r="CMY94" s="102"/>
      <c r="CMZ94" s="102"/>
      <c r="CNA94" s="102"/>
      <c r="CNB94" s="102"/>
      <c r="CNC94" s="102"/>
      <c r="CND94" s="102"/>
      <c r="CNE94" s="102"/>
      <c r="CNF94" s="102"/>
      <c r="CNG94" s="102"/>
      <c r="CNH94" s="102"/>
      <c r="CNI94" s="102"/>
      <c r="CNJ94" s="102"/>
      <c r="CNK94" s="102"/>
      <c r="CNL94" s="102"/>
      <c r="CNM94" s="102"/>
      <c r="CNN94" s="102"/>
      <c r="CNO94" s="102"/>
      <c r="CNP94" s="102"/>
      <c r="CNQ94" s="102"/>
      <c r="CNR94" s="102"/>
      <c r="CNS94" s="102"/>
      <c r="CNT94" s="102"/>
      <c r="CNU94" s="102"/>
      <c r="CNV94" s="102"/>
      <c r="CNW94" s="102"/>
      <c r="CNX94" s="102"/>
      <c r="CNY94" s="102"/>
      <c r="CNZ94" s="102"/>
      <c r="COA94" s="102"/>
      <c r="COB94" s="102"/>
      <c r="COC94" s="102"/>
      <c r="COD94" s="102"/>
      <c r="COE94" s="102"/>
      <c r="COF94" s="102"/>
      <c r="COG94" s="102"/>
      <c r="COH94" s="102"/>
      <c r="COI94" s="102"/>
      <c r="COJ94" s="102"/>
      <c r="COK94" s="102"/>
      <c r="COL94" s="102"/>
      <c r="COM94" s="102"/>
      <c r="CON94" s="102"/>
      <c r="COO94" s="102"/>
      <c r="COP94" s="102"/>
      <c r="COQ94" s="102"/>
      <c r="COR94" s="102"/>
      <c r="COS94" s="102"/>
      <c r="COT94" s="102"/>
      <c r="COU94" s="102"/>
      <c r="COV94" s="102"/>
      <c r="COW94" s="102"/>
      <c r="COX94" s="102"/>
      <c r="COY94" s="102"/>
      <c r="COZ94" s="102"/>
      <c r="CPA94" s="102"/>
      <c r="CPB94" s="102"/>
      <c r="CPC94" s="102"/>
      <c r="CPD94" s="102"/>
      <c r="CPE94" s="102"/>
      <c r="CPF94" s="102"/>
      <c r="CPG94" s="102"/>
      <c r="CPH94" s="102"/>
      <c r="CPI94" s="102"/>
      <c r="CPJ94" s="102"/>
      <c r="CPK94" s="102"/>
      <c r="CPL94" s="102"/>
      <c r="CPM94" s="102"/>
      <c r="CPN94" s="102"/>
      <c r="CPO94" s="102"/>
      <c r="CPP94" s="102"/>
      <c r="CPQ94" s="102"/>
      <c r="CPR94" s="102"/>
      <c r="CPS94" s="102"/>
      <c r="CPT94" s="102"/>
      <c r="CPU94" s="102"/>
      <c r="CPV94" s="102"/>
      <c r="CPW94" s="102"/>
      <c r="CPX94" s="102"/>
      <c r="CPY94" s="102"/>
      <c r="CPZ94" s="102"/>
      <c r="CQA94" s="102"/>
      <c r="CQB94" s="102"/>
      <c r="CQC94" s="102"/>
      <c r="CQD94" s="102"/>
      <c r="CQE94" s="102"/>
      <c r="CQF94" s="102"/>
      <c r="CQG94" s="102"/>
      <c r="CQH94" s="102"/>
      <c r="CQI94" s="102"/>
      <c r="CQJ94" s="102"/>
      <c r="CQK94" s="102"/>
      <c r="CQL94" s="102"/>
      <c r="CQM94" s="102"/>
      <c r="CQN94" s="102"/>
      <c r="CQO94" s="102"/>
      <c r="CQP94" s="102"/>
      <c r="CQQ94" s="102"/>
      <c r="CQR94" s="102"/>
      <c r="CQS94" s="102"/>
      <c r="CQT94" s="102"/>
      <c r="CQU94" s="102"/>
      <c r="CQV94" s="102"/>
      <c r="CQW94" s="102"/>
      <c r="CQX94" s="102"/>
      <c r="CQY94" s="102"/>
      <c r="CQZ94" s="102"/>
      <c r="CRA94" s="102"/>
      <c r="CRB94" s="102"/>
      <c r="CRC94" s="102"/>
      <c r="CRD94" s="102"/>
      <c r="CRE94" s="102"/>
      <c r="CRF94" s="102"/>
      <c r="CRG94" s="102"/>
      <c r="CRH94" s="102"/>
      <c r="CRI94" s="102"/>
      <c r="CRJ94" s="102"/>
      <c r="CRK94" s="102"/>
      <c r="CRL94" s="102"/>
      <c r="CRM94" s="102"/>
      <c r="CRN94" s="102"/>
      <c r="CRO94" s="102"/>
      <c r="CRP94" s="102"/>
      <c r="CRQ94" s="102"/>
      <c r="CRR94" s="102"/>
      <c r="CRS94" s="102"/>
      <c r="CRT94" s="102"/>
      <c r="CRU94" s="102"/>
      <c r="CRV94" s="102"/>
      <c r="CRW94" s="102"/>
      <c r="CRX94" s="102"/>
      <c r="CRY94" s="102"/>
      <c r="CRZ94" s="102"/>
      <c r="CSA94" s="102"/>
      <c r="CSB94" s="102"/>
      <c r="CSC94" s="102"/>
      <c r="CSD94" s="102"/>
      <c r="CSE94" s="102"/>
      <c r="CSF94" s="102"/>
      <c r="CSG94" s="102"/>
      <c r="CSH94" s="102"/>
      <c r="CSI94" s="102"/>
      <c r="CSJ94" s="102"/>
      <c r="CSK94" s="102"/>
      <c r="CSL94" s="102"/>
      <c r="CSM94" s="102"/>
      <c r="CSN94" s="102"/>
      <c r="CSO94" s="102"/>
      <c r="CSP94" s="102"/>
      <c r="CSQ94" s="102"/>
      <c r="CSR94" s="102"/>
      <c r="CSS94" s="102"/>
      <c r="CST94" s="102"/>
      <c r="CSU94" s="102"/>
      <c r="CSV94" s="102"/>
      <c r="CSW94" s="102"/>
      <c r="CSX94" s="102"/>
      <c r="CSY94" s="102"/>
      <c r="CSZ94" s="102"/>
      <c r="CTA94" s="102"/>
      <c r="CTB94" s="102"/>
      <c r="CTC94" s="102"/>
      <c r="CTD94" s="102"/>
      <c r="CTE94" s="102"/>
      <c r="CTF94" s="102"/>
      <c r="CTG94" s="102"/>
      <c r="CTH94" s="102"/>
      <c r="CTI94" s="102"/>
      <c r="CTJ94" s="102"/>
      <c r="CTK94" s="102"/>
      <c r="CTL94" s="102"/>
      <c r="CTM94" s="102"/>
      <c r="CTN94" s="102"/>
      <c r="CTO94" s="102"/>
      <c r="CTP94" s="102"/>
      <c r="CTQ94" s="102"/>
      <c r="CTR94" s="102"/>
      <c r="CTS94" s="102"/>
      <c r="CTT94" s="102"/>
      <c r="CTU94" s="102"/>
      <c r="CTV94" s="102"/>
      <c r="CTW94" s="102"/>
      <c r="CTX94" s="102"/>
      <c r="CTY94" s="102"/>
      <c r="CTZ94" s="102"/>
      <c r="CUA94" s="102"/>
      <c r="CUB94" s="102"/>
      <c r="CUC94" s="102"/>
      <c r="CUD94" s="102"/>
      <c r="CUE94" s="102"/>
      <c r="CUF94" s="102"/>
      <c r="CUG94" s="102"/>
      <c r="CUH94" s="102"/>
      <c r="CUI94" s="102"/>
      <c r="CUJ94" s="102"/>
      <c r="CUK94" s="102"/>
      <c r="CUL94" s="102"/>
      <c r="CUM94" s="102"/>
      <c r="CUN94" s="102"/>
      <c r="CUO94" s="102"/>
      <c r="CUP94" s="102"/>
      <c r="CUQ94" s="102"/>
      <c r="CUR94" s="102"/>
      <c r="CUS94" s="102"/>
      <c r="CUT94" s="102"/>
      <c r="CUU94" s="102"/>
      <c r="CUV94" s="102"/>
      <c r="CUW94" s="102"/>
      <c r="CUX94" s="102"/>
      <c r="CUY94" s="102"/>
      <c r="CUZ94" s="102"/>
      <c r="CVA94" s="102"/>
      <c r="CVB94" s="102"/>
      <c r="CVC94" s="102"/>
      <c r="CVD94" s="102"/>
      <c r="CVE94" s="102"/>
      <c r="CVF94" s="102"/>
      <c r="CVG94" s="102"/>
      <c r="CVH94" s="102"/>
      <c r="CVI94" s="102"/>
      <c r="CVJ94" s="102"/>
      <c r="CVK94" s="102"/>
      <c r="CVL94" s="102"/>
      <c r="CVM94" s="102"/>
      <c r="CVN94" s="102"/>
      <c r="CVO94" s="102"/>
      <c r="CVP94" s="102"/>
      <c r="CVQ94" s="102"/>
      <c r="CVR94" s="102"/>
      <c r="CVS94" s="102"/>
      <c r="CVT94" s="102"/>
      <c r="CVU94" s="102"/>
      <c r="CVV94" s="102"/>
      <c r="CVW94" s="102"/>
      <c r="CVX94" s="102"/>
      <c r="CVY94" s="102"/>
      <c r="CVZ94" s="102"/>
      <c r="CWA94" s="102"/>
      <c r="CWB94" s="102"/>
      <c r="CWC94" s="102"/>
      <c r="CWD94" s="102"/>
      <c r="CWE94" s="102"/>
      <c r="CWF94" s="102"/>
      <c r="CWG94" s="102"/>
      <c r="CWH94" s="102"/>
      <c r="CWI94" s="102"/>
      <c r="CWJ94" s="102"/>
      <c r="CWK94" s="102"/>
      <c r="CWL94" s="102"/>
      <c r="CWM94" s="102"/>
      <c r="CWN94" s="102"/>
      <c r="CWO94" s="102"/>
      <c r="CWP94" s="102"/>
      <c r="CWQ94" s="102"/>
      <c r="CWR94" s="102"/>
      <c r="CWS94" s="102"/>
      <c r="CWT94" s="102"/>
      <c r="CWU94" s="102"/>
      <c r="CWV94" s="102"/>
      <c r="CWW94" s="102"/>
      <c r="CWX94" s="102"/>
      <c r="CWY94" s="102"/>
      <c r="CWZ94" s="102"/>
      <c r="CXA94" s="102"/>
      <c r="CXB94" s="102"/>
      <c r="CXC94" s="102"/>
      <c r="CXD94" s="102"/>
      <c r="CXE94" s="102"/>
      <c r="CXF94" s="102"/>
      <c r="CXG94" s="102"/>
      <c r="CXH94" s="102"/>
      <c r="CXI94" s="102"/>
      <c r="CXJ94" s="102"/>
      <c r="CXK94" s="102"/>
      <c r="CXL94" s="102"/>
      <c r="CXM94" s="102"/>
      <c r="CXN94" s="102"/>
      <c r="CXO94" s="102"/>
      <c r="CXP94" s="102"/>
      <c r="CXQ94" s="102"/>
      <c r="CXR94" s="102"/>
      <c r="CXS94" s="102"/>
      <c r="CXT94" s="102"/>
      <c r="CXU94" s="102"/>
      <c r="CXV94" s="102"/>
      <c r="CXW94" s="102"/>
      <c r="CXX94" s="102"/>
      <c r="CXY94" s="102"/>
      <c r="CXZ94" s="102"/>
      <c r="CYA94" s="102"/>
      <c r="CYB94" s="102"/>
      <c r="CYC94" s="102"/>
      <c r="CYD94" s="102"/>
      <c r="CYE94" s="102"/>
      <c r="CYF94" s="102"/>
      <c r="CYG94" s="102"/>
      <c r="CYH94" s="102"/>
      <c r="CYI94" s="102"/>
      <c r="CYJ94" s="102"/>
      <c r="CYK94" s="102"/>
      <c r="CYL94" s="102"/>
      <c r="CYM94" s="102"/>
      <c r="CYN94" s="102"/>
      <c r="CYO94" s="102"/>
      <c r="CYP94" s="102"/>
      <c r="CYQ94" s="102"/>
      <c r="CYR94" s="102"/>
      <c r="CYS94" s="102"/>
      <c r="CYT94" s="102"/>
      <c r="CYU94" s="102"/>
      <c r="CYV94" s="102"/>
      <c r="CYW94" s="102"/>
      <c r="CYX94" s="102"/>
      <c r="CYY94" s="102"/>
      <c r="CYZ94" s="102"/>
      <c r="CZA94" s="102"/>
      <c r="CZB94" s="102"/>
      <c r="CZC94" s="102"/>
      <c r="CZD94" s="102"/>
      <c r="CZE94" s="102"/>
      <c r="CZF94" s="102"/>
      <c r="CZG94" s="102"/>
      <c r="CZH94" s="102"/>
      <c r="CZI94" s="102"/>
      <c r="CZJ94" s="102"/>
      <c r="CZK94" s="102"/>
      <c r="CZL94" s="102"/>
      <c r="CZM94" s="102"/>
      <c r="CZN94" s="102"/>
      <c r="CZO94" s="102"/>
      <c r="CZP94" s="102"/>
      <c r="CZQ94" s="102"/>
      <c r="CZR94" s="102"/>
      <c r="CZS94" s="102"/>
      <c r="CZT94" s="102"/>
      <c r="CZU94" s="102"/>
      <c r="CZV94" s="102"/>
      <c r="CZW94" s="102"/>
      <c r="CZX94" s="102"/>
      <c r="CZY94" s="102"/>
      <c r="CZZ94" s="102"/>
      <c r="DAA94" s="102"/>
      <c r="DAB94" s="102"/>
      <c r="DAC94" s="102"/>
      <c r="DAD94" s="102"/>
      <c r="DAE94" s="102"/>
      <c r="DAF94" s="102"/>
      <c r="DAG94" s="102"/>
      <c r="DAH94" s="102"/>
      <c r="DAI94" s="102"/>
      <c r="DAJ94" s="102"/>
      <c r="DAK94" s="102"/>
      <c r="DAL94" s="102"/>
      <c r="DAM94" s="102"/>
      <c r="DAN94" s="102"/>
      <c r="DAO94" s="102"/>
      <c r="DAP94" s="102"/>
      <c r="DAQ94" s="102"/>
      <c r="DAR94" s="102"/>
      <c r="DAS94" s="102"/>
      <c r="DAT94" s="102"/>
      <c r="DAU94" s="102"/>
      <c r="DAV94" s="102"/>
      <c r="DAW94" s="102"/>
      <c r="DAX94" s="102"/>
      <c r="DAY94" s="102"/>
      <c r="DAZ94" s="102"/>
      <c r="DBA94" s="102"/>
      <c r="DBB94" s="102"/>
      <c r="DBC94" s="102"/>
      <c r="DBD94" s="102"/>
      <c r="DBE94" s="102"/>
      <c r="DBF94" s="102"/>
      <c r="DBG94" s="102"/>
      <c r="DBH94" s="102"/>
      <c r="DBI94" s="102"/>
      <c r="DBJ94" s="102"/>
      <c r="DBK94" s="102"/>
      <c r="DBL94" s="102"/>
      <c r="DBM94" s="102"/>
      <c r="DBN94" s="102"/>
      <c r="DBO94" s="102"/>
      <c r="DBP94" s="102"/>
      <c r="DBQ94" s="102"/>
      <c r="DBR94" s="102"/>
      <c r="DBS94" s="102"/>
      <c r="DBT94" s="102"/>
      <c r="DBU94" s="102"/>
      <c r="DBV94" s="102"/>
      <c r="DBW94" s="102"/>
      <c r="DBX94" s="102"/>
      <c r="DBY94" s="102"/>
      <c r="DBZ94" s="102"/>
      <c r="DCA94" s="102"/>
      <c r="DCB94" s="102"/>
      <c r="DCC94" s="102"/>
      <c r="DCD94" s="102"/>
      <c r="DCE94" s="102"/>
      <c r="DCF94" s="102"/>
      <c r="DCG94" s="102"/>
      <c r="DCH94" s="102"/>
      <c r="DCI94" s="102"/>
      <c r="DCJ94" s="102"/>
      <c r="DCK94" s="102"/>
      <c r="DCL94" s="102"/>
      <c r="DCM94" s="102"/>
      <c r="DCN94" s="102"/>
      <c r="DCO94" s="102"/>
      <c r="DCP94" s="102"/>
      <c r="DCQ94" s="102"/>
      <c r="DCR94" s="102"/>
      <c r="DCS94" s="102"/>
      <c r="DCT94" s="102"/>
      <c r="DCU94" s="102"/>
      <c r="DCV94" s="102"/>
      <c r="DCW94" s="102"/>
      <c r="DCX94" s="102"/>
      <c r="DCY94" s="102"/>
      <c r="DCZ94" s="102"/>
      <c r="DDA94" s="102"/>
      <c r="DDB94" s="102"/>
      <c r="DDC94" s="102"/>
      <c r="DDD94" s="102"/>
      <c r="DDE94" s="102"/>
      <c r="DDF94" s="102"/>
      <c r="DDG94" s="102"/>
      <c r="DDH94" s="102"/>
      <c r="DDI94" s="102"/>
      <c r="DDJ94" s="102"/>
      <c r="DDK94" s="102"/>
      <c r="DDL94" s="102"/>
      <c r="DDM94" s="102"/>
      <c r="DDN94" s="102"/>
      <c r="DDO94" s="102"/>
      <c r="DDP94" s="102"/>
      <c r="DDQ94" s="102"/>
      <c r="DDR94" s="102"/>
      <c r="DDS94" s="102"/>
      <c r="DDT94" s="102"/>
      <c r="DDU94" s="102"/>
      <c r="DDV94" s="102"/>
      <c r="DDW94" s="102"/>
      <c r="DDX94" s="102"/>
      <c r="DDY94" s="102"/>
      <c r="DDZ94" s="102"/>
      <c r="DEA94" s="102"/>
      <c r="DEB94" s="102"/>
      <c r="DEC94" s="102"/>
      <c r="DED94" s="102"/>
      <c r="DEE94" s="102"/>
      <c r="DEF94" s="102"/>
      <c r="DEG94" s="102"/>
      <c r="DEH94" s="102"/>
      <c r="DEI94" s="102"/>
      <c r="DEJ94" s="102"/>
      <c r="DEK94" s="102"/>
      <c r="DEL94" s="102"/>
      <c r="DEM94" s="102"/>
      <c r="DEN94" s="102"/>
      <c r="DEO94" s="102"/>
      <c r="DEP94" s="102"/>
      <c r="DEQ94" s="102"/>
      <c r="DER94" s="102"/>
      <c r="DES94" s="102"/>
      <c r="DET94" s="102"/>
      <c r="DEU94" s="102"/>
      <c r="DEV94" s="102"/>
      <c r="DEW94" s="102"/>
      <c r="DEX94" s="102"/>
      <c r="DEY94" s="102"/>
      <c r="DEZ94" s="102"/>
      <c r="DFA94" s="102"/>
      <c r="DFB94" s="102"/>
      <c r="DFC94" s="102"/>
      <c r="DFD94" s="102"/>
      <c r="DFE94" s="102"/>
      <c r="DFF94" s="102"/>
      <c r="DFG94" s="102"/>
      <c r="DFH94" s="102"/>
      <c r="DFI94" s="102"/>
      <c r="DFJ94" s="102"/>
      <c r="DFK94" s="102"/>
      <c r="DFL94" s="102"/>
      <c r="DFM94" s="102"/>
      <c r="DFN94" s="102"/>
      <c r="DFO94" s="102"/>
      <c r="DFP94" s="102"/>
      <c r="DFQ94" s="102"/>
      <c r="DFR94" s="102"/>
      <c r="DFS94" s="102"/>
      <c r="DFT94" s="102"/>
      <c r="DFU94" s="102"/>
      <c r="DFV94" s="102"/>
      <c r="DFW94" s="102"/>
      <c r="DFX94" s="102"/>
      <c r="DFY94" s="102"/>
      <c r="DFZ94" s="102"/>
      <c r="DGA94" s="102"/>
      <c r="DGB94" s="102"/>
      <c r="DGC94" s="102"/>
      <c r="DGD94" s="102"/>
      <c r="DGE94" s="102"/>
      <c r="DGF94" s="102"/>
      <c r="DGG94" s="102"/>
      <c r="DGH94" s="102"/>
      <c r="DGI94" s="102"/>
      <c r="DGJ94" s="102"/>
      <c r="DGK94" s="102"/>
      <c r="DGL94" s="102"/>
      <c r="DGM94" s="102"/>
      <c r="DGN94" s="102"/>
      <c r="DGO94" s="102"/>
      <c r="DGP94" s="102"/>
      <c r="DGQ94" s="102"/>
      <c r="DGR94" s="102"/>
      <c r="DGS94" s="102"/>
      <c r="DGT94" s="102"/>
      <c r="DGU94" s="102"/>
      <c r="DGV94" s="102"/>
      <c r="DGW94" s="102"/>
      <c r="DGX94" s="102"/>
      <c r="DGY94" s="102"/>
      <c r="DGZ94" s="102"/>
      <c r="DHA94" s="102"/>
      <c r="DHB94" s="102"/>
      <c r="DHC94" s="102"/>
      <c r="DHD94" s="102"/>
      <c r="DHE94" s="102"/>
      <c r="DHF94" s="102"/>
      <c r="DHG94" s="102"/>
      <c r="DHH94" s="102"/>
      <c r="DHI94" s="102"/>
      <c r="DHJ94" s="102"/>
      <c r="DHK94" s="102"/>
      <c r="DHL94" s="102"/>
      <c r="DHM94" s="102"/>
      <c r="DHN94" s="102"/>
      <c r="DHO94" s="102"/>
      <c r="DHP94" s="102"/>
      <c r="DHQ94" s="102"/>
      <c r="DHR94" s="102"/>
      <c r="DHS94" s="102"/>
      <c r="DHT94" s="102"/>
      <c r="DHU94" s="102"/>
      <c r="DHV94" s="102"/>
      <c r="DHW94" s="102"/>
      <c r="DHX94" s="102"/>
      <c r="DHY94" s="102"/>
      <c r="DHZ94" s="102"/>
      <c r="DIA94" s="102"/>
      <c r="DIB94" s="102"/>
      <c r="DIC94" s="102"/>
      <c r="DID94" s="102"/>
      <c r="DIE94" s="102"/>
      <c r="DIF94" s="102"/>
      <c r="DIG94" s="102"/>
      <c r="DIH94" s="102"/>
      <c r="DII94" s="102"/>
      <c r="DIJ94" s="102"/>
      <c r="DIK94" s="102"/>
      <c r="DIL94" s="102"/>
      <c r="DIM94" s="102"/>
      <c r="DIN94" s="102"/>
      <c r="DIO94" s="102"/>
      <c r="DIP94" s="102"/>
      <c r="DIQ94" s="102"/>
      <c r="DIR94" s="102"/>
      <c r="DIS94" s="102"/>
      <c r="DIT94" s="102"/>
      <c r="DIU94" s="102"/>
      <c r="DIV94" s="102"/>
      <c r="DIW94" s="102"/>
      <c r="DIX94" s="102"/>
      <c r="DIY94" s="102"/>
      <c r="DIZ94" s="102"/>
      <c r="DJA94" s="102"/>
      <c r="DJB94" s="102"/>
      <c r="DJC94" s="102"/>
      <c r="DJD94" s="102"/>
      <c r="DJE94" s="102"/>
      <c r="DJF94" s="102"/>
      <c r="DJG94" s="102"/>
      <c r="DJH94" s="102"/>
      <c r="DJI94" s="102"/>
      <c r="DJJ94" s="102"/>
      <c r="DJK94" s="102"/>
      <c r="DJL94" s="102"/>
      <c r="DJM94" s="102"/>
      <c r="DJN94" s="102"/>
      <c r="DJO94" s="102"/>
      <c r="DJP94" s="102"/>
      <c r="DJQ94" s="102"/>
      <c r="DJR94" s="102"/>
      <c r="DJS94" s="102"/>
      <c r="DJT94" s="102"/>
      <c r="DJU94" s="102"/>
      <c r="DJV94" s="102"/>
      <c r="DJW94" s="102"/>
      <c r="DJX94" s="102"/>
      <c r="DJY94" s="102"/>
      <c r="DJZ94" s="102"/>
      <c r="DKA94" s="102"/>
      <c r="DKB94" s="102"/>
      <c r="DKC94" s="102"/>
      <c r="DKD94" s="102"/>
      <c r="DKE94" s="102"/>
      <c r="DKF94" s="102"/>
      <c r="DKG94" s="102"/>
      <c r="DKH94" s="102"/>
      <c r="DKI94" s="102"/>
      <c r="DKJ94" s="102"/>
      <c r="DKK94" s="102"/>
      <c r="DKL94" s="102"/>
      <c r="DKM94" s="102"/>
      <c r="DKN94" s="102"/>
      <c r="DKO94" s="102"/>
      <c r="DKP94" s="102"/>
      <c r="DKQ94" s="102"/>
      <c r="DKR94" s="102"/>
      <c r="DKS94" s="102"/>
      <c r="DKT94" s="102"/>
      <c r="DKU94" s="102"/>
      <c r="DKV94" s="102"/>
      <c r="DKW94" s="102"/>
      <c r="DKX94" s="102"/>
      <c r="DKY94" s="102"/>
      <c r="DKZ94" s="102"/>
      <c r="DLA94" s="102"/>
      <c r="DLB94" s="102"/>
      <c r="DLC94" s="102"/>
      <c r="DLD94" s="102"/>
      <c r="DLE94" s="102"/>
      <c r="DLF94" s="102"/>
      <c r="DLG94" s="102"/>
      <c r="DLH94" s="102"/>
      <c r="DLI94" s="102"/>
      <c r="DLJ94" s="102"/>
      <c r="DLK94" s="102"/>
      <c r="DLL94" s="102"/>
      <c r="DLM94" s="102"/>
      <c r="DLN94" s="102"/>
      <c r="DLO94" s="102"/>
      <c r="DLP94" s="102"/>
      <c r="DLQ94" s="102"/>
      <c r="DLR94" s="102"/>
      <c r="DLS94" s="102"/>
      <c r="DLT94" s="102"/>
      <c r="DLU94" s="102"/>
      <c r="DLV94" s="102"/>
      <c r="DLW94" s="102"/>
      <c r="DLX94" s="102"/>
      <c r="DLY94" s="102"/>
      <c r="DLZ94" s="102"/>
      <c r="DMA94" s="102"/>
      <c r="DMB94" s="102"/>
      <c r="DMC94" s="102"/>
      <c r="DMD94" s="102"/>
      <c r="DME94" s="102"/>
      <c r="DMF94" s="102"/>
      <c r="DMG94" s="102"/>
      <c r="DMH94" s="102"/>
      <c r="DMI94" s="102"/>
      <c r="DMJ94" s="102"/>
      <c r="DMK94" s="102"/>
      <c r="DML94" s="102"/>
      <c r="DMM94" s="102"/>
      <c r="DMN94" s="102"/>
      <c r="DMO94" s="102"/>
      <c r="DMP94" s="102"/>
      <c r="DMQ94" s="102"/>
      <c r="DMR94" s="102"/>
      <c r="DMS94" s="102"/>
      <c r="DMT94" s="102"/>
      <c r="DMU94" s="102"/>
      <c r="DMV94" s="102"/>
      <c r="DMW94" s="102"/>
      <c r="DMX94" s="102"/>
      <c r="DMY94" s="102"/>
      <c r="DMZ94" s="102"/>
      <c r="DNA94" s="102"/>
      <c r="DNB94" s="102"/>
      <c r="DNC94" s="102"/>
      <c r="DND94" s="102"/>
      <c r="DNE94" s="102"/>
      <c r="DNF94" s="102"/>
      <c r="DNG94" s="102"/>
      <c r="DNH94" s="102"/>
      <c r="DNI94" s="102"/>
      <c r="DNJ94" s="102"/>
      <c r="DNK94" s="102"/>
      <c r="DNL94" s="102"/>
      <c r="DNM94" s="102"/>
      <c r="DNN94" s="102"/>
      <c r="DNO94" s="102"/>
      <c r="DNP94" s="102"/>
      <c r="DNQ94" s="102"/>
      <c r="DNR94" s="102"/>
      <c r="DNS94" s="102"/>
      <c r="DNT94" s="102"/>
      <c r="DNU94" s="102"/>
      <c r="DNV94" s="102"/>
      <c r="DNW94" s="102"/>
      <c r="DNX94" s="102"/>
      <c r="DNY94" s="102"/>
      <c r="DNZ94" s="102"/>
      <c r="DOA94" s="102"/>
      <c r="DOB94" s="102"/>
      <c r="DOC94" s="102"/>
      <c r="DOD94" s="102"/>
      <c r="DOE94" s="102"/>
      <c r="DOF94" s="102"/>
      <c r="DOG94" s="102"/>
      <c r="DOH94" s="102"/>
      <c r="DOI94" s="102"/>
      <c r="DOJ94" s="102"/>
      <c r="DOK94" s="102"/>
      <c r="DOL94" s="102"/>
      <c r="DOM94" s="102"/>
      <c r="DON94" s="102"/>
      <c r="DOO94" s="102"/>
      <c r="DOP94" s="102"/>
      <c r="DOQ94" s="102"/>
      <c r="DOR94" s="102"/>
      <c r="DOS94" s="102"/>
      <c r="DOT94" s="102"/>
      <c r="DOU94" s="102"/>
      <c r="DOV94" s="102"/>
      <c r="DOW94" s="102"/>
      <c r="DOX94" s="102"/>
      <c r="DOY94" s="102"/>
      <c r="DOZ94" s="102"/>
      <c r="DPA94" s="102"/>
      <c r="DPB94" s="102"/>
      <c r="DPC94" s="102"/>
      <c r="DPD94" s="102"/>
      <c r="DPE94" s="102"/>
      <c r="DPF94" s="102"/>
      <c r="DPG94" s="102"/>
      <c r="DPH94" s="102"/>
      <c r="DPI94" s="102"/>
      <c r="DPJ94" s="102"/>
      <c r="DPK94" s="102"/>
      <c r="DPL94" s="102"/>
      <c r="DPM94" s="102"/>
      <c r="DPN94" s="102"/>
      <c r="DPO94" s="102"/>
      <c r="DPP94" s="102"/>
      <c r="DPQ94" s="102"/>
      <c r="DPR94" s="102"/>
      <c r="DPS94" s="102"/>
      <c r="DPT94" s="102"/>
      <c r="DPU94" s="102"/>
      <c r="DPV94" s="102"/>
      <c r="DPW94" s="102"/>
      <c r="DPX94" s="102"/>
      <c r="DPY94" s="102"/>
      <c r="DPZ94" s="102"/>
      <c r="DQA94" s="102"/>
      <c r="DQB94" s="102"/>
      <c r="DQC94" s="102"/>
      <c r="DQD94" s="102"/>
      <c r="DQE94" s="102"/>
      <c r="DQF94" s="102"/>
      <c r="DQG94" s="102"/>
      <c r="DQH94" s="102"/>
      <c r="DQI94" s="102"/>
      <c r="DQJ94" s="102"/>
      <c r="DQK94" s="102"/>
      <c r="DQL94" s="102"/>
      <c r="DQM94" s="102"/>
      <c r="DQN94" s="102"/>
      <c r="DQO94" s="102"/>
      <c r="DQP94" s="102"/>
      <c r="DQQ94" s="102"/>
      <c r="DQR94" s="102"/>
      <c r="DQS94" s="102"/>
      <c r="DQT94" s="102"/>
      <c r="DQU94" s="102"/>
      <c r="DQV94" s="102"/>
      <c r="DQW94" s="102"/>
      <c r="DQX94" s="102"/>
      <c r="DQY94" s="102"/>
      <c r="DQZ94" s="102"/>
      <c r="DRA94" s="102"/>
      <c r="DRB94" s="102"/>
      <c r="DRC94" s="102"/>
      <c r="DRD94" s="102"/>
      <c r="DRE94" s="102"/>
      <c r="DRF94" s="102"/>
      <c r="DRG94" s="102"/>
      <c r="DRH94" s="102"/>
      <c r="DRI94" s="102"/>
      <c r="DRJ94" s="102"/>
      <c r="DRK94" s="102"/>
      <c r="DRL94" s="102"/>
      <c r="DRM94" s="102"/>
      <c r="DRN94" s="102"/>
      <c r="DRO94" s="102"/>
      <c r="DRP94" s="102"/>
      <c r="DRQ94" s="102"/>
      <c r="DRR94" s="102"/>
      <c r="DRS94" s="102"/>
      <c r="DRT94" s="102"/>
      <c r="DRU94" s="102"/>
      <c r="DRV94" s="102"/>
      <c r="DRW94" s="102"/>
      <c r="DRX94" s="102"/>
      <c r="DRY94" s="102"/>
      <c r="DRZ94" s="102"/>
      <c r="DSA94" s="102"/>
      <c r="DSB94" s="102"/>
      <c r="DSC94" s="102"/>
      <c r="DSD94" s="102"/>
      <c r="DSE94" s="102"/>
      <c r="DSF94" s="102"/>
      <c r="DSG94" s="102"/>
      <c r="DSH94" s="102"/>
      <c r="DSI94" s="102"/>
      <c r="DSJ94" s="102"/>
      <c r="DSK94" s="102"/>
      <c r="DSL94" s="102"/>
      <c r="DSM94" s="102"/>
      <c r="DSN94" s="102"/>
      <c r="DSO94" s="102"/>
      <c r="DSP94" s="102"/>
      <c r="DSQ94" s="102"/>
      <c r="DSR94" s="102"/>
      <c r="DSS94" s="102"/>
      <c r="DST94" s="102"/>
      <c r="DSU94" s="102"/>
      <c r="DSV94" s="102"/>
      <c r="DSW94" s="102"/>
      <c r="DSX94" s="102"/>
      <c r="DSY94" s="102"/>
      <c r="DSZ94" s="102"/>
      <c r="DTA94" s="102"/>
      <c r="DTB94" s="102"/>
      <c r="DTC94" s="102"/>
      <c r="DTD94" s="102"/>
      <c r="DTE94" s="102"/>
      <c r="DTF94" s="102"/>
      <c r="DTG94" s="102"/>
      <c r="DTH94" s="102"/>
      <c r="DTI94" s="102"/>
      <c r="DTJ94" s="102"/>
      <c r="DTK94" s="102"/>
      <c r="DTL94" s="102"/>
      <c r="DTM94" s="102"/>
      <c r="DTN94" s="102"/>
      <c r="DTO94" s="102"/>
      <c r="DTP94" s="102"/>
      <c r="DTQ94" s="102"/>
      <c r="DTR94" s="102"/>
      <c r="DTS94" s="102"/>
      <c r="DTT94" s="102"/>
      <c r="DTU94" s="102"/>
      <c r="DTV94" s="102"/>
      <c r="DTW94" s="102"/>
      <c r="DTX94" s="102"/>
      <c r="DTY94" s="102"/>
      <c r="DTZ94" s="102"/>
      <c r="DUA94" s="102"/>
      <c r="DUB94" s="102"/>
      <c r="DUC94" s="102"/>
      <c r="DUD94" s="102"/>
      <c r="DUE94" s="102"/>
      <c r="DUF94" s="102"/>
      <c r="DUG94" s="102"/>
      <c r="DUH94" s="102"/>
      <c r="DUI94" s="102"/>
      <c r="DUJ94" s="102"/>
      <c r="DUK94" s="102"/>
      <c r="DUL94" s="102"/>
      <c r="DUM94" s="102"/>
      <c r="DUN94" s="102"/>
      <c r="DUO94" s="102"/>
      <c r="DUP94" s="102"/>
      <c r="DUQ94" s="102"/>
      <c r="DUR94" s="102"/>
      <c r="DUS94" s="102"/>
      <c r="DUT94" s="102"/>
      <c r="DUU94" s="102"/>
      <c r="DUV94" s="102"/>
      <c r="DUW94" s="102"/>
      <c r="DUX94" s="102"/>
      <c r="DUY94" s="102"/>
      <c r="DUZ94" s="102"/>
      <c r="DVA94" s="102"/>
      <c r="DVB94" s="102"/>
      <c r="DVC94" s="102"/>
      <c r="DVD94" s="102"/>
      <c r="DVE94" s="102"/>
      <c r="DVF94" s="102"/>
      <c r="DVG94" s="102"/>
      <c r="DVH94" s="102"/>
      <c r="DVI94" s="102"/>
      <c r="DVJ94" s="102"/>
      <c r="DVK94" s="102"/>
      <c r="DVL94" s="102"/>
      <c r="DVM94" s="102"/>
      <c r="DVN94" s="102"/>
      <c r="DVO94" s="102"/>
      <c r="DVP94" s="102"/>
      <c r="DVQ94" s="102"/>
      <c r="DVR94" s="102"/>
      <c r="DVS94" s="102"/>
      <c r="DVT94" s="102"/>
      <c r="DVU94" s="102"/>
      <c r="DVV94" s="102"/>
      <c r="DVW94" s="102"/>
      <c r="DVX94" s="102"/>
      <c r="DVY94" s="102"/>
      <c r="DVZ94" s="102"/>
      <c r="DWA94" s="102"/>
      <c r="DWB94" s="102"/>
      <c r="DWC94" s="102"/>
      <c r="DWD94" s="102"/>
      <c r="DWE94" s="102"/>
      <c r="DWF94" s="102"/>
      <c r="DWG94" s="102"/>
      <c r="DWH94" s="102"/>
      <c r="DWI94" s="102"/>
      <c r="DWJ94" s="102"/>
      <c r="DWK94" s="102"/>
      <c r="DWL94" s="102"/>
      <c r="DWM94" s="102"/>
      <c r="DWN94" s="102"/>
      <c r="DWO94" s="102"/>
      <c r="DWP94" s="102"/>
      <c r="DWQ94" s="102"/>
      <c r="DWR94" s="102"/>
      <c r="DWS94" s="102"/>
      <c r="DWT94" s="102"/>
      <c r="DWU94" s="102"/>
      <c r="DWV94" s="102"/>
      <c r="DWW94" s="102"/>
      <c r="DWX94" s="102"/>
      <c r="DWY94" s="102"/>
      <c r="DWZ94" s="102"/>
      <c r="DXA94" s="102"/>
      <c r="DXB94" s="102"/>
      <c r="DXC94" s="102"/>
      <c r="DXD94" s="102"/>
      <c r="DXE94" s="102"/>
      <c r="DXF94" s="102"/>
      <c r="DXG94" s="102"/>
      <c r="DXH94" s="102"/>
      <c r="DXI94" s="102"/>
      <c r="DXJ94" s="102"/>
      <c r="DXK94" s="102"/>
      <c r="DXL94" s="102"/>
      <c r="DXM94" s="102"/>
      <c r="DXN94" s="102"/>
      <c r="DXO94" s="102"/>
      <c r="DXP94" s="102"/>
      <c r="DXQ94" s="102"/>
      <c r="DXR94" s="102"/>
      <c r="DXS94" s="102"/>
      <c r="DXT94" s="102"/>
      <c r="DXU94" s="102"/>
      <c r="DXV94" s="102"/>
      <c r="DXW94" s="102"/>
      <c r="DXX94" s="102"/>
      <c r="DXY94" s="102"/>
      <c r="DXZ94" s="102"/>
      <c r="DYA94" s="102"/>
      <c r="DYB94" s="102"/>
      <c r="DYC94" s="102"/>
      <c r="DYD94" s="102"/>
      <c r="DYE94" s="102"/>
      <c r="DYF94" s="102"/>
      <c r="DYG94" s="102"/>
      <c r="DYH94" s="102"/>
      <c r="DYI94" s="102"/>
      <c r="DYJ94" s="102"/>
      <c r="DYK94" s="102"/>
      <c r="DYL94" s="102"/>
      <c r="DYM94" s="102"/>
      <c r="DYN94" s="102"/>
      <c r="DYO94" s="102"/>
      <c r="DYP94" s="102"/>
      <c r="DYQ94" s="102"/>
      <c r="DYR94" s="102"/>
      <c r="DYS94" s="102"/>
      <c r="DYT94" s="102"/>
      <c r="DYU94" s="102"/>
      <c r="DYV94" s="102"/>
      <c r="DYW94" s="102"/>
      <c r="DYX94" s="102"/>
      <c r="DYY94" s="102"/>
      <c r="DYZ94" s="102"/>
      <c r="DZA94" s="102"/>
      <c r="DZB94" s="102"/>
      <c r="DZC94" s="102"/>
      <c r="DZD94" s="102"/>
      <c r="DZE94" s="102"/>
      <c r="DZF94" s="102"/>
      <c r="DZG94" s="102"/>
      <c r="DZH94" s="102"/>
      <c r="DZI94" s="102"/>
      <c r="DZJ94" s="102"/>
      <c r="DZK94" s="102"/>
      <c r="DZL94" s="102"/>
      <c r="DZM94" s="102"/>
      <c r="DZN94" s="102"/>
      <c r="DZO94" s="102"/>
      <c r="DZP94" s="102"/>
      <c r="DZQ94" s="102"/>
      <c r="DZR94" s="102"/>
      <c r="DZS94" s="102"/>
      <c r="DZT94" s="102"/>
      <c r="DZU94" s="102"/>
      <c r="DZV94" s="102"/>
      <c r="DZW94" s="102"/>
      <c r="DZX94" s="102"/>
      <c r="DZY94" s="102"/>
      <c r="DZZ94" s="102"/>
      <c r="EAA94" s="102"/>
      <c r="EAB94" s="102"/>
      <c r="EAC94" s="102"/>
      <c r="EAD94" s="102"/>
      <c r="EAE94" s="102"/>
      <c r="EAF94" s="102"/>
      <c r="EAG94" s="102"/>
      <c r="EAH94" s="102"/>
      <c r="EAI94" s="102"/>
      <c r="EAJ94" s="102"/>
      <c r="EAK94" s="102"/>
      <c r="EAL94" s="102"/>
      <c r="EAM94" s="102"/>
      <c r="EAN94" s="102"/>
      <c r="EAO94" s="102"/>
      <c r="EAP94" s="102"/>
      <c r="EAQ94" s="102"/>
      <c r="EAR94" s="102"/>
      <c r="EAS94" s="102"/>
      <c r="EAT94" s="102"/>
      <c r="EAU94" s="102"/>
      <c r="EAV94" s="102"/>
      <c r="EAW94" s="102"/>
      <c r="EAX94" s="102"/>
      <c r="EAY94" s="102"/>
      <c r="EAZ94" s="102"/>
      <c r="EBA94" s="102"/>
      <c r="EBB94" s="102"/>
      <c r="EBC94" s="102"/>
      <c r="EBD94" s="102"/>
      <c r="EBE94" s="102"/>
      <c r="EBF94" s="102"/>
      <c r="EBG94" s="102"/>
      <c r="EBH94" s="102"/>
      <c r="EBI94" s="102"/>
      <c r="EBJ94" s="102"/>
      <c r="EBK94" s="102"/>
      <c r="EBL94" s="102"/>
      <c r="EBM94" s="102"/>
      <c r="EBN94" s="102"/>
      <c r="EBO94" s="102"/>
      <c r="EBP94" s="102"/>
      <c r="EBQ94" s="102"/>
      <c r="EBR94" s="102"/>
      <c r="EBS94" s="102"/>
      <c r="EBT94" s="102"/>
      <c r="EBU94" s="102"/>
      <c r="EBV94" s="102"/>
      <c r="EBW94" s="102"/>
      <c r="EBX94" s="102"/>
      <c r="EBY94" s="102"/>
      <c r="EBZ94" s="102"/>
      <c r="ECA94" s="102"/>
      <c r="ECB94" s="102"/>
      <c r="ECC94" s="102"/>
      <c r="ECD94" s="102"/>
      <c r="ECE94" s="102"/>
      <c r="ECF94" s="102"/>
      <c r="ECG94" s="102"/>
      <c r="ECH94" s="102"/>
      <c r="ECI94" s="102"/>
      <c r="ECJ94" s="102"/>
      <c r="ECK94" s="102"/>
      <c r="ECL94" s="102"/>
      <c r="ECM94" s="102"/>
      <c r="ECN94" s="102"/>
      <c r="ECO94" s="102"/>
      <c r="ECP94" s="102"/>
      <c r="ECQ94" s="102"/>
      <c r="ECR94" s="102"/>
      <c r="ECS94" s="102"/>
      <c r="ECT94" s="102"/>
      <c r="ECU94" s="102"/>
      <c r="ECV94" s="102"/>
      <c r="ECW94" s="102"/>
      <c r="ECX94" s="102"/>
      <c r="ECY94" s="102"/>
      <c r="ECZ94" s="102"/>
      <c r="EDA94" s="102"/>
      <c r="EDB94" s="102"/>
      <c r="EDC94" s="102"/>
      <c r="EDD94" s="102"/>
      <c r="EDE94" s="102"/>
      <c r="EDF94" s="102"/>
      <c r="EDG94" s="102"/>
      <c r="EDH94" s="102"/>
      <c r="EDI94" s="102"/>
      <c r="EDJ94" s="102"/>
      <c r="EDK94" s="102"/>
      <c r="EDL94" s="102"/>
      <c r="EDM94" s="102"/>
      <c r="EDN94" s="102"/>
      <c r="EDO94" s="102"/>
      <c r="EDP94" s="102"/>
      <c r="EDQ94" s="102"/>
      <c r="EDR94" s="102"/>
      <c r="EDS94" s="102"/>
      <c r="EDT94" s="102"/>
      <c r="EDU94" s="102"/>
      <c r="EDV94" s="102"/>
      <c r="EDW94" s="102"/>
      <c r="EDX94" s="102"/>
      <c r="EDY94" s="102"/>
      <c r="EDZ94" s="102"/>
      <c r="EEA94" s="102"/>
      <c r="EEB94" s="102"/>
      <c r="EEC94" s="102"/>
      <c r="EED94" s="102"/>
      <c r="EEE94" s="102"/>
      <c r="EEF94" s="102"/>
      <c r="EEG94" s="102"/>
      <c r="EEH94" s="102"/>
      <c r="EEI94" s="102"/>
      <c r="EEJ94" s="102"/>
      <c r="EEK94" s="102"/>
      <c r="EEL94" s="102"/>
      <c r="EEM94" s="102"/>
      <c r="EEN94" s="102"/>
      <c r="EEO94" s="102"/>
      <c r="EEP94" s="102"/>
      <c r="EEQ94" s="102"/>
      <c r="EER94" s="102"/>
      <c r="EES94" s="102"/>
      <c r="EET94" s="102"/>
      <c r="EEU94" s="102"/>
      <c r="EEV94" s="102"/>
      <c r="EEW94" s="102"/>
      <c r="EEX94" s="102"/>
      <c r="EEY94" s="102"/>
      <c r="EEZ94" s="102"/>
      <c r="EFA94" s="102"/>
      <c r="EFB94" s="102"/>
      <c r="EFC94" s="102"/>
      <c r="EFD94" s="102"/>
      <c r="EFE94" s="102"/>
      <c r="EFF94" s="102"/>
      <c r="EFG94" s="102"/>
      <c r="EFH94" s="102"/>
      <c r="EFI94" s="102"/>
      <c r="EFJ94" s="102"/>
      <c r="EFK94" s="102"/>
      <c r="EFL94" s="102"/>
      <c r="EFM94" s="102"/>
      <c r="EFN94" s="102"/>
      <c r="EFO94" s="102"/>
      <c r="EFP94" s="102"/>
      <c r="EFQ94" s="102"/>
      <c r="EFR94" s="102"/>
      <c r="EFS94" s="102"/>
      <c r="EFT94" s="102"/>
      <c r="EFU94" s="102"/>
      <c r="EFV94" s="102"/>
      <c r="EFW94" s="102"/>
      <c r="EFX94" s="102"/>
      <c r="EFY94" s="102"/>
      <c r="EFZ94" s="102"/>
      <c r="EGA94" s="102"/>
      <c r="EGB94" s="102"/>
      <c r="EGC94" s="102"/>
      <c r="EGD94" s="102"/>
      <c r="EGE94" s="102"/>
      <c r="EGF94" s="102"/>
      <c r="EGG94" s="102"/>
      <c r="EGH94" s="102"/>
      <c r="EGI94" s="102"/>
      <c r="EGJ94" s="102"/>
      <c r="EGK94" s="102"/>
      <c r="EGL94" s="102"/>
      <c r="EGM94" s="102"/>
      <c r="EGN94" s="102"/>
      <c r="EGO94" s="102"/>
      <c r="EGP94" s="102"/>
      <c r="EGQ94" s="102"/>
      <c r="EGR94" s="102"/>
      <c r="EGS94" s="102"/>
      <c r="EGT94" s="102"/>
      <c r="EGU94" s="102"/>
      <c r="EGV94" s="102"/>
      <c r="EGW94" s="102"/>
      <c r="EGX94" s="102"/>
      <c r="EGY94" s="102"/>
      <c r="EGZ94" s="102"/>
      <c r="EHA94" s="102"/>
      <c r="EHB94" s="102"/>
      <c r="EHC94" s="102"/>
      <c r="EHD94" s="102"/>
      <c r="EHE94" s="102"/>
      <c r="EHF94" s="102"/>
      <c r="EHG94" s="102"/>
      <c r="EHH94" s="102"/>
      <c r="EHI94" s="102"/>
      <c r="EHJ94" s="102"/>
      <c r="EHK94" s="102"/>
      <c r="EHL94" s="102"/>
      <c r="EHM94" s="102"/>
      <c r="EHN94" s="102"/>
      <c r="EHO94" s="102"/>
      <c r="EHP94" s="102"/>
      <c r="EHQ94" s="102"/>
      <c r="EHR94" s="102"/>
      <c r="EHS94" s="102"/>
      <c r="EHT94" s="102"/>
      <c r="EHU94" s="102"/>
      <c r="EHV94" s="102"/>
      <c r="EHW94" s="102"/>
      <c r="EHX94" s="102"/>
      <c r="EHY94" s="102"/>
      <c r="EHZ94" s="102"/>
      <c r="EIA94" s="102"/>
      <c r="EIB94" s="102"/>
      <c r="EIC94" s="102"/>
      <c r="EID94" s="102"/>
      <c r="EIE94" s="102"/>
      <c r="EIF94" s="102"/>
      <c r="EIG94" s="102"/>
      <c r="EIH94" s="102"/>
      <c r="EII94" s="102"/>
      <c r="EIJ94" s="102"/>
      <c r="EIK94" s="102"/>
      <c r="EIL94" s="102"/>
      <c r="EIM94" s="102"/>
      <c r="EIN94" s="102"/>
      <c r="EIO94" s="102"/>
      <c r="EIP94" s="102"/>
      <c r="EIQ94" s="102"/>
      <c r="EIR94" s="102"/>
      <c r="EIS94" s="102"/>
      <c r="EIT94" s="102"/>
      <c r="EIU94" s="102"/>
      <c r="EIV94" s="102"/>
      <c r="EIW94" s="102"/>
      <c r="EIX94" s="102"/>
      <c r="EIY94" s="102"/>
      <c r="EIZ94" s="102"/>
      <c r="EJA94" s="102"/>
      <c r="EJB94" s="102"/>
      <c r="EJC94" s="102"/>
      <c r="EJD94" s="102"/>
      <c r="EJE94" s="102"/>
      <c r="EJF94" s="102"/>
      <c r="EJG94" s="102"/>
      <c r="EJH94" s="102"/>
      <c r="EJI94" s="102"/>
      <c r="EJJ94" s="102"/>
      <c r="EJK94" s="102"/>
      <c r="EJL94" s="102"/>
      <c r="EJM94" s="102"/>
      <c r="EJN94" s="102"/>
      <c r="EJO94" s="102"/>
      <c r="EJP94" s="102"/>
      <c r="EJQ94" s="102"/>
      <c r="EJR94" s="102"/>
      <c r="EJS94" s="102"/>
      <c r="EJT94" s="102"/>
      <c r="EJU94" s="102"/>
      <c r="EJV94" s="102"/>
      <c r="EJW94" s="102"/>
      <c r="EJX94" s="102"/>
      <c r="EJY94" s="102"/>
      <c r="EJZ94" s="102"/>
      <c r="EKA94" s="102"/>
      <c r="EKB94" s="102"/>
      <c r="EKC94" s="102"/>
      <c r="EKD94" s="102"/>
      <c r="EKE94" s="102"/>
      <c r="EKF94" s="102"/>
      <c r="EKG94" s="102"/>
      <c r="EKH94" s="102"/>
      <c r="EKI94" s="102"/>
      <c r="EKJ94" s="102"/>
      <c r="EKK94" s="102"/>
      <c r="EKL94" s="102"/>
      <c r="EKM94" s="102"/>
      <c r="EKN94" s="102"/>
      <c r="EKO94" s="102"/>
      <c r="EKP94" s="102"/>
      <c r="EKQ94" s="102"/>
      <c r="EKR94" s="102"/>
      <c r="EKS94" s="102"/>
      <c r="EKT94" s="102"/>
      <c r="EKU94" s="102"/>
      <c r="EKV94" s="102"/>
      <c r="EKW94" s="102"/>
      <c r="EKX94" s="102"/>
      <c r="EKY94" s="102"/>
      <c r="EKZ94" s="102"/>
      <c r="ELA94" s="102"/>
      <c r="ELB94" s="102"/>
      <c r="ELC94" s="102"/>
      <c r="ELD94" s="102"/>
      <c r="ELE94" s="102"/>
      <c r="ELF94" s="102"/>
      <c r="ELG94" s="102"/>
      <c r="ELH94" s="102"/>
      <c r="ELI94" s="102"/>
      <c r="ELJ94" s="102"/>
      <c r="ELK94" s="102"/>
      <c r="ELL94" s="102"/>
      <c r="ELM94" s="102"/>
      <c r="ELN94" s="102"/>
      <c r="ELO94" s="102"/>
      <c r="ELP94" s="102"/>
      <c r="ELQ94" s="102"/>
      <c r="ELR94" s="102"/>
      <c r="ELS94" s="102"/>
      <c r="ELT94" s="102"/>
      <c r="ELU94" s="102"/>
      <c r="ELV94" s="102"/>
      <c r="ELW94" s="102"/>
      <c r="ELX94" s="102"/>
      <c r="ELY94" s="102"/>
      <c r="ELZ94" s="102"/>
      <c r="EMA94" s="102"/>
      <c r="EMB94" s="102"/>
      <c r="EMC94" s="102"/>
      <c r="EMD94" s="102"/>
      <c r="EME94" s="102"/>
      <c r="EMF94" s="102"/>
      <c r="EMG94" s="102"/>
      <c r="EMH94" s="102"/>
      <c r="EMI94" s="102"/>
      <c r="EMJ94" s="102"/>
      <c r="EMK94" s="102"/>
      <c r="EML94" s="102"/>
      <c r="EMM94" s="102"/>
      <c r="EMN94" s="102"/>
      <c r="EMO94" s="102"/>
      <c r="EMP94" s="102"/>
      <c r="EMQ94" s="102"/>
      <c r="EMR94" s="102"/>
      <c r="EMS94" s="102"/>
      <c r="EMT94" s="102"/>
      <c r="EMU94" s="102"/>
      <c r="EMV94" s="102"/>
      <c r="EMW94" s="102"/>
      <c r="EMX94" s="102"/>
      <c r="EMY94" s="102"/>
      <c r="EMZ94" s="102"/>
      <c r="ENA94" s="102"/>
      <c r="ENB94" s="102"/>
      <c r="ENC94" s="102"/>
      <c r="END94" s="102"/>
      <c r="ENE94" s="102"/>
      <c r="ENF94" s="102"/>
      <c r="ENG94" s="102"/>
      <c r="ENH94" s="102"/>
      <c r="ENI94" s="102"/>
      <c r="ENJ94" s="102"/>
      <c r="ENK94" s="102"/>
      <c r="ENL94" s="102"/>
      <c r="ENM94" s="102"/>
      <c r="ENN94" s="102"/>
      <c r="ENO94" s="102"/>
      <c r="ENP94" s="102"/>
      <c r="ENQ94" s="102"/>
      <c r="ENR94" s="102"/>
      <c r="ENS94" s="102"/>
      <c r="ENT94" s="102"/>
      <c r="ENU94" s="102"/>
      <c r="ENV94" s="102"/>
      <c r="ENW94" s="102"/>
      <c r="ENX94" s="102"/>
      <c r="ENY94" s="102"/>
      <c r="ENZ94" s="102"/>
      <c r="EOA94" s="102"/>
      <c r="EOB94" s="102"/>
      <c r="EOC94" s="102"/>
      <c r="EOD94" s="102"/>
      <c r="EOE94" s="102"/>
      <c r="EOF94" s="102"/>
      <c r="EOG94" s="102"/>
      <c r="EOH94" s="102"/>
      <c r="EOI94" s="102"/>
      <c r="EOJ94" s="102"/>
      <c r="EOK94" s="102"/>
      <c r="EOL94" s="102"/>
      <c r="EOM94" s="102"/>
      <c r="EON94" s="102"/>
      <c r="EOO94" s="102"/>
      <c r="EOP94" s="102"/>
      <c r="EOQ94" s="102"/>
      <c r="EOR94" s="102"/>
      <c r="EOS94" s="102"/>
      <c r="EOT94" s="102"/>
      <c r="EOU94" s="102"/>
      <c r="EOV94" s="102"/>
      <c r="EOW94" s="102"/>
      <c r="EOX94" s="102"/>
      <c r="EOY94" s="102"/>
      <c r="EOZ94" s="102"/>
      <c r="EPA94" s="102"/>
      <c r="EPB94" s="102"/>
      <c r="EPC94" s="102"/>
      <c r="EPD94" s="102"/>
      <c r="EPE94" s="102"/>
      <c r="EPF94" s="102"/>
      <c r="EPG94" s="102"/>
      <c r="EPH94" s="102"/>
      <c r="EPI94" s="102"/>
      <c r="EPJ94" s="102"/>
      <c r="EPK94" s="102"/>
      <c r="EPL94" s="102"/>
      <c r="EPM94" s="102"/>
      <c r="EPN94" s="102"/>
      <c r="EPO94" s="102"/>
      <c r="EPP94" s="102"/>
      <c r="EPQ94" s="102"/>
      <c r="EPR94" s="102"/>
      <c r="EPS94" s="102"/>
      <c r="EPT94" s="102"/>
      <c r="EPU94" s="102"/>
      <c r="EPV94" s="102"/>
      <c r="EPW94" s="102"/>
      <c r="EPX94" s="102"/>
      <c r="EPY94" s="102"/>
      <c r="EPZ94" s="102"/>
      <c r="EQA94" s="102"/>
      <c r="EQB94" s="102"/>
      <c r="EQC94" s="102"/>
      <c r="EQD94" s="102"/>
      <c r="EQE94" s="102"/>
      <c r="EQF94" s="102"/>
      <c r="EQG94" s="102"/>
      <c r="EQH94" s="102"/>
      <c r="EQI94" s="102"/>
      <c r="EQJ94" s="102"/>
      <c r="EQK94" s="102"/>
      <c r="EQL94" s="102"/>
      <c r="EQM94" s="102"/>
      <c r="EQN94" s="102"/>
      <c r="EQO94" s="102"/>
      <c r="EQP94" s="102"/>
      <c r="EQQ94" s="102"/>
      <c r="EQR94" s="102"/>
      <c r="EQS94" s="102"/>
      <c r="EQT94" s="102"/>
      <c r="EQU94" s="102"/>
      <c r="EQV94" s="102"/>
      <c r="EQW94" s="102"/>
      <c r="EQX94" s="102"/>
      <c r="EQY94" s="102"/>
      <c r="EQZ94" s="102"/>
      <c r="ERA94" s="102"/>
      <c r="ERB94" s="102"/>
      <c r="ERC94" s="102"/>
      <c r="ERD94" s="102"/>
      <c r="ERE94" s="102"/>
      <c r="ERF94" s="102"/>
      <c r="ERG94" s="102"/>
      <c r="ERH94" s="102"/>
      <c r="ERI94" s="102"/>
      <c r="ERJ94" s="102"/>
      <c r="ERK94" s="102"/>
      <c r="ERL94" s="102"/>
      <c r="ERM94" s="102"/>
      <c r="ERN94" s="102"/>
      <c r="ERO94" s="102"/>
      <c r="ERP94" s="102"/>
      <c r="ERQ94" s="102"/>
      <c r="ERR94" s="102"/>
      <c r="ERS94" s="102"/>
      <c r="ERT94" s="102"/>
      <c r="ERU94" s="102"/>
      <c r="ERV94" s="102"/>
      <c r="ERW94" s="102"/>
      <c r="ERX94" s="102"/>
      <c r="ERY94" s="102"/>
      <c r="ERZ94" s="102"/>
      <c r="ESA94" s="102"/>
      <c r="ESB94" s="102"/>
      <c r="ESC94" s="102"/>
      <c r="ESD94" s="102"/>
      <c r="ESE94" s="102"/>
      <c r="ESF94" s="102"/>
      <c r="ESG94" s="102"/>
      <c r="ESH94" s="102"/>
      <c r="ESI94" s="102"/>
      <c r="ESJ94" s="102"/>
      <c r="ESK94" s="102"/>
      <c r="ESL94" s="102"/>
      <c r="ESM94" s="102"/>
      <c r="ESN94" s="102"/>
      <c r="ESO94" s="102"/>
      <c r="ESP94" s="102"/>
      <c r="ESQ94" s="102"/>
      <c r="ESR94" s="102"/>
      <c r="ESS94" s="102"/>
      <c r="EST94" s="102"/>
      <c r="ESU94" s="102"/>
      <c r="ESV94" s="102"/>
      <c r="ESW94" s="102"/>
      <c r="ESX94" s="102"/>
      <c r="ESY94" s="102"/>
      <c r="ESZ94" s="102"/>
      <c r="ETA94" s="102"/>
      <c r="ETB94" s="102"/>
      <c r="ETC94" s="102"/>
      <c r="ETD94" s="102"/>
      <c r="ETE94" s="102"/>
      <c r="ETF94" s="102"/>
      <c r="ETG94" s="102"/>
      <c r="ETH94" s="102"/>
      <c r="ETI94" s="102"/>
      <c r="ETJ94" s="102"/>
      <c r="ETK94" s="102"/>
      <c r="ETL94" s="102"/>
      <c r="ETM94" s="102"/>
      <c r="ETN94" s="102"/>
      <c r="ETO94" s="102"/>
      <c r="ETP94" s="102"/>
      <c r="ETQ94" s="102"/>
      <c r="ETR94" s="102"/>
      <c r="ETS94" s="102"/>
      <c r="ETT94" s="102"/>
      <c r="ETU94" s="102"/>
      <c r="ETV94" s="102"/>
      <c r="ETW94" s="102"/>
      <c r="ETX94" s="102"/>
      <c r="ETY94" s="102"/>
      <c r="ETZ94" s="102"/>
      <c r="EUA94" s="102"/>
      <c r="EUB94" s="102"/>
      <c r="EUC94" s="102"/>
      <c r="EUD94" s="102"/>
      <c r="EUE94" s="102"/>
      <c r="EUF94" s="102"/>
      <c r="EUG94" s="102"/>
      <c r="EUH94" s="102"/>
      <c r="EUI94" s="102"/>
      <c r="EUJ94" s="102"/>
      <c r="EUK94" s="102"/>
      <c r="EUL94" s="102"/>
      <c r="EUM94" s="102"/>
      <c r="EUN94" s="102"/>
      <c r="EUO94" s="102"/>
      <c r="EUP94" s="102"/>
      <c r="EUQ94" s="102"/>
      <c r="EUR94" s="102"/>
      <c r="EUS94" s="102"/>
      <c r="EUT94" s="102"/>
      <c r="EUU94" s="102"/>
      <c r="EUV94" s="102"/>
      <c r="EUW94" s="102"/>
      <c r="EUX94" s="102"/>
      <c r="EUY94" s="102"/>
      <c r="EUZ94" s="102"/>
      <c r="EVA94" s="102"/>
      <c r="EVB94" s="102"/>
      <c r="EVC94" s="102"/>
      <c r="EVD94" s="102"/>
      <c r="EVE94" s="102"/>
      <c r="EVF94" s="102"/>
      <c r="EVG94" s="102"/>
      <c r="EVH94" s="102"/>
      <c r="EVI94" s="102"/>
      <c r="EVJ94" s="102"/>
      <c r="EVK94" s="102"/>
      <c r="EVL94" s="102"/>
      <c r="EVM94" s="102"/>
      <c r="EVN94" s="102"/>
      <c r="EVO94" s="102"/>
      <c r="EVP94" s="102"/>
      <c r="EVQ94" s="102"/>
      <c r="EVR94" s="102"/>
      <c r="EVS94" s="102"/>
      <c r="EVT94" s="102"/>
      <c r="EVU94" s="102"/>
      <c r="EVV94" s="102"/>
      <c r="EVW94" s="102"/>
      <c r="EVX94" s="102"/>
      <c r="EVY94" s="102"/>
      <c r="EVZ94" s="102"/>
      <c r="EWA94" s="102"/>
      <c r="EWB94" s="102"/>
      <c r="EWC94" s="102"/>
      <c r="EWD94" s="102"/>
      <c r="EWE94" s="102"/>
      <c r="EWF94" s="102"/>
      <c r="EWG94" s="102"/>
      <c r="EWH94" s="102"/>
      <c r="EWI94" s="102"/>
      <c r="EWJ94" s="102"/>
      <c r="EWK94" s="102"/>
      <c r="EWL94" s="102"/>
      <c r="EWM94" s="102"/>
      <c r="EWN94" s="102"/>
      <c r="EWO94" s="102"/>
      <c r="EWP94" s="102"/>
      <c r="EWQ94" s="102"/>
      <c r="EWR94" s="102"/>
      <c r="EWS94" s="102"/>
      <c r="EWT94" s="102"/>
      <c r="EWU94" s="102"/>
      <c r="EWV94" s="102"/>
      <c r="EWW94" s="102"/>
      <c r="EWX94" s="102"/>
      <c r="EWY94" s="102"/>
      <c r="EWZ94" s="102"/>
      <c r="EXA94" s="102"/>
      <c r="EXB94" s="102"/>
      <c r="EXC94" s="102"/>
      <c r="EXD94" s="102"/>
      <c r="EXE94" s="102"/>
      <c r="EXF94" s="102"/>
      <c r="EXG94" s="102"/>
      <c r="EXH94" s="102"/>
      <c r="EXI94" s="102"/>
      <c r="EXJ94" s="102"/>
      <c r="EXK94" s="102"/>
      <c r="EXL94" s="102"/>
      <c r="EXM94" s="102"/>
      <c r="EXN94" s="102"/>
      <c r="EXO94" s="102"/>
      <c r="EXP94" s="102"/>
      <c r="EXQ94" s="102"/>
      <c r="EXR94" s="102"/>
      <c r="EXS94" s="102"/>
      <c r="EXT94" s="102"/>
      <c r="EXU94" s="102"/>
      <c r="EXV94" s="102"/>
      <c r="EXW94" s="102"/>
      <c r="EXX94" s="102"/>
      <c r="EXY94" s="102"/>
      <c r="EXZ94" s="102"/>
      <c r="EYA94" s="102"/>
      <c r="EYB94" s="102"/>
      <c r="EYC94" s="102"/>
      <c r="EYD94" s="102"/>
      <c r="EYE94" s="102"/>
      <c r="EYF94" s="102"/>
      <c r="EYG94" s="102"/>
      <c r="EYH94" s="102"/>
      <c r="EYI94" s="102"/>
      <c r="EYJ94" s="102"/>
      <c r="EYK94" s="102"/>
      <c r="EYL94" s="102"/>
      <c r="EYM94" s="102"/>
      <c r="EYN94" s="102"/>
      <c r="EYO94" s="102"/>
      <c r="EYP94" s="102"/>
      <c r="EYQ94" s="102"/>
      <c r="EYR94" s="102"/>
      <c r="EYS94" s="102"/>
      <c r="EYT94" s="102"/>
      <c r="EYU94" s="102"/>
      <c r="EYV94" s="102"/>
      <c r="EYW94" s="102"/>
      <c r="EYX94" s="102"/>
      <c r="EYY94" s="102"/>
      <c r="EYZ94" s="102"/>
      <c r="EZA94" s="102"/>
      <c r="EZB94" s="102"/>
      <c r="EZC94" s="102"/>
      <c r="EZD94" s="102"/>
      <c r="EZE94" s="102"/>
      <c r="EZF94" s="102"/>
      <c r="EZG94" s="102"/>
      <c r="EZH94" s="102"/>
      <c r="EZI94" s="102"/>
      <c r="EZJ94" s="102"/>
      <c r="EZK94" s="102"/>
      <c r="EZL94" s="102"/>
      <c r="EZM94" s="102"/>
      <c r="EZN94" s="102"/>
      <c r="EZO94" s="102"/>
      <c r="EZP94" s="102"/>
      <c r="EZQ94" s="102"/>
      <c r="EZR94" s="102"/>
      <c r="EZS94" s="102"/>
      <c r="EZT94" s="102"/>
      <c r="EZU94" s="102"/>
      <c r="EZV94" s="102"/>
      <c r="EZW94" s="102"/>
      <c r="EZX94" s="102"/>
      <c r="EZY94" s="102"/>
      <c r="EZZ94" s="102"/>
      <c r="FAA94" s="102"/>
      <c r="FAB94" s="102"/>
      <c r="FAC94" s="102"/>
      <c r="FAD94" s="102"/>
      <c r="FAE94" s="102"/>
      <c r="FAF94" s="102"/>
      <c r="FAG94" s="102"/>
      <c r="FAH94" s="102"/>
      <c r="FAI94" s="102"/>
      <c r="FAJ94" s="102"/>
      <c r="FAK94" s="102"/>
      <c r="FAL94" s="102"/>
      <c r="FAM94" s="102"/>
      <c r="FAN94" s="102"/>
      <c r="FAO94" s="102"/>
      <c r="FAP94" s="102"/>
      <c r="FAQ94" s="102"/>
      <c r="FAR94" s="102"/>
      <c r="FAS94" s="102"/>
      <c r="FAT94" s="102"/>
      <c r="FAU94" s="102"/>
      <c r="FAV94" s="102"/>
      <c r="FAW94" s="102"/>
      <c r="FAX94" s="102"/>
      <c r="FAY94" s="102"/>
      <c r="FAZ94" s="102"/>
      <c r="FBA94" s="102"/>
      <c r="FBB94" s="102"/>
      <c r="FBC94" s="102"/>
      <c r="FBD94" s="102"/>
      <c r="FBE94" s="102"/>
      <c r="FBF94" s="102"/>
      <c r="FBG94" s="102"/>
      <c r="FBH94" s="102"/>
      <c r="FBI94" s="102"/>
      <c r="FBJ94" s="102"/>
      <c r="FBK94" s="102"/>
      <c r="FBL94" s="102"/>
      <c r="FBM94" s="102"/>
      <c r="FBN94" s="102"/>
      <c r="FBO94" s="102"/>
      <c r="FBP94" s="102"/>
      <c r="FBQ94" s="102"/>
      <c r="FBR94" s="102"/>
      <c r="FBS94" s="102"/>
      <c r="FBT94" s="102"/>
      <c r="FBU94" s="102"/>
      <c r="FBV94" s="102"/>
      <c r="FBW94" s="102"/>
      <c r="FBX94" s="102"/>
      <c r="FBY94" s="102"/>
      <c r="FBZ94" s="102"/>
      <c r="FCA94" s="102"/>
      <c r="FCB94" s="102"/>
      <c r="FCC94" s="102"/>
      <c r="FCD94" s="102"/>
      <c r="FCE94" s="102"/>
      <c r="FCF94" s="102"/>
      <c r="FCG94" s="102"/>
      <c r="FCH94" s="102"/>
      <c r="FCI94" s="102"/>
      <c r="FCJ94" s="102"/>
      <c r="FCK94" s="102"/>
      <c r="FCL94" s="102"/>
      <c r="FCM94" s="102"/>
      <c r="FCN94" s="102"/>
      <c r="FCO94" s="102"/>
      <c r="FCP94" s="102"/>
      <c r="FCQ94" s="102"/>
      <c r="FCR94" s="102"/>
      <c r="FCS94" s="102"/>
      <c r="FCT94" s="102"/>
      <c r="FCU94" s="102"/>
      <c r="FCV94" s="102"/>
      <c r="FCW94" s="102"/>
      <c r="FCX94" s="102"/>
      <c r="FCY94" s="102"/>
      <c r="FCZ94" s="102"/>
      <c r="FDA94" s="102"/>
      <c r="FDB94" s="102"/>
      <c r="FDC94" s="102"/>
      <c r="FDD94" s="102"/>
      <c r="FDE94" s="102"/>
      <c r="FDF94" s="102"/>
      <c r="FDG94" s="102"/>
      <c r="FDH94" s="102"/>
      <c r="FDI94" s="102"/>
      <c r="FDJ94" s="102"/>
      <c r="FDK94" s="102"/>
      <c r="FDL94" s="102"/>
      <c r="FDM94" s="102"/>
      <c r="FDN94" s="102"/>
      <c r="FDO94" s="102"/>
      <c r="FDP94" s="102"/>
      <c r="FDQ94" s="102"/>
      <c r="FDR94" s="102"/>
      <c r="FDS94" s="102"/>
      <c r="FDT94" s="102"/>
      <c r="FDU94" s="102"/>
      <c r="FDV94" s="102"/>
      <c r="FDW94" s="102"/>
      <c r="FDX94" s="102"/>
      <c r="FDY94" s="102"/>
      <c r="FDZ94" s="102"/>
      <c r="FEA94" s="102"/>
      <c r="FEB94" s="102"/>
      <c r="FEC94" s="102"/>
      <c r="FED94" s="102"/>
      <c r="FEE94" s="102"/>
      <c r="FEF94" s="102"/>
      <c r="FEG94" s="102"/>
      <c r="FEH94" s="102"/>
      <c r="FEI94" s="102"/>
      <c r="FEJ94" s="102"/>
      <c r="FEK94" s="102"/>
      <c r="FEL94" s="102"/>
      <c r="FEM94" s="102"/>
      <c r="FEN94" s="102"/>
      <c r="FEO94" s="102"/>
      <c r="FEP94" s="102"/>
      <c r="FEQ94" s="102"/>
      <c r="FER94" s="102"/>
      <c r="FES94" s="102"/>
      <c r="FET94" s="102"/>
      <c r="FEU94" s="102"/>
      <c r="FEV94" s="102"/>
      <c r="FEW94" s="102"/>
      <c r="FEX94" s="102"/>
      <c r="FEY94" s="102"/>
      <c r="FEZ94" s="102"/>
      <c r="FFA94" s="102"/>
      <c r="FFB94" s="102"/>
      <c r="FFC94" s="102"/>
      <c r="FFD94" s="102"/>
      <c r="FFE94" s="102"/>
      <c r="FFF94" s="102"/>
      <c r="FFG94" s="102"/>
      <c r="FFH94" s="102"/>
      <c r="FFI94" s="102"/>
      <c r="FFJ94" s="102"/>
      <c r="FFK94" s="102"/>
      <c r="FFL94" s="102"/>
      <c r="FFM94" s="102"/>
      <c r="FFN94" s="102"/>
      <c r="FFO94" s="102"/>
      <c r="FFP94" s="102"/>
      <c r="FFQ94" s="102"/>
      <c r="FFR94" s="102"/>
      <c r="FFS94" s="102"/>
      <c r="FFT94" s="102"/>
      <c r="FFU94" s="102"/>
      <c r="FFV94" s="102"/>
      <c r="FFW94" s="102"/>
      <c r="FFX94" s="102"/>
      <c r="FFY94" s="102"/>
      <c r="FFZ94" s="102"/>
      <c r="FGA94" s="102"/>
      <c r="FGB94" s="102"/>
      <c r="FGC94" s="102"/>
      <c r="FGD94" s="102"/>
      <c r="FGE94" s="102"/>
      <c r="FGF94" s="102"/>
      <c r="FGG94" s="102"/>
      <c r="FGH94" s="102"/>
      <c r="FGI94" s="102"/>
      <c r="FGJ94" s="102"/>
      <c r="FGK94" s="102"/>
      <c r="FGL94" s="102"/>
      <c r="FGM94" s="102"/>
      <c r="FGN94" s="102"/>
      <c r="FGO94" s="102"/>
      <c r="FGP94" s="102"/>
      <c r="FGQ94" s="102"/>
      <c r="FGR94" s="102"/>
      <c r="FGS94" s="102"/>
      <c r="FGT94" s="102"/>
      <c r="FGU94" s="102"/>
      <c r="FGV94" s="102"/>
      <c r="FGW94" s="102"/>
      <c r="FGX94" s="102"/>
      <c r="FGY94" s="102"/>
      <c r="FGZ94" s="102"/>
      <c r="FHA94" s="102"/>
      <c r="FHB94" s="102"/>
      <c r="FHC94" s="102"/>
      <c r="FHD94" s="102"/>
      <c r="FHE94" s="102"/>
      <c r="FHF94" s="102"/>
      <c r="FHG94" s="102"/>
      <c r="FHH94" s="102"/>
      <c r="FHI94" s="102"/>
      <c r="FHJ94" s="102"/>
      <c r="FHK94" s="102"/>
      <c r="FHL94" s="102"/>
      <c r="FHM94" s="102"/>
      <c r="FHN94" s="102"/>
      <c r="FHO94" s="102"/>
      <c r="FHP94" s="102"/>
      <c r="FHQ94" s="102"/>
      <c r="FHR94" s="102"/>
      <c r="FHS94" s="102"/>
      <c r="FHT94" s="102"/>
      <c r="FHU94" s="102"/>
      <c r="FHV94" s="102"/>
      <c r="FHW94" s="102"/>
      <c r="FHX94" s="102"/>
      <c r="FHY94" s="102"/>
      <c r="FHZ94" s="102"/>
      <c r="FIA94" s="102"/>
      <c r="FIB94" s="102"/>
      <c r="FIC94" s="102"/>
      <c r="FID94" s="102"/>
      <c r="FIE94" s="102"/>
      <c r="FIF94" s="102"/>
      <c r="FIG94" s="102"/>
      <c r="FIH94" s="102"/>
      <c r="FII94" s="102"/>
      <c r="FIJ94" s="102"/>
      <c r="FIK94" s="102"/>
      <c r="FIL94" s="102"/>
      <c r="FIM94" s="102"/>
      <c r="FIN94" s="102"/>
      <c r="FIO94" s="102"/>
      <c r="FIP94" s="102"/>
      <c r="FIQ94" s="102"/>
      <c r="FIR94" s="102"/>
      <c r="FIS94" s="102"/>
      <c r="FIT94" s="102"/>
      <c r="FIU94" s="102"/>
      <c r="FIV94" s="102"/>
      <c r="FIW94" s="102"/>
      <c r="FIX94" s="102"/>
      <c r="FIY94" s="102"/>
      <c r="FIZ94" s="102"/>
      <c r="FJA94" s="102"/>
      <c r="FJB94" s="102"/>
      <c r="FJC94" s="102"/>
      <c r="FJD94" s="102"/>
      <c r="FJE94" s="102"/>
      <c r="FJF94" s="102"/>
      <c r="FJG94" s="102"/>
      <c r="FJH94" s="102"/>
      <c r="FJI94" s="102"/>
      <c r="FJJ94" s="102"/>
      <c r="FJK94" s="102"/>
      <c r="FJL94" s="102"/>
      <c r="FJM94" s="102"/>
      <c r="FJN94" s="102"/>
      <c r="FJO94" s="102"/>
      <c r="FJP94" s="102"/>
      <c r="FJQ94" s="102"/>
      <c r="FJR94" s="102"/>
      <c r="FJS94" s="102"/>
      <c r="FJT94" s="102"/>
      <c r="FJU94" s="102"/>
      <c r="FJV94" s="102"/>
      <c r="FJW94" s="102"/>
      <c r="FJX94" s="102"/>
      <c r="FJY94" s="102"/>
      <c r="FJZ94" s="102"/>
      <c r="FKA94" s="102"/>
      <c r="FKB94" s="102"/>
      <c r="FKC94" s="102"/>
      <c r="FKD94" s="102"/>
      <c r="FKE94" s="102"/>
      <c r="FKF94" s="102"/>
      <c r="FKG94" s="102"/>
      <c r="FKH94" s="102"/>
      <c r="FKI94" s="102"/>
      <c r="FKJ94" s="102"/>
      <c r="FKK94" s="102"/>
      <c r="FKL94" s="102"/>
      <c r="FKM94" s="102"/>
      <c r="FKN94" s="102"/>
      <c r="FKO94" s="102"/>
      <c r="FKP94" s="102"/>
      <c r="FKQ94" s="102"/>
      <c r="FKR94" s="102"/>
      <c r="FKS94" s="102"/>
      <c r="FKT94" s="102"/>
      <c r="FKU94" s="102"/>
      <c r="FKV94" s="102"/>
      <c r="FKW94" s="102"/>
      <c r="FKX94" s="102"/>
      <c r="FKY94" s="102"/>
      <c r="FKZ94" s="102"/>
      <c r="FLA94" s="102"/>
      <c r="FLB94" s="102"/>
      <c r="FLC94" s="102"/>
      <c r="FLD94" s="102"/>
      <c r="FLE94" s="102"/>
      <c r="FLF94" s="102"/>
      <c r="FLG94" s="102"/>
      <c r="FLH94" s="102"/>
      <c r="FLI94" s="102"/>
      <c r="FLJ94" s="102"/>
      <c r="FLK94" s="102"/>
      <c r="FLL94" s="102"/>
      <c r="FLM94" s="102"/>
      <c r="FLN94" s="102"/>
      <c r="FLO94" s="102"/>
      <c r="FLP94" s="102"/>
      <c r="FLQ94" s="102"/>
      <c r="FLR94" s="102"/>
      <c r="FLS94" s="102"/>
      <c r="FLT94" s="102"/>
      <c r="FLU94" s="102"/>
      <c r="FLV94" s="102"/>
      <c r="FLW94" s="102"/>
      <c r="FLX94" s="102"/>
      <c r="FLY94" s="102"/>
      <c r="FLZ94" s="102"/>
      <c r="FMA94" s="102"/>
      <c r="FMB94" s="102"/>
      <c r="FMC94" s="102"/>
      <c r="FMD94" s="102"/>
      <c r="FME94" s="102"/>
      <c r="FMF94" s="102"/>
      <c r="FMG94" s="102"/>
      <c r="FMH94" s="102"/>
      <c r="FMI94" s="102"/>
      <c r="FMJ94" s="102"/>
      <c r="FMK94" s="102"/>
      <c r="FML94" s="102"/>
      <c r="FMM94" s="102"/>
      <c r="FMN94" s="102"/>
      <c r="FMO94" s="102"/>
      <c r="FMP94" s="102"/>
      <c r="FMQ94" s="102"/>
      <c r="FMR94" s="102"/>
      <c r="FMS94" s="102"/>
      <c r="FMT94" s="102"/>
      <c r="FMU94" s="102"/>
      <c r="FMV94" s="102"/>
      <c r="FMW94" s="102"/>
      <c r="FMX94" s="102"/>
      <c r="FMY94" s="102"/>
      <c r="FMZ94" s="102"/>
      <c r="FNA94" s="102"/>
      <c r="FNB94" s="102"/>
      <c r="FNC94" s="102"/>
      <c r="FND94" s="102"/>
      <c r="FNE94" s="102"/>
      <c r="FNF94" s="102"/>
      <c r="FNG94" s="102"/>
      <c r="FNH94" s="102"/>
      <c r="FNI94" s="102"/>
      <c r="FNJ94" s="102"/>
      <c r="FNK94" s="102"/>
      <c r="FNL94" s="102"/>
      <c r="FNM94" s="102"/>
      <c r="FNN94" s="102"/>
      <c r="FNO94" s="102"/>
      <c r="FNP94" s="102"/>
      <c r="FNQ94" s="102"/>
      <c r="FNR94" s="102"/>
      <c r="FNS94" s="102"/>
      <c r="FNT94" s="102"/>
      <c r="FNU94" s="102"/>
      <c r="FNV94" s="102"/>
      <c r="FNW94" s="102"/>
      <c r="FNX94" s="102"/>
      <c r="FNY94" s="102"/>
      <c r="FNZ94" s="102"/>
      <c r="FOA94" s="102"/>
      <c r="FOB94" s="102"/>
      <c r="FOC94" s="102"/>
      <c r="FOD94" s="102"/>
      <c r="FOE94" s="102"/>
      <c r="FOF94" s="102"/>
      <c r="FOG94" s="102"/>
      <c r="FOH94" s="102"/>
      <c r="FOI94" s="102"/>
      <c r="FOJ94" s="102"/>
      <c r="FOK94" s="102"/>
      <c r="FOL94" s="102"/>
      <c r="FOM94" s="102"/>
      <c r="FON94" s="102"/>
      <c r="FOO94" s="102"/>
      <c r="FOP94" s="102"/>
      <c r="FOQ94" s="102"/>
      <c r="FOR94" s="102"/>
      <c r="FOS94" s="102"/>
      <c r="FOT94" s="102"/>
      <c r="FOU94" s="102"/>
      <c r="FOV94" s="102"/>
      <c r="FOW94" s="102"/>
      <c r="FOX94" s="102"/>
      <c r="FOY94" s="102"/>
      <c r="FOZ94" s="102"/>
      <c r="FPA94" s="102"/>
      <c r="FPB94" s="102"/>
      <c r="FPC94" s="102"/>
      <c r="FPD94" s="102"/>
      <c r="FPE94" s="102"/>
      <c r="FPF94" s="102"/>
      <c r="FPG94" s="102"/>
      <c r="FPH94" s="102"/>
      <c r="FPI94" s="102"/>
      <c r="FPJ94" s="102"/>
      <c r="FPK94" s="102"/>
      <c r="FPL94" s="102"/>
      <c r="FPM94" s="102"/>
      <c r="FPN94" s="102"/>
      <c r="FPO94" s="102"/>
      <c r="FPP94" s="102"/>
      <c r="FPQ94" s="102"/>
      <c r="FPR94" s="102"/>
      <c r="FPS94" s="102"/>
      <c r="FPT94" s="102"/>
      <c r="FPU94" s="102"/>
      <c r="FPV94" s="102"/>
      <c r="FPW94" s="102"/>
      <c r="FPX94" s="102"/>
      <c r="FPY94" s="102"/>
      <c r="FPZ94" s="102"/>
      <c r="FQA94" s="102"/>
      <c r="FQB94" s="102"/>
      <c r="FQC94" s="102"/>
      <c r="FQD94" s="102"/>
      <c r="FQE94" s="102"/>
      <c r="FQF94" s="102"/>
      <c r="FQG94" s="102"/>
      <c r="FQH94" s="102"/>
      <c r="FQI94" s="102"/>
      <c r="FQJ94" s="102"/>
      <c r="FQK94" s="102"/>
      <c r="FQL94" s="102"/>
      <c r="FQM94" s="102"/>
      <c r="FQN94" s="102"/>
      <c r="FQO94" s="102"/>
      <c r="FQP94" s="102"/>
      <c r="FQQ94" s="102"/>
      <c r="FQR94" s="102"/>
      <c r="FQS94" s="102"/>
      <c r="FQT94" s="102"/>
      <c r="FQU94" s="102"/>
      <c r="FQV94" s="102"/>
      <c r="FQW94" s="102"/>
      <c r="FQX94" s="102"/>
      <c r="FQY94" s="102"/>
      <c r="FQZ94" s="102"/>
      <c r="FRA94" s="102"/>
      <c r="FRB94" s="102"/>
      <c r="FRC94" s="102"/>
      <c r="FRD94" s="102"/>
      <c r="FRE94" s="102"/>
      <c r="FRF94" s="102"/>
      <c r="FRG94" s="102"/>
      <c r="FRH94" s="102"/>
      <c r="FRI94" s="102"/>
      <c r="FRJ94" s="102"/>
      <c r="FRK94" s="102"/>
      <c r="FRL94" s="102"/>
      <c r="FRM94" s="102"/>
      <c r="FRN94" s="102"/>
      <c r="FRO94" s="102"/>
      <c r="FRP94" s="102"/>
      <c r="FRQ94" s="102"/>
      <c r="FRR94" s="102"/>
      <c r="FRS94" s="102"/>
      <c r="FRT94" s="102"/>
      <c r="FRU94" s="102"/>
      <c r="FRV94" s="102"/>
      <c r="FRW94" s="102"/>
      <c r="FRX94" s="102"/>
      <c r="FRY94" s="102"/>
      <c r="FRZ94" s="102"/>
      <c r="FSA94" s="102"/>
      <c r="FSB94" s="102"/>
      <c r="FSC94" s="102"/>
      <c r="FSD94" s="102"/>
      <c r="FSE94" s="102"/>
      <c r="FSF94" s="102"/>
      <c r="FSG94" s="102"/>
      <c r="FSH94" s="102"/>
      <c r="FSI94" s="102"/>
      <c r="FSJ94" s="102"/>
      <c r="FSK94" s="102"/>
      <c r="FSL94" s="102"/>
      <c r="FSM94" s="102"/>
      <c r="FSN94" s="102"/>
      <c r="FSO94" s="102"/>
      <c r="FSP94" s="102"/>
      <c r="FSQ94" s="102"/>
      <c r="FSR94" s="102"/>
      <c r="FSS94" s="102"/>
      <c r="FST94" s="102"/>
      <c r="FSU94" s="102"/>
      <c r="FSV94" s="102"/>
      <c r="FSW94" s="102"/>
      <c r="FSX94" s="102"/>
      <c r="FSY94" s="102"/>
      <c r="FSZ94" s="102"/>
      <c r="FTA94" s="102"/>
      <c r="FTB94" s="102"/>
      <c r="FTC94" s="102"/>
      <c r="FTD94" s="102"/>
      <c r="FTE94" s="102"/>
      <c r="FTF94" s="102"/>
      <c r="FTG94" s="102"/>
      <c r="FTH94" s="102"/>
      <c r="FTI94" s="102"/>
      <c r="FTJ94" s="102"/>
      <c r="FTK94" s="102"/>
      <c r="FTL94" s="102"/>
      <c r="FTM94" s="102"/>
      <c r="FTN94" s="102"/>
      <c r="FTO94" s="102"/>
      <c r="FTP94" s="102"/>
      <c r="FTQ94" s="102"/>
      <c r="FTR94" s="102"/>
      <c r="FTS94" s="102"/>
      <c r="FTT94" s="102"/>
      <c r="FTU94" s="102"/>
      <c r="FTV94" s="102"/>
      <c r="FTW94" s="102"/>
      <c r="FTX94" s="102"/>
      <c r="FTY94" s="102"/>
      <c r="FTZ94" s="102"/>
      <c r="FUA94" s="102"/>
      <c r="FUB94" s="102"/>
      <c r="FUC94" s="102"/>
      <c r="FUD94" s="102"/>
      <c r="FUE94" s="102"/>
      <c r="FUF94" s="102"/>
      <c r="FUG94" s="102"/>
      <c r="FUH94" s="102"/>
      <c r="FUI94" s="102"/>
      <c r="FUJ94" s="102"/>
      <c r="FUK94" s="102"/>
      <c r="FUL94" s="102"/>
      <c r="FUM94" s="102"/>
      <c r="FUN94" s="102"/>
      <c r="FUO94" s="102"/>
      <c r="FUP94" s="102"/>
      <c r="FUQ94" s="102"/>
      <c r="FUR94" s="102"/>
      <c r="FUS94" s="102"/>
      <c r="FUT94" s="102"/>
      <c r="FUU94" s="102"/>
      <c r="FUV94" s="102"/>
      <c r="FUW94" s="102"/>
      <c r="FUX94" s="102"/>
      <c r="FUY94" s="102"/>
      <c r="FUZ94" s="102"/>
      <c r="FVA94" s="102"/>
      <c r="FVB94" s="102"/>
      <c r="FVC94" s="102"/>
      <c r="FVD94" s="102"/>
      <c r="FVE94" s="102"/>
      <c r="FVF94" s="102"/>
      <c r="FVG94" s="102"/>
      <c r="FVH94" s="102"/>
      <c r="FVI94" s="102"/>
      <c r="FVJ94" s="102"/>
      <c r="FVK94" s="102"/>
      <c r="FVL94" s="102"/>
      <c r="FVM94" s="102"/>
      <c r="FVN94" s="102"/>
      <c r="FVO94" s="102"/>
      <c r="FVP94" s="102"/>
      <c r="FVQ94" s="102"/>
      <c r="FVR94" s="102"/>
      <c r="FVS94" s="102"/>
      <c r="FVT94" s="102"/>
      <c r="FVU94" s="102"/>
      <c r="FVV94" s="102"/>
      <c r="FVW94" s="102"/>
      <c r="FVX94" s="102"/>
      <c r="FVY94" s="102"/>
      <c r="FVZ94" s="102"/>
      <c r="FWA94" s="102"/>
      <c r="FWB94" s="102"/>
      <c r="FWC94" s="102"/>
      <c r="FWD94" s="102"/>
      <c r="FWE94" s="102"/>
      <c r="FWF94" s="102"/>
      <c r="FWG94" s="102"/>
      <c r="FWH94" s="102"/>
      <c r="FWI94" s="102"/>
      <c r="FWJ94" s="102"/>
      <c r="FWK94" s="102"/>
      <c r="FWL94" s="102"/>
      <c r="FWM94" s="102"/>
      <c r="FWN94" s="102"/>
      <c r="FWO94" s="102"/>
      <c r="FWP94" s="102"/>
      <c r="FWQ94" s="102"/>
      <c r="FWR94" s="102"/>
      <c r="FWS94" s="102"/>
      <c r="FWT94" s="102"/>
      <c r="FWU94" s="102"/>
      <c r="FWV94" s="102"/>
      <c r="FWW94" s="102"/>
      <c r="FWX94" s="102"/>
      <c r="FWY94" s="102"/>
      <c r="FWZ94" s="102"/>
      <c r="FXA94" s="102"/>
      <c r="FXB94" s="102"/>
      <c r="FXC94" s="102"/>
      <c r="FXD94" s="102"/>
      <c r="FXE94" s="102"/>
      <c r="FXF94" s="102"/>
      <c r="FXG94" s="102"/>
      <c r="FXH94" s="102"/>
      <c r="FXI94" s="102"/>
      <c r="FXJ94" s="102"/>
      <c r="FXK94" s="102"/>
      <c r="FXL94" s="102"/>
      <c r="FXM94" s="102"/>
      <c r="FXN94" s="102"/>
      <c r="FXO94" s="102"/>
      <c r="FXP94" s="102"/>
      <c r="FXQ94" s="102"/>
      <c r="FXR94" s="102"/>
      <c r="FXS94" s="102"/>
      <c r="FXT94" s="102"/>
      <c r="FXU94" s="102"/>
      <c r="FXV94" s="102"/>
      <c r="FXW94" s="102"/>
      <c r="FXX94" s="102"/>
      <c r="FXY94" s="102"/>
      <c r="FXZ94" s="102"/>
      <c r="FYA94" s="102"/>
      <c r="FYB94" s="102"/>
      <c r="FYC94" s="102"/>
      <c r="FYD94" s="102"/>
      <c r="FYE94" s="102"/>
      <c r="FYF94" s="102"/>
      <c r="FYG94" s="102"/>
      <c r="FYH94" s="102"/>
      <c r="FYI94" s="102"/>
      <c r="FYJ94" s="102"/>
      <c r="FYK94" s="102"/>
      <c r="FYL94" s="102"/>
      <c r="FYM94" s="102"/>
      <c r="FYN94" s="102"/>
      <c r="FYO94" s="102"/>
      <c r="FYP94" s="102"/>
      <c r="FYQ94" s="102"/>
      <c r="FYR94" s="102"/>
      <c r="FYS94" s="102"/>
      <c r="FYT94" s="102"/>
      <c r="FYU94" s="102"/>
      <c r="FYV94" s="102"/>
      <c r="FYW94" s="102"/>
      <c r="FYX94" s="102"/>
      <c r="FYY94" s="102"/>
      <c r="FYZ94" s="102"/>
      <c r="FZA94" s="102"/>
      <c r="FZB94" s="102"/>
      <c r="FZC94" s="102"/>
      <c r="FZD94" s="102"/>
      <c r="FZE94" s="102"/>
      <c r="FZF94" s="102"/>
      <c r="FZG94" s="102"/>
      <c r="FZH94" s="102"/>
      <c r="FZI94" s="102"/>
      <c r="FZJ94" s="102"/>
      <c r="FZK94" s="102"/>
      <c r="FZL94" s="102"/>
      <c r="FZM94" s="102"/>
      <c r="FZN94" s="102"/>
      <c r="FZO94" s="102"/>
      <c r="FZP94" s="102"/>
      <c r="FZQ94" s="102"/>
      <c r="FZR94" s="102"/>
      <c r="FZS94" s="102"/>
      <c r="FZT94" s="102"/>
      <c r="FZU94" s="102"/>
      <c r="FZV94" s="102"/>
      <c r="FZW94" s="102"/>
      <c r="FZX94" s="102"/>
      <c r="FZY94" s="102"/>
      <c r="FZZ94" s="102"/>
      <c r="GAA94" s="102"/>
      <c r="GAB94" s="102"/>
      <c r="GAC94" s="102"/>
      <c r="GAD94" s="102"/>
      <c r="GAE94" s="102"/>
      <c r="GAF94" s="102"/>
      <c r="GAG94" s="102"/>
      <c r="GAH94" s="102"/>
      <c r="GAI94" s="102"/>
      <c r="GAJ94" s="102"/>
      <c r="GAK94" s="102"/>
      <c r="GAL94" s="102"/>
      <c r="GAM94" s="102"/>
      <c r="GAN94" s="102"/>
      <c r="GAO94" s="102"/>
      <c r="GAP94" s="102"/>
      <c r="GAQ94" s="102"/>
      <c r="GAR94" s="102"/>
      <c r="GAS94" s="102"/>
      <c r="GAT94" s="102"/>
      <c r="GAU94" s="102"/>
      <c r="GAV94" s="102"/>
      <c r="GAW94" s="102"/>
      <c r="GAX94" s="102"/>
      <c r="GAY94" s="102"/>
      <c r="GAZ94" s="102"/>
      <c r="GBA94" s="102"/>
      <c r="GBB94" s="102"/>
      <c r="GBC94" s="102"/>
      <c r="GBD94" s="102"/>
      <c r="GBE94" s="102"/>
      <c r="GBF94" s="102"/>
      <c r="GBG94" s="102"/>
      <c r="GBH94" s="102"/>
      <c r="GBI94" s="102"/>
      <c r="GBJ94" s="102"/>
      <c r="GBK94" s="102"/>
      <c r="GBL94" s="102"/>
      <c r="GBM94" s="102"/>
      <c r="GBN94" s="102"/>
      <c r="GBO94" s="102"/>
      <c r="GBP94" s="102"/>
      <c r="GBQ94" s="102"/>
      <c r="GBR94" s="102"/>
      <c r="GBS94" s="102"/>
      <c r="GBT94" s="102"/>
      <c r="GBU94" s="102"/>
      <c r="GBV94" s="102"/>
      <c r="GBW94" s="102"/>
      <c r="GBX94" s="102"/>
      <c r="GBY94" s="102"/>
      <c r="GBZ94" s="102"/>
      <c r="GCA94" s="102"/>
      <c r="GCB94" s="102"/>
      <c r="GCC94" s="102"/>
      <c r="GCD94" s="102"/>
      <c r="GCE94" s="102"/>
      <c r="GCF94" s="102"/>
      <c r="GCG94" s="102"/>
      <c r="GCH94" s="102"/>
      <c r="GCI94" s="102"/>
      <c r="GCJ94" s="102"/>
      <c r="GCK94" s="102"/>
      <c r="GCL94" s="102"/>
      <c r="GCM94" s="102"/>
      <c r="GCN94" s="102"/>
      <c r="GCO94" s="102"/>
      <c r="GCP94" s="102"/>
      <c r="GCQ94" s="102"/>
      <c r="GCR94" s="102"/>
      <c r="GCS94" s="102"/>
      <c r="GCT94" s="102"/>
      <c r="GCU94" s="102"/>
      <c r="GCV94" s="102"/>
      <c r="GCW94" s="102"/>
      <c r="GCX94" s="102"/>
      <c r="GCY94" s="102"/>
      <c r="GCZ94" s="102"/>
      <c r="GDA94" s="102"/>
      <c r="GDB94" s="102"/>
      <c r="GDC94" s="102"/>
      <c r="GDD94" s="102"/>
      <c r="GDE94" s="102"/>
      <c r="GDF94" s="102"/>
      <c r="GDG94" s="102"/>
      <c r="GDH94" s="102"/>
      <c r="GDI94" s="102"/>
      <c r="GDJ94" s="102"/>
      <c r="GDK94" s="102"/>
      <c r="GDL94" s="102"/>
      <c r="GDM94" s="102"/>
      <c r="GDN94" s="102"/>
      <c r="GDO94" s="102"/>
      <c r="GDP94" s="102"/>
      <c r="GDQ94" s="102"/>
      <c r="GDR94" s="102"/>
      <c r="GDS94" s="102"/>
      <c r="GDT94" s="102"/>
      <c r="GDU94" s="102"/>
      <c r="GDV94" s="102"/>
      <c r="GDW94" s="102"/>
      <c r="GDX94" s="102"/>
      <c r="GDY94" s="102"/>
      <c r="GDZ94" s="102"/>
      <c r="GEA94" s="102"/>
      <c r="GEB94" s="102"/>
      <c r="GEC94" s="102"/>
      <c r="GED94" s="102"/>
      <c r="GEE94" s="102"/>
      <c r="GEF94" s="102"/>
      <c r="GEG94" s="102"/>
      <c r="GEH94" s="102"/>
      <c r="GEI94" s="102"/>
      <c r="GEJ94" s="102"/>
      <c r="GEK94" s="102"/>
      <c r="GEL94" s="102"/>
      <c r="GEM94" s="102"/>
      <c r="GEN94" s="102"/>
      <c r="GEO94" s="102"/>
      <c r="GEP94" s="102"/>
      <c r="GEQ94" s="102"/>
      <c r="GER94" s="102"/>
      <c r="GES94" s="102"/>
      <c r="GET94" s="102"/>
      <c r="GEU94" s="102"/>
      <c r="GEV94" s="102"/>
      <c r="GEW94" s="102"/>
      <c r="GEX94" s="102"/>
      <c r="GEY94" s="102"/>
      <c r="GEZ94" s="102"/>
      <c r="GFA94" s="102"/>
      <c r="GFB94" s="102"/>
      <c r="GFC94" s="102"/>
      <c r="GFD94" s="102"/>
      <c r="GFE94" s="102"/>
      <c r="GFF94" s="102"/>
      <c r="GFG94" s="102"/>
      <c r="GFH94" s="102"/>
      <c r="GFI94" s="102"/>
      <c r="GFJ94" s="102"/>
      <c r="GFK94" s="102"/>
      <c r="GFL94" s="102"/>
      <c r="GFM94" s="102"/>
      <c r="GFN94" s="102"/>
      <c r="GFO94" s="102"/>
      <c r="GFP94" s="102"/>
      <c r="GFQ94" s="102"/>
      <c r="GFR94" s="102"/>
      <c r="GFS94" s="102"/>
      <c r="GFT94" s="102"/>
      <c r="GFU94" s="102"/>
      <c r="GFV94" s="102"/>
      <c r="GFW94" s="102"/>
      <c r="GFX94" s="102"/>
      <c r="GFY94" s="102"/>
      <c r="GFZ94" s="102"/>
      <c r="GGA94" s="102"/>
      <c r="GGB94" s="102"/>
      <c r="GGC94" s="102"/>
      <c r="GGD94" s="102"/>
      <c r="GGE94" s="102"/>
      <c r="GGF94" s="102"/>
      <c r="GGG94" s="102"/>
      <c r="GGH94" s="102"/>
      <c r="GGI94" s="102"/>
      <c r="GGJ94" s="102"/>
      <c r="GGK94" s="102"/>
      <c r="GGL94" s="102"/>
      <c r="GGM94" s="102"/>
      <c r="GGN94" s="102"/>
      <c r="GGO94" s="102"/>
      <c r="GGP94" s="102"/>
      <c r="GGQ94" s="102"/>
      <c r="GGR94" s="102"/>
      <c r="GGS94" s="102"/>
      <c r="GGT94" s="102"/>
      <c r="GGU94" s="102"/>
      <c r="GGV94" s="102"/>
      <c r="GGW94" s="102"/>
      <c r="GGX94" s="102"/>
      <c r="GGY94" s="102"/>
      <c r="GGZ94" s="102"/>
      <c r="GHA94" s="102"/>
      <c r="GHB94" s="102"/>
      <c r="GHC94" s="102"/>
      <c r="GHD94" s="102"/>
      <c r="GHE94" s="102"/>
      <c r="GHF94" s="102"/>
      <c r="GHG94" s="102"/>
      <c r="GHH94" s="102"/>
      <c r="GHI94" s="102"/>
      <c r="GHJ94" s="102"/>
      <c r="GHK94" s="102"/>
      <c r="GHL94" s="102"/>
      <c r="GHM94" s="102"/>
      <c r="GHN94" s="102"/>
      <c r="GHO94" s="102"/>
      <c r="GHP94" s="102"/>
      <c r="GHQ94" s="102"/>
      <c r="GHR94" s="102"/>
      <c r="GHS94" s="102"/>
      <c r="GHT94" s="102"/>
      <c r="GHU94" s="102"/>
      <c r="GHV94" s="102"/>
      <c r="GHW94" s="102"/>
      <c r="GHX94" s="102"/>
      <c r="GHY94" s="102"/>
      <c r="GHZ94" s="102"/>
      <c r="GIA94" s="102"/>
      <c r="GIB94" s="102"/>
      <c r="GIC94" s="102"/>
      <c r="GID94" s="102"/>
      <c r="GIE94" s="102"/>
      <c r="GIF94" s="102"/>
      <c r="GIG94" s="102"/>
      <c r="GIH94" s="102"/>
      <c r="GII94" s="102"/>
      <c r="GIJ94" s="102"/>
      <c r="GIK94" s="102"/>
      <c r="GIL94" s="102"/>
      <c r="GIM94" s="102"/>
      <c r="GIN94" s="102"/>
      <c r="GIO94" s="102"/>
      <c r="GIP94" s="102"/>
      <c r="GIQ94" s="102"/>
      <c r="GIR94" s="102"/>
      <c r="GIS94" s="102"/>
      <c r="GIT94" s="102"/>
      <c r="GIU94" s="102"/>
      <c r="GIV94" s="102"/>
      <c r="GIW94" s="102"/>
      <c r="GIX94" s="102"/>
      <c r="GIY94" s="102"/>
      <c r="GIZ94" s="102"/>
      <c r="GJA94" s="102"/>
      <c r="GJB94" s="102"/>
      <c r="GJC94" s="102"/>
      <c r="GJD94" s="102"/>
      <c r="GJE94" s="102"/>
      <c r="GJF94" s="102"/>
      <c r="GJG94" s="102"/>
      <c r="GJH94" s="102"/>
      <c r="GJI94" s="102"/>
      <c r="GJJ94" s="102"/>
      <c r="GJK94" s="102"/>
      <c r="GJL94" s="102"/>
      <c r="GJM94" s="102"/>
      <c r="GJN94" s="102"/>
      <c r="GJO94" s="102"/>
      <c r="GJP94" s="102"/>
      <c r="GJQ94" s="102"/>
      <c r="GJR94" s="102"/>
      <c r="GJS94" s="102"/>
      <c r="GJT94" s="102"/>
      <c r="GJU94" s="102"/>
      <c r="GJV94" s="102"/>
      <c r="GJW94" s="102"/>
      <c r="GJX94" s="102"/>
      <c r="GJY94" s="102"/>
      <c r="GJZ94" s="102"/>
      <c r="GKA94" s="102"/>
      <c r="GKB94" s="102"/>
      <c r="GKC94" s="102"/>
      <c r="GKD94" s="102"/>
      <c r="GKE94" s="102"/>
      <c r="GKF94" s="102"/>
      <c r="GKG94" s="102"/>
      <c r="GKH94" s="102"/>
      <c r="GKI94" s="102"/>
      <c r="GKJ94" s="102"/>
      <c r="GKK94" s="102"/>
      <c r="GKL94" s="102"/>
      <c r="GKM94" s="102"/>
      <c r="GKN94" s="102"/>
      <c r="GKO94" s="102"/>
      <c r="GKP94" s="102"/>
      <c r="GKQ94" s="102"/>
      <c r="GKR94" s="102"/>
      <c r="GKS94" s="102"/>
      <c r="GKT94" s="102"/>
      <c r="GKU94" s="102"/>
      <c r="GKV94" s="102"/>
      <c r="GKW94" s="102"/>
      <c r="GKX94" s="102"/>
      <c r="GKY94" s="102"/>
      <c r="GKZ94" s="102"/>
      <c r="GLA94" s="102"/>
      <c r="GLB94" s="102"/>
      <c r="GLC94" s="102"/>
      <c r="GLD94" s="102"/>
      <c r="GLE94" s="102"/>
      <c r="GLF94" s="102"/>
      <c r="GLG94" s="102"/>
      <c r="GLH94" s="102"/>
      <c r="GLI94" s="102"/>
      <c r="GLJ94" s="102"/>
      <c r="GLK94" s="102"/>
      <c r="GLL94" s="102"/>
      <c r="GLM94" s="102"/>
      <c r="GLN94" s="102"/>
      <c r="GLO94" s="102"/>
      <c r="GLP94" s="102"/>
      <c r="GLQ94" s="102"/>
      <c r="GLR94" s="102"/>
      <c r="GLS94" s="102"/>
      <c r="GLT94" s="102"/>
      <c r="GLU94" s="102"/>
      <c r="GLV94" s="102"/>
      <c r="GLW94" s="102"/>
      <c r="GLX94" s="102"/>
      <c r="GLY94" s="102"/>
      <c r="GLZ94" s="102"/>
      <c r="GMA94" s="102"/>
      <c r="GMB94" s="102"/>
      <c r="GMC94" s="102"/>
      <c r="GMD94" s="102"/>
      <c r="GME94" s="102"/>
      <c r="GMF94" s="102"/>
      <c r="GMG94" s="102"/>
      <c r="GMH94" s="102"/>
      <c r="GMI94" s="102"/>
      <c r="GMJ94" s="102"/>
      <c r="GMK94" s="102"/>
      <c r="GML94" s="102"/>
      <c r="GMM94" s="102"/>
      <c r="GMN94" s="102"/>
      <c r="GMO94" s="102"/>
      <c r="GMP94" s="102"/>
      <c r="GMQ94" s="102"/>
      <c r="GMR94" s="102"/>
      <c r="GMS94" s="102"/>
      <c r="GMT94" s="102"/>
      <c r="GMU94" s="102"/>
      <c r="GMV94" s="102"/>
      <c r="GMW94" s="102"/>
      <c r="GMX94" s="102"/>
      <c r="GMY94" s="102"/>
      <c r="GMZ94" s="102"/>
      <c r="GNA94" s="102"/>
      <c r="GNB94" s="102"/>
      <c r="GNC94" s="102"/>
      <c r="GND94" s="102"/>
      <c r="GNE94" s="102"/>
      <c r="GNF94" s="102"/>
      <c r="GNG94" s="102"/>
      <c r="GNH94" s="102"/>
      <c r="GNI94" s="102"/>
      <c r="GNJ94" s="102"/>
      <c r="GNK94" s="102"/>
      <c r="GNL94" s="102"/>
      <c r="GNM94" s="102"/>
      <c r="GNN94" s="102"/>
      <c r="GNO94" s="102"/>
      <c r="GNP94" s="102"/>
      <c r="GNQ94" s="102"/>
      <c r="GNR94" s="102"/>
      <c r="GNS94" s="102"/>
      <c r="GNT94" s="102"/>
      <c r="GNU94" s="102"/>
      <c r="GNV94" s="102"/>
      <c r="GNW94" s="102"/>
      <c r="GNX94" s="102"/>
      <c r="GNY94" s="102"/>
      <c r="GNZ94" s="102"/>
      <c r="GOA94" s="102"/>
      <c r="GOB94" s="102"/>
      <c r="GOC94" s="102"/>
      <c r="GOD94" s="102"/>
      <c r="GOE94" s="102"/>
      <c r="GOF94" s="102"/>
      <c r="GOG94" s="102"/>
      <c r="GOH94" s="102"/>
      <c r="GOI94" s="102"/>
      <c r="GOJ94" s="102"/>
      <c r="GOK94" s="102"/>
      <c r="GOL94" s="102"/>
      <c r="GOM94" s="102"/>
      <c r="GON94" s="102"/>
      <c r="GOO94" s="102"/>
      <c r="GOP94" s="102"/>
      <c r="GOQ94" s="102"/>
      <c r="GOR94" s="102"/>
      <c r="GOS94" s="102"/>
      <c r="GOT94" s="102"/>
      <c r="GOU94" s="102"/>
      <c r="GOV94" s="102"/>
      <c r="GOW94" s="102"/>
      <c r="GOX94" s="102"/>
      <c r="GOY94" s="102"/>
      <c r="GOZ94" s="102"/>
      <c r="GPA94" s="102"/>
      <c r="GPB94" s="102"/>
      <c r="GPC94" s="102"/>
      <c r="GPD94" s="102"/>
      <c r="GPE94" s="102"/>
      <c r="GPF94" s="102"/>
      <c r="GPG94" s="102"/>
      <c r="GPH94" s="102"/>
      <c r="GPI94" s="102"/>
      <c r="GPJ94" s="102"/>
      <c r="GPK94" s="102"/>
      <c r="GPL94" s="102"/>
      <c r="GPM94" s="102"/>
      <c r="GPN94" s="102"/>
      <c r="GPO94" s="102"/>
      <c r="GPP94" s="102"/>
      <c r="GPQ94" s="102"/>
      <c r="GPR94" s="102"/>
      <c r="GPS94" s="102"/>
      <c r="GPT94" s="102"/>
      <c r="GPU94" s="102"/>
      <c r="GPV94" s="102"/>
      <c r="GPW94" s="102"/>
      <c r="GPX94" s="102"/>
      <c r="GPY94" s="102"/>
      <c r="GPZ94" s="102"/>
      <c r="GQA94" s="102"/>
      <c r="GQB94" s="102"/>
      <c r="GQC94" s="102"/>
      <c r="GQD94" s="102"/>
      <c r="GQE94" s="102"/>
      <c r="GQF94" s="102"/>
      <c r="GQG94" s="102"/>
      <c r="GQH94" s="102"/>
      <c r="GQI94" s="102"/>
      <c r="GQJ94" s="102"/>
      <c r="GQK94" s="102"/>
      <c r="GQL94" s="102"/>
      <c r="GQM94" s="102"/>
      <c r="GQN94" s="102"/>
      <c r="GQO94" s="102"/>
      <c r="GQP94" s="102"/>
      <c r="GQQ94" s="102"/>
      <c r="GQR94" s="102"/>
      <c r="GQS94" s="102"/>
      <c r="GQT94" s="102"/>
      <c r="GQU94" s="102"/>
      <c r="GQV94" s="102"/>
      <c r="GQW94" s="102"/>
      <c r="GQX94" s="102"/>
      <c r="GQY94" s="102"/>
      <c r="GQZ94" s="102"/>
      <c r="GRA94" s="102"/>
      <c r="GRB94" s="102"/>
      <c r="GRC94" s="102"/>
      <c r="GRD94" s="102"/>
      <c r="GRE94" s="102"/>
      <c r="GRF94" s="102"/>
      <c r="GRG94" s="102"/>
      <c r="GRH94" s="102"/>
      <c r="GRI94" s="102"/>
      <c r="GRJ94" s="102"/>
      <c r="GRK94" s="102"/>
      <c r="GRL94" s="102"/>
      <c r="GRM94" s="102"/>
      <c r="GRN94" s="102"/>
      <c r="GRO94" s="102"/>
      <c r="GRP94" s="102"/>
      <c r="GRQ94" s="102"/>
      <c r="GRR94" s="102"/>
      <c r="GRS94" s="102"/>
      <c r="GRT94" s="102"/>
      <c r="GRU94" s="102"/>
      <c r="GRV94" s="102"/>
      <c r="GRW94" s="102"/>
      <c r="GRX94" s="102"/>
      <c r="GRY94" s="102"/>
      <c r="GRZ94" s="102"/>
      <c r="GSA94" s="102"/>
      <c r="GSB94" s="102"/>
      <c r="GSC94" s="102"/>
      <c r="GSD94" s="102"/>
      <c r="GSE94" s="102"/>
      <c r="GSF94" s="102"/>
      <c r="GSG94" s="102"/>
      <c r="GSH94" s="102"/>
      <c r="GSI94" s="102"/>
      <c r="GSJ94" s="102"/>
      <c r="GSK94" s="102"/>
      <c r="GSL94" s="102"/>
      <c r="GSM94" s="102"/>
      <c r="GSN94" s="102"/>
      <c r="GSO94" s="102"/>
      <c r="GSP94" s="102"/>
      <c r="GSQ94" s="102"/>
      <c r="GSR94" s="102"/>
      <c r="GSS94" s="102"/>
      <c r="GST94" s="102"/>
      <c r="GSU94" s="102"/>
      <c r="GSV94" s="102"/>
      <c r="GSW94" s="102"/>
      <c r="GSX94" s="102"/>
      <c r="GSY94" s="102"/>
      <c r="GSZ94" s="102"/>
      <c r="GTA94" s="102"/>
      <c r="GTB94" s="102"/>
      <c r="GTC94" s="102"/>
      <c r="GTD94" s="102"/>
      <c r="GTE94" s="102"/>
      <c r="GTF94" s="102"/>
      <c r="GTG94" s="102"/>
      <c r="GTH94" s="102"/>
      <c r="GTI94" s="102"/>
      <c r="GTJ94" s="102"/>
      <c r="GTK94" s="102"/>
      <c r="GTL94" s="102"/>
      <c r="GTM94" s="102"/>
      <c r="GTN94" s="102"/>
      <c r="GTO94" s="102"/>
      <c r="GTP94" s="102"/>
      <c r="GTQ94" s="102"/>
      <c r="GTR94" s="102"/>
      <c r="GTS94" s="102"/>
      <c r="GTT94" s="102"/>
      <c r="GTU94" s="102"/>
      <c r="GTV94" s="102"/>
      <c r="GTW94" s="102"/>
      <c r="GTX94" s="102"/>
      <c r="GTY94" s="102"/>
      <c r="GTZ94" s="102"/>
      <c r="GUA94" s="102"/>
      <c r="GUB94" s="102"/>
      <c r="GUC94" s="102"/>
      <c r="GUD94" s="102"/>
      <c r="GUE94" s="102"/>
      <c r="GUF94" s="102"/>
      <c r="GUG94" s="102"/>
      <c r="GUH94" s="102"/>
      <c r="GUI94" s="102"/>
      <c r="GUJ94" s="102"/>
      <c r="GUK94" s="102"/>
      <c r="GUL94" s="102"/>
      <c r="GUM94" s="102"/>
      <c r="GUN94" s="102"/>
      <c r="GUO94" s="102"/>
      <c r="GUP94" s="102"/>
      <c r="GUQ94" s="102"/>
      <c r="GUR94" s="102"/>
      <c r="GUS94" s="102"/>
      <c r="GUT94" s="102"/>
      <c r="GUU94" s="102"/>
      <c r="GUV94" s="102"/>
      <c r="GUW94" s="102"/>
      <c r="GUX94" s="102"/>
      <c r="GUY94" s="102"/>
      <c r="GUZ94" s="102"/>
      <c r="GVA94" s="102"/>
      <c r="GVB94" s="102"/>
      <c r="GVC94" s="102"/>
      <c r="GVD94" s="102"/>
      <c r="GVE94" s="102"/>
      <c r="GVF94" s="102"/>
      <c r="GVG94" s="102"/>
      <c r="GVH94" s="102"/>
      <c r="GVI94" s="102"/>
      <c r="GVJ94" s="102"/>
      <c r="GVK94" s="102"/>
      <c r="GVL94" s="102"/>
      <c r="GVM94" s="102"/>
      <c r="GVN94" s="102"/>
      <c r="GVO94" s="102"/>
      <c r="GVP94" s="102"/>
      <c r="GVQ94" s="102"/>
      <c r="GVR94" s="102"/>
      <c r="GVS94" s="102"/>
      <c r="GVT94" s="102"/>
      <c r="GVU94" s="102"/>
      <c r="GVV94" s="102"/>
      <c r="GVW94" s="102"/>
      <c r="GVX94" s="102"/>
      <c r="GVY94" s="102"/>
      <c r="GVZ94" s="102"/>
      <c r="GWA94" s="102"/>
      <c r="GWB94" s="102"/>
      <c r="GWC94" s="102"/>
      <c r="GWD94" s="102"/>
      <c r="GWE94" s="102"/>
      <c r="GWF94" s="102"/>
      <c r="GWG94" s="102"/>
      <c r="GWH94" s="102"/>
      <c r="GWI94" s="102"/>
      <c r="GWJ94" s="102"/>
      <c r="GWK94" s="102"/>
      <c r="GWL94" s="102"/>
      <c r="GWM94" s="102"/>
      <c r="GWN94" s="102"/>
      <c r="GWO94" s="102"/>
      <c r="GWP94" s="102"/>
      <c r="GWQ94" s="102"/>
      <c r="GWR94" s="102"/>
      <c r="GWS94" s="102"/>
      <c r="GWT94" s="102"/>
      <c r="GWU94" s="102"/>
      <c r="GWV94" s="102"/>
      <c r="GWW94" s="102"/>
      <c r="GWX94" s="102"/>
      <c r="GWY94" s="102"/>
      <c r="GWZ94" s="102"/>
      <c r="GXA94" s="102"/>
      <c r="GXB94" s="102"/>
      <c r="GXC94" s="102"/>
      <c r="GXD94" s="102"/>
      <c r="GXE94" s="102"/>
      <c r="GXF94" s="102"/>
      <c r="GXG94" s="102"/>
      <c r="GXH94" s="102"/>
      <c r="GXI94" s="102"/>
      <c r="GXJ94" s="102"/>
      <c r="GXK94" s="102"/>
      <c r="GXL94" s="102"/>
      <c r="GXM94" s="102"/>
      <c r="GXN94" s="102"/>
      <c r="GXO94" s="102"/>
      <c r="GXP94" s="102"/>
      <c r="GXQ94" s="102"/>
      <c r="GXR94" s="102"/>
      <c r="GXS94" s="102"/>
      <c r="GXT94" s="102"/>
      <c r="GXU94" s="102"/>
      <c r="GXV94" s="102"/>
      <c r="GXW94" s="102"/>
      <c r="GXX94" s="102"/>
      <c r="GXY94" s="102"/>
      <c r="GXZ94" s="102"/>
      <c r="GYA94" s="102"/>
      <c r="GYB94" s="102"/>
      <c r="GYC94" s="102"/>
      <c r="GYD94" s="102"/>
      <c r="GYE94" s="102"/>
      <c r="GYF94" s="102"/>
      <c r="GYG94" s="102"/>
      <c r="GYH94" s="102"/>
      <c r="GYI94" s="102"/>
      <c r="GYJ94" s="102"/>
      <c r="GYK94" s="102"/>
      <c r="GYL94" s="102"/>
      <c r="GYM94" s="102"/>
      <c r="GYN94" s="102"/>
      <c r="GYO94" s="102"/>
      <c r="GYP94" s="102"/>
      <c r="GYQ94" s="102"/>
      <c r="GYR94" s="102"/>
      <c r="GYS94" s="102"/>
      <c r="GYT94" s="102"/>
      <c r="GYU94" s="102"/>
      <c r="GYV94" s="102"/>
      <c r="GYW94" s="102"/>
      <c r="GYX94" s="102"/>
      <c r="GYY94" s="102"/>
      <c r="GYZ94" s="102"/>
      <c r="GZA94" s="102"/>
      <c r="GZB94" s="102"/>
      <c r="GZC94" s="102"/>
      <c r="GZD94" s="102"/>
      <c r="GZE94" s="102"/>
      <c r="GZF94" s="102"/>
      <c r="GZG94" s="102"/>
      <c r="GZH94" s="102"/>
      <c r="GZI94" s="102"/>
      <c r="GZJ94" s="102"/>
      <c r="GZK94" s="102"/>
      <c r="GZL94" s="102"/>
      <c r="GZM94" s="102"/>
      <c r="GZN94" s="102"/>
      <c r="GZO94" s="102"/>
      <c r="GZP94" s="102"/>
      <c r="GZQ94" s="102"/>
      <c r="GZR94" s="102"/>
      <c r="GZS94" s="102"/>
      <c r="GZT94" s="102"/>
      <c r="GZU94" s="102"/>
      <c r="GZV94" s="102"/>
      <c r="GZW94" s="102"/>
      <c r="GZX94" s="102"/>
      <c r="GZY94" s="102"/>
      <c r="GZZ94" s="102"/>
      <c r="HAA94" s="102"/>
      <c r="HAB94" s="102"/>
      <c r="HAC94" s="102"/>
      <c r="HAD94" s="102"/>
      <c r="HAE94" s="102"/>
      <c r="HAF94" s="102"/>
      <c r="HAG94" s="102"/>
      <c r="HAH94" s="102"/>
      <c r="HAI94" s="102"/>
      <c r="HAJ94" s="102"/>
      <c r="HAK94" s="102"/>
      <c r="HAL94" s="102"/>
      <c r="HAM94" s="102"/>
      <c r="HAN94" s="102"/>
      <c r="HAO94" s="102"/>
      <c r="HAP94" s="102"/>
      <c r="HAQ94" s="102"/>
      <c r="HAR94" s="102"/>
      <c r="HAS94" s="102"/>
      <c r="HAT94" s="102"/>
      <c r="HAU94" s="102"/>
      <c r="HAV94" s="102"/>
      <c r="HAW94" s="102"/>
      <c r="HAX94" s="102"/>
      <c r="HAY94" s="102"/>
      <c r="HAZ94" s="102"/>
      <c r="HBA94" s="102"/>
      <c r="HBB94" s="102"/>
      <c r="HBC94" s="102"/>
      <c r="HBD94" s="102"/>
      <c r="HBE94" s="102"/>
      <c r="HBF94" s="102"/>
      <c r="HBG94" s="102"/>
      <c r="HBH94" s="102"/>
      <c r="HBI94" s="102"/>
      <c r="HBJ94" s="102"/>
      <c r="HBK94" s="102"/>
      <c r="HBL94" s="102"/>
      <c r="HBM94" s="102"/>
      <c r="HBN94" s="102"/>
      <c r="HBO94" s="102"/>
      <c r="HBP94" s="102"/>
      <c r="HBQ94" s="102"/>
      <c r="HBR94" s="102"/>
      <c r="HBS94" s="102"/>
      <c r="HBT94" s="102"/>
      <c r="HBU94" s="102"/>
      <c r="HBV94" s="102"/>
      <c r="HBW94" s="102"/>
      <c r="HBX94" s="102"/>
      <c r="HBY94" s="102"/>
      <c r="HBZ94" s="102"/>
      <c r="HCA94" s="102"/>
      <c r="HCB94" s="102"/>
      <c r="HCC94" s="102"/>
      <c r="HCD94" s="102"/>
      <c r="HCE94" s="102"/>
      <c r="HCF94" s="102"/>
      <c r="HCG94" s="102"/>
      <c r="HCH94" s="102"/>
      <c r="HCI94" s="102"/>
      <c r="HCJ94" s="102"/>
      <c r="HCK94" s="102"/>
      <c r="HCL94" s="102"/>
      <c r="HCM94" s="102"/>
      <c r="HCN94" s="102"/>
      <c r="HCO94" s="102"/>
      <c r="HCP94" s="102"/>
      <c r="HCQ94" s="102"/>
      <c r="HCR94" s="102"/>
      <c r="HCS94" s="102"/>
      <c r="HCT94" s="102"/>
      <c r="HCU94" s="102"/>
      <c r="HCV94" s="102"/>
      <c r="HCW94" s="102"/>
      <c r="HCX94" s="102"/>
      <c r="HCY94" s="102"/>
      <c r="HCZ94" s="102"/>
      <c r="HDA94" s="102"/>
      <c r="HDB94" s="102"/>
      <c r="HDC94" s="102"/>
      <c r="HDD94" s="102"/>
      <c r="HDE94" s="102"/>
      <c r="HDF94" s="102"/>
      <c r="HDG94" s="102"/>
      <c r="HDH94" s="102"/>
      <c r="HDI94" s="102"/>
      <c r="HDJ94" s="102"/>
      <c r="HDK94" s="102"/>
      <c r="HDL94" s="102"/>
      <c r="HDM94" s="102"/>
      <c r="HDN94" s="102"/>
      <c r="HDO94" s="102"/>
      <c r="HDP94" s="102"/>
      <c r="HDQ94" s="102"/>
      <c r="HDR94" s="102"/>
      <c r="HDS94" s="102"/>
      <c r="HDT94" s="102"/>
      <c r="HDU94" s="102"/>
      <c r="HDV94" s="102"/>
      <c r="HDW94" s="102"/>
      <c r="HDX94" s="102"/>
      <c r="HDY94" s="102"/>
      <c r="HDZ94" s="102"/>
      <c r="HEA94" s="102"/>
      <c r="HEB94" s="102"/>
      <c r="HEC94" s="102"/>
      <c r="HED94" s="102"/>
      <c r="HEE94" s="102"/>
      <c r="HEF94" s="102"/>
      <c r="HEG94" s="102"/>
      <c r="HEH94" s="102"/>
      <c r="HEI94" s="102"/>
      <c r="HEJ94" s="102"/>
      <c r="HEK94" s="102"/>
      <c r="HEL94" s="102"/>
      <c r="HEM94" s="102"/>
      <c r="HEN94" s="102"/>
      <c r="HEO94" s="102"/>
      <c r="HEP94" s="102"/>
      <c r="HEQ94" s="102"/>
      <c r="HER94" s="102"/>
      <c r="HES94" s="102"/>
      <c r="HET94" s="102"/>
      <c r="HEU94" s="102"/>
      <c r="HEV94" s="102"/>
      <c r="HEW94" s="102"/>
      <c r="HEX94" s="102"/>
      <c r="HEY94" s="102"/>
      <c r="HEZ94" s="102"/>
      <c r="HFA94" s="102"/>
      <c r="HFB94" s="102"/>
      <c r="HFC94" s="102"/>
      <c r="HFD94" s="102"/>
      <c r="HFE94" s="102"/>
      <c r="HFF94" s="102"/>
      <c r="HFG94" s="102"/>
      <c r="HFH94" s="102"/>
      <c r="HFI94" s="102"/>
      <c r="HFJ94" s="102"/>
      <c r="HFK94" s="102"/>
      <c r="HFL94" s="102"/>
      <c r="HFM94" s="102"/>
      <c r="HFN94" s="102"/>
      <c r="HFO94" s="102"/>
      <c r="HFP94" s="102"/>
      <c r="HFQ94" s="102"/>
      <c r="HFR94" s="102"/>
      <c r="HFS94" s="102"/>
      <c r="HFT94" s="102"/>
      <c r="HFU94" s="102"/>
      <c r="HFV94" s="102"/>
      <c r="HFW94" s="102"/>
      <c r="HFX94" s="102"/>
      <c r="HFY94" s="102"/>
      <c r="HFZ94" s="102"/>
      <c r="HGA94" s="102"/>
      <c r="HGB94" s="102"/>
      <c r="HGC94" s="102"/>
      <c r="HGD94" s="102"/>
      <c r="HGE94" s="102"/>
      <c r="HGF94" s="102"/>
      <c r="HGG94" s="102"/>
      <c r="HGH94" s="102"/>
      <c r="HGI94" s="102"/>
      <c r="HGJ94" s="102"/>
      <c r="HGK94" s="102"/>
      <c r="HGL94" s="102"/>
      <c r="HGM94" s="102"/>
      <c r="HGN94" s="102"/>
      <c r="HGO94" s="102"/>
      <c r="HGP94" s="102"/>
      <c r="HGQ94" s="102"/>
      <c r="HGR94" s="102"/>
      <c r="HGS94" s="102"/>
      <c r="HGT94" s="102"/>
      <c r="HGU94" s="102"/>
      <c r="HGV94" s="102"/>
      <c r="HGW94" s="102"/>
      <c r="HGX94" s="102"/>
      <c r="HGY94" s="102"/>
      <c r="HGZ94" s="102"/>
      <c r="HHA94" s="102"/>
      <c r="HHB94" s="102"/>
      <c r="HHC94" s="102"/>
      <c r="HHD94" s="102"/>
      <c r="HHE94" s="102"/>
      <c r="HHF94" s="102"/>
      <c r="HHG94" s="102"/>
      <c r="HHH94" s="102"/>
      <c r="HHI94" s="102"/>
      <c r="HHJ94" s="102"/>
      <c r="HHK94" s="102"/>
      <c r="HHL94" s="102"/>
      <c r="HHM94" s="102"/>
      <c r="HHN94" s="102"/>
      <c r="HHO94" s="102"/>
      <c r="HHP94" s="102"/>
      <c r="HHQ94" s="102"/>
      <c r="HHR94" s="102"/>
      <c r="HHS94" s="102"/>
      <c r="HHT94" s="102"/>
      <c r="HHU94" s="102"/>
      <c r="HHV94" s="102"/>
      <c r="HHW94" s="102"/>
      <c r="HHX94" s="102"/>
      <c r="HHY94" s="102"/>
      <c r="HHZ94" s="102"/>
      <c r="HIA94" s="102"/>
      <c r="HIB94" s="102"/>
      <c r="HIC94" s="102"/>
      <c r="HID94" s="102"/>
      <c r="HIE94" s="102"/>
      <c r="HIF94" s="102"/>
      <c r="HIG94" s="102"/>
      <c r="HIH94" s="102"/>
      <c r="HII94" s="102"/>
      <c r="HIJ94" s="102"/>
      <c r="HIK94" s="102"/>
      <c r="HIL94" s="102"/>
      <c r="HIM94" s="102"/>
      <c r="HIN94" s="102"/>
      <c r="HIO94" s="102"/>
      <c r="HIP94" s="102"/>
      <c r="HIQ94" s="102"/>
      <c r="HIR94" s="102"/>
      <c r="HIS94" s="102"/>
      <c r="HIT94" s="102"/>
      <c r="HIU94" s="102"/>
      <c r="HIV94" s="102"/>
      <c r="HIW94" s="102"/>
      <c r="HIX94" s="102"/>
      <c r="HIY94" s="102"/>
      <c r="HIZ94" s="102"/>
      <c r="HJA94" s="102"/>
      <c r="HJB94" s="102"/>
      <c r="HJC94" s="102"/>
      <c r="HJD94" s="102"/>
      <c r="HJE94" s="102"/>
      <c r="HJF94" s="102"/>
      <c r="HJG94" s="102"/>
      <c r="HJH94" s="102"/>
      <c r="HJI94" s="102"/>
      <c r="HJJ94" s="102"/>
      <c r="HJK94" s="102"/>
      <c r="HJL94" s="102"/>
      <c r="HJM94" s="102"/>
      <c r="HJN94" s="102"/>
      <c r="HJO94" s="102"/>
      <c r="HJP94" s="102"/>
      <c r="HJQ94" s="102"/>
      <c r="HJR94" s="102"/>
      <c r="HJS94" s="102"/>
      <c r="HJT94" s="102"/>
      <c r="HJU94" s="102"/>
      <c r="HJV94" s="102"/>
      <c r="HJW94" s="102"/>
      <c r="HJX94" s="102"/>
      <c r="HJY94" s="102"/>
      <c r="HJZ94" s="102"/>
      <c r="HKA94" s="102"/>
      <c r="HKB94" s="102"/>
      <c r="HKC94" s="102"/>
      <c r="HKD94" s="102"/>
      <c r="HKE94" s="102"/>
      <c r="HKF94" s="102"/>
      <c r="HKG94" s="102"/>
      <c r="HKH94" s="102"/>
      <c r="HKI94" s="102"/>
      <c r="HKJ94" s="102"/>
      <c r="HKK94" s="102"/>
      <c r="HKL94" s="102"/>
      <c r="HKM94" s="102"/>
      <c r="HKN94" s="102"/>
      <c r="HKO94" s="102"/>
      <c r="HKP94" s="102"/>
      <c r="HKQ94" s="102"/>
      <c r="HKR94" s="102"/>
      <c r="HKS94" s="102"/>
      <c r="HKT94" s="102"/>
      <c r="HKU94" s="102"/>
      <c r="HKV94" s="102"/>
      <c r="HKW94" s="102"/>
      <c r="HKX94" s="102"/>
      <c r="HKY94" s="102"/>
      <c r="HKZ94" s="102"/>
      <c r="HLA94" s="102"/>
      <c r="HLB94" s="102"/>
      <c r="HLC94" s="102"/>
      <c r="HLD94" s="102"/>
      <c r="HLE94" s="102"/>
      <c r="HLF94" s="102"/>
      <c r="HLG94" s="102"/>
      <c r="HLH94" s="102"/>
      <c r="HLI94" s="102"/>
      <c r="HLJ94" s="102"/>
      <c r="HLK94" s="102"/>
      <c r="HLL94" s="102"/>
      <c r="HLM94" s="102"/>
      <c r="HLN94" s="102"/>
      <c r="HLO94" s="102"/>
      <c r="HLP94" s="102"/>
      <c r="HLQ94" s="102"/>
      <c r="HLR94" s="102"/>
      <c r="HLS94" s="102"/>
      <c r="HLT94" s="102"/>
      <c r="HLU94" s="102"/>
      <c r="HLV94" s="102"/>
      <c r="HLW94" s="102"/>
      <c r="HLX94" s="102"/>
      <c r="HLY94" s="102"/>
      <c r="HLZ94" s="102"/>
      <c r="HMA94" s="102"/>
      <c r="HMB94" s="102"/>
      <c r="HMC94" s="102"/>
      <c r="HMD94" s="102"/>
      <c r="HME94" s="102"/>
      <c r="HMF94" s="102"/>
      <c r="HMG94" s="102"/>
      <c r="HMH94" s="102"/>
      <c r="HMI94" s="102"/>
      <c r="HMJ94" s="102"/>
      <c r="HMK94" s="102"/>
      <c r="HML94" s="102"/>
      <c r="HMM94" s="102"/>
      <c r="HMN94" s="102"/>
      <c r="HMO94" s="102"/>
      <c r="HMP94" s="102"/>
      <c r="HMQ94" s="102"/>
      <c r="HMR94" s="102"/>
      <c r="HMS94" s="102"/>
      <c r="HMT94" s="102"/>
      <c r="HMU94" s="102"/>
      <c r="HMV94" s="102"/>
      <c r="HMW94" s="102"/>
      <c r="HMX94" s="102"/>
      <c r="HMY94" s="102"/>
      <c r="HMZ94" s="102"/>
      <c r="HNA94" s="102"/>
      <c r="HNB94" s="102"/>
      <c r="HNC94" s="102"/>
      <c r="HND94" s="102"/>
      <c r="HNE94" s="102"/>
      <c r="HNF94" s="102"/>
      <c r="HNG94" s="102"/>
      <c r="HNH94" s="102"/>
      <c r="HNI94" s="102"/>
      <c r="HNJ94" s="102"/>
      <c r="HNK94" s="102"/>
      <c r="HNL94" s="102"/>
      <c r="HNM94" s="102"/>
      <c r="HNN94" s="102"/>
      <c r="HNO94" s="102"/>
      <c r="HNP94" s="102"/>
      <c r="HNQ94" s="102"/>
      <c r="HNR94" s="102"/>
      <c r="HNS94" s="102"/>
      <c r="HNT94" s="102"/>
      <c r="HNU94" s="102"/>
      <c r="HNV94" s="102"/>
      <c r="HNW94" s="102"/>
      <c r="HNX94" s="102"/>
      <c r="HNY94" s="102"/>
      <c r="HNZ94" s="102"/>
      <c r="HOA94" s="102"/>
      <c r="HOB94" s="102"/>
      <c r="HOC94" s="102"/>
      <c r="HOD94" s="102"/>
      <c r="HOE94" s="102"/>
      <c r="HOF94" s="102"/>
      <c r="HOG94" s="102"/>
      <c r="HOH94" s="102"/>
      <c r="HOI94" s="102"/>
      <c r="HOJ94" s="102"/>
      <c r="HOK94" s="102"/>
      <c r="HOL94" s="102"/>
      <c r="HOM94" s="102"/>
      <c r="HON94" s="102"/>
      <c r="HOO94" s="102"/>
      <c r="HOP94" s="102"/>
      <c r="HOQ94" s="102"/>
      <c r="HOR94" s="102"/>
      <c r="HOS94" s="102"/>
      <c r="HOT94" s="102"/>
      <c r="HOU94" s="102"/>
      <c r="HOV94" s="102"/>
      <c r="HOW94" s="102"/>
      <c r="HOX94" s="102"/>
      <c r="HOY94" s="102"/>
      <c r="HOZ94" s="102"/>
      <c r="HPA94" s="102"/>
      <c r="HPB94" s="102"/>
      <c r="HPC94" s="102"/>
      <c r="HPD94" s="102"/>
      <c r="HPE94" s="102"/>
      <c r="HPF94" s="102"/>
      <c r="HPG94" s="102"/>
      <c r="HPH94" s="102"/>
      <c r="HPI94" s="102"/>
      <c r="HPJ94" s="102"/>
      <c r="HPK94" s="102"/>
      <c r="HPL94" s="102"/>
      <c r="HPM94" s="102"/>
      <c r="HPN94" s="102"/>
      <c r="HPO94" s="102"/>
      <c r="HPP94" s="102"/>
      <c r="HPQ94" s="102"/>
      <c r="HPR94" s="102"/>
      <c r="HPS94" s="102"/>
      <c r="HPT94" s="102"/>
      <c r="HPU94" s="102"/>
      <c r="HPV94" s="102"/>
      <c r="HPW94" s="102"/>
      <c r="HPX94" s="102"/>
      <c r="HPY94" s="102"/>
      <c r="HPZ94" s="102"/>
      <c r="HQA94" s="102"/>
      <c r="HQB94" s="102"/>
      <c r="HQC94" s="102"/>
      <c r="HQD94" s="102"/>
      <c r="HQE94" s="102"/>
      <c r="HQF94" s="102"/>
      <c r="HQG94" s="102"/>
      <c r="HQH94" s="102"/>
      <c r="HQI94" s="102"/>
      <c r="HQJ94" s="102"/>
      <c r="HQK94" s="102"/>
      <c r="HQL94" s="102"/>
      <c r="HQM94" s="102"/>
      <c r="HQN94" s="102"/>
      <c r="HQO94" s="102"/>
      <c r="HQP94" s="102"/>
      <c r="HQQ94" s="102"/>
      <c r="HQR94" s="102"/>
      <c r="HQS94" s="102"/>
      <c r="HQT94" s="102"/>
      <c r="HQU94" s="102"/>
      <c r="HQV94" s="102"/>
      <c r="HQW94" s="102"/>
      <c r="HQX94" s="102"/>
      <c r="HQY94" s="102"/>
      <c r="HQZ94" s="102"/>
      <c r="HRA94" s="102"/>
      <c r="HRB94" s="102"/>
      <c r="HRC94" s="102"/>
      <c r="HRD94" s="102"/>
      <c r="HRE94" s="102"/>
      <c r="HRF94" s="102"/>
      <c r="HRG94" s="102"/>
      <c r="HRH94" s="102"/>
      <c r="HRI94" s="102"/>
      <c r="HRJ94" s="102"/>
      <c r="HRK94" s="102"/>
      <c r="HRL94" s="102"/>
      <c r="HRM94" s="102"/>
      <c r="HRN94" s="102"/>
      <c r="HRO94" s="102"/>
      <c r="HRP94" s="102"/>
      <c r="HRQ94" s="102"/>
      <c r="HRR94" s="102"/>
      <c r="HRS94" s="102"/>
      <c r="HRT94" s="102"/>
      <c r="HRU94" s="102"/>
      <c r="HRV94" s="102"/>
      <c r="HRW94" s="102"/>
      <c r="HRX94" s="102"/>
      <c r="HRY94" s="102"/>
      <c r="HRZ94" s="102"/>
      <c r="HSA94" s="102"/>
      <c r="HSB94" s="102"/>
      <c r="HSC94" s="102"/>
      <c r="HSD94" s="102"/>
      <c r="HSE94" s="102"/>
      <c r="HSF94" s="102"/>
      <c r="HSG94" s="102"/>
      <c r="HSH94" s="102"/>
      <c r="HSI94" s="102"/>
      <c r="HSJ94" s="102"/>
      <c r="HSK94" s="102"/>
      <c r="HSL94" s="102"/>
      <c r="HSM94" s="102"/>
      <c r="HSN94" s="102"/>
      <c r="HSO94" s="102"/>
      <c r="HSP94" s="102"/>
      <c r="HSQ94" s="102"/>
      <c r="HSR94" s="102"/>
      <c r="HSS94" s="102"/>
      <c r="HST94" s="102"/>
      <c r="HSU94" s="102"/>
      <c r="HSV94" s="102"/>
      <c r="HSW94" s="102"/>
      <c r="HSX94" s="102"/>
      <c r="HSY94" s="102"/>
      <c r="HSZ94" s="102"/>
      <c r="HTA94" s="102"/>
      <c r="HTB94" s="102"/>
      <c r="HTC94" s="102"/>
      <c r="HTD94" s="102"/>
      <c r="HTE94" s="102"/>
      <c r="HTF94" s="102"/>
      <c r="HTG94" s="102"/>
      <c r="HTH94" s="102"/>
      <c r="HTI94" s="102"/>
      <c r="HTJ94" s="102"/>
      <c r="HTK94" s="102"/>
      <c r="HTL94" s="102"/>
      <c r="HTM94" s="102"/>
      <c r="HTN94" s="102"/>
      <c r="HTO94" s="102"/>
      <c r="HTP94" s="102"/>
      <c r="HTQ94" s="102"/>
      <c r="HTR94" s="102"/>
      <c r="HTS94" s="102"/>
      <c r="HTT94" s="102"/>
      <c r="HTU94" s="102"/>
      <c r="HTV94" s="102"/>
      <c r="HTW94" s="102"/>
      <c r="HTX94" s="102"/>
      <c r="HTY94" s="102"/>
      <c r="HTZ94" s="102"/>
      <c r="HUA94" s="102"/>
      <c r="HUB94" s="102"/>
      <c r="HUC94" s="102"/>
      <c r="HUD94" s="102"/>
      <c r="HUE94" s="102"/>
      <c r="HUF94" s="102"/>
      <c r="HUG94" s="102"/>
      <c r="HUH94" s="102"/>
      <c r="HUI94" s="102"/>
      <c r="HUJ94" s="102"/>
      <c r="HUK94" s="102"/>
      <c r="HUL94" s="102"/>
      <c r="HUM94" s="102"/>
      <c r="HUN94" s="102"/>
      <c r="HUO94" s="102"/>
      <c r="HUP94" s="102"/>
      <c r="HUQ94" s="102"/>
      <c r="HUR94" s="102"/>
      <c r="HUS94" s="102"/>
      <c r="HUT94" s="102"/>
      <c r="HUU94" s="102"/>
      <c r="HUV94" s="102"/>
      <c r="HUW94" s="102"/>
      <c r="HUX94" s="102"/>
      <c r="HUY94" s="102"/>
      <c r="HUZ94" s="102"/>
      <c r="HVA94" s="102"/>
      <c r="HVB94" s="102"/>
      <c r="HVC94" s="102"/>
      <c r="HVD94" s="102"/>
      <c r="HVE94" s="102"/>
      <c r="HVF94" s="102"/>
      <c r="HVG94" s="102"/>
      <c r="HVH94" s="102"/>
      <c r="HVI94" s="102"/>
      <c r="HVJ94" s="102"/>
      <c r="HVK94" s="102"/>
      <c r="HVL94" s="102"/>
      <c r="HVM94" s="102"/>
      <c r="HVN94" s="102"/>
      <c r="HVO94" s="102"/>
      <c r="HVP94" s="102"/>
      <c r="HVQ94" s="102"/>
      <c r="HVR94" s="102"/>
      <c r="HVS94" s="102"/>
      <c r="HVT94" s="102"/>
      <c r="HVU94" s="102"/>
      <c r="HVV94" s="102"/>
      <c r="HVW94" s="102"/>
      <c r="HVX94" s="102"/>
      <c r="HVY94" s="102"/>
      <c r="HVZ94" s="102"/>
      <c r="HWA94" s="102"/>
      <c r="HWB94" s="102"/>
      <c r="HWC94" s="102"/>
      <c r="HWD94" s="102"/>
      <c r="HWE94" s="102"/>
      <c r="HWF94" s="102"/>
      <c r="HWG94" s="102"/>
      <c r="HWH94" s="102"/>
      <c r="HWI94" s="102"/>
      <c r="HWJ94" s="102"/>
      <c r="HWK94" s="102"/>
      <c r="HWL94" s="102"/>
      <c r="HWM94" s="102"/>
      <c r="HWN94" s="102"/>
      <c r="HWO94" s="102"/>
      <c r="HWP94" s="102"/>
      <c r="HWQ94" s="102"/>
      <c r="HWR94" s="102"/>
      <c r="HWS94" s="102"/>
      <c r="HWT94" s="102"/>
      <c r="HWU94" s="102"/>
      <c r="HWV94" s="102"/>
      <c r="HWW94" s="102"/>
      <c r="HWX94" s="102"/>
      <c r="HWY94" s="102"/>
      <c r="HWZ94" s="102"/>
      <c r="HXA94" s="102"/>
      <c r="HXB94" s="102"/>
      <c r="HXC94" s="102"/>
      <c r="HXD94" s="102"/>
      <c r="HXE94" s="102"/>
      <c r="HXF94" s="102"/>
      <c r="HXG94" s="102"/>
      <c r="HXH94" s="102"/>
      <c r="HXI94" s="102"/>
      <c r="HXJ94" s="102"/>
      <c r="HXK94" s="102"/>
      <c r="HXL94" s="102"/>
      <c r="HXM94" s="102"/>
      <c r="HXN94" s="102"/>
      <c r="HXO94" s="102"/>
      <c r="HXP94" s="102"/>
      <c r="HXQ94" s="102"/>
      <c r="HXR94" s="102"/>
      <c r="HXS94" s="102"/>
      <c r="HXT94" s="102"/>
      <c r="HXU94" s="102"/>
      <c r="HXV94" s="102"/>
      <c r="HXW94" s="102"/>
      <c r="HXX94" s="102"/>
      <c r="HXY94" s="102"/>
      <c r="HXZ94" s="102"/>
      <c r="HYA94" s="102"/>
      <c r="HYB94" s="102"/>
      <c r="HYC94" s="102"/>
      <c r="HYD94" s="102"/>
      <c r="HYE94" s="102"/>
      <c r="HYF94" s="102"/>
      <c r="HYG94" s="102"/>
      <c r="HYH94" s="102"/>
      <c r="HYI94" s="102"/>
      <c r="HYJ94" s="102"/>
      <c r="HYK94" s="102"/>
      <c r="HYL94" s="102"/>
      <c r="HYM94" s="102"/>
      <c r="HYN94" s="102"/>
      <c r="HYO94" s="102"/>
      <c r="HYP94" s="102"/>
      <c r="HYQ94" s="102"/>
      <c r="HYR94" s="102"/>
      <c r="HYS94" s="102"/>
      <c r="HYT94" s="102"/>
      <c r="HYU94" s="102"/>
      <c r="HYV94" s="102"/>
      <c r="HYW94" s="102"/>
      <c r="HYX94" s="102"/>
      <c r="HYY94" s="102"/>
      <c r="HYZ94" s="102"/>
      <c r="HZA94" s="102"/>
      <c r="HZB94" s="102"/>
      <c r="HZC94" s="102"/>
      <c r="HZD94" s="102"/>
      <c r="HZE94" s="102"/>
      <c r="HZF94" s="102"/>
      <c r="HZG94" s="102"/>
      <c r="HZH94" s="102"/>
      <c r="HZI94" s="102"/>
      <c r="HZJ94" s="102"/>
      <c r="HZK94" s="102"/>
      <c r="HZL94" s="102"/>
      <c r="HZM94" s="102"/>
      <c r="HZN94" s="102"/>
      <c r="HZO94" s="102"/>
      <c r="HZP94" s="102"/>
      <c r="HZQ94" s="102"/>
      <c r="HZR94" s="102"/>
      <c r="HZS94" s="102"/>
      <c r="HZT94" s="102"/>
      <c r="HZU94" s="102"/>
      <c r="HZV94" s="102"/>
      <c r="HZW94" s="102"/>
      <c r="HZX94" s="102"/>
      <c r="HZY94" s="102"/>
      <c r="HZZ94" s="102"/>
      <c r="IAA94" s="102"/>
      <c r="IAB94" s="102"/>
      <c r="IAC94" s="102"/>
      <c r="IAD94" s="102"/>
      <c r="IAE94" s="102"/>
      <c r="IAF94" s="102"/>
      <c r="IAG94" s="102"/>
      <c r="IAH94" s="102"/>
      <c r="IAI94" s="102"/>
      <c r="IAJ94" s="102"/>
      <c r="IAK94" s="102"/>
      <c r="IAL94" s="102"/>
      <c r="IAM94" s="102"/>
      <c r="IAN94" s="102"/>
      <c r="IAO94" s="102"/>
      <c r="IAP94" s="102"/>
      <c r="IAQ94" s="102"/>
      <c r="IAR94" s="102"/>
      <c r="IAS94" s="102"/>
      <c r="IAT94" s="102"/>
      <c r="IAU94" s="102"/>
      <c r="IAV94" s="102"/>
      <c r="IAW94" s="102"/>
      <c r="IAX94" s="102"/>
      <c r="IAY94" s="102"/>
      <c r="IAZ94" s="102"/>
      <c r="IBA94" s="102"/>
      <c r="IBB94" s="102"/>
      <c r="IBC94" s="102"/>
      <c r="IBD94" s="102"/>
      <c r="IBE94" s="102"/>
      <c r="IBF94" s="102"/>
      <c r="IBG94" s="102"/>
      <c r="IBH94" s="102"/>
      <c r="IBI94" s="102"/>
      <c r="IBJ94" s="102"/>
      <c r="IBK94" s="102"/>
      <c r="IBL94" s="102"/>
      <c r="IBM94" s="102"/>
      <c r="IBN94" s="102"/>
      <c r="IBO94" s="102"/>
      <c r="IBP94" s="102"/>
      <c r="IBQ94" s="102"/>
      <c r="IBR94" s="102"/>
      <c r="IBS94" s="102"/>
      <c r="IBT94" s="102"/>
      <c r="IBU94" s="102"/>
      <c r="IBV94" s="102"/>
      <c r="IBW94" s="102"/>
      <c r="IBX94" s="102"/>
      <c r="IBY94" s="102"/>
      <c r="IBZ94" s="102"/>
      <c r="ICA94" s="102"/>
      <c r="ICB94" s="102"/>
      <c r="ICC94" s="102"/>
      <c r="ICD94" s="102"/>
      <c r="ICE94" s="102"/>
      <c r="ICF94" s="102"/>
      <c r="ICG94" s="102"/>
      <c r="ICH94" s="102"/>
      <c r="ICI94" s="102"/>
      <c r="ICJ94" s="102"/>
      <c r="ICK94" s="102"/>
      <c r="ICL94" s="102"/>
      <c r="ICM94" s="102"/>
      <c r="ICN94" s="102"/>
      <c r="ICO94" s="102"/>
      <c r="ICP94" s="102"/>
      <c r="ICQ94" s="102"/>
      <c r="ICR94" s="102"/>
      <c r="ICS94" s="102"/>
      <c r="ICT94" s="102"/>
      <c r="ICU94" s="102"/>
      <c r="ICV94" s="102"/>
      <c r="ICW94" s="102"/>
      <c r="ICX94" s="102"/>
      <c r="ICY94" s="102"/>
      <c r="ICZ94" s="102"/>
      <c r="IDA94" s="102"/>
      <c r="IDB94" s="102"/>
      <c r="IDC94" s="102"/>
      <c r="IDD94" s="102"/>
      <c r="IDE94" s="102"/>
      <c r="IDF94" s="102"/>
      <c r="IDG94" s="102"/>
      <c r="IDH94" s="102"/>
      <c r="IDI94" s="102"/>
      <c r="IDJ94" s="102"/>
      <c r="IDK94" s="102"/>
      <c r="IDL94" s="102"/>
      <c r="IDM94" s="102"/>
      <c r="IDN94" s="102"/>
      <c r="IDO94" s="102"/>
      <c r="IDP94" s="102"/>
      <c r="IDQ94" s="102"/>
      <c r="IDR94" s="102"/>
      <c r="IDS94" s="102"/>
      <c r="IDT94" s="102"/>
      <c r="IDU94" s="102"/>
      <c r="IDV94" s="102"/>
      <c r="IDW94" s="102"/>
      <c r="IDX94" s="102"/>
      <c r="IDY94" s="102"/>
      <c r="IDZ94" s="102"/>
      <c r="IEA94" s="102"/>
      <c r="IEB94" s="102"/>
      <c r="IEC94" s="102"/>
      <c r="IED94" s="102"/>
      <c r="IEE94" s="102"/>
      <c r="IEF94" s="102"/>
      <c r="IEG94" s="102"/>
      <c r="IEH94" s="102"/>
      <c r="IEI94" s="102"/>
      <c r="IEJ94" s="102"/>
      <c r="IEK94" s="102"/>
      <c r="IEL94" s="102"/>
      <c r="IEM94" s="102"/>
      <c r="IEN94" s="102"/>
      <c r="IEO94" s="102"/>
      <c r="IEP94" s="102"/>
      <c r="IEQ94" s="102"/>
      <c r="IER94" s="102"/>
      <c r="IES94" s="102"/>
      <c r="IET94" s="102"/>
      <c r="IEU94" s="102"/>
      <c r="IEV94" s="102"/>
      <c r="IEW94" s="102"/>
      <c r="IEX94" s="102"/>
      <c r="IEY94" s="102"/>
      <c r="IEZ94" s="102"/>
      <c r="IFA94" s="102"/>
      <c r="IFB94" s="102"/>
      <c r="IFC94" s="102"/>
      <c r="IFD94" s="102"/>
      <c r="IFE94" s="102"/>
      <c r="IFF94" s="102"/>
      <c r="IFG94" s="102"/>
      <c r="IFH94" s="102"/>
      <c r="IFI94" s="102"/>
      <c r="IFJ94" s="102"/>
      <c r="IFK94" s="102"/>
      <c r="IFL94" s="102"/>
      <c r="IFM94" s="102"/>
      <c r="IFN94" s="102"/>
      <c r="IFO94" s="102"/>
      <c r="IFP94" s="102"/>
      <c r="IFQ94" s="102"/>
      <c r="IFR94" s="102"/>
      <c r="IFS94" s="102"/>
      <c r="IFT94" s="102"/>
      <c r="IFU94" s="102"/>
      <c r="IFV94" s="102"/>
      <c r="IFW94" s="102"/>
      <c r="IFX94" s="102"/>
      <c r="IFY94" s="102"/>
      <c r="IFZ94" s="102"/>
      <c r="IGA94" s="102"/>
      <c r="IGB94" s="102"/>
      <c r="IGC94" s="102"/>
      <c r="IGD94" s="102"/>
      <c r="IGE94" s="102"/>
      <c r="IGF94" s="102"/>
      <c r="IGG94" s="102"/>
      <c r="IGH94" s="102"/>
      <c r="IGI94" s="102"/>
      <c r="IGJ94" s="102"/>
      <c r="IGK94" s="102"/>
      <c r="IGL94" s="102"/>
      <c r="IGM94" s="102"/>
      <c r="IGN94" s="102"/>
      <c r="IGO94" s="102"/>
      <c r="IGP94" s="102"/>
      <c r="IGQ94" s="102"/>
      <c r="IGR94" s="102"/>
      <c r="IGS94" s="102"/>
      <c r="IGT94" s="102"/>
      <c r="IGU94" s="102"/>
      <c r="IGV94" s="102"/>
      <c r="IGW94" s="102"/>
      <c r="IGX94" s="102"/>
      <c r="IGY94" s="102"/>
      <c r="IGZ94" s="102"/>
      <c r="IHA94" s="102"/>
      <c r="IHB94" s="102"/>
      <c r="IHC94" s="102"/>
      <c r="IHD94" s="102"/>
      <c r="IHE94" s="102"/>
      <c r="IHF94" s="102"/>
      <c r="IHG94" s="102"/>
      <c r="IHH94" s="102"/>
      <c r="IHI94" s="102"/>
      <c r="IHJ94" s="102"/>
      <c r="IHK94" s="102"/>
      <c r="IHL94" s="102"/>
      <c r="IHM94" s="102"/>
      <c r="IHN94" s="102"/>
      <c r="IHO94" s="102"/>
      <c r="IHP94" s="102"/>
      <c r="IHQ94" s="102"/>
      <c r="IHR94" s="102"/>
      <c r="IHS94" s="102"/>
      <c r="IHT94" s="102"/>
      <c r="IHU94" s="102"/>
      <c r="IHV94" s="102"/>
      <c r="IHW94" s="102"/>
      <c r="IHX94" s="102"/>
      <c r="IHY94" s="102"/>
      <c r="IHZ94" s="102"/>
      <c r="IIA94" s="102"/>
      <c r="IIB94" s="102"/>
      <c r="IIC94" s="102"/>
      <c r="IID94" s="102"/>
      <c r="IIE94" s="102"/>
      <c r="IIF94" s="102"/>
      <c r="IIG94" s="102"/>
      <c r="IIH94" s="102"/>
      <c r="III94" s="102"/>
      <c r="IIJ94" s="102"/>
      <c r="IIK94" s="102"/>
      <c r="IIL94" s="102"/>
      <c r="IIM94" s="102"/>
      <c r="IIN94" s="102"/>
      <c r="IIO94" s="102"/>
      <c r="IIP94" s="102"/>
      <c r="IIQ94" s="102"/>
      <c r="IIR94" s="102"/>
      <c r="IIS94" s="102"/>
      <c r="IIT94" s="102"/>
      <c r="IIU94" s="102"/>
      <c r="IIV94" s="102"/>
      <c r="IIW94" s="102"/>
      <c r="IIX94" s="102"/>
      <c r="IIY94" s="102"/>
      <c r="IIZ94" s="102"/>
      <c r="IJA94" s="102"/>
      <c r="IJB94" s="102"/>
      <c r="IJC94" s="102"/>
      <c r="IJD94" s="102"/>
      <c r="IJE94" s="102"/>
      <c r="IJF94" s="102"/>
      <c r="IJG94" s="102"/>
      <c r="IJH94" s="102"/>
      <c r="IJI94" s="102"/>
      <c r="IJJ94" s="102"/>
      <c r="IJK94" s="102"/>
      <c r="IJL94" s="102"/>
      <c r="IJM94" s="102"/>
      <c r="IJN94" s="102"/>
      <c r="IJO94" s="102"/>
      <c r="IJP94" s="102"/>
      <c r="IJQ94" s="102"/>
      <c r="IJR94" s="102"/>
      <c r="IJS94" s="102"/>
      <c r="IJT94" s="102"/>
      <c r="IJU94" s="102"/>
      <c r="IJV94" s="102"/>
      <c r="IJW94" s="102"/>
      <c r="IJX94" s="102"/>
      <c r="IJY94" s="102"/>
      <c r="IJZ94" s="102"/>
      <c r="IKA94" s="102"/>
      <c r="IKB94" s="102"/>
      <c r="IKC94" s="102"/>
      <c r="IKD94" s="102"/>
      <c r="IKE94" s="102"/>
      <c r="IKF94" s="102"/>
      <c r="IKG94" s="102"/>
      <c r="IKH94" s="102"/>
      <c r="IKI94" s="102"/>
      <c r="IKJ94" s="102"/>
      <c r="IKK94" s="102"/>
      <c r="IKL94" s="102"/>
      <c r="IKM94" s="102"/>
      <c r="IKN94" s="102"/>
      <c r="IKO94" s="102"/>
      <c r="IKP94" s="102"/>
      <c r="IKQ94" s="102"/>
      <c r="IKR94" s="102"/>
      <c r="IKS94" s="102"/>
      <c r="IKT94" s="102"/>
      <c r="IKU94" s="102"/>
      <c r="IKV94" s="102"/>
      <c r="IKW94" s="102"/>
      <c r="IKX94" s="102"/>
      <c r="IKY94" s="102"/>
      <c r="IKZ94" s="102"/>
      <c r="ILA94" s="102"/>
      <c r="ILB94" s="102"/>
      <c r="ILC94" s="102"/>
      <c r="ILD94" s="102"/>
      <c r="ILE94" s="102"/>
      <c r="ILF94" s="102"/>
      <c r="ILG94" s="102"/>
      <c r="ILH94" s="102"/>
      <c r="ILI94" s="102"/>
      <c r="ILJ94" s="102"/>
      <c r="ILK94" s="102"/>
      <c r="ILL94" s="102"/>
      <c r="ILM94" s="102"/>
      <c r="ILN94" s="102"/>
      <c r="ILO94" s="102"/>
      <c r="ILP94" s="102"/>
      <c r="ILQ94" s="102"/>
      <c r="ILR94" s="102"/>
      <c r="ILS94" s="102"/>
      <c r="ILT94" s="102"/>
      <c r="ILU94" s="102"/>
      <c r="ILV94" s="102"/>
      <c r="ILW94" s="102"/>
      <c r="ILX94" s="102"/>
      <c r="ILY94" s="102"/>
      <c r="ILZ94" s="102"/>
      <c r="IMA94" s="102"/>
      <c r="IMB94" s="102"/>
      <c r="IMC94" s="102"/>
      <c r="IMD94" s="102"/>
      <c r="IME94" s="102"/>
      <c r="IMF94" s="102"/>
      <c r="IMG94" s="102"/>
      <c r="IMH94" s="102"/>
      <c r="IMI94" s="102"/>
      <c r="IMJ94" s="102"/>
      <c r="IMK94" s="102"/>
      <c r="IML94" s="102"/>
      <c r="IMM94" s="102"/>
      <c r="IMN94" s="102"/>
      <c r="IMO94" s="102"/>
      <c r="IMP94" s="102"/>
      <c r="IMQ94" s="102"/>
      <c r="IMR94" s="102"/>
      <c r="IMS94" s="102"/>
      <c r="IMT94" s="102"/>
      <c r="IMU94" s="102"/>
      <c r="IMV94" s="102"/>
      <c r="IMW94" s="102"/>
      <c r="IMX94" s="102"/>
      <c r="IMY94" s="102"/>
      <c r="IMZ94" s="102"/>
      <c r="INA94" s="102"/>
      <c r="INB94" s="102"/>
      <c r="INC94" s="102"/>
      <c r="IND94" s="102"/>
      <c r="INE94" s="102"/>
      <c r="INF94" s="102"/>
      <c r="ING94" s="102"/>
      <c r="INH94" s="102"/>
      <c r="INI94" s="102"/>
      <c r="INJ94" s="102"/>
      <c r="INK94" s="102"/>
      <c r="INL94" s="102"/>
      <c r="INM94" s="102"/>
      <c r="INN94" s="102"/>
      <c r="INO94" s="102"/>
      <c r="INP94" s="102"/>
      <c r="INQ94" s="102"/>
      <c r="INR94" s="102"/>
      <c r="INS94" s="102"/>
      <c r="INT94" s="102"/>
      <c r="INU94" s="102"/>
      <c r="INV94" s="102"/>
      <c r="INW94" s="102"/>
      <c r="INX94" s="102"/>
      <c r="INY94" s="102"/>
      <c r="INZ94" s="102"/>
      <c r="IOA94" s="102"/>
      <c r="IOB94" s="102"/>
      <c r="IOC94" s="102"/>
      <c r="IOD94" s="102"/>
      <c r="IOE94" s="102"/>
      <c r="IOF94" s="102"/>
      <c r="IOG94" s="102"/>
      <c r="IOH94" s="102"/>
      <c r="IOI94" s="102"/>
      <c r="IOJ94" s="102"/>
      <c r="IOK94" s="102"/>
      <c r="IOL94" s="102"/>
      <c r="IOM94" s="102"/>
      <c r="ION94" s="102"/>
      <c r="IOO94" s="102"/>
      <c r="IOP94" s="102"/>
      <c r="IOQ94" s="102"/>
      <c r="IOR94" s="102"/>
      <c r="IOS94" s="102"/>
      <c r="IOT94" s="102"/>
      <c r="IOU94" s="102"/>
      <c r="IOV94" s="102"/>
      <c r="IOW94" s="102"/>
      <c r="IOX94" s="102"/>
      <c r="IOY94" s="102"/>
      <c r="IOZ94" s="102"/>
      <c r="IPA94" s="102"/>
      <c r="IPB94" s="102"/>
      <c r="IPC94" s="102"/>
      <c r="IPD94" s="102"/>
      <c r="IPE94" s="102"/>
      <c r="IPF94" s="102"/>
      <c r="IPG94" s="102"/>
      <c r="IPH94" s="102"/>
      <c r="IPI94" s="102"/>
      <c r="IPJ94" s="102"/>
      <c r="IPK94" s="102"/>
      <c r="IPL94" s="102"/>
      <c r="IPM94" s="102"/>
      <c r="IPN94" s="102"/>
      <c r="IPO94" s="102"/>
      <c r="IPP94" s="102"/>
      <c r="IPQ94" s="102"/>
      <c r="IPR94" s="102"/>
      <c r="IPS94" s="102"/>
      <c r="IPT94" s="102"/>
      <c r="IPU94" s="102"/>
      <c r="IPV94" s="102"/>
      <c r="IPW94" s="102"/>
      <c r="IPX94" s="102"/>
      <c r="IPY94" s="102"/>
      <c r="IPZ94" s="102"/>
      <c r="IQA94" s="102"/>
      <c r="IQB94" s="102"/>
      <c r="IQC94" s="102"/>
      <c r="IQD94" s="102"/>
      <c r="IQE94" s="102"/>
      <c r="IQF94" s="102"/>
      <c r="IQG94" s="102"/>
      <c r="IQH94" s="102"/>
      <c r="IQI94" s="102"/>
      <c r="IQJ94" s="102"/>
      <c r="IQK94" s="102"/>
      <c r="IQL94" s="102"/>
      <c r="IQM94" s="102"/>
      <c r="IQN94" s="102"/>
      <c r="IQO94" s="102"/>
      <c r="IQP94" s="102"/>
      <c r="IQQ94" s="102"/>
      <c r="IQR94" s="102"/>
      <c r="IQS94" s="102"/>
      <c r="IQT94" s="102"/>
      <c r="IQU94" s="102"/>
      <c r="IQV94" s="102"/>
      <c r="IQW94" s="102"/>
      <c r="IQX94" s="102"/>
      <c r="IQY94" s="102"/>
      <c r="IQZ94" s="102"/>
      <c r="IRA94" s="102"/>
      <c r="IRB94" s="102"/>
      <c r="IRC94" s="102"/>
      <c r="IRD94" s="102"/>
      <c r="IRE94" s="102"/>
      <c r="IRF94" s="102"/>
      <c r="IRG94" s="102"/>
      <c r="IRH94" s="102"/>
      <c r="IRI94" s="102"/>
      <c r="IRJ94" s="102"/>
      <c r="IRK94" s="102"/>
      <c r="IRL94" s="102"/>
      <c r="IRM94" s="102"/>
      <c r="IRN94" s="102"/>
      <c r="IRO94" s="102"/>
      <c r="IRP94" s="102"/>
      <c r="IRQ94" s="102"/>
      <c r="IRR94" s="102"/>
      <c r="IRS94" s="102"/>
      <c r="IRT94" s="102"/>
      <c r="IRU94" s="102"/>
      <c r="IRV94" s="102"/>
      <c r="IRW94" s="102"/>
      <c r="IRX94" s="102"/>
      <c r="IRY94" s="102"/>
      <c r="IRZ94" s="102"/>
      <c r="ISA94" s="102"/>
      <c r="ISB94" s="102"/>
      <c r="ISC94" s="102"/>
      <c r="ISD94" s="102"/>
      <c r="ISE94" s="102"/>
      <c r="ISF94" s="102"/>
      <c r="ISG94" s="102"/>
      <c r="ISH94" s="102"/>
      <c r="ISI94" s="102"/>
      <c r="ISJ94" s="102"/>
      <c r="ISK94" s="102"/>
      <c r="ISL94" s="102"/>
      <c r="ISM94" s="102"/>
      <c r="ISN94" s="102"/>
      <c r="ISO94" s="102"/>
      <c r="ISP94" s="102"/>
      <c r="ISQ94" s="102"/>
      <c r="ISR94" s="102"/>
      <c r="ISS94" s="102"/>
      <c r="IST94" s="102"/>
      <c r="ISU94" s="102"/>
      <c r="ISV94" s="102"/>
      <c r="ISW94" s="102"/>
      <c r="ISX94" s="102"/>
      <c r="ISY94" s="102"/>
      <c r="ISZ94" s="102"/>
      <c r="ITA94" s="102"/>
      <c r="ITB94" s="102"/>
      <c r="ITC94" s="102"/>
      <c r="ITD94" s="102"/>
      <c r="ITE94" s="102"/>
      <c r="ITF94" s="102"/>
      <c r="ITG94" s="102"/>
      <c r="ITH94" s="102"/>
      <c r="ITI94" s="102"/>
      <c r="ITJ94" s="102"/>
      <c r="ITK94" s="102"/>
      <c r="ITL94" s="102"/>
      <c r="ITM94" s="102"/>
      <c r="ITN94" s="102"/>
      <c r="ITO94" s="102"/>
      <c r="ITP94" s="102"/>
      <c r="ITQ94" s="102"/>
      <c r="ITR94" s="102"/>
      <c r="ITS94" s="102"/>
      <c r="ITT94" s="102"/>
      <c r="ITU94" s="102"/>
      <c r="ITV94" s="102"/>
      <c r="ITW94" s="102"/>
      <c r="ITX94" s="102"/>
      <c r="ITY94" s="102"/>
      <c r="ITZ94" s="102"/>
      <c r="IUA94" s="102"/>
      <c r="IUB94" s="102"/>
      <c r="IUC94" s="102"/>
      <c r="IUD94" s="102"/>
      <c r="IUE94" s="102"/>
      <c r="IUF94" s="102"/>
      <c r="IUG94" s="102"/>
      <c r="IUH94" s="102"/>
      <c r="IUI94" s="102"/>
      <c r="IUJ94" s="102"/>
      <c r="IUK94" s="102"/>
      <c r="IUL94" s="102"/>
      <c r="IUM94" s="102"/>
      <c r="IUN94" s="102"/>
      <c r="IUO94" s="102"/>
      <c r="IUP94" s="102"/>
      <c r="IUQ94" s="102"/>
      <c r="IUR94" s="102"/>
      <c r="IUS94" s="102"/>
      <c r="IUT94" s="102"/>
      <c r="IUU94" s="102"/>
      <c r="IUV94" s="102"/>
      <c r="IUW94" s="102"/>
      <c r="IUX94" s="102"/>
      <c r="IUY94" s="102"/>
      <c r="IUZ94" s="102"/>
      <c r="IVA94" s="102"/>
      <c r="IVB94" s="102"/>
      <c r="IVC94" s="102"/>
      <c r="IVD94" s="102"/>
      <c r="IVE94" s="102"/>
      <c r="IVF94" s="102"/>
      <c r="IVG94" s="102"/>
      <c r="IVH94" s="102"/>
      <c r="IVI94" s="102"/>
      <c r="IVJ94" s="102"/>
      <c r="IVK94" s="102"/>
      <c r="IVL94" s="102"/>
      <c r="IVM94" s="102"/>
      <c r="IVN94" s="102"/>
      <c r="IVO94" s="102"/>
      <c r="IVP94" s="102"/>
      <c r="IVQ94" s="102"/>
      <c r="IVR94" s="102"/>
      <c r="IVS94" s="102"/>
      <c r="IVT94" s="102"/>
      <c r="IVU94" s="102"/>
      <c r="IVV94" s="102"/>
      <c r="IVW94" s="102"/>
      <c r="IVX94" s="102"/>
      <c r="IVY94" s="102"/>
      <c r="IVZ94" s="102"/>
      <c r="IWA94" s="102"/>
      <c r="IWB94" s="102"/>
      <c r="IWC94" s="102"/>
      <c r="IWD94" s="102"/>
      <c r="IWE94" s="102"/>
      <c r="IWF94" s="102"/>
      <c r="IWG94" s="102"/>
      <c r="IWH94" s="102"/>
      <c r="IWI94" s="102"/>
      <c r="IWJ94" s="102"/>
      <c r="IWK94" s="102"/>
      <c r="IWL94" s="102"/>
      <c r="IWM94" s="102"/>
      <c r="IWN94" s="102"/>
      <c r="IWO94" s="102"/>
      <c r="IWP94" s="102"/>
      <c r="IWQ94" s="102"/>
      <c r="IWR94" s="102"/>
      <c r="IWS94" s="102"/>
      <c r="IWT94" s="102"/>
      <c r="IWU94" s="102"/>
      <c r="IWV94" s="102"/>
      <c r="IWW94" s="102"/>
      <c r="IWX94" s="102"/>
      <c r="IWY94" s="102"/>
      <c r="IWZ94" s="102"/>
      <c r="IXA94" s="102"/>
      <c r="IXB94" s="102"/>
      <c r="IXC94" s="102"/>
      <c r="IXD94" s="102"/>
      <c r="IXE94" s="102"/>
      <c r="IXF94" s="102"/>
      <c r="IXG94" s="102"/>
      <c r="IXH94" s="102"/>
      <c r="IXI94" s="102"/>
      <c r="IXJ94" s="102"/>
      <c r="IXK94" s="102"/>
      <c r="IXL94" s="102"/>
      <c r="IXM94" s="102"/>
      <c r="IXN94" s="102"/>
      <c r="IXO94" s="102"/>
      <c r="IXP94" s="102"/>
      <c r="IXQ94" s="102"/>
      <c r="IXR94" s="102"/>
      <c r="IXS94" s="102"/>
      <c r="IXT94" s="102"/>
      <c r="IXU94" s="102"/>
      <c r="IXV94" s="102"/>
      <c r="IXW94" s="102"/>
      <c r="IXX94" s="102"/>
      <c r="IXY94" s="102"/>
      <c r="IXZ94" s="102"/>
      <c r="IYA94" s="102"/>
      <c r="IYB94" s="102"/>
      <c r="IYC94" s="102"/>
      <c r="IYD94" s="102"/>
      <c r="IYE94" s="102"/>
      <c r="IYF94" s="102"/>
      <c r="IYG94" s="102"/>
      <c r="IYH94" s="102"/>
      <c r="IYI94" s="102"/>
      <c r="IYJ94" s="102"/>
      <c r="IYK94" s="102"/>
      <c r="IYL94" s="102"/>
      <c r="IYM94" s="102"/>
      <c r="IYN94" s="102"/>
      <c r="IYO94" s="102"/>
      <c r="IYP94" s="102"/>
      <c r="IYQ94" s="102"/>
      <c r="IYR94" s="102"/>
      <c r="IYS94" s="102"/>
      <c r="IYT94" s="102"/>
      <c r="IYU94" s="102"/>
      <c r="IYV94" s="102"/>
      <c r="IYW94" s="102"/>
      <c r="IYX94" s="102"/>
      <c r="IYY94" s="102"/>
      <c r="IYZ94" s="102"/>
      <c r="IZA94" s="102"/>
      <c r="IZB94" s="102"/>
      <c r="IZC94" s="102"/>
      <c r="IZD94" s="102"/>
      <c r="IZE94" s="102"/>
      <c r="IZF94" s="102"/>
      <c r="IZG94" s="102"/>
      <c r="IZH94" s="102"/>
      <c r="IZI94" s="102"/>
      <c r="IZJ94" s="102"/>
      <c r="IZK94" s="102"/>
      <c r="IZL94" s="102"/>
      <c r="IZM94" s="102"/>
      <c r="IZN94" s="102"/>
      <c r="IZO94" s="102"/>
      <c r="IZP94" s="102"/>
      <c r="IZQ94" s="102"/>
      <c r="IZR94" s="102"/>
      <c r="IZS94" s="102"/>
      <c r="IZT94" s="102"/>
      <c r="IZU94" s="102"/>
      <c r="IZV94" s="102"/>
      <c r="IZW94" s="102"/>
      <c r="IZX94" s="102"/>
      <c r="IZY94" s="102"/>
      <c r="IZZ94" s="102"/>
      <c r="JAA94" s="102"/>
      <c r="JAB94" s="102"/>
      <c r="JAC94" s="102"/>
      <c r="JAD94" s="102"/>
      <c r="JAE94" s="102"/>
      <c r="JAF94" s="102"/>
      <c r="JAG94" s="102"/>
      <c r="JAH94" s="102"/>
      <c r="JAI94" s="102"/>
      <c r="JAJ94" s="102"/>
      <c r="JAK94" s="102"/>
      <c r="JAL94" s="102"/>
      <c r="JAM94" s="102"/>
      <c r="JAN94" s="102"/>
      <c r="JAO94" s="102"/>
      <c r="JAP94" s="102"/>
      <c r="JAQ94" s="102"/>
      <c r="JAR94" s="102"/>
      <c r="JAS94" s="102"/>
      <c r="JAT94" s="102"/>
      <c r="JAU94" s="102"/>
      <c r="JAV94" s="102"/>
      <c r="JAW94" s="102"/>
      <c r="JAX94" s="102"/>
      <c r="JAY94" s="102"/>
      <c r="JAZ94" s="102"/>
      <c r="JBA94" s="102"/>
      <c r="JBB94" s="102"/>
      <c r="JBC94" s="102"/>
      <c r="JBD94" s="102"/>
      <c r="JBE94" s="102"/>
      <c r="JBF94" s="102"/>
      <c r="JBG94" s="102"/>
      <c r="JBH94" s="102"/>
      <c r="JBI94" s="102"/>
      <c r="JBJ94" s="102"/>
      <c r="JBK94" s="102"/>
      <c r="JBL94" s="102"/>
      <c r="JBM94" s="102"/>
      <c r="JBN94" s="102"/>
      <c r="JBO94" s="102"/>
      <c r="JBP94" s="102"/>
      <c r="JBQ94" s="102"/>
      <c r="JBR94" s="102"/>
      <c r="JBS94" s="102"/>
      <c r="JBT94" s="102"/>
      <c r="JBU94" s="102"/>
      <c r="JBV94" s="102"/>
      <c r="JBW94" s="102"/>
      <c r="JBX94" s="102"/>
      <c r="JBY94" s="102"/>
      <c r="JBZ94" s="102"/>
      <c r="JCA94" s="102"/>
      <c r="JCB94" s="102"/>
      <c r="JCC94" s="102"/>
      <c r="JCD94" s="102"/>
      <c r="JCE94" s="102"/>
      <c r="JCF94" s="102"/>
      <c r="JCG94" s="102"/>
      <c r="JCH94" s="102"/>
      <c r="JCI94" s="102"/>
      <c r="JCJ94" s="102"/>
      <c r="JCK94" s="102"/>
      <c r="JCL94" s="102"/>
      <c r="JCM94" s="102"/>
      <c r="JCN94" s="102"/>
      <c r="JCO94" s="102"/>
      <c r="JCP94" s="102"/>
      <c r="JCQ94" s="102"/>
      <c r="JCR94" s="102"/>
      <c r="JCS94" s="102"/>
      <c r="JCT94" s="102"/>
      <c r="JCU94" s="102"/>
      <c r="JCV94" s="102"/>
      <c r="JCW94" s="102"/>
      <c r="JCX94" s="102"/>
      <c r="JCY94" s="102"/>
      <c r="JCZ94" s="102"/>
      <c r="JDA94" s="102"/>
      <c r="JDB94" s="102"/>
      <c r="JDC94" s="102"/>
      <c r="JDD94" s="102"/>
      <c r="JDE94" s="102"/>
      <c r="JDF94" s="102"/>
      <c r="JDG94" s="102"/>
      <c r="JDH94" s="102"/>
      <c r="JDI94" s="102"/>
      <c r="JDJ94" s="102"/>
      <c r="JDK94" s="102"/>
      <c r="JDL94" s="102"/>
      <c r="JDM94" s="102"/>
      <c r="JDN94" s="102"/>
      <c r="JDO94" s="102"/>
      <c r="JDP94" s="102"/>
      <c r="JDQ94" s="102"/>
      <c r="JDR94" s="102"/>
      <c r="JDS94" s="102"/>
      <c r="JDT94" s="102"/>
      <c r="JDU94" s="102"/>
      <c r="JDV94" s="102"/>
      <c r="JDW94" s="102"/>
      <c r="JDX94" s="102"/>
      <c r="JDY94" s="102"/>
      <c r="JDZ94" s="102"/>
      <c r="JEA94" s="102"/>
      <c r="JEB94" s="102"/>
      <c r="JEC94" s="102"/>
      <c r="JED94" s="102"/>
      <c r="JEE94" s="102"/>
      <c r="JEF94" s="102"/>
      <c r="JEG94" s="102"/>
      <c r="JEH94" s="102"/>
      <c r="JEI94" s="102"/>
      <c r="JEJ94" s="102"/>
      <c r="JEK94" s="102"/>
      <c r="JEL94" s="102"/>
      <c r="JEM94" s="102"/>
      <c r="JEN94" s="102"/>
      <c r="JEO94" s="102"/>
      <c r="JEP94" s="102"/>
      <c r="JEQ94" s="102"/>
      <c r="JER94" s="102"/>
      <c r="JES94" s="102"/>
      <c r="JET94" s="102"/>
      <c r="JEU94" s="102"/>
      <c r="JEV94" s="102"/>
      <c r="JEW94" s="102"/>
      <c r="JEX94" s="102"/>
      <c r="JEY94" s="102"/>
      <c r="JEZ94" s="102"/>
      <c r="JFA94" s="102"/>
      <c r="JFB94" s="102"/>
      <c r="JFC94" s="102"/>
      <c r="JFD94" s="102"/>
      <c r="JFE94" s="102"/>
      <c r="JFF94" s="102"/>
      <c r="JFG94" s="102"/>
      <c r="JFH94" s="102"/>
      <c r="JFI94" s="102"/>
      <c r="JFJ94" s="102"/>
      <c r="JFK94" s="102"/>
      <c r="JFL94" s="102"/>
      <c r="JFM94" s="102"/>
      <c r="JFN94" s="102"/>
      <c r="JFO94" s="102"/>
      <c r="JFP94" s="102"/>
      <c r="JFQ94" s="102"/>
      <c r="JFR94" s="102"/>
      <c r="JFS94" s="102"/>
      <c r="JFT94" s="102"/>
      <c r="JFU94" s="102"/>
      <c r="JFV94" s="102"/>
      <c r="JFW94" s="102"/>
      <c r="JFX94" s="102"/>
      <c r="JFY94" s="102"/>
      <c r="JFZ94" s="102"/>
      <c r="JGA94" s="102"/>
      <c r="JGB94" s="102"/>
      <c r="JGC94" s="102"/>
      <c r="JGD94" s="102"/>
      <c r="JGE94" s="102"/>
      <c r="JGF94" s="102"/>
      <c r="JGG94" s="102"/>
      <c r="JGH94" s="102"/>
      <c r="JGI94" s="102"/>
      <c r="JGJ94" s="102"/>
      <c r="JGK94" s="102"/>
      <c r="JGL94" s="102"/>
      <c r="JGM94" s="102"/>
      <c r="JGN94" s="102"/>
      <c r="JGO94" s="102"/>
      <c r="JGP94" s="102"/>
      <c r="JGQ94" s="102"/>
      <c r="JGR94" s="102"/>
      <c r="JGS94" s="102"/>
      <c r="JGT94" s="102"/>
      <c r="JGU94" s="102"/>
      <c r="JGV94" s="102"/>
      <c r="JGW94" s="102"/>
      <c r="JGX94" s="102"/>
      <c r="JGY94" s="102"/>
      <c r="JGZ94" s="102"/>
      <c r="JHA94" s="102"/>
      <c r="JHB94" s="102"/>
      <c r="JHC94" s="102"/>
      <c r="JHD94" s="102"/>
      <c r="JHE94" s="102"/>
      <c r="JHF94" s="102"/>
      <c r="JHG94" s="102"/>
      <c r="JHH94" s="102"/>
      <c r="JHI94" s="102"/>
      <c r="JHJ94" s="102"/>
      <c r="JHK94" s="102"/>
      <c r="JHL94" s="102"/>
      <c r="JHM94" s="102"/>
      <c r="JHN94" s="102"/>
      <c r="JHO94" s="102"/>
      <c r="JHP94" s="102"/>
      <c r="JHQ94" s="102"/>
      <c r="JHR94" s="102"/>
      <c r="JHS94" s="102"/>
      <c r="JHT94" s="102"/>
      <c r="JHU94" s="102"/>
      <c r="JHV94" s="102"/>
      <c r="JHW94" s="102"/>
      <c r="JHX94" s="102"/>
      <c r="JHY94" s="102"/>
      <c r="JHZ94" s="102"/>
      <c r="JIA94" s="102"/>
      <c r="JIB94" s="102"/>
      <c r="JIC94" s="102"/>
      <c r="JID94" s="102"/>
      <c r="JIE94" s="102"/>
      <c r="JIF94" s="102"/>
      <c r="JIG94" s="102"/>
      <c r="JIH94" s="102"/>
      <c r="JII94" s="102"/>
      <c r="JIJ94" s="102"/>
      <c r="JIK94" s="102"/>
      <c r="JIL94" s="102"/>
      <c r="JIM94" s="102"/>
      <c r="JIN94" s="102"/>
      <c r="JIO94" s="102"/>
      <c r="JIP94" s="102"/>
      <c r="JIQ94" s="102"/>
      <c r="JIR94" s="102"/>
      <c r="JIS94" s="102"/>
      <c r="JIT94" s="102"/>
      <c r="JIU94" s="102"/>
      <c r="JIV94" s="102"/>
      <c r="JIW94" s="102"/>
      <c r="JIX94" s="102"/>
      <c r="JIY94" s="102"/>
      <c r="JIZ94" s="102"/>
      <c r="JJA94" s="102"/>
      <c r="JJB94" s="102"/>
      <c r="JJC94" s="102"/>
      <c r="JJD94" s="102"/>
      <c r="JJE94" s="102"/>
      <c r="JJF94" s="102"/>
      <c r="JJG94" s="102"/>
      <c r="JJH94" s="102"/>
      <c r="JJI94" s="102"/>
      <c r="JJJ94" s="102"/>
      <c r="JJK94" s="102"/>
      <c r="JJL94" s="102"/>
      <c r="JJM94" s="102"/>
      <c r="JJN94" s="102"/>
      <c r="JJO94" s="102"/>
      <c r="JJP94" s="102"/>
      <c r="JJQ94" s="102"/>
      <c r="JJR94" s="102"/>
      <c r="JJS94" s="102"/>
      <c r="JJT94" s="102"/>
      <c r="JJU94" s="102"/>
      <c r="JJV94" s="102"/>
      <c r="JJW94" s="102"/>
      <c r="JJX94" s="102"/>
      <c r="JJY94" s="102"/>
      <c r="JJZ94" s="102"/>
      <c r="JKA94" s="102"/>
      <c r="JKB94" s="102"/>
      <c r="JKC94" s="102"/>
      <c r="JKD94" s="102"/>
      <c r="JKE94" s="102"/>
      <c r="JKF94" s="102"/>
      <c r="JKG94" s="102"/>
      <c r="JKH94" s="102"/>
      <c r="JKI94" s="102"/>
      <c r="JKJ94" s="102"/>
      <c r="JKK94" s="102"/>
      <c r="JKL94" s="102"/>
      <c r="JKM94" s="102"/>
      <c r="JKN94" s="102"/>
      <c r="JKO94" s="102"/>
      <c r="JKP94" s="102"/>
      <c r="JKQ94" s="102"/>
      <c r="JKR94" s="102"/>
      <c r="JKS94" s="102"/>
      <c r="JKT94" s="102"/>
      <c r="JKU94" s="102"/>
      <c r="JKV94" s="102"/>
      <c r="JKW94" s="102"/>
      <c r="JKX94" s="102"/>
      <c r="JKY94" s="102"/>
      <c r="JKZ94" s="102"/>
      <c r="JLA94" s="102"/>
      <c r="JLB94" s="102"/>
      <c r="JLC94" s="102"/>
      <c r="JLD94" s="102"/>
      <c r="JLE94" s="102"/>
      <c r="JLF94" s="102"/>
      <c r="JLG94" s="102"/>
      <c r="JLH94" s="102"/>
      <c r="JLI94" s="102"/>
      <c r="JLJ94" s="102"/>
      <c r="JLK94" s="102"/>
      <c r="JLL94" s="102"/>
      <c r="JLM94" s="102"/>
      <c r="JLN94" s="102"/>
      <c r="JLO94" s="102"/>
      <c r="JLP94" s="102"/>
      <c r="JLQ94" s="102"/>
      <c r="JLR94" s="102"/>
      <c r="JLS94" s="102"/>
      <c r="JLT94" s="102"/>
      <c r="JLU94" s="102"/>
      <c r="JLV94" s="102"/>
      <c r="JLW94" s="102"/>
      <c r="JLX94" s="102"/>
      <c r="JLY94" s="102"/>
      <c r="JLZ94" s="102"/>
      <c r="JMA94" s="102"/>
      <c r="JMB94" s="102"/>
      <c r="JMC94" s="102"/>
      <c r="JMD94" s="102"/>
      <c r="JME94" s="102"/>
      <c r="JMF94" s="102"/>
      <c r="JMG94" s="102"/>
      <c r="JMH94" s="102"/>
      <c r="JMI94" s="102"/>
      <c r="JMJ94" s="102"/>
      <c r="JMK94" s="102"/>
      <c r="JML94" s="102"/>
      <c r="JMM94" s="102"/>
      <c r="JMN94" s="102"/>
      <c r="JMO94" s="102"/>
      <c r="JMP94" s="102"/>
      <c r="JMQ94" s="102"/>
      <c r="JMR94" s="102"/>
      <c r="JMS94" s="102"/>
      <c r="JMT94" s="102"/>
      <c r="JMU94" s="102"/>
      <c r="JMV94" s="102"/>
      <c r="JMW94" s="102"/>
      <c r="JMX94" s="102"/>
      <c r="JMY94" s="102"/>
      <c r="JMZ94" s="102"/>
      <c r="JNA94" s="102"/>
      <c r="JNB94" s="102"/>
      <c r="JNC94" s="102"/>
      <c r="JND94" s="102"/>
      <c r="JNE94" s="102"/>
      <c r="JNF94" s="102"/>
      <c r="JNG94" s="102"/>
      <c r="JNH94" s="102"/>
      <c r="JNI94" s="102"/>
      <c r="JNJ94" s="102"/>
      <c r="JNK94" s="102"/>
      <c r="JNL94" s="102"/>
      <c r="JNM94" s="102"/>
      <c r="JNN94" s="102"/>
      <c r="JNO94" s="102"/>
      <c r="JNP94" s="102"/>
      <c r="JNQ94" s="102"/>
      <c r="JNR94" s="102"/>
      <c r="JNS94" s="102"/>
      <c r="JNT94" s="102"/>
      <c r="JNU94" s="102"/>
      <c r="JNV94" s="102"/>
      <c r="JNW94" s="102"/>
      <c r="JNX94" s="102"/>
      <c r="JNY94" s="102"/>
      <c r="JNZ94" s="102"/>
      <c r="JOA94" s="102"/>
      <c r="JOB94" s="102"/>
      <c r="JOC94" s="102"/>
      <c r="JOD94" s="102"/>
      <c r="JOE94" s="102"/>
      <c r="JOF94" s="102"/>
      <c r="JOG94" s="102"/>
      <c r="JOH94" s="102"/>
      <c r="JOI94" s="102"/>
      <c r="JOJ94" s="102"/>
      <c r="JOK94" s="102"/>
      <c r="JOL94" s="102"/>
      <c r="JOM94" s="102"/>
      <c r="JON94" s="102"/>
      <c r="JOO94" s="102"/>
      <c r="JOP94" s="102"/>
      <c r="JOQ94" s="102"/>
      <c r="JOR94" s="102"/>
      <c r="JOS94" s="102"/>
      <c r="JOT94" s="102"/>
      <c r="JOU94" s="102"/>
      <c r="JOV94" s="102"/>
      <c r="JOW94" s="102"/>
      <c r="JOX94" s="102"/>
      <c r="JOY94" s="102"/>
      <c r="JOZ94" s="102"/>
      <c r="JPA94" s="102"/>
      <c r="JPB94" s="102"/>
      <c r="JPC94" s="102"/>
      <c r="JPD94" s="102"/>
      <c r="JPE94" s="102"/>
      <c r="JPF94" s="102"/>
      <c r="JPG94" s="102"/>
      <c r="JPH94" s="102"/>
      <c r="JPI94" s="102"/>
      <c r="JPJ94" s="102"/>
      <c r="JPK94" s="102"/>
      <c r="JPL94" s="102"/>
      <c r="JPM94" s="102"/>
      <c r="JPN94" s="102"/>
      <c r="JPO94" s="102"/>
      <c r="JPP94" s="102"/>
      <c r="JPQ94" s="102"/>
      <c r="JPR94" s="102"/>
      <c r="JPS94" s="102"/>
      <c r="JPT94" s="102"/>
      <c r="JPU94" s="102"/>
      <c r="JPV94" s="102"/>
      <c r="JPW94" s="102"/>
      <c r="JPX94" s="102"/>
      <c r="JPY94" s="102"/>
      <c r="JPZ94" s="102"/>
      <c r="JQA94" s="102"/>
      <c r="JQB94" s="102"/>
      <c r="JQC94" s="102"/>
      <c r="JQD94" s="102"/>
      <c r="JQE94" s="102"/>
      <c r="JQF94" s="102"/>
      <c r="JQG94" s="102"/>
      <c r="JQH94" s="102"/>
      <c r="JQI94" s="102"/>
      <c r="JQJ94" s="102"/>
      <c r="JQK94" s="102"/>
      <c r="JQL94" s="102"/>
      <c r="JQM94" s="102"/>
      <c r="JQN94" s="102"/>
      <c r="JQO94" s="102"/>
      <c r="JQP94" s="102"/>
      <c r="JQQ94" s="102"/>
      <c r="JQR94" s="102"/>
      <c r="JQS94" s="102"/>
      <c r="JQT94" s="102"/>
      <c r="JQU94" s="102"/>
      <c r="JQV94" s="102"/>
      <c r="JQW94" s="102"/>
      <c r="JQX94" s="102"/>
      <c r="JQY94" s="102"/>
      <c r="JQZ94" s="102"/>
      <c r="JRA94" s="102"/>
      <c r="JRB94" s="102"/>
      <c r="JRC94" s="102"/>
      <c r="JRD94" s="102"/>
      <c r="JRE94" s="102"/>
      <c r="JRF94" s="102"/>
      <c r="JRG94" s="102"/>
      <c r="JRH94" s="102"/>
      <c r="JRI94" s="102"/>
      <c r="JRJ94" s="102"/>
      <c r="JRK94" s="102"/>
      <c r="JRL94" s="102"/>
      <c r="JRM94" s="102"/>
      <c r="JRN94" s="102"/>
      <c r="JRO94" s="102"/>
      <c r="JRP94" s="102"/>
      <c r="JRQ94" s="102"/>
      <c r="JRR94" s="102"/>
      <c r="JRS94" s="102"/>
      <c r="JRT94" s="102"/>
      <c r="JRU94" s="102"/>
      <c r="JRV94" s="102"/>
      <c r="JRW94" s="102"/>
      <c r="JRX94" s="102"/>
      <c r="JRY94" s="102"/>
      <c r="JRZ94" s="102"/>
      <c r="JSA94" s="102"/>
      <c r="JSB94" s="102"/>
      <c r="JSC94" s="102"/>
      <c r="JSD94" s="102"/>
      <c r="JSE94" s="102"/>
      <c r="JSF94" s="102"/>
      <c r="JSG94" s="102"/>
      <c r="JSH94" s="102"/>
      <c r="JSI94" s="102"/>
      <c r="JSJ94" s="102"/>
      <c r="JSK94" s="102"/>
      <c r="JSL94" s="102"/>
      <c r="JSM94" s="102"/>
      <c r="JSN94" s="102"/>
      <c r="JSO94" s="102"/>
      <c r="JSP94" s="102"/>
      <c r="JSQ94" s="102"/>
      <c r="JSR94" s="102"/>
      <c r="JSS94" s="102"/>
      <c r="JST94" s="102"/>
      <c r="JSU94" s="102"/>
      <c r="JSV94" s="102"/>
      <c r="JSW94" s="102"/>
      <c r="JSX94" s="102"/>
      <c r="JSY94" s="102"/>
      <c r="JSZ94" s="102"/>
      <c r="JTA94" s="102"/>
      <c r="JTB94" s="102"/>
      <c r="JTC94" s="102"/>
      <c r="JTD94" s="102"/>
      <c r="JTE94" s="102"/>
      <c r="JTF94" s="102"/>
      <c r="JTG94" s="102"/>
      <c r="JTH94" s="102"/>
      <c r="JTI94" s="102"/>
      <c r="JTJ94" s="102"/>
      <c r="JTK94" s="102"/>
      <c r="JTL94" s="102"/>
      <c r="JTM94" s="102"/>
      <c r="JTN94" s="102"/>
      <c r="JTO94" s="102"/>
      <c r="JTP94" s="102"/>
      <c r="JTQ94" s="102"/>
      <c r="JTR94" s="102"/>
      <c r="JTS94" s="102"/>
      <c r="JTT94" s="102"/>
      <c r="JTU94" s="102"/>
      <c r="JTV94" s="102"/>
      <c r="JTW94" s="102"/>
      <c r="JTX94" s="102"/>
      <c r="JTY94" s="102"/>
      <c r="JTZ94" s="102"/>
      <c r="JUA94" s="102"/>
      <c r="JUB94" s="102"/>
      <c r="JUC94" s="102"/>
      <c r="JUD94" s="102"/>
      <c r="JUE94" s="102"/>
      <c r="JUF94" s="102"/>
      <c r="JUG94" s="102"/>
      <c r="JUH94" s="102"/>
      <c r="JUI94" s="102"/>
      <c r="JUJ94" s="102"/>
      <c r="JUK94" s="102"/>
      <c r="JUL94" s="102"/>
      <c r="JUM94" s="102"/>
      <c r="JUN94" s="102"/>
      <c r="JUO94" s="102"/>
      <c r="JUP94" s="102"/>
      <c r="JUQ94" s="102"/>
      <c r="JUR94" s="102"/>
      <c r="JUS94" s="102"/>
      <c r="JUT94" s="102"/>
      <c r="JUU94" s="102"/>
      <c r="JUV94" s="102"/>
      <c r="JUW94" s="102"/>
      <c r="JUX94" s="102"/>
      <c r="JUY94" s="102"/>
      <c r="JUZ94" s="102"/>
      <c r="JVA94" s="102"/>
      <c r="JVB94" s="102"/>
      <c r="JVC94" s="102"/>
      <c r="JVD94" s="102"/>
      <c r="JVE94" s="102"/>
      <c r="JVF94" s="102"/>
      <c r="JVG94" s="102"/>
      <c r="JVH94" s="102"/>
      <c r="JVI94" s="102"/>
      <c r="JVJ94" s="102"/>
      <c r="JVK94" s="102"/>
      <c r="JVL94" s="102"/>
      <c r="JVM94" s="102"/>
      <c r="JVN94" s="102"/>
      <c r="JVO94" s="102"/>
      <c r="JVP94" s="102"/>
      <c r="JVQ94" s="102"/>
      <c r="JVR94" s="102"/>
      <c r="JVS94" s="102"/>
      <c r="JVT94" s="102"/>
      <c r="JVU94" s="102"/>
      <c r="JVV94" s="102"/>
      <c r="JVW94" s="102"/>
      <c r="JVX94" s="102"/>
      <c r="JVY94" s="102"/>
      <c r="JVZ94" s="102"/>
      <c r="JWA94" s="102"/>
      <c r="JWB94" s="102"/>
      <c r="JWC94" s="102"/>
      <c r="JWD94" s="102"/>
      <c r="JWE94" s="102"/>
      <c r="JWF94" s="102"/>
      <c r="JWG94" s="102"/>
      <c r="JWH94" s="102"/>
      <c r="JWI94" s="102"/>
      <c r="JWJ94" s="102"/>
      <c r="JWK94" s="102"/>
      <c r="JWL94" s="102"/>
      <c r="JWM94" s="102"/>
      <c r="JWN94" s="102"/>
      <c r="JWO94" s="102"/>
      <c r="JWP94" s="102"/>
      <c r="JWQ94" s="102"/>
      <c r="JWR94" s="102"/>
      <c r="JWS94" s="102"/>
      <c r="JWT94" s="102"/>
      <c r="JWU94" s="102"/>
      <c r="JWV94" s="102"/>
      <c r="JWW94" s="102"/>
      <c r="JWX94" s="102"/>
      <c r="JWY94" s="102"/>
      <c r="JWZ94" s="102"/>
      <c r="JXA94" s="102"/>
      <c r="JXB94" s="102"/>
      <c r="JXC94" s="102"/>
      <c r="JXD94" s="102"/>
      <c r="JXE94" s="102"/>
      <c r="JXF94" s="102"/>
      <c r="JXG94" s="102"/>
      <c r="JXH94" s="102"/>
      <c r="JXI94" s="102"/>
      <c r="JXJ94" s="102"/>
      <c r="JXK94" s="102"/>
      <c r="JXL94" s="102"/>
      <c r="JXM94" s="102"/>
      <c r="JXN94" s="102"/>
      <c r="JXO94" s="102"/>
      <c r="JXP94" s="102"/>
      <c r="JXQ94" s="102"/>
      <c r="JXR94" s="102"/>
      <c r="JXS94" s="102"/>
      <c r="JXT94" s="102"/>
      <c r="JXU94" s="102"/>
      <c r="JXV94" s="102"/>
      <c r="JXW94" s="102"/>
      <c r="JXX94" s="102"/>
      <c r="JXY94" s="102"/>
      <c r="JXZ94" s="102"/>
      <c r="JYA94" s="102"/>
      <c r="JYB94" s="102"/>
      <c r="JYC94" s="102"/>
      <c r="JYD94" s="102"/>
      <c r="JYE94" s="102"/>
      <c r="JYF94" s="102"/>
      <c r="JYG94" s="102"/>
      <c r="JYH94" s="102"/>
      <c r="JYI94" s="102"/>
      <c r="JYJ94" s="102"/>
      <c r="JYK94" s="102"/>
      <c r="JYL94" s="102"/>
      <c r="JYM94" s="102"/>
      <c r="JYN94" s="102"/>
      <c r="JYO94" s="102"/>
      <c r="JYP94" s="102"/>
      <c r="JYQ94" s="102"/>
      <c r="JYR94" s="102"/>
      <c r="JYS94" s="102"/>
      <c r="JYT94" s="102"/>
      <c r="JYU94" s="102"/>
      <c r="JYV94" s="102"/>
      <c r="JYW94" s="102"/>
      <c r="JYX94" s="102"/>
      <c r="JYY94" s="102"/>
      <c r="JYZ94" s="102"/>
      <c r="JZA94" s="102"/>
      <c r="JZB94" s="102"/>
      <c r="JZC94" s="102"/>
      <c r="JZD94" s="102"/>
      <c r="JZE94" s="102"/>
      <c r="JZF94" s="102"/>
      <c r="JZG94" s="102"/>
      <c r="JZH94" s="102"/>
      <c r="JZI94" s="102"/>
      <c r="JZJ94" s="102"/>
      <c r="JZK94" s="102"/>
      <c r="JZL94" s="102"/>
      <c r="JZM94" s="102"/>
      <c r="JZN94" s="102"/>
      <c r="JZO94" s="102"/>
      <c r="JZP94" s="102"/>
      <c r="JZQ94" s="102"/>
      <c r="JZR94" s="102"/>
      <c r="JZS94" s="102"/>
      <c r="JZT94" s="102"/>
      <c r="JZU94" s="102"/>
      <c r="JZV94" s="102"/>
      <c r="JZW94" s="102"/>
      <c r="JZX94" s="102"/>
      <c r="JZY94" s="102"/>
      <c r="JZZ94" s="102"/>
      <c r="KAA94" s="102"/>
      <c r="KAB94" s="102"/>
      <c r="KAC94" s="102"/>
      <c r="KAD94" s="102"/>
      <c r="KAE94" s="102"/>
      <c r="KAF94" s="102"/>
      <c r="KAG94" s="102"/>
      <c r="KAH94" s="102"/>
      <c r="KAI94" s="102"/>
      <c r="KAJ94" s="102"/>
      <c r="KAK94" s="102"/>
      <c r="KAL94" s="102"/>
      <c r="KAM94" s="102"/>
      <c r="KAN94" s="102"/>
      <c r="KAO94" s="102"/>
      <c r="KAP94" s="102"/>
      <c r="KAQ94" s="102"/>
      <c r="KAR94" s="102"/>
      <c r="KAS94" s="102"/>
      <c r="KAT94" s="102"/>
      <c r="KAU94" s="102"/>
      <c r="KAV94" s="102"/>
      <c r="KAW94" s="102"/>
      <c r="KAX94" s="102"/>
      <c r="KAY94" s="102"/>
      <c r="KAZ94" s="102"/>
      <c r="KBA94" s="102"/>
      <c r="KBB94" s="102"/>
      <c r="KBC94" s="102"/>
      <c r="KBD94" s="102"/>
      <c r="KBE94" s="102"/>
      <c r="KBF94" s="102"/>
      <c r="KBG94" s="102"/>
      <c r="KBH94" s="102"/>
      <c r="KBI94" s="102"/>
      <c r="KBJ94" s="102"/>
      <c r="KBK94" s="102"/>
      <c r="KBL94" s="102"/>
      <c r="KBM94" s="102"/>
      <c r="KBN94" s="102"/>
      <c r="KBO94" s="102"/>
      <c r="KBP94" s="102"/>
      <c r="KBQ94" s="102"/>
      <c r="KBR94" s="102"/>
      <c r="KBS94" s="102"/>
      <c r="KBT94" s="102"/>
      <c r="KBU94" s="102"/>
      <c r="KBV94" s="102"/>
      <c r="KBW94" s="102"/>
      <c r="KBX94" s="102"/>
      <c r="KBY94" s="102"/>
      <c r="KBZ94" s="102"/>
      <c r="KCA94" s="102"/>
      <c r="KCB94" s="102"/>
      <c r="KCC94" s="102"/>
      <c r="KCD94" s="102"/>
      <c r="KCE94" s="102"/>
      <c r="KCF94" s="102"/>
      <c r="KCG94" s="102"/>
      <c r="KCH94" s="102"/>
      <c r="KCI94" s="102"/>
      <c r="KCJ94" s="102"/>
      <c r="KCK94" s="102"/>
      <c r="KCL94" s="102"/>
      <c r="KCM94" s="102"/>
      <c r="KCN94" s="102"/>
      <c r="KCO94" s="102"/>
      <c r="KCP94" s="102"/>
      <c r="KCQ94" s="102"/>
      <c r="KCR94" s="102"/>
      <c r="KCS94" s="102"/>
      <c r="KCT94" s="102"/>
      <c r="KCU94" s="102"/>
      <c r="KCV94" s="102"/>
      <c r="KCW94" s="102"/>
      <c r="KCX94" s="102"/>
      <c r="KCY94" s="102"/>
      <c r="KCZ94" s="102"/>
      <c r="KDA94" s="102"/>
      <c r="KDB94" s="102"/>
      <c r="KDC94" s="102"/>
      <c r="KDD94" s="102"/>
      <c r="KDE94" s="102"/>
      <c r="KDF94" s="102"/>
      <c r="KDG94" s="102"/>
      <c r="KDH94" s="102"/>
      <c r="KDI94" s="102"/>
      <c r="KDJ94" s="102"/>
      <c r="KDK94" s="102"/>
      <c r="KDL94" s="102"/>
      <c r="KDM94" s="102"/>
      <c r="KDN94" s="102"/>
      <c r="KDO94" s="102"/>
      <c r="KDP94" s="102"/>
      <c r="KDQ94" s="102"/>
      <c r="KDR94" s="102"/>
      <c r="KDS94" s="102"/>
      <c r="KDT94" s="102"/>
      <c r="KDU94" s="102"/>
      <c r="KDV94" s="102"/>
      <c r="KDW94" s="102"/>
      <c r="KDX94" s="102"/>
      <c r="KDY94" s="102"/>
      <c r="KDZ94" s="102"/>
      <c r="KEA94" s="102"/>
      <c r="KEB94" s="102"/>
      <c r="KEC94" s="102"/>
      <c r="KED94" s="102"/>
      <c r="KEE94" s="102"/>
      <c r="KEF94" s="102"/>
      <c r="KEG94" s="102"/>
      <c r="KEH94" s="102"/>
      <c r="KEI94" s="102"/>
      <c r="KEJ94" s="102"/>
      <c r="KEK94" s="102"/>
      <c r="KEL94" s="102"/>
      <c r="KEM94" s="102"/>
      <c r="KEN94" s="102"/>
      <c r="KEO94" s="102"/>
      <c r="KEP94" s="102"/>
      <c r="KEQ94" s="102"/>
      <c r="KER94" s="102"/>
      <c r="KES94" s="102"/>
      <c r="KET94" s="102"/>
      <c r="KEU94" s="102"/>
      <c r="KEV94" s="102"/>
      <c r="KEW94" s="102"/>
      <c r="KEX94" s="102"/>
      <c r="KEY94" s="102"/>
      <c r="KEZ94" s="102"/>
      <c r="KFA94" s="102"/>
      <c r="KFB94" s="102"/>
      <c r="KFC94" s="102"/>
      <c r="KFD94" s="102"/>
      <c r="KFE94" s="102"/>
      <c r="KFF94" s="102"/>
      <c r="KFG94" s="102"/>
      <c r="KFH94" s="102"/>
      <c r="KFI94" s="102"/>
      <c r="KFJ94" s="102"/>
      <c r="KFK94" s="102"/>
      <c r="KFL94" s="102"/>
      <c r="KFM94" s="102"/>
      <c r="KFN94" s="102"/>
      <c r="KFO94" s="102"/>
      <c r="KFP94" s="102"/>
      <c r="KFQ94" s="102"/>
      <c r="KFR94" s="102"/>
      <c r="KFS94" s="102"/>
      <c r="KFT94" s="102"/>
      <c r="KFU94" s="102"/>
      <c r="KFV94" s="102"/>
      <c r="KFW94" s="102"/>
      <c r="KFX94" s="102"/>
      <c r="KFY94" s="102"/>
      <c r="KFZ94" s="102"/>
      <c r="KGA94" s="102"/>
      <c r="KGB94" s="102"/>
      <c r="KGC94" s="102"/>
      <c r="KGD94" s="102"/>
      <c r="KGE94" s="102"/>
      <c r="KGF94" s="102"/>
      <c r="KGG94" s="102"/>
      <c r="KGH94" s="102"/>
      <c r="KGI94" s="102"/>
      <c r="KGJ94" s="102"/>
      <c r="KGK94" s="102"/>
      <c r="KGL94" s="102"/>
      <c r="KGM94" s="102"/>
      <c r="KGN94" s="102"/>
      <c r="KGO94" s="102"/>
      <c r="KGP94" s="102"/>
      <c r="KGQ94" s="102"/>
      <c r="KGR94" s="102"/>
      <c r="KGS94" s="102"/>
      <c r="KGT94" s="102"/>
      <c r="KGU94" s="102"/>
      <c r="KGV94" s="102"/>
      <c r="KGW94" s="102"/>
      <c r="KGX94" s="102"/>
      <c r="KGY94" s="102"/>
      <c r="KGZ94" s="102"/>
      <c r="KHA94" s="102"/>
      <c r="KHB94" s="102"/>
      <c r="KHC94" s="102"/>
      <c r="KHD94" s="102"/>
      <c r="KHE94" s="102"/>
      <c r="KHF94" s="102"/>
      <c r="KHG94" s="102"/>
      <c r="KHH94" s="102"/>
      <c r="KHI94" s="102"/>
      <c r="KHJ94" s="102"/>
      <c r="KHK94" s="102"/>
      <c r="KHL94" s="102"/>
      <c r="KHM94" s="102"/>
      <c r="KHN94" s="102"/>
      <c r="KHO94" s="102"/>
      <c r="KHP94" s="102"/>
      <c r="KHQ94" s="102"/>
      <c r="KHR94" s="102"/>
      <c r="KHS94" s="102"/>
      <c r="KHT94" s="102"/>
      <c r="KHU94" s="102"/>
      <c r="KHV94" s="102"/>
      <c r="KHW94" s="102"/>
      <c r="KHX94" s="102"/>
      <c r="KHY94" s="102"/>
      <c r="KHZ94" s="102"/>
      <c r="KIA94" s="102"/>
      <c r="KIB94" s="102"/>
      <c r="KIC94" s="102"/>
      <c r="KID94" s="102"/>
      <c r="KIE94" s="102"/>
      <c r="KIF94" s="102"/>
      <c r="KIG94" s="102"/>
      <c r="KIH94" s="102"/>
      <c r="KII94" s="102"/>
      <c r="KIJ94" s="102"/>
      <c r="KIK94" s="102"/>
      <c r="KIL94" s="102"/>
      <c r="KIM94" s="102"/>
      <c r="KIN94" s="102"/>
      <c r="KIO94" s="102"/>
      <c r="KIP94" s="102"/>
      <c r="KIQ94" s="102"/>
      <c r="KIR94" s="102"/>
      <c r="KIS94" s="102"/>
      <c r="KIT94" s="102"/>
      <c r="KIU94" s="102"/>
      <c r="KIV94" s="102"/>
      <c r="KIW94" s="102"/>
      <c r="KIX94" s="102"/>
      <c r="KIY94" s="102"/>
      <c r="KIZ94" s="102"/>
      <c r="KJA94" s="102"/>
      <c r="KJB94" s="102"/>
      <c r="KJC94" s="102"/>
      <c r="KJD94" s="102"/>
      <c r="KJE94" s="102"/>
      <c r="KJF94" s="102"/>
      <c r="KJG94" s="102"/>
      <c r="KJH94" s="102"/>
      <c r="KJI94" s="102"/>
      <c r="KJJ94" s="102"/>
      <c r="KJK94" s="102"/>
      <c r="KJL94" s="102"/>
      <c r="KJM94" s="102"/>
      <c r="KJN94" s="102"/>
      <c r="KJO94" s="102"/>
      <c r="KJP94" s="102"/>
      <c r="KJQ94" s="102"/>
      <c r="KJR94" s="102"/>
      <c r="KJS94" s="102"/>
      <c r="KJT94" s="102"/>
      <c r="KJU94" s="102"/>
      <c r="KJV94" s="102"/>
      <c r="KJW94" s="102"/>
      <c r="KJX94" s="102"/>
      <c r="KJY94" s="102"/>
      <c r="KJZ94" s="102"/>
      <c r="KKA94" s="102"/>
      <c r="KKB94" s="102"/>
      <c r="KKC94" s="102"/>
      <c r="KKD94" s="102"/>
      <c r="KKE94" s="102"/>
      <c r="KKF94" s="102"/>
      <c r="KKG94" s="102"/>
      <c r="KKH94" s="102"/>
      <c r="KKI94" s="102"/>
      <c r="KKJ94" s="102"/>
      <c r="KKK94" s="102"/>
      <c r="KKL94" s="102"/>
      <c r="KKM94" s="102"/>
      <c r="KKN94" s="102"/>
      <c r="KKO94" s="102"/>
      <c r="KKP94" s="102"/>
      <c r="KKQ94" s="102"/>
      <c r="KKR94" s="102"/>
      <c r="KKS94" s="102"/>
      <c r="KKT94" s="102"/>
      <c r="KKU94" s="102"/>
      <c r="KKV94" s="102"/>
      <c r="KKW94" s="102"/>
      <c r="KKX94" s="102"/>
      <c r="KKY94" s="102"/>
      <c r="KKZ94" s="102"/>
      <c r="KLA94" s="102"/>
      <c r="KLB94" s="102"/>
      <c r="KLC94" s="102"/>
      <c r="KLD94" s="102"/>
      <c r="KLE94" s="102"/>
      <c r="KLF94" s="102"/>
      <c r="KLG94" s="102"/>
      <c r="KLH94" s="102"/>
      <c r="KLI94" s="102"/>
      <c r="KLJ94" s="102"/>
      <c r="KLK94" s="102"/>
      <c r="KLL94" s="102"/>
      <c r="KLM94" s="102"/>
      <c r="KLN94" s="102"/>
      <c r="KLO94" s="102"/>
      <c r="KLP94" s="102"/>
      <c r="KLQ94" s="102"/>
      <c r="KLR94" s="102"/>
      <c r="KLS94" s="102"/>
      <c r="KLT94" s="102"/>
      <c r="KLU94" s="102"/>
      <c r="KLV94" s="102"/>
      <c r="KLW94" s="102"/>
      <c r="KLX94" s="102"/>
      <c r="KLY94" s="102"/>
      <c r="KLZ94" s="102"/>
      <c r="KMA94" s="102"/>
      <c r="KMB94" s="102"/>
      <c r="KMC94" s="102"/>
      <c r="KMD94" s="102"/>
      <c r="KME94" s="102"/>
      <c r="KMF94" s="102"/>
      <c r="KMG94" s="102"/>
      <c r="KMH94" s="102"/>
      <c r="KMI94" s="102"/>
      <c r="KMJ94" s="102"/>
      <c r="KMK94" s="102"/>
      <c r="KML94" s="102"/>
      <c r="KMM94" s="102"/>
      <c r="KMN94" s="102"/>
      <c r="KMO94" s="102"/>
      <c r="KMP94" s="102"/>
      <c r="KMQ94" s="102"/>
      <c r="KMR94" s="102"/>
      <c r="KMS94" s="102"/>
      <c r="KMT94" s="102"/>
      <c r="KMU94" s="102"/>
      <c r="KMV94" s="102"/>
      <c r="KMW94" s="102"/>
      <c r="KMX94" s="102"/>
      <c r="KMY94" s="102"/>
      <c r="KMZ94" s="102"/>
      <c r="KNA94" s="102"/>
      <c r="KNB94" s="102"/>
      <c r="KNC94" s="102"/>
      <c r="KND94" s="102"/>
      <c r="KNE94" s="102"/>
      <c r="KNF94" s="102"/>
      <c r="KNG94" s="102"/>
      <c r="KNH94" s="102"/>
      <c r="KNI94" s="102"/>
      <c r="KNJ94" s="102"/>
      <c r="KNK94" s="102"/>
      <c r="KNL94" s="102"/>
      <c r="KNM94" s="102"/>
      <c r="KNN94" s="102"/>
      <c r="KNO94" s="102"/>
      <c r="KNP94" s="102"/>
      <c r="KNQ94" s="102"/>
      <c r="KNR94" s="102"/>
      <c r="KNS94" s="102"/>
      <c r="KNT94" s="102"/>
      <c r="KNU94" s="102"/>
      <c r="KNV94" s="102"/>
      <c r="KNW94" s="102"/>
      <c r="KNX94" s="102"/>
      <c r="KNY94" s="102"/>
      <c r="KNZ94" s="102"/>
      <c r="KOA94" s="102"/>
      <c r="KOB94" s="102"/>
      <c r="KOC94" s="102"/>
      <c r="KOD94" s="102"/>
      <c r="KOE94" s="102"/>
      <c r="KOF94" s="102"/>
      <c r="KOG94" s="102"/>
      <c r="KOH94" s="102"/>
      <c r="KOI94" s="102"/>
      <c r="KOJ94" s="102"/>
      <c r="KOK94" s="102"/>
      <c r="KOL94" s="102"/>
      <c r="KOM94" s="102"/>
      <c r="KON94" s="102"/>
      <c r="KOO94" s="102"/>
      <c r="KOP94" s="102"/>
      <c r="KOQ94" s="102"/>
      <c r="KOR94" s="102"/>
      <c r="KOS94" s="102"/>
      <c r="KOT94" s="102"/>
      <c r="KOU94" s="102"/>
      <c r="KOV94" s="102"/>
      <c r="KOW94" s="102"/>
      <c r="KOX94" s="102"/>
      <c r="KOY94" s="102"/>
      <c r="KOZ94" s="102"/>
      <c r="KPA94" s="102"/>
      <c r="KPB94" s="102"/>
      <c r="KPC94" s="102"/>
      <c r="KPD94" s="102"/>
      <c r="KPE94" s="102"/>
      <c r="KPF94" s="102"/>
      <c r="KPG94" s="102"/>
      <c r="KPH94" s="102"/>
      <c r="KPI94" s="102"/>
      <c r="KPJ94" s="102"/>
      <c r="KPK94" s="102"/>
      <c r="KPL94" s="102"/>
      <c r="KPM94" s="102"/>
      <c r="KPN94" s="102"/>
      <c r="KPO94" s="102"/>
      <c r="KPP94" s="102"/>
      <c r="KPQ94" s="102"/>
      <c r="KPR94" s="102"/>
      <c r="KPS94" s="102"/>
      <c r="KPT94" s="102"/>
      <c r="KPU94" s="102"/>
      <c r="KPV94" s="102"/>
      <c r="KPW94" s="102"/>
      <c r="KPX94" s="102"/>
      <c r="KPY94" s="102"/>
      <c r="KPZ94" s="102"/>
      <c r="KQA94" s="102"/>
      <c r="KQB94" s="102"/>
      <c r="KQC94" s="102"/>
      <c r="KQD94" s="102"/>
      <c r="KQE94" s="102"/>
      <c r="KQF94" s="102"/>
      <c r="KQG94" s="102"/>
      <c r="KQH94" s="102"/>
      <c r="KQI94" s="102"/>
      <c r="KQJ94" s="102"/>
      <c r="KQK94" s="102"/>
      <c r="KQL94" s="102"/>
      <c r="KQM94" s="102"/>
      <c r="KQN94" s="102"/>
      <c r="KQO94" s="102"/>
      <c r="KQP94" s="102"/>
      <c r="KQQ94" s="102"/>
      <c r="KQR94" s="102"/>
      <c r="KQS94" s="102"/>
      <c r="KQT94" s="102"/>
      <c r="KQU94" s="102"/>
      <c r="KQV94" s="102"/>
      <c r="KQW94" s="102"/>
      <c r="KQX94" s="102"/>
      <c r="KQY94" s="102"/>
      <c r="KQZ94" s="102"/>
      <c r="KRA94" s="102"/>
      <c r="KRB94" s="102"/>
      <c r="KRC94" s="102"/>
      <c r="KRD94" s="102"/>
      <c r="KRE94" s="102"/>
      <c r="KRF94" s="102"/>
      <c r="KRG94" s="102"/>
      <c r="KRH94" s="102"/>
      <c r="KRI94" s="102"/>
      <c r="KRJ94" s="102"/>
      <c r="KRK94" s="102"/>
      <c r="KRL94" s="102"/>
      <c r="KRM94" s="102"/>
      <c r="KRN94" s="102"/>
      <c r="KRO94" s="102"/>
      <c r="KRP94" s="102"/>
      <c r="KRQ94" s="102"/>
      <c r="KRR94" s="102"/>
      <c r="KRS94" s="102"/>
      <c r="KRT94" s="102"/>
      <c r="KRU94" s="102"/>
      <c r="KRV94" s="102"/>
      <c r="KRW94" s="102"/>
      <c r="KRX94" s="102"/>
      <c r="KRY94" s="102"/>
      <c r="KRZ94" s="102"/>
      <c r="KSA94" s="102"/>
      <c r="KSB94" s="102"/>
      <c r="KSC94" s="102"/>
      <c r="KSD94" s="102"/>
      <c r="KSE94" s="102"/>
      <c r="KSF94" s="102"/>
      <c r="KSG94" s="102"/>
      <c r="KSH94" s="102"/>
      <c r="KSI94" s="102"/>
      <c r="KSJ94" s="102"/>
      <c r="KSK94" s="102"/>
      <c r="KSL94" s="102"/>
      <c r="KSM94" s="102"/>
      <c r="KSN94" s="102"/>
      <c r="KSO94" s="102"/>
      <c r="KSP94" s="102"/>
      <c r="KSQ94" s="102"/>
      <c r="KSR94" s="102"/>
      <c r="KSS94" s="102"/>
      <c r="KST94" s="102"/>
      <c r="KSU94" s="102"/>
      <c r="KSV94" s="102"/>
      <c r="KSW94" s="102"/>
      <c r="KSX94" s="102"/>
      <c r="KSY94" s="102"/>
      <c r="KSZ94" s="102"/>
      <c r="KTA94" s="102"/>
      <c r="KTB94" s="102"/>
      <c r="KTC94" s="102"/>
      <c r="KTD94" s="102"/>
      <c r="KTE94" s="102"/>
      <c r="KTF94" s="102"/>
      <c r="KTG94" s="102"/>
      <c r="KTH94" s="102"/>
      <c r="KTI94" s="102"/>
      <c r="KTJ94" s="102"/>
      <c r="KTK94" s="102"/>
      <c r="KTL94" s="102"/>
      <c r="KTM94" s="102"/>
      <c r="KTN94" s="102"/>
      <c r="KTO94" s="102"/>
      <c r="KTP94" s="102"/>
      <c r="KTQ94" s="102"/>
      <c r="KTR94" s="102"/>
      <c r="KTS94" s="102"/>
      <c r="KTT94" s="102"/>
      <c r="KTU94" s="102"/>
      <c r="KTV94" s="102"/>
      <c r="KTW94" s="102"/>
      <c r="KTX94" s="102"/>
      <c r="KTY94" s="102"/>
      <c r="KTZ94" s="102"/>
      <c r="KUA94" s="102"/>
      <c r="KUB94" s="102"/>
      <c r="KUC94" s="102"/>
      <c r="KUD94" s="102"/>
      <c r="KUE94" s="102"/>
      <c r="KUF94" s="102"/>
      <c r="KUG94" s="102"/>
      <c r="KUH94" s="102"/>
      <c r="KUI94" s="102"/>
      <c r="KUJ94" s="102"/>
      <c r="KUK94" s="102"/>
      <c r="KUL94" s="102"/>
      <c r="KUM94" s="102"/>
      <c r="KUN94" s="102"/>
      <c r="KUO94" s="102"/>
      <c r="KUP94" s="102"/>
      <c r="KUQ94" s="102"/>
      <c r="KUR94" s="102"/>
      <c r="KUS94" s="102"/>
      <c r="KUT94" s="102"/>
      <c r="KUU94" s="102"/>
      <c r="KUV94" s="102"/>
      <c r="KUW94" s="102"/>
      <c r="KUX94" s="102"/>
      <c r="KUY94" s="102"/>
      <c r="KUZ94" s="102"/>
      <c r="KVA94" s="102"/>
      <c r="KVB94" s="102"/>
      <c r="KVC94" s="102"/>
      <c r="KVD94" s="102"/>
      <c r="KVE94" s="102"/>
      <c r="KVF94" s="102"/>
      <c r="KVG94" s="102"/>
      <c r="KVH94" s="102"/>
      <c r="KVI94" s="102"/>
      <c r="KVJ94" s="102"/>
      <c r="KVK94" s="102"/>
      <c r="KVL94" s="102"/>
      <c r="KVM94" s="102"/>
      <c r="KVN94" s="102"/>
      <c r="KVO94" s="102"/>
      <c r="KVP94" s="102"/>
      <c r="KVQ94" s="102"/>
      <c r="KVR94" s="102"/>
      <c r="KVS94" s="102"/>
      <c r="KVT94" s="102"/>
      <c r="KVU94" s="102"/>
      <c r="KVV94" s="102"/>
      <c r="KVW94" s="102"/>
      <c r="KVX94" s="102"/>
      <c r="KVY94" s="102"/>
      <c r="KVZ94" s="102"/>
      <c r="KWA94" s="102"/>
      <c r="KWB94" s="102"/>
      <c r="KWC94" s="102"/>
      <c r="KWD94" s="102"/>
      <c r="KWE94" s="102"/>
      <c r="KWF94" s="102"/>
      <c r="KWG94" s="102"/>
      <c r="KWH94" s="102"/>
      <c r="KWI94" s="102"/>
      <c r="KWJ94" s="102"/>
      <c r="KWK94" s="102"/>
      <c r="KWL94" s="102"/>
      <c r="KWM94" s="102"/>
      <c r="KWN94" s="102"/>
      <c r="KWO94" s="102"/>
      <c r="KWP94" s="102"/>
      <c r="KWQ94" s="102"/>
      <c r="KWR94" s="102"/>
      <c r="KWS94" s="102"/>
      <c r="KWT94" s="102"/>
      <c r="KWU94" s="102"/>
      <c r="KWV94" s="102"/>
      <c r="KWW94" s="102"/>
      <c r="KWX94" s="102"/>
      <c r="KWY94" s="102"/>
      <c r="KWZ94" s="102"/>
      <c r="KXA94" s="102"/>
      <c r="KXB94" s="102"/>
      <c r="KXC94" s="102"/>
      <c r="KXD94" s="102"/>
      <c r="KXE94" s="102"/>
      <c r="KXF94" s="102"/>
      <c r="KXG94" s="102"/>
      <c r="KXH94" s="102"/>
      <c r="KXI94" s="102"/>
      <c r="KXJ94" s="102"/>
      <c r="KXK94" s="102"/>
      <c r="KXL94" s="102"/>
      <c r="KXM94" s="102"/>
      <c r="KXN94" s="102"/>
      <c r="KXO94" s="102"/>
      <c r="KXP94" s="102"/>
      <c r="KXQ94" s="102"/>
      <c r="KXR94" s="102"/>
      <c r="KXS94" s="102"/>
      <c r="KXT94" s="102"/>
      <c r="KXU94" s="102"/>
      <c r="KXV94" s="102"/>
      <c r="KXW94" s="102"/>
      <c r="KXX94" s="102"/>
      <c r="KXY94" s="102"/>
      <c r="KXZ94" s="102"/>
      <c r="KYA94" s="102"/>
      <c r="KYB94" s="102"/>
      <c r="KYC94" s="102"/>
      <c r="KYD94" s="102"/>
      <c r="KYE94" s="102"/>
      <c r="KYF94" s="102"/>
      <c r="KYG94" s="102"/>
      <c r="KYH94" s="102"/>
      <c r="KYI94" s="102"/>
      <c r="KYJ94" s="102"/>
      <c r="KYK94" s="102"/>
      <c r="KYL94" s="102"/>
      <c r="KYM94" s="102"/>
      <c r="KYN94" s="102"/>
      <c r="KYO94" s="102"/>
      <c r="KYP94" s="102"/>
      <c r="KYQ94" s="102"/>
      <c r="KYR94" s="102"/>
      <c r="KYS94" s="102"/>
      <c r="KYT94" s="102"/>
      <c r="KYU94" s="102"/>
      <c r="KYV94" s="102"/>
      <c r="KYW94" s="102"/>
      <c r="KYX94" s="102"/>
      <c r="KYY94" s="102"/>
      <c r="KYZ94" s="102"/>
      <c r="KZA94" s="102"/>
      <c r="KZB94" s="102"/>
      <c r="KZC94" s="102"/>
      <c r="KZD94" s="102"/>
      <c r="KZE94" s="102"/>
      <c r="KZF94" s="102"/>
      <c r="KZG94" s="102"/>
      <c r="KZH94" s="102"/>
      <c r="KZI94" s="102"/>
      <c r="KZJ94" s="102"/>
      <c r="KZK94" s="102"/>
      <c r="KZL94" s="102"/>
      <c r="KZM94" s="102"/>
      <c r="KZN94" s="102"/>
      <c r="KZO94" s="102"/>
      <c r="KZP94" s="102"/>
      <c r="KZQ94" s="102"/>
      <c r="KZR94" s="102"/>
      <c r="KZS94" s="102"/>
      <c r="KZT94" s="102"/>
      <c r="KZU94" s="102"/>
      <c r="KZV94" s="102"/>
      <c r="KZW94" s="102"/>
      <c r="KZX94" s="102"/>
      <c r="KZY94" s="102"/>
      <c r="KZZ94" s="102"/>
      <c r="LAA94" s="102"/>
      <c r="LAB94" s="102"/>
      <c r="LAC94" s="102"/>
      <c r="LAD94" s="102"/>
      <c r="LAE94" s="102"/>
      <c r="LAF94" s="102"/>
      <c r="LAG94" s="102"/>
      <c r="LAH94" s="102"/>
      <c r="LAI94" s="102"/>
      <c r="LAJ94" s="102"/>
      <c r="LAK94" s="102"/>
      <c r="LAL94" s="102"/>
      <c r="LAM94" s="102"/>
      <c r="LAN94" s="102"/>
      <c r="LAO94" s="102"/>
      <c r="LAP94" s="102"/>
      <c r="LAQ94" s="102"/>
      <c r="LAR94" s="102"/>
      <c r="LAS94" s="102"/>
      <c r="LAT94" s="102"/>
      <c r="LAU94" s="102"/>
      <c r="LAV94" s="102"/>
      <c r="LAW94" s="102"/>
      <c r="LAX94" s="102"/>
      <c r="LAY94" s="102"/>
      <c r="LAZ94" s="102"/>
      <c r="LBA94" s="102"/>
      <c r="LBB94" s="102"/>
      <c r="LBC94" s="102"/>
      <c r="LBD94" s="102"/>
      <c r="LBE94" s="102"/>
      <c r="LBF94" s="102"/>
      <c r="LBG94" s="102"/>
      <c r="LBH94" s="102"/>
      <c r="LBI94" s="102"/>
      <c r="LBJ94" s="102"/>
      <c r="LBK94" s="102"/>
      <c r="LBL94" s="102"/>
      <c r="LBM94" s="102"/>
      <c r="LBN94" s="102"/>
      <c r="LBO94" s="102"/>
      <c r="LBP94" s="102"/>
      <c r="LBQ94" s="102"/>
      <c r="LBR94" s="102"/>
      <c r="LBS94" s="102"/>
      <c r="LBT94" s="102"/>
      <c r="LBU94" s="102"/>
      <c r="LBV94" s="102"/>
      <c r="LBW94" s="102"/>
      <c r="LBX94" s="102"/>
      <c r="LBY94" s="102"/>
      <c r="LBZ94" s="102"/>
      <c r="LCA94" s="102"/>
      <c r="LCB94" s="102"/>
      <c r="LCC94" s="102"/>
      <c r="LCD94" s="102"/>
      <c r="LCE94" s="102"/>
      <c r="LCF94" s="102"/>
      <c r="LCG94" s="102"/>
      <c r="LCH94" s="102"/>
      <c r="LCI94" s="102"/>
      <c r="LCJ94" s="102"/>
      <c r="LCK94" s="102"/>
      <c r="LCL94" s="102"/>
      <c r="LCM94" s="102"/>
      <c r="LCN94" s="102"/>
      <c r="LCO94" s="102"/>
      <c r="LCP94" s="102"/>
      <c r="LCQ94" s="102"/>
      <c r="LCR94" s="102"/>
      <c r="LCS94" s="102"/>
      <c r="LCT94" s="102"/>
      <c r="LCU94" s="102"/>
      <c r="LCV94" s="102"/>
      <c r="LCW94" s="102"/>
      <c r="LCX94" s="102"/>
      <c r="LCY94" s="102"/>
      <c r="LCZ94" s="102"/>
      <c r="LDA94" s="102"/>
      <c r="LDB94" s="102"/>
      <c r="LDC94" s="102"/>
      <c r="LDD94" s="102"/>
      <c r="LDE94" s="102"/>
      <c r="LDF94" s="102"/>
      <c r="LDG94" s="102"/>
      <c r="LDH94" s="102"/>
      <c r="LDI94" s="102"/>
      <c r="LDJ94" s="102"/>
      <c r="LDK94" s="102"/>
      <c r="LDL94" s="102"/>
      <c r="LDM94" s="102"/>
      <c r="LDN94" s="102"/>
      <c r="LDO94" s="102"/>
      <c r="LDP94" s="102"/>
      <c r="LDQ94" s="102"/>
      <c r="LDR94" s="102"/>
      <c r="LDS94" s="102"/>
      <c r="LDT94" s="102"/>
      <c r="LDU94" s="102"/>
      <c r="LDV94" s="102"/>
      <c r="LDW94" s="102"/>
      <c r="LDX94" s="102"/>
      <c r="LDY94" s="102"/>
      <c r="LDZ94" s="102"/>
      <c r="LEA94" s="102"/>
      <c r="LEB94" s="102"/>
      <c r="LEC94" s="102"/>
      <c r="LED94" s="102"/>
      <c r="LEE94" s="102"/>
      <c r="LEF94" s="102"/>
      <c r="LEG94" s="102"/>
      <c r="LEH94" s="102"/>
      <c r="LEI94" s="102"/>
      <c r="LEJ94" s="102"/>
      <c r="LEK94" s="102"/>
      <c r="LEL94" s="102"/>
      <c r="LEM94" s="102"/>
      <c r="LEN94" s="102"/>
      <c r="LEO94" s="102"/>
      <c r="LEP94" s="102"/>
      <c r="LEQ94" s="102"/>
      <c r="LER94" s="102"/>
      <c r="LES94" s="102"/>
      <c r="LET94" s="102"/>
      <c r="LEU94" s="102"/>
      <c r="LEV94" s="102"/>
      <c r="LEW94" s="102"/>
      <c r="LEX94" s="102"/>
      <c r="LEY94" s="102"/>
      <c r="LEZ94" s="102"/>
      <c r="LFA94" s="102"/>
      <c r="LFB94" s="102"/>
      <c r="LFC94" s="102"/>
      <c r="LFD94" s="102"/>
      <c r="LFE94" s="102"/>
      <c r="LFF94" s="102"/>
      <c r="LFG94" s="102"/>
      <c r="LFH94" s="102"/>
      <c r="LFI94" s="102"/>
      <c r="LFJ94" s="102"/>
      <c r="LFK94" s="102"/>
      <c r="LFL94" s="102"/>
      <c r="LFM94" s="102"/>
      <c r="LFN94" s="102"/>
      <c r="LFO94" s="102"/>
      <c r="LFP94" s="102"/>
      <c r="LFQ94" s="102"/>
      <c r="LFR94" s="102"/>
      <c r="LFS94" s="102"/>
      <c r="LFT94" s="102"/>
      <c r="LFU94" s="102"/>
      <c r="LFV94" s="102"/>
      <c r="LFW94" s="102"/>
      <c r="LFX94" s="102"/>
      <c r="LFY94" s="102"/>
      <c r="LFZ94" s="102"/>
      <c r="LGA94" s="102"/>
      <c r="LGB94" s="102"/>
      <c r="LGC94" s="102"/>
      <c r="LGD94" s="102"/>
      <c r="LGE94" s="102"/>
      <c r="LGF94" s="102"/>
      <c r="LGG94" s="102"/>
      <c r="LGH94" s="102"/>
      <c r="LGI94" s="102"/>
      <c r="LGJ94" s="102"/>
      <c r="LGK94" s="102"/>
      <c r="LGL94" s="102"/>
      <c r="LGM94" s="102"/>
      <c r="LGN94" s="102"/>
      <c r="LGO94" s="102"/>
      <c r="LGP94" s="102"/>
      <c r="LGQ94" s="102"/>
      <c r="LGR94" s="102"/>
      <c r="LGS94" s="102"/>
      <c r="LGT94" s="102"/>
      <c r="LGU94" s="102"/>
      <c r="LGV94" s="102"/>
      <c r="LGW94" s="102"/>
      <c r="LGX94" s="102"/>
      <c r="LGY94" s="102"/>
      <c r="LGZ94" s="102"/>
      <c r="LHA94" s="102"/>
      <c r="LHB94" s="102"/>
      <c r="LHC94" s="102"/>
      <c r="LHD94" s="102"/>
      <c r="LHE94" s="102"/>
      <c r="LHF94" s="102"/>
      <c r="LHG94" s="102"/>
      <c r="LHH94" s="102"/>
      <c r="LHI94" s="102"/>
      <c r="LHJ94" s="102"/>
      <c r="LHK94" s="102"/>
      <c r="LHL94" s="102"/>
      <c r="LHM94" s="102"/>
      <c r="LHN94" s="102"/>
      <c r="LHO94" s="102"/>
      <c r="LHP94" s="102"/>
      <c r="LHQ94" s="102"/>
      <c r="LHR94" s="102"/>
      <c r="LHS94" s="102"/>
      <c r="LHT94" s="102"/>
      <c r="LHU94" s="102"/>
      <c r="LHV94" s="102"/>
      <c r="LHW94" s="102"/>
      <c r="LHX94" s="102"/>
      <c r="LHY94" s="102"/>
      <c r="LHZ94" s="102"/>
      <c r="LIA94" s="102"/>
      <c r="LIB94" s="102"/>
      <c r="LIC94" s="102"/>
      <c r="LID94" s="102"/>
      <c r="LIE94" s="102"/>
      <c r="LIF94" s="102"/>
      <c r="LIG94" s="102"/>
      <c r="LIH94" s="102"/>
      <c r="LII94" s="102"/>
      <c r="LIJ94" s="102"/>
      <c r="LIK94" s="102"/>
      <c r="LIL94" s="102"/>
      <c r="LIM94" s="102"/>
      <c r="LIN94" s="102"/>
      <c r="LIO94" s="102"/>
      <c r="LIP94" s="102"/>
      <c r="LIQ94" s="102"/>
      <c r="LIR94" s="102"/>
      <c r="LIS94" s="102"/>
      <c r="LIT94" s="102"/>
      <c r="LIU94" s="102"/>
      <c r="LIV94" s="102"/>
      <c r="LIW94" s="102"/>
      <c r="LIX94" s="102"/>
      <c r="LIY94" s="102"/>
      <c r="LIZ94" s="102"/>
      <c r="LJA94" s="102"/>
      <c r="LJB94" s="102"/>
      <c r="LJC94" s="102"/>
      <c r="LJD94" s="102"/>
      <c r="LJE94" s="102"/>
      <c r="LJF94" s="102"/>
      <c r="LJG94" s="102"/>
      <c r="LJH94" s="102"/>
      <c r="LJI94" s="102"/>
      <c r="LJJ94" s="102"/>
      <c r="LJK94" s="102"/>
      <c r="LJL94" s="102"/>
      <c r="LJM94" s="102"/>
      <c r="LJN94" s="102"/>
      <c r="LJO94" s="102"/>
      <c r="LJP94" s="102"/>
      <c r="LJQ94" s="102"/>
      <c r="LJR94" s="102"/>
      <c r="LJS94" s="102"/>
      <c r="LJT94" s="102"/>
      <c r="LJU94" s="102"/>
      <c r="LJV94" s="102"/>
      <c r="LJW94" s="102"/>
      <c r="LJX94" s="102"/>
      <c r="LJY94" s="102"/>
      <c r="LJZ94" s="102"/>
      <c r="LKA94" s="102"/>
      <c r="LKB94" s="102"/>
      <c r="LKC94" s="102"/>
      <c r="LKD94" s="102"/>
      <c r="LKE94" s="102"/>
      <c r="LKF94" s="102"/>
      <c r="LKG94" s="102"/>
      <c r="LKH94" s="102"/>
      <c r="LKI94" s="102"/>
      <c r="LKJ94" s="102"/>
      <c r="LKK94" s="102"/>
      <c r="LKL94" s="102"/>
      <c r="LKM94" s="102"/>
      <c r="LKN94" s="102"/>
      <c r="LKO94" s="102"/>
      <c r="LKP94" s="102"/>
      <c r="LKQ94" s="102"/>
      <c r="LKR94" s="102"/>
      <c r="LKS94" s="102"/>
      <c r="LKT94" s="102"/>
      <c r="LKU94" s="102"/>
      <c r="LKV94" s="102"/>
      <c r="LKW94" s="102"/>
      <c r="LKX94" s="102"/>
      <c r="LKY94" s="102"/>
      <c r="LKZ94" s="102"/>
      <c r="LLA94" s="102"/>
      <c r="LLB94" s="102"/>
      <c r="LLC94" s="102"/>
      <c r="LLD94" s="102"/>
      <c r="LLE94" s="102"/>
      <c r="LLF94" s="102"/>
      <c r="LLG94" s="102"/>
      <c r="LLH94" s="102"/>
      <c r="LLI94" s="102"/>
      <c r="LLJ94" s="102"/>
      <c r="LLK94" s="102"/>
      <c r="LLL94" s="102"/>
      <c r="LLM94" s="102"/>
      <c r="LLN94" s="102"/>
      <c r="LLO94" s="102"/>
      <c r="LLP94" s="102"/>
      <c r="LLQ94" s="102"/>
      <c r="LLR94" s="102"/>
      <c r="LLS94" s="102"/>
      <c r="LLT94" s="102"/>
      <c r="LLU94" s="102"/>
      <c r="LLV94" s="102"/>
      <c r="LLW94" s="102"/>
      <c r="LLX94" s="102"/>
      <c r="LLY94" s="102"/>
      <c r="LLZ94" s="102"/>
      <c r="LMA94" s="102"/>
      <c r="LMB94" s="102"/>
      <c r="LMC94" s="102"/>
      <c r="LMD94" s="102"/>
      <c r="LME94" s="102"/>
      <c r="LMF94" s="102"/>
      <c r="LMG94" s="102"/>
      <c r="LMH94" s="102"/>
      <c r="LMI94" s="102"/>
      <c r="LMJ94" s="102"/>
      <c r="LMK94" s="102"/>
      <c r="LML94" s="102"/>
      <c r="LMM94" s="102"/>
      <c r="LMN94" s="102"/>
      <c r="LMO94" s="102"/>
      <c r="LMP94" s="102"/>
      <c r="LMQ94" s="102"/>
      <c r="LMR94" s="102"/>
      <c r="LMS94" s="102"/>
      <c r="LMT94" s="102"/>
      <c r="LMU94" s="102"/>
      <c r="LMV94" s="102"/>
      <c r="LMW94" s="102"/>
      <c r="LMX94" s="102"/>
      <c r="LMY94" s="102"/>
      <c r="LMZ94" s="102"/>
      <c r="LNA94" s="102"/>
      <c r="LNB94" s="102"/>
      <c r="LNC94" s="102"/>
      <c r="LND94" s="102"/>
      <c r="LNE94" s="102"/>
      <c r="LNF94" s="102"/>
      <c r="LNG94" s="102"/>
      <c r="LNH94" s="102"/>
      <c r="LNI94" s="102"/>
      <c r="LNJ94" s="102"/>
      <c r="LNK94" s="102"/>
      <c r="LNL94" s="102"/>
      <c r="LNM94" s="102"/>
      <c r="LNN94" s="102"/>
      <c r="LNO94" s="102"/>
      <c r="LNP94" s="102"/>
      <c r="LNQ94" s="102"/>
      <c r="LNR94" s="102"/>
      <c r="LNS94" s="102"/>
      <c r="LNT94" s="102"/>
      <c r="LNU94" s="102"/>
      <c r="LNV94" s="102"/>
      <c r="LNW94" s="102"/>
      <c r="LNX94" s="102"/>
      <c r="LNY94" s="102"/>
      <c r="LNZ94" s="102"/>
      <c r="LOA94" s="102"/>
      <c r="LOB94" s="102"/>
      <c r="LOC94" s="102"/>
      <c r="LOD94" s="102"/>
      <c r="LOE94" s="102"/>
      <c r="LOF94" s="102"/>
      <c r="LOG94" s="102"/>
      <c r="LOH94" s="102"/>
      <c r="LOI94" s="102"/>
      <c r="LOJ94" s="102"/>
      <c r="LOK94" s="102"/>
      <c r="LOL94" s="102"/>
      <c r="LOM94" s="102"/>
      <c r="LON94" s="102"/>
      <c r="LOO94" s="102"/>
      <c r="LOP94" s="102"/>
      <c r="LOQ94" s="102"/>
      <c r="LOR94" s="102"/>
      <c r="LOS94" s="102"/>
      <c r="LOT94" s="102"/>
      <c r="LOU94" s="102"/>
      <c r="LOV94" s="102"/>
      <c r="LOW94" s="102"/>
      <c r="LOX94" s="102"/>
      <c r="LOY94" s="102"/>
      <c r="LOZ94" s="102"/>
      <c r="LPA94" s="102"/>
      <c r="LPB94" s="102"/>
      <c r="LPC94" s="102"/>
      <c r="LPD94" s="102"/>
      <c r="LPE94" s="102"/>
      <c r="LPF94" s="102"/>
      <c r="LPG94" s="102"/>
      <c r="LPH94" s="102"/>
      <c r="LPI94" s="102"/>
      <c r="LPJ94" s="102"/>
      <c r="LPK94" s="102"/>
      <c r="LPL94" s="102"/>
      <c r="LPM94" s="102"/>
      <c r="LPN94" s="102"/>
      <c r="LPO94" s="102"/>
      <c r="LPP94" s="102"/>
      <c r="LPQ94" s="102"/>
      <c r="LPR94" s="102"/>
      <c r="LPS94" s="102"/>
      <c r="LPT94" s="102"/>
      <c r="LPU94" s="102"/>
      <c r="LPV94" s="102"/>
      <c r="LPW94" s="102"/>
      <c r="LPX94" s="102"/>
      <c r="LPY94" s="102"/>
      <c r="LPZ94" s="102"/>
      <c r="LQA94" s="102"/>
      <c r="LQB94" s="102"/>
      <c r="LQC94" s="102"/>
      <c r="LQD94" s="102"/>
      <c r="LQE94" s="102"/>
      <c r="LQF94" s="102"/>
      <c r="LQG94" s="102"/>
      <c r="LQH94" s="102"/>
      <c r="LQI94" s="102"/>
      <c r="LQJ94" s="102"/>
      <c r="LQK94" s="102"/>
      <c r="LQL94" s="102"/>
      <c r="LQM94" s="102"/>
      <c r="LQN94" s="102"/>
      <c r="LQO94" s="102"/>
      <c r="LQP94" s="102"/>
      <c r="LQQ94" s="102"/>
      <c r="LQR94" s="102"/>
      <c r="LQS94" s="102"/>
      <c r="LQT94" s="102"/>
      <c r="LQU94" s="102"/>
      <c r="LQV94" s="102"/>
      <c r="LQW94" s="102"/>
      <c r="LQX94" s="102"/>
      <c r="LQY94" s="102"/>
      <c r="LQZ94" s="102"/>
      <c r="LRA94" s="102"/>
      <c r="LRB94" s="102"/>
      <c r="LRC94" s="102"/>
      <c r="LRD94" s="102"/>
      <c r="LRE94" s="102"/>
      <c r="LRF94" s="102"/>
      <c r="LRG94" s="102"/>
      <c r="LRH94" s="102"/>
      <c r="LRI94" s="102"/>
      <c r="LRJ94" s="102"/>
      <c r="LRK94" s="102"/>
      <c r="LRL94" s="102"/>
      <c r="LRM94" s="102"/>
      <c r="LRN94" s="102"/>
      <c r="LRO94" s="102"/>
      <c r="LRP94" s="102"/>
      <c r="LRQ94" s="102"/>
      <c r="LRR94" s="102"/>
      <c r="LRS94" s="102"/>
      <c r="LRT94" s="102"/>
      <c r="LRU94" s="102"/>
      <c r="LRV94" s="102"/>
      <c r="LRW94" s="102"/>
      <c r="LRX94" s="102"/>
      <c r="LRY94" s="102"/>
      <c r="LRZ94" s="102"/>
      <c r="LSA94" s="102"/>
      <c r="LSB94" s="102"/>
      <c r="LSC94" s="102"/>
      <c r="LSD94" s="102"/>
      <c r="LSE94" s="102"/>
      <c r="LSF94" s="102"/>
      <c r="LSG94" s="102"/>
      <c r="LSH94" s="102"/>
      <c r="LSI94" s="102"/>
      <c r="LSJ94" s="102"/>
      <c r="LSK94" s="102"/>
      <c r="LSL94" s="102"/>
      <c r="LSM94" s="102"/>
      <c r="LSN94" s="102"/>
      <c r="LSO94" s="102"/>
      <c r="LSP94" s="102"/>
      <c r="LSQ94" s="102"/>
      <c r="LSR94" s="102"/>
      <c r="LSS94" s="102"/>
      <c r="LST94" s="102"/>
      <c r="LSU94" s="102"/>
      <c r="LSV94" s="102"/>
      <c r="LSW94" s="102"/>
      <c r="LSX94" s="102"/>
      <c r="LSY94" s="102"/>
      <c r="LSZ94" s="102"/>
      <c r="LTA94" s="102"/>
      <c r="LTB94" s="102"/>
      <c r="LTC94" s="102"/>
      <c r="LTD94" s="102"/>
      <c r="LTE94" s="102"/>
      <c r="LTF94" s="102"/>
      <c r="LTG94" s="102"/>
      <c r="LTH94" s="102"/>
      <c r="LTI94" s="102"/>
      <c r="LTJ94" s="102"/>
      <c r="LTK94" s="102"/>
      <c r="LTL94" s="102"/>
      <c r="LTM94" s="102"/>
      <c r="LTN94" s="102"/>
      <c r="LTO94" s="102"/>
      <c r="LTP94" s="102"/>
      <c r="LTQ94" s="102"/>
      <c r="LTR94" s="102"/>
      <c r="LTS94" s="102"/>
      <c r="LTT94" s="102"/>
      <c r="LTU94" s="102"/>
      <c r="LTV94" s="102"/>
      <c r="LTW94" s="102"/>
      <c r="LTX94" s="102"/>
      <c r="LTY94" s="102"/>
      <c r="LTZ94" s="102"/>
      <c r="LUA94" s="102"/>
      <c r="LUB94" s="102"/>
      <c r="LUC94" s="102"/>
      <c r="LUD94" s="102"/>
      <c r="LUE94" s="102"/>
      <c r="LUF94" s="102"/>
      <c r="LUG94" s="102"/>
      <c r="LUH94" s="102"/>
      <c r="LUI94" s="102"/>
      <c r="LUJ94" s="102"/>
      <c r="LUK94" s="102"/>
      <c r="LUL94" s="102"/>
      <c r="LUM94" s="102"/>
      <c r="LUN94" s="102"/>
      <c r="LUO94" s="102"/>
      <c r="LUP94" s="102"/>
      <c r="LUQ94" s="102"/>
      <c r="LUR94" s="102"/>
      <c r="LUS94" s="102"/>
      <c r="LUT94" s="102"/>
      <c r="LUU94" s="102"/>
      <c r="LUV94" s="102"/>
      <c r="LUW94" s="102"/>
      <c r="LUX94" s="102"/>
      <c r="LUY94" s="102"/>
      <c r="LUZ94" s="102"/>
      <c r="LVA94" s="102"/>
      <c r="LVB94" s="102"/>
      <c r="LVC94" s="102"/>
      <c r="LVD94" s="102"/>
      <c r="LVE94" s="102"/>
      <c r="LVF94" s="102"/>
      <c r="LVG94" s="102"/>
      <c r="LVH94" s="102"/>
      <c r="LVI94" s="102"/>
      <c r="LVJ94" s="102"/>
      <c r="LVK94" s="102"/>
      <c r="LVL94" s="102"/>
      <c r="LVM94" s="102"/>
      <c r="LVN94" s="102"/>
      <c r="LVO94" s="102"/>
      <c r="LVP94" s="102"/>
      <c r="LVQ94" s="102"/>
      <c r="LVR94" s="102"/>
      <c r="LVS94" s="102"/>
      <c r="LVT94" s="102"/>
      <c r="LVU94" s="102"/>
      <c r="LVV94" s="102"/>
      <c r="LVW94" s="102"/>
      <c r="LVX94" s="102"/>
      <c r="LVY94" s="102"/>
      <c r="LVZ94" s="102"/>
      <c r="LWA94" s="102"/>
      <c r="LWB94" s="102"/>
      <c r="LWC94" s="102"/>
      <c r="LWD94" s="102"/>
      <c r="LWE94" s="102"/>
      <c r="LWF94" s="102"/>
      <c r="LWG94" s="102"/>
      <c r="LWH94" s="102"/>
      <c r="LWI94" s="102"/>
      <c r="LWJ94" s="102"/>
      <c r="LWK94" s="102"/>
      <c r="LWL94" s="102"/>
      <c r="LWM94" s="102"/>
      <c r="LWN94" s="102"/>
      <c r="LWO94" s="102"/>
      <c r="LWP94" s="102"/>
      <c r="LWQ94" s="102"/>
      <c r="LWR94" s="102"/>
      <c r="LWS94" s="102"/>
      <c r="LWT94" s="102"/>
      <c r="LWU94" s="102"/>
      <c r="LWV94" s="102"/>
      <c r="LWW94" s="102"/>
      <c r="LWX94" s="102"/>
      <c r="LWY94" s="102"/>
      <c r="LWZ94" s="102"/>
      <c r="LXA94" s="102"/>
      <c r="LXB94" s="102"/>
      <c r="LXC94" s="102"/>
      <c r="LXD94" s="102"/>
      <c r="LXE94" s="102"/>
      <c r="LXF94" s="102"/>
      <c r="LXG94" s="102"/>
      <c r="LXH94" s="102"/>
      <c r="LXI94" s="102"/>
      <c r="LXJ94" s="102"/>
      <c r="LXK94" s="102"/>
      <c r="LXL94" s="102"/>
      <c r="LXM94" s="102"/>
      <c r="LXN94" s="102"/>
      <c r="LXO94" s="102"/>
      <c r="LXP94" s="102"/>
      <c r="LXQ94" s="102"/>
      <c r="LXR94" s="102"/>
      <c r="LXS94" s="102"/>
      <c r="LXT94" s="102"/>
      <c r="LXU94" s="102"/>
      <c r="LXV94" s="102"/>
      <c r="LXW94" s="102"/>
      <c r="LXX94" s="102"/>
      <c r="LXY94" s="102"/>
      <c r="LXZ94" s="102"/>
      <c r="LYA94" s="102"/>
      <c r="LYB94" s="102"/>
      <c r="LYC94" s="102"/>
      <c r="LYD94" s="102"/>
      <c r="LYE94" s="102"/>
      <c r="LYF94" s="102"/>
      <c r="LYG94" s="102"/>
      <c r="LYH94" s="102"/>
      <c r="LYI94" s="102"/>
      <c r="LYJ94" s="102"/>
      <c r="LYK94" s="102"/>
      <c r="LYL94" s="102"/>
      <c r="LYM94" s="102"/>
      <c r="LYN94" s="102"/>
      <c r="LYO94" s="102"/>
      <c r="LYP94" s="102"/>
      <c r="LYQ94" s="102"/>
      <c r="LYR94" s="102"/>
      <c r="LYS94" s="102"/>
      <c r="LYT94" s="102"/>
      <c r="LYU94" s="102"/>
      <c r="LYV94" s="102"/>
      <c r="LYW94" s="102"/>
      <c r="LYX94" s="102"/>
      <c r="LYY94" s="102"/>
      <c r="LYZ94" s="102"/>
      <c r="LZA94" s="102"/>
      <c r="LZB94" s="102"/>
      <c r="LZC94" s="102"/>
      <c r="LZD94" s="102"/>
      <c r="LZE94" s="102"/>
      <c r="LZF94" s="102"/>
      <c r="LZG94" s="102"/>
      <c r="LZH94" s="102"/>
      <c r="LZI94" s="102"/>
      <c r="LZJ94" s="102"/>
      <c r="LZK94" s="102"/>
      <c r="LZL94" s="102"/>
      <c r="LZM94" s="102"/>
      <c r="LZN94" s="102"/>
      <c r="LZO94" s="102"/>
      <c r="LZP94" s="102"/>
      <c r="LZQ94" s="102"/>
      <c r="LZR94" s="102"/>
      <c r="LZS94" s="102"/>
      <c r="LZT94" s="102"/>
      <c r="LZU94" s="102"/>
      <c r="LZV94" s="102"/>
      <c r="LZW94" s="102"/>
      <c r="LZX94" s="102"/>
      <c r="LZY94" s="102"/>
      <c r="LZZ94" s="102"/>
      <c r="MAA94" s="102"/>
      <c r="MAB94" s="102"/>
      <c r="MAC94" s="102"/>
      <c r="MAD94" s="102"/>
      <c r="MAE94" s="102"/>
      <c r="MAF94" s="102"/>
      <c r="MAG94" s="102"/>
      <c r="MAH94" s="102"/>
      <c r="MAI94" s="102"/>
      <c r="MAJ94" s="102"/>
      <c r="MAK94" s="102"/>
      <c r="MAL94" s="102"/>
      <c r="MAM94" s="102"/>
      <c r="MAN94" s="102"/>
      <c r="MAO94" s="102"/>
      <c r="MAP94" s="102"/>
      <c r="MAQ94" s="102"/>
      <c r="MAR94" s="102"/>
      <c r="MAS94" s="102"/>
      <c r="MAT94" s="102"/>
      <c r="MAU94" s="102"/>
      <c r="MAV94" s="102"/>
      <c r="MAW94" s="102"/>
      <c r="MAX94" s="102"/>
      <c r="MAY94" s="102"/>
      <c r="MAZ94" s="102"/>
      <c r="MBA94" s="102"/>
      <c r="MBB94" s="102"/>
      <c r="MBC94" s="102"/>
      <c r="MBD94" s="102"/>
      <c r="MBE94" s="102"/>
      <c r="MBF94" s="102"/>
      <c r="MBG94" s="102"/>
      <c r="MBH94" s="102"/>
      <c r="MBI94" s="102"/>
      <c r="MBJ94" s="102"/>
      <c r="MBK94" s="102"/>
      <c r="MBL94" s="102"/>
      <c r="MBM94" s="102"/>
      <c r="MBN94" s="102"/>
      <c r="MBO94" s="102"/>
      <c r="MBP94" s="102"/>
      <c r="MBQ94" s="102"/>
      <c r="MBR94" s="102"/>
      <c r="MBS94" s="102"/>
      <c r="MBT94" s="102"/>
      <c r="MBU94" s="102"/>
      <c r="MBV94" s="102"/>
      <c r="MBW94" s="102"/>
      <c r="MBX94" s="102"/>
      <c r="MBY94" s="102"/>
      <c r="MBZ94" s="102"/>
      <c r="MCA94" s="102"/>
      <c r="MCB94" s="102"/>
      <c r="MCC94" s="102"/>
      <c r="MCD94" s="102"/>
      <c r="MCE94" s="102"/>
      <c r="MCF94" s="102"/>
      <c r="MCG94" s="102"/>
      <c r="MCH94" s="102"/>
      <c r="MCI94" s="102"/>
      <c r="MCJ94" s="102"/>
      <c r="MCK94" s="102"/>
      <c r="MCL94" s="102"/>
      <c r="MCM94" s="102"/>
      <c r="MCN94" s="102"/>
      <c r="MCO94" s="102"/>
      <c r="MCP94" s="102"/>
      <c r="MCQ94" s="102"/>
      <c r="MCR94" s="102"/>
      <c r="MCS94" s="102"/>
      <c r="MCT94" s="102"/>
      <c r="MCU94" s="102"/>
      <c r="MCV94" s="102"/>
      <c r="MCW94" s="102"/>
      <c r="MCX94" s="102"/>
      <c r="MCY94" s="102"/>
      <c r="MCZ94" s="102"/>
      <c r="MDA94" s="102"/>
      <c r="MDB94" s="102"/>
      <c r="MDC94" s="102"/>
      <c r="MDD94" s="102"/>
      <c r="MDE94" s="102"/>
      <c r="MDF94" s="102"/>
      <c r="MDG94" s="102"/>
      <c r="MDH94" s="102"/>
      <c r="MDI94" s="102"/>
      <c r="MDJ94" s="102"/>
      <c r="MDK94" s="102"/>
      <c r="MDL94" s="102"/>
      <c r="MDM94" s="102"/>
      <c r="MDN94" s="102"/>
      <c r="MDO94" s="102"/>
      <c r="MDP94" s="102"/>
      <c r="MDQ94" s="102"/>
      <c r="MDR94" s="102"/>
      <c r="MDS94" s="102"/>
      <c r="MDT94" s="102"/>
      <c r="MDU94" s="102"/>
      <c r="MDV94" s="102"/>
      <c r="MDW94" s="102"/>
      <c r="MDX94" s="102"/>
      <c r="MDY94" s="102"/>
      <c r="MDZ94" s="102"/>
      <c r="MEA94" s="102"/>
      <c r="MEB94" s="102"/>
      <c r="MEC94" s="102"/>
      <c r="MED94" s="102"/>
      <c r="MEE94" s="102"/>
      <c r="MEF94" s="102"/>
      <c r="MEG94" s="102"/>
      <c r="MEH94" s="102"/>
      <c r="MEI94" s="102"/>
      <c r="MEJ94" s="102"/>
      <c r="MEK94" s="102"/>
      <c r="MEL94" s="102"/>
      <c r="MEM94" s="102"/>
      <c r="MEN94" s="102"/>
      <c r="MEO94" s="102"/>
      <c r="MEP94" s="102"/>
      <c r="MEQ94" s="102"/>
      <c r="MER94" s="102"/>
      <c r="MES94" s="102"/>
      <c r="MET94" s="102"/>
      <c r="MEU94" s="102"/>
      <c r="MEV94" s="102"/>
      <c r="MEW94" s="102"/>
      <c r="MEX94" s="102"/>
      <c r="MEY94" s="102"/>
      <c r="MEZ94" s="102"/>
      <c r="MFA94" s="102"/>
      <c r="MFB94" s="102"/>
      <c r="MFC94" s="102"/>
      <c r="MFD94" s="102"/>
      <c r="MFE94" s="102"/>
      <c r="MFF94" s="102"/>
      <c r="MFG94" s="102"/>
      <c r="MFH94" s="102"/>
      <c r="MFI94" s="102"/>
      <c r="MFJ94" s="102"/>
      <c r="MFK94" s="102"/>
      <c r="MFL94" s="102"/>
      <c r="MFM94" s="102"/>
      <c r="MFN94" s="102"/>
      <c r="MFO94" s="102"/>
      <c r="MFP94" s="102"/>
      <c r="MFQ94" s="102"/>
      <c r="MFR94" s="102"/>
      <c r="MFS94" s="102"/>
      <c r="MFT94" s="102"/>
      <c r="MFU94" s="102"/>
      <c r="MFV94" s="102"/>
      <c r="MFW94" s="102"/>
      <c r="MFX94" s="102"/>
      <c r="MFY94" s="102"/>
      <c r="MFZ94" s="102"/>
      <c r="MGA94" s="102"/>
      <c r="MGB94" s="102"/>
      <c r="MGC94" s="102"/>
      <c r="MGD94" s="102"/>
      <c r="MGE94" s="102"/>
      <c r="MGF94" s="102"/>
      <c r="MGG94" s="102"/>
      <c r="MGH94" s="102"/>
      <c r="MGI94" s="102"/>
      <c r="MGJ94" s="102"/>
      <c r="MGK94" s="102"/>
      <c r="MGL94" s="102"/>
      <c r="MGM94" s="102"/>
      <c r="MGN94" s="102"/>
      <c r="MGO94" s="102"/>
      <c r="MGP94" s="102"/>
      <c r="MGQ94" s="102"/>
      <c r="MGR94" s="102"/>
      <c r="MGS94" s="102"/>
      <c r="MGT94" s="102"/>
      <c r="MGU94" s="102"/>
      <c r="MGV94" s="102"/>
      <c r="MGW94" s="102"/>
      <c r="MGX94" s="102"/>
      <c r="MGY94" s="102"/>
      <c r="MGZ94" s="102"/>
      <c r="MHA94" s="102"/>
      <c r="MHB94" s="102"/>
      <c r="MHC94" s="102"/>
      <c r="MHD94" s="102"/>
      <c r="MHE94" s="102"/>
      <c r="MHF94" s="102"/>
      <c r="MHG94" s="102"/>
      <c r="MHH94" s="102"/>
      <c r="MHI94" s="102"/>
      <c r="MHJ94" s="102"/>
      <c r="MHK94" s="102"/>
      <c r="MHL94" s="102"/>
      <c r="MHM94" s="102"/>
      <c r="MHN94" s="102"/>
      <c r="MHO94" s="102"/>
      <c r="MHP94" s="102"/>
      <c r="MHQ94" s="102"/>
      <c r="MHR94" s="102"/>
      <c r="MHS94" s="102"/>
      <c r="MHT94" s="102"/>
      <c r="MHU94" s="102"/>
      <c r="MHV94" s="102"/>
      <c r="MHW94" s="102"/>
      <c r="MHX94" s="102"/>
      <c r="MHY94" s="102"/>
      <c r="MHZ94" s="102"/>
      <c r="MIA94" s="102"/>
      <c r="MIB94" s="102"/>
      <c r="MIC94" s="102"/>
      <c r="MID94" s="102"/>
      <c r="MIE94" s="102"/>
      <c r="MIF94" s="102"/>
      <c r="MIG94" s="102"/>
      <c r="MIH94" s="102"/>
      <c r="MII94" s="102"/>
      <c r="MIJ94" s="102"/>
      <c r="MIK94" s="102"/>
      <c r="MIL94" s="102"/>
      <c r="MIM94" s="102"/>
      <c r="MIN94" s="102"/>
      <c r="MIO94" s="102"/>
      <c r="MIP94" s="102"/>
      <c r="MIQ94" s="102"/>
      <c r="MIR94" s="102"/>
      <c r="MIS94" s="102"/>
      <c r="MIT94" s="102"/>
      <c r="MIU94" s="102"/>
      <c r="MIV94" s="102"/>
      <c r="MIW94" s="102"/>
      <c r="MIX94" s="102"/>
      <c r="MIY94" s="102"/>
      <c r="MIZ94" s="102"/>
      <c r="MJA94" s="102"/>
      <c r="MJB94" s="102"/>
      <c r="MJC94" s="102"/>
      <c r="MJD94" s="102"/>
      <c r="MJE94" s="102"/>
      <c r="MJF94" s="102"/>
      <c r="MJG94" s="102"/>
      <c r="MJH94" s="102"/>
      <c r="MJI94" s="102"/>
      <c r="MJJ94" s="102"/>
      <c r="MJK94" s="102"/>
      <c r="MJL94" s="102"/>
      <c r="MJM94" s="102"/>
      <c r="MJN94" s="102"/>
      <c r="MJO94" s="102"/>
      <c r="MJP94" s="102"/>
      <c r="MJQ94" s="102"/>
      <c r="MJR94" s="102"/>
      <c r="MJS94" s="102"/>
      <c r="MJT94" s="102"/>
      <c r="MJU94" s="102"/>
      <c r="MJV94" s="102"/>
      <c r="MJW94" s="102"/>
      <c r="MJX94" s="102"/>
      <c r="MJY94" s="102"/>
      <c r="MJZ94" s="102"/>
      <c r="MKA94" s="102"/>
      <c r="MKB94" s="102"/>
      <c r="MKC94" s="102"/>
      <c r="MKD94" s="102"/>
      <c r="MKE94" s="102"/>
      <c r="MKF94" s="102"/>
      <c r="MKG94" s="102"/>
      <c r="MKH94" s="102"/>
      <c r="MKI94" s="102"/>
      <c r="MKJ94" s="102"/>
      <c r="MKK94" s="102"/>
      <c r="MKL94" s="102"/>
      <c r="MKM94" s="102"/>
      <c r="MKN94" s="102"/>
      <c r="MKO94" s="102"/>
      <c r="MKP94" s="102"/>
      <c r="MKQ94" s="102"/>
      <c r="MKR94" s="102"/>
      <c r="MKS94" s="102"/>
      <c r="MKT94" s="102"/>
      <c r="MKU94" s="102"/>
      <c r="MKV94" s="102"/>
      <c r="MKW94" s="102"/>
      <c r="MKX94" s="102"/>
      <c r="MKY94" s="102"/>
      <c r="MKZ94" s="102"/>
      <c r="MLA94" s="102"/>
      <c r="MLB94" s="102"/>
      <c r="MLC94" s="102"/>
      <c r="MLD94" s="102"/>
      <c r="MLE94" s="102"/>
      <c r="MLF94" s="102"/>
      <c r="MLG94" s="102"/>
      <c r="MLH94" s="102"/>
      <c r="MLI94" s="102"/>
      <c r="MLJ94" s="102"/>
      <c r="MLK94" s="102"/>
      <c r="MLL94" s="102"/>
      <c r="MLM94" s="102"/>
      <c r="MLN94" s="102"/>
      <c r="MLO94" s="102"/>
      <c r="MLP94" s="102"/>
      <c r="MLQ94" s="102"/>
      <c r="MLR94" s="102"/>
      <c r="MLS94" s="102"/>
      <c r="MLT94" s="102"/>
      <c r="MLU94" s="102"/>
      <c r="MLV94" s="102"/>
      <c r="MLW94" s="102"/>
      <c r="MLX94" s="102"/>
      <c r="MLY94" s="102"/>
      <c r="MLZ94" s="102"/>
      <c r="MMA94" s="102"/>
      <c r="MMB94" s="102"/>
      <c r="MMC94" s="102"/>
      <c r="MMD94" s="102"/>
      <c r="MME94" s="102"/>
      <c r="MMF94" s="102"/>
      <c r="MMG94" s="102"/>
      <c r="MMH94" s="102"/>
      <c r="MMI94" s="102"/>
      <c r="MMJ94" s="102"/>
      <c r="MMK94" s="102"/>
      <c r="MML94" s="102"/>
      <c r="MMM94" s="102"/>
      <c r="MMN94" s="102"/>
      <c r="MMO94" s="102"/>
      <c r="MMP94" s="102"/>
      <c r="MMQ94" s="102"/>
      <c r="MMR94" s="102"/>
      <c r="MMS94" s="102"/>
      <c r="MMT94" s="102"/>
      <c r="MMU94" s="102"/>
      <c r="MMV94" s="102"/>
      <c r="MMW94" s="102"/>
      <c r="MMX94" s="102"/>
      <c r="MMY94" s="102"/>
      <c r="MMZ94" s="102"/>
      <c r="MNA94" s="102"/>
      <c r="MNB94" s="102"/>
      <c r="MNC94" s="102"/>
      <c r="MND94" s="102"/>
      <c r="MNE94" s="102"/>
      <c r="MNF94" s="102"/>
      <c r="MNG94" s="102"/>
      <c r="MNH94" s="102"/>
      <c r="MNI94" s="102"/>
      <c r="MNJ94" s="102"/>
      <c r="MNK94" s="102"/>
      <c r="MNL94" s="102"/>
      <c r="MNM94" s="102"/>
      <c r="MNN94" s="102"/>
      <c r="MNO94" s="102"/>
      <c r="MNP94" s="102"/>
      <c r="MNQ94" s="102"/>
      <c r="MNR94" s="102"/>
      <c r="MNS94" s="102"/>
      <c r="MNT94" s="102"/>
      <c r="MNU94" s="102"/>
      <c r="MNV94" s="102"/>
      <c r="MNW94" s="102"/>
      <c r="MNX94" s="102"/>
      <c r="MNY94" s="102"/>
      <c r="MNZ94" s="102"/>
      <c r="MOA94" s="102"/>
      <c r="MOB94" s="102"/>
      <c r="MOC94" s="102"/>
      <c r="MOD94" s="102"/>
      <c r="MOE94" s="102"/>
      <c r="MOF94" s="102"/>
      <c r="MOG94" s="102"/>
      <c r="MOH94" s="102"/>
      <c r="MOI94" s="102"/>
      <c r="MOJ94" s="102"/>
      <c r="MOK94" s="102"/>
      <c r="MOL94" s="102"/>
      <c r="MOM94" s="102"/>
      <c r="MON94" s="102"/>
      <c r="MOO94" s="102"/>
      <c r="MOP94" s="102"/>
      <c r="MOQ94" s="102"/>
      <c r="MOR94" s="102"/>
      <c r="MOS94" s="102"/>
      <c r="MOT94" s="102"/>
      <c r="MOU94" s="102"/>
      <c r="MOV94" s="102"/>
      <c r="MOW94" s="102"/>
      <c r="MOX94" s="102"/>
      <c r="MOY94" s="102"/>
      <c r="MOZ94" s="102"/>
      <c r="MPA94" s="102"/>
      <c r="MPB94" s="102"/>
      <c r="MPC94" s="102"/>
      <c r="MPD94" s="102"/>
      <c r="MPE94" s="102"/>
      <c r="MPF94" s="102"/>
      <c r="MPG94" s="102"/>
      <c r="MPH94" s="102"/>
      <c r="MPI94" s="102"/>
      <c r="MPJ94" s="102"/>
      <c r="MPK94" s="102"/>
      <c r="MPL94" s="102"/>
      <c r="MPM94" s="102"/>
      <c r="MPN94" s="102"/>
      <c r="MPO94" s="102"/>
      <c r="MPP94" s="102"/>
      <c r="MPQ94" s="102"/>
      <c r="MPR94" s="102"/>
      <c r="MPS94" s="102"/>
      <c r="MPT94" s="102"/>
      <c r="MPU94" s="102"/>
      <c r="MPV94" s="102"/>
      <c r="MPW94" s="102"/>
      <c r="MPX94" s="102"/>
      <c r="MPY94" s="102"/>
      <c r="MPZ94" s="102"/>
      <c r="MQA94" s="102"/>
      <c r="MQB94" s="102"/>
      <c r="MQC94" s="102"/>
      <c r="MQD94" s="102"/>
      <c r="MQE94" s="102"/>
      <c r="MQF94" s="102"/>
      <c r="MQG94" s="102"/>
      <c r="MQH94" s="102"/>
      <c r="MQI94" s="102"/>
      <c r="MQJ94" s="102"/>
      <c r="MQK94" s="102"/>
      <c r="MQL94" s="102"/>
      <c r="MQM94" s="102"/>
      <c r="MQN94" s="102"/>
      <c r="MQO94" s="102"/>
      <c r="MQP94" s="102"/>
      <c r="MQQ94" s="102"/>
      <c r="MQR94" s="102"/>
      <c r="MQS94" s="102"/>
      <c r="MQT94" s="102"/>
      <c r="MQU94" s="102"/>
      <c r="MQV94" s="102"/>
      <c r="MQW94" s="102"/>
      <c r="MQX94" s="102"/>
      <c r="MQY94" s="102"/>
      <c r="MQZ94" s="102"/>
      <c r="MRA94" s="102"/>
      <c r="MRB94" s="102"/>
      <c r="MRC94" s="102"/>
      <c r="MRD94" s="102"/>
      <c r="MRE94" s="102"/>
      <c r="MRF94" s="102"/>
      <c r="MRG94" s="102"/>
      <c r="MRH94" s="102"/>
      <c r="MRI94" s="102"/>
      <c r="MRJ94" s="102"/>
      <c r="MRK94" s="102"/>
      <c r="MRL94" s="102"/>
      <c r="MRM94" s="102"/>
      <c r="MRN94" s="102"/>
      <c r="MRO94" s="102"/>
      <c r="MRP94" s="102"/>
      <c r="MRQ94" s="102"/>
      <c r="MRR94" s="102"/>
      <c r="MRS94" s="102"/>
      <c r="MRT94" s="102"/>
      <c r="MRU94" s="102"/>
      <c r="MRV94" s="102"/>
      <c r="MRW94" s="102"/>
      <c r="MRX94" s="102"/>
      <c r="MRY94" s="102"/>
      <c r="MRZ94" s="102"/>
      <c r="MSA94" s="102"/>
      <c r="MSB94" s="102"/>
      <c r="MSC94" s="102"/>
      <c r="MSD94" s="102"/>
      <c r="MSE94" s="102"/>
      <c r="MSF94" s="102"/>
      <c r="MSG94" s="102"/>
      <c r="MSH94" s="102"/>
      <c r="MSI94" s="102"/>
      <c r="MSJ94" s="102"/>
      <c r="MSK94" s="102"/>
      <c r="MSL94" s="102"/>
      <c r="MSM94" s="102"/>
      <c r="MSN94" s="102"/>
      <c r="MSO94" s="102"/>
      <c r="MSP94" s="102"/>
      <c r="MSQ94" s="102"/>
      <c r="MSR94" s="102"/>
      <c r="MSS94" s="102"/>
      <c r="MST94" s="102"/>
      <c r="MSU94" s="102"/>
      <c r="MSV94" s="102"/>
      <c r="MSW94" s="102"/>
      <c r="MSX94" s="102"/>
      <c r="MSY94" s="102"/>
      <c r="MSZ94" s="102"/>
      <c r="MTA94" s="102"/>
      <c r="MTB94" s="102"/>
      <c r="MTC94" s="102"/>
      <c r="MTD94" s="102"/>
      <c r="MTE94" s="102"/>
      <c r="MTF94" s="102"/>
      <c r="MTG94" s="102"/>
      <c r="MTH94" s="102"/>
      <c r="MTI94" s="102"/>
      <c r="MTJ94" s="102"/>
      <c r="MTK94" s="102"/>
      <c r="MTL94" s="102"/>
      <c r="MTM94" s="102"/>
      <c r="MTN94" s="102"/>
      <c r="MTO94" s="102"/>
      <c r="MTP94" s="102"/>
      <c r="MTQ94" s="102"/>
      <c r="MTR94" s="102"/>
      <c r="MTS94" s="102"/>
      <c r="MTT94" s="102"/>
      <c r="MTU94" s="102"/>
      <c r="MTV94" s="102"/>
      <c r="MTW94" s="102"/>
      <c r="MTX94" s="102"/>
      <c r="MTY94" s="102"/>
      <c r="MTZ94" s="102"/>
      <c r="MUA94" s="102"/>
      <c r="MUB94" s="102"/>
      <c r="MUC94" s="102"/>
      <c r="MUD94" s="102"/>
      <c r="MUE94" s="102"/>
      <c r="MUF94" s="102"/>
      <c r="MUG94" s="102"/>
      <c r="MUH94" s="102"/>
      <c r="MUI94" s="102"/>
      <c r="MUJ94" s="102"/>
      <c r="MUK94" s="102"/>
      <c r="MUL94" s="102"/>
      <c r="MUM94" s="102"/>
      <c r="MUN94" s="102"/>
      <c r="MUO94" s="102"/>
      <c r="MUP94" s="102"/>
      <c r="MUQ94" s="102"/>
      <c r="MUR94" s="102"/>
      <c r="MUS94" s="102"/>
      <c r="MUT94" s="102"/>
      <c r="MUU94" s="102"/>
      <c r="MUV94" s="102"/>
      <c r="MUW94" s="102"/>
      <c r="MUX94" s="102"/>
      <c r="MUY94" s="102"/>
      <c r="MUZ94" s="102"/>
      <c r="MVA94" s="102"/>
      <c r="MVB94" s="102"/>
      <c r="MVC94" s="102"/>
      <c r="MVD94" s="102"/>
      <c r="MVE94" s="102"/>
      <c r="MVF94" s="102"/>
      <c r="MVG94" s="102"/>
      <c r="MVH94" s="102"/>
      <c r="MVI94" s="102"/>
      <c r="MVJ94" s="102"/>
      <c r="MVK94" s="102"/>
      <c r="MVL94" s="102"/>
      <c r="MVM94" s="102"/>
      <c r="MVN94" s="102"/>
      <c r="MVO94" s="102"/>
      <c r="MVP94" s="102"/>
      <c r="MVQ94" s="102"/>
      <c r="MVR94" s="102"/>
      <c r="MVS94" s="102"/>
      <c r="MVT94" s="102"/>
      <c r="MVU94" s="102"/>
      <c r="MVV94" s="102"/>
      <c r="MVW94" s="102"/>
      <c r="MVX94" s="102"/>
      <c r="MVY94" s="102"/>
      <c r="MVZ94" s="102"/>
      <c r="MWA94" s="102"/>
      <c r="MWB94" s="102"/>
      <c r="MWC94" s="102"/>
      <c r="MWD94" s="102"/>
      <c r="MWE94" s="102"/>
      <c r="MWF94" s="102"/>
      <c r="MWG94" s="102"/>
      <c r="MWH94" s="102"/>
      <c r="MWI94" s="102"/>
      <c r="MWJ94" s="102"/>
      <c r="MWK94" s="102"/>
      <c r="MWL94" s="102"/>
      <c r="MWM94" s="102"/>
      <c r="MWN94" s="102"/>
      <c r="MWO94" s="102"/>
      <c r="MWP94" s="102"/>
      <c r="MWQ94" s="102"/>
      <c r="MWR94" s="102"/>
      <c r="MWS94" s="102"/>
      <c r="MWT94" s="102"/>
      <c r="MWU94" s="102"/>
      <c r="MWV94" s="102"/>
      <c r="MWW94" s="102"/>
      <c r="MWX94" s="102"/>
      <c r="MWY94" s="102"/>
      <c r="MWZ94" s="102"/>
      <c r="MXA94" s="102"/>
      <c r="MXB94" s="102"/>
      <c r="MXC94" s="102"/>
      <c r="MXD94" s="102"/>
      <c r="MXE94" s="102"/>
      <c r="MXF94" s="102"/>
      <c r="MXG94" s="102"/>
      <c r="MXH94" s="102"/>
      <c r="MXI94" s="102"/>
      <c r="MXJ94" s="102"/>
      <c r="MXK94" s="102"/>
      <c r="MXL94" s="102"/>
      <c r="MXM94" s="102"/>
      <c r="MXN94" s="102"/>
      <c r="MXO94" s="102"/>
      <c r="MXP94" s="102"/>
      <c r="MXQ94" s="102"/>
      <c r="MXR94" s="102"/>
      <c r="MXS94" s="102"/>
      <c r="MXT94" s="102"/>
      <c r="MXU94" s="102"/>
      <c r="MXV94" s="102"/>
      <c r="MXW94" s="102"/>
      <c r="MXX94" s="102"/>
      <c r="MXY94" s="102"/>
      <c r="MXZ94" s="102"/>
      <c r="MYA94" s="102"/>
      <c r="MYB94" s="102"/>
      <c r="MYC94" s="102"/>
      <c r="MYD94" s="102"/>
      <c r="MYE94" s="102"/>
      <c r="MYF94" s="102"/>
      <c r="MYG94" s="102"/>
      <c r="MYH94" s="102"/>
      <c r="MYI94" s="102"/>
      <c r="MYJ94" s="102"/>
      <c r="MYK94" s="102"/>
      <c r="MYL94" s="102"/>
      <c r="MYM94" s="102"/>
      <c r="MYN94" s="102"/>
      <c r="MYO94" s="102"/>
      <c r="MYP94" s="102"/>
      <c r="MYQ94" s="102"/>
      <c r="MYR94" s="102"/>
      <c r="MYS94" s="102"/>
      <c r="MYT94" s="102"/>
      <c r="MYU94" s="102"/>
      <c r="MYV94" s="102"/>
      <c r="MYW94" s="102"/>
      <c r="MYX94" s="102"/>
      <c r="MYY94" s="102"/>
      <c r="MYZ94" s="102"/>
      <c r="MZA94" s="102"/>
      <c r="MZB94" s="102"/>
      <c r="MZC94" s="102"/>
      <c r="MZD94" s="102"/>
      <c r="MZE94" s="102"/>
      <c r="MZF94" s="102"/>
      <c r="MZG94" s="102"/>
      <c r="MZH94" s="102"/>
      <c r="MZI94" s="102"/>
      <c r="MZJ94" s="102"/>
      <c r="MZK94" s="102"/>
      <c r="MZL94" s="102"/>
      <c r="MZM94" s="102"/>
      <c r="MZN94" s="102"/>
      <c r="MZO94" s="102"/>
      <c r="MZP94" s="102"/>
      <c r="MZQ94" s="102"/>
      <c r="MZR94" s="102"/>
      <c r="MZS94" s="102"/>
      <c r="MZT94" s="102"/>
      <c r="MZU94" s="102"/>
      <c r="MZV94" s="102"/>
      <c r="MZW94" s="102"/>
      <c r="MZX94" s="102"/>
      <c r="MZY94" s="102"/>
      <c r="MZZ94" s="102"/>
      <c r="NAA94" s="102"/>
      <c r="NAB94" s="102"/>
      <c r="NAC94" s="102"/>
      <c r="NAD94" s="102"/>
      <c r="NAE94" s="102"/>
      <c r="NAF94" s="102"/>
      <c r="NAG94" s="102"/>
      <c r="NAH94" s="102"/>
      <c r="NAI94" s="102"/>
      <c r="NAJ94" s="102"/>
      <c r="NAK94" s="102"/>
      <c r="NAL94" s="102"/>
      <c r="NAM94" s="102"/>
      <c r="NAN94" s="102"/>
      <c r="NAO94" s="102"/>
      <c r="NAP94" s="102"/>
      <c r="NAQ94" s="102"/>
      <c r="NAR94" s="102"/>
      <c r="NAS94" s="102"/>
      <c r="NAT94" s="102"/>
      <c r="NAU94" s="102"/>
      <c r="NAV94" s="102"/>
      <c r="NAW94" s="102"/>
      <c r="NAX94" s="102"/>
      <c r="NAY94" s="102"/>
      <c r="NAZ94" s="102"/>
      <c r="NBA94" s="102"/>
      <c r="NBB94" s="102"/>
      <c r="NBC94" s="102"/>
      <c r="NBD94" s="102"/>
      <c r="NBE94" s="102"/>
      <c r="NBF94" s="102"/>
      <c r="NBG94" s="102"/>
      <c r="NBH94" s="102"/>
      <c r="NBI94" s="102"/>
      <c r="NBJ94" s="102"/>
      <c r="NBK94" s="102"/>
      <c r="NBL94" s="102"/>
      <c r="NBM94" s="102"/>
      <c r="NBN94" s="102"/>
      <c r="NBO94" s="102"/>
      <c r="NBP94" s="102"/>
      <c r="NBQ94" s="102"/>
      <c r="NBR94" s="102"/>
      <c r="NBS94" s="102"/>
      <c r="NBT94" s="102"/>
      <c r="NBU94" s="102"/>
      <c r="NBV94" s="102"/>
      <c r="NBW94" s="102"/>
      <c r="NBX94" s="102"/>
      <c r="NBY94" s="102"/>
      <c r="NBZ94" s="102"/>
      <c r="NCA94" s="102"/>
      <c r="NCB94" s="102"/>
      <c r="NCC94" s="102"/>
      <c r="NCD94" s="102"/>
      <c r="NCE94" s="102"/>
      <c r="NCF94" s="102"/>
      <c r="NCG94" s="102"/>
      <c r="NCH94" s="102"/>
      <c r="NCI94" s="102"/>
      <c r="NCJ94" s="102"/>
      <c r="NCK94" s="102"/>
      <c r="NCL94" s="102"/>
      <c r="NCM94" s="102"/>
      <c r="NCN94" s="102"/>
      <c r="NCO94" s="102"/>
      <c r="NCP94" s="102"/>
      <c r="NCQ94" s="102"/>
      <c r="NCR94" s="102"/>
      <c r="NCS94" s="102"/>
      <c r="NCT94" s="102"/>
      <c r="NCU94" s="102"/>
      <c r="NCV94" s="102"/>
      <c r="NCW94" s="102"/>
      <c r="NCX94" s="102"/>
      <c r="NCY94" s="102"/>
      <c r="NCZ94" s="102"/>
      <c r="NDA94" s="102"/>
      <c r="NDB94" s="102"/>
      <c r="NDC94" s="102"/>
      <c r="NDD94" s="102"/>
      <c r="NDE94" s="102"/>
      <c r="NDF94" s="102"/>
      <c r="NDG94" s="102"/>
      <c r="NDH94" s="102"/>
      <c r="NDI94" s="102"/>
      <c r="NDJ94" s="102"/>
      <c r="NDK94" s="102"/>
      <c r="NDL94" s="102"/>
      <c r="NDM94" s="102"/>
      <c r="NDN94" s="102"/>
      <c r="NDO94" s="102"/>
      <c r="NDP94" s="102"/>
      <c r="NDQ94" s="102"/>
      <c r="NDR94" s="102"/>
      <c r="NDS94" s="102"/>
      <c r="NDT94" s="102"/>
      <c r="NDU94" s="102"/>
      <c r="NDV94" s="102"/>
      <c r="NDW94" s="102"/>
      <c r="NDX94" s="102"/>
      <c r="NDY94" s="102"/>
      <c r="NDZ94" s="102"/>
      <c r="NEA94" s="102"/>
      <c r="NEB94" s="102"/>
      <c r="NEC94" s="102"/>
      <c r="NED94" s="102"/>
      <c r="NEE94" s="102"/>
      <c r="NEF94" s="102"/>
      <c r="NEG94" s="102"/>
      <c r="NEH94" s="102"/>
      <c r="NEI94" s="102"/>
      <c r="NEJ94" s="102"/>
      <c r="NEK94" s="102"/>
      <c r="NEL94" s="102"/>
      <c r="NEM94" s="102"/>
      <c r="NEN94" s="102"/>
      <c r="NEO94" s="102"/>
      <c r="NEP94" s="102"/>
      <c r="NEQ94" s="102"/>
      <c r="NER94" s="102"/>
      <c r="NES94" s="102"/>
      <c r="NET94" s="102"/>
      <c r="NEU94" s="102"/>
      <c r="NEV94" s="102"/>
      <c r="NEW94" s="102"/>
      <c r="NEX94" s="102"/>
      <c r="NEY94" s="102"/>
      <c r="NEZ94" s="102"/>
      <c r="NFA94" s="102"/>
      <c r="NFB94" s="102"/>
      <c r="NFC94" s="102"/>
      <c r="NFD94" s="102"/>
      <c r="NFE94" s="102"/>
      <c r="NFF94" s="102"/>
      <c r="NFG94" s="102"/>
      <c r="NFH94" s="102"/>
      <c r="NFI94" s="102"/>
      <c r="NFJ94" s="102"/>
      <c r="NFK94" s="102"/>
      <c r="NFL94" s="102"/>
      <c r="NFM94" s="102"/>
      <c r="NFN94" s="102"/>
      <c r="NFO94" s="102"/>
      <c r="NFP94" s="102"/>
      <c r="NFQ94" s="102"/>
      <c r="NFR94" s="102"/>
      <c r="NFS94" s="102"/>
      <c r="NFT94" s="102"/>
      <c r="NFU94" s="102"/>
      <c r="NFV94" s="102"/>
      <c r="NFW94" s="102"/>
      <c r="NFX94" s="102"/>
      <c r="NFY94" s="102"/>
      <c r="NFZ94" s="102"/>
      <c r="NGA94" s="102"/>
      <c r="NGB94" s="102"/>
      <c r="NGC94" s="102"/>
      <c r="NGD94" s="102"/>
      <c r="NGE94" s="102"/>
      <c r="NGF94" s="102"/>
      <c r="NGG94" s="102"/>
      <c r="NGH94" s="102"/>
      <c r="NGI94" s="102"/>
      <c r="NGJ94" s="102"/>
      <c r="NGK94" s="102"/>
      <c r="NGL94" s="102"/>
      <c r="NGM94" s="102"/>
      <c r="NGN94" s="102"/>
      <c r="NGO94" s="102"/>
      <c r="NGP94" s="102"/>
      <c r="NGQ94" s="102"/>
      <c r="NGR94" s="102"/>
      <c r="NGS94" s="102"/>
      <c r="NGT94" s="102"/>
      <c r="NGU94" s="102"/>
      <c r="NGV94" s="102"/>
      <c r="NGW94" s="102"/>
      <c r="NGX94" s="102"/>
      <c r="NGY94" s="102"/>
      <c r="NGZ94" s="102"/>
      <c r="NHA94" s="102"/>
      <c r="NHB94" s="102"/>
      <c r="NHC94" s="102"/>
      <c r="NHD94" s="102"/>
      <c r="NHE94" s="102"/>
      <c r="NHF94" s="102"/>
      <c r="NHG94" s="102"/>
      <c r="NHH94" s="102"/>
      <c r="NHI94" s="102"/>
      <c r="NHJ94" s="102"/>
      <c r="NHK94" s="102"/>
      <c r="NHL94" s="102"/>
      <c r="NHM94" s="102"/>
      <c r="NHN94" s="102"/>
      <c r="NHO94" s="102"/>
      <c r="NHP94" s="102"/>
      <c r="NHQ94" s="102"/>
      <c r="NHR94" s="102"/>
      <c r="NHS94" s="102"/>
      <c r="NHT94" s="102"/>
      <c r="NHU94" s="102"/>
      <c r="NHV94" s="102"/>
      <c r="NHW94" s="102"/>
      <c r="NHX94" s="102"/>
      <c r="NHY94" s="102"/>
      <c r="NHZ94" s="102"/>
      <c r="NIA94" s="102"/>
      <c r="NIB94" s="102"/>
      <c r="NIC94" s="102"/>
      <c r="NID94" s="102"/>
      <c r="NIE94" s="102"/>
      <c r="NIF94" s="102"/>
      <c r="NIG94" s="102"/>
      <c r="NIH94" s="102"/>
      <c r="NII94" s="102"/>
      <c r="NIJ94" s="102"/>
      <c r="NIK94" s="102"/>
      <c r="NIL94" s="102"/>
      <c r="NIM94" s="102"/>
      <c r="NIN94" s="102"/>
      <c r="NIO94" s="102"/>
      <c r="NIP94" s="102"/>
      <c r="NIQ94" s="102"/>
      <c r="NIR94" s="102"/>
      <c r="NIS94" s="102"/>
      <c r="NIT94" s="102"/>
      <c r="NIU94" s="102"/>
      <c r="NIV94" s="102"/>
      <c r="NIW94" s="102"/>
      <c r="NIX94" s="102"/>
      <c r="NIY94" s="102"/>
      <c r="NIZ94" s="102"/>
      <c r="NJA94" s="102"/>
      <c r="NJB94" s="102"/>
      <c r="NJC94" s="102"/>
      <c r="NJD94" s="102"/>
      <c r="NJE94" s="102"/>
      <c r="NJF94" s="102"/>
      <c r="NJG94" s="102"/>
      <c r="NJH94" s="102"/>
      <c r="NJI94" s="102"/>
      <c r="NJJ94" s="102"/>
      <c r="NJK94" s="102"/>
      <c r="NJL94" s="102"/>
      <c r="NJM94" s="102"/>
      <c r="NJN94" s="102"/>
      <c r="NJO94" s="102"/>
      <c r="NJP94" s="102"/>
      <c r="NJQ94" s="102"/>
      <c r="NJR94" s="102"/>
      <c r="NJS94" s="102"/>
      <c r="NJT94" s="102"/>
      <c r="NJU94" s="102"/>
      <c r="NJV94" s="102"/>
      <c r="NJW94" s="102"/>
      <c r="NJX94" s="102"/>
      <c r="NJY94" s="102"/>
      <c r="NJZ94" s="102"/>
      <c r="NKA94" s="102"/>
      <c r="NKB94" s="102"/>
      <c r="NKC94" s="102"/>
      <c r="NKD94" s="102"/>
      <c r="NKE94" s="102"/>
      <c r="NKF94" s="102"/>
      <c r="NKG94" s="102"/>
      <c r="NKH94" s="102"/>
      <c r="NKI94" s="102"/>
      <c r="NKJ94" s="102"/>
      <c r="NKK94" s="102"/>
      <c r="NKL94" s="102"/>
      <c r="NKM94" s="102"/>
      <c r="NKN94" s="102"/>
      <c r="NKO94" s="102"/>
      <c r="NKP94" s="102"/>
      <c r="NKQ94" s="102"/>
      <c r="NKR94" s="102"/>
      <c r="NKS94" s="102"/>
      <c r="NKT94" s="102"/>
      <c r="NKU94" s="102"/>
      <c r="NKV94" s="102"/>
      <c r="NKW94" s="102"/>
      <c r="NKX94" s="102"/>
      <c r="NKY94" s="102"/>
      <c r="NKZ94" s="102"/>
      <c r="NLA94" s="102"/>
      <c r="NLB94" s="102"/>
      <c r="NLC94" s="102"/>
      <c r="NLD94" s="102"/>
      <c r="NLE94" s="102"/>
      <c r="NLF94" s="102"/>
      <c r="NLG94" s="102"/>
      <c r="NLH94" s="102"/>
      <c r="NLI94" s="102"/>
      <c r="NLJ94" s="102"/>
      <c r="NLK94" s="102"/>
      <c r="NLL94" s="102"/>
      <c r="NLM94" s="102"/>
      <c r="NLN94" s="102"/>
      <c r="NLO94" s="102"/>
      <c r="NLP94" s="102"/>
      <c r="NLQ94" s="102"/>
      <c r="NLR94" s="102"/>
      <c r="NLS94" s="102"/>
      <c r="NLT94" s="102"/>
      <c r="NLU94" s="102"/>
      <c r="NLV94" s="102"/>
      <c r="NLW94" s="102"/>
      <c r="NLX94" s="102"/>
      <c r="NLY94" s="102"/>
      <c r="NLZ94" s="102"/>
      <c r="NMA94" s="102"/>
      <c r="NMB94" s="102"/>
      <c r="NMC94" s="102"/>
      <c r="NMD94" s="102"/>
      <c r="NME94" s="102"/>
      <c r="NMF94" s="102"/>
      <c r="NMG94" s="102"/>
      <c r="NMH94" s="102"/>
      <c r="NMI94" s="102"/>
      <c r="NMJ94" s="102"/>
      <c r="NMK94" s="102"/>
      <c r="NML94" s="102"/>
      <c r="NMM94" s="102"/>
      <c r="NMN94" s="102"/>
      <c r="NMO94" s="102"/>
      <c r="NMP94" s="102"/>
      <c r="NMQ94" s="102"/>
      <c r="NMR94" s="102"/>
      <c r="NMS94" s="102"/>
      <c r="NMT94" s="102"/>
      <c r="NMU94" s="102"/>
      <c r="NMV94" s="102"/>
      <c r="NMW94" s="102"/>
      <c r="NMX94" s="102"/>
      <c r="NMY94" s="102"/>
      <c r="NMZ94" s="102"/>
      <c r="NNA94" s="102"/>
      <c r="NNB94" s="102"/>
      <c r="NNC94" s="102"/>
      <c r="NND94" s="102"/>
      <c r="NNE94" s="102"/>
      <c r="NNF94" s="102"/>
      <c r="NNG94" s="102"/>
      <c r="NNH94" s="102"/>
      <c r="NNI94" s="102"/>
      <c r="NNJ94" s="102"/>
      <c r="NNK94" s="102"/>
      <c r="NNL94" s="102"/>
      <c r="NNM94" s="102"/>
      <c r="NNN94" s="102"/>
      <c r="NNO94" s="102"/>
      <c r="NNP94" s="102"/>
      <c r="NNQ94" s="102"/>
      <c r="NNR94" s="102"/>
      <c r="NNS94" s="102"/>
      <c r="NNT94" s="102"/>
      <c r="NNU94" s="102"/>
      <c r="NNV94" s="102"/>
      <c r="NNW94" s="102"/>
      <c r="NNX94" s="102"/>
      <c r="NNY94" s="102"/>
      <c r="NNZ94" s="102"/>
      <c r="NOA94" s="102"/>
      <c r="NOB94" s="102"/>
      <c r="NOC94" s="102"/>
      <c r="NOD94" s="102"/>
      <c r="NOE94" s="102"/>
      <c r="NOF94" s="102"/>
      <c r="NOG94" s="102"/>
      <c r="NOH94" s="102"/>
      <c r="NOI94" s="102"/>
      <c r="NOJ94" s="102"/>
      <c r="NOK94" s="102"/>
      <c r="NOL94" s="102"/>
      <c r="NOM94" s="102"/>
      <c r="NON94" s="102"/>
      <c r="NOO94" s="102"/>
      <c r="NOP94" s="102"/>
      <c r="NOQ94" s="102"/>
      <c r="NOR94" s="102"/>
      <c r="NOS94" s="102"/>
      <c r="NOT94" s="102"/>
      <c r="NOU94" s="102"/>
      <c r="NOV94" s="102"/>
      <c r="NOW94" s="102"/>
      <c r="NOX94" s="102"/>
      <c r="NOY94" s="102"/>
      <c r="NOZ94" s="102"/>
      <c r="NPA94" s="102"/>
      <c r="NPB94" s="102"/>
      <c r="NPC94" s="102"/>
      <c r="NPD94" s="102"/>
      <c r="NPE94" s="102"/>
      <c r="NPF94" s="102"/>
      <c r="NPG94" s="102"/>
      <c r="NPH94" s="102"/>
      <c r="NPI94" s="102"/>
      <c r="NPJ94" s="102"/>
      <c r="NPK94" s="102"/>
      <c r="NPL94" s="102"/>
      <c r="NPM94" s="102"/>
      <c r="NPN94" s="102"/>
      <c r="NPO94" s="102"/>
      <c r="NPP94" s="102"/>
      <c r="NPQ94" s="102"/>
      <c r="NPR94" s="102"/>
      <c r="NPS94" s="102"/>
      <c r="NPT94" s="102"/>
      <c r="NPU94" s="102"/>
      <c r="NPV94" s="102"/>
      <c r="NPW94" s="102"/>
      <c r="NPX94" s="102"/>
      <c r="NPY94" s="102"/>
      <c r="NPZ94" s="102"/>
      <c r="NQA94" s="102"/>
      <c r="NQB94" s="102"/>
      <c r="NQC94" s="102"/>
      <c r="NQD94" s="102"/>
      <c r="NQE94" s="102"/>
      <c r="NQF94" s="102"/>
      <c r="NQG94" s="102"/>
      <c r="NQH94" s="102"/>
      <c r="NQI94" s="102"/>
      <c r="NQJ94" s="102"/>
      <c r="NQK94" s="102"/>
      <c r="NQL94" s="102"/>
      <c r="NQM94" s="102"/>
      <c r="NQN94" s="102"/>
      <c r="NQO94" s="102"/>
      <c r="NQP94" s="102"/>
      <c r="NQQ94" s="102"/>
      <c r="NQR94" s="102"/>
      <c r="NQS94" s="102"/>
      <c r="NQT94" s="102"/>
      <c r="NQU94" s="102"/>
      <c r="NQV94" s="102"/>
      <c r="NQW94" s="102"/>
      <c r="NQX94" s="102"/>
      <c r="NQY94" s="102"/>
      <c r="NQZ94" s="102"/>
      <c r="NRA94" s="102"/>
      <c r="NRB94" s="102"/>
      <c r="NRC94" s="102"/>
      <c r="NRD94" s="102"/>
      <c r="NRE94" s="102"/>
    </row>
    <row r="95" spans="1:9937" ht="25" customHeight="1" thickTop="1" x14ac:dyDescent="0.45">
      <c r="A95" s="204" t="s">
        <v>643</v>
      </c>
      <c r="B95" s="68" t="s">
        <v>456</v>
      </c>
      <c r="C95" s="417">
        <f t="shared" ref="C95" si="55">C6*C48</f>
        <v>0</v>
      </c>
      <c r="D95" s="417">
        <f>D6*D48</f>
        <v>0</v>
      </c>
      <c r="E95" s="417">
        <f>IF(E4=0,0,E6*E48)</f>
        <v>0</v>
      </c>
      <c r="F95" s="366">
        <f>IF(F4=0,0,F6*F48)</f>
        <v>0</v>
      </c>
    </row>
    <row r="96" spans="1:9937" ht="25" customHeight="1" x14ac:dyDescent="0.45">
      <c r="A96" s="205" t="s">
        <v>642</v>
      </c>
      <c r="B96" s="206" t="s">
        <v>457</v>
      </c>
      <c r="C96" s="392">
        <f>C94-C95</f>
        <v>0</v>
      </c>
      <c r="D96" s="392">
        <f t="shared" ref="D96:E96" si="56">D94-D95</f>
        <v>0</v>
      </c>
      <c r="E96" s="392">
        <f t="shared" si="56"/>
        <v>0</v>
      </c>
      <c r="F96" s="476">
        <f t="shared" ref="F96" si="57">F94-F95</f>
        <v>0</v>
      </c>
    </row>
    <row r="97" spans="1:6" ht="25" customHeight="1" x14ac:dyDescent="0.45">
      <c r="A97" s="349" t="s">
        <v>939</v>
      </c>
      <c r="B97" s="69"/>
      <c r="C97" s="505">
        <f>C85+C89+C93</f>
        <v>0</v>
      </c>
      <c r="D97" s="505">
        <f t="shared" ref="D97:F97" si="58">D85+D89+D93</f>
        <v>0</v>
      </c>
      <c r="E97" s="505">
        <f t="shared" si="58"/>
        <v>0</v>
      </c>
      <c r="F97" s="629">
        <f t="shared" si="58"/>
        <v>0</v>
      </c>
    </row>
    <row r="98" spans="1:6" ht="25" customHeight="1" x14ac:dyDescent="0.45">
      <c r="A98" s="349" t="s">
        <v>940</v>
      </c>
      <c r="B98" s="818"/>
      <c r="C98" s="819">
        <f>VLOOKUP($A$3,INITIAL_EST_PY,168,FALSE)</f>
        <v>0</v>
      </c>
      <c r="D98" s="819">
        <f>C98</f>
        <v>0</v>
      </c>
      <c r="E98" s="819">
        <f>D98</f>
        <v>0</v>
      </c>
      <c r="F98" s="820">
        <f>E98</f>
        <v>0</v>
      </c>
    </row>
    <row r="99" spans="1:6" ht="25" customHeight="1" thickBot="1" x14ac:dyDescent="0.5">
      <c r="A99" s="350" t="s">
        <v>478</v>
      </c>
      <c r="B99" s="207"/>
      <c r="C99" s="506">
        <f>IFERROR(C98/C4,0)</f>
        <v>0</v>
      </c>
      <c r="D99" s="506">
        <f t="shared" ref="D99:E99" si="59">IFERROR(D97/D4,0)</f>
        <v>0</v>
      </c>
      <c r="E99" s="506">
        <f t="shared" si="59"/>
        <v>0</v>
      </c>
      <c r="F99" s="507">
        <f t="shared" ref="F99" si="60">IFERROR(F97/F4,0)</f>
        <v>0</v>
      </c>
    </row>
    <row r="100" spans="1:6" ht="20.149999999999999" customHeight="1" thickTop="1" x14ac:dyDescent="0.45"/>
    <row r="101" spans="1:6" ht="20.149999999999999" customHeight="1" x14ac:dyDescent="0.45">
      <c r="A101" s="11"/>
      <c r="C101" s="524"/>
    </row>
    <row r="103" spans="1:6" ht="20.149999999999999" customHeight="1" x14ac:dyDescent="0.45">
      <c r="C103" s="525"/>
    </row>
  </sheetData>
  <sheetProtection algorithmName="SHA-512" hashValue="afz9CSUdQF8qhRUCUtP9K2QZP+GJFR573FesR+yEvl01hl5o1AXDVdJtxbOR8nm5IiOTF/S4Z1wZcO+btu+h8A==" saltValue="EaW6HxQXq3zrvtvdOOOaYQ==" spinCount="100000" sheet="1" objects="1" scenarios="1"/>
  <phoneticPr fontId="6" type="noConversion"/>
  <pageMargins left="0.25" right="0.25" top="1" bottom="0.71" header="0.3" footer="0.3"/>
  <pageSetup scale="61" fitToHeight="0" orientation="landscape" horizontalDpi="360" verticalDpi="360" r:id="rId1"/>
  <headerFooter>
    <oddHeader xml:space="preserve">&amp;C&amp;"Arial Nova,Bold"&amp;16 Prior Law (Before HB 3) Summary of Finance &amp;14
</oddHeader>
    <oddFooter>&amp;L&amp;"Arial Nova,Regular"&amp;11&amp;D
&amp;T&amp;C2021-2022 Version 3 
February 2022&amp;R&amp;"Arial Nova,Regular"&amp;11&amp;P of &amp;N</oddFooter>
  </headerFooter>
  <rowBreaks count="2" manualBreakCount="2">
    <brk id="32" max="5" man="1"/>
    <brk id="71" max="5"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pageSetUpPr fitToPage="1"/>
  </sheetPr>
  <dimension ref="A1:AO48"/>
  <sheetViews>
    <sheetView zoomScaleNormal="100" workbookViewId="0">
      <selection activeCell="H11" sqref="H11"/>
    </sheetView>
  </sheetViews>
  <sheetFormatPr defaultColWidth="14.81640625" defaultRowHeight="25" customHeight="1" x14ac:dyDescent="0.45"/>
  <cols>
    <col min="1" max="1" width="57.453125" style="75" bestFit="1" customWidth="1"/>
    <col min="2" max="8" width="20.7265625" style="75" customWidth="1"/>
    <col min="9" max="9" width="34" style="75" customWidth="1"/>
    <col min="10" max="10" width="14.81640625" style="75" customWidth="1"/>
    <col min="11" max="13" width="14.81640625" style="75"/>
    <col min="14" max="14" width="14.81640625" style="75" customWidth="1"/>
    <col min="15" max="15" width="3.1796875" style="75" customWidth="1"/>
    <col min="16" max="17" width="14.81640625" style="75"/>
    <col min="18" max="18" width="1.26953125" style="75" customWidth="1"/>
    <col min="19" max="20" width="14.81640625" style="75"/>
    <col min="21" max="21" width="14.81640625" style="75" customWidth="1"/>
    <col min="22" max="40" width="14.81640625" style="76"/>
    <col min="41" max="41" width="15.54296875" style="76" bestFit="1" customWidth="1"/>
    <col min="42" max="16384" width="14.81640625" style="76"/>
  </cols>
  <sheetData>
    <row r="1" spans="1:41" ht="25" customHeight="1" x14ac:dyDescent="0.45">
      <c r="A1" s="176" t="s">
        <v>770</v>
      </c>
    </row>
    <row r="2" spans="1:41" ht="25" customHeight="1" x14ac:dyDescent="0.45">
      <c r="A2" s="87" t="s">
        <v>717</v>
      </c>
      <c r="B2" s="84"/>
      <c r="C2" s="84"/>
      <c r="D2" s="84"/>
      <c r="E2" s="84"/>
      <c r="F2" s="84"/>
      <c r="G2" s="84"/>
      <c r="H2" s="84"/>
      <c r="I2" s="84"/>
      <c r="J2" s="84"/>
      <c r="K2" s="84"/>
      <c r="L2" s="84"/>
      <c r="M2" s="84"/>
      <c r="N2" s="84"/>
      <c r="O2" s="84"/>
      <c r="P2" s="84"/>
      <c r="Q2" s="84"/>
      <c r="R2" s="84"/>
    </row>
    <row r="3" spans="1:41" ht="55.5" x14ac:dyDescent="0.45">
      <c r="A3" s="120"/>
      <c r="B3" s="121" t="s">
        <v>733</v>
      </c>
      <c r="C3" s="121" t="s">
        <v>734</v>
      </c>
      <c r="D3" s="121" t="s">
        <v>735</v>
      </c>
      <c r="E3" s="121" t="s">
        <v>736</v>
      </c>
      <c r="F3" s="121" t="s">
        <v>737</v>
      </c>
      <c r="G3" s="121" t="s">
        <v>738</v>
      </c>
      <c r="H3" s="122" t="s">
        <v>732</v>
      </c>
      <c r="I3" s="84"/>
      <c r="J3" s="86"/>
      <c r="K3" s="72"/>
      <c r="L3" s="72"/>
      <c r="M3" s="72"/>
      <c r="N3" s="72"/>
      <c r="O3" s="72"/>
      <c r="P3" s="72"/>
      <c r="Q3" s="72"/>
      <c r="R3" s="72"/>
      <c r="AO3" s="77"/>
    </row>
    <row r="4" spans="1:41" ht="10" customHeight="1" x14ac:dyDescent="0.45">
      <c r="A4" s="123"/>
      <c r="B4" s="124"/>
      <c r="C4" s="124"/>
      <c r="D4" s="124"/>
      <c r="E4" s="124"/>
      <c r="F4" s="124"/>
      <c r="G4" s="124"/>
      <c r="H4" s="125"/>
      <c r="J4" s="72"/>
      <c r="K4" s="72"/>
      <c r="L4" s="72"/>
      <c r="M4" s="72"/>
      <c r="N4" s="72"/>
      <c r="O4" s="72"/>
      <c r="P4" s="72"/>
      <c r="Q4" s="72"/>
      <c r="R4" s="72"/>
    </row>
    <row r="5" spans="1:41" ht="25" customHeight="1" x14ac:dyDescent="0.45">
      <c r="A5" s="126" t="s">
        <v>392</v>
      </c>
      <c r="B5" s="127"/>
      <c r="C5" s="127"/>
      <c r="D5" s="127"/>
      <c r="E5" s="127"/>
      <c r="F5" s="127"/>
      <c r="G5" s="127"/>
      <c r="H5" s="128"/>
      <c r="I5" s="79"/>
      <c r="J5" s="72"/>
      <c r="K5" s="72"/>
      <c r="L5" s="72"/>
      <c r="M5" s="72"/>
      <c r="N5" s="72"/>
      <c r="O5" s="72"/>
      <c r="P5" s="72"/>
      <c r="Q5" s="72"/>
      <c r="R5" s="72"/>
    </row>
    <row r="6" spans="1:41" ht="25" customHeight="1" x14ac:dyDescent="0.45">
      <c r="A6" s="129" t="s">
        <v>393</v>
      </c>
      <c r="B6" s="124">
        <v>0</v>
      </c>
      <c r="C6" s="124">
        <f t="shared" ref="C6:G7" si="0">B6</f>
        <v>0</v>
      </c>
      <c r="D6" s="124">
        <f t="shared" si="0"/>
        <v>0</v>
      </c>
      <c r="E6" s="124">
        <f t="shared" si="0"/>
        <v>0</v>
      </c>
      <c r="F6" s="124">
        <f t="shared" si="0"/>
        <v>0</v>
      </c>
      <c r="G6" s="124">
        <f t="shared" si="0"/>
        <v>0</v>
      </c>
      <c r="H6" s="130">
        <f>AVERAGE(B6:G6)</f>
        <v>0</v>
      </c>
      <c r="I6" s="80"/>
      <c r="J6" s="72"/>
      <c r="K6" s="72"/>
      <c r="L6" s="72"/>
      <c r="M6" s="72"/>
      <c r="N6" s="72"/>
      <c r="O6" s="72"/>
      <c r="P6" s="72"/>
      <c r="Q6" s="72"/>
      <c r="R6" s="72"/>
    </row>
    <row r="7" spans="1:41" ht="25" customHeight="1" x14ac:dyDescent="0.45">
      <c r="A7" s="129" t="s">
        <v>394</v>
      </c>
      <c r="B7" s="124">
        <v>0</v>
      </c>
      <c r="C7" s="124">
        <f t="shared" si="0"/>
        <v>0</v>
      </c>
      <c r="D7" s="124">
        <f>Estimates!B1161</f>
        <v>0</v>
      </c>
      <c r="E7" s="124">
        <f t="shared" si="0"/>
        <v>0</v>
      </c>
      <c r="F7" s="124">
        <f t="shared" si="0"/>
        <v>0</v>
      </c>
      <c r="G7" s="124">
        <f t="shared" si="0"/>
        <v>0</v>
      </c>
      <c r="H7" s="130">
        <f t="shared" ref="H7:H26" si="1">AVERAGE(B7:G7)</f>
        <v>0</v>
      </c>
      <c r="I7" s="80"/>
      <c r="J7" s="72"/>
      <c r="K7" s="72"/>
      <c r="L7" s="72"/>
      <c r="M7" s="72"/>
      <c r="N7" s="72"/>
      <c r="O7" s="72"/>
      <c r="P7" s="72"/>
      <c r="Q7" s="72"/>
      <c r="R7" s="72"/>
    </row>
    <row r="8" spans="1:41" ht="25" customHeight="1" x14ac:dyDescent="0.45">
      <c r="A8" s="129" t="s">
        <v>395</v>
      </c>
      <c r="B8" s="124">
        <f>B6-B7</f>
        <v>0</v>
      </c>
      <c r="C8" s="124">
        <f t="shared" ref="C8:G8" si="2">C6-C7</f>
        <v>0</v>
      </c>
      <c r="D8" s="124">
        <f t="shared" si="2"/>
        <v>0</v>
      </c>
      <c r="E8" s="124">
        <f t="shared" si="2"/>
        <v>0</v>
      </c>
      <c r="F8" s="124">
        <f t="shared" si="2"/>
        <v>0</v>
      </c>
      <c r="G8" s="124">
        <f t="shared" si="2"/>
        <v>0</v>
      </c>
      <c r="H8" s="130">
        <f t="shared" si="1"/>
        <v>0</v>
      </c>
      <c r="I8" s="80"/>
      <c r="J8" s="72"/>
      <c r="K8" s="72"/>
      <c r="L8" s="72"/>
      <c r="M8" s="72"/>
      <c r="N8" s="72"/>
      <c r="O8" s="72"/>
      <c r="P8" s="72"/>
      <c r="Q8" s="72"/>
      <c r="R8" s="72"/>
    </row>
    <row r="9" spans="1:41" ht="25" customHeight="1" x14ac:dyDescent="0.45">
      <c r="A9" s="129" t="s">
        <v>396</v>
      </c>
      <c r="B9" s="124">
        <v>0</v>
      </c>
      <c r="C9" s="124">
        <f>B9</f>
        <v>0</v>
      </c>
      <c r="D9" s="124">
        <f>C9</f>
        <v>0</v>
      </c>
      <c r="E9" s="124">
        <f>D9</f>
        <v>0</v>
      </c>
      <c r="F9" s="124">
        <f>E9</f>
        <v>0</v>
      </c>
      <c r="G9" s="124">
        <f>F9</f>
        <v>0</v>
      </c>
      <c r="H9" s="130">
        <f t="shared" si="1"/>
        <v>0</v>
      </c>
      <c r="I9" s="80"/>
      <c r="J9" s="72"/>
      <c r="K9" s="72"/>
      <c r="L9" s="72"/>
      <c r="M9" s="72"/>
      <c r="N9" s="72"/>
      <c r="O9" s="72"/>
      <c r="P9" s="72"/>
      <c r="Q9" s="72"/>
      <c r="R9" s="72"/>
    </row>
    <row r="10" spans="1:41" ht="25" customHeight="1" x14ac:dyDescent="0.45">
      <c r="A10" s="129" t="s">
        <v>397</v>
      </c>
      <c r="B10" s="124">
        <f>B8-B9</f>
        <v>0</v>
      </c>
      <c r="C10" s="124">
        <f t="shared" ref="C10:G10" si="3">C8-C9</f>
        <v>0</v>
      </c>
      <c r="D10" s="124">
        <f t="shared" si="3"/>
        <v>0</v>
      </c>
      <c r="E10" s="124">
        <f t="shared" si="3"/>
        <v>0</v>
      </c>
      <c r="F10" s="124">
        <f t="shared" si="3"/>
        <v>0</v>
      </c>
      <c r="G10" s="124">
        <f t="shared" si="3"/>
        <v>0</v>
      </c>
      <c r="H10" s="130">
        <f t="shared" si="1"/>
        <v>0</v>
      </c>
      <c r="I10" s="80"/>
      <c r="J10" s="72"/>
      <c r="K10" s="72"/>
      <c r="L10" s="72"/>
      <c r="M10" s="72"/>
      <c r="N10" s="72"/>
      <c r="O10" s="72"/>
      <c r="P10" s="72"/>
      <c r="Q10" s="72"/>
      <c r="R10" s="72"/>
    </row>
    <row r="11" spans="1:41" s="138" customFormat="1" ht="25" customHeight="1" x14ac:dyDescent="0.45">
      <c r="A11" s="133" t="s">
        <v>398</v>
      </c>
      <c r="B11" s="172">
        <v>0</v>
      </c>
      <c r="C11" s="172">
        <f>B11</f>
        <v>0</v>
      </c>
      <c r="D11" s="172">
        <f>C11</f>
        <v>0</v>
      </c>
      <c r="E11" s="172">
        <f>D11</f>
        <v>0</v>
      </c>
      <c r="F11" s="172">
        <f>E11</f>
        <v>0</v>
      </c>
      <c r="G11" s="172">
        <f>F11</f>
        <v>0</v>
      </c>
      <c r="H11" s="139">
        <f>AVERAGE(B11:G11)</f>
        <v>0</v>
      </c>
      <c r="I11" s="135"/>
      <c r="J11" s="136"/>
      <c r="K11" s="136"/>
      <c r="L11" s="136"/>
      <c r="M11" s="136"/>
      <c r="N11" s="136"/>
      <c r="O11" s="136"/>
      <c r="P11" s="136"/>
      <c r="Q11" s="136"/>
      <c r="R11" s="136"/>
      <c r="S11" s="137"/>
      <c r="T11" s="137"/>
      <c r="U11" s="137"/>
    </row>
    <row r="12" spans="1:41" ht="25" customHeight="1" x14ac:dyDescent="0.45">
      <c r="A12" s="129" t="s">
        <v>872</v>
      </c>
      <c r="B12" s="124">
        <v>0</v>
      </c>
      <c r="C12" s="124">
        <f t="shared" ref="C12:G13" si="4">B12</f>
        <v>0</v>
      </c>
      <c r="D12" s="124">
        <f t="shared" si="4"/>
        <v>0</v>
      </c>
      <c r="E12" s="124">
        <f t="shared" si="4"/>
        <v>0</v>
      </c>
      <c r="F12" s="124">
        <f t="shared" si="4"/>
        <v>0</v>
      </c>
      <c r="G12" s="124">
        <f t="shared" si="4"/>
        <v>0</v>
      </c>
      <c r="H12" s="130">
        <f t="shared" si="1"/>
        <v>0</v>
      </c>
      <c r="I12" s="80"/>
      <c r="J12" s="72"/>
      <c r="K12" s="72"/>
      <c r="L12" s="72"/>
      <c r="M12" s="72"/>
      <c r="N12" s="72"/>
      <c r="O12" s="72"/>
      <c r="P12" s="72"/>
      <c r="Q12" s="72"/>
      <c r="R12" s="72"/>
    </row>
    <row r="13" spans="1:41" s="138" customFormat="1" ht="25" customHeight="1" x14ac:dyDescent="0.45">
      <c r="A13" s="133" t="s">
        <v>873</v>
      </c>
      <c r="B13" s="134">
        <v>0</v>
      </c>
      <c r="C13" s="134">
        <f t="shared" si="4"/>
        <v>0</v>
      </c>
      <c r="D13" s="134">
        <f t="shared" si="4"/>
        <v>0</v>
      </c>
      <c r="E13" s="134">
        <f t="shared" si="4"/>
        <v>0</v>
      </c>
      <c r="F13" s="134">
        <f t="shared" si="4"/>
        <v>0</v>
      </c>
      <c r="G13" s="134">
        <f t="shared" si="4"/>
        <v>0</v>
      </c>
      <c r="H13" s="139">
        <f>AVERAGE(B13:G13)</f>
        <v>0</v>
      </c>
      <c r="I13" s="135"/>
      <c r="J13" s="136"/>
      <c r="K13" s="136"/>
      <c r="L13" s="136"/>
      <c r="M13" s="136"/>
      <c r="N13" s="136"/>
      <c r="O13" s="136"/>
      <c r="P13" s="136"/>
      <c r="Q13" s="136"/>
      <c r="R13" s="136"/>
      <c r="S13" s="137"/>
      <c r="T13" s="137"/>
      <c r="U13" s="137"/>
    </row>
    <row r="14" spans="1:41" ht="25" customHeight="1" x14ac:dyDescent="0.45">
      <c r="A14" s="129" t="s">
        <v>874</v>
      </c>
      <c r="B14" s="124">
        <v>0</v>
      </c>
      <c r="C14" s="124">
        <f t="shared" ref="C14:C15" si="5">B14</f>
        <v>0</v>
      </c>
      <c r="D14" s="124">
        <f t="shared" ref="D14:D15" si="6">C14</f>
        <v>0</v>
      </c>
      <c r="E14" s="124">
        <f t="shared" ref="E14:E15" si="7">D14</f>
        <v>0</v>
      </c>
      <c r="F14" s="124">
        <f t="shared" ref="F14:F15" si="8">E14</f>
        <v>0</v>
      </c>
      <c r="G14" s="124">
        <f t="shared" ref="G14:G15" si="9">F14</f>
        <v>0</v>
      </c>
      <c r="H14" s="130">
        <f t="shared" si="1"/>
        <v>0</v>
      </c>
      <c r="I14" s="80"/>
      <c r="J14" s="72"/>
      <c r="K14" s="72"/>
      <c r="L14" s="72"/>
      <c r="M14" s="72"/>
      <c r="N14" s="72"/>
      <c r="O14" s="72"/>
      <c r="P14" s="72"/>
      <c r="Q14" s="72"/>
      <c r="R14" s="72"/>
    </row>
    <row r="15" spans="1:41" ht="25" customHeight="1" x14ac:dyDescent="0.45">
      <c r="A15" s="133" t="s">
        <v>875</v>
      </c>
      <c r="B15" s="134">
        <v>0</v>
      </c>
      <c r="C15" s="134">
        <f t="shared" si="5"/>
        <v>0</v>
      </c>
      <c r="D15" s="134">
        <f t="shared" si="6"/>
        <v>0</v>
      </c>
      <c r="E15" s="134">
        <f t="shared" si="7"/>
        <v>0</v>
      </c>
      <c r="F15" s="134">
        <f t="shared" si="8"/>
        <v>0</v>
      </c>
      <c r="G15" s="134">
        <f t="shared" si="9"/>
        <v>0</v>
      </c>
      <c r="H15" s="139">
        <f>AVERAGE(B15:G15)</f>
        <v>0</v>
      </c>
      <c r="I15" s="80"/>
      <c r="J15" s="72"/>
      <c r="K15" s="72"/>
      <c r="L15" s="72"/>
      <c r="M15" s="72"/>
      <c r="N15" s="72"/>
      <c r="O15" s="72"/>
      <c r="P15" s="72"/>
      <c r="Q15" s="72"/>
      <c r="R15" s="72"/>
    </row>
    <row r="16" spans="1:41" ht="25" customHeight="1" x14ac:dyDescent="0.45">
      <c r="A16" s="129" t="s">
        <v>876</v>
      </c>
      <c r="B16" s="124">
        <v>0</v>
      </c>
      <c r="C16" s="124">
        <f t="shared" ref="C16:C17" si="10">B16</f>
        <v>0</v>
      </c>
      <c r="D16" s="124">
        <f t="shared" ref="D16:D17" si="11">C16</f>
        <v>0</v>
      </c>
      <c r="E16" s="124">
        <f t="shared" ref="E16:E17" si="12">D16</f>
        <v>0</v>
      </c>
      <c r="F16" s="124">
        <f t="shared" ref="F16:F17" si="13">E16</f>
        <v>0</v>
      </c>
      <c r="G16" s="124">
        <f t="shared" ref="G16:G17" si="14">F16</f>
        <v>0</v>
      </c>
      <c r="H16" s="130">
        <f t="shared" si="1"/>
        <v>0</v>
      </c>
      <c r="I16" s="80"/>
      <c r="J16" s="72"/>
      <c r="K16" s="72"/>
      <c r="L16" s="72"/>
      <c r="M16" s="72"/>
      <c r="N16" s="72"/>
      <c r="O16" s="72"/>
      <c r="P16" s="72"/>
      <c r="Q16" s="72"/>
      <c r="R16" s="72"/>
    </row>
    <row r="17" spans="1:21" ht="25" customHeight="1" x14ac:dyDescent="0.45">
      <c r="A17" s="133" t="s">
        <v>877</v>
      </c>
      <c r="B17" s="134">
        <v>0</v>
      </c>
      <c r="C17" s="134">
        <f t="shared" si="10"/>
        <v>0</v>
      </c>
      <c r="D17" s="134">
        <f t="shared" si="11"/>
        <v>0</v>
      </c>
      <c r="E17" s="134">
        <f t="shared" si="12"/>
        <v>0</v>
      </c>
      <c r="F17" s="134">
        <f t="shared" si="13"/>
        <v>0</v>
      </c>
      <c r="G17" s="134">
        <f t="shared" si="14"/>
        <v>0</v>
      </c>
      <c r="H17" s="139">
        <f>AVERAGE(B17:G17)</f>
        <v>0</v>
      </c>
      <c r="I17" s="80"/>
      <c r="J17" s="72"/>
      <c r="K17" s="72"/>
      <c r="L17" s="72"/>
      <c r="M17" s="72"/>
      <c r="N17" s="72"/>
      <c r="O17" s="72"/>
      <c r="P17" s="72"/>
      <c r="Q17" s="72"/>
      <c r="R17" s="72"/>
    </row>
    <row r="18" spans="1:21" ht="48" customHeight="1" x14ac:dyDescent="0.45">
      <c r="A18" s="129" t="s">
        <v>878</v>
      </c>
      <c r="B18" s="124">
        <v>0</v>
      </c>
      <c r="C18" s="124">
        <f t="shared" ref="C18:C19" si="15">B18</f>
        <v>0</v>
      </c>
      <c r="D18" s="124">
        <f t="shared" ref="D18:D19" si="16">C18</f>
        <v>0</v>
      </c>
      <c r="E18" s="124">
        <f t="shared" ref="E18:E19" si="17">D18</f>
        <v>0</v>
      </c>
      <c r="F18" s="124">
        <f t="shared" ref="F18:F19" si="18">E18</f>
        <v>0</v>
      </c>
      <c r="G18" s="124">
        <f t="shared" ref="G18:G19" si="19">F18</f>
        <v>0</v>
      </c>
      <c r="H18" s="130">
        <f t="shared" si="1"/>
        <v>0</v>
      </c>
      <c r="I18" s="80"/>
      <c r="J18" s="72"/>
      <c r="K18" s="72"/>
      <c r="L18" s="72"/>
      <c r="M18" s="72"/>
      <c r="N18" s="72"/>
      <c r="O18" s="72"/>
      <c r="P18" s="72"/>
      <c r="Q18" s="72"/>
      <c r="R18" s="72"/>
    </row>
    <row r="19" spans="1:21" ht="48" customHeight="1" x14ac:dyDescent="0.45">
      <c r="A19" s="133" t="s">
        <v>879</v>
      </c>
      <c r="B19" s="134">
        <v>0</v>
      </c>
      <c r="C19" s="134">
        <f t="shared" si="15"/>
        <v>0</v>
      </c>
      <c r="D19" s="134">
        <f t="shared" si="16"/>
        <v>0</v>
      </c>
      <c r="E19" s="134">
        <f t="shared" si="17"/>
        <v>0</v>
      </c>
      <c r="F19" s="134">
        <f t="shared" si="18"/>
        <v>0</v>
      </c>
      <c r="G19" s="134">
        <f t="shared" si="19"/>
        <v>0</v>
      </c>
      <c r="H19" s="139">
        <f>AVERAGE(B19:G19)</f>
        <v>0</v>
      </c>
      <c r="I19" s="80"/>
      <c r="J19" s="72"/>
      <c r="K19" s="72"/>
      <c r="L19" s="72"/>
      <c r="M19" s="72"/>
      <c r="N19" s="72"/>
      <c r="O19" s="72"/>
      <c r="P19" s="72"/>
      <c r="Q19" s="72"/>
      <c r="R19" s="72"/>
    </row>
    <row r="20" spans="1:21" ht="25" customHeight="1" x14ac:dyDescent="0.45">
      <c r="A20" s="129" t="s">
        <v>880</v>
      </c>
      <c r="B20" s="124">
        <v>0</v>
      </c>
      <c r="C20" s="124">
        <f t="shared" ref="C20:C22" si="20">B20</f>
        <v>0</v>
      </c>
      <c r="D20" s="124">
        <f t="shared" ref="D20:D22" si="21">C20</f>
        <v>0</v>
      </c>
      <c r="E20" s="124">
        <f t="shared" ref="E20:E22" si="22">D20</f>
        <v>0</v>
      </c>
      <c r="F20" s="124">
        <f t="shared" ref="F20:F22" si="23">E20</f>
        <v>0</v>
      </c>
      <c r="G20" s="124">
        <f t="shared" ref="G20:G22" si="24">F20</f>
        <v>0</v>
      </c>
      <c r="H20" s="130">
        <f t="shared" si="1"/>
        <v>0</v>
      </c>
      <c r="I20" s="80"/>
      <c r="J20" s="72"/>
      <c r="K20" s="72"/>
      <c r="L20" s="72"/>
      <c r="M20" s="72"/>
      <c r="N20" s="72"/>
      <c r="O20" s="72"/>
      <c r="P20" s="72"/>
      <c r="Q20" s="72"/>
      <c r="R20" s="72"/>
    </row>
    <row r="21" spans="1:21" ht="25" customHeight="1" x14ac:dyDescent="0.45">
      <c r="A21" s="133" t="s">
        <v>881</v>
      </c>
      <c r="B21" s="134">
        <v>0</v>
      </c>
      <c r="C21" s="134">
        <f t="shared" si="20"/>
        <v>0</v>
      </c>
      <c r="D21" s="134">
        <f t="shared" si="21"/>
        <v>0</v>
      </c>
      <c r="E21" s="134">
        <f t="shared" si="22"/>
        <v>0</v>
      </c>
      <c r="F21" s="134">
        <f t="shared" si="23"/>
        <v>0</v>
      </c>
      <c r="G21" s="134">
        <f t="shared" si="24"/>
        <v>0</v>
      </c>
      <c r="H21" s="139">
        <f>AVERAGE(B21:G21)</f>
        <v>0</v>
      </c>
      <c r="I21" s="80"/>
      <c r="J21" s="72"/>
      <c r="K21" s="72"/>
      <c r="L21" s="72"/>
      <c r="M21" s="72"/>
      <c r="N21" s="72"/>
      <c r="O21" s="72"/>
      <c r="P21" s="72"/>
      <c r="Q21" s="72"/>
      <c r="R21" s="72"/>
    </row>
    <row r="22" spans="1:21" ht="18.5" x14ac:dyDescent="0.45">
      <c r="A22" s="129" t="s">
        <v>882</v>
      </c>
      <c r="B22" s="519">
        <v>0</v>
      </c>
      <c r="C22" s="519">
        <f t="shared" si="20"/>
        <v>0</v>
      </c>
      <c r="D22" s="519">
        <f t="shared" si="21"/>
        <v>0</v>
      </c>
      <c r="E22" s="519">
        <f t="shared" si="22"/>
        <v>0</v>
      </c>
      <c r="F22" s="519">
        <f t="shared" si="23"/>
        <v>0</v>
      </c>
      <c r="G22" s="519">
        <f t="shared" si="24"/>
        <v>0</v>
      </c>
      <c r="H22" s="132">
        <f t="shared" si="1"/>
        <v>0</v>
      </c>
      <c r="I22" s="80"/>
      <c r="J22" s="72"/>
      <c r="K22" s="72"/>
      <c r="L22" s="72"/>
      <c r="M22" s="72"/>
      <c r="N22" s="72"/>
      <c r="O22" s="72"/>
      <c r="P22" s="72"/>
      <c r="Q22" s="72"/>
      <c r="R22" s="72"/>
    </row>
    <row r="23" spans="1:21" s="5" customFormat="1" ht="18.5" x14ac:dyDescent="0.45">
      <c r="A23" s="142" t="s">
        <v>883</v>
      </c>
      <c r="B23" s="520">
        <f>IF(B11*0.05&gt;B22,B22,B11*0.05)</f>
        <v>0</v>
      </c>
      <c r="C23" s="520">
        <f t="shared" ref="C23:G23" si="25">IF(C11*0.05&gt;C22,C22,C11*0.05)</f>
        <v>0</v>
      </c>
      <c r="D23" s="520">
        <f t="shared" si="25"/>
        <v>0</v>
      </c>
      <c r="E23" s="520">
        <f t="shared" si="25"/>
        <v>0</v>
      </c>
      <c r="F23" s="520">
        <f t="shared" si="25"/>
        <v>0</v>
      </c>
      <c r="G23" s="520">
        <f t="shared" si="25"/>
        <v>0</v>
      </c>
      <c r="H23" s="139">
        <f>AVERAGE(B23:G23)</f>
        <v>0</v>
      </c>
      <c r="I23" s="135"/>
      <c r="J23" s="521"/>
      <c r="K23" s="521"/>
      <c r="L23" s="521"/>
      <c r="M23" s="521"/>
      <c r="N23" s="521"/>
      <c r="O23" s="521"/>
      <c r="P23" s="521"/>
      <c r="Q23" s="521"/>
      <c r="R23" s="521"/>
      <c r="S23" s="91"/>
      <c r="T23" s="91"/>
      <c r="U23" s="91"/>
    </row>
    <row r="24" spans="1:21" ht="25" customHeight="1" x14ac:dyDescent="0.45">
      <c r="A24" s="129" t="s">
        <v>399</v>
      </c>
      <c r="B24" s="124">
        <v>0</v>
      </c>
      <c r="C24" s="124">
        <f t="shared" ref="C24:G27" si="26">B24</f>
        <v>0</v>
      </c>
      <c r="D24" s="124">
        <f t="shared" si="26"/>
        <v>0</v>
      </c>
      <c r="E24" s="124">
        <f t="shared" si="26"/>
        <v>0</v>
      </c>
      <c r="F24" s="124">
        <f t="shared" si="26"/>
        <v>0</v>
      </c>
      <c r="G24" s="124">
        <f t="shared" si="26"/>
        <v>0</v>
      </c>
      <c r="H24" s="130">
        <f t="shared" si="1"/>
        <v>0</v>
      </c>
      <c r="I24" s="80"/>
      <c r="J24" s="72"/>
      <c r="K24" s="72"/>
      <c r="L24" s="72"/>
      <c r="M24" s="72"/>
      <c r="N24" s="72"/>
      <c r="O24" s="72"/>
      <c r="P24" s="72"/>
      <c r="Q24" s="72"/>
      <c r="R24" s="72"/>
    </row>
    <row r="25" spans="1:21" s="138" customFormat="1" ht="25" customHeight="1" x14ac:dyDescent="0.45">
      <c r="A25" s="133" t="s">
        <v>400</v>
      </c>
      <c r="B25" s="134">
        <v>0</v>
      </c>
      <c r="C25" s="134">
        <f t="shared" si="26"/>
        <v>0</v>
      </c>
      <c r="D25" s="134">
        <f t="shared" si="26"/>
        <v>0</v>
      </c>
      <c r="E25" s="134">
        <f t="shared" si="26"/>
        <v>0</v>
      </c>
      <c r="F25" s="134">
        <f t="shared" si="26"/>
        <v>0</v>
      </c>
      <c r="G25" s="134">
        <f t="shared" si="26"/>
        <v>0</v>
      </c>
      <c r="H25" s="139">
        <f>AVERAGE(B25:G25)</f>
        <v>0</v>
      </c>
      <c r="I25" s="140"/>
      <c r="J25" s="136"/>
      <c r="K25" s="136"/>
      <c r="L25" s="136"/>
      <c r="M25" s="136"/>
      <c r="N25" s="136"/>
      <c r="O25" s="136"/>
      <c r="P25" s="136"/>
      <c r="Q25" s="136"/>
      <c r="R25" s="136"/>
      <c r="S25" s="137"/>
      <c r="T25" s="137"/>
      <c r="U25" s="137"/>
    </row>
    <row r="26" spans="1:21" ht="25" customHeight="1" x14ac:dyDescent="0.45">
      <c r="A26" s="129" t="s">
        <v>401</v>
      </c>
      <c r="B26" s="124">
        <v>0</v>
      </c>
      <c r="C26" s="124">
        <f t="shared" si="26"/>
        <v>0</v>
      </c>
      <c r="D26" s="124">
        <f t="shared" si="26"/>
        <v>0</v>
      </c>
      <c r="E26" s="124">
        <f t="shared" si="26"/>
        <v>0</v>
      </c>
      <c r="F26" s="124">
        <f t="shared" si="26"/>
        <v>0</v>
      </c>
      <c r="G26" s="124">
        <f t="shared" si="26"/>
        <v>0</v>
      </c>
      <c r="H26" s="130">
        <f t="shared" si="1"/>
        <v>0</v>
      </c>
      <c r="I26" s="80"/>
      <c r="J26" s="72"/>
      <c r="K26" s="72"/>
      <c r="L26" s="72"/>
      <c r="M26" s="72"/>
      <c r="N26" s="72"/>
      <c r="O26" s="72"/>
      <c r="P26" s="72"/>
      <c r="Q26" s="72"/>
      <c r="R26" s="72"/>
    </row>
    <row r="27" spans="1:21" s="138" customFormat="1" ht="25" customHeight="1" x14ac:dyDescent="0.45">
      <c r="A27" s="133" t="s">
        <v>402</v>
      </c>
      <c r="B27" s="134">
        <v>0</v>
      </c>
      <c r="C27" s="134">
        <f t="shared" si="26"/>
        <v>0</v>
      </c>
      <c r="D27" s="134">
        <f t="shared" si="26"/>
        <v>0</v>
      </c>
      <c r="E27" s="134">
        <f t="shared" si="26"/>
        <v>0</v>
      </c>
      <c r="F27" s="134">
        <f t="shared" si="26"/>
        <v>0</v>
      </c>
      <c r="G27" s="134">
        <f t="shared" si="26"/>
        <v>0</v>
      </c>
      <c r="H27" s="139">
        <f>AVERAGE(B27:G27)</f>
        <v>0</v>
      </c>
      <c r="I27" s="140"/>
      <c r="J27" s="136"/>
      <c r="K27" s="136"/>
      <c r="L27" s="136"/>
      <c r="M27" s="136"/>
      <c r="N27" s="136"/>
      <c r="O27" s="136"/>
      <c r="P27" s="136"/>
      <c r="Q27" s="136"/>
      <c r="R27" s="136"/>
      <c r="S27" s="137"/>
      <c r="T27" s="137"/>
      <c r="U27" s="137"/>
    </row>
    <row r="28" spans="1:21" ht="25" customHeight="1" x14ac:dyDescent="0.45">
      <c r="A28" s="126" t="s">
        <v>677</v>
      </c>
      <c r="B28" s="127"/>
      <c r="C28" s="127"/>
      <c r="D28" s="127"/>
      <c r="E28" s="127"/>
      <c r="F28" s="127"/>
      <c r="G28" s="127"/>
      <c r="H28" s="128"/>
      <c r="I28" s="82"/>
      <c r="J28" s="72"/>
      <c r="K28" s="72"/>
      <c r="L28" s="72"/>
      <c r="M28" s="72"/>
      <c r="N28" s="72"/>
      <c r="O28" s="72"/>
      <c r="P28" s="72"/>
      <c r="Q28" s="72"/>
      <c r="R28" s="72"/>
    </row>
    <row r="29" spans="1:21" ht="25" customHeight="1" x14ac:dyDescent="0.45">
      <c r="A29" s="129" t="s">
        <v>869</v>
      </c>
      <c r="B29" s="131">
        <v>0</v>
      </c>
      <c r="C29" s="131">
        <f>B29</f>
        <v>0</v>
      </c>
      <c r="D29" s="131">
        <f>C29</f>
        <v>0</v>
      </c>
      <c r="E29" s="131">
        <f>D29</f>
        <v>0</v>
      </c>
      <c r="F29" s="131">
        <f>E29</f>
        <v>0</v>
      </c>
      <c r="G29" s="131">
        <f>F29</f>
        <v>0</v>
      </c>
      <c r="H29" s="132">
        <f>AVERAGE(B29:G29)</f>
        <v>0</v>
      </c>
      <c r="I29" s="81"/>
      <c r="J29" s="72"/>
      <c r="K29" s="72"/>
      <c r="L29" s="72"/>
      <c r="M29" s="72"/>
      <c r="N29" s="72"/>
      <c r="O29" s="72"/>
      <c r="P29" s="72"/>
      <c r="Q29" s="72"/>
      <c r="R29" s="72"/>
    </row>
    <row r="30" spans="1:21" ht="25" customHeight="1" x14ac:dyDescent="0.45">
      <c r="A30" s="129" t="s">
        <v>870</v>
      </c>
      <c r="B30" s="131">
        <v>0</v>
      </c>
      <c r="C30" s="131">
        <f t="shared" ref="C30:G31" si="27">B30</f>
        <v>0</v>
      </c>
      <c r="D30" s="131">
        <f t="shared" si="27"/>
        <v>0</v>
      </c>
      <c r="E30" s="131">
        <f t="shared" si="27"/>
        <v>0</v>
      </c>
      <c r="F30" s="131">
        <f t="shared" si="27"/>
        <v>0</v>
      </c>
      <c r="G30" s="131">
        <f t="shared" si="27"/>
        <v>0</v>
      </c>
      <c r="H30" s="132">
        <f t="shared" ref="H30:H31" si="28">AVERAGE(B30:G30)</f>
        <v>0</v>
      </c>
      <c r="I30" s="81"/>
      <c r="J30" s="72"/>
      <c r="K30" s="72"/>
      <c r="L30" s="72"/>
      <c r="M30" s="72"/>
      <c r="N30" s="72"/>
      <c r="O30" s="72"/>
      <c r="P30" s="72"/>
      <c r="Q30" s="72"/>
      <c r="R30" s="72"/>
    </row>
    <row r="31" spans="1:21" ht="25" customHeight="1" x14ac:dyDescent="0.45">
      <c r="A31" s="129" t="s">
        <v>871</v>
      </c>
      <c r="B31" s="131">
        <v>0</v>
      </c>
      <c r="C31" s="131">
        <f t="shared" si="27"/>
        <v>0</v>
      </c>
      <c r="D31" s="131">
        <f t="shared" si="27"/>
        <v>0</v>
      </c>
      <c r="E31" s="131">
        <f t="shared" si="27"/>
        <v>0</v>
      </c>
      <c r="F31" s="131">
        <f t="shared" si="27"/>
        <v>0</v>
      </c>
      <c r="G31" s="131">
        <f t="shared" si="27"/>
        <v>0</v>
      </c>
      <c r="H31" s="132">
        <f t="shared" si="28"/>
        <v>0</v>
      </c>
      <c r="I31" s="81"/>
      <c r="J31" s="72"/>
      <c r="K31" s="72"/>
      <c r="L31" s="72"/>
      <c r="M31" s="72"/>
      <c r="N31" s="72"/>
      <c r="O31" s="72"/>
      <c r="P31" s="72"/>
      <c r="Q31" s="72"/>
      <c r="R31" s="72"/>
    </row>
    <row r="32" spans="1:21" s="138" customFormat="1" ht="25" customHeight="1" x14ac:dyDescent="0.45">
      <c r="A32" s="141" t="s">
        <v>403</v>
      </c>
      <c r="B32" s="139">
        <f t="shared" ref="B32:G32" si="29">SUM(B29:B31)</f>
        <v>0</v>
      </c>
      <c r="C32" s="139">
        <f t="shared" si="29"/>
        <v>0</v>
      </c>
      <c r="D32" s="139">
        <f t="shared" si="29"/>
        <v>0</v>
      </c>
      <c r="E32" s="139">
        <f t="shared" si="29"/>
        <v>0</v>
      </c>
      <c r="F32" s="139">
        <f t="shared" si="29"/>
        <v>0</v>
      </c>
      <c r="G32" s="139">
        <f t="shared" si="29"/>
        <v>0</v>
      </c>
      <c r="H32" s="139">
        <f>AVERAGE(B32:G32)</f>
        <v>0</v>
      </c>
      <c r="I32" s="140"/>
      <c r="J32" s="136"/>
      <c r="K32" s="136"/>
      <c r="L32" s="136"/>
      <c r="M32" s="136"/>
      <c r="N32" s="136"/>
      <c r="O32" s="136"/>
      <c r="P32" s="136"/>
      <c r="Q32" s="136"/>
      <c r="R32" s="136"/>
      <c r="S32" s="137"/>
      <c r="T32" s="137"/>
      <c r="U32" s="137"/>
    </row>
    <row r="33" spans="1:21" ht="25" customHeight="1" x14ac:dyDescent="0.45">
      <c r="A33" s="126" t="s">
        <v>404</v>
      </c>
      <c r="B33" s="127"/>
      <c r="C33" s="127"/>
      <c r="D33" s="127"/>
      <c r="E33" s="127"/>
      <c r="F33" s="127"/>
      <c r="G33" s="127"/>
      <c r="H33" s="128"/>
      <c r="I33" s="82"/>
      <c r="J33" s="72"/>
      <c r="K33" s="72"/>
      <c r="L33" s="72"/>
      <c r="M33" s="72"/>
      <c r="N33" s="72"/>
      <c r="O33" s="72"/>
      <c r="P33" s="72"/>
      <c r="Q33" s="72"/>
      <c r="R33" s="72"/>
    </row>
    <row r="34" spans="1:21" ht="25" customHeight="1" x14ac:dyDescent="0.45">
      <c r="A34" s="129" t="s">
        <v>405</v>
      </c>
      <c r="B34" s="131">
        <v>0</v>
      </c>
      <c r="C34" s="131">
        <f>B34</f>
        <v>0</v>
      </c>
      <c r="D34" s="131">
        <f t="shared" ref="D34:G34" si="30">C34</f>
        <v>0</v>
      </c>
      <c r="E34" s="131">
        <f t="shared" si="30"/>
        <v>0</v>
      </c>
      <c r="F34" s="131">
        <f t="shared" si="30"/>
        <v>0</v>
      </c>
      <c r="G34" s="131">
        <f t="shared" si="30"/>
        <v>0</v>
      </c>
      <c r="H34" s="132">
        <f>AVERAGE(B34:G34)</f>
        <v>0</v>
      </c>
      <c r="I34" s="81"/>
      <c r="J34" s="72"/>
      <c r="K34" s="72"/>
      <c r="L34" s="72"/>
      <c r="M34" s="72"/>
      <c r="N34" s="72"/>
      <c r="O34" s="72"/>
      <c r="P34" s="72"/>
      <c r="Q34" s="72"/>
      <c r="R34" s="72"/>
    </row>
    <row r="35" spans="1:21" ht="25" customHeight="1" x14ac:dyDescent="0.45">
      <c r="A35" s="129" t="s">
        <v>406</v>
      </c>
      <c r="B35" s="131">
        <v>0</v>
      </c>
      <c r="C35" s="131">
        <f t="shared" ref="C35:G43" si="31">B35</f>
        <v>0</v>
      </c>
      <c r="D35" s="131">
        <f t="shared" si="31"/>
        <v>0</v>
      </c>
      <c r="E35" s="131">
        <f t="shared" si="31"/>
        <v>0</v>
      </c>
      <c r="F35" s="131">
        <f t="shared" si="31"/>
        <v>0</v>
      </c>
      <c r="G35" s="131">
        <f t="shared" si="31"/>
        <v>0</v>
      </c>
      <c r="H35" s="132">
        <f t="shared" ref="H35:H43" si="32">AVERAGE(B35:G35)</f>
        <v>0</v>
      </c>
      <c r="I35" s="81"/>
      <c r="J35" s="72"/>
      <c r="K35" s="72"/>
      <c r="L35" s="72"/>
      <c r="M35" s="72"/>
      <c r="N35" s="72"/>
      <c r="O35" s="72"/>
      <c r="P35" s="72"/>
      <c r="Q35" s="72"/>
      <c r="R35" s="72"/>
    </row>
    <row r="36" spans="1:21" ht="25" customHeight="1" x14ac:dyDescent="0.45">
      <c r="A36" s="129" t="s">
        <v>407</v>
      </c>
      <c r="B36" s="131">
        <v>0</v>
      </c>
      <c r="C36" s="131">
        <f t="shared" si="31"/>
        <v>0</v>
      </c>
      <c r="D36" s="131">
        <f t="shared" si="31"/>
        <v>0</v>
      </c>
      <c r="E36" s="131">
        <f t="shared" si="31"/>
        <v>0</v>
      </c>
      <c r="F36" s="131">
        <f t="shared" si="31"/>
        <v>0</v>
      </c>
      <c r="G36" s="131">
        <f t="shared" si="31"/>
        <v>0</v>
      </c>
      <c r="H36" s="132">
        <f t="shared" si="32"/>
        <v>0</v>
      </c>
      <c r="I36" s="81"/>
      <c r="J36" s="72"/>
      <c r="K36" s="72"/>
      <c r="L36" s="72"/>
      <c r="M36" s="72"/>
      <c r="N36" s="72"/>
      <c r="O36" s="72"/>
      <c r="P36" s="72"/>
      <c r="Q36" s="72"/>
      <c r="R36" s="72"/>
    </row>
    <row r="37" spans="1:21" ht="25" customHeight="1" x14ac:dyDescent="0.45">
      <c r="A37" s="129" t="s">
        <v>408</v>
      </c>
      <c r="B37" s="131">
        <v>0</v>
      </c>
      <c r="C37" s="131">
        <f t="shared" si="31"/>
        <v>0</v>
      </c>
      <c r="D37" s="131">
        <f t="shared" si="31"/>
        <v>0</v>
      </c>
      <c r="E37" s="131">
        <f t="shared" si="31"/>
        <v>0</v>
      </c>
      <c r="F37" s="131">
        <f t="shared" si="31"/>
        <v>0</v>
      </c>
      <c r="G37" s="131">
        <f t="shared" si="31"/>
        <v>0</v>
      </c>
      <c r="H37" s="132">
        <f t="shared" si="32"/>
        <v>0</v>
      </c>
      <c r="I37" s="81"/>
      <c r="J37" s="72"/>
      <c r="K37" s="72"/>
      <c r="L37" s="72"/>
      <c r="M37" s="72"/>
      <c r="N37" s="72"/>
      <c r="O37" s="72"/>
      <c r="P37" s="72"/>
      <c r="Q37" s="72"/>
      <c r="R37" s="72"/>
    </row>
    <row r="38" spans="1:21" ht="25" customHeight="1" x14ac:dyDescent="0.45">
      <c r="A38" s="129" t="s">
        <v>409</v>
      </c>
      <c r="B38" s="131">
        <v>0</v>
      </c>
      <c r="C38" s="131">
        <f t="shared" si="31"/>
        <v>0</v>
      </c>
      <c r="D38" s="131">
        <f t="shared" si="31"/>
        <v>0</v>
      </c>
      <c r="E38" s="131">
        <f t="shared" si="31"/>
        <v>0</v>
      </c>
      <c r="F38" s="131">
        <f t="shared" si="31"/>
        <v>0</v>
      </c>
      <c r="G38" s="131">
        <f t="shared" si="31"/>
        <v>0</v>
      </c>
      <c r="H38" s="132">
        <f t="shared" si="32"/>
        <v>0</v>
      </c>
      <c r="I38" s="81"/>
      <c r="J38" s="72"/>
      <c r="K38" s="72"/>
      <c r="L38" s="72"/>
      <c r="M38" s="72"/>
      <c r="N38" s="72"/>
      <c r="O38" s="72"/>
      <c r="P38" s="72"/>
      <c r="Q38" s="72"/>
      <c r="R38" s="72"/>
    </row>
    <row r="39" spans="1:21" ht="25" customHeight="1" x14ac:dyDescent="0.45">
      <c r="A39" s="129" t="s">
        <v>410</v>
      </c>
      <c r="B39" s="131">
        <v>0</v>
      </c>
      <c r="C39" s="131">
        <f t="shared" si="31"/>
        <v>0</v>
      </c>
      <c r="D39" s="131">
        <f t="shared" si="31"/>
        <v>0</v>
      </c>
      <c r="E39" s="131">
        <f t="shared" si="31"/>
        <v>0</v>
      </c>
      <c r="F39" s="131">
        <f t="shared" si="31"/>
        <v>0</v>
      </c>
      <c r="G39" s="131">
        <f t="shared" si="31"/>
        <v>0</v>
      </c>
      <c r="H39" s="132">
        <f t="shared" si="32"/>
        <v>0</v>
      </c>
      <c r="I39" s="81"/>
      <c r="J39" s="72"/>
      <c r="K39" s="72"/>
      <c r="L39" s="72"/>
      <c r="M39" s="72"/>
      <c r="N39" s="72"/>
      <c r="O39" s="72"/>
      <c r="P39" s="72"/>
      <c r="Q39" s="72"/>
      <c r="R39" s="72"/>
    </row>
    <row r="40" spans="1:21" ht="25" customHeight="1" x14ac:dyDescent="0.45">
      <c r="A40" s="129" t="s">
        <v>411</v>
      </c>
      <c r="B40" s="131">
        <v>0</v>
      </c>
      <c r="C40" s="131">
        <f t="shared" si="31"/>
        <v>0</v>
      </c>
      <c r="D40" s="131">
        <f t="shared" si="31"/>
        <v>0</v>
      </c>
      <c r="E40" s="131">
        <f t="shared" si="31"/>
        <v>0</v>
      </c>
      <c r="F40" s="131">
        <f t="shared" si="31"/>
        <v>0</v>
      </c>
      <c r="G40" s="131">
        <f t="shared" si="31"/>
        <v>0</v>
      </c>
      <c r="H40" s="132">
        <f t="shared" si="32"/>
        <v>0</v>
      </c>
      <c r="I40" s="81"/>
      <c r="J40" s="72"/>
      <c r="K40" s="72"/>
      <c r="L40" s="72"/>
      <c r="M40" s="72"/>
      <c r="N40" s="72"/>
      <c r="O40" s="72"/>
      <c r="P40" s="72"/>
      <c r="Q40" s="72"/>
      <c r="R40" s="72"/>
    </row>
    <row r="41" spans="1:21" ht="25" customHeight="1" x14ac:dyDescent="0.45">
      <c r="A41" s="129" t="s">
        <v>412</v>
      </c>
      <c r="B41" s="131">
        <v>0</v>
      </c>
      <c r="C41" s="131">
        <f t="shared" si="31"/>
        <v>0</v>
      </c>
      <c r="D41" s="131">
        <f t="shared" si="31"/>
        <v>0</v>
      </c>
      <c r="E41" s="131">
        <f t="shared" si="31"/>
        <v>0</v>
      </c>
      <c r="F41" s="131">
        <f t="shared" si="31"/>
        <v>0</v>
      </c>
      <c r="G41" s="131">
        <f t="shared" si="31"/>
        <v>0</v>
      </c>
      <c r="H41" s="132">
        <f t="shared" si="32"/>
        <v>0</v>
      </c>
      <c r="I41" s="81"/>
      <c r="J41" s="72"/>
      <c r="K41" s="72"/>
      <c r="L41" s="72"/>
      <c r="M41" s="72"/>
      <c r="N41" s="72"/>
      <c r="O41" s="72"/>
      <c r="P41" s="72"/>
      <c r="Q41" s="72"/>
      <c r="R41" s="72"/>
    </row>
    <row r="42" spans="1:21" ht="25" customHeight="1" x14ac:dyDescent="0.45">
      <c r="A42" s="129" t="s">
        <v>413</v>
      </c>
      <c r="B42" s="131">
        <v>0</v>
      </c>
      <c r="C42" s="131">
        <f t="shared" si="31"/>
        <v>0</v>
      </c>
      <c r="D42" s="131">
        <f t="shared" si="31"/>
        <v>0</v>
      </c>
      <c r="E42" s="131">
        <f t="shared" si="31"/>
        <v>0</v>
      </c>
      <c r="F42" s="131">
        <f t="shared" si="31"/>
        <v>0</v>
      </c>
      <c r="G42" s="131">
        <f t="shared" si="31"/>
        <v>0</v>
      </c>
      <c r="H42" s="132">
        <f t="shared" si="32"/>
        <v>0</v>
      </c>
      <c r="I42" s="81"/>
      <c r="J42" s="72"/>
      <c r="K42" s="72"/>
      <c r="L42" s="72"/>
      <c r="M42" s="72"/>
      <c r="N42" s="72"/>
      <c r="O42" s="72"/>
      <c r="P42" s="72"/>
      <c r="Q42" s="72"/>
      <c r="R42" s="72"/>
    </row>
    <row r="43" spans="1:21" ht="25" customHeight="1" x14ac:dyDescent="0.45">
      <c r="A43" s="129" t="s">
        <v>414</v>
      </c>
      <c r="B43" s="131">
        <v>0</v>
      </c>
      <c r="C43" s="131">
        <f t="shared" si="31"/>
        <v>0</v>
      </c>
      <c r="D43" s="131">
        <f t="shared" si="31"/>
        <v>0</v>
      </c>
      <c r="E43" s="131">
        <f t="shared" si="31"/>
        <v>0</v>
      </c>
      <c r="F43" s="131">
        <f t="shared" si="31"/>
        <v>0</v>
      </c>
      <c r="G43" s="131">
        <f t="shared" si="31"/>
        <v>0</v>
      </c>
      <c r="H43" s="132">
        <f t="shared" si="32"/>
        <v>0</v>
      </c>
      <c r="I43" s="81"/>
      <c r="J43" s="72"/>
      <c r="K43" s="72"/>
      <c r="L43" s="72"/>
      <c r="M43" s="72"/>
      <c r="N43" s="72"/>
      <c r="O43" s="72"/>
      <c r="P43" s="72"/>
      <c r="Q43" s="72"/>
      <c r="R43" s="72"/>
    </row>
    <row r="44" spans="1:21" s="138" customFormat="1" ht="25" customHeight="1" x14ac:dyDescent="0.45">
      <c r="A44" s="142" t="s">
        <v>415</v>
      </c>
      <c r="B44" s="139">
        <f>SUM(B34:B43)</f>
        <v>0</v>
      </c>
      <c r="C44" s="139">
        <f t="shared" ref="C44:G44" si="33">SUM(C34:C43)</f>
        <v>0</v>
      </c>
      <c r="D44" s="139">
        <f t="shared" si="33"/>
        <v>0</v>
      </c>
      <c r="E44" s="139">
        <f t="shared" si="33"/>
        <v>0</v>
      </c>
      <c r="F44" s="139">
        <f t="shared" si="33"/>
        <v>0</v>
      </c>
      <c r="G44" s="139">
        <f t="shared" si="33"/>
        <v>0</v>
      </c>
      <c r="H44" s="139">
        <f>AVERAGE(B44:G44)</f>
        <v>0</v>
      </c>
      <c r="I44" s="140"/>
      <c r="J44" s="136"/>
      <c r="K44" s="136"/>
      <c r="L44" s="136"/>
      <c r="M44" s="136"/>
      <c r="N44" s="136"/>
      <c r="O44" s="136"/>
      <c r="P44" s="136"/>
      <c r="Q44" s="136"/>
      <c r="R44" s="136"/>
      <c r="S44" s="137"/>
      <c r="T44" s="137"/>
      <c r="U44" s="137"/>
    </row>
    <row r="45" spans="1:21" s="138" customFormat="1" ht="25" customHeight="1" x14ac:dyDescent="0.45">
      <c r="A45" s="142" t="s">
        <v>70</v>
      </c>
      <c r="B45" s="139">
        <f t="shared" ref="B45:G45" si="34">B11-B32-B44</f>
        <v>0</v>
      </c>
      <c r="C45" s="139">
        <f t="shared" si="34"/>
        <v>0</v>
      </c>
      <c r="D45" s="139">
        <f t="shared" si="34"/>
        <v>0</v>
      </c>
      <c r="E45" s="139">
        <f t="shared" si="34"/>
        <v>0</v>
      </c>
      <c r="F45" s="139">
        <f t="shared" si="34"/>
        <v>0</v>
      </c>
      <c r="G45" s="139">
        <f t="shared" si="34"/>
        <v>0</v>
      </c>
      <c r="H45" s="139">
        <f t="shared" ref="H45:H46" si="35">AVERAGE(B45:G45)</f>
        <v>0</v>
      </c>
      <c r="I45" s="140"/>
      <c r="J45" s="136"/>
      <c r="K45" s="136"/>
      <c r="L45" s="136"/>
      <c r="M45" s="136"/>
      <c r="N45" s="136"/>
      <c r="O45" s="136"/>
      <c r="P45" s="136"/>
      <c r="Q45" s="136"/>
      <c r="R45" s="136"/>
      <c r="S45" s="137"/>
      <c r="T45" s="137"/>
      <c r="U45" s="137"/>
    </row>
    <row r="46" spans="1:21" ht="25" customHeight="1" x14ac:dyDescent="0.45">
      <c r="A46" s="129" t="s">
        <v>416</v>
      </c>
      <c r="B46" s="131">
        <v>0</v>
      </c>
      <c r="C46" s="131">
        <f>B46</f>
        <v>0</v>
      </c>
      <c r="D46" s="131">
        <f t="shared" ref="D46:G46" si="36">C46</f>
        <v>0</v>
      </c>
      <c r="E46" s="131">
        <f t="shared" si="36"/>
        <v>0</v>
      </c>
      <c r="F46" s="131">
        <f t="shared" si="36"/>
        <v>0</v>
      </c>
      <c r="G46" s="131">
        <f t="shared" si="36"/>
        <v>0</v>
      </c>
      <c r="H46" s="132">
        <f t="shared" si="35"/>
        <v>0</v>
      </c>
      <c r="I46" s="81"/>
      <c r="J46" s="72"/>
      <c r="K46" s="72"/>
      <c r="L46" s="72"/>
      <c r="M46" s="72"/>
      <c r="N46" s="72"/>
      <c r="O46" s="72"/>
      <c r="P46" s="72"/>
      <c r="Q46" s="72"/>
      <c r="R46" s="72"/>
    </row>
    <row r="48" spans="1:21" ht="25" customHeight="1" x14ac:dyDescent="0.45">
      <c r="K48" s="78"/>
    </row>
  </sheetData>
  <sheetProtection algorithmName="SHA-512" hashValue="J2ik3SDtkfSnjEG3/qNlbtbU1J8fvJDsTaXTGsnR4Mlbgm2RkCuU1f0vIIJ3k9gpTXFBtmV9gdtZdHRWSaEVBQ==" saltValue="DpC+bAJB9anIASoXxOVTQA==" spinCount="100000" sheet="1" objects="1" scenarios="1"/>
  <pageMargins left="0.7" right="0.7" top="0.75" bottom="0.75" header="0.3" footer="0.3"/>
  <pageSetup scale="40" fitToWidth="0" orientation="landscape" r:id="rId1"/>
  <colBreaks count="1" manualBreakCount="1">
    <brk id="8" min="1" max="43" man="1"/>
  </col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N36"/>
  <sheetViews>
    <sheetView zoomScaleNormal="100" workbookViewId="0"/>
  </sheetViews>
  <sheetFormatPr defaultColWidth="8.81640625" defaultRowHeight="18.5" x14ac:dyDescent="0.45"/>
  <cols>
    <col min="1" max="1" width="54.7265625" style="11" customWidth="1"/>
    <col min="2" max="3" width="23" style="11" customWidth="1"/>
    <col min="4" max="4" width="10.7265625" style="11" customWidth="1"/>
    <col min="5" max="6" width="20.7265625" style="11" customWidth="1"/>
    <col min="7" max="7" width="28.7265625" style="11" customWidth="1"/>
    <col min="8" max="8" width="15.7265625" style="11" customWidth="1"/>
    <col min="9" max="9" width="25.7265625" style="11" customWidth="1"/>
    <col min="10" max="10" width="28.7265625" style="11" customWidth="1"/>
    <col min="11" max="11" width="20.7265625" style="11" customWidth="1"/>
    <col min="12" max="12" width="25.7265625" style="11" customWidth="1"/>
    <col min="13" max="13" width="8.81640625" style="11"/>
    <col min="14" max="14" width="8.81640625" style="74"/>
    <col min="15" max="16384" width="8.81640625" style="11"/>
  </cols>
  <sheetData>
    <row r="1" spans="1:14" ht="26" x14ac:dyDescent="0.45">
      <c r="A1" s="176" t="s">
        <v>770</v>
      </c>
    </row>
    <row r="2" spans="1:14" s="71" customFormat="1" ht="23.5" x14ac:dyDescent="0.25">
      <c r="A2" s="94" t="s">
        <v>724</v>
      </c>
      <c r="B2" s="83"/>
      <c r="C2" s="83"/>
      <c r="D2" s="84"/>
      <c r="E2" s="83"/>
      <c r="F2" s="497" t="s">
        <v>768</v>
      </c>
      <c r="G2" s="426"/>
      <c r="H2" s="426"/>
      <c r="I2" s="427"/>
      <c r="J2" s="496" t="s">
        <v>769</v>
      </c>
      <c r="K2" s="428"/>
      <c r="L2" s="429"/>
      <c r="M2" s="83"/>
      <c r="N2" s="83"/>
    </row>
    <row r="3" spans="1:14" ht="30" customHeight="1" x14ac:dyDescent="0.45">
      <c r="A3" s="143"/>
      <c r="B3" s="148" t="s">
        <v>722</v>
      </c>
      <c r="C3" s="148" t="s">
        <v>723</v>
      </c>
      <c r="D3" s="164"/>
      <c r="E3" s="148" t="s">
        <v>718</v>
      </c>
      <c r="F3" s="149" t="s">
        <v>719</v>
      </c>
      <c r="G3" s="148" t="s">
        <v>370</v>
      </c>
      <c r="H3" s="148" t="s">
        <v>384</v>
      </c>
      <c r="I3" s="148" t="s">
        <v>103</v>
      </c>
      <c r="J3" s="148" t="s">
        <v>370</v>
      </c>
      <c r="K3" s="148" t="s">
        <v>384</v>
      </c>
      <c r="L3" s="148" t="s">
        <v>103</v>
      </c>
      <c r="M3" s="72"/>
      <c r="N3" s="72"/>
    </row>
    <row r="4" spans="1:14" s="73" customFormat="1" ht="22" customHeight="1" x14ac:dyDescent="0.45">
      <c r="A4" s="144" t="s">
        <v>417</v>
      </c>
      <c r="B4" s="151">
        <v>0</v>
      </c>
      <c r="C4" s="153">
        <v>0</v>
      </c>
      <c r="D4" s="72"/>
      <c r="E4" s="148">
        <v>1</v>
      </c>
      <c r="F4" s="150" t="s">
        <v>104</v>
      </c>
      <c r="G4" s="148">
        <v>8.3000000000000007</v>
      </c>
      <c r="H4" s="148">
        <v>100</v>
      </c>
      <c r="I4" s="148">
        <v>8.3000000000000007</v>
      </c>
      <c r="J4" s="148">
        <v>22</v>
      </c>
      <c r="K4" s="148">
        <v>100</v>
      </c>
      <c r="L4" s="148">
        <v>22</v>
      </c>
      <c r="M4" s="72"/>
      <c r="N4" s="72"/>
    </row>
    <row r="5" spans="1:14" ht="22" customHeight="1" x14ac:dyDescent="0.45">
      <c r="A5" s="144" t="s">
        <v>812</v>
      </c>
      <c r="B5" s="151">
        <v>0</v>
      </c>
      <c r="C5" s="153">
        <v>0</v>
      </c>
      <c r="D5" s="72"/>
      <c r="E5" s="148">
        <v>2</v>
      </c>
      <c r="F5" s="150" t="s">
        <v>105</v>
      </c>
      <c r="G5" s="148">
        <v>8.3000000000000007</v>
      </c>
      <c r="H5" s="148">
        <v>91.7</v>
      </c>
      <c r="I5" s="148">
        <v>9.1</v>
      </c>
      <c r="J5" s="148">
        <v>18</v>
      </c>
      <c r="K5" s="148">
        <v>78</v>
      </c>
      <c r="L5" s="148">
        <v>23.1</v>
      </c>
      <c r="M5" s="72"/>
      <c r="N5" s="72"/>
    </row>
    <row r="6" spans="1:14" ht="22" customHeight="1" x14ac:dyDescent="0.45">
      <c r="A6" s="144" t="s">
        <v>721</v>
      </c>
      <c r="B6" s="151">
        <v>0</v>
      </c>
      <c r="C6" s="153">
        <v>0</v>
      </c>
      <c r="D6" s="72"/>
      <c r="E6" s="148">
        <v>3</v>
      </c>
      <c r="F6" s="150" t="s">
        <v>106</v>
      </c>
      <c r="G6" s="148">
        <v>8.4</v>
      </c>
      <c r="H6" s="148">
        <v>83.4</v>
      </c>
      <c r="I6" s="148">
        <v>10.1</v>
      </c>
      <c r="J6" s="148">
        <v>9.5</v>
      </c>
      <c r="K6" s="148">
        <v>60</v>
      </c>
      <c r="L6" s="148">
        <v>15.8</v>
      </c>
      <c r="M6" s="72"/>
      <c r="N6" s="72"/>
    </row>
    <row r="7" spans="1:14" s="22" customFormat="1" ht="22" customHeight="1" x14ac:dyDescent="0.45">
      <c r="A7" s="144" t="s">
        <v>453</v>
      </c>
      <c r="B7" s="143">
        <f>B4+B5+B6</f>
        <v>0</v>
      </c>
      <c r="C7" s="143">
        <f>C4+C5+C6</f>
        <v>0</v>
      </c>
      <c r="D7" s="90"/>
      <c r="E7" s="148">
        <v>4</v>
      </c>
      <c r="F7" s="150" t="s">
        <v>107</v>
      </c>
      <c r="G7" s="148">
        <v>8.3000000000000007</v>
      </c>
      <c r="H7" s="148">
        <v>75</v>
      </c>
      <c r="I7" s="148">
        <v>11.1</v>
      </c>
      <c r="J7" s="148">
        <v>4</v>
      </c>
      <c r="K7" s="148">
        <v>50.5</v>
      </c>
      <c r="L7" s="148">
        <v>7.9</v>
      </c>
      <c r="M7" s="90"/>
      <c r="N7" s="90"/>
    </row>
    <row r="8" spans="1:14" ht="22" customHeight="1" x14ac:dyDescent="0.45">
      <c r="A8" s="144" t="s">
        <v>718</v>
      </c>
      <c r="B8" s="152">
        <v>1</v>
      </c>
      <c r="C8" s="154">
        <v>1</v>
      </c>
      <c r="D8" s="72"/>
      <c r="E8" s="148">
        <v>5</v>
      </c>
      <c r="F8" s="150" t="s">
        <v>108</v>
      </c>
      <c r="G8" s="148">
        <v>8.3000000000000007</v>
      </c>
      <c r="H8" s="148">
        <v>66.7</v>
      </c>
      <c r="I8" s="148">
        <v>12.4</v>
      </c>
      <c r="J8" s="148">
        <v>4</v>
      </c>
      <c r="K8" s="148">
        <v>46.5</v>
      </c>
      <c r="L8" s="148">
        <v>8.6</v>
      </c>
      <c r="M8" s="72"/>
      <c r="N8" s="72"/>
    </row>
    <row r="9" spans="1:14" ht="22" customHeight="1" x14ac:dyDescent="0.45">
      <c r="A9" s="144" t="s">
        <v>719</v>
      </c>
      <c r="B9" s="145" t="str">
        <f>VLOOKUP(B8,E:I,2,FALSE)</f>
        <v>September</v>
      </c>
      <c r="C9" s="145" t="str">
        <f>VLOOKUP(C8,E:I,2,FALSE)</f>
        <v>September</v>
      </c>
      <c r="D9" s="72"/>
      <c r="E9" s="148">
        <v>6</v>
      </c>
      <c r="F9" s="150" t="s">
        <v>109</v>
      </c>
      <c r="G9" s="148">
        <v>8.4</v>
      </c>
      <c r="H9" s="148">
        <v>58.4</v>
      </c>
      <c r="I9" s="148">
        <v>14.4</v>
      </c>
      <c r="J9" s="148">
        <v>4</v>
      </c>
      <c r="K9" s="148">
        <v>42.5</v>
      </c>
      <c r="L9" s="148">
        <v>9.4</v>
      </c>
      <c r="M9" s="72"/>
      <c r="N9" s="72"/>
    </row>
    <row r="10" spans="1:14" ht="22" customHeight="1" x14ac:dyDescent="0.45">
      <c r="A10" s="146" t="s">
        <v>720</v>
      </c>
      <c r="B10" s="147">
        <f>VLOOKUP(B8,E4:I16,5,FALSE)/100</f>
        <v>8.3000000000000004E-2</v>
      </c>
      <c r="C10" s="147">
        <f>VLOOKUP(C8,E4:L16,8,FALSE)/100</f>
        <v>0.22</v>
      </c>
      <c r="D10" s="72"/>
      <c r="E10" s="148">
        <v>7</v>
      </c>
      <c r="F10" s="150" t="s">
        <v>110</v>
      </c>
      <c r="G10" s="148">
        <v>8.3000000000000007</v>
      </c>
      <c r="H10" s="148">
        <v>50</v>
      </c>
      <c r="I10" s="148">
        <v>16.600000000000001</v>
      </c>
      <c r="J10" s="148">
        <v>4</v>
      </c>
      <c r="K10" s="148">
        <v>38.5</v>
      </c>
      <c r="L10" s="148">
        <v>10.4</v>
      </c>
      <c r="M10" s="72"/>
      <c r="N10" s="72"/>
    </row>
    <row r="11" spans="1:14" ht="22" customHeight="1" x14ac:dyDescent="0.45">
      <c r="A11" s="146" t="s">
        <v>766</v>
      </c>
      <c r="B11" s="143">
        <f>B7*B10</f>
        <v>0</v>
      </c>
      <c r="C11" s="143">
        <f>C7*C10</f>
        <v>0</v>
      </c>
      <c r="D11" s="72"/>
      <c r="E11" s="148">
        <v>8</v>
      </c>
      <c r="F11" s="150" t="s">
        <v>111</v>
      </c>
      <c r="G11" s="148">
        <v>8.3000000000000007</v>
      </c>
      <c r="H11" s="148">
        <v>41.7</v>
      </c>
      <c r="I11" s="148">
        <v>19.899999999999999</v>
      </c>
      <c r="J11" s="148">
        <v>7.5</v>
      </c>
      <c r="K11" s="148">
        <v>34.5</v>
      </c>
      <c r="L11" s="148">
        <v>21.7</v>
      </c>
      <c r="M11" s="72"/>
      <c r="N11" s="72"/>
    </row>
    <row r="12" spans="1:14" ht="22" customHeight="1" x14ac:dyDescent="0.45">
      <c r="A12" s="93"/>
      <c r="B12" s="74"/>
      <c r="C12" s="74"/>
      <c r="D12" s="74"/>
      <c r="E12" s="148">
        <v>9</v>
      </c>
      <c r="F12" s="150" t="s">
        <v>112</v>
      </c>
      <c r="G12" s="148">
        <v>8.4</v>
      </c>
      <c r="H12" s="148">
        <v>33.4</v>
      </c>
      <c r="I12" s="148">
        <v>25.1</v>
      </c>
      <c r="J12" s="148">
        <v>5</v>
      </c>
      <c r="K12" s="148">
        <v>27</v>
      </c>
      <c r="L12" s="148">
        <v>18.5</v>
      </c>
    </row>
    <row r="13" spans="1:14" ht="22" customHeight="1" x14ac:dyDescent="0.45">
      <c r="A13" s="155"/>
      <c r="B13" s="74"/>
      <c r="C13" s="74"/>
      <c r="D13" s="74"/>
      <c r="E13" s="148">
        <v>10</v>
      </c>
      <c r="F13" s="150" t="s">
        <v>113</v>
      </c>
      <c r="G13" s="148">
        <v>8.3000000000000007</v>
      </c>
      <c r="H13" s="148">
        <v>25</v>
      </c>
      <c r="I13" s="148">
        <v>33.200000000000003</v>
      </c>
      <c r="J13" s="148">
        <v>7</v>
      </c>
      <c r="K13" s="148">
        <v>22</v>
      </c>
      <c r="L13" s="148">
        <v>31.8</v>
      </c>
    </row>
    <row r="14" spans="1:14" ht="22" customHeight="1" x14ac:dyDescent="0.45">
      <c r="E14" s="148">
        <v>11</v>
      </c>
      <c r="F14" s="150" t="s">
        <v>114</v>
      </c>
      <c r="G14" s="148">
        <v>8.3000000000000007</v>
      </c>
      <c r="H14" s="148">
        <v>16.7</v>
      </c>
      <c r="I14" s="148">
        <v>49.7</v>
      </c>
      <c r="J14" s="148">
        <v>7</v>
      </c>
      <c r="K14" s="148">
        <v>15</v>
      </c>
      <c r="L14" s="148">
        <v>46.7</v>
      </c>
    </row>
    <row r="15" spans="1:14" ht="22" customHeight="1" x14ac:dyDescent="0.45">
      <c r="E15" s="148">
        <v>12</v>
      </c>
      <c r="F15" s="150" t="s">
        <v>115</v>
      </c>
      <c r="G15" s="148">
        <v>8.4</v>
      </c>
      <c r="H15" s="148">
        <v>8.4</v>
      </c>
      <c r="I15" s="148">
        <v>100</v>
      </c>
      <c r="J15" s="148">
        <v>8</v>
      </c>
      <c r="K15" s="148">
        <v>8</v>
      </c>
      <c r="L15" s="148">
        <v>100</v>
      </c>
    </row>
    <row r="16" spans="1:14" ht="22" customHeight="1" x14ac:dyDescent="0.45">
      <c r="E16" s="148">
        <v>13</v>
      </c>
      <c r="F16" s="150" t="s">
        <v>385</v>
      </c>
      <c r="G16" s="148"/>
      <c r="H16" s="148"/>
      <c r="I16" s="148">
        <v>100</v>
      </c>
      <c r="J16" s="148"/>
      <c r="K16" s="148"/>
      <c r="L16" s="148">
        <v>100</v>
      </c>
    </row>
    <row r="19" spans="1:8" x14ac:dyDescent="0.45">
      <c r="H19" s="74"/>
    </row>
    <row r="20" spans="1:8" x14ac:dyDescent="0.45">
      <c r="H20" s="74"/>
    </row>
    <row r="21" spans="1:8" x14ac:dyDescent="0.45">
      <c r="H21" s="74"/>
    </row>
    <row r="22" spans="1:8" x14ac:dyDescent="0.45">
      <c r="H22" s="74"/>
    </row>
    <row r="23" spans="1:8" x14ac:dyDescent="0.45">
      <c r="H23" s="74"/>
    </row>
    <row r="24" spans="1:8" x14ac:dyDescent="0.45">
      <c r="H24" s="74"/>
    </row>
    <row r="25" spans="1:8" x14ac:dyDescent="0.45">
      <c r="H25" s="74"/>
    </row>
    <row r="26" spans="1:8" x14ac:dyDescent="0.45">
      <c r="H26" s="74"/>
    </row>
    <row r="27" spans="1:8" x14ac:dyDescent="0.45">
      <c r="H27" s="74"/>
    </row>
    <row r="28" spans="1:8" x14ac:dyDescent="0.45">
      <c r="H28" s="74"/>
    </row>
    <row r="29" spans="1:8" x14ac:dyDescent="0.45">
      <c r="A29" s="85"/>
      <c r="B29" s="88"/>
      <c r="C29" s="88"/>
      <c r="D29" s="88"/>
      <c r="E29" s="88"/>
      <c r="F29" s="88"/>
      <c r="G29" s="89"/>
      <c r="H29" s="74"/>
    </row>
    <row r="30" spans="1:8" x14ac:dyDescent="0.45">
      <c r="A30" s="88"/>
      <c r="B30" s="88"/>
      <c r="C30" s="88"/>
      <c r="D30" s="88"/>
      <c r="E30" s="88"/>
      <c r="F30" s="88"/>
      <c r="G30" s="89"/>
      <c r="H30" s="74"/>
    </row>
    <row r="31" spans="1:8" x14ac:dyDescent="0.45">
      <c r="A31" s="88"/>
      <c r="B31" s="88"/>
      <c r="C31" s="88"/>
      <c r="D31" s="88"/>
      <c r="E31" s="88"/>
      <c r="F31" s="88"/>
      <c r="G31" s="89"/>
      <c r="H31" s="74"/>
    </row>
    <row r="32" spans="1:8" x14ac:dyDescent="0.45">
      <c r="A32" s="88"/>
      <c r="B32" s="88"/>
      <c r="C32" s="88"/>
      <c r="D32" s="88"/>
      <c r="E32" s="88"/>
      <c r="F32" s="88"/>
      <c r="G32" s="89"/>
      <c r="H32" s="74"/>
    </row>
    <row r="33" spans="1:8" x14ac:dyDescent="0.45">
      <c r="A33" s="88"/>
      <c r="B33" s="88"/>
      <c r="C33" s="88"/>
      <c r="D33" s="88"/>
      <c r="E33" s="88"/>
      <c r="F33" s="88"/>
      <c r="G33" s="89"/>
      <c r="H33" s="74"/>
    </row>
    <row r="34" spans="1:8" x14ac:dyDescent="0.45">
      <c r="A34" s="88"/>
      <c r="B34" s="88"/>
      <c r="C34" s="88"/>
      <c r="D34" s="88"/>
      <c r="E34" s="88"/>
      <c r="F34" s="88"/>
      <c r="G34" s="89"/>
      <c r="H34" s="74"/>
    </row>
    <row r="35" spans="1:8" x14ac:dyDescent="0.45">
      <c r="A35" s="88"/>
      <c r="B35" s="88"/>
      <c r="C35" s="88"/>
      <c r="D35" s="88"/>
      <c r="E35" s="88"/>
      <c r="F35" s="88"/>
      <c r="G35" s="89"/>
      <c r="H35" s="74"/>
    </row>
    <row r="36" spans="1:8" x14ac:dyDescent="0.45">
      <c r="A36" s="74"/>
      <c r="B36" s="74"/>
      <c r="C36" s="74"/>
      <c r="D36" s="74"/>
      <c r="E36" s="74"/>
      <c r="F36" s="74"/>
      <c r="G36" s="74"/>
      <c r="H36" s="74"/>
    </row>
  </sheetData>
  <sheetProtection algorithmName="SHA-512" hashValue="ZiZ6BCXd6Z2fK/4Zz0CBRUfnMcMjaWxSLVTiMCScPdYV///00fK3jCGVUHiTuAJZIoXxqLtBlzcyjwysR4HIbQ==" saltValue="oahIuokySxL8ieM/X2FNjw==" spinCount="100000" sheet="1" objects="1" scenarios="1"/>
  <dataValidations count="3">
    <dataValidation type="whole" allowBlank="1" showInputMessage="1" showErrorMessage="1" error="Payment number must be 1 through 13._x000a_" sqref="B8:C8" xr:uid="{00000000-0002-0000-0400-000000000000}">
      <formula1>1</formula1>
      <formula2>13</formula2>
    </dataValidation>
    <dataValidation type="whole" operator="lessThanOrEqual" allowBlank="1" showInputMessage="1" showErrorMessage="1" error="Paid to Date amount must be entered as a negativve amount." sqref="B6:C6" xr:uid="{00000000-0002-0000-0400-000001000000}">
      <formula1>0</formula1>
    </dataValidation>
    <dataValidation allowBlank="1" showInputMessage="1" error="Payment number must be 1 through 13._x000a_" sqref="B9:C9" xr:uid="{9C5481B4-5FFC-40F4-8F01-D1F556D4A872}"/>
  </dataValidations>
  <pageMargins left="0.7" right="0.7" top="0.75" bottom="0.75" header="0.3" footer="0.3"/>
  <pageSetup scale="39" fitToHeight="0"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FF5D-B5E0-4A9F-9FE4-46608F4553DA}">
  <sheetPr codeName="Sheet8">
    <tabColor rgb="FFFF0000"/>
  </sheetPr>
  <dimension ref="A1:JN189"/>
  <sheetViews>
    <sheetView zoomScaleNormal="100" workbookViewId="0">
      <selection sqref="A1:XFD1048576"/>
    </sheetView>
  </sheetViews>
  <sheetFormatPr defaultColWidth="9.1796875" defaultRowHeight="12.5" x14ac:dyDescent="0.25"/>
  <cols>
    <col min="1" max="1" width="12.453125" style="591" bestFit="1" customWidth="1"/>
    <col min="2" max="2" width="11.7265625" style="591" bestFit="1" customWidth="1"/>
    <col min="3" max="3" width="16" style="591" bestFit="1" customWidth="1"/>
    <col min="4" max="4" width="14" style="591" bestFit="1" customWidth="1"/>
    <col min="5" max="5" width="5" style="591" bestFit="1" customWidth="1"/>
    <col min="6" max="6" width="22.1796875" style="591" bestFit="1" customWidth="1"/>
    <col min="7" max="7" width="23.1796875" style="591" bestFit="1" customWidth="1"/>
    <col min="8" max="8" width="15.26953125" style="591" bestFit="1" customWidth="1"/>
    <col min="9" max="9" width="23.7265625" style="591" bestFit="1" customWidth="1"/>
    <col min="10" max="10" width="18.54296875" style="591" bestFit="1" customWidth="1"/>
    <col min="11" max="11" width="22.81640625" style="591" bestFit="1" customWidth="1"/>
    <col min="12" max="12" width="11.1796875" style="591" bestFit="1" customWidth="1"/>
    <col min="13" max="13" width="29.26953125" style="591" bestFit="1" customWidth="1"/>
    <col min="14" max="14" width="17.26953125" style="591" bestFit="1" customWidth="1"/>
    <col min="15" max="15" width="23.453125" style="591" bestFit="1" customWidth="1"/>
    <col min="16" max="16" width="10" style="591" bestFit="1" customWidth="1"/>
    <col min="17" max="17" width="23.7265625" style="591" bestFit="1" customWidth="1"/>
    <col min="18" max="18" width="11.453125" style="591" bestFit="1" customWidth="1"/>
    <col min="19" max="20" width="10.54296875" style="591" bestFit="1" customWidth="1"/>
    <col min="21" max="21" width="20.81640625" style="591" bestFit="1" customWidth="1"/>
    <col min="22" max="22" width="9" style="591" bestFit="1" customWidth="1"/>
    <col min="23" max="23" width="10.453125" style="591" bestFit="1" customWidth="1"/>
    <col min="24" max="24" width="18.54296875" style="591" bestFit="1" customWidth="1"/>
    <col min="25" max="25" width="17.453125" style="591" bestFit="1" customWidth="1"/>
    <col min="26" max="26" width="24.81640625" style="591" bestFit="1" customWidth="1"/>
    <col min="27" max="27" width="4" style="591" bestFit="1" customWidth="1"/>
    <col min="28" max="28" width="8.453125" style="591" bestFit="1" customWidth="1"/>
    <col min="29" max="29" width="18.7265625" style="591" bestFit="1" customWidth="1"/>
    <col min="30" max="30" width="11.453125" style="591" bestFit="1" customWidth="1"/>
    <col min="31" max="31" width="21" style="591" bestFit="1" customWidth="1"/>
    <col min="32" max="33" width="9" style="591" bestFit="1" customWidth="1"/>
    <col min="34" max="34" width="24.54296875" style="591" bestFit="1" customWidth="1"/>
    <col min="35" max="36" width="12.54296875" style="591" bestFit="1" customWidth="1"/>
    <col min="37" max="37" width="19.81640625" style="591" bestFit="1" customWidth="1"/>
    <col min="38" max="38" width="60.453125" style="591" bestFit="1" customWidth="1"/>
    <col min="39" max="39" width="8.1796875" style="591" bestFit="1" customWidth="1"/>
    <col min="40" max="40" width="20.453125" style="591" bestFit="1" customWidth="1"/>
    <col min="41" max="41" width="26.1796875" style="591" bestFit="1" customWidth="1"/>
    <col min="42" max="42" width="19.54296875" style="591" bestFit="1" customWidth="1"/>
    <col min="43" max="43" width="19.453125" style="591" bestFit="1" customWidth="1"/>
    <col min="44" max="44" width="8.81640625" style="591" bestFit="1" customWidth="1"/>
    <col min="45" max="45" width="5.81640625" style="591" bestFit="1" customWidth="1"/>
    <col min="46" max="46" width="14.7265625" style="591" bestFit="1" customWidth="1"/>
    <col min="47" max="47" width="10.81640625" style="591" bestFit="1" customWidth="1"/>
    <col min="48" max="48" width="23.54296875" style="591" bestFit="1" customWidth="1"/>
    <col min="49" max="50" width="15.81640625" style="591" bestFit="1" customWidth="1"/>
    <col min="51" max="51" width="20.7265625" style="591" bestFit="1" customWidth="1"/>
    <col min="52" max="52" width="19.54296875" style="591" bestFit="1" customWidth="1"/>
    <col min="53" max="53" width="14.7265625" style="591" bestFit="1" customWidth="1"/>
    <col min="54" max="54" width="10.1796875" style="591" bestFit="1" customWidth="1"/>
    <col min="55" max="55" width="18.26953125" style="591" bestFit="1" customWidth="1"/>
    <col min="56" max="56" width="11.7265625" style="591" bestFit="1" customWidth="1"/>
    <col min="57" max="57" width="17" style="591" bestFit="1" customWidth="1"/>
    <col min="58" max="58" width="11" style="591" bestFit="1" customWidth="1"/>
    <col min="59" max="59" width="5.81640625" style="591" bestFit="1" customWidth="1"/>
    <col min="60" max="60" width="19.26953125" style="591" bestFit="1" customWidth="1"/>
    <col min="61" max="61" width="21.1796875" style="591" bestFit="1" customWidth="1"/>
    <col min="62" max="62" width="16.7265625" style="591" bestFit="1" customWidth="1"/>
    <col min="63" max="63" width="24.54296875" style="591" bestFit="1" customWidth="1"/>
    <col min="64" max="64" width="17.453125" style="591" bestFit="1" customWidth="1"/>
    <col min="65" max="65" width="17.26953125" style="591" bestFit="1" customWidth="1"/>
    <col min="66" max="66" width="24.453125" style="591" bestFit="1" customWidth="1"/>
    <col min="67" max="67" width="26" style="591" bestFit="1" customWidth="1"/>
    <col min="68" max="68" width="25.81640625" style="591" bestFit="1" customWidth="1"/>
    <col min="69" max="69" width="5.1796875" style="591" bestFit="1" customWidth="1"/>
    <col min="70" max="70" width="9.1796875" style="591"/>
    <col min="71" max="71" width="20.453125" style="591" bestFit="1" customWidth="1"/>
    <col min="72" max="74" width="14.1796875" style="591" bestFit="1" customWidth="1"/>
    <col min="75" max="75" width="20.81640625" style="591" bestFit="1" customWidth="1"/>
    <col min="76" max="76" width="18" style="591" bestFit="1" customWidth="1"/>
    <col min="77" max="77" width="14.26953125" style="591" bestFit="1" customWidth="1"/>
    <col min="78" max="78" width="5.81640625" style="591" bestFit="1" customWidth="1"/>
    <col min="79" max="79" width="10" style="591" bestFit="1" customWidth="1"/>
    <col min="80" max="80" width="11.81640625" style="591" bestFit="1" customWidth="1"/>
    <col min="81" max="81" width="19" style="591" bestFit="1" customWidth="1"/>
    <col min="82" max="84" width="21.7265625" style="591" bestFit="1" customWidth="1"/>
    <col min="85" max="85" width="20.7265625" style="591" bestFit="1" customWidth="1"/>
    <col min="86" max="86" width="28.54296875" style="591" bestFit="1" customWidth="1"/>
    <col min="87" max="87" width="9.7265625" style="591" bestFit="1" customWidth="1"/>
    <col min="88" max="88" width="21" style="591" bestFit="1" customWidth="1"/>
    <col min="89" max="89" width="9.81640625" style="591" bestFit="1" customWidth="1"/>
    <col min="90" max="90" width="11.7265625" style="591" bestFit="1" customWidth="1"/>
    <col min="91" max="91" width="6.7265625" style="591" bestFit="1" customWidth="1"/>
    <col min="92" max="92" width="16.81640625" style="591" bestFit="1" customWidth="1"/>
    <col min="93" max="93" width="19.453125" style="591" bestFit="1" customWidth="1"/>
    <col min="94" max="94" width="9.26953125" style="591" bestFit="1" customWidth="1"/>
    <col min="95" max="95" width="14.81640625" style="591" bestFit="1" customWidth="1"/>
    <col min="96" max="96" width="23.26953125" style="591" bestFit="1" customWidth="1"/>
    <col min="97" max="97" width="16.54296875" style="591" bestFit="1" customWidth="1"/>
    <col min="98" max="98" width="13.1796875" style="591" bestFit="1" customWidth="1"/>
    <col min="99" max="99" width="21.7265625" style="591" bestFit="1" customWidth="1"/>
    <col min="100" max="100" width="22.1796875" style="591" bestFit="1" customWidth="1"/>
    <col min="101" max="101" width="19.453125" style="591" bestFit="1" customWidth="1"/>
    <col min="102" max="102" width="22.81640625" style="591" bestFit="1" customWidth="1"/>
    <col min="103" max="103" width="18.453125" style="591" bestFit="1" customWidth="1"/>
    <col min="104" max="104" width="12.26953125" style="591" bestFit="1" customWidth="1"/>
    <col min="105" max="105" width="23.54296875" style="591" bestFit="1" customWidth="1"/>
    <col min="106" max="106" width="17.26953125" style="591" bestFit="1" customWidth="1"/>
    <col min="107" max="107" width="13.54296875" style="591" bestFit="1" customWidth="1"/>
    <col min="108" max="108" width="20" style="591" bestFit="1" customWidth="1"/>
    <col min="109" max="109" width="11.54296875" style="591" bestFit="1" customWidth="1"/>
    <col min="110" max="110" width="19.7265625" style="591" bestFit="1" customWidth="1"/>
    <col min="111" max="111" width="13.26953125" style="591" bestFit="1" customWidth="1"/>
    <col min="112" max="112" width="21.1796875" style="591" bestFit="1" customWidth="1"/>
    <col min="113" max="113" width="16.54296875" style="591" bestFit="1" customWidth="1"/>
    <col min="114" max="114" width="18.54296875" style="591" bestFit="1" customWidth="1"/>
    <col min="115" max="115" width="5" style="591" bestFit="1" customWidth="1"/>
    <col min="116" max="116" width="22.453125" style="591" bestFit="1" customWidth="1"/>
    <col min="117" max="117" width="23.7265625" style="591" bestFit="1" customWidth="1"/>
    <col min="118" max="118" width="26.7265625" style="591" bestFit="1" customWidth="1"/>
    <col min="119" max="119" width="20.54296875" style="591" bestFit="1" customWidth="1"/>
    <col min="120" max="120" width="31.81640625" style="591" bestFit="1" customWidth="1"/>
    <col min="121" max="121" width="28.54296875" style="591" bestFit="1" customWidth="1"/>
    <col min="122" max="122" width="29.81640625" style="591" bestFit="1" customWidth="1"/>
    <col min="123" max="123" width="26.7265625" style="591" bestFit="1" customWidth="1"/>
    <col min="124" max="124" width="30.1796875" style="591" bestFit="1" customWidth="1"/>
    <col min="125" max="125" width="34.1796875" style="591" bestFit="1" customWidth="1"/>
    <col min="126" max="126" width="33.453125" style="591" bestFit="1" customWidth="1"/>
    <col min="127" max="127" width="27.26953125" style="591" bestFit="1" customWidth="1"/>
    <col min="128" max="128" width="30.7265625" style="591" bestFit="1" customWidth="1"/>
    <col min="129" max="129" width="23.26953125" style="591" bestFit="1" customWidth="1"/>
    <col min="130" max="130" width="29.453125" style="591" bestFit="1" customWidth="1"/>
    <col min="131" max="131" width="26.81640625" style="591" bestFit="1" customWidth="1"/>
    <col min="132" max="132" width="23.54296875" style="591" bestFit="1" customWidth="1"/>
    <col min="133" max="133" width="27.453125" style="591" bestFit="1" customWidth="1"/>
    <col min="134" max="134" width="29.26953125" style="591" bestFit="1" customWidth="1"/>
    <col min="135" max="135" width="24.7265625" style="591" bestFit="1" customWidth="1"/>
    <col min="136" max="136" width="22.453125" style="591" bestFit="1" customWidth="1"/>
    <col min="137" max="137" width="24.7265625" style="591" bestFit="1" customWidth="1"/>
    <col min="138" max="138" width="20.7265625" style="591" bestFit="1" customWidth="1"/>
    <col min="139" max="139" width="24" style="591" bestFit="1" customWidth="1"/>
    <col min="140" max="140" width="21.7265625" style="591" bestFit="1" customWidth="1"/>
    <col min="141" max="141" width="25" style="591" bestFit="1" customWidth="1"/>
    <col min="142" max="142" width="29" style="591" bestFit="1" customWidth="1"/>
    <col min="143" max="143" width="28.453125" style="591" bestFit="1" customWidth="1"/>
    <col min="144" max="144" width="22.26953125" style="591" bestFit="1" customWidth="1"/>
    <col min="145" max="145" width="28" style="591" bestFit="1" customWidth="1"/>
    <col min="146" max="146" width="25.7265625" style="591" bestFit="1" customWidth="1"/>
    <col min="147" max="147" width="23.1796875" style="591" bestFit="1" customWidth="1"/>
    <col min="148" max="148" width="18.26953125" style="591" bestFit="1" customWidth="1"/>
    <col min="149" max="149" width="29" style="591" bestFit="1" customWidth="1"/>
    <col min="150" max="150" width="13.7265625" style="591" bestFit="1" customWidth="1"/>
    <col min="151" max="151" width="12.1796875" style="591" bestFit="1" customWidth="1"/>
    <col min="152" max="152" width="20" style="591" bestFit="1" customWidth="1"/>
    <col min="153" max="153" width="17.26953125" style="591" bestFit="1" customWidth="1"/>
    <col min="154" max="154" width="12.54296875" style="591" bestFit="1" customWidth="1"/>
    <col min="155" max="155" width="19.54296875" style="591" bestFit="1" customWidth="1"/>
    <col min="156" max="156" width="16.54296875" style="591" bestFit="1" customWidth="1"/>
    <col min="157" max="157" width="21.1796875" style="591" bestFit="1" customWidth="1"/>
    <col min="158" max="158" width="20.453125" style="591" bestFit="1" customWidth="1"/>
    <col min="159" max="159" width="16.26953125" style="591" bestFit="1" customWidth="1"/>
    <col min="160" max="162" width="15.26953125" style="591" bestFit="1" customWidth="1"/>
    <col min="163" max="164" width="15.81640625" style="591" bestFit="1" customWidth="1"/>
    <col min="165" max="166" width="23.453125" style="591" bestFit="1" customWidth="1"/>
    <col min="167" max="167" width="13.7265625" style="591" bestFit="1" customWidth="1"/>
    <col min="168" max="168" width="15.453125" style="591" bestFit="1" customWidth="1"/>
    <col min="169" max="169" width="21.54296875" style="591" bestFit="1" customWidth="1"/>
    <col min="170" max="170" width="23.1796875" style="591" bestFit="1" customWidth="1"/>
    <col min="171" max="171" width="19.1796875" style="591" bestFit="1" customWidth="1"/>
    <col min="172" max="172" width="23" style="591" bestFit="1" customWidth="1"/>
    <col min="173" max="173" width="18.54296875" style="591" bestFit="1" customWidth="1"/>
    <col min="174" max="174" width="28.7265625" style="591" bestFit="1" customWidth="1"/>
    <col min="175" max="175" width="21.81640625" style="591" bestFit="1" customWidth="1"/>
    <col min="176" max="176" width="19.7265625" style="591" bestFit="1" customWidth="1"/>
    <col min="177" max="177" width="11.1796875" style="591" bestFit="1" customWidth="1"/>
    <col min="178" max="178" width="24.453125" style="591" bestFit="1" customWidth="1"/>
    <col min="179" max="179" width="9.453125" style="591" bestFit="1" customWidth="1"/>
    <col min="180" max="180" width="22.7265625" style="591" bestFit="1" customWidth="1"/>
    <col min="181" max="181" width="13.26953125" style="591" bestFit="1" customWidth="1"/>
    <col min="182" max="182" width="19.453125" style="591" bestFit="1" customWidth="1"/>
    <col min="183" max="183" width="17" style="591" bestFit="1" customWidth="1"/>
    <col min="184" max="184" width="14.453125" style="591" bestFit="1" customWidth="1"/>
    <col min="185" max="185" width="22.54296875" style="591" bestFit="1" customWidth="1"/>
    <col min="186" max="186" width="12" style="591" bestFit="1" customWidth="1"/>
    <col min="187" max="187" width="21.453125" style="591" bestFit="1" customWidth="1"/>
    <col min="188" max="188" width="9.7265625" style="591" bestFit="1" customWidth="1"/>
    <col min="189" max="189" width="13.26953125" style="591" bestFit="1" customWidth="1"/>
    <col min="190" max="190" width="18.54296875" style="591" bestFit="1" customWidth="1"/>
    <col min="191" max="191" width="19.1796875" style="591" bestFit="1" customWidth="1"/>
    <col min="192" max="192" width="21.81640625" style="591" bestFit="1" customWidth="1"/>
    <col min="193" max="193" width="25.81640625" style="591" bestFit="1" customWidth="1"/>
    <col min="194" max="194" width="18.453125" style="591" bestFit="1" customWidth="1"/>
    <col min="195" max="195" width="16.26953125" style="591" bestFit="1" customWidth="1"/>
    <col min="196" max="196" width="18.453125" style="591" bestFit="1" customWidth="1"/>
    <col min="197" max="197" width="20.7265625" style="591" bestFit="1" customWidth="1"/>
    <col min="198" max="198" width="28.54296875" style="591" bestFit="1" customWidth="1"/>
    <col min="199" max="199" width="18.1796875" style="591" bestFit="1" customWidth="1"/>
    <col min="200" max="200" width="14" style="591" bestFit="1" customWidth="1"/>
    <col min="201" max="202" width="19" style="591" bestFit="1" customWidth="1"/>
    <col min="203" max="203" width="18.453125" style="591" bestFit="1" customWidth="1"/>
    <col min="204" max="204" width="25.54296875" style="591" bestFit="1" customWidth="1"/>
    <col min="205" max="205" width="22.81640625" style="591" bestFit="1" customWidth="1"/>
    <col min="206" max="206" width="18.81640625" style="591" bestFit="1" customWidth="1"/>
    <col min="207" max="207" width="23.453125" style="591" bestFit="1" customWidth="1"/>
    <col min="208" max="208" width="22" style="591" bestFit="1" customWidth="1"/>
    <col min="209" max="209" width="23" style="591" bestFit="1" customWidth="1"/>
    <col min="210" max="210" width="27.7265625" style="591" bestFit="1" customWidth="1"/>
    <col min="211" max="211" width="26.1796875" style="591" bestFit="1" customWidth="1"/>
    <col min="212" max="212" width="20.26953125" style="591" bestFit="1" customWidth="1"/>
    <col min="213" max="213" width="16.1796875" style="591" bestFit="1" customWidth="1"/>
    <col min="214" max="214" width="18.453125" style="591" bestFit="1" customWidth="1"/>
    <col min="215" max="215" width="16.7265625" style="591" bestFit="1" customWidth="1"/>
    <col min="216" max="216" width="17.7265625" style="591" bestFit="1" customWidth="1"/>
    <col min="217" max="217" width="22.1796875" style="591" bestFit="1" customWidth="1"/>
    <col min="218" max="218" width="15.1796875" style="591" bestFit="1" customWidth="1"/>
    <col min="219" max="219" width="23.1796875" style="591" bestFit="1" customWidth="1"/>
    <col min="220" max="220" width="19.1796875" style="591" bestFit="1" customWidth="1"/>
    <col min="221" max="221" width="25.1796875" style="591" bestFit="1" customWidth="1"/>
    <col min="222" max="222" width="23.54296875" style="591" bestFit="1" customWidth="1"/>
    <col min="223" max="223" width="15.7265625" style="591" bestFit="1" customWidth="1"/>
    <col min="224" max="224" width="16.81640625" style="591" bestFit="1" customWidth="1"/>
    <col min="225" max="225" width="20.81640625" style="591" bestFit="1" customWidth="1"/>
    <col min="226" max="226" width="18.81640625" style="591" bestFit="1" customWidth="1"/>
    <col min="227" max="227" width="21" style="591" bestFit="1" customWidth="1"/>
    <col min="228" max="228" width="15.81640625" style="591" bestFit="1" customWidth="1"/>
    <col min="229" max="229" width="21.1796875" style="591" bestFit="1" customWidth="1"/>
    <col min="230" max="230" width="6.54296875" style="591" bestFit="1" customWidth="1"/>
    <col min="231" max="231" width="26.26953125" style="591" bestFit="1" customWidth="1"/>
    <col min="232" max="236" width="16.26953125" style="591" bestFit="1" customWidth="1"/>
    <col min="237" max="237" width="18.81640625" style="591" bestFit="1" customWidth="1"/>
    <col min="238" max="238" width="28.26953125" style="591" bestFit="1" customWidth="1"/>
    <col min="239" max="239" width="19.26953125" style="591" bestFit="1" customWidth="1"/>
    <col min="240" max="240" width="23.453125" style="591" bestFit="1" customWidth="1"/>
    <col min="241" max="241" width="18.453125" style="591" bestFit="1" customWidth="1"/>
    <col min="242" max="242" width="15.7265625" style="591" bestFit="1" customWidth="1"/>
    <col min="243" max="243" width="15" style="591" bestFit="1" customWidth="1"/>
    <col min="244" max="244" width="13.1796875" style="591" bestFit="1" customWidth="1"/>
    <col min="245" max="245" width="14.54296875" style="591" bestFit="1" customWidth="1"/>
    <col min="246" max="246" width="23.1796875" style="591" bestFit="1" customWidth="1"/>
    <col min="247" max="247" width="27.26953125" style="591" bestFit="1" customWidth="1"/>
    <col min="248" max="248" width="21.1796875" style="591" bestFit="1" customWidth="1"/>
    <col min="249" max="249" width="26.81640625" style="591" bestFit="1" customWidth="1"/>
    <col min="250" max="250" width="20" style="591" bestFit="1" customWidth="1"/>
    <col min="251" max="251" width="15.453125" style="591" bestFit="1" customWidth="1"/>
    <col min="252" max="252" width="17.453125" style="591" bestFit="1" customWidth="1"/>
    <col min="253" max="253" width="16.453125" style="591" bestFit="1" customWidth="1"/>
    <col min="254" max="254" width="21.54296875" style="591" bestFit="1" customWidth="1"/>
    <col min="255" max="255" width="25.7265625" style="591" bestFit="1" customWidth="1"/>
    <col min="256" max="256" width="19.54296875" style="591" bestFit="1" customWidth="1"/>
    <col min="257" max="257" width="14.453125" style="591" bestFit="1" customWidth="1"/>
    <col min="258" max="258" width="21.1796875" style="591" bestFit="1" customWidth="1"/>
    <col min="259" max="259" width="25.26953125" style="591" bestFit="1" customWidth="1"/>
    <col min="260" max="260" width="22" style="591" bestFit="1" customWidth="1"/>
    <col min="261" max="261" width="26.7265625" style="591" bestFit="1" customWidth="1"/>
    <col min="262" max="262" width="20.54296875" style="591" bestFit="1" customWidth="1"/>
    <col min="263" max="263" width="22.81640625" style="591" bestFit="1" customWidth="1"/>
    <col min="264" max="264" width="22" style="591" bestFit="1" customWidth="1"/>
    <col min="265" max="265" width="24.1796875" style="591" bestFit="1" customWidth="1"/>
    <col min="266" max="266" width="22.26953125" style="591" bestFit="1" customWidth="1"/>
    <col min="267" max="267" width="24.453125" style="591" bestFit="1" customWidth="1"/>
    <col min="268" max="268" width="15.453125" style="591" bestFit="1" customWidth="1"/>
    <col min="269" max="269" width="21.7265625" style="591" bestFit="1" customWidth="1"/>
    <col min="270" max="271" width="20.81640625" style="591" bestFit="1" customWidth="1"/>
    <col min="272" max="273" width="22.81640625" style="591" bestFit="1" customWidth="1"/>
    <col min="274" max="274" width="17.7265625" style="591" bestFit="1" customWidth="1"/>
    <col min="275" max="16384" width="9.1796875" style="591"/>
  </cols>
  <sheetData>
    <row r="1" spans="1:274" x14ac:dyDescent="0.25">
      <c r="A1" s="591" t="s">
        <v>121</v>
      </c>
      <c r="B1" s="591" t="s">
        <v>122</v>
      </c>
      <c r="C1" s="591" t="s">
        <v>423</v>
      </c>
      <c r="D1" s="591" t="s">
        <v>123</v>
      </c>
      <c r="E1" s="591" t="s">
        <v>124</v>
      </c>
      <c r="F1" s="591" t="s">
        <v>125</v>
      </c>
      <c r="G1" s="591" t="s">
        <v>126</v>
      </c>
      <c r="H1" s="591" t="s">
        <v>127</v>
      </c>
      <c r="I1" s="591" t="s">
        <v>128</v>
      </c>
      <c r="J1" s="591" t="s">
        <v>129</v>
      </c>
      <c r="K1" s="591" t="s">
        <v>130</v>
      </c>
      <c r="L1" s="591" t="s">
        <v>131</v>
      </c>
      <c r="M1" s="591" t="s">
        <v>132</v>
      </c>
      <c r="N1" s="591" t="s">
        <v>133</v>
      </c>
      <c r="O1" s="591" t="s">
        <v>134</v>
      </c>
      <c r="P1" s="591" t="s">
        <v>135</v>
      </c>
      <c r="Q1" s="591" t="s">
        <v>136</v>
      </c>
      <c r="R1" s="591" t="s">
        <v>137</v>
      </c>
      <c r="S1" s="591" t="s">
        <v>138</v>
      </c>
      <c r="T1" s="591" t="s">
        <v>139</v>
      </c>
      <c r="U1" s="591" t="s">
        <v>140</v>
      </c>
      <c r="V1" s="591" t="s">
        <v>141</v>
      </c>
      <c r="W1" s="591" t="s">
        <v>142</v>
      </c>
      <c r="X1" s="591" t="s">
        <v>143</v>
      </c>
      <c r="Y1" s="591" t="s">
        <v>144</v>
      </c>
      <c r="Z1" s="591" t="s">
        <v>145</v>
      </c>
      <c r="AA1" s="591" t="s">
        <v>146</v>
      </c>
      <c r="AB1" s="591" t="s">
        <v>147</v>
      </c>
      <c r="AC1" s="591" t="s">
        <v>148</v>
      </c>
      <c r="AD1" s="591" t="s">
        <v>149</v>
      </c>
      <c r="AE1" s="591" t="s">
        <v>150</v>
      </c>
      <c r="AF1" s="591" t="s">
        <v>151</v>
      </c>
      <c r="AG1" s="591" t="s">
        <v>152</v>
      </c>
      <c r="AH1" s="591" t="s">
        <v>153</v>
      </c>
      <c r="AI1" s="591" t="s">
        <v>154</v>
      </c>
      <c r="AJ1" s="591" t="s">
        <v>155</v>
      </c>
      <c r="AK1" s="591" t="s">
        <v>156</v>
      </c>
      <c r="AL1" s="591" t="s">
        <v>157</v>
      </c>
      <c r="AM1" s="591" t="s">
        <v>158</v>
      </c>
      <c r="AN1" s="591" t="s">
        <v>159</v>
      </c>
      <c r="AO1" s="591" t="s">
        <v>160</v>
      </c>
      <c r="AP1" s="591" t="s">
        <v>161</v>
      </c>
      <c r="AQ1" s="591" t="s">
        <v>162</v>
      </c>
      <c r="AR1" s="591" t="s">
        <v>163</v>
      </c>
      <c r="AS1" s="591" t="s">
        <v>164</v>
      </c>
      <c r="AT1" s="591" t="s">
        <v>165</v>
      </c>
      <c r="AU1" s="591" t="s">
        <v>166</v>
      </c>
      <c r="AV1" s="591" t="s">
        <v>167</v>
      </c>
      <c r="AW1" s="591" t="s">
        <v>168</v>
      </c>
      <c r="AX1" s="591" t="s">
        <v>169</v>
      </c>
      <c r="AY1" s="591" t="s">
        <v>170</v>
      </c>
      <c r="AZ1" s="591" t="s">
        <v>171</v>
      </c>
      <c r="BA1" s="591" t="s">
        <v>172</v>
      </c>
      <c r="BB1" s="591" t="s">
        <v>173</v>
      </c>
      <c r="BC1" s="591" t="s">
        <v>174</v>
      </c>
      <c r="BD1" s="591" t="s">
        <v>175</v>
      </c>
      <c r="BE1" s="591" t="s">
        <v>176</v>
      </c>
      <c r="BF1" s="591" t="s">
        <v>177</v>
      </c>
      <c r="BG1" s="591" t="s">
        <v>178</v>
      </c>
      <c r="BH1" s="591" t="s">
        <v>179</v>
      </c>
      <c r="BI1" s="591" t="s">
        <v>180</v>
      </c>
      <c r="BJ1" s="591" t="s">
        <v>181</v>
      </c>
      <c r="BK1" s="591" t="s">
        <v>182</v>
      </c>
      <c r="BL1" s="591" t="s">
        <v>183</v>
      </c>
      <c r="BM1" s="591" t="s">
        <v>184</v>
      </c>
      <c r="BN1" s="591" t="s">
        <v>185</v>
      </c>
      <c r="BO1" s="591" t="s">
        <v>186</v>
      </c>
      <c r="BP1" s="591" t="s">
        <v>187</v>
      </c>
      <c r="BQ1" s="591" t="s">
        <v>188</v>
      </c>
      <c r="BR1" s="591" t="s">
        <v>189</v>
      </c>
      <c r="BS1" s="591" t="s">
        <v>190</v>
      </c>
      <c r="BT1" s="591" t="s">
        <v>191</v>
      </c>
      <c r="BU1" s="591" t="s">
        <v>192</v>
      </c>
      <c r="BV1" s="591" t="s">
        <v>193</v>
      </c>
      <c r="BW1" s="591" t="s">
        <v>194</v>
      </c>
      <c r="BX1" s="591" t="s">
        <v>195</v>
      </c>
      <c r="BY1" s="591" t="s">
        <v>196</v>
      </c>
      <c r="BZ1" s="591" t="s">
        <v>197</v>
      </c>
      <c r="CA1" s="591" t="s">
        <v>198</v>
      </c>
      <c r="CB1" s="591" t="s">
        <v>199</v>
      </c>
      <c r="CC1" s="591" t="s">
        <v>200</v>
      </c>
      <c r="CD1" s="591" t="s">
        <v>201</v>
      </c>
      <c r="CE1" s="591" t="s">
        <v>202</v>
      </c>
      <c r="CF1" s="591" t="s">
        <v>203</v>
      </c>
      <c r="CG1" s="591" t="s">
        <v>204</v>
      </c>
      <c r="CH1" s="591" t="s">
        <v>205</v>
      </c>
      <c r="CI1" s="591" t="s">
        <v>206</v>
      </c>
      <c r="CJ1" s="591" t="s">
        <v>207</v>
      </c>
      <c r="CK1" s="591" t="s">
        <v>208</v>
      </c>
      <c r="CL1" s="591" t="s">
        <v>209</v>
      </c>
      <c r="CM1" s="591" t="s">
        <v>210</v>
      </c>
      <c r="CN1" s="591" t="s">
        <v>211</v>
      </c>
      <c r="CO1" s="591" t="s">
        <v>212</v>
      </c>
      <c r="CP1" s="591" t="s">
        <v>213</v>
      </c>
      <c r="CQ1" s="591" t="s">
        <v>214</v>
      </c>
      <c r="CR1" s="591" t="s">
        <v>215</v>
      </c>
      <c r="CS1" s="591" t="s">
        <v>216</v>
      </c>
      <c r="CT1" s="591" t="s">
        <v>217</v>
      </c>
      <c r="CU1" s="591" t="s">
        <v>218</v>
      </c>
      <c r="CV1" s="591" t="s">
        <v>219</v>
      </c>
      <c r="CW1" s="591" t="s">
        <v>220</v>
      </c>
      <c r="CX1" s="591" t="s">
        <v>221</v>
      </c>
      <c r="CY1" s="591" t="s">
        <v>222</v>
      </c>
      <c r="CZ1" s="591" t="s">
        <v>223</v>
      </c>
      <c r="DA1" s="591" t="s">
        <v>224</v>
      </c>
      <c r="DB1" s="591" t="s">
        <v>225</v>
      </c>
      <c r="DC1" s="591" t="s">
        <v>226</v>
      </c>
      <c r="DD1" s="591" t="s">
        <v>227</v>
      </c>
      <c r="DE1" s="591" t="s">
        <v>228</v>
      </c>
      <c r="DF1" s="591" t="s">
        <v>229</v>
      </c>
      <c r="DG1" s="591" t="s">
        <v>230</v>
      </c>
      <c r="DH1" s="591" t="s">
        <v>231</v>
      </c>
      <c r="DI1" s="591" t="s">
        <v>232</v>
      </c>
      <c r="DJ1" s="591" t="s">
        <v>233</v>
      </c>
      <c r="DK1" s="591" t="s">
        <v>234</v>
      </c>
      <c r="DL1" s="591" t="s">
        <v>235</v>
      </c>
      <c r="DM1" s="591" t="s">
        <v>236</v>
      </c>
      <c r="DN1" s="591" t="s">
        <v>237</v>
      </c>
      <c r="DO1" s="591" t="s">
        <v>238</v>
      </c>
      <c r="DP1" s="591" t="s">
        <v>239</v>
      </c>
      <c r="DQ1" s="591" t="s">
        <v>240</v>
      </c>
      <c r="DR1" s="591" t="s">
        <v>241</v>
      </c>
      <c r="DS1" s="591" t="s">
        <v>242</v>
      </c>
      <c r="DT1" s="591" t="s">
        <v>243</v>
      </c>
      <c r="DU1" s="591" t="s">
        <v>244</v>
      </c>
      <c r="DV1" s="591" t="s">
        <v>245</v>
      </c>
      <c r="DW1" s="591" t="s">
        <v>246</v>
      </c>
      <c r="DX1" s="591" t="s">
        <v>247</v>
      </c>
      <c r="DY1" s="591" t="s">
        <v>248</v>
      </c>
      <c r="DZ1" s="591" t="s">
        <v>249</v>
      </c>
      <c r="EA1" s="591" t="s">
        <v>250</v>
      </c>
      <c r="EB1" s="591" t="s">
        <v>251</v>
      </c>
      <c r="EC1" s="591" t="s">
        <v>252</v>
      </c>
      <c r="ED1" s="591" t="s">
        <v>253</v>
      </c>
      <c r="EE1" s="591" t="s">
        <v>254</v>
      </c>
      <c r="EF1" s="591" t="s">
        <v>255</v>
      </c>
      <c r="EG1" s="591" t="s">
        <v>256</v>
      </c>
      <c r="EH1" s="591" t="s">
        <v>257</v>
      </c>
      <c r="EI1" s="591" t="s">
        <v>258</v>
      </c>
      <c r="EJ1" s="591" t="s">
        <v>259</v>
      </c>
      <c r="EK1" s="591" t="s">
        <v>260</v>
      </c>
      <c r="EL1" s="591" t="s">
        <v>261</v>
      </c>
      <c r="EM1" s="591" t="s">
        <v>262</v>
      </c>
      <c r="EN1" s="591" t="s">
        <v>263</v>
      </c>
      <c r="EO1" s="591" t="s">
        <v>264</v>
      </c>
      <c r="EP1" s="591" t="s">
        <v>265</v>
      </c>
      <c r="EQ1" s="591" t="s">
        <v>266</v>
      </c>
      <c r="ER1" s="591" t="s">
        <v>267</v>
      </c>
      <c r="ES1" s="591" t="s">
        <v>268</v>
      </c>
      <c r="ET1" s="591" t="s">
        <v>269</v>
      </c>
      <c r="EU1" s="591" t="s">
        <v>270</v>
      </c>
      <c r="EV1" s="591" t="s">
        <v>271</v>
      </c>
      <c r="EW1" s="591" t="s">
        <v>272</v>
      </c>
      <c r="EX1" s="591" t="s">
        <v>273</v>
      </c>
      <c r="EY1" s="591" t="s">
        <v>274</v>
      </c>
      <c r="EZ1" s="591" t="s">
        <v>275</v>
      </c>
      <c r="FA1" s="591" t="s">
        <v>276</v>
      </c>
      <c r="FB1" s="591" t="s">
        <v>277</v>
      </c>
      <c r="FC1" s="591" t="s">
        <v>278</v>
      </c>
      <c r="FD1" s="591" t="s">
        <v>279</v>
      </c>
      <c r="FE1" s="591" t="s">
        <v>280</v>
      </c>
      <c r="FF1" s="591" t="s">
        <v>281</v>
      </c>
      <c r="FG1" s="591" t="s">
        <v>282</v>
      </c>
      <c r="FH1" s="591" t="s">
        <v>283</v>
      </c>
      <c r="FI1" s="591" t="s">
        <v>284</v>
      </c>
      <c r="FJ1" s="591" t="s">
        <v>285</v>
      </c>
      <c r="FK1" s="591" t="s">
        <v>286</v>
      </c>
      <c r="FL1" s="591" t="s">
        <v>287</v>
      </c>
      <c r="FM1" s="591" t="s">
        <v>288</v>
      </c>
      <c r="FN1" s="591" t="s">
        <v>289</v>
      </c>
      <c r="FO1" s="591" t="s">
        <v>290</v>
      </c>
      <c r="FP1" s="591" t="s">
        <v>291</v>
      </c>
      <c r="FQ1" s="591" t="s">
        <v>292</v>
      </c>
      <c r="FR1" s="591" t="s">
        <v>293</v>
      </c>
      <c r="FS1" s="591" t="s">
        <v>294</v>
      </c>
      <c r="FT1" s="591" t="s">
        <v>295</v>
      </c>
      <c r="FU1" s="591" t="s">
        <v>296</v>
      </c>
      <c r="FV1" s="591" t="s">
        <v>297</v>
      </c>
      <c r="FW1" s="591" t="s">
        <v>298</v>
      </c>
      <c r="FX1" s="591" t="s">
        <v>299</v>
      </c>
      <c r="FY1" s="591" t="s">
        <v>300</v>
      </c>
      <c r="FZ1" s="591" t="s">
        <v>301</v>
      </c>
      <c r="GA1" s="591" t="s">
        <v>302</v>
      </c>
      <c r="GB1" s="591" t="s">
        <v>303</v>
      </c>
      <c r="GC1" s="591" t="s">
        <v>304</v>
      </c>
      <c r="GD1" s="591" t="s">
        <v>305</v>
      </c>
      <c r="GE1" s="591" t="s">
        <v>306</v>
      </c>
      <c r="GF1" s="591" t="s">
        <v>307</v>
      </c>
      <c r="GG1" s="591" t="s">
        <v>308</v>
      </c>
      <c r="GH1" s="591" t="s">
        <v>309</v>
      </c>
      <c r="GI1" s="591" t="s">
        <v>310</v>
      </c>
      <c r="GJ1" s="591" t="s">
        <v>311</v>
      </c>
      <c r="GK1" s="591" t="s">
        <v>312</v>
      </c>
      <c r="GL1" s="591" t="s">
        <v>313</v>
      </c>
      <c r="GM1" s="591" t="s">
        <v>314</v>
      </c>
      <c r="GN1" s="591" t="s">
        <v>315</v>
      </c>
      <c r="GO1" s="591" t="s">
        <v>424</v>
      </c>
      <c r="GP1" s="591" t="s">
        <v>425</v>
      </c>
      <c r="GQ1" s="591" t="s">
        <v>426</v>
      </c>
      <c r="GR1" s="591" t="s">
        <v>427</v>
      </c>
      <c r="GS1" s="591" t="s">
        <v>428</v>
      </c>
      <c r="GT1" s="591" t="s">
        <v>429</v>
      </c>
      <c r="GU1" s="591" t="s">
        <v>432</v>
      </c>
      <c r="GV1" s="591" t="s">
        <v>433</v>
      </c>
      <c r="GW1" s="591" t="s">
        <v>434</v>
      </c>
      <c r="GX1" s="591" t="s">
        <v>435</v>
      </c>
      <c r="GY1" s="591" t="s">
        <v>436</v>
      </c>
      <c r="GZ1" s="591" t="s">
        <v>437</v>
      </c>
      <c r="HA1" s="591" t="s">
        <v>438</v>
      </c>
      <c r="HB1" s="591" t="s">
        <v>439</v>
      </c>
      <c r="HC1" s="591" t="s">
        <v>440</v>
      </c>
      <c r="HD1" s="591" t="s">
        <v>441</v>
      </c>
      <c r="HE1" s="591" t="s">
        <v>494</v>
      </c>
      <c r="HF1" s="591" t="s">
        <v>495</v>
      </c>
      <c r="HG1" s="591" t="s">
        <v>496</v>
      </c>
      <c r="HH1" s="591" t="s">
        <v>497</v>
      </c>
      <c r="HI1" s="591" t="s">
        <v>498</v>
      </c>
      <c r="HJ1" s="591" t="s">
        <v>499</v>
      </c>
      <c r="HK1" s="591" t="s">
        <v>500</v>
      </c>
      <c r="HL1" s="591" t="s">
        <v>501</v>
      </c>
      <c r="HM1" s="591" t="s">
        <v>502</v>
      </c>
      <c r="HN1" s="591" t="s">
        <v>503</v>
      </c>
      <c r="HO1" s="591" t="s">
        <v>504</v>
      </c>
      <c r="HP1" s="591" t="s">
        <v>505</v>
      </c>
      <c r="HQ1" s="591" t="s">
        <v>506</v>
      </c>
      <c r="HR1" s="591" t="s">
        <v>507</v>
      </c>
      <c r="HS1" s="591" t="s">
        <v>508</v>
      </c>
      <c r="HT1" s="591" t="s">
        <v>509</v>
      </c>
      <c r="HU1" s="591" t="s">
        <v>510</v>
      </c>
      <c r="HV1" s="591" t="s">
        <v>511</v>
      </c>
      <c r="HW1" s="591" t="s">
        <v>512</v>
      </c>
      <c r="HX1" s="591" t="s">
        <v>513</v>
      </c>
      <c r="HY1" s="591" t="s">
        <v>514</v>
      </c>
      <c r="HZ1" s="591" t="s">
        <v>515</v>
      </c>
      <c r="IA1" s="591" t="s">
        <v>516</v>
      </c>
      <c r="IB1" s="591" t="s">
        <v>517</v>
      </c>
      <c r="IC1" s="591" t="s">
        <v>518</v>
      </c>
      <c r="ID1" s="591" t="s">
        <v>519</v>
      </c>
      <c r="IE1" s="591" t="s">
        <v>520</v>
      </c>
      <c r="IF1" s="591" t="s">
        <v>521</v>
      </c>
      <c r="IG1" s="591" t="s">
        <v>522</v>
      </c>
      <c r="IH1" s="591" t="s">
        <v>523</v>
      </c>
      <c r="II1" s="591" t="s">
        <v>524</v>
      </c>
      <c r="IJ1" s="591" t="s">
        <v>525</v>
      </c>
      <c r="IK1" s="591" t="s">
        <v>526</v>
      </c>
      <c r="IL1" s="591" t="s">
        <v>527</v>
      </c>
      <c r="IM1" s="591" t="s">
        <v>528</v>
      </c>
      <c r="IN1" s="591" t="s">
        <v>529</v>
      </c>
      <c r="IO1" s="591" t="s">
        <v>530</v>
      </c>
      <c r="IP1" s="591" t="s">
        <v>531</v>
      </c>
      <c r="IQ1" s="591" t="s">
        <v>532</v>
      </c>
      <c r="IR1" s="591" t="s">
        <v>533</v>
      </c>
      <c r="IS1" s="591" t="s">
        <v>534</v>
      </c>
      <c r="IT1" s="591" t="s">
        <v>535</v>
      </c>
      <c r="IU1" s="591" t="s">
        <v>536</v>
      </c>
      <c r="IV1" s="591" t="s">
        <v>537</v>
      </c>
      <c r="IW1" s="591" t="s">
        <v>538</v>
      </c>
      <c r="IX1" s="591" t="s">
        <v>539</v>
      </c>
      <c r="IY1" s="591" t="s">
        <v>540</v>
      </c>
      <c r="IZ1" s="591" t="s">
        <v>541</v>
      </c>
      <c r="JA1" s="591" t="s">
        <v>542</v>
      </c>
      <c r="JB1" s="591" t="s">
        <v>678</v>
      </c>
      <c r="JC1" s="591" t="s">
        <v>679</v>
      </c>
      <c r="JD1" s="591" t="s">
        <v>680</v>
      </c>
      <c r="JE1" s="591" t="s">
        <v>681</v>
      </c>
      <c r="JF1" s="591" t="s">
        <v>682</v>
      </c>
      <c r="JG1" s="591" t="s">
        <v>683</v>
      </c>
      <c r="JH1" s="591" t="s">
        <v>684</v>
      </c>
      <c r="JI1" s="591" t="s">
        <v>685</v>
      </c>
      <c r="JJ1" s="591" t="s">
        <v>686</v>
      </c>
      <c r="JK1" s="591" t="s">
        <v>687</v>
      </c>
      <c r="JL1" s="591" t="s">
        <v>688</v>
      </c>
      <c r="JM1" s="591" t="s">
        <v>689</v>
      </c>
      <c r="JN1" s="591" t="s">
        <v>775</v>
      </c>
    </row>
    <row r="2" spans="1:274" x14ac:dyDescent="0.25">
      <c r="B2" s="591">
        <v>1</v>
      </c>
      <c r="C2" s="591">
        <v>2</v>
      </c>
      <c r="D2" s="591">
        <v>3</v>
      </c>
      <c r="E2" s="591">
        <v>4</v>
      </c>
      <c r="F2" s="591">
        <v>5</v>
      </c>
      <c r="G2" s="591">
        <v>6</v>
      </c>
      <c r="H2" s="591">
        <v>7</v>
      </c>
      <c r="I2" s="591">
        <v>8</v>
      </c>
      <c r="J2" s="591">
        <v>9</v>
      </c>
      <c r="K2" s="591">
        <v>10</v>
      </c>
      <c r="L2" s="591">
        <v>11</v>
      </c>
      <c r="M2" s="591">
        <v>12</v>
      </c>
      <c r="N2" s="591">
        <v>13</v>
      </c>
      <c r="O2" s="591">
        <v>14</v>
      </c>
      <c r="P2" s="591">
        <v>15</v>
      </c>
      <c r="Q2" s="591">
        <v>16</v>
      </c>
      <c r="R2" s="591">
        <v>17</v>
      </c>
      <c r="S2" s="591">
        <v>18</v>
      </c>
      <c r="T2" s="591">
        <v>19</v>
      </c>
      <c r="U2" s="591">
        <v>20</v>
      </c>
      <c r="V2" s="591">
        <v>21</v>
      </c>
      <c r="W2" s="591">
        <v>22</v>
      </c>
      <c r="X2" s="591">
        <v>23</v>
      </c>
      <c r="Y2" s="591">
        <v>24</v>
      </c>
      <c r="Z2" s="591">
        <v>25</v>
      </c>
      <c r="AA2" s="591">
        <v>26</v>
      </c>
      <c r="AB2" s="591">
        <v>27</v>
      </c>
      <c r="AC2" s="591">
        <v>28</v>
      </c>
      <c r="AD2" s="591">
        <v>29</v>
      </c>
      <c r="AE2" s="591">
        <v>30</v>
      </c>
      <c r="AF2" s="591">
        <v>31</v>
      </c>
      <c r="AG2" s="591">
        <v>32</v>
      </c>
      <c r="AH2" s="591">
        <v>33</v>
      </c>
      <c r="AI2" s="591">
        <v>34</v>
      </c>
      <c r="AJ2" s="591">
        <v>35</v>
      </c>
      <c r="AK2" s="591">
        <v>36</v>
      </c>
      <c r="AL2" s="591">
        <v>37</v>
      </c>
      <c r="AM2" s="591">
        <v>38</v>
      </c>
      <c r="AN2" s="591">
        <v>39</v>
      </c>
      <c r="AO2" s="591">
        <v>40</v>
      </c>
      <c r="AP2" s="591">
        <v>41</v>
      </c>
      <c r="AQ2" s="591">
        <v>42</v>
      </c>
      <c r="AR2" s="591">
        <v>43</v>
      </c>
      <c r="AS2" s="591">
        <v>44</v>
      </c>
      <c r="AT2" s="591">
        <v>45</v>
      </c>
      <c r="AU2" s="591">
        <v>46</v>
      </c>
      <c r="AV2" s="591">
        <v>47</v>
      </c>
      <c r="AW2" s="591">
        <v>48</v>
      </c>
      <c r="AX2" s="591">
        <v>49</v>
      </c>
      <c r="AY2" s="591">
        <v>50</v>
      </c>
      <c r="AZ2" s="591">
        <v>51</v>
      </c>
      <c r="BA2" s="591">
        <v>52</v>
      </c>
      <c r="BB2" s="591">
        <v>53</v>
      </c>
      <c r="BC2" s="591">
        <v>54</v>
      </c>
      <c r="BD2" s="591">
        <v>55</v>
      </c>
      <c r="BE2" s="591">
        <v>56</v>
      </c>
      <c r="BF2" s="591">
        <v>57</v>
      </c>
      <c r="BG2" s="591">
        <v>58</v>
      </c>
      <c r="BH2" s="591">
        <v>59</v>
      </c>
      <c r="BI2" s="591">
        <v>60</v>
      </c>
      <c r="BJ2" s="591">
        <v>61</v>
      </c>
      <c r="BK2" s="591">
        <v>62</v>
      </c>
      <c r="BL2" s="591">
        <v>63</v>
      </c>
      <c r="BM2" s="591">
        <v>64</v>
      </c>
      <c r="BN2" s="591">
        <v>65</v>
      </c>
      <c r="BO2" s="591">
        <v>66</v>
      </c>
      <c r="BP2" s="591">
        <v>67</v>
      </c>
      <c r="BQ2" s="591">
        <v>68</v>
      </c>
      <c r="BR2" s="591">
        <v>69</v>
      </c>
      <c r="BS2" s="591">
        <v>70</v>
      </c>
      <c r="BT2" s="591">
        <v>71</v>
      </c>
      <c r="BU2" s="591">
        <v>72</v>
      </c>
      <c r="BV2" s="591">
        <v>73</v>
      </c>
      <c r="BW2" s="591">
        <v>74</v>
      </c>
      <c r="BX2" s="591">
        <v>75</v>
      </c>
      <c r="BY2" s="591">
        <v>76</v>
      </c>
      <c r="BZ2" s="591">
        <v>77</v>
      </c>
      <c r="CA2" s="591">
        <v>78</v>
      </c>
      <c r="CB2" s="591">
        <v>79</v>
      </c>
      <c r="CC2" s="591">
        <v>80</v>
      </c>
      <c r="CD2" s="591">
        <v>81</v>
      </c>
      <c r="CE2" s="591">
        <v>82</v>
      </c>
      <c r="CF2" s="591">
        <v>83</v>
      </c>
      <c r="CG2" s="591">
        <v>84</v>
      </c>
      <c r="CH2" s="591">
        <v>85</v>
      </c>
      <c r="CI2" s="591">
        <v>86</v>
      </c>
      <c r="CJ2" s="591">
        <v>87</v>
      </c>
      <c r="CK2" s="591">
        <v>88</v>
      </c>
      <c r="CL2" s="591">
        <v>89</v>
      </c>
      <c r="CM2" s="591">
        <v>90</v>
      </c>
      <c r="CN2" s="591">
        <v>91</v>
      </c>
      <c r="CO2" s="591">
        <v>92</v>
      </c>
      <c r="CP2" s="591">
        <v>93</v>
      </c>
      <c r="CQ2" s="591">
        <v>94</v>
      </c>
      <c r="CR2" s="591">
        <v>95</v>
      </c>
      <c r="CS2" s="591">
        <v>96</v>
      </c>
      <c r="CT2" s="591">
        <v>97</v>
      </c>
      <c r="CU2" s="591">
        <v>98</v>
      </c>
      <c r="CV2" s="591">
        <v>99</v>
      </c>
      <c r="CW2" s="591">
        <v>100</v>
      </c>
      <c r="CX2" s="591">
        <v>101</v>
      </c>
      <c r="CY2" s="591">
        <v>102</v>
      </c>
      <c r="CZ2" s="591">
        <v>103</v>
      </c>
      <c r="DA2" s="591">
        <v>104</v>
      </c>
      <c r="DB2" s="591">
        <v>105</v>
      </c>
      <c r="DC2" s="591">
        <v>106</v>
      </c>
      <c r="DD2" s="591">
        <v>107</v>
      </c>
      <c r="DE2" s="591">
        <v>108</v>
      </c>
      <c r="DF2" s="591">
        <v>109</v>
      </c>
      <c r="DG2" s="591">
        <v>110</v>
      </c>
      <c r="DH2" s="591">
        <v>111</v>
      </c>
      <c r="DI2" s="591">
        <v>112</v>
      </c>
      <c r="DJ2" s="591">
        <v>113</v>
      </c>
      <c r="DK2" s="591">
        <v>114</v>
      </c>
      <c r="DL2" s="591">
        <v>115</v>
      </c>
      <c r="DM2" s="591">
        <v>116</v>
      </c>
      <c r="DN2" s="591">
        <v>117</v>
      </c>
      <c r="DO2" s="591">
        <v>118</v>
      </c>
      <c r="DP2" s="591">
        <v>119</v>
      </c>
      <c r="DQ2" s="591">
        <v>120</v>
      </c>
      <c r="DR2" s="591">
        <v>121</v>
      </c>
      <c r="DS2" s="591">
        <v>122</v>
      </c>
      <c r="DT2" s="591">
        <v>123</v>
      </c>
      <c r="DU2" s="591">
        <v>124</v>
      </c>
      <c r="DV2" s="591">
        <v>125</v>
      </c>
      <c r="DW2" s="591">
        <v>126</v>
      </c>
      <c r="DX2" s="591">
        <v>127</v>
      </c>
      <c r="DY2" s="591">
        <v>128</v>
      </c>
      <c r="DZ2" s="591">
        <v>129</v>
      </c>
      <c r="EA2" s="591">
        <v>130</v>
      </c>
      <c r="EB2" s="591">
        <v>131</v>
      </c>
      <c r="EC2" s="591">
        <v>132</v>
      </c>
      <c r="ED2" s="591">
        <v>133</v>
      </c>
      <c r="EE2" s="591">
        <v>134</v>
      </c>
      <c r="EF2" s="591">
        <v>135</v>
      </c>
      <c r="EG2" s="591">
        <v>136</v>
      </c>
      <c r="EH2" s="591">
        <v>137</v>
      </c>
      <c r="EI2" s="591">
        <v>138</v>
      </c>
      <c r="EJ2" s="591">
        <v>139</v>
      </c>
      <c r="EK2" s="591">
        <v>140</v>
      </c>
      <c r="EL2" s="591">
        <v>141</v>
      </c>
      <c r="EM2" s="591">
        <v>142</v>
      </c>
      <c r="EN2" s="591">
        <v>143</v>
      </c>
      <c r="EO2" s="591">
        <v>144</v>
      </c>
      <c r="EP2" s="591">
        <v>145</v>
      </c>
      <c r="EQ2" s="591">
        <v>146</v>
      </c>
      <c r="ER2" s="591">
        <v>147</v>
      </c>
      <c r="ES2" s="591">
        <v>148</v>
      </c>
      <c r="ET2" s="591">
        <v>149</v>
      </c>
      <c r="EU2" s="591">
        <v>150</v>
      </c>
      <c r="EV2" s="591">
        <v>151</v>
      </c>
      <c r="EW2" s="591">
        <v>152</v>
      </c>
      <c r="EX2" s="591">
        <v>153</v>
      </c>
      <c r="EY2" s="591">
        <v>154</v>
      </c>
      <c r="EZ2" s="591">
        <v>155</v>
      </c>
      <c r="FA2" s="591">
        <v>156</v>
      </c>
      <c r="FB2" s="591">
        <v>157</v>
      </c>
      <c r="FC2" s="591">
        <v>158</v>
      </c>
      <c r="FD2" s="591">
        <v>159</v>
      </c>
      <c r="FE2" s="591">
        <v>160</v>
      </c>
      <c r="FF2" s="591">
        <v>161</v>
      </c>
      <c r="FG2" s="591">
        <v>162</v>
      </c>
      <c r="FH2" s="591">
        <v>163</v>
      </c>
      <c r="FI2" s="591">
        <v>164</v>
      </c>
      <c r="FJ2" s="591">
        <v>165</v>
      </c>
      <c r="FK2" s="591">
        <v>166</v>
      </c>
      <c r="FL2" s="591">
        <v>167</v>
      </c>
      <c r="FM2" s="591">
        <v>168</v>
      </c>
      <c r="FN2" s="591">
        <v>169</v>
      </c>
      <c r="FO2" s="591">
        <v>170</v>
      </c>
      <c r="FP2" s="591">
        <v>171</v>
      </c>
      <c r="FQ2" s="591">
        <v>172</v>
      </c>
      <c r="FR2" s="591">
        <v>173</v>
      </c>
      <c r="FS2" s="591">
        <v>174</v>
      </c>
      <c r="FT2" s="591">
        <v>175</v>
      </c>
      <c r="FU2" s="591">
        <v>176</v>
      </c>
      <c r="FV2" s="591">
        <v>177</v>
      </c>
      <c r="FW2" s="591">
        <v>178</v>
      </c>
      <c r="FX2" s="591">
        <v>179</v>
      </c>
      <c r="FY2" s="591">
        <v>180</v>
      </c>
      <c r="FZ2" s="591">
        <v>181</v>
      </c>
      <c r="GA2" s="591">
        <v>182</v>
      </c>
      <c r="GB2" s="591">
        <v>183</v>
      </c>
      <c r="GC2" s="591">
        <v>184</v>
      </c>
      <c r="GD2" s="591">
        <v>185</v>
      </c>
      <c r="GE2" s="591">
        <v>186</v>
      </c>
      <c r="GF2" s="591">
        <v>187</v>
      </c>
      <c r="GG2" s="591">
        <v>188</v>
      </c>
      <c r="GH2" s="591">
        <v>189</v>
      </c>
      <c r="GI2" s="591">
        <v>190</v>
      </c>
      <c r="GJ2" s="591">
        <v>191</v>
      </c>
      <c r="GK2" s="591">
        <v>192</v>
      </c>
      <c r="GL2" s="591">
        <v>193</v>
      </c>
      <c r="GM2" s="591">
        <v>194</v>
      </c>
      <c r="GN2" s="591">
        <v>195</v>
      </c>
      <c r="GO2" s="591">
        <v>196</v>
      </c>
      <c r="GP2" s="591">
        <v>197</v>
      </c>
      <c r="GQ2" s="591">
        <v>198</v>
      </c>
      <c r="GR2" s="591">
        <v>199</v>
      </c>
      <c r="GS2" s="591">
        <v>200</v>
      </c>
      <c r="GT2" s="591">
        <v>201</v>
      </c>
      <c r="GU2" s="591">
        <v>202</v>
      </c>
      <c r="GV2" s="591">
        <v>203</v>
      </c>
      <c r="GW2" s="591">
        <v>204</v>
      </c>
      <c r="GX2" s="591">
        <v>205</v>
      </c>
      <c r="GY2" s="591">
        <v>206</v>
      </c>
      <c r="GZ2" s="591">
        <v>207</v>
      </c>
      <c r="HA2" s="591">
        <v>208</v>
      </c>
      <c r="HB2" s="591">
        <v>209</v>
      </c>
      <c r="HC2" s="591">
        <v>210</v>
      </c>
      <c r="HD2" s="591">
        <v>211</v>
      </c>
      <c r="HE2" s="591">
        <v>212</v>
      </c>
      <c r="HF2" s="591">
        <v>213</v>
      </c>
      <c r="HG2" s="591">
        <v>214</v>
      </c>
      <c r="HH2" s="591">
        <v>215</v>
      </c>
      <c r="HI2" s="591">
        <v>216</v>
      </c>
      <c r="HJ2" s="591">
        <v>217</v>
      </c>
      <c r="HK2" s="591">
        <v>218</v>
      </c>
      <c r="HL2" s="591">
        <v>219</v>
      </c>
      <c r="HM2" s="591">
        <v>220</v>
      </c>
      <c r="HN2" s="591">
        <v>221</v>
      </c>
      <c r="HO2" s="591">
        <v>222</v>
      </c>
      <c r="HP2" s="591">
        <v>223</v>
      </c>
      <c r="HQ2" s="591">
        <v>224</v>
      </c>
      <c r="HR2" s="591">
        <v>225</v>
      </c>
      <c r="HS2" s="591">
        <v>226</v>
      </c>
      <c r="HT2" s="591">
        <v>227</v>
      </c>
      <c r="HU2" s="591">
        <v>228</v>
      </c>
      <c r="HV2" s="591">
        <v>229</v>
      </c>
      <c r="HW2" s="591">
        <v>230</v>
      </c>
      <c r="HX2" s="591">
        <v>231</v>
      </c>
      <c r="HY2" s="591">
        <v>232</v>
      </c>
      <c r="HZ2" s="591">
        <v>233</v>
      </c>
      <c r="IA2" s="591">
        <v>234</v>
      </c>
      <c r="IB2" s="591">
        <v>235</v>
      </c>
      <c r="IC2" s="591">
        <v>236</v>
      </c>
      <c r="ID2" s="591">
        <v>237</v>
      </c>
      <c r="IE2" s="591">
        <v>238</v>
      </c>
      <c r="IF2" s="591">
        <v>239</v>
      </c>
      <c r="IG2" s="591">
        <v>240</v>
      </c>
      <c r="IH2" s="591">
        <v>241</v>
      </c>
      <c r="II2" s="591">
        <v>242</v>
      </c>
      <c r="IJ2" s="591">
        <v>243</v>
      </c>
      <c r="IK2" s="591">
        <v>244</v>
      </c>
      <c r="IL2" s="591">
        <v>245</v>
      </c>
      <c r="IM2" s="591">
        <v>246</v>
      </c>
      <c r="IN2" s="591">
        <v>247</v>
      </c>
      <c r="IO2" s="591">
        <v>248</v>
      </c>
      <c r="IP2" s="591">
        <v>249</v>
      </c>
      <c r="IQ2" s="591">
        <v>250</v>
      </c>
      <c r="IR2" s="591">
        <v>251</v>
      </c>
      <c r="IS2" s="591">
        <v>252</v>
      </c>
      <c r="IT2" s="591">
        <v>253</v>
      </c>
      <c r="IU2" s="591">
        <v>254</v>
      </c>
      <c r="IV2" s="591">
        <v>255</v>
      </c>
      <c r="IW2" s="591">
        <v>256</v>
      </c>
      <c r="IX2" s="591">
        <v>257</v>
      </c>
      <c r="IY2" s="591">
        <v>258</v>
      </c>
      <c r="IZ2" s="591">
        <v>259</v>
      </c>
      <c r="JA2" s="591">
        <v>260</v>
      </c>
    </row>
    <row r="3" spans="1:274" x14ac:dyDescent="0.25">
      <c r="B3" s="591">
        <v>0</v>
      </c>
      <c r="C3" s="591">
        <v>0</v>
      </c>
      <c r="D3" s="591">
        <v>0</v>
      </c>
      <c r="E3" s="591">
        <v>6159</v>
      </c>
      <c r="F3" s="591">
        <v>0</v>
      </c>
      <c r="G3" s="591">
        <v>0</v>
      </c>
      <c r="H3" s="591">
        <v>0</v>
      </c>
      <c r="I3" s="591">
        <v>0</v>
      </c>
      <c r="J3" s="591">
        <v>0</v>
      </c>
      <c r="K3" s="591">
        <v>0</v>
      </c>
      <c r="L3" s="591">
        <v>6159</v>
      </c>
      <c r="M3" s="591">
        <v>0</v>
      </c>
      <c r="N3" s="591">
        <v>0</v>
      </c>
      <c r="O3" s="591">
        <v>0</v>
      </c>
      <c r="P3" s="591">
        <v>0</v>
      </c>
      <c r="Q3" s="591">
        <v>0</v>
      </c>
      <c r="R3" s="591">
        <v>0</v>
      </c>
      <c r="S3" s="591">
        <v>402.428</v>
      </c>
      <c r="T3" s="591">
        <v>0</v>
      </c>
      <c r="U3" s="591">
        <v>0</v>
      </c>
      <c r="V3" s="591">
        <v>0</v>
      </c>
      <c r="W3" s="591">
        <v>0</v>
      </c>
      <c r="X3" s="591">
        <v>0</v>
      </c>
      <c r="Y3" s="591">
        <v>0</v>
      </c>
      <c r="Z3" s="591">
        <v>0</v>
      </c>
      <c r="AA3" s="591">
        <v>0</v>
      </c>
      <c r="AB3" s="591">
        <v>0</v>
      </c>
      <c r="AC3" s="591">
        <v>0</v>
      </c>
      <c r="AD3" s="591">
        <v>0</v>
      </c>
      <c r="AE3" s="591">
        <v>0</v>
      </c>
      <c r="AF3" s="591">
        <v>0</v>
      </c>
      <c r="AG3" s="591">
        <v>0</v>
      </c>
      <c r="AH3" s="591">
        <v>0</v>
      </c>
      <c r="AI3" s="591">
        <v>0</v>
      </c>
      <c r="AJ3" s="591">
        <v>6159</v>
      </c>
      <c r="AK3" s="591">
        <v>0</v>
      </c>
      <c r="AL3" s="591" t="s">
        <v>583</v>
      </c>
      <c r="AM3" s="591">
        <v>0</v>
      </c>
      <c r="AN3" s="591">
        <v>0</v>
      </c>
      <c r="AO3" s="591">
        <v>0</v>
      </c>
      <c r="AP3" s="591">
        <v>0</v>
      </c>
      <c r="AQ3" s="591">
        <v>0</v>
      </c>
      <c r="AR3" s="591">
        <v>0</v>
      </c>
      <c r="AS3" s="591">
        <v>0</v>
      </c>
      <c r="AT3" s="591">
        <v>0</v>
      </c>
      <c r="AU3" s="591">
        <v>0</v>
      </c>
      <c r="AV3" s="591">
        <v>0</v>
      </c>
      <c r="AW3" s="591">
        <v>0</v>
      </c>
      <c r="AX3" s="591">
        <v>0</v>
      </c>
      <c r="AY3" s="591">
        <v>0</v>
      </c>
      <c r="AZ3" s="591">
        <v>0</v>
      </c>
      <c r="BA3" s="591">
        <v>0</v>
      </c>
      <c r="BB3" s="591">
        <v>0</v>
      </c>
      <c r="BC3" s="591">
        <v>0</v>
      </c>
      <c r="BD3" s="591">
        <v>0</v>
      </c>
      <c r="BE3" s="591">
        <v>0</v>
      </c>
      <c r="BF3" s="591">
        <v>0</v>
      </c>
      <c r="BG3" s="591">
        <v>0</v>
      </c>
      <c r="BH3" s="591">
        <v>0</v>
      </c>
      <c r="BI3" s="591">
        <v>0</v>
      </c>
      <c r="BJ3" s="591">
        <v>0</v>
      </c>
      <c r="BK3" s="591">
        <v>0</v>
      </c>
      <c r="BL3" s="591">
        <v>0</v>
      </c>
      <c r="BM3" s="591">
        <v>0</v>
      </c>
      <c r="BN3" s="591">
        <v>0</v>
      </c>
      <c r="BO3" s="591">
        <v>0</v>
      </c>
      <c r="BP3" s="591">
        <v>0</v>
      </c>
      <c r="BQ3" s="591">
        <v>0</v>
      </c>
      <c r="BR3" s="591">
        <v>0</v>
      </c>
      <c r="BS3" s="591">
        <v>0</v>
      </c>
      <c r="BT3" s="591">
        <v>0</v>
      </c>
      <c r="BU3" s="591">
        <v>0</v>
      </c>
      <c r="BV3" s="591">
        <v>0</v>
      </c>
      <c r="BW3" s="591">
        <v>0</v>
      </c>
      <c r="BX3" s="591">
        <v>0</v>
      </c>
      <c r="BY3" s="591">
        <v>0</v>
      </c>
      <c r="BZ3" s="591">
        <v>0</v>
      </c>
      <c r="CA3" s="591">
        <v>0</v>
      </c>
      <c r="CB3" s="591">
        <v>0</v>
      </c>
      <c r="CC3" s="591">
        <v>0</v>
      </c>
      <c r="CD3" s="591">
        <v>0</v>
      </c>
      <c r="CE3" s="591">
        <v>0</v>
      </c>
      <c r="CF3" s="591">
        <v>0</v>
      </c>
      <c r="CG3" s="591">
        <v>0</v>
      </c>
      <c r="CH3" s="591">
        <v>0</v>
      </c>
      <c r="CI3" s="591">
        <v>0</v>
      </c>
      <c r="CJ3" s="591">
        <v>0</v>
      </c>
      <c r="CK3" s="591">
        <v>0</v>
      </c>
      <c r="CL3" s="591">
        <v>0</v>
      </c>
      <c r="CM3" s="591">
        <v>0</v>
      </c>
      <c r="CN3" s="591">
        <v>0</v>
      </c>
      <c r="CO3" s="591">
        <v>0</v>
      </c>
      <c r="CP3" s="591">
        <v>0</v>
      </c>
      <c r="CQ3" s="591">
        <v>0</v>
      </c>
      <c r="CR3" s="591">
        <v>0</v>
      </c>
      <c r="CS3" s="591">
        <v>0</v>
      </c>
      <c r="CT3" s="591">
        <v>0</v>
      </c>
      <c r="CU3" s="591">
        <v>0</v>
      </c>
      <c r="CV3" s="591">
        <v>0</v>
      </c>
      <c r="CW3" s="591">
        <v>0</v>
      </c>
      <c r="CX3" s="591">
        <v>0</v>
      </c>
      <c r="CY3" s="591">
        <v>0</v>
      </c>
      <c r="CZ3" s="591">
        <v>0</v>
      </c>
      <c r="DA3" s="591">
        <v>0</v>
      </c>
      <c r="DB3" s="591">
        <v>0</v>
      </c>
      <c r="DC3" s="591">
        <v>0</v>
      </c>
      <c r="DD3" s="591">
        <v>0</v>
      </c>
      <c r="DE3" s="591">
        <v>0</v>
      </c>
      <c r="DF3" s="591">
        <v>0</v>
      </c>
      <c r="DG3" s="591">
        <v>0</v>
      </c>
      <c r="DH3" s="591">
        <v>0</v>
      </c>
      <c r="DI3" s="591">
        <v>0</v>
      </c>
      <c r="DJ3" s="591">
        <v>0</v>
      </c>
      <c r="DK3" s="591">
        <v>0</v>
      </c>
      <c r="DL3" s="591">
        <v>0</v>
      </c>
      <c r="DM3" s="591">
        <v>0</v>
      </c>
      <c r="DN3" s="591">
        <v>0</v>
      </c>
      <c r="DO3" s="591">
        <v>0</v>
      </c>
      <c r="DP3" s="591">
        <v>0</v>
      </c>
      <c r="DQ3" s="591">
        <v>0</v>
      </c>
      <c r="DR3" s="591">
        <v>0</v>
      </c>
      <c r="DS3" s="591">
        <v>0</v>
      </c>
      <c r="DT3" s="591">
        <v>0</v>
      </c>
      <c r="DU3" s="591">
        <v>0</v>
      </c>
      <c r="DV3" s="591">
        <v>0</v>
      </c>
      <c r="DW3" s="591">
        <v>0</v>
      </c>
      <c r="DX3" s="591">
        <v>0</v>
      </c>
      <c r="DY3" s="591">
        <v>0</v>
      </c>
      <c r="DZ3" s="591">
        <v>0</v>
      </c>
      <c r="EA3" s="591">
        <v>0</v>
      </c>
      <c r="EB3" s="591">
        <v>0</v>
      </c>
      <c r="EC3" s="591">
        <v>0</v>
      </c>
      <c r="ED3" s="591">
        <v>0</v>
      </c>
      <c r="EE3" s="591">
        <v>0</v>
      </c>
      <c r="EF3" s="591">
        <v>0</v>
      </c>
      <c r="EG3" s="591">
        <v>0</v>
      </c>
      <c r="EH3" s="591">
        <v>0</v>
      </c>
      <c r="EI3" s="591">
        <v>0</v>
      </c>
      <c r="EJ3" s="591">
        <v>0</v>
      </c>
      <c r="EK3" s="591">
        <v>0</v>
      </c>
      <c r="EL3" s="591">
        <v>0</v>
      </c>
      <c r="EM3" s="591">
        <v>0</v>
      </c>
      <c r="EN3" s="591">
        <v>0</v>
      </c>
      <c r="EO3" s="591">
        <v>0</v>
      </c>
      <c r="EP3" s="591">
        <v>0</v>
      </c>
      <c r="EQ3" s="591">
        <v>0</v>
      </c>
      <c r="ER3" s="591">
        <v>0</v>
      </c>
      <c r="ES3" s="591">
        <v>0</v>
      </c>
      <c r="ET3" s="591">
        <v>0</v>
      </c>
      <c r="EU3" s="591">
        <v>0</v>
      </c>
      <c r="EV3" s="591">
        <v>0</v>
      </c>
      <c r="EW3" s="591">
        <v>0</v>
      </c>
      <c r="EX3" s="591">
        <v>0</v>
      </c>
      <c r="EY3" s="591">
        <v>0</v>
      </c>
      <c r="EZ3" s="591">
        <v>0</v>
      </c>
      <c r="FA3" s="591">
        <v>0</v>
      </c>
      <c r="FB3" s="591">
        <v>0</v>
      </c>
      <c r="FC3" s="591">
        <v>0</v>
      </c>
      <c r="FD3" s="591">
        <v>0</v>
      </c>
      <c r="FE3" s="591">
        <v>0</v>
      </c>
      <c r="FF3" s="591">
        <v>0</v>
      </c>
      <c r="FG3" s="591">
        <v>6.4728999999999995E-2</v>
      </c>
      <c r="FH3" s="591">
        <v>2.6405999999999999E-2</v>
      </c>
      <c r="FI3" s="591">
        <v>0</v>
      </c>
      <c r="FJ3" s="591">
        <v>0</v>
      </c>
      <c r="FK3" s="591">
        <v>0</v>
      </c>
      <c r="FL3" s="591">
        <v>0</v>
      </c>
      <c r="FM3" s="591">
        <v>0</v>
      </c>
      <c r="FN3" s="591">
        <v>0</v>
      </c>
      <c r="FO3" s="591">
        <v>0</v>
      </c>
      <c r="FP3" s="591">
        <v>0</v>
      </c>
      <c r="FQ3" s="591">
        <v>0</v>
      </c>
      <c r="FR3" s="591">
        <v>0</v>
      </c>
      <c r="FS3" s="591">
        <v>0</v>
      </c>
      <c r="FT3" s="591">
        <v>0</v>
      </c>
      <c r="FU3" s="591">
        <v>0</v>
      </c>
      <c r="FV3" s="591">
        <v>0</v>
      </c>
      <c r="FW3" s="591">
        <v>0</v>
      </c>
      <c r="FX3" s="591">
        <v>0</v>
      </c>
      <c r="FY3" s="591">
        <v>0</v>
      </c>
      <c r="FZ3" s="591">
        <v>0</v>
      </c>
      <c r="GA3" s="591">
        <v>0</v>
      </c>
      <c r="GB3" s="591">
        <v>0</v>
      </c>
      <c r="GC3" s="591">
        <v>0</v>
      </c>
      <c r="GD3" s="591">
        <v>0</v>
      </c>
      <c r="GE3" s="591">
        <v>0</v>
      </c>
      <c r="GF3" s="591">
        <v>0</v>
      </c>
      <c r="GG3" s="591">
        <v>0</v>
      </c>
      <c r="GH3" s="591">
        <v>0</v>
      </c>
      <c r="GI3" s="591">
        <v>0</v>
      </c>
      <c r="GJ3" s="591">
        <v>0</v>
      </c>
      <c r="GK3" s="591">
        <v>0</v>
      </c>
      <c r="GL3" s="591">
        <v>0</v>
      </c>
      <c r="GM3" s="591">
        <v>0</v>
      </c>
      <c r="GN3" s="591">
        <v>0</v>
      </c>
      <c r="GO3" s="591">
        <v>0</v>
      </c>
      <c r="GP3" s="591">
        <v>0</v>
      </c>
      <c r="GQ3" s="591">
        <v>0</v>
      </c>
      <c r="GR3" s="591">
        <v>0</v>
      </c>
      <c r="GS3" s="591">
        <v>0</v>
      </c>
      <c r="GT3" s="591">
        <v>0</v>
      </c>
      <c r="GU3" s="591">
        <v>0</v>
      </c>
      <c r="GV3" s="591">
        <v>0</v>
      </c>
      <c r="GW3" s="591">
        <v>0</v>
      </c>
      <c r="GX3" s="591">
        <v>0</v>
      </c>
      <c r="GY3" s="591">
        <v>0</v>
      </c>
      <c r="GZ3" s="591">
        <v>0</v>
      </c>
      <c r="HA3" s="591">
        <v>0</v>
      </c>
      <c r="HB3" s="591">
        <v>0</v>
      </c>
      <c r="HC3" s="591">
        <v>0</v>
      </c>
      <c r="HD3" s="591">
        <v>0</v>
      </c>
      <c r="HE3" s="591">
        <v>0</v>
      </c>
      <c r="HF3" s="591">
        <v>0</v>
      </c>
      <c r="HG3" s="591">
        <v>0</v>
      </c>
      <c r="HH3" s="591">
        <v>0</v>
      </c>
      <c r="HI3" s="591">
        <v>0</v>
      </c>
      <c r="HJ3" s="591">
        <v>0</v>
      </c>
      <c r="HK3" s="591">
        <v>0</v>
      </c>
      <c r="HL3" s="591">
        <v>0</v>
      </c>
      <c r="HM3" s="591">
        <v>0</v>
      </c>
      <c r="HN3" s="591">
        <v>0</v>
      </c>
      <c r="HO3" s="591">
        <v>0</v>
      </c>
      <c r="HP3" s="591">
        <v>0</v>
      </c>
      <c r="HQ3" s="591">
        <v>0</v>
      </c>
      <c r="HR3" s="591">
        <v>0</v>
      </c>
      <c r="HS3" s="591">
        <v>0</v>
      </c>
      <c r="HT3" s="591">
        <v>0</v>
      </c>
      <c r="HU3" s="591">
        <v>0</v>
      </c>
      <c r="HV3" s="591">
        <v>0</v>
      </c>
      <c r="HW3" s="591">
        <v>0</v>
      </c>
      <c r="HX3" s="591">
        <v>0</v>
      </c>
      <c r="HY3" s="591">
        <v>0</v>
      </c>
      <c r="HZ3" s="591">
        <v>0</v>
      </c>
      <c r="IA3" s="591">
        <v>0</v>
      </c>
      <c r="IB3" s="591">
        <v>0</v>
      </c>
      <c r="IC3" s="591">
        <v>0</v>
      </c>
      <c r="ID3" s="591">
        <v>0</v>
      </c>
      <c r="IE3" s="591">
        <v>0</v>
      </c>
      <c r="IF3" s="591">
        <v>0</v>
      </c>
      <c r="IG3" s="591">
        <v>0</v>
      </c>
      <c r="IH3" s="591">
        <v>0</v>
      </c>
      <c r="II3" s="591">
        <v>0</v>
      </c>
      <c r="IJ3" s="591">
        <v>0</v>
      </c>
      <c r="IK3" s="591">
        <v>0</v>
      </c>
      <c r="IL3" s="591">
        <v>0</v>
      </c>
      <c r="IM3" s="591">
        <v>0</v>
      </c>
      <c r="IN3" s="591">
        <v>0</v>
      </c>
      <c r="IO3" s="591">
        <v>0</v>
      </c>
      <c r="IP3" s="591">
        <v>0</v>
      </c>
      <c r="IQ3" s="591">
        <v>0</v>
      </c>
      <c r="IR3" s="591">
        <v>0</v>
      </c>
      <c r="IS3" s="591">
        <v>0</v>
      </c>
      <c r="IT3" s="591">
        <v>0</v>
      </c>
      <c r="IU3" s="591">
        <v>0</v>
      </c>
      <c r="IV3" s="591">
        <v>0</v>
      </c>
      <c r="IW3" s="591">
        <v>6159</v>
      </c>
      <c r="IX3" s="591">
        <v>0</v>
      </c>
      <c r="IY3" s="591">
        <v>0</v>
      </c>
      <c r="IZ3" s="591">
        <v>0</v>
      </c>
      <c r="JA3" s="591">
        <v>0</v>
      </c>
      <c r="JB3" s="591">
        <v>0</v>
      </c>
      <c r="JC3" s="591">
        <v>0</v>
      </c>
      <c r="JD3" s="591">
        <v>0</v>
      </c>
      <c r="JE3" s="591">
        <v>0</v>
      </c>
      <c r="JF3" s="591">
        <v>0</v>
      </c>
      <c r="JG3" s="591">
        <v>0</v>
      </c>
      <c r="JH3" s="591">
        <v>0</v>
      </c>
      <c r="JI3" s="591">
        <v>0</v>
      </c>
      <c r="JJ3" s="591">
        <v>0</v>
      </c>
      <c r="JK3" s="591">
        <v>0</v>
      </c>
      <c r="JL3" s="591">
        <v>0</v>
      </c>
      <c r="JM3" s="591">
        <v>0</v>
      </c>
    </row>
    <row r="4" spans="1:274" x14ac:dyDescent="0.25">
      <c r="A4" s="591">
        <v>32570</v>
      </c>
      <c r="B4" s="591">
        <v>3801</v>
      </c>
      <c r="C4" s="591">
        <v>9</v>
      </c>
      <c r="D4" s="591">
        <v>2022</v>
      </c>
      <c r="E4" s="591">
        <v>6159</v>
      </c>
      <c r="F4" s="591">
        <v>0</v>
      </c>
      <c r="G4" s="591">
        <v>874.12700000000007</v>
      </c>
      <c r="H4" s="591">
        <v>823.56700000000001</v>
      </c>
      <c r="I4" s="591">
        <v>823.56700000000001</v>
      </c>
      <c r="J4" s="591">
        <v>874.12700000000007</v>
      </c>
      <c r="K4" s="591">
        <v>0</v>
      </c>
      <c r="L4" s="591">
        <v>6159</v>
      </c>
      <c r="M4" s="591">
        <v>0</v>
      </c>
      <c r="N4" s="591">
        <v>0</v>
      </c>
      <c r="O4" s="591">
        <v>0</v>
      </c>
      <c r="P4" s="591">
        <v>934.72500000000002</v>
      </c>
      <c r="Q4" s="591">
        <v>0</v>
      </c>
      <c r="R4" s="591">
        <v>376160</v>
      </c>
      <c r="S4" s="591">
        <v>402.428</v>
      </c>
      <c r="T4" s="591">
        <v>0</v>
      </c>
      <c r="U4" s="591">
        <v>0</v>
      </c>
      <c r="V4" s="591">
        <v>31.535</v>
      </c>
      <c r="W4" s="591">
        <v>19423</v>
      </c>
      <c r="X4" s="591">
        <v>19423</v>
      </c>
      <c r="Y4" s="591">
        <v>0</v>
      </c>
      <c r="Z4" s="591">
        <v>0</v>
      </c>
      <c r="AA4" s="591">
        <v>0</v>
      </c>
      <c r="AB4" s="591">
        <v>0</v>
      </c>
      <c r="AC4" s="591">
        <v>0</v>
      </c>
      <c r="AD4" s="591" t="s">
        <v>316</v>
      </c>
      <c r="AE4" s="591">
        <v>0</v>
      </c>
      <c r="AF4" s="591">
        <v>0</v>
      </c>
      <c r="AG4" s="591">
        <v>0</v>
      </c>
      <c r="AH4" s="591">
        <v>0</v>
      </c>
      <c r="AI4" s="591">
        <v>0</v>
      </c>
      <c r="AJ4" s="591">
        <v>6159</v>
      </c>
      <c r="AK4" s="591" t="s">
        <v>671</v>
      </c>
      <c r="AL4" s="591" t="s">
        <v>54</v>
      </c>
      <c r="AM4" s="591">
        <v>0</v>
      </c>
      <c r="AN4" s="591">
        <v>0</v>
      </c>
      <c r="AO4" s="591">
        <v>0</v>
      </c>
      <c r="AP4" s="591">
        <v>0</v>
      </c>
      <c r="AQ4" s="591">
        <v>0</v>
      </c>
      <c r="AR4" s="591">
        <v>0</v>
      </c>
      <c r="AS4" s="591">
        <v>0</v>
      </c>
      <c r="AT4" s="591">
        <v>0</v>
      </c>
      <c r="AU4" s="591">
        <v>0</v>
      </c>
      <c r="AV4" s="591">
        <v>0</v>
      </c>
      <c r="AW4" s="591">
        <v>8822695</v>
      </c>
      <c r="AX4" s="591">
        <v>8667063</v>
      </c>
      <c r="AY4" s="591">
        <v>0</v>
      </c>
      <c r="AZ4" s="591">
        <v>376160</v>
      </c>
      <c r="BA4" s="591">
        <v>0</v>
      </c>
      <c r="BB4" s="591">
        <v>0</v>
      </c>
      <c r="BC4" s="591">
        <v>0</v>
      </c>
      <c r="BD4" s="591">
        <v>7.7510000000000003</v>
      </c>
      <c r="BE4" s="591">
        <v>116</v>
      </c>
      <c r="BF4" s="591">
        <v>8027431</v>
      </c>
      <c r="BG4" s="591">
        <v>0</v>
      </c>
      <c r="BH4" s="591">
        <v>0</v>
      </c>
      <c r="BI4" s="591">
        <v>0</v>
      </c>
      <c r="BJ4" s="591">
        <v>12</v>
      </c>
      <c r="BK4" s="591">
        <v>0</v>
      </c>
      <c r="BL4" s="591">
        <v>0</v>
      </c>
      <c r="BM4" s="591">
        <v>0</v>
      </c>
      <c r="BN4" s="591">
        <v>0</v>
      </c>
      <c r="BO4" s="591">
        <v>0</v>
      </c>
      <c r="BP4" s="591">
        <v>0</v>
      </c>
      <c r="BQ4" s="591">
        <v>643</v>
      </c>
      <c r="BR4" s="591">
        <v>0</v>
      </c>
      <c r="BS4" s="591">
        <v>0</v>
      </c>
      <c r="BT4" s="591">
        <v>0</v>
      </c>
      <c r="BU4" s="591">
        <v>0</v>
      </c>
      <c r="BV4" s="591">
        <v>0</v>
      </c>
      <c r="BW4" s="591">
        <v>0</v>
      </c>
      <c r="BX4" s="591">
        <v>0</v>
      </c>
      <c r="BY4" s="591">
        <v>0</v>
      </c>
      <c r="BZ4" s="591">
        <v>0</v>
      </c>
      <c r="CA4" s="591">
        <v>0</v>
      </c>
      <c r="CB4" s="591">
        <v>0</v>
      </c>
      <c r="CC4" s="591">
        <v>0</v>
      </c>
      <c r="CD4" s="591">
        <v>0</v>
      </c>
      <c r="CE4" s="591">
        <v>0</v>
      </c>
      <c r="CF4" s="591">
        <v>0</v>
      </c>
      <c r="CG4" s="591">
        <v>0</v>
      </c>
      <c r="CH4" s="591">
        <v>158401</v>
      </c>
      <c r="CI4" s="591">
        <v>0</v>
      </c>
      <c r="CJ4" s="591">
        <v>4</v>
      </c>
      <c r="CK4" s="591">
        <v>0</v>
      </c>
      <c r="CL4" s="591">
        <v>0</v>
      </c>
      <c r="CM4" s="591">
        <v>0</v>
      </c>
      <c r="CN4" s="591">
        <v>0</v>
      </c>
      <c r="CO4" s="591">
        <v>1</v>
      </c>
      <c r="CP4" s="591">
        <v>0</v>
      </c>
      <c r="CQ4" s="591">
        <v>0</v>
      </c>
      <c r="CR4" s="591">
        <v>874.12700000000007</v>
      </c>
      <c r="CS4" s="591">
        <v>0</v>
      </c>
      <c r="CT4" s="591">
        <v>0</v>
      </c>
      <c r="CU4" s="591">
        <v>0</v>
      </c>
      <c r="CV4" s="591">
        <v>0</v>
      </c>
      <c r="CW4" s="591">
        <v>0</v>
      </c>
      <c r="CX4" s="591">
        <v>0</v>
      </c>
      <c r="CY4" s="591">
        <v>0</v>
      </c>
      <c r="CZ4" s="591">
        <v>0</v>
      </c>
      <c r="DA4" s="591">
        <v>0</v>
      </c>
      <c r="DB4" s="591">
        <v>5072417</v>
      </c>
      <c r="DC4" s="591">
        <v>0</v>
      </c>
      <c r="DD4" s="591">
        <v>0</v>
      </c>
      <c r="DE4" s="591">
        <v>846489</v>
      </c>
      <c r="DF4" s="591">
        <v>846489</v>
      </c>
      <c r="DG4" s="591">
        <v>137.43800000000002</v>
      </c>
      <c r="DH4" s="591">
        <v>0</v>
      </c>
      <c r="DI4" s="591">
        <v>0</v>
      </c>
      <c r="DJ4" s="591">
        <v>0</v>
      </c>
      <c r="DK4" s="591">
        <v>1913</v>
      </c>
      <c r="DL4" s="591">
        <v>0</v>
      </c>
      <c r="DM4" s="591">
        <v>695456</v>
      </c>
      <c r="DN4" s="591">
        <v>2653</v>
      </c>
      <c r="DO4" s="591">
        <v>0</v>
      </c>
      <c r="DP4" s="591">
        <v>0</v>
      </c>
      <c r="DQ4" s="591">
        <v>0</v>
      </c>
      <c r="DR4" s="591">
        <v>0</v>
      </c>
      <c r="DS4" s="591">
        <v>0</v>
      </c>
      <c r="DT4" s="591">
        <v>0</v>
      </c>
      <c r="DU4" s="591">
        <v>0</v>
      </c>
      <c r="DV4" s="591">
        <v>0</v>
      </c>
      <c r="DW4" s="591">
        <v>0</v>
      </c>
      <c r="DX4" s="591">
        <v>0</v>
      </c>
      <c r="DY4" s="591">
        <v>0</v>
      </c>
      <c r="DZ4" s="591">
        <v>0</v>
      </c>
      <c r="EA4" s="591">
        <v>0</v>
      </c>
      <c r="EB4" s="591">
        <v>0</v>
      </c>
      <c r="EC4" s="591">
        <v>42.322000000000003</v>
      </c>
      <c r="ED4" s="591">
        <v>299764</v>
      </c>
      <c r="EE4" s="591">
        <v>0</v>
      </c>
      <c r="EF4" s="591">
        <v>0</v>
      </c>
      <c r="EG4" s="591">
        <v>0</v>
      </c>
      <c r="EH4" s="591">
        <v>398345</v>
      </c>
      <c r="EI4" s="591">
        <v>0</v>
      </c>
      <c r="EJ4" s="591">
        <v>0</v>
      </c>
      <c r="EK4" s="591">
        <v>19.707000000000001</v>
      </c>
      <c r="EL4" s="591">
        <v>0</v>
      </c>
      <c r="EM4" s="591">
        <v>0</v>
      </c>
      <c r="EN4" s="591">
        <v>1.111</v>
      </c>
      <c r="EO4" s="591">
        <v>0</v>
      </c>
      <c r="EP4" s="591">
        <v>0</v>
      </c>
      <c r="EQ4" s="591">
        <v>20.818000000000001</v>
      </c>
      <c r="ER4" s="591">
        <v>0</v>
      </c>
      <c r="ES4" s="591">
        <v>64.676000000000002</v>
      </c>
      <c r="ET4" s="591">
        <v>0</v>
      </c>
      <c r="EU4" s="591">
        <v>0</v>
      </c>
      <c r="EV4" s="591">
        <v>0</v>
      </c>
      <c r="EW4" s="591">
        <v>0</v>
      </c>
      <c r="EX4" s="591">
        <v>0</v>
      </c>
      <c r="EY4" s="591">
        <v>0</v>
      </c>
      <c r="EZ4" s="591">
        <v>7665964</v>
      </c>
      <c r="FA4" s="591">
        <v>0</v>
      </c>
      <c r="FB4" s="591">
        <v>8039355</v>
      </c>
      <c r="FC4" s="591">
        <v>0</v>
      </c>
      <c r="FD4" s="591">
        <v>0</v>
      </c>
      <c r="FE4" s="591">
        <v>831496</v>
      </c>
      <c r="FF4" s="591">
        <v>169603</v>
      </c>
      <c r="FG4" s="591">
        <v>6.4728999999999995E-2</v>
      </c>
      <c r="FH4" s="591">
        <v>2.6405999999999999E-2</v>
      </c>
      <c r="FI4" s="591">
        <v>0</v>
      </c>
      <c r="FJ4" s="591">
        <v>0</v>
      </c>
      <c r="FK4" s="591">
        <v>1303.3490000000002</v>
      </c>
      <c r="FL4" s="591">
        <v>9198855</v>
      </c>
      <c r="FM4" s="591">
        <v>0</v>
      </c>
      <c r="FN4" s="591">
        <v>0</v>
      </c>
      <c r="FO4" s="591">
        <v>9960</v>
      </c>
      <c r="FP4" s="591">
        <v>0</v>
      </c>
      <c r="FQ4" s="591">
        <v>9960</v>
      </c>
      <c r="FR4" s="591">
        <v>9960</v>
      </c>
      <c r="FS4" s="591">
        <v>0</v>
      </c>
      <c r="FT4" s="591">
        <v>0</v>
      </c>
      <c r="FU4" s="591">
        <v>0</v>
      </c>
      <c r="FV4" s="591">
        <v>0</v>
      </c>
      <c r="FW4" s="591">
        <v>0</v>
      </c>
      <c r="FX4" s="591">
        <v>0</v>
      </c>
      <c r="FY4" s="591">
        <v>0</v>
      </c>
      <c r="FZ4" s="591">
        <v>0</v>
      </c>
      <c r="GA4" s="591">
        <v>0</v>
      </c>
      <c r="GB4" s="591">
        <v>247298</v>
      </c>
      <c r="GC4" s="591">
        <v>247298</v>
      </c>
      <c r="GD4" s="591">
        <v>29.742000000000001</v>
      </c>
      <c r="GE4" s="591">
        <v>0</v>
      </c>
      <c r="GF4" s="591">
        <v>0</v>
      </c>
      <c r="GG4" s="591">
        <v>0</v>
      </c>
      <c r="GH4" s="591">
        <v>0</v>
      </c>
      <c r="GI4" s="591">
        <v>0</v>
      </c>
      <c r="GJ4" s="591">
        <v>0</v>
      </c>
      <c r="GK4" s="591">
        <v>0</v>
      </c>
      <c r="GL4" s="591">
        <v>0</v>
      </c>
      <c r="GM4" s="591">
        <v>0</v>
      </c>
      <c r="GN4" s="591">
        <v>0</v>
      </c>
      <c r="GO4" s="591">
        <v>0</v>
      </c>
      <c r="GP4" s="591">
        <v>0</v>
      </c>
      <c r="GQ4" s="591">
        <v>0</v>
      </c>
      <c r="GR4" s="591">
        <v>0</v>
      </c>
      <c r="GS4" s="591">
        <v>0</v>
      </c>
      <c r="GT4" s="591">
        <v>0</v>
      </c>
      <c r="GU4" s="591">
        <v>0</v>
      </c>
      <c r="GV4" s="591">
        <v>0</v>
      </c>
      <c r="GW4" s="591">
        <v>0</v>
      </c>
      <c r="GX4" s="591">
        <v>0</v>
      </c>
      <c r="GY4" s="591">
        <v>0</v>
      </c>
      <c r="GZ4" s="591">
        <v>0</v>
      </c>
      <c r="HA4" s="591">
        <v>0</v>
      </c>
      <c r="HB4" s="591">
        <v>260009272</v>
      </c>
      <c r="HC4" s="591">
        <v>5.1774999999999995E-2</v>
      </c>
      <c r="HD4" s="591">
        <v>158401</v>
      </c>
      <c r="HE4" s="591">
        <v>0</v>
      </c>
      <c r="HF4" s="591">
        <v>905100</v>
      </c>
      <c r="HG4" s="591">
        <v>28869</v>
      </c>
      <c r="HH4" s="591">
        <v>125029</v>
      </c>
      <c r="HI4" s="591">
        <v>0</v>
      </c>
      <c r="HJ4" s="591">
        <v>8497</v>
      </c>
      <c r="HK4" s="591">
        <v>3019</v>
      </c>
      <c r="HL4" s="591">
        <v>1714</v>
      </c>
      <c r="HM4" s="591">
        <v>51000</v>
      </c>
      <c r="HN4" s="591">
        <v>0</v>
      </c>
      <c r="HO4" s="591">
        <v>25200</v>
      </c>
      <c r="HP4" s="591">
        <v>0</v>
      </c>
      <c r="HQ4" s="591">
        <v>0</v>
      </c>
      <c r="HR4" s="591">
        <v>0</v>
      </c>
      <c r="HS4" s="591">
        <v>7663195</v>
      </c>
      <c r="HT4" s="591">
        <v>0</v>
      </c>
      <c r="HU4" s="591">
        <v>0</v>
      </c>
      <c r="HV4" s="591">
        <v>0</v>
      </c>
      <c r="HW4" s="591">
        <v>0</v>
      </c>
      <c r="HX4" s="591">
        <v>127</v>
      </c>
      <c r="HY4" s="591">
        <v>122</v>
      </c>
      <c r="HZ4" s="591">
        <v>114</v>
      </c>
      <c r="IA4" s="591">
        <v>91</v>
      </c>
      <c r="IB4" s="591">
        <v>100</v>
      </c>
      <c r="IC4" s="591">
        <v>502</v>
      </c>
      <c r="ID4" s="591">
        <v>0</v>
      </c>
      <c r="IE4" s="591">
        <v>0</v>
      </c>
      <c r="IF4" s="591">
        <v>0</v>
      </c>
      <c r="IG4" s="591">
        <v>46.872</v>
      </c>
      <c r="IH4" s="591">
        <v>203</v>
      </c>
      <c r="II4" s="591">
        <v>0</v>
      </c>
      <c r="IJ4" s="591">
        <v>31.535</v>
      </c>
      <c r="IK4" s="591">
        <v>0</v>
      </c>
      <c r="IL4" s="591">
        <v>3</v>
      </c>
      <c r="IM4" s="591">
        <v>12</v>
      </c>
      <c r="IN4" s="591">
        <v>0</v>
      </c>
      <c r="IO4" s="591">
        <v>15</v>
      </c>
      <c r="IP4" s="591">
        <v>0</v>
      </c>
      <c r="IQ4" s="591">
        <v>31.535</v>
      </c>
      <c r="IR4" s="591">
        <v>19423</v>
      </c>
      <c r="IS4" s="591">
        <v>0</v>
      </c>
      <c r="IT4" s="591">
        <v>15000</v>
      </c>
      <c r="IU4" s="591">
        <v>36000</v>
      </c>
      <c r="IV4" s="591">
        <v>0</v>
      </c>
      <c r="IW4" s="591">
        <v>6159</v>
      </c>
      <c r="IX4" s="591">
        <v>0</v>
      </c>
      <c r="IY4" s="591">
        <v>0</v>
      </c>
      <c r="IZ4" s="591">
        <v>0</v>
      </c>
      <c r="JA4" s="591">
        <v>0</v>
      </c>
      <c r="JB4" s="591">
        <v>0</v>
      </c>
      <c r="JC4" s="591">
        <v>0</v>
      </c>
      <c r="JD4" s="591">
        <v>0</v>
      </c>
      <c r="JE4" s="591">
        <v>0</v>
      </c>
      <c r="JF4" s="591">
        <v>0</v>
      </c>
      <c r="JG4" s="591">
        <v>0</v>
      </c>
      <c r="JH4" s="591">
        <v>0</v>
      </c>
      <c r="JI4" s="591">
        <v>0</v>
      </c>
      <c r="JJ4" s="591">
        <v>0</v>
      </c>
      <c r="JK4" s="591">
        <v>0</v>
      </c>
      <c r="JL4" s="591">
        <v>0</v>
      </c>
      <c r="JM4" s="591">
        <v>0</v>
      </c>
      <c r="JN4" s="591">
        <v>32469</v>
      </c>
    </row>
    <row r="5" spans="1:274" x14ac:dyDescent="0.25">
      <c r="A5" s="591">
        <v>32570</v>
      </c>
      <c r="B5" s="591">
        <v>13801</v>
      </c>
      <c r="C5" s="591">
        <v>9</v>
      </c>
      <c r="D5" s="591">
        <v>2022</v>
      </c>
      <c r="E5" s="591">
        <v>6159</v>
      </c>
      <c r="F5" s="591">
        <v>0</v>
      </c>
      <c r="G5" s="591">
        <v>368.59200000000004</v>
      </c>
      <c r="H5" s="591">
        <v>359.77100000000002</v>
      </c>
      <c r="I5" s="591">
        <v>359.77100000000002</v>
      </c>
      <c r="J5" s="591">
        <v>368.59200000000004</v>
      </c>
      <c r="K5" s="591">
        <v>0</v>
      </c>
      <c r="L5" s="591">
        <v>6159</v>
      </c>
      <c r="M5" s="591">
        <v>0</v>
      </c>
      <c r="N5" s="591">
        <v>0</v>
      </c>
      <c r="O5" s="591">
        <v>0</v>
      </c>
      <c r="P5" s="591">
        <v>368.73200000000003</v>
      </c>
      <c r="Q5" s="591">
        <v>0</v>
      </c>
      <c r="R5" s="591">
        <v>148388</v>
      </c>
      <c r="S5" s="591">
        <v>402.428</v>
      </c>
      <c r="T5" s="591">
        <v>0</v>
      </c>
      <c r="U5" s="591">
        <v>0</v>
      </c>
      <c r="V5" s="591">
        <v>6.9820000000000002</v>
      </c>
      <c r="W5" s="591">
        <v>4300</v>
      </c>
      <c r="X5" s="591">
        <v>4300</v>
      </c>
      <c r="Y5" s="591">
        <v>0</v>
      </c>
      <c r="Z5" s="591">
        <v>0</v>
      </c>
      <c r="AA5" s="591">
        <v>0</v>
      </c>
      <c r="AB5" s="591">
        <v>0</v>
      </c>
      <c r="AC5" s="591">
        <v>0</v>
      </c>
      <c r="AD5" s="591" t="s">
        <v>316</v>
      </c>
      <c r="AE5" s="591">
        <v>0</v>
      </c>
      <c r="AF5" s="591">
        <v>0</v>
      </c>
      <c r="AG5" s="591">
        <v>0</v>
      </c>
      <c r="AH5" s="591">
        <v>0</v>
      </c>
      <c r="AI5" s="591">
        <v>0</v>
      </c>
      <c r="AJ5" s="591">
        <v>6159</v>
      </c>
      <c r="AK5" s="591" t="s">
        <v>671</v>
      </c>
      <c r="AL5" s="591" t="s">
        <v>55</v>
      </c>
      <c r="AM5" s="591">
        <v>0</v>
      </c>
      <c r="AN5" s="591">
        <v>0</v>
      </c>
      <c r="AO5" s="591">
        <v>0</v>
      </c>
      <c r="AP5" s="591">
        <v>0</v>
      </c>
      <c r="AQ5" s="591">
        <v>0</v>
      </c>
      <c r="AR5" s="591">
        <v>0</v>
      </c>
      <c r="AS5" s="591">
        <v>0</v>
      </c>
      <c r="AT5" s="591">
        <v>0</v>
      </c>
      <c r="AU5" s="591">
        <v>0</v>
      </c>
      <c r="AV5" s="591">
        <v>0</v>
      </c>
      <c r="AW5" s="591">
        <v>3801931</v>
      </c>
      <c r="AX5" s="591">
        <v>3735909</v>
      </c>
      <c r="AY5" s="591">
        <v>0</v>
      </c>
      <c r="AZ5" s="591">
        <v>148388</v>
      </c>
      <c r="BA5" s="591">
        <v>0</v>
      </c>
      <c r="BB5" s="591">
        <v>0</v>
      </c>
      <c r="BC5" s="591">
        <v>0</v>
      </c>
      <c r="BD5" s="591">
        <v>0</v>
      </c>
      <c r="BE5" s="591">
        <v>50</v>
      </c>
      <c r="BF5" s="591">
        <v>3453600</v>
      </c>
      <c r="BG5" s="591">
        <v>0</v>
      </c>
      <c r="BH5" s="591">
        <v>0</v>
      </c>
      <c r="BI5" s="591">
        <v>0</v>
      </c>
      <c r="BJ5" s="591">
        <v>12</v>
      </c>
      <c r="BK5" s="591">
        <v>0</v>
      </c>
      <c r="BL5" s="591">
        <v>0</v>
      </c>
      <c r="BM5" s="591">
        <v>0</v>
      </c>
      <c r="BN5" s="591">
        <v>0</v>
      </c>
      <c r="BO5" s="591">
        <v>0</v>
      </c>
      <c r="BP5" s="591">
        <v>0</v>
      </c>
      <c r="BQ5" s="591">
        <v>714</v>
      </c>
      <c r="BR5" s="591">
        <v>0</v>
      </c>
      <c r="BS5" s="591">
        <v>0</v>
      </c>
      <c r="BT5" s="591">
        <v>0</v>
      </c>
      <c r="BU5" s="591">
        <v>0</v>
      </c>
      <c r="BV5" s="591">
        <v>0</v>
      </c>
      <c r="BW5" s="591">
        <v>0</v>
      </c>
      <c r="BX5" s="591">
        <v>0</v>
      </c>
      <c r="BY5" s="591">
        <v>0</v>
      </c>
      <c r="BZ5" s="591">
        <v>0</v>
      </c>
      <c r="CA5" s="591">
        <v>0</v>
      </c>
      <c r="CB5" s="591">
        <v>0</v>
      </c>
      <c r="CC5" s="591">
        <v>0</v>
      </c>
      <c r="CD5" s="591">
        <v>0</v>
      </c>
      <c r="CE5" s="591">
        <v>0</v>
      </c>
      <c r="CF5" s="591">
        <v>0</v>
      </c>
      <c r="CG5" s="591">
        <v>0</v>
      </c>
      <c r="CH5" s="591">
        <v>66793</v>
      </c>
      <c r="CI5" s="591">
        <v>0</v>
      </c>
      <c r="CJ5" s="591">
        <v>4</v>
      </c>
      <c r="CK5" s="591">
        <v>0</v>
      </c>
      <c r="CL5" s="591">
        <v>0</v>
      </c>
      <c r="CM5" s="591">
        <v>0</v>
      </c>
      <c r="CN5" s="591">
        <v>0</v>
      </c>
      <c r="CO5" s="591">
        <v>1</v>
      </c>
      <c r="CP5" s="591">
        <v>0</v>
      </c>
      <c r="CQ5" s="591">
        <v>0</v>
      </c>
      <c r="CR5" s="591">
        <v>368.59200000000004</v>
      </c>
      <c r="CS5" s="591">
        <v>0</v>
      </c>
      <c r="CT5" s="591">
        <v>0</v>
      </c>
      <c r="CU5" s="591">
        <v>0</v>
      </c>
      <c r="CV5" s="591">
        <v>0</v>
      </c>
      <c r="CW5" s="591">
        <v>0</v>
      </c>
      <c r="CX5" s="591">
        <v>0</v>
      </c>
      <c r="CY5" s="591">
        <v>0</v>
      </c>
      <c r="CZ5" s="591">
        <v>0</v>
      </c>
      <c r="DA5" s="591">
        <v>0</v>
      </c>
      <c r="DB5" s="591">
        <v>2209743</v>
      </c>
      <c r="DC5" s="591">
        <v>0</v>
      </c>
      <c r="DD5" s="591">
        <v>0</v>
      </c>
      <c r="DE5" s="591">
        <v>493112</v>
      </c>
      <c r="DF5" s="591">
        <v>493112</v>
      </c>
      <c r="DG5" s="591">
        <v>80.063000000000002</v>
      </c>
      <c r="DH5" s="591">
        <v>0</v>
      </c>
      <c r="DI5" s="591">
        <v>0</v>
      </c>
      <c r="DJ5" s="591">
        <v>0</v>
      </c>
      <c r="DK5" s="591">
        <v>3055</v>
      </c>
      <c r="DL5" s="591">
        <v>0</v>
      </c>
      <c r="DM5" s="591">
        <v>195086</v>
      </c>
      <c r="DN5" s="591">
        <v>721</v>
      </c>
      <c r="DO5" s="591">
        <v>0</v>
      </c>
      <c r="DP5" s="591">
        <v>0</v>
      </c>
      <c r="DQ5" s="591">
        <v>0</v>
      </c>
      <c r="DR5" s="591">
        <v>0</v>
      </c>
      <c r="DS5" s="591">
        <v>0</v>
      </c>
      <c r="DT5" s="591">
        <v>0</v>
      </c>
      <c r="DU5" s="591">
        <v>0</v>
      </c>
      <c r="DV5" s="591">
        <v>0</v>
      </c>
      <c r="DW5" s="591">
        <v>0</v>
      </c>
      <c r="DX5" s="591">
        <v>0</v>
      </c>
      <c r="DY5" s="591">
        <v>0</v>
      </c>
      <c r="DZ5" s="591">
        <v>0</v>
      </c>
      <c r="EA5" s="591">
        <v>0</v>
      </c>
      <c r="EB5" s="591">
        <v>0</v>
      </c>
      <c r="EC5" s="591">
        <v>1.5770000000000002</v>
      </c>
      <c r="ED5" s="591">
        <v>11170</v>
      </c>
      <c r="EE5" s="591">
        <v>0</v>
      </c>
      <c r="EF5" s="591">
        <v>0</v>
      </c>
      <c r="EG5" s="591">
        <v>0</v>
      </c>
      <c r="EH5" s="591">
        <v>178521</v>
      </c>
      <c r="EI5" s="591">
        <v>0</v>
      </c>
      <c r="EJ5" s="591">
        <v>0</v>
      </c>
      <c r="EK5" s="591">
        <v>7.5570000000000004</v>
      </c>
      <c r="EL5" s="591">
        <v>0</v>
      </c>
      <c r="EM5" s="591">
        <v>3.0000000000000001E-3</v>
      </c>
      <c r="EN5" s="591">
        <v>1.2610000000000001</v>
      </c>
      <c r="EO5" s="591">
        <v>0</v>
      </c>
      <c r="EP5" s="591">
        <v>0</v>
      </c>
      <c r="EQ5" s="591">
        <v>8.8209999999999997</v>
      </c>
      <c r="ER5" s="591">
        <v>0</v>
      </c>
      <c r="ES5" s="591">
        <v>28.985000000000003</v>
      </c>
      <c r="ET5" s="591">
        <v>0</v>
      </c>
      <c r="EU5" s="591">
        <v>0</v>
      </c>
      <c r="EV5" s="591">
        <v>0</v>
      </c>
      <c r="EW5" s="591">
        <v>0</v>
      </c>
      <c r="EX5" s="591">
        <v>0</v>
      </c>
      <c r="EY5" s="591">
        <v>0</v>
      </c>
      <c r="EZ5" s="591">
        <v>3305212</v>
      </c>
      <c r="FA5" s="591">
        <v>0</v>
      </c>
      <c r="FB5" s="591">
        <v>3452829</v>
      </c>
      <c r="FC5" s="591">
        <v>0</v>
      </c>
      <c r="FD5" s="591">
        <v>0</v>
      </c>
      <c r="FE5" s="591">
        <v>357730</v>
      </c>
      <c r="FF5" s="591">
        <v>72967</v>
      </c>
      <c r="FG5" s="591">
        <v>6.4728999999999995E-2</v>
      </c>
      <c r="FH5" s="591">
        <v>2.6405999999999999E-2</v>
      </c>
      <c r="FI5" s="591">
        <v>0</v>
      </c>
      <c r="FJ5" s="591">
        <v>0</v>
      </c>
      <c r="FK5" s="591">
        <v>560.73300000000006</v>
      </c>
      <c r="FL5" s="591">
        <v>3950319</v>
      </c>
      <c r="FM5" s="591">
        <v>0</v>
      </c>
      <c r="FN5" s="591">
        <v>0</v>
      </c>
      <c r="FO5" s="591">
        <v>0</v>
      </c>
      <c r="FP5" s="591">
        <v>0</v>
      </c>
      <c r="FQ5" s="591">
        <v>0</v>
      </c>
      <c r="FR5" s="591">
        <v>0</v>
      </c>
      <c r="FS5" s="591">
        <v>0</v>
      </c>
      <c r="FT5" s="591">
        <v>0</v>
      </c>
      <c r="FU5" s="591">
        <v>0</v>
      </c>
      <c r="FV5" s="591">
        <v>0</v>
      </c>
      <c r="FW5" s="591">
        <v>0</v>
      </c>
      <c r="FX5" s="591">
        <v>0</v>
      </c>
      <c r="FY5" s="591">
        <v>0</v>
      </c>
      <c r="FZ5" s="591">
        <v>0</v>
      </c>
      <c r="GA5" s="591">
        <v>0</v>
      </c>
      <c r="GB5" s="591">
        <v>0</v>
      </c>
      <c r="GC5" s="591">
        <v>0</v>
      </c>
      <c r="GD5" s="591">
        <v>0</v>
      </c>
      <c r="GE5" s="591">
        <v>0</v>
      </c>
      <c r="GF5" s="591">
        <v>0</v>
      </c>
      <c r="GG5" s="591">
        <v>0</v>
      </c>
      <c r="GH5" s="591">
        <v>0</v>
      </c>
      <c r="GI5" s="591">
        <v>0</v>
      </c>
      <c r="GJ5" s="591">
        <v>0</v>
      </c>
      <c r="GK5" s="591">
        <v>0</v>
      </c>
      <c r="GL5" s="591">
        <v>0</v>
      </c>
      <c r="GM5" s="591">
        <v>0</v>
      </c>
      <c r="GN5" s="591">
        <v>0</v>
      </c>
      <c r="GO5" s="591">
        <v>0</v>
      </c>
      <c r="GP5" s="591">
        <v>0</v>
      </c>
      <c r="GQ5" s="591">
        <v>0</v>
      </c>
      <c r="GR5" s="591">
        <v>0</v>
      </c>
      <c r="GS5" s="591">
        <v>0</v>
      </c>
      <c r="GT5" s="591">
        <v>0</v>
      </c>
      <c r="GU5" s="591">
        <v>0</v>
      </c>
      <c r="GV5" s="591">
        <v>0</v>
      </c>
      <c r="GW5" s="591">
        <v>0</v>
      </c>
      <c r="GX5" s="591">
        <v>0</v>
      </c>
      <c r="GY5" s="591">
        <v>0</v>
      </c>
      <c r="GZ5" s="591">
        <v>0</v>
      </c>
      <c r="HA5" s="591">
        <v>0</v>
      </c>
      <c r="HB5" s="591">
        <v>260009272</v>
      </c>
      <c r="HC5" s="591">
        <v>5.1774999999999995E-2</v>
      </c>
      <c r="HD5" s="591">
        <v>66793</v>
      </c>
      <c r="HE5" s="591">
        <v>0</v>
      </c>
      <c r="HF5" s="591">
        <v>395388</v>
      </c>
      <c r="HG5" s="591">
        <v>3849</v>
      </c>
      <c r="HH5" s="591">
        <v>147818</v>
      </c>
      <c r="HI5" s="591">
        <v>0</v>
      </c>
      <c r="HJ5" s="591">
        <v>3583</v>
      </c>
      <c r="HK5" s="591">
        <v>0</v>
      </c>
      <c r="HL5" s="591">
        <v>0</v>
      </c>
      <c r="HM5" s="591">
        <v>0</v>
      </c>
      <c r="HN5" s="591">
        <v>0</v>
      </c>
      <c r="HO5" s="591">
        <v>0</v>
      </c>
      <c r="HP5" s="591">
        <v>0</v>
      </c>
      <c r="HQ5" s="591">
        <v>0</v>
      </c>
      <c r="HR5" s="591">
        <v>0</v>
      </c>
      <c r="HS5" s="591">
        <v>3304441</v>
      </c>
      <c r="HT5" s="591">
        <v>0</v>
      </c>
      <c r="HU5" s="591">
        <v>0</v>
      </c>
      <c r="HV5" s="591">
        <v>0</v>
      </c>
      <c r="HW5" s="591">
        <v>0</v>
      </c>
      <c r="HX5" s="591">
        <v>33</v>
      </c>
      <c r="HY5" s="591">
        <v>40</v>
      </c>
      <c r="HZ5" s="591">
        <v>89</v>
      </c>
      <c r="IA5" s="591">
        <v>51</v>
      </c>
      <c r="IB5" s="591">
        <v>100</v>
      </c>
      <c r="IC5" s="591">
        <v>304</v>
      </c>
      <c r="ID5" s="591">
        <v>0</v>
      </c>
      <c r="IE5" s="591">
        <v>0</v>
      </c>
      <c r="IF5" s="591">
        <v>0</v>
      </c>
      <c r="IG5" s="591">
        <v>6.25</v>
      </c>
      <c r="IH5" s="591">
        <v>240</v>
      </c>
      <c r="II5" s="591">
        <v>0</v>
      </c>
      <c r="IJ5" s="591">
        <v>6.9820000000000002</v>
      </c>
      <c r="IK5" s="591">
        <v>0</v>
      </c>
      <c r="IL5" s="591">
        <v>0</v>
      </c>
      <c r="IM5" s="591">
        <v>0</v>
      </c>
      <c r="IN5" s="591">
        <v>0</v>
      </c>
      <c r="IO5" s="591">
        <v>0</v>
      </c>
      <c r="IP5" s="591">
        <v>0</v>
      </c>
      <c r="IQ5" s="591">
        <v>6.9820000000000002</v>
      </c>
      <c r="IR5" s="591">
        <v>4300</v>
      </c>
      <c r="IS5" s="591">
        <v>0</v>
      </c>
      <c r="IT5" s="591">
        <v>0</v>
      </c>
      <c r="IU5" s="591">
        <v>0</v>
      </c>
      <c r="IV5" s="591">
        <v>0</v>
      </c>
      <c r="IW5" s="591">
        <v>6159</v>
      </c>
      <c r="IX5" s="591">
        <v>0</v>
      </c>
      <c r="IY5" s="591">
        <v>0</v>
      </c>
      <c r="IZ5" s="591">
        <v>0</v>
      </c>
      <c r="JA5" s="591">
        <v>0</v>
      </c>
      <c r="JB5" s="591">
        <v>0</v>
      </c>
      <c r="JC5" s="591">
        <v>0</v>
      </c>
      <c r="JD5" s="591">
        <v>0</v>
      </c>
      <c r="JE5" s="591">
        <v>0</v>
      </c>
      <c r="JF5" s="591">
        <v>0</v>
      </c>
      <c r="JG5" s="591">
        <v>0</v>
      </c>
      <c r="JH5" s="591">
        <v>0</v>
      </c>
      <c r="JI5" s="591">
        <v>0</v>
      </c>
      <c r="JJ5" s="591">
        <v>0</v>
      </c>
      <c r="JK5" s="591">
        <v>0</v>
      </c>
      <c r="JL5" s="591">
        <v>0</v>
      </c>
      <c r="JM5" s="591">
        <v>0</v>
      </c>
      <c r="JN5" s="591">
        <v>32469</v>
      </c>
    </row>
    <row r="6" spans="1:274" x14ac:dyDescent="0.25">
      <c r="A6" s="591">
        <v>32570</v>
      </c>
      <c r="B6" s="591">
        <v>14801</v>
      </c>
      <c r="C6" s="591">
        <v>9</v>
      </c>
      <c r="D6" s="591">
        <v>2022</v>
      </c>
      <c r="E6" s="591">
        <v>6159</v>
      </c>
      <c r="F6" s="591">
        <v>0</v>
      </c>
      <c r="G6" s="591">
        <v>1241.575</v>
      </c>
      <c r="H6" s="591">
        <v>1129.5440000000001</v>
      </c>
      <c r="I6" s="591">
        <v>1129.5440000000001</v>
      </c>
      <c r="J6" s="591">
        <v>1241.575</v>
      </c>
      <c r="K6" s="591">
        <v>0</v>
      </c>
      <c r="L6" s="591">
        <v>6159</v>
      </c>
      <c r="M6" s="591">
        <v>0</v>
      </c>
      <c r="N6" s="591">
        <v>0</v>
      </c>
      <c r="O6" s="591">
        <v>0</v>
      </c>
      <c r="P6" s="591">
        <v>1494.288</v>
      </c>
      <c r="Q6" s="591">
        <v>0</v>
      </c>
      <c r="R6" s="591">
        <v>601343</v>
      </c>
      <c r="S6" s="591">
        <v>402.428</v>
      </c>
      <c r="T6" s="591">
        <v>0</v>
      </c>
      <c r="U6" s="591">
        <v>0</v>
      </c>
      <c r="V6" s="591">
        <v>126.001</v>
      </c>
      <c r="W6" s="591">
        <v>77605</v>
      </c>
      <c r="X6" s="591">
        <v>77605</v>
      </c>
      <c r="Y6" s="591">
        <v>0</v>
      </c>
      <c r="Z6" s="591">
        <v>0</v>
      </c>
      <c r="AA6" s="591">
        <v>0</v>
      </c>
      <c r="AB6" s="591">
        <v>0</v>
      </c>
      <c r="AC6" s="591">
        <v>0</v>
      </c>
      <c r="AD6" s="591" t="s">
        <v>316</v>
      </c>
      <c r="AE6" s="591">
        <v>0</v>
      </c>
      <c r="AF6" s="591">
        <v>0</v>
      </c>
      <c r="AG6" s="591">
        <v>0</v>
      </c>
      <c r="AH6" s="591">
        <v>0</v>
      </c>
      <c r="AI6" s="591">
        <v>0</v>
      </c>
      <c r="AJ6" s="591">
        <v>6159</v>
      </c>
      <c r="AK6" s="591" t="s">
        <v>671</v>
      </c>
      <c r="AL6" s="591" t="s">
        <v>36</v>
      </c>
      <c r="AM6" s="591">
        <v>0</v>
      </c>
      <c r="AN6" s="591">
        <v>0</v>
      </c>
      <c r="AO6" s="591">
        <v>0</v>
      </c>
      <c r="AP6" s="591">
        <v>0</v>
      </c>
      <c r="AQ6" s="591">
        <v>0</v>
      </c>
      <c r="AR6" s="591">
        <v>0</v>
      </c>
      <c r="AS6" s="591">
        <v>0</v>
      </c>
      <c r="AT6" s="591">
        <v>0</v>
      </c>
      <c r="AU6" s="591">
        <v>0</v>
      </c>
      <c r="AV6" s="591">
        <v>0</v>
      </c>
      <c r="AW6" s="591">
        <v>14159002</v>
      </c>
      <c r="AX6" s="591">
        <v>13938528</v>
      </c>
      <c r="AY6" s="591">
        <v>0</v>
      </c>
      <c r="AZ6" s="591">
        <v>601343</v>
      </c>
      <c r="BA6" s="591">
        <v>0</v>
      </c>
      <c r="BB6" s="591">
        <v>0</v>
      </c>
      <c r="BC6" s="591">
        <v>0</v>
      </c>
      <c r="BD6" s="591">
        <v>0</v>
      </c>
      <c r="BE6" s="591">
        <v>187</v>
      </c>
      <c r="BF6" s="591">
        <v>12597751</v>
      </c>
      <c r="BG6" s="591">
        <v>0</v>
      </c>
      <c r="BH6" s="591">
        <v>0</v>
      </c>
      <c r="BI6" s="591">
        <v>0</v>
      </c>
      <c r="BJ6" s="591">
        <v>12</v>
      </c>
      <c r="BK6" s="591">
        <v>0</v>
      </c>
      <c r="BL6" s="591">
        <v>0</v>
      </c>
      <c r="BM6" s="591">
        <v>0</v>
      </c>
      <c r="BN6" s="591">
        <v>0</v>
      </c>
      <c r="BO6" s="591">
        <v>0</v>
      </c>
      <c r="BP6" s="591">
        <v>0</v>
      </c>
      <c r="BQ6" s="591">
        <v>596</v>
      </c>
      <c r="BR6" s="591">
        <v>0</v>
      </c>
      <c r="BS6" s="591">
        <v>0</v>
      </c>
      <c r="BT6" s="591">
        <v>0</v>
      </c>
      <c r="BU6" s="591">
        <v>0</v>
      </c>
      <c r="BV6" s="591">
        <v>0</v>
      </c>
      <c r="BW6" s="591">
        <v>0</v>
      </c>
      <c r="BX6" s="591">
        <v>0</v>
      </c>
      <c r="BY6" s="591">
        <v>0</v>
      </c>
      <c r="BZ6" s="591">
        <v>0</v>
      </c>
      <c r="CA6" s="591">
        <v>0</v>
      </c>
      <c r="CB6" s="591">
        <v>0</v>
      </c>
      <c r="CC6" s="591">
        <v>0</v>
      </c>
      <c r="CD6" s="591">
        <v>0</v>
      </c>
      <c r="CE6" s="591">
        <v>0</v>
      </c>
      <c r="CF6" s="591">
        <v>0</v>
      </c>
      <c r="CG6" s="591">
        <v>0</v>
      </c>
      <c r="CH6" s="591">
        <v>224987</v>
      </c>
      <c r="CI6" s="591">
        <v>0</v>
      </c>
      <c r="CJ6" s="591">
        <v>4</v>
      </c>
      <c r="CK6" s="591">
        <v>0</v>
      </c>
      <c r="CL6" s="591">
        <v>0</v>
      </c>
      <c r="CM6" s="591">
        <v>0</v>
      </c>
      <c r="CN6" s="591">
        <v>0</v>
      </c>
      <c r="CO6" s="591">
        <v>1</v>
      </c>
      <c r="CP6" s="591">
        <v>3.31</v>
      </c>
      <c r="CQ6" s="591">
        <v>0</v>
      </c>
      <c r="CR6" s="591">
        <v>1241.575</v>
      </c>
      <c r="CS6" s="591">
        <v>0</v>
      </c>
      <c r="CT6" s="591">
        <v>0</v>
      </c>
      <c r="CU6" s="591">
        <v>0</v>
      </c>
      <c r="CV6" s="591">
        <v>0</v>
      </c>
      <c r="CW6" s="591">
        <v>0</v>
      </c>
      <c r="CX6" s="591">
        <v>0</v>
      </c>
      <c r="CY6" s="591">
        <v>0</v>
      </c>
      <c r="CZ6" s="591">
        <v>0</v>
      </c>
      <c r="DA6" s="591">
        <v>0</v>
      </c>
      <c r="DB6" s="591">
        <v>6658040</v>
      </c>
      <c r="DC6" s="591">
        <v>0</v>
      </c>
      <c r="DD6" s="591">
        <v>0</v>
      </c>
      <c r="DE6" s="591">
        <v>2255610</v>
      </c>
      <c r="DF6" s="591">
        <v>2304742</v>
      </c>
      <c r="DG6" s="591">
        <v>366.22500000000002</v>
      </c>
      <c r="DH6" s="591">
        <v>0</v>
      </c>
      <c r="DI6" s="591">
        <v>49132</v>
      </c>
      <c r="DJ6" s="591">
        <v>0</v>
      </c>
      <c r="DK6" s="591">
        <v>1159</v>
      </c>
      <c r="DL6" s="591">
        <v>0</v>
      </c>
      <c r="DM6" s="591">
        <v>1432749</v>
      </c>
      <c r="DN6" s="591">
        <v>4326</v>
      </c>
      <c r="DO6" s="591">
        <v>0</v>
      </c>
      <c r="DP6" s="591">
        <v>0</v>
      </c>
      <c r="DQ6" s="591">
        <v>0</v>
      </c>
      <c r="DR6" s="591">
        <v>0</v>
      </c>
      <c r="DS6" s="591">
        <v>0</v>
      </c>
      <c r="DT6" s="591">
        <v>0</v>
      </c>
      <c r="DU6" s="591">
        <v>0</v>
      </c>
      <c r="DV6" s="591">
        <v>0</v>
      </c>
      <c r="DW6" s="591">
        <v>0</v>
      </c>
      <c r="DX6" s="591">
        <v>0</v>
      </c>
      <c r="DY6" s="591">
        <v>0</v>
      </c>
      <c r="DZ6" s="591">
        <v>0</v>
      </c>
      <c r="EA6" s="591">
        <v>5.0000000000000001E-3</v>
      </c>
      <c r="EB6" s="591">
        <v>0</v>
      </c>
      <c r="EC6" s="591">
        <v>128.09800000000001</v>
      </c>
      <c r="ED6" s="591">
        <v>907311</v>
      </c>
      <c r="EE6" s="591">
        <v>0</v>
      </c>
      <c r="EF6" s="591">
        <v>0</v>
      </c>
      <c r="EG6" s="591">
        <v>0</v>
      </c>
      <c r="EH6" s="591">
        <v>230849</v>
      </c>
      <c r="EI6" s="591">
        <v>0</v>
      </c>
      <c r="EJ6" s="591">
        <v>0</v>
      </c>
      <c r="EK6" s="591">
        <v>12.182</v>
      </c>
      <c r="EL6" s="591">
        <v>0</v>
      </c>
      <c r="EM6" s="591">
        <v>0</v>
      </c>
      <c r="EN6" s="591">
        <v>0.182</v>
      </c>
      <c r="EO6" s="591">
        <v>0</v>
      </c>
      <c r="EP6" s="591">
        <v>0</v>
      </c>
      <c r="EQ6" s="591">
        <v>12.369</v>
      </c>
      <c r="ER6" s="591">
        <v>0</v>
      </c>
      <c r="ES6" s="591">
        <v>37.481000000000002</v>
      </c>
      <c r="ET6" s="591">
        <v>0</v>
      </c>
      <c r="EU6" s="591">
        <v>0</v>
      </c>
      <c r="EV6" s="591">
        <v>0</v>
      </c>
      <c r="EW6" s="591">
        <v>0</v>
      </c>
      <c r="EX6" s="591">
        <v>0</v>
      </c>
      <c r="EY6" s="591">
        <v>0</v>
      </c>
      <c r="EZ6" s="591">
        <v>12367465</v>
      </c>
      <c r="FA6" s="591">
        <v>0</v>
      </c>
      <c r="FB6" s="591">
        <v>12964295</v>
      </c>
      <c r="FC6" s="591">
        <v>0</v>
      </c>
      <c r="FD6" s="591">
        <v>0</v>
      </c>
      <c r="FE6" s="591">
        <v>1304898</v>
      </c>
      <c r="FF6" s="591">
        <v>266165</v>
      </c>
      <c r="FG6" s="591">
        <v>6.4728999999999995E-2</v>
      </c>
      <c r="FH6" s="591">
        <v>2.6405999999999999E-2</v>
      </c>
      <c r="FI6" s="591">
        <v>0</v>
      </c>
      <c r="FJ6" s="591">
        <v>0</v>
      </c>
      <c r="FK6" s="591">
        <v>2045.394</v>
      </c>
      <c r="FL6" s="591">
        <v>14760345</v>
      </c>
      <c r="FM6" s="591">
        <v>0</v>
      </c>
      <c r="FN6" s="591">
        <v>0</v>
      </c>
      <c r="FO6" s="591">
        <v>0</v>
      </c>
      <c r="FP6" s="591">
        <v>0</v>
      </c>
      <c r="FQ6" s="591">
        <v>0</v>
      </c>
      <c r="FR6" s="591">
        <v>0</v>
      </c>
      <c r="FS6" s="591">
        <v>0</v>
      </c>
      <c r="FT6" s="591">
        <v>0</v>
      </c>
      <c r="FU6" s="591">
        <v>0</v>
      </c>
      <c r="FV6" s="591">
        <v>0</v>
      </c>
      <c r="FW6" s="591">
        <v>0</v>
      </c>
      <c r="FX6" s="591">
        <v>0</v>
      </c>
      <c r="FY6" s="591">
        <v>0</v>
      </c>
      <c r="FZ6" s="591">
        <v>0</v>
      </c>
      <c r="GA6" s="591">
        <v>0</v>
      </c>
      <c r="GB6" s="591">
        <v>828666</v>
      </c>
      <c r="GC6" s="591">
        <v>828666</v>
      </c>
      <c r="GD6" s="591">
        <v>99.662000000000006</v>
      </c>
      <c r="GE6" s="591">
        <v>0</v>
      </c>
      <c r="GF6" s="591">
        <v>0</v>
      </c>
      <c r="GG6" s="591">
        <v>0</v>
      </c>
      <c r="GH6" s="591">
        <v>0</v>
      </c>
      <c r="GI6" s="591">
        <v>0</v>
      </c>
      <c r="GJ6" s="591">
        <v>0</v>
      </c>
      <c r="GK6" s="591">
        <v>0</v>
      </c>
      <c r="GL6" s="591">
        <v>0</v>
      </c>
      <c r="GM6" s="591">
        <v>0</v>
      </c>
      <c r="GN6" s="591">
        <v>0</v>
      </c>
      <c r="GO6" s="591">
        <v>0</v>
      </c>
      <c r="GP6" s="591">
        <v>0</v>
      </c>
      <c r="GQ6" s="591">
        <v>0</v>
      </c>
      <c r="GR6" s="591">
        <v>0</v>
      </c>
      <c r="GS6" s="591">
        <v>0</v>
      </c>
      <c r="GT6" s="591">
        <v>0</v>
      </c>
      <c r="GU6" s="591">
        <v>0</v>
      </c>
      <c r="GV6" s="591">
        <v>0</v>
      </c>
      <c r="GW6" s="591">
        <v>0</v>
      </c>
      <c r="GX6" s="591">
        <v>0</v>
      </c>
      <c r="GY6" s="591">
        <v>0</v>
      </c>
      <c r="GZ6" s="591">
        <v>0</v>
      </c>
      <c r="HA6" s="591">
        <v>0</v>
      </c>
      <c r="HB6" s="591">
        <v>260009272</v>
      </c>
      <c r="HC6" s="591">
        <v>5.1774999999999995E-2</v>
      </c>
      <c r="HD6" s="591">
        <v>224987</v>
      </c>
      <c r="HE6" s="591">
        <v>0</v>
      </c>
      <c r="HF6" s="591">
        <v>1241369</v>
      </c>
      <c r="HG6" s="591">
        <v>38186</v>
      </c>
      <c r="HH6" s="591">
        <v>0</v>
      </c>
      <c r="HI6" s="591">
        <v>0</v>
      </c>
      <c r="HJ6" s="591">
        <v>12068</v>
      </c>
      <c r="HK6" s="591">
        <v>23853</v>
      </c>
      <c r="HL6" s="591">
        <v>8850</v>
      </c>
      <c r="HM6" s="591">
        <v>0</v>
      </c>
      <c r="HN6" s="591">
        <v>0</v>
      </c>
      <c r="HO6" s="591">
        <v>0</v>
      </c>
      <c r="HP6" s="591">
        <v>338354</v>
      </c>
      <c r="HQ6" s="591">
        <v>0</v>
      </c>
      <c r="HR6" s="591">
        <v>0</v>
      </c>
      <c r="HS6" s="591">
        <v>12362952</v>
      </c>
      <c r="HT6" s="591">
        <v>0</v>
      </c>
      <c r="HU6" s="591">
        <v>0</v>
      </c>
      <c r="HV6" s="591">
        <v>0</v>
      </c>
      <c r="HW6" s="591">
        <v>0</v>
      </c>
      <c r="HX6" s="591">
        <v>196</v>
      </c>
      <c r="HY6" s="591">
        <v>236</v>
      </c>
      <c r="HZ6" s="591">
        <v>280</v>
      </c>
      <c r="IA6" s="591">
        <v>352</v>
      </c>
      <c r="IB6" s="591">
        <v>377</v>
      </c>
      <c r="IC6" s="591">
        <v>1307</v>
      </c>
      <c r="ID6" s="591">
        <v>0</v>
      </c>
      <c r="IE6" s="591">
        <v>0</v>
      </c>
      <c r="IF6" s="591">
        <v>0</v>
      </c>
      <c r="IG6" s="591">
        <v>62</v>
      </c>
      <c r="IH6" s="591">
        <v>0</v>
      </c>
      <c r="II6" s="591">
        <v>1230.377</v>
      </c>
      <c r="IJ6" s="591">
        <v>126.001</v>
      </c>
      <c r="IK6" s="591">
        <v>0</v>
      </c>
      <c r="IL6" s="591">
        <v>0</v>
      </c>
      <c r="IM6" s="591">
        <v>0</v>
      </c>
      <c r="IN6" s="591">
        <v>0</v>
      </c>
      <c r="IO6" s="591">
        <v>0</v>
      </c>
      <c r="IP6" s="591">
        <v>1230.377</v>
      </c>
      <c r="IQ6" s="591">
        <v>126.001</v>
      </c>
      <c r="IR6" s="591">
        <v>77605</v>
      </c>
      <c r="IS6" s="591">
        <v>0</v>
      </c>
      <c r="IT6" s="591">
        <v>0</v>
      </c>
      <c r="IU6" s="591">
        <v>0</v>
      </c>
      <c r="IV6" s="591">
        <v>0</v>
      </c>
      <c r="IW6" s="591">
        <v>6159</v>
      </c>
      <c r="IX6" s="591">
        <v>0</v>
      </c>
      <c r="IY6" s="591">
        <v>0</v>
      </c>
      <c r="IZ6" s="591">
        <v>338354</v>
      </c>
      <c r="JA6" s="591">
        <v>0</v>
      </c>
      <c r="JB6" s="591">
        <v>0</v>
      </c>
      <c r="JC6" s="591">
        <v>0</v>
      </c>
      <c r="JD6" s="591">
        <v>0</v>
      </c>
      <c r="JE6" s="591">
        <v>0</v>
      </c>
      <c r="JF6" s="591">
        <v>0</v>
      </c>
      <c r="JG6" s="591">
        <v>0</v>
      </c>
      <c r="JH6" s="591">
        <v>0</v>
      </c>
      <c r="JI6" s="591">
        <v>0</v>
      </c>
      <c r="JJ6" s="591">
        <v>0</v>
      </c>
      <c r="JK6" s="591">
        <v>0</v>
      </c>
      <c r="JL6" s="591">
        <v>0</v>
      </c>
      <c r="JM6" s="591">
        <v>0</v>
      </c>
      <c r="JN6" s="591">
        <v>32469</v>
      </c>
    </row>
    <row r="7" spans="1:274" x14ac:dyDescent="0.25">
      <c r="A7" s="591">
        <v>32570</v>
      </c>
      <c r="B7" s="591">
        <v>14803</v>
      </c>
      <c r="C7" s="591">
        <v>9</v>
      </c>
      <c r="D7" s="591">
        <v>2022</v>
      </c>
      <c r="E7" s="591">
        <v>6159</v>
      </c>
      <c r="F7" s="591">
        <v>0</v>
      </c>
      <c r="G7" s="591">
        <v>762.702</v>
      </c>
      <c r="H7" s="591">
        <v>719.28700000000003</v>
      </c>
      <c r="I7" s="591">
        <v>719.28700000000003</v>
      </c>
      <c r="J7" s="591">
        <v>762.702</v>
      </c>
      <c r="K7" s="591">
        <v>0</v>
      </c>
      <c r="L7" s="591">
        <v>6159</v>
      </c>
      <c r="M7" s="591">
        <v>0</v>
      </c>
      <c r="N7" s="591">
        <v>0</v>
      </c>
      <c r="O7" s="591">
        <v>0</v>
      </c>
      <c r="P7" s="591">
        <v>762.23900000000003</v>
      </c>
      <c r="Q7" s="591">
        <v>0</v>
      </c>
      <c r="R7" s="591">
        <v>306746</v>
      </c>
      <c r="S7" s="591">
        <v>402.428</v>
      </c>
      <c r="T7" s="591">
        <v>0</v>
      </c>
      <c r="U7" s="591">
        <v>0</v>
      </c>
      <c r="V7" s="591">
        <v>32.972999999999999</v>
      </c>
      <c r="W7" s="591">
        <v>20308</v>
      </c>
      <c r="X7" s="591">
        <v>20308</v>
      </c>
      <c r="Y7" s="591">
        <v>0</v>
      </c>
      <c r="Z7" s="591">
        <v>0</v>
      </c>
      <c r="AA7" s="591">
        <v>0</v>
      </c>
      <c r="AB7" s="591">
        <v>0</v>
      </c>
      <c r="AC7" s="591">
        <v>0</v>
      </c>
      <c r="AD7" s="591" t="s">
        <v>316</v>
      </c>
      <c r="AE7" s="591">
        <v>0</v>
      </c>
      <c r="AF7" s="591">
        <v>0</v>
      </c>
      <c r="AG7" s="591">
        <v>0</v>
      </c>
      <c r="AH7" s="591">
        <v>0</v>
      </c>
      <c r="AI7" s="591">
        <v>0</v>
      </c>
      <c r="AJ7" s="591">
        <v>6159</v>
      </c>
      <c r="AK7" s="591" t="s">
        <v>671</v>
      </c>
      <c r="AL7" s="591" t="s">
        <v>317</v>
      </c>
      <c r="AM7" s="591">
        <v>0</v>
      </c>
      <c r="AN7" s="591">
        <v>0</v>
      </c>
      <c r="AO7" s="591">
        <v>0</v>
      </c>
      <c r="AP7" s="591">
        <v>0</v>
      </c>
      <c r="AQ7" s="591">
        <v>0</v>
      </c>
      <c r="AR7" s="591">
        <v>0</v>
      </c>
      <c r="AS7" s="591">
        <v>0</v>
      </c>
      <c r="AT7" s="591">
        <v>0</v>
      </c>
      <c r="AU7" s="591">
        <v>0</v>
      </c>
      <c r="AV7" s="591">
        <v>0</v>
      </c>
      <c r="AW7" s="591">
        <v>7796565</v>
      </c>
      <c r="AX7" s="591">
        <v>7661639</v>
      </c>
      <c r="AY7" s="591">
        <v>0</v>
      </c>
      <c r="AZ7" s="591">
        <v>306746</v>
      </c>
      <c r="BA7" s="591">
        <v>0</v>
      </c>
      <c r="BB7" s="591">
        <v>0</v>
      </c>
      <c r="BC7" s="591">
        <v>0</v>
      </c>
      <c r="BD7" s="591">
        <v>0</v>
      </c>
      <c r="BE7" s="591">
        <v>102</v>
      </c>
      <c r="BF7" s="591">
        <v>6995252</v>
      </c>
      <c r="BG7" s="591">
        <v>0</v>
      </c>
      <c r="BH7" s="591">
        <v>0</v>
      </c>
      <c r="BI7" s="591">
        <v>0</v>
      </c>
      <c r="BJ7" s="591">
        <v>12</v>
      </c>
      <c r="BK7" s="591">
        <v>0</v>
      </c>
      <c r="BL7" s="591">
        <v>0</v>
      </c>
      <c r="BM7" s="591">
        <v>0</v>
      </c>
      <c r="BN7" s="591">
        <v>0</v>
      </c>
      <c r="BO7" s="591">
        <v>0</v>
      </c>
      <c r="BP7" s="591">
        <v>0</v>
      </c>
      <c r="BQ7" s="591">
        <v>659</v>
      </c>
      <c r="BR7" s="591">
        <v>0</v>
      </c>
      <c r="BS7" s="591">
        <v>0</v>
      </c>
      <c r="BT7" s="591">
        <v>0</v>
      </c>
      <c r="BU7" s="591">
        <v>0</v>
      </c>
      <c r="BV7" s="591">
        <v>0</v>
      </c>
      <c r="BW7" s="591">
        <v>0</v>
      </c>
      <c r="BX7" s="591">
        <v>0</v>
      </c>
      <c r="BY7" s="591">
        <v>0</v>
      </c>
      <c r="BZ7" s="591">
        <v>0</v>
      </c>
      <c r="CA7" s="591">
        <v>0</v>
      </c>
      <c r="CB7" s="591">
        <v>0</v>
      </c>
      <c r="CC7" s="591">
        <v>0</v>
      </c>
      <c r="CD7" s="591">
        <v>0</v>
      </c>
      <c r="CE7" s="591">
        <v>0</v>
      </c>
      <c r="CF7" s="591">
        <v>0</v>
      </c>
      <c r="CG7" s="591">
        <v>0</v>
      </c>
      <c r="CH7" s="591">
        <v>138210</v>
      </c>
      <c r="CI7" s="591">
        <v>0</v>
      </c>
      <c r="CJ7" s="591">
        <v>4</v>
      </c>
      <c r="CK7" s="591">
        <v>0</v>
      </c>
      <c r="CL7" s="591">
        <v>0</v>
      </c>
      <c r="CM7" s="591">
        <v>0</v>
      </c>
      <c r="CN7" s="591">
        <v>0</v>
      </c>
      <c r="CO7" s="591">
        <v>1</v>
      </c>
      <c r="CP7" s="591">
        <v>0</v>
      </c>
      <c r="CQ7" s="591">
        <v>0</v>
      </c>
      <c r="CR7" s="591">
        <v>762.702</v>
      </c>
      <c r="CS7" s="591">
        <v>0</v>
      </c>
      <c r="CT7" s="591">
        <v>0</v>
      </c>
      <c r="CU7" s="591">
        <v>0</v>
      </c>
      <c r="CV7" s="591">
        <v>0</v>
      </c>
      <c r="CW7" s="591">
        <v>0</v>
      </c>
      <c r="CX7" s="591">
        <v>0</v>
      </c>
      <c r="CY7" s="591">
        <v>0</v>
      </c>
      <c r="CZ7" s="591">
        <v>0</v>
      </c>
      <c r="DA7" s="591">
        <v>0</v>
      </c>
      <c r="DB7" s="591">
        <v>4430148</v>
      </c>
      <c r="DC7" s="591">
        <v>0</v>
      </c>
      <c r="DD7" s="591">
        <v>0</v>
      </c>
      <c r="DE7" s="591">
        <v>647320</v>
      </c>
      <c r="DF7" s="591">
        <v>647320</v>
      </c>
      <c r="DG7" s="591">
        <v>105.10000000000001</v>
      </c>
      <c r="DH7" s="591">
        <v>0</v>
      </c>
      <c r="DI7" s="591">
        <v>0</v>
      </c>
      <c r="DJ7" s="591">
        <v>0</v>
      </c>
      <c r="DK7" s="591">
        <v>2170</v>
      </c>
      <c r="DL7" s="591">
        <v>0</v>
      </c>
      <c r="DM7" s="591">
        <v>833987</v>
      </c>
      <c r="DN7" s="591">
        <v>3182</v>
      </c>
      <c r="DO7" s="591">
        <v>0</v>
      </c>
      <c r="DP7" s="591">
        <v>0</v>
      </c>
      <c r="DQ7" s="591">
        <v>0</v>
      </c>
      <c r="DR7" s="591">
        <v>0</v>
      </c>
      <c r="DS7" s="591">
        <v>0</v>
      </c>
      <c r="DT7" s="591">
        <v>0</v>
      </c>
      <c r="DU7" s="591">
        <v>0</v>
      </c>
      <c r="DV7" s="591">
        <v>0</v>
      </c>
      <c r="DW7" s="591">
        <v>0</v>
      </c>
      <c r="DX7" s="591">
        <v>0</v>
      </c>
      <c r="DY7" s="591">
        <v>0</v>
      </c>
      <c r="DZ7" s="591">
        <v>0</v>
      </c>
      <c r="EA7" s="591">
        <v>0.154</v>
      </c>
      <c r="EB7" s="591">
        <v>0</v>
      </c>
      <c r="EC7" s="591">
        <v>15.342000000000001</v>
      </c>
      <c r="ED7" s="591">
        <v>108667</v>
      </c>
      <c r="EE7" s="591">
        <v>0</v>
      </c>
      <c r="EF7" s="591">
        <v>0</v>
      </c>
      <c r="EG7" s="591">
        <v>0</v>
      </c>
      <c r="EH7" s="591">
        <v>728502</v>
      </c>
      <c r="EI7" s="591">
        <v>0</v>
      </c>
      <c r="EJ7" s="591">
        <v>0</v>
      </c>
      <c r="EK7" s="591">
        <v>36.197000000000003</v>
      </c>
      <c r="EL7" s="591">
        <v>0</v>
      </c>
      <c r="EM7" s="591">
        <v>0</v>
      </c>
      <c r="EN7" s="591">
        <v>1.784</v>
      </c>
      <c r="EO7" s="591">
        <v>0</v>
      </c>
      <c r="EP7" s="591">
        <v>0</v>
      </c>
      <c r="EQ7" s="591">
        <v>38.135000000000005</v>
      </c>
      <c r="ER7" s="591">
        <v>0</v>
      </c>
      <c r="ES7" s="591">
        <v>118.28100000000001</v>
      </c>
      <c r="ET7" s="591">
        <v>0</v>
      </c>
      <c r="EU7" s="591">
        <v>0</v>
      </c>
      <c r="EV7" s="591">
        <v>0</v>
      </c>
      <c r="EW7" s="591">
        <v>0</v>
      </c>
      <c r="EX7" s="591">
        <v>0</v>
      </c>
      <c r="EY7" s="591">
        <v>0</v>
      </c>
      <c r="EZ7" s="591">
        <v>6789263</v>
      </c>
      <c r="FA7" s="591">
        <v>0</v>
      </c>
      <c r="FB7" s="591">
        <v>7092725</v>
      </c>
      <c r="FC7" s="591">
        <v>0</v>
      </c>
      <c r="FD7" s="591">
        <v>0</v>
      </c>
      <c r="FE7" s="591">
        <v>724581</v>
      </c>
      <c r="FF7" s="591">
        <v>147795</v>
      </c>
      <c r="FG7" s="591">
        <v>6.4728999999999995E-2</v>
      </c>
      <c r="FH7" s="591">
        <v>2.6405999999999999E-2</v>
      </c>
      <c r="FI7" s="591">
        <v>0</v>
      </c>
      <c r="FJ7" s="591">
        <v>0</v>
      </c>
      <c r="FK7" s="591">
        <v>1135.7619999999999</v>
      </c>
      <c r="FL7" s="591">
        <v>8103311</v>
      </c>
      <c r="FM7" s="591">
        <v>0</v>
      </c>
      <c r="FN7" s="591">
        <v>0</v>
      </c>
      <c r="FO7" s="591">
        <v>97156</v>
      </c>
      <c r="FP7" s="591">
        <v>0</v>
      </c>
      <c r="FQ7" s="591">
        <v>97156</v>
      </c>
      <c r="FR7" s="591">
        <v>97156</v>
      </c>
      <c r="FS7" s="591">
        <v>0</v>
      </c>
      <c r="FT7" s="591">
        <v>0</v>
      </c>
      <c r="FU7" s="591">
        <v>0</v>
      </c>
      <c r="FV7" s="591">
        <v>0</v>
      </c>
      <c r="FW7" s="591">
        <v>0</v>
      </c>
      <c r="FX7" s="591">
        <v>0</v>
      </c>
      <c r="FY7" s="591">
        <v>0</v>
      </c>
      <c r="FZ7" s="591">
        <v>0</v>
      </c>
      <c r="GA7" s="591">
        <v>0</v>
      </c>
      <c r="GB7" s="591">
        <v>43902</v>
      </c>
      <c r="GC7" s="591">
        <v>43902</v>
      </c>
      <c r="GD7" s="591">
        <v>5.28</v>
      </c>
      <c r="GE7" s="591">
        <v>0</v>
      </c>
      <c r="GF7" s="591">
        <v>0</v>
      </c>
      <c r="GG7" s="591">
        <v>0</v>
      </c>
      <c r="GH7" s="591">
        <v>0</v>
      </c>
      <c r="GI7" s="591">
        <v>0</v>
      </c>
      <c r="GJ7" s="591">
        <v>0</v>
      </c>
      <c r="GK7" s="591">
        <v>0</v>
      </c>
      <c r="GL7" s="591">
        <v>0</v>
      </c>
      <c r="GM7" s="591">
        <v>0</v>
      </c>
      <c r="GN7" s="591">
        <v>0</v>
      </c>
      <c r="GO7" s="591">
        <v>0</v>
      </c>
      <c r="GP7" s="591">
        <v>0</v>
      </c>
      <c r="GQ7" s="591">
        <v>0</v>
      </c>
      <c r="GR7" s="591">
        <v>0</v>
      </c>
      <c r="GS7" s="591">
        <v>0</v>
      </c>
      <c r="GT7" s="591">
        <v>0</v>
      </c>
      <c r="GU7" s="591">
        <v>0</v>
      </c>
      <c r="GV7" s="591">
        <v>0</v>
      </c>
      <c r="GW7" s="591">
        <v>0</v>
      </c>
      <c r="GX7" s="591">
        <v>0</v>
      </c>
      <c r="GY7" s="591">
        <v>0</v>
      </c>
      <c r="GZ7" s="591">
        <v>0</v>
      </c>
      <c r="HA7" s="591">
        <v>0</v>
      </c>
      <c r="HB7" s="591">
        <v>260009272</v>
      </c>
      <c r="HC7" s="591">
        <v>5.1774999999999995E-2</v>
      </c>
      <c r="HD7" s="591">
        <v>138210</v>
      </c>
      <c r="HE7" s="591">
        <v>0</v>
      </c>
      <c r="HF7" s="591">
        <v>790496</v>
      </c>
      <c r="HG7" s="591">
        <v>14782</v>
      </c>
      <c r="HH7" s="591">
        <v>179714</v>
      </c>
      <c r="HI7" s="591">
        <v>0</v>
      </c>
      <c r="HJ7" s="591">
        <v>7413</v>
      </c>
      <c r="HK7" s="591">
        <v>1575</v>
      </c>
      <c r="HL7" s="591">
        <v>2026</v>
      </c>
      <c r="HM7" s="591">
        <v>24000</v>
      </c>
      <c r="HN7" s="591">
        <v>0</v>
      </c>
      <c r="HO7" s="591">
        <v>0</v>
      </c>
      <c r="HP7" s="591">
        <v>0</v>
      </c>
      <c r="HQ7" s="591">
        <v>0</v>
      </c>
      <c r="HR7" s="591">
        <v>0</v>
      </c>
      <c r="HS7" s="591">
        <v>6785979</v>
      </c>
      <c r="HT7" s="591">
        <v>0</v>
      </c>
      <c r="HU7" s="591">
        <v>0</v>
      </c>
      <c r="HV7" s="591">
        <v>0</v>
      </c>
      <c r="HW7" s="591">
        <v>0</v>
      </c>
      <c r="HX7" s="591">
        <v>99</v>
      </c>
      <c r="HY7" s="591">
        <v>110</v>
      </c>
      <c r="HZ7" s="591">
        <v>116</v>
      </c>
      <c r="IA7" s="591">
        <v>50</v>
      </c>
      <c r="IB7" s="591">
        <v>53</v>
      </c>
      <c r="IC7" s="591">
        <v>428</v>
      </c>
      <c r="ID7" s="591">
        <v>0</v>
      </c>
      <c r="IE7" s="591">
        <v>0</v>
      </c>
      <c r="IF7" s="591">
        <v>0</v>
      </c>
      <c r="IG7" s="591">
        <v>24</v>
      </c>
      <c r="IH7" s="591">
        <v>291.78700000000003</v>
      </c>
      <c r="II7" s="591">
        <v>0</v>
      </c>
      <c r="IJ7" s="591">
        <v>32.972999999999999</v>
      </c>
      <c r="IK7" s="591">
        <v>0</v>
      </c>
      <c r="IL7" s="591">
        <v>2</v>
      </c>
      <c r="IM7" s="591">
        <v>4</v>
      </c>
      <c r="IN7" s="591">
        <v>1</v>
      </c>
      <c r="IO7" s="591">
        <v>7</v>
      </c>
      <c r="IP7" s="591">
        <v>0</v>
      </c>
      <c r="IQ7" s="591">
        <v>32.972999999999999</v>
      </c>
      <c r="IR7" s="591">
        <v>20308</v>
      </c>
      <c r="IS7" s="591">
        <v>0</v>
      </c>
      <c r="IT7" s="591">
        <v>10000</v>
      </c>
      <c r="IU7" s="591">
        <v>12000</v>
      </c>
      <c r="IV7" s="591">
        <v>2000</v>
      </c>
      <c r="IW7" s="591">
        <v>6159</v>
      </c>
      <c r="IX7" s="591">
        <v>0</v>
      </c>
      <c r="IY7" s="591">
        <v>0</v>
      </c>
      <c r="IZ7" s="591">
        <v>0</v>
      </c>
      <c r="JA7" s="591">
        <v>0</v>
      </c>
      <c r="JB7" s="591">
        <v>0</v>
      </c>
      <c r="JC7" s="591">
        <v>0</v>
      </c>
      <c r="JD7" s="591">
        <v>0</v>
      </c>
      <c r="JE7" s="591">
        <v>0</v>
      </c>
      <c r="JF7" s="591">
        <v>0</v>
      </c>
      <c r="JG7" s="591">
        <v>0</v>
      </c>
      <c r="JH7" s="591">
        <v>0</v>
      </c>
      <c r="JI7" s="591">
        <v>0</v>
      </c>
      <c r="JJ7" s="591">
        <v>0</v>
      </c>
      <c r="JK7" s="591">
        <v>0</v>
      </c>
      <c r="JL7" s="591">
        <v>0</v>
      </c>
      <c r="JM7" s="591">
        <v>0</v>
      </c>
      <c r="JN7" s="591">
        <v>32469</v>
      </c>
    </row>
    <row r="8" spans="1:274" x14ac:dyDescent="0.25">
      <c r="A8" s="591">
        <v>32570</v>
      </c>
      <c r="B8" s="591">
        <v>14804</v>
      </c>
      <c r="C8" s="591">
        <v>9</v>
      </c>
      <c r="D8" s="591">
        <v>2022</v>
      </c>
      <c r="E8" s="591">
        <v>6159</v>
      </c>
      <c r="F8" s="591">
        <v>0</v>
      </c>
      <c r="G8" s="591">
        <v>1814.74</v>
      </c>
      <c r="H8" s="591">
        <v>1665.94</v>
      </c>
      <c r="I8" s="591">
        <v>1665.94</v>
      </c>
      <c r="J8" s="591">
        <v>1814.74</v>
      </c>
      <c r="K8" s="591">
        <v>0</v>
      </c>
      <c r="L8" s="591">
        <v>6159</v>
      </c>
      <c r="M8" s="591">
        <v>0</v>
      </c>
      <c r="N8" s="591">
        <v>0</v>
      </c>
      <c r="O8" s="591">
        <v>0</v>
      </c>
      <c r="P8" s="591">
        <v>1755.8700000000001</v>
      </c>
      <c r="Q8" s="591">
        <v>0</v>
      </c>
      <c r="R8" s="591">
        <v>706611</v>
      </c>
      <c r="S8" s="591">
        <v>402.428</v>
      </c>
      <c r="T8" s="591">
        <v>0</v>
      </c>
      <c r="U8" s="591">
        <v>0</v>
      </c>
      <c r="V8" s="591">
        <v>29.088000000000001</v>
      </c>
      <c r="W8" s="591">
        <v>17916</v>
      </c>
      <c r="X8" s="591">
        <v>17916</v>
      </c>
      <c r="Y8" s="591">
        <v>0</v>
      </c>
      <c r="Z8" s="591">
        <v>0</v>
      </c>
      <c r="AA8" s="591">
        <v>0</v>
      </c>
      <c r="AB8" s="591">
        <v>0</v>
      </c>
      <c r="AC8" s="591">
        <v>0</v>
      </c>
      <c r="AD8" s="591" t="s">
        <v>316</v>
      </c>
      <c r="AE8" s="591">
        <v>0</v>
      </c>
      <c r="AF8" s="591">
        <v>0</v>
      </c>
      <c r="AG8" s="591">
        <v>0</v>
      </c>
      <c r="AH8" s="591">
        <v>0</v>
      </c>
      <c r="AI8" s="591">
        <v>0</v>
      </c>
      <c r="AJ8" s="591">
        <v>6159</v>
      </c>
      <c r="AK8" s="591" t="s">
        <v>671</v>
      </c>
      <c r="AL8" s="591" t="s">
        <v>1</v>
      </c>
      <c r="AM8" s="591">
        <v>0</v>
      </c>
      <c r="AN8" s="591">
        <v>0</v>
      </c>
      <c r="AO8" s="591">
        <v>0</v>
      </c>
      <c r="AP8" s="591">
        <v>0</v>
      </c>
      <c r="AQ8" s="591">
        <v>0</v>
      </c>
      <c r="AR8" s="591">
        <v>0</v>
      </c>
      <c r="AS8" s="591">
        <v>0</v>
      </c>
      <c r="AT8" s="591">
        <v>0</v>
      </c>
      <c r="AU8" s="591">
        <v>0</v>
      </c>
      <c r="AV8" s="591">
        <v>0</v>
      </c>
      <c r="AW8" s="591">
        <v>16861071</v>
      </c>
      <c r="AX8" s="591">
        <v>16540093</v>
      </c>
      <c r="AY8" s="591">
        <v>0</v>
      </c>
      <c r="AZ8" s="591">
        <v>706611</v>
      </c>
      <c r="BA8" s="591">
        <v>0</v>
      </c>
      <c r="BB8" s="591">
        <v>0</v>
      </c>
      <c r="BC8" s="591">
        <v>0</v>
      </c>
      <c r="BD8" s="591">
        <v>0</v>
      </c>
      <c r="BE8" s="591">
        <v>221</v>
      </c>
      <c r="BF8" s="591">
        <v>15310807</v>
      </c>
      <c r="BG8" s="591">
        <v>0</v>
      </c>
      <c r="BH8" s="591">
        <v>0</v>
      </c>
      <c r="BI8" s="591">
        <v>0</v>
      </c>
      <c r="BJ8" s="591">
        <v>12</v>
      </c>
      <c r="BK8" s="591">
        <v>0</v>
      </c>
      <c r="BL8" s="591">
        <v>0</v>
      </c>
      <c r="BM8" s="591">
        <v>0</v>
      </c>
      <c r="BN8" s="591">
        <v>0</v>
      </c>
      <c r="BO8" s="591">
        <v>0</v>
      </c>
      <c r="BP8" s="591">
        <v>0</v>
      </c>
      <c r="BQ8" s="591">
        <v>513</v>
      </c>
      <c r="BR8" s="591">
        <v>0</v>
      </c>
      <c r="BS8" s="591">
        <v>0</v>
      </c>
      <c r="BT8" s="591">
        <v>0</v>
      </c>
      <c r="BU8" s="591">
        <v>0</v>
      </c>
      <c r="BV8" s="591">
        <v>0</v>
      </c>
      <c r="BW8" s="591">
        <v>0</v>
      </c>
      <c r="BX8" s="591">
        <v>0</v>
      </c>
      <c r="BY8" s="591">
        <v>0</v>
      </c>
      <c r="BZ8" s="591">
        <v>0</v>
      </c>
      <c r="CA8" s="591">
        <v>0</v>
      </c>
      <c r="CB8" s="591">
        <v>0</v>
      </c>
      <c r="CC8" s="591">
        <v>0</v>
      </c>
      <c r="CD8" s="591">
        <v>0</v>
      </c>
      <c r="CE8" s="591">
        <v>0</v>
      </c>
      <c r="CF8" s="591">
        <v>0</v>
      </c>
      <c r="CG8" s="591">
        <v>0</v>
      </c>
      <c r="CH8" s="591">
        <v>328850</v>
      </c>
      <c r="CI8" s="591">
        <v>0</v>
      </c>
      <c r="CJ8" s="591">
        <v>4</v>
      </c>
      <c r="CK8" s="591">
        <v>0</v>
      </c>
      <c r="CL8" s="591">
        <v>0</v>
      </c>
      <c r="CM8" s="591">
        <v>0</v>
      </c>
      <c r="CN8" s="591">
        <v>0</v>
      </c>
      <c r="CO8" s="591">
        <v>1</v>
      </c>
      <c r="CP8" s="591">
        <v>0</v>
      </c>
      <c r="CQ8" s="591">
        <v>0</v>
      </c>
      <c r="CR8" s="591">
        <v>1814.74</v>
      </c>
      <c r="CS8" s="591">
        <v>0</v>
      </c>
      <c r="CT8" s="591">
        <v>0</v>
      </c>
      <c r="CU8" s="591">
        <v>0</v>
      </c>
      <c r="CV8" s="591">
        <v>0</v>
      </c>
      <c r="CW8" s="591">
        <v>0</v>
      </c>
      <c r="CX8" s="591">
        <v>0</v>
      </c>
      <c r="CY8" s="591">
        <v>0</v>
      </c>
      <c r="CZ8" s="591">
        <v>0</v>
      </c>
      <c r="DA8" s="591">
        <v>0</v>
      </c>
      <c r="DB8" s="591">
        <v>10214786</v>
      </c>
      <c r="DC8" s="591">
        <v>0</v>
      </c>
      <c r="DD8" s="591">
        <v>0</v>
      </c>
      <c r="DE8" s="591">
        <v>435216</v>
      </c>
      <c r="DF8" s="591">
        <v>435216</v>
      </c>
      <c r="DG8" s="591">
        <v>70.662999999999997</v>
      </c>
      <c r="DH8" s="591">
        <v>0</v>
      </c>
      <c r="DI8" s="591">
        <v>0</v>
      </c>
      <c r="DJ8" s="591">
        <v>0</v>
      </c>
      <c r="DK8" s="591">
        <v>0</v>
      </c>
      <c r="DL8" s="591">
        <v>0</v>
      </c>
      <c r="DM8" s="591">
        <v>2051186</v>
      </c>
      <c r="DN8" s="591">
        <v>7651</v>
      </c>
      <c r="DO8" s="591">
        <v>0</v>
      </c>
      <c r="DP8" s="591">
        <v>0</v>
      </c>
      <c r="DQ8" s="591">
        <v>0</v>
      </c>
      <c r="DR8" s="591">
        <v>0</v>
      </c>
      <c r="DS8" s="591">
        <v>0</v>
      </c>
      <c r="DT8" s="591">
        <v>0</v>
      </c>
      <c r="DU8" s="591">
        <v>0</v>
      </c>
      <c r="DV8" s="591">
        <v>0</v>
      </c>
      <c r="DW8" s="591">
        <v>0</v>
      </c>
      <c r="DX8" s="591">
        <v>0</v>
      </c>
      <c r="DY8" s="591">
        <v>0</v>
      </c>
      <c r="DZ8" s="591">
        <v>0</v>
      </c>
      <c r="EA8" s="591">
        <v>0</v>
      </c>
      <c r="EB8" s="591">
        <v>0</v>
      </c>
      <c r="EC8" s="591">
        <v>32.786999999999999</v>
      </c>
      <c r="ED8" s="591">
        <v>232229</v>
      </c>
      <c r="EE8" s="591">
        <v>0</v>
      </c>
      <c r="EF8" s="591">
        <v>0</v>
      </c>
      <c r="EG8" s="591">
        <v>0</v>
      </c>
      <c r="EH8" s="591">
        <v>900624</v>
      </c>
      <c r="EI8" s="591">
        <v>880108</v>
      </c>
      <c r="EJ8" s="591">
        <v>35.724000000000004</v>
      </c>
      <c r="EK8" s="591">
        <v>41.807000000000002</v>
      </c>
      <c r="EL8" s="591">
        <v>0</v>
      </c>
      <c r="EM8" s="591">
        <v>1.1820000000000002</v>
      </c>
      <c r="EN8" s="591">
        <v>3.452</v>
      </c>
      <c r="EO8" s="591">
        <v>0</v>
      </c>
      <c r="EP8" s="591">
        <v>0</v>
      </c>
      <c r="EQ8" s="591">
        <v>82.165000000000006</v>
      </c>
      <c r="ER8" s="591">
        <v>0</v>
      </c>
      <c r="ES8" s="591">
        <v>146.227</v>
      </c>
      <c r="ET8" s="591">
        <v>0</v>
      </c>
      <c r="EU8" s="591">
        <v>0</v>
      </c>
      <c r="EV8" s="591">
        <v>0</v>
      </c>
      <c r="EW8" s="591">
        <v>0</v>
      </c>
      <c r="EX8" s="591">
        <v>0</v>
      </c>
      <c r="EY8" s="591">
        <v>0</v>
      </c>
      <c r="EZ8" s="591">
        <v>14630686</v>
      </c>
      <c r="FA8" s="591">
        <v>0</v>
      </c>
      <c r="FB8" s="591">
        <v>15329425</v>
      </c>
      <c r="FC8" s="591">
        <v>0</v>
      </c>
      <c r="FD8" s="591">
        <v>0</v>
      </c>
      <c r="FE8" s="591">
        <v>1585921</v>
      </c>
      <c r="FF8" s="591">
        <v>323486</v>
      </c>
      <c r="FG8" s="591">
        <v>6.4728999999999995E-2</v>
      </c>
      <c r="FH8" s="591">
        <v>2.6405999999999999E-2</v>
      </c>
      <c r="FI8" s="591">
        <v>0</v>
      </c>
      <c r="FJ8" s="591">
        <v>0</v>
      </c>
      <c r="FK8" s="591">
        <v>2485.8910000000001</v>
      </c>
      <c r="FL8" s="591">
        <v>17567682</v>
      </c>
      <c r="FM8" s="591">
        <v>0</v>
      </c>
      <c r="FN8" s="591">
        <v>0</v>
      </c>
      <c r="FO8" s="591">
        <v>0</v>
      </c>
      <c r="FP8" s="591">
        <v>0</v>
      </c>
      <c r="FQ8" s="591">
        <v>0</v>
      </c>
      <c r="FR8" s="591">
        <v>0</v>
      </c>
      <c r="FS8" s="591">
        <v>0</v>
      </c>
      <c r="FT8" s="591">
        <v>0</v>
      </c>
      <c r="FU8" s="591">
        <v>0</v>
      </c>
      <c r="FV8" s="591">
        <v>0</v>
      </c>
      <c r="FW8" s="591">
        <v>0</v>
      </c>
      <c r="FX8" s="591">
        <v>0</v>
      </c>
      <c r="FY8" s="591">
        <v>0</v>
      </c>
      <c r="FZ8" s="591">
        <v>0</v>
      </c>
      <c r="GA8" s="591">
        <v>0</v>
      </c>
      <c r="GB8" s="591">
        <v>554054</v>
      </c>
      <c r="GC8" s="591">
        <v>554054</v>
      </c>
      <c r="GD8" s="591">
        <v>66.635000000000005</v>
      </c>
      <c r="GE8" s="591">
        <v>0</v>
      </c>
      <c r="GF8" s="591">
        <v>0</v>
      </c>
      <c r="GG8" s="591">
        <v>0</v>
      </c>
      <c r="GH8" s="591">
        <v>0</v>
      </c>
      <c r="GI8" s="591">
        <v>0</v>
      </c>
      <c r="GJ8" s="591">
        <v>0</v>
      </c>
      <c r="GK8" s="591">
        <v>0</v>
      </c>
      <c r="GL8" s="591">
        <v>0</v>
      </c>
      <c r="GM8" s="591">
        <v>0</v>
      </c>
      <c r="GN8" s="591">
        <v>0</v>
      </c>
      <c r="GO8" s="591">
        <v>0</v>
      </c>
      <c r="GP8" s="591">
        <v>0</v>
      </c>
      <c r="GQ8" s="591">
        <v>0</v>
      </c>
      <c r="GR8" s="591">
        <v>0</v>
      </c>
      <c r="GS8" s="591">
        <v>0</v>
      </c>
      <c r="GT8" s="591">
        <v>0</v>
      </c>
      <c r="GU8" s="591">
        <v>0</v>
      </c>
      <c r="GV8" s="591">
        <v>0</v>
      </c>
      <c r="GW8" s="591">
        <v>0</v>
      </c>
      <c r="GX8" s="591">
        <v>0</v>
      </c>
      <c r="GY8" s="591">
        <v>0</v>
      </c>
      <c r="GZ8" s="591">
        <v>0</v>
      </c>
      <c r="HA8" s="591">
        <v>0</v>
      </c>
      <c r="HB8" s="591">
        <v>260009272</v>
      </c>
      <c r="HC8" s="591">
        <v>5.1774999999999995E-2</v>
      </c>
      <c r="HD8" s="591">
        <v>328850</v>
      </c>
      <c r="HE8" s="591">
        <v>0</v>
      </c>
      <c r="HF8" s="591">
        <v>1830868</v>
      </c>
      <c r="HG8" s="591">
        <v>72677</v>
      </c>
      <c r="HH8" s="591">
        <v>66814</v>
      </c>
      <c r="HI8" s="591">
        <v>0</v>
      </c>
      <c r="HJ8" s="591">
        <v>17639</v>
      </c>
      <c r="HK8" s="591">
        <v>5355</v>
      </c>
      <c r="HL8" s="591">
        <v>2127</v>
      </c>
      <c r="HM8" s="591">
        <v>42000</v>
      </c>
      <c r="HN8" s="591">
        <v>0</v>
      </c>
      <c r="HO8" s="591">
        <v>0</v>
      </c>
      <c r="HP8" s="591">
        <v>0</v>
      </c>
      <c r="HQ8" s="591">
        <v>0</v>
      </c>
      <c r="HR8" s="591">
        <v>0</v>
      </c>
      <c r="HS8" s="591">
        <v>14622814</v>
      </c>
      <c r="HT8" s="591">
        <v>0</v>
      </c>
      <c r="HU8" s="591">
        <v>0</v>
      </c>
      <c r="HV8" s="591">
        <v>0</v>
      </c>
      <c r="HW8" s="591">
        <v>0</v>
      </c>
      <c r="HX8" s="591">
        <v>76</v>
      </c>
      <c r="HY8" s="591">
        <v>61</v>
      </c>
      <c r="HZ8" s="591">
        <v>68</v>
      </c>
      <c r="IA8" s="591">
        <v>16</v>
      </c>
      <c r="IB8" s="591">
        <v>65</v>
      </c>
      <c r="IC8" s="591">
        <v>265</v>
      </c>
      <c r="ID8" s="591">
        <v>0</v>
      </c>
      <c r="IE8" s="591">
        <v>0</v>
      </c>
      <c r="IF8" s="591">
        <v>0</v>
      </c>
      <c r="IG8" s="591">
        <v>118</v>
      </c>
      <c r="IH8" s="591">
        <v>108.48</v>
      </c>
      <c r="II8" s="591">
        <v>0</v>
      </c>
      <c r="IJ8" s="591">
        <v>29.088000000000001</v>
      </c>
      <c r="IK8" s="591">
        <v>69.12</v>
      </c>
      <c r="IL8" s="591">
        <v>0</v>
      </c>
      <c r="IM8" s="591">
        <v>14</v>
      </c>
      <c r="IN8" s="591">
        <v>0</v>
      </c>
      <c r="IO8" s="591">
        <v>14</v>
      </c>
      <c r="IP8" s="591">
        <v>69.12</v>
      </c>
      <c r="IQ8" s="591">
        <v>29.088000000000001</v>
      </c>
      <c r="IR8" s="591">
        <v>17916</v>
      </c>
      <c r="IS8" s="591">
        <v>19008</v>
      </c>
      <c r="IT8" s="591">
        <v>0</v>
      </c>
      <c r="IU8" s="591">
        <v>42000</v>
      </c>
      <c r="IV8" s="591">
        <v>0</v>
      </c>
      <c r="IW8" s="591">
        <v>6159</v>
      </c>
      <c r="IX8" s="591">
        <v>0</v>
      </c>
      <c r="IY8" s="591">
        <v>0</v>
      </c>
      <c r="IZ8" s="591">
        <v>19008</v>
      </c>
      <c r="JA8" s="591">
        <v>0</v>
      </c>
      <c r="JB8" s="591">
        <v>0</v>
      </c>
      <c r="JC8" s="591">
        <v>0</v>
      </c>
      <c r="JD8" s="591">
        <v>0</v>
      </c>
      <c r="JE8" s="591">
        <v>0</v>
      </c>
      <c r="JF8" s="591">
        <v>0</v>
      </c>
      <c r="JG8" s="591">
        <v>0</v>
      </c>
      <c r="JH8" s="591">
        <v>0</v>
      </c>
      <c r="JI8" s="591">
        <v>0</v>
      </c>
      <c r="JJ8" s="591">
        <v>0</v>
      </c>
      <c r="JK8" s="591">
        <v>0</v>
      </c>
      <c r="JL8" s="591">
        <v>0</v>
      </c>
      <c r="JM8" s="591">
        <v>0</v>
      </c>
      <c r="JN8" s="591">
        <v>32469</v>
      </c>
    </row>
    <row r="9" spans="1:274" x14ac:dyDescent="0.25">
      <c r="A9" s="591">
        <v>32570</v>
      </c>
      <c r="B9" s="591">
        <v>15801</v>
      </c>
      <c r="C9" s="591">
        <v>9</v>
      </c>
      <c r="D9" s="591">
        <v>2022</v>
      </c>
      <c r="E9" s="591">
        <v>6159</v>
      </c>
      <c r="F9" s="591">
        <v>0</v>
      </c>
      <c r="G9" s="591">
        <v>109.2</v>
      </c>
      <c r="H9" s="591">
        <v>81.650000000000006</v>
      </c>
      <c r="I9" s="591">
        <v>81.650000000000006</v>
      </c>
      <c r="J9" s="591">
        <v>109.2</v>
      </c>
      <c r="K9" s="591">
        <v>0</v>
      </c>
      <c r="L9" s="591">
        <v>6159</v>
      </c>
      <c r="M9" s="591">
        <v>0</v>
      </c>
      <c r="N9" s="591">
        <v>0</v>
      </c>
      <c r="O9" s="591">
        <v>0</v>
      </c>
      <c r="P9" s="591">
        <v>109.084</v>
      </c>
      <c r="Q9" s="591">
        <v>0</v>
      </c>
      <c r="R9" s="591">
        <v>43898</v>
      </c>
      <c r="S9" s="591">
        <v>402.428</v>
      </c>
      <c r="T9" s="591">
        <v>0</v>
      </c>
      <c r="U9" s="591">
        <v>0</v>
      </c>
      <c r="V9" s="591">
        <v>0.91700000000000004</v>
      </c>
      <c r="W9" s="591">
        <v>565</v>
      </c>
      <c r="X9" s="591">
        <v>565</v>
      </c>
      <c r="Y9" s="591">
        <v>0</v>
      </c>
      <c r="Z9" s="591">
        <v>0</v>
      </c>
      <c r="AA9" s="591">
        <v>0</v>
      </c>
      <c r="AB9" s="591">
        <v>0</v>
      </c>
      <c r="AC9" s="591">
        <v>0</v>
      </c>
      <c r="AD9" s="591" t="s">
        <v>316</v>
      </c>
      <c r="AE9" s="591">
        <v>0</v>
      </c>
      <c r="AF9" s="591">
        <v>0</v>
      </c>
      <c r="AG9" s="591">
        <v>0</v>
      </c>
      <c r="AH9" s="591">
        <v>0</v>
      </c>
      <c r="AI9" s="591">
        <v>0</v>
      </c>
      <c r="AJ9" s="591">
        <v>6159</v>
      </c>
      <c r="AK9" s="591" t="s">
        <v>671</v>
      </c>
      <c r="AL9" s="591" t="s">
        <v>37</v>
      </c>
      <c r="AM9" s="591">
        <v>0</v>
      </c>
      <c r="AN9" s="591">
        <v>0</v>
      </c>
      <c r="AO9" s="591">
        <v>0</v>
      </c>
      <c r="AP9" s="591">
        <v>0</v>
      </c>
      <c r="AQ9" s="591">
        <v>0</v>
      </c>
      <c r="AR9" s="591">
        <v>0</v>
      </c>
      <c r="AS9" s="591">
        <v>0</v>
      </c>
      <c r="AT9" s="591">
        <v>0</v>
      </c>
      <c r="AU9" s="591">
        <v>0</v>
      </c>
      <c r="AV9" s="591">
        <v>0</v>
      </c>
      <c r="AW9" s="591">
        <v>1379229</v>
      </c>
      <c r="AX9" s="591">
        <v>1359690</v>
      </c>
      <c r="AY9" s="591">
        <v>0</v>
      </c>
      <c r="AZ9" s="591">
        <v>43898</v>
      </c>
      <c r="BA9" s="591">
        <v>0</v>
      </c>
      <c r="BB9" s="591">
        <v>0</v>
      </c>
      <c r="BC9" s="591">
        <v>0</v>
      </c>
      <c r="BD9" s="591">
        <v>0</v>
      </c>
      <c r="BE9" s="591">
        <v>18</v>
      </c>
      <c r="BF9" s="591">
        <v>1204412</v>
      </c>
      <c r="BG9" s="591">
        <v>0</v>
      </c>
      <c r="BH9" s="591">
        <v>0</v>
      </c>
      <c r="BI9" s="591">
        <v>0</v>
      </c>
      <c r="BJ9" s="591">
        <v>12</v>
      </c>
      <c r="BK9" s="591">
        <v>0</v>
      </c>
      <c r="BL9" s="591">
        <v>0</v>
      </c>
      <c r="BM9" s="591">
        <v>0</v>
      </c>
      <c r="BN9" s="591">
        <v>0</v>
      </c>
      <c r="BO9" s="591">
        <v>0</v>
      </c>
      <c r="BP9" s="591">
        <v>0</v>
      </c>
      <c r="BQ9" s="591">
        <v>757</v>
      </c>
      <c r="BR9" s="591">
        <v>0</v>
      </c>
      <c r="BS9" s="591">
        <v>0</v>
      </c>
      <c r="BT9" s="591">
        <v>0</v>
      </c>
      <c r="BU9" s="591">
        <v>0</v>
      </c>
      <c r="BV9" s="591">
        <v>0</v>
      </c>
      <c r="BW9" s="591">
        <v>0</v>
      </c>
      <c r="BX9" s="591">
        <v>0</v>
      </c>
      <c r="BY9" s="591">
        <v>0</v>
      </c>
      <c r="BZ9" s="591">
        <v>0</v>
      </c>
      <c r="CA9" s="591">
        <v>0</v>
      </c>
      <c r="CB9" s="591">
        <v>0</v>
      </c>
      <c r="CC9" s="591">
        <v>0</v>
      </c>
      <c r="CD9" s="591">
        <v>0</v>
      </c>
      <c r="CE9" s="591">
        <v>0</v>
      </c>
      <c r="CF9" s="591">
        <v>0</v>
      </c>
      <c r="CG9" s="591">
        <v>0</v>
      </c>
      <c r="CH9" s="591">
        <v>19788</v>
      </c>
      <c r="CI9" s="591">
        <v>0</v>
      </c>
      <c r="CJ9" s="591">
        <v>4</v>
      </c>
      <c r="CK9" s="591">
        <v>0</v>
      </c>
      <c r="CL9" s="591">
        <v>0</v>
      </c>
      <c r="CM9" s="591">
        <v>0</v>
      </c>
      <c r="CN9" s="591">
        <v>0</v>
      </c>
      <c r="CO9" s="591">
        <v>1</v>
      </c>
      <c r="CP9" s="591">
        <v>0</v>
      </c>
      <c r="CQ9" s="591">
        <v>0</v>
      </c>
      <c r="CR9" s="591">
        <v>109.2</v>
      </c>
      <c r="CS9" s="591">
        <v>0</v>
      </c>
      <c r="CT9" s="591">
        <v>0</v>
      </c>
      <c r="CU9" s="591">
        <v>0</v>
      </c>
      <c r="CV9" s="591">
        <v>0</v>
      </c>
      <c r="CW9" s="591">
        <v>0</v>
      </c>
      <c r="CX9" s="591">
        <v>0</v>
      </c>
      <c r="CY9" s="591">
        <v>0</v>
      </c>
      <c r="CZ9" s="591">
        <v>0</v>
      </c>
      <c r="DA9" s="591">
        <v>0</v>
      </c>
      <c r="DB9" s="591">
        <v>425563</v>
      </c>
      <c r="DC9" s="591">
        <v>0</v>
      </c>
      <c r="DD9" s="591">
        <v>0</v>
      </c>
      <c r="DE9" s="591">
        <v>320657</v>
      </c>
      <c r="DF9" s="591">
        <v>320657</v>
      </c>
      <c r="DG9" s="591">
        <v>52.063000000000002</v>
      </c>
      <c r="DH9" s="591">
        <v>0</v>
      </c>
      <c r="DI9" s="591">
        <v>0</v>
      </c>
      <c r="DJ9" s="591">
        <v>0</v>
      </c>
      <c r="DK9" s="591">
        <v>3741</v>
      </c>
      <c r="DL9" s="591">
        <v>0</v>
      </c>
      <c r="DM9" s="591">
        <v>137788</v>
      </c>
      <c r="DN9" s="591">
        <v>231</v>
      </c>
      <c r="DO9" s="591">
        <v>0</v>
      </c>
      <c r="DP9" s="591">
        <v>0</v>
      </c>
      <c r="DQ9" s="591">
        <v>0</v>
      </c>
      <c r="DR9" s="591">
        <v>0</v>
      </c>
      <c r="DS9" s="591">
        <v>0</v>
      </c>
      <c r="DT9" s="591">
        <v>0</v>
      </c>
      <c r="DU9" s="591">
        <v>0</v>
      </c>
      <c r="DV9" s="591">
        <v>0</v>
      </c>
      <c r="DW9" s="591">
        <v>0</v>
      </c>
      <c r="DX9" s="591">
        <v>0</v>
      </c>
      <c r="DY9" s="591">
        <v>0</v>
      </c>
      <c r="DZ9" s="591">
        <v>0</v>
      </c>
      <c r="EA9" s="591">
        <v>0</v>
      </c>
      <c r="EB9" s="591">
        <v>0</v>
      </c>
      <c r="EC9" s="591">
        <v>8.4879999999999995</v>
      </c>
      <c r="ED9" s="591">
        <v>60120</v>
      </c>
      <c r="EE9" s="591">
        <v>0</v>
      </c>
      <c r="EF9" s="591">
        <v>0</v>
      </c>
      <c r="EG9" s="591">
        <v>0</v>
      </c>
      <c r="EH9" s="591">
        <v>573</v>
      </c>
      <c r="EI9" s="591">
        <v>0</v>
      </c>
      <c r="EJ9" s="591">
        <v>0</v>
      </c>
      <c r="EK9" s="591">
        <v>3.1E-2</v>
      </c>
      <c r="EL9" s="591">
        <v>0</v>
      </c>
      <c r="EM9" s="591">
        <v>0</v>
      </c>
      <c r="EN9" s="591">
        <v>0</v>
      </c>
      <c r="EO9" s="591">
        <v>0</v>
      </c>
      <c r="EP9" s="591">
        <v>0</v>
      </c>
      <c r="EQ9" s="591">
        <v>3.1E-2</v>
      </c>
      <c r="ER9" s="591">
        <v>0</v>
      </c>
      <c r="ES9" s="591">
        <v>9.2999999999999999E-2</v>
      </c>
      <c r="ET9" s="591">
        <v>0</v>
      </c>
      <c r="EU9" s="591">
        <v>0</v>
      </c>
      <c r="EV9" s="591">
        <v>0</v>
      </c>
      <c r="EW9" s="591">
        <v>0</v>
      </c>
      <c r="EX9" s="591">
        <v>0</v>
      </c>
      <c r="EY9" s="591">
        <v>0</v>
      </c>
      <c r="EZ9" s="591">
        <v>1209488</v>
      </c>
      <c r="FA9" s="591">
        <v>0</v>
      </c>
      <c r="FB9" s="591">
        <v>1253137</v>
      </c>
      <c r="FC9" s="591">
        <v>0</v>
      </c>
      <c r="FD9" s="591">
        <v>0</v>
      </c>
      <c r="FE9" s="591">
        <v>124755</v>
      </c>
      <c r="FF9" s="591">
        <v>25447</v>
      </c>
      <c r="FG9" s="591">
        <v>6.4728999999999995E-2</v>
      </c>
      <c r="FH9" s="591">
        <v>2.6405999999999999E-2</v>
      </c>
      <c r="FI9" s="591">
        <v>0</v>
      </c>
      <c r="FJ9" s="591">
        <v>0</v>
      </c>
      <c r="FK9" s="591">
        <v>195.55100000000002</v>
      </c>
      <c r="FL9" s="591">
        <v>1423127</v>
      </c>
      <c r="FM9" s="591">
        <v>0</v>
      </c>
      <c r="FN9" s="591">
        <v>0</v>
      </c>
      <c r="FO9" s="591">
        <v>0</v>
      </c>
      <c r="FP9" s="591">
        <v>0</v>
      </c>
      <c r="FQ9" s="591">
        <v>0</v>
      </c>
      <c r="FR9" s="591">
        <v>0</v>
      </c>
      <c r="FS9" s="591">
        <v>0</v>
      </c>
      <c r="FT9" s="591">
        <v>0</v>
      </c>
      <c r="FU9" s="591">
        <v>0</v>
      </c>
      <c r="FV9" s="591">
        <v>0</v>
      </c>
      <c r="FW9" s="591">
        <v>0</v>
      </c>
      <c r="FX9" s="591">
        <v>0</v>
      </c>
      <c r="FY9" s="591">
        <v>0</v>
      </c>
      <c r="FZ9" s="591">
        <v>0</v>
      </c>
      <c r="GA9" s="591">
        <v>0</v>
      </c>
      <c r="GB9" s="591">
        <v>228814</v>
      </c>
      <c r="GC9" s="591">
        <v>228814</v>
      </c>
      <c r="GD9" s="591">
        <v>27.519000000000002</v>
      </c>
      <c r="GE9" s="591">
        <v>0</v>
      </c>
      <c r="GF9" s="591">
        <v>0</v>
      </c>
      <c r="GG9" s="591">
        <v>0</v>
      </c>
      <c r="GH9" s="591">
        <v>0</v>
      </c>
      <c r="GI9" s="591">
        <v>0</v>
      </c>
      <c r="GJ9" s="591">
        <v>0</v>
      </c>
      <c r="GK9" s="591">
        <v>0</v>
      </c>
      <c r="GL9" s="591">
        <v>0</v>
      </c>
      <c r="GM9" s="591">
        <v>0</v>
      </c>
      <c r="GN9" s="591">
        <v>0</v>
      </c>
      <c r="GO9" s="591">
        <v>0</v>
      </c>
      <c r="GP9" s="591">
        <v>0</v>
      </c>
      <c r="GQ9" s="591">
        <v>0</v>
      </c>
      <c r="GR9" s="591">
        <v>0</v>
      </c>
      <c r="GS9" s="591">
        <v>0</v>
      </c>
      <c r="GT9" s="591">
        <v>0</v>
      </c>
      <c r="GU9" s="591">
        <v>0</v>
      </c>
      <c r="GV9" s="591">
        <v>0</v>
      </c>
      <c r="GW9" s="591">
        <v>0</v>
      </c>
      <c r="GX9" s="591">
        <v>0</v>
      </c>
      <c r="GY9" s="591">
        <v>0</v>
      </c>
      <c r="GZ9" s="591">
        <v>0</v>
      </c>
      <c r="HA9" s="591">
        <v>0</v>
      </c>
      <c r="HB9" s="591">
        <v>260009272</v>
      </c>
      <c r="HC9" s="591">
        <v>5.1774999999999995E-2</v>
      </c>
      <c r="HD9" s="591">
        <v>19788</v>
      </c>
      <c r="HE9" s="591">
        <v>0</v>
      </c>
      <c r="HF9" s="591">
        <v>89733</v>
      </c>
      <c r="HG9" s="591">
        <v>0</v>
      </c>
      <c r="HH9" s="591">
        <v>0</v>
      </c>
      <c r="HI9" s="591">
        <v>0</v>
      </c>
      <c r="HJ9" s="591">
        <v>1061</v>
      </c>
      <c r="HK9" s="591">
        <v>2091</v>
      </c>
      <c r="HL9" s="591">
        <v>1784</v>
      </c>
      <c r="HM9" s="591">
        <v>0</v>
      </c>
      <c r="HN9" s="591">
        <v>0</v>
      </c>
      <c r="HO9" s="591">
        <v>0</v>
      </c>
      <c r="HP9" s="591">
        <v>45099</v>
      </c>
      <c r="HQ9" s="591">
        <v>0</v>
      </c>
      <c r="HR9" s="591">
        <v>0</v>
      </c>
      <c r="HS9" s="591">
        <v>1209239</v>
      </c>
      <c r="HT9" s="591">
        <v>0</v>
      </c>
      <c r="HU9" s="591">
        <v>0</v>
      </c>
      <c r="HV9" s="591">
        <v>0</v>
      </c>
      <c r="HW9" s="591">
        <v>0</v>
      </c>
      <c r="HX9" s="591">
        <v>10</v>
      </c>
      <c r="HY9" s="591">
        <v>22</v>
      </c>
      <c r="HZ9" s="591">
        <v>38</v>
      </c>
      <c r="IA9" s="591">
        <v>53</v>
      </c>
      <c r="IB9" s="591">
        <v>77</v>
      </c>
      <c r="IC9" s="591">
        <v>108</v>
      </c>
      <c r="ID9" s="591">
        <v>0</v>
      </c>
      <c r="IE9" s="591">
        <v>0</v>
      </c>
      <c r="IF9" s="591">
        <v>0</v>
      </c>
      <c r="IG9" s="591">
        <v>0</v>
      </c>
      <c r="IH9" s="591">
        <v>0</v>
      </c>
      <c r="II9" s="591">
        <v>163.995</v>
      </c>
      <c r="IJ9" s="591">
        <v>0.91700000000000004</v>
      </c>
      <c r="IK9" s="591">
        <v>0</v>
      </c>
      <c r="IL9" s="591">
        <v>0</v>
      </c>
      <c r="IM9" s="591">
        <v>0</v>
      </c>
      <c r="IN9" s="591">
        <v>0</v>
      </c>
      <c r="IO9" s="591">
        <v>0</v>
      </c>
      <c r="IP9" s="591">
        <v>163.995</v>
      </c>
      <c r="IQ9" s="591">
        <v>0.91700000000000004</v>
      </c>
      <c r="IR9" s="591">
        <v>565</v>
      </c>
      <c r="IS9" s="591">
        <v>0</v>
      </c>
      <c r="IT9" s="591">
        <v>0</v>
      </c>
      <c r="IU9" s="591">
        <v>0</v>
      </c>
      <c r="IV9" s="591">
        <v>0</v>
      </c>
      <c r="IW9" s="591">
        <v>6159</v>
      </c>
      <c r="IX9" s="591">
        <v>0</v>
      </c>
      <c r="IY9" s="591">
        <v>0</v>
      </c>
      <c r="IZ9" s="591">
        <v>45099</v>
      </c>
      <c r="JA9" s="591">
        <v>0</v>
      </c>
      <c r="JB9" s="591">
        <v>0</v>
      </c>
      <c r="JC9" s="591">
        <v>0</v>
      </c>
      <c r="JD9" s="591">
        <v>0</v>
      </c>
      <c r="JE9" s="591">
        <v>0</v>
      </c>
      <c r="JF9" s="591">
        <v>0</v>
      </c>
      <c r="JG9" s="591">
        <v>0</v>
      </c>
      <c r="JH9" s="591">
        <v>0</v>
      </c>
      <c r="JI9" s="591">
        <v>0</v>
      </c>
      <c r="JJ9" s="591">
        <v>0</v>
      </c>
      <c r="JK9" s="591">
        <v>0</v>
      </c>
      <c r="JL9" s="591">
        <v>0</v>
      </c>
      <c r="JM9" s="591">
        <v>0</v>
      </c>
      <c r="JN9" s="591">
        <v>32469</v>
      </c>
    </row>
    <row r="10" spans="1:274" x14ac:dyDescent="0.25">
      <c r="A10" s="591">
        <v>32570</v>
      </c>
      <c r="B10" s="591">
        <v>15802</v>
      </c>
      <c r="C10" s="591">
        <v>9</v>
      </c>
      <c r="D10" s="591">
        <v>2022</v>
      </c>
      <c r="E10" s="591">
        <v>6159</v>
      </c>
      <c r="F10" s="591">
        <v>0</v>
      </c>
      <c r="G10" s="591">
        <v>709.06500000000005</v>
      </c>
      <c r="H10" s="591">
        <v>650.56500000000005</v>
      </c>
      <c r="I10" s="591">
        <v>650.56500000000005</v>
      </c>
      <c r="J10" s="591">
        <v>709.06500000000005</v>
      </c>
      <c r="K10" s="591">
        <v>0</v>
      </c>
      <c r="L10" s="591">
        <v>6159</v>
      </c>
      <c r="M10" s="591">
        <v>0</v>
      </c>
      <c r="N10" s="591">
        <v>0</v>
      </c>
      <c r="O10" s="591">
        <v>0</v>
      </c>
      <c r="P10" s="591">
        <v>672.71800000000007</v>
      </c>
      <c r="Q10" s="591">
        <v>0</v>
      </c>
      <c r="R10" s="591">
        <v>270721</v>
      </c>
      <c r="S10" s="591">
        <v>402.428</v>
      </c>
      <c r="T10" s="591">
        <v>0</v>
      </c>
      <c r="U10" s="591">
        <v>0</v>
      </c>
      <c r="V10" s="591">
        <v>47.655000000000001</v>
      </c>
      <c r="W10" s="591">
        <v>65992</v>
      </c>
      <c r="X10" s="591">
        <v>65992</v>
      </c>
      <c r="Y10" s="591">
        <v>0</v>
      </c>
      <c r="Z10" s="591">
        <v>0</v>
      </c>
      <c r="AA10" s="591">
        <v>0</v>
      </c>
      <c r="AB10" s="591">
        <v>0</v>
      </c>
      <c r="AC10" s="591">
        <v>0</v>
      </c>
      <c r="AD10" s="591" t="s">
        <v>316</v>
      </c>
      <c r="AE10" s="591">
        <v>0</v>
      </c>
      <c r="AF10" s="591">
        <v>0</v>
      </c>
      <c r="AG10" s="591">
        <v>0</v>
      </c>
      <c r="AH10" s="591">
        <v>0</v>
      </c>
      <c r="AI10" s="591">
        <v>0</v>
      </c>
      <c r="AJ10" s="591">
        <v>6159</v>
      </c>
      <c r="AK10" s="591" t="s">
        <v>671</v>
      </c>
      <c r="AL10" s="591" t="s">
        <v>56</v>
      </c>
      <c r="AM10" s="591">
        <v>0</v>
      </c>
      <c r="AN10" s="591">
        <v>0</v>
      </c>
      <c r="AO10" s="591">
        <v>0</v>
      </c>
      <c r="AP10" s="591">
        <v>0</v>
      </c>
      <c r="AQ10" s="591">
        <v>0</v>
      </c>
      <c r="AR10" s="591">
        <v>0</v>
      </c>
      <c r="AS10" s="591">
        <v>0</v>
      </c>
      <c r="AT10" s="591">
        <v>0</v>
      </c>
      <c r="AU10" s="591">
        <v>0</v>
      </c>
      <c r="AV10" s="591">
        <v>0</v>
      </c>
      <c r="AW10" s="591">
        <v>8399557</v>
      </c>
      <c r="AX10" s="591">
        <v>8402329</v>
      </c>
      <c r="AY10" s="591">
        <v>0</v>
      </c>
      <c r="AZ10" s="591">
        <v>270721</v>
      </c>
      <c r="BA10" s="591">
        <v>0</v>
      </c>
      <c r="BB10" s="591">
        <v>0</v>
      </c>
      <c r="BC10" s="591">
        <v>0</v>
      </c>
      <c r="BD10" s="591">
        <v>2</v>
      </c>
      <c r="BE10" s="591">
        <v>111</v>
      </c>
      <c r="BF10" s="591">
        <v>7633512</v>
      </c>
      <c r="BG10" s="591">
        <v>0</v>
      </c>
      <c r="BH10" s="591">
        <v>0</v>
      </c>
      <c r="BI10" s="591">
        <v>0</v>
      </c>
      <c r="BJ10" s="591">
        <v>12</v>
      </c>
      <c r="BK10" s="591">
        <v>0</v>
      </c>
      <c r="BL10" s="591">
        <v>0</v>
      </c>
      <c r="BM10" s="591">
        <v>0</v>
      </c>
      <c r="BN10" s="591">
        <v>0</v>
      </c>
      <c r="BO10" s="591">
        <v>0</v>
      </c>
      <c r="BP10" s="591">
        <v>0</v>
      </c>
      <c r="BQ10" s="591">
        <v>670</v>
      </c>
      <c r="BR10" s="591">
        <v>0</v>
      </c>
      <c r="BS10" s="591">
        <v>0</v>
      </c>
      <c r="BT10" s="591">
        <v>0</v>
      </c>
      <c r="BU10" s="591">
        <v>0</v>
      </c>
      <c r="BV10" s="591">
        <v>0</v>
      </c>
      <c r="BW10" s="591">
        <v>0</v>
      </c>
      <c r="BX10" s="591">
        <v>0</v>
      </c>
      <c r="BY10" s="591">
        <v>0</v>
      </c>
      <c r="BZ10" s="591">
        <v>0</v>
      </c>
      <c r="CA10" s="591">
        <v>0</v>
      </c>
      <c r="CB10" s="591">
        <v>0</v>
      </c>
      <c r="CC10" s="591">
        <v>0</v>
      </c>
      <c r="CD10" s="591">
        <v>0</v>
      </c>
      <c r="CE10" s="591">
        <v>0</v>
      </c>
      <c r="CF10" s="591">
        <v>0</v>
      </c>
      <c r="CG10" s="591">
        <v>0</v>
      </c>
      <c r="CH10" s="591">
        <v>0</v>
      </c>
      <c r="CI10" s="591">
        <v>0</v>
      </c>
      <c r="CJ10" s="591">
        <v>4</v>
      </c>
      <c r="CK10" s="591">
        <v>0</v>
      </c>
      <c r="CL10" s="591">
        <v>0</v>
      </c>
      <c r="CM10" s="591">
        <v>0</v>
      </c>
      <c r="CN10" s="591">
        <v>0</v>
      </c>
      <c r="CO10" s="591">
        <v>1</v>
      </c>
      <c r="CP10" s="591">
        <v>0</v>
      </c>
      <c r="CQ10" s="591">
        <v>0</v>
      </c>
      <c r="CR10" s="591">
        <v>709.06500000000005</v>
      </c>
      <c r="CS10" s="591">
        <v>0</v>
      </c>
      <c r="CT10" s="591">
        <v>0</v>
      </c>
      <c r="CU10" s="591">
        <v>0</v>
      </c>
      <c r="CV10" s="591">
        <v>0</v>
      </c>
      <c r="CW10" s="591">
        <v>0</v>
      </c>
      <c r="CX10" s="591">
        <v>0</v>
      </c>
      <c r="CY10" s="591">
        <v>0</v>
      </c>
      <c r="CZ10" s="591">
        <v>0</v>
      </c>
      <c r="DA10" s="591">
        <v>0</v>
      </c>
      <c r="DB10" s="591">
        <v>4006883</v>
      </c>
      <c r="DC10" s="591">
        <v>0</v>
      </c>
      <c r="DD10" s="591">
        <v>0</v>
      </c>
      <c r="DE10" s="591">
        <v>1544621</v>
      </c>
      <c r="DF10" s="591">
        <v>1544621</v>
      </c>
      <c r="DG10" s="591">
        <v>250.78800000000001</v>
      </c>
      <c r="DH10" s="591">
        <v>0</v>
      </c>
      <c r="DI10" s="591">
        <v>0</v>
      </c>
      <c r="DJ10" s="591">
        <v>0</v>
      </c>
      <c r="DK10" s="591">
        <v>2339</v>
      </c>
      <c r="DL10" s="591">
        <v>0</v>
      </c>
      <c r="DM10" s="591">
        <v>697529</v>
      </c>
      <c r="DN10" s="591">
        <v>2661</v>
      </c>
      <c r="DO10" s="591">
        <v>0</v>
      </c>
      <c r="DP10" s="591">
        <v>0</v>
      </c>
      <c r="DQ10" s="591">
        <v>0</v>
      </c>
      <c r="DR10" s="591">
        <v>0</v>
      </c>
      <c r="DS10" s="591">
        <v>0</v>
      </c>
      <c r="DT10" s="591">
        <v>0</v>
      </c>
      <c r="DU10" s="591">
        <v>0</v>
      </c>
      <c r="DV10" s="591">
        <v>0</v>
      </c>
      <c r="DW10" s="591">
        <v>0</v>
      </c>
      <c r="DX10" s="591">
        <v>0</v>
      </c>
      <c r="DY10" s="591">
        <v>0</v>
      </c>
      <c r="DZ10" s="591">
        <v>0</v>
      </c>
      <c r="EA10" s="591">
        <v>0</v>
      </c>
      <c r="EB10" s="591">
        <v>0</v>
      </c>
      <c r="EC10" s="591">
        <v>41.135000000000005</v>
      </c>
      <c r="ED10" s="591">
        <v>291357</v>
      </c>
      <c r="EE10" s="591">
        <v>0</v>
      </c>
      <c r="EF10" s="591">
        <v>0</v>
      </c>
      <c r="EG10" s="591">
        <v>0</v>
      </c>
      <c r="EH10" s="591">
        <v>397476</v>
      </c>
      <c r="EI10" s="591">
        <v>11357</v>
      </c>
      <c r="EJ10" s="591">
        <v>0.46100000000000002</v>
      </c>
      <c r="EK10" s="591">
        <v>18.891000000000002</v>
      </c>
      <c r="EL10" s="591">
        <v>0</v>
      </c>
      <c r="EM10" s="591">
        <v>4.9000000000000002E-2</v>
      </c>
      <c r="EN10" s="591">
        <v>1.5430000000000001</v>
      </c>
      <c r="EO10" s="591">
        <v>0</v>
      </c>
      <c r="EP10" s="591">
        <v>0</v>
      </c>
      <c r="EQ10" s="591">
        <v>20.944000000000003</v>
      </c>
      <c r="ER10" s="591">
        <v>0</v>
      </c>
      <c r="ES10" s="591">
        <v>64.534999999999997</v>
      </c>
      <c r="ET10" s="591">
        <v>0</v>
      </c>
      <c r="EU10" s="591">
        <v>0</v>
      </c>
      <c r="EV10" s="591">
        <v>0</v>
      </c>
      <c r="EW10" s="591">
        <v>0</v>
      </c>
      <c r="EX10" s="591">
        <v>0</v>
      </c>
      <c r="EY10" s="591">
        <v>0</v>
      </c>
      <c r="EZ10" s="591">
        <v>7450356</v>
      </c>
      <c r="FA10" s="591">
        <v>0</v>
      </c>
      <c r="FB10" s="591">
        <v>7718305</v>
      </c>
      <c r="FC10" s="591">
        <v>0</v>
      </c>
      <c r="FD10" s="591">
        <v>0</v>
      </c>
      <c r="FE10" s="591">
        <v>790693</v>
      </c>
      <c r="FF10" s="591">
        <v>161280</v>
      </c>
      <c r="FG10" s="591">
        <v>6.4728999999999995E-2</v>
      </c>
      <c r="FH10" s="591">
        <v>2.6405999999999999E-2</v>
      </c>
      <c r="FI10" s="591">
        <v>0</v>
      </c>
      <c r="FJ10" s="591">
        <v>0</v>
      </c>
      <c r="FK10" s="591">
        <v>1239.3910000000001</v>
      </c>
      <c r="FL10" s="591">
        <v>8670278</v>
      </c>
      <c r="FM10" s="591">
        <v>0</v>
      </c>
      <c r="FN10" s="591">
        <v>0</v>
      </c>
      <c r="FO10" s="591">
        <v>82941</v>
      </c>
      <c r="FP10" s="591">
        <v>0</v>
      </c>
      <c r="FQ10" s="591">
        <v>82941</v>
      </c>
      <c r="FR10" s="591">
        <v>82941</v>
      </c>
      <c r="FS10" s="591">
        <v>0</v>
      </c>
      <c r="FT10" s="591">
        <v>0</v>
      </c>
      <c r="FU10" s="591">
        <v>0</v>
      </c>
      <c r="FV10" s="591">
        <v>0</v>
      </c>
      <c r="FW10" s="591">
        <v>0</v>
      </c>
      <c r="FX10" s="591">
        <v>0</v>
      </c>
      <c r="FY10" s="591">
        <v>0</v>
      </c>
      <c r="FZ10" s="591">
        <v>0</v>
      </c>
      <c r="GA10" s="591">
        <v>0</v>
      </c>
      <c r="GB10" s="591">
        <v>312269</v>
      </c>
      <c r="GC10" s="591">
        <v>312269</v>
      </c>
      <c r="GD10" s="591">
        <v>37.556000000000004</v>
      </c>
      <c r="GE10" s="591">
        <v>0</v>
      </c>
      <c r="GF10" s="591">
        <v>0</v>
      </c>
      <c r="GG10" s="591">
        <v>0</v>
      </c>
      <c r="GH10" s="591">
        <v>0</v>
      </c>
      <c r="GI10" s="591">
        <v>0</v>
      </c>
      <c r="GJ10" s="591">
        <v>0</v>
      </c>
      <c r="GK10" s="591">
        <v>0</v>
      </c>
      <c r="GL10" s="591">
        <v>0</v>
      </c>
      <c r="GM10" s="591">
        <v>0</v>
      </c>
      <c r="GN10" s="591">
        <v>0</v>
      </c>
      <c r="GO10" s="591">
        <v>0</v>
      </c>
      <c r="GP10" s="591">
        <v>0</v>
      </c>
      <c r="GQ10" s="591">
        <v>0</v>
      </c>
      <c r="GR10" s="591">
        <v>0</v>
      </c>
      <c r="GS10" s="591">
        <v>0</v>
      </c>
      <c r="GT10" s="591">
        <v>0</v>
      </c>
      <c r="GU10" s="591">
        <v>0</v>
      </c>
      <c r="GV10" s="591">
        <v>0</v>
      </c>
      <c r="GW10" s="591">
        <v>0</v>
      </c>
      <c r="GX10" s="591">
        <v>0</v>
      </c>
      <c r="GY10" s="591">
        <v>0</v>
      </c>
      <c r="GZ10" s="591">
        <v>0</v>
      </c>
      <c r="HA10" s="591">
        <v>0</v>
      </c>
      <c r="HB10" s="591">
        <v>0</v>
      </c>
      <c r="HC10" s="591">
        <v>5.1774999999999995E-2</v>
      </c>
      <c r="HD10" s="591">
        <v>0</v>
      </c>
      <c r="HE10" s="591">
        <v>0</v>
      </c>
      <c r="HF10" s="591">
        <v>714971</v>
      </c>
      <c r="HG10" s="591">
        <v>9239</v>
      </c>
      <c r="HH10" s="591">
        <v>202255</v>
      </c>
      <c r="HI10" s="591">
        <v>0</v>
      </c>
      <c r="HJ10" s="591">
        <v>6892</v>
      </c>
      <c r="HK10" s="591">
        <v>1330</v>
      </c>
      <c r="HL10" s="591">
        <v>1462</v>
      </c>
      <c r="HM10" s="591">
        <v>0</v>
      </c>
      <c r="HN10" s="591">
        <v>0</v>
      </c>
      <c r="HO10" s="591">
        <v>70200</v>
      </c>
      <c r="HP10" s="591">
        <v>0</v>
      </c>
      <c r="HQ10" s="591">
        <v>0</v>
      </c>
      <c r="HR10" s="591">
        <v>0</v>
      </c>
      <c r="HS10" s="591">
        <v>7447584</v>
      </c>
      <c r="HT10" s="591">
        <v>0</v>
      </c>
      <c r="HU10" s="591">
        <v>0</v>
      </c>
      <c r="HV10" s="591">
        <v>0</v>
      </c>
      <c r="HW10" s="591">
        <v>0</v>
      </c>
      <c r="HX10" s="591">
        <v>91</v>
      </c>
      <c r="HY10" s="591">
        <v>160</v>
      </c>
      <c r="HZ10" s="591">
        <v>186</v>
      </c>
      <c r="IA10" s="591">
        <v>215</v>
      </c>
      <c r="IB10" s="591">
        <v>325</v>
      </c>
      <c r="IC10" s="591">
        <v>870</v>
      </c>
      <c r="ID10" s="591">
        <v>0</v>
      </c>
      <c r="IE10" s="591">
        <v>32.363</v>
      </c>
      <c r="IF10" s="591">
        <v>21.891999999999999</v>
      </c>
      <c r="IG10" s="591">
        <v>15</v>
      </c>
      <c r="IH10" s="591">
        <v>328.38499999999999</v>
      </c>
      <c r="II10" s="591">
        <v>0</v>
      </c>
      <c r="IJ10" s="591">
        <v>101.91</v>
      </c>
      <c r="IK10" s="591">
        <v>6.6630000000000003</v>
      </c>
      <c r="IL10" s="591">
        <v>0</v>
      </c>
      <c r="IM10" s="591">
        <v>0</v>
      </c>
      <c r="IN10" s="591">
        <v>0</v>
      </c>
      <c r="IO10" s="591">
        <v>0</v>
      </c>
      <c r="IP10" s="591">
        <v>6.6630000000000003</v>
      </c>
      <c r="IQ10" s="591">
        <v>47.655000000000001</v>
      </c>
      <c r="IR10" s="591">
        <v>29351</v>
      </c>
      <c r="IS10" s="591">
        <v>1832</v>
      </c>
      <c r="IT10" s="591">
        <v>0</v>
      </c>
      <c r="IU10" s="591">
        <v>0</v>
      </c>
      <c r="IV10" s="591">
        <v>0</v>
      </c>
      <c r="IW10" s="591">
        <v>6159</v>
      </c>
      <c r="IX10" s="591">
        <v>29899</v>
      </c>
      <c r="IY10" s="591">
        <v>6742</v>
      </c>
      <c r="IZ10" s="591">
        <v>1832</v>
      </c>
      <c r="JA10" s="591">
        <v>0</v>
      </c>
      <c r="JB10" s="591">
        <v>0</v>
      </c>
      <c r="JC10" s="591">
        <v>0</v>
      </c>
      <c r="JD10" s="591">
        <v>0</v>
      </c>
      <c r="JE10" s="591">
        <v>0</v>
      </c>
      <c r="JF10" s="591">
        <v>0</v>
      </c>
      <c r="JG10" s="591">
        <v>0</v>
      </c>
      <c r="JH10" s="591">
        <v>0</v>
      </c>
      <c r="JI10" s="591">
        <v>0</v>
      </c>
      <c r="JJ10" s="591">
        <v>0</v>
      </c>
      <c r="JK10" s="591">
        <v>0</v>
      </c>
      <c r="JL10" s="591">
        <v>0</v>
      </c>
      <c r="JM10" s="591">
        <v>0</v>
      </c>
      <c r="JN10" s="591">
        <v>32469</v>
      </c>
    </row>
    <row r="11" spans="1:274" x14ac:dyDescent="0.25">
      <c r="A11" s="591">
        <v>32570</v>
      </c>
      <c r="B11" s="591">
        <v>15805</v>
      </c>
      <c r="C11" s="591">
        <v>9</v>
      </c>
      <c r="D11" s="591">
        <v>2022</v>
      </c>
      <c r="E11" s="591">
        <v>6159</v>
      </c>
      <c r="F11" s="591">
        <v>0</v>
      </c>
      <c r="G11" s="591">
        <v>442.19499999999999</v>
      </c>
      <c r="H11" s="591">
        <v>438.88200000000001</v>
      </c>
      <c r="I11" s="591">
        <v>438.88200000000001</v>
      </c>
      <c r="J11" s="591">
        <v>442.19499999999999</v>
      </c>
      <c r="K11" s="591">
        <v>0</v>
      </c>
      <c r="L11" s="591">
        <v>6159</v>
      </c>
      <c r="M11" s="591">
        <v>0</v>
      </c>
      <c r="N11" s="591">
        <v>0</v>
      </c>
      <c r="O11" s="591">
        <v>0</v>
      </c>
      <c r="P11" s="591">
        <v>424.67</v>
      </c>
      <c r="Q11" s="591">
        <v>0</v>
      </c>
      <c r="R11" s="591">
        <v>170899</v>
      </c>
      <c r="S11" s="591">
        <v>402.428</v>
      </c>
      <c r="T11" s="591">
        <v>0</v>
      </c>
      <c r="U11" s="591">
        <v>0</v>
      </c>
      <c r="V11" s="591">
        <v>49.593000000000004</v>
      </c>
      <c r="W11" s="591">
        <v>30545</v>
      </c>
      <c r="X11" s="591">
        <v>30545</v>
      </c>
      <c r="Y11" s="591">
        <v>0</v>
      </c>
      <c r="Z11" s="591">
        <v>0</v>
      </c>
      <c r="AA11" s="591">
        <v>0</v>
      </c>
      <c r="AB11" s="591">
        <v>0</v>
      </c>
      <c r="AC11" s="591">
        <v>0</v>
      </c>
      <c r="AD11" s="591" t="s">
        <v>316</v>
      </c>
      <c r="AE11" s="591">
        <v>0</v>
      </c>
      <c r="AF11" s="591">
        <v>0</v>
      </c>
      <c r="AG11" s="591">
        <v>0</v>
      </c>
      <c r="AH11" s="591">
        <v>0</v>
      </c>
      <c r="AI11" s="591">
        <v>0</v>
      </c>
      <c r="AJ11" s="591">
        <v>6159</v>
      </c>
      <c r="AK11" s="591" t="s">
        <v>671</v>
      </c>
      <c r="AL11" s="591" t="s">
        <v>460</v>
      </c>
      <c r="AM11" s="591">
        <v>0</v>
      </c>
      <c r="AN11" s="591">
        <v>0</v>
      </c>
      <c r="AO11" s="591">
        <v>0</v>
      </c>
      <c r="AP11" s="591">
        <v>0</v>
      </c>
      <c r="AQ11" s="591">
        <v>0</v>
      </c>
      <c r="AR11" s="591">
        <v>0</v>
      </c>
      <c r="AS11" s="591">
        <v>0</v>
      </c>
      <c r="AT11" s="591">
        <v>0</v>
      </c>
      <c r="AU11" s="591">
        <v>0</v>
      </c>
      <c r="AV11" s="591">
        <v>0</v>
      </c>
      <c r="AW11" s="591">
        <v>4873015</v>
      </c>
      <c r="AX11" s="591">
        <v>4793778</v>
      </c>
      <c r="AY11" s="591">
        <v>0</v>
      </c>
      <c r="AZ11" s="591">
        <v>170899</v>
      </c>
      <c r="BA11" s="591">
        <v>0</v>
      </c>
      <c r="BB11" s="591">
        <v>0</v>
      </c>
      <c r="BC11" s="591">
        <v>0</v>
      </c>
      <c r="BD11" s="591">
        <v>0</v>
      </c>
      <c r="BE11" s="591">
        <v>64</v>
      </c>
      <c r="BF11" s="591">
        <v>4409593</v>
      </c>
      <c r="BG11" s="591">
        <v>0</v>
      </c>
      <c r="BH11" s="591">
        <v>0</v>
      </c>
      <c r="BI11" s="591">
        <v>0</v>
      </c>
      <c r="BJ11" s="591">
        <v>12</v>
      </c>
      <c r="BK11" s="591">
        <v>0</v>
      </c>
      <c r="BL11" s="591">
        <v>0</v>
      </c>
      <c r="BM11" s="591">
        <v>0</v>
      </c>
      <c r="BN11" s="591">
        <v>0</v>
      </c>
      <c r="BO11" s="591">
        <v>0</v>
      </c>
      <c r="BP11" s="591">
        <v>0</v>
      </c>
      <c r="BQ11" s="591">
        <v>702</v>
      </c>
      <c r="BR11" s="591">
        <v>0</v>
      </c>
      <c r="BS11" s="591">
        <v>0</v>
      </c>
      <c r="BT11" s="591">
        <v>0</v>
      </c>
      <c r="BU11" s="591">
        <v>0</v>
      </c>
      <c r="BV11" s="591">
        <v>0</v>
      </c>
      <c r="BW11" s="591">
        <v>0</v>
      </c>
      <c r="BX11" s="591">
        <v>0</v>
      </c>
      <c r="BY11" s="591">
        <v>0</v>
      </c>
      <c r="BZ11" s="591">
        <v>0</v>
      </c>
      <c r="CA11" s="591">
        <v>0</v>
      </c>
      <c r="CB11" s="591">
        <v>0</v>
      </c>
      <c r="CC11" s="591">
        <v>0</v>
      </c>
      <c r="CD11" s="591">
        <v>0</v>
      </c>
      <c r="CE11" s="591">
        <v>0</v>
      </c>
      <c r="CF11" s="591">
        <v>0</v>
      </c>
      <c r="CG11" s="591">
        <v>0</v>
      </c>
      <c r="CH11" s="591">
        <v>80131</v>
      </c>
      <c r="CI11" s="591">
        <v>0</v>
      </c>
      <c r="CJ11" s="591">
        <v>4</v>
      </c>
      <c r="CK11" s="591">
        <v>0</v>
      </c>
      <c r="CL11" s="591">
        <v>0</v>
      </c>
      <c r="CM11" s="591">
        <v>0</v>
      </c>
      <c r="CN11" s="591">
        <v>0</v>
      </c>
      <c r="CO11" s="591">
        <v>1</v>
      </c>
      <c r="CP11" s="591">
        <v>0</v>
      </c>
      <c r="CQ11" s="591">
        <v>0</v>
      </c>
      <c r="CR11" s="591">
        <v>442.19499999999999</v>
      </c>
      <c r="CS11" s="591">
        <v>0</v>
      </c>
      <c r="CT11" s="591">
        <v>0</v>
      </c>
      <c r="CU11" s="591">
        <v>0</v>
      </c>
      <c r="CV11" s="591">
        <v>0</v>
      </c>
      <c r="CW11" s="591">
        <v>0</v>
      </c>
      <c r="CX11" s="591">
        <v>0</v>
      </c>
      <c r="CY11" s="591">
        <v>0</v>
      </c>
      <c r="CZ11" s="591">
        <v>0</v>
      </c>
      <c r="DA11" s="591">
        <v>0</v>
      </c>
      <c r="DB11" s="591">
        <v>2692568</v>
      </c>
      <c r="DC11" s="591">
        <v>0</v>
      </c>
      <c r="DD11" s="591">
        <v>0</v>
      </c>
      <c r="DE11" s="591">
        <v>799449</v>
      </c>
      <c r="DF11" s="591">
        <v>799449</v>
      </c>
      <c r="DG11" s="591">
        <v>129.80000000000001</v>
      </c>
      <c r="DH11" s="591">
        <v>0</v>
      </c>
      <c r="DI11" s="591">
        <v>0</v>
      </c>
      <c r="DJ11" s="591">
        <v>0</v>
      </c>
      <c r="DK11" s="591">
        <v>2861</v>
      </c>
      <c r="DL11" s="591">
        <v>0</v>
      </c>
      <c r="DM11" s="591">
        <v>228314</v>
      </c>
      <c r="DN11" s="591">
        <v>831</v>
      </c>
      <c r="DO11" s="591">
        <v>0</v>
      </c>
      <c r="DP11" s="591">
        <v>0</v>
      </c>
      <c r="DQ11" s="591">
        <v>0</v>
      </c>
      <c r="DR11" s="591">
        <v>0</v>
      </c>
      <c r="DS11" s="591">
        <v>0</v>
      </c>
      <c r="DT11" s="591">
        <v>0</v>
      </c>
      <c r="DU11" s="591">
        <v>0</v>
      </c>
      <c r="DV11" s="591">
        <v>0</v>
      </c>
      <c r="DW11" s="591">
        <v>0</v>
      </c>
      <c r="DX11" s="591">
        <v>0</v>
      </c>
      <c r="DY11" s="591">
        <v>0</v>
      </c>
      <c r="DZ11" s="591">
        <v>0</v>
      </c>
      <c r="EA11" s="591">
        <v>0</v>
      </c>
      <c r="EB11" s="591">
        <v>0</v>
      </c>
      <c r="EC11" s="591">
        <v>21.365000000000002</v>
      </c>
      <c r="ED11" s="591">
        <v>151327</v>
      </c>
      <c r="EE11" s="591">
        <v>0</v>
      </c>
      <c r="EF11" s="591">
        <v>0</v>
      </c>
      <c r="EG11" s="591">
        <v>0</v>
      </c>
      <c r="EH11" s="591">
        <v>67276</v>
      </c>
      <c r="EI11" s="591">
        <v>0</v>
      </c>
      <c r="EJ11" s="591">
        <v>0</v>
      </c>
      <c r="EK11" s="591">
        <v>0.48300000000000004</v>
      </c>
      <c r="EL11" s="591">
        <v>0</v>
      </c>
      <c r="EM11" s="591">
        <v>2.3380000000000001</v>
      </c>
      <c r="EN11" s="591">
        <v>0.49200000000000005</v>
      </c>
      <c r="EO11" s="591">
        <v>0</v>
      </c>
      <c r="EP11" s="591">
        <v>0</v>
      </c>
      <c r="EQ11" s="591">
        <v>3.3130000000000002</v>
      </c>
      <c r="ER11" s="591">
        <v>0</v>
      </c>
      <c r="ES11" s="591">
        <v>10.923</v>
      </c>
      <c r="ET11" s="591">
        <v>0</v>
      </c>
      <c r="EU11" s="591">
        <v>0</v>
      </c>
      <c r="EV11" s="591">
        <v>0</v>
      </c>
      <c r="EW11" s="591">
        <v>0</v>
      </c>
      <c r="EX11" s="591">
        <v>0</v>
      </c>
      <c r="EY11" s="591">
        <v>0</v>
      </c>
      <c r="EZ11" s="591">
        <v>4243858</v>
      </c>
      <c r="FA11" s="591">
        <v>0</v>
      </c>
      <c r="FB11" s="591">
        <v>4413863</v>
      </c>
      <c r="FC11" s="591">
        <v>0</v>
      </c>
      <c r="FD11" s="591">
        <v>0</v>
      </c>
      <c r="FE11" s="591">
        <v>456754</v>
      </c>
      <c r="FF11" s="591">
        <v>93166</v>
      </c>
      <c r="FG11" s="591">
        <v>6.4728999999999995E-2</v>
      </c>
      <c r="FH11" s="591">
        <v>2.6405999999999999E-2</v>
      </c>
      <c r="FI11" s="591">
        <v>0</v>
      </c>
      <c r="FJ11" s="591">
        <v>0</v>
      </c>
      <c r="FK11" s="591">
        <v>715.95</v>
      </c>
      <c r="FL11" s="591">
        <v>5043914</v>
      </c>
      <c r="FM11" s="591">
        <v>0</v>
      </c>
      <c r="FN11" s="591">
        <v>0</v>
      </c>
      <c r="FO11" s="591">
        <v>3363</v>
      </c>
      <c r="FP11" s="591">
        <v>0</v>
      </c>
      <c r="FQ11" s="591">
        <v>3363</v>
      </c>
      <c r="FR11" s="591">
        <v>3363</v>
      </c>
      <c r="FS11" s="591">
        <v>0</v>
      </c>
      <c r="FT11" s="591">
        <v>0</v>
      </c>
      <c r="FU11" s="591">
        <v>0</v>
      </c>
      <c r="FV11" s="591">
        <v>0</v>
      </c>
      <c r="FW11" s="591">
        <v>0</v>
      </c>
      <c r="FX11" s="591">
        <v>0</v>
      </c>
      <c r="FY11" s="591">
        <v>0</v>
      </c>
      <c r="FZ11" s="591">
        <v>0</v>
      </c>
      <c r="GA11" s="591">
        <v>0</v>
      </c>
      <c r="GB11" s="591">
        <v>0</v>
      </c>
      <c r="GC11" s="591">
        <v>0</v>
      </c>
      <c r="GD11" s="591">
        <v>0</v>
      </c>
      <c r="GE11" s="591">
        <v>0</v>
      </c>
      <c r="GF11" s="591">
        <v>0</v>
      </c>
      <c r="GG11" s="591">
        <v>0</v>
      </c>
      <c r="GH11" s="591">
        <v>0</v>
      </c>
      <c r="GI11" s="591">
        <v>0</v>
      </c>
      <c r="GJ11" s="591">
        <v>0</v>
      </c>
      <c r="GK11" s="591">
        <v>0</v>
      </c>
      <c r="GL11" s="591">
        <v>0</v>
      </c>
      <c r="GM11" s="591">
        <v>0</v>
      </c>
      <c r="GN11" s="591">
        <v>0</v>
      </c>
      <c r="GO11" s="591">
        <v>0</v>
      </c>
      <c r="GP11" s="591">
        <v>0</v>
      </c>
      <c r="GQ11" s="591">
        <v>0</v>
      </c>
      <c r="GR11" s="591">
        <v>0</v>
      </c>
      <c r="GS11" s="591">
        <v>0</v>
      </c>
      <c r="GT11" s="591">
        <v>0</v>
      </c>
      <c r="GU11" s="591">
        <v>0</v>
      </c>
      <c r="GV11" s="591">
        <v>0</v>
      </c>
      <c r="GW11" s="591">
        <v>0</v>
      </c>
      <c r="GX11" s="591">
        <v>0</v>
      </c>
      <c r="GY11" s="591">
        <v>0</v>
      </c>
      <c r="GZ11" s="591">
        <v>0</v>
      </c>
      <c r="HA11" s="591">
        <v>0</v>
      </c>
      <c r="HB11" s="591">
        <v>260009272</v>
      </c>
      <c r="HC11" s="591">
        <v>5.1774999999999995E-2</v>
      </c>
      <c r="HD11" s="591">
        <v>80131</v>
      </c>
      <c r="HE11" s="591">
        <v>0</v>
      </c>
      <c r="HF11" s="591">
        <v>482331</v>
      </c>
      <c r="HG11" s="591">
        <v>8623</v>
      </c>
      <c r="HH11" s="591">
        <v>58634</v>
      </c>
      <c r="HI11" s="591">
        <v>0</v>
      </c>
      <c r="HJ11" s="591">
        <v>4298</v>
      </c>
      <c r="HK11" s="591">
        <v>1680</v>
      </c>
      <c r="HL11" s="591">
        <v>121</v>
      </c>
      <c r="HM11" s="591">
        <v>104000</v>
      </c>
      <c r="HN11" s="591">
        <v>0</v>
      </c>
      <c r="HO11" s="591">
        <v>0</v>
      </c>
      <c r="HP11" s="591">
        <v>0</v>
      </c>
      <c r="HQ11" s="591">
        <v>0</v>
      </c>
      <c r="HR11" s="591">
        <v>0</v>
      </c>
      <c r="HS11" s="591">
        <v>4242964</v>
      </c>
      <c r="HT11" s="591">
        <v>0</v>
      </c>
      <c r="HU11" s="591">
        <v>0</v>
      </c>
      <c r="HV11" s="591">
        <v>0</v>
      </c>
      <c r="HW11" s="591">
        <v>0</v>
      </c>
      <c r="HX11" s="591">
        <v>34</v>
      </c>
      <c r="HY11" s="591">
        <v>93</v>
      </c>
      <c r="HZ11" s="591">
        <v>62</v>
      </c>
      <c r="IA11" s="591">
        <v>121</v>
      </c>
      <c r="IB11" s="591">
        <v>192</v>
      </c>
      <c r="IC11" s="591">
        <v>399</v>
      </c>
      <c r="ID11" s="591">
        <v>0</v>
      </c>
      <c r="IE11" s="591">
        <v>0</v>
      </c>
      <c r="IF11" s="591">
        <v>0</v>
      </c>
      <c r="IG11" s="591">
        <v>14</v>
      </c>
      <c r="IH11" s="591">
        <v>95.2</v>
      </c>
      <c r="II11" s="591">
        <v>0</v>
      </c>
      <c r="IJ11" s="591">
        <v>49.593000000000004</v>
      </c>
      <c r="IK11" s="591">
        <v>0</v>
      </c>
      <c r="IL11" s="591">
        <v>16</v>
      </c>
      <c r="IM11" s="591">
        <v>8</v>
      </c>
      <c r="IN11" s="591">
        <v>0</v>
      </c>
      <c r="IO11" s="591">
        <v>24</v>
      </c>
      <c r="IP11" s="591">
        <v>0</v>
      </c>
      <c r="IQ11" s="591">
        <v>49.593000000000004</v>
      </c>
      <c r="IR11" s="591">
        <v>30545</v>
      </c>
      <c r="IS11" s="591">
        <v>0</v>
      </c>
      <c r="IT11" s="591">
        <v>80000</v>
      </c>
      <c r="IU11" s="591">
        <v>24000</v>
      </c>
      <c r="IV11" s="591">
        <v>0</v>
      </c>
      <c r="IW11" s="591">
        <v>6159</v>
      </c>
      <c r="IX11" s="591">
        <v>0</v>
      </c>
      <c r="IY11" s="591">
        <v>0</v>
      </c>
      <c r="IZ11" s="591">
        <v>0</v>
      </c>
      <c r="JA11" s="591">
        <v>0</v>
      </c>
      <c r="JB11" s="591">
        <v>0</v>
      </c>
      <c r="JC11" s="591">
        <v>0</v>
      </c>
      <c r="JD11" s="591">
        <v>0</v>
      </c>
      <c r="JE11" s="591">
        <v>0</v>
      </c>
      <c r="JF11" s="591">
        <v>0</v>
      </c>
      <c r="JG11" s="591">
        <v>0</v>
      </c>
      <c r="JH11" s="591">
        <v>0</v>
      </c>
      <c r="JI11" s="591">
        <v>0</v>
      </c>
      <c r="JJ11" s="591">
        <v>0</v>
      </c>
      <c r="JK11" s="591">
        <v>0</v>
      </c>
      <c r="JL11" s="591">
        <v>0</v>
      </c>
      <c r="JM11" s="591">
        <v>0</v>
      </c>
      <c r="JN11" s="591">
        <v>32469</v>
      </c>
    </row>
    <row r="12" spans="1:274" x14ac:dyDescent="0.25">
      <c r="A12" s="591">
        <v>32570</v>
      </c>
      <c r="B12" s="591">
        <v>15806</v>
      </c>
      <c r="C12" s="591">
        <v>9</v>
      </c>
      <c r="D12" s="591">
        <v>2022</v>
      </c>
      <c r="E12" s="591">
        <v>6159</v>
      </c>
      <c r="F12" s="591">
        <v>0</v>
      </c>
      <c r="G12" s="591">
        <v>308.04000000000002</v>
      </c>
      <c r="H12" s="591">
        <v>277.45600000000002</v>
      </c>
      <c r="I12" s="591">
        <v>277.45600000000002</v>
      </c>
      <c r="J12" s="591">
        <v>308.04000000000002</v>
      </c>
      <c r="K12" s="591">
        <v>0</v>
      </c>
      <c r="L12" s="591">
        <v>6159</v>
      </c>
      <c r="M12" s="591">
        <v>0</v>
      </c>
      <c r="N12" s="591">
        <v>0</v>
      </c>
      <c r="O12" s="591">
        <v>0</v>
      </c>
      <c r="P12" s="591">
        <v>303.73099999999999</v>
      </c>
      <c r="Q12" s="591">
        <v>0</v>
      </c>
      <c r="R12" s="591">
        <v>122230</v>
      </c>
      <c r="S12" s="591">
        <v>402.428</v>
      </c>
      <c r="T12" s="591">
        <v>0</v>
      </c>
      <c r="U12" s="591">
        <v>0</v>
      </c>
      <c r="V12" s="591">
        <v>68.62</v>
      </c>
      <c r="W12" s="591">
        <v>42264</v>
      </c>
      <c r="X12" s="591">
        <v>42264</v>
      </c>
      <c r="Y12" s="591">
        <v>0</v>
      </c>
      <c r="Z12" s="591">
        <v>0</v>
      </c>
      <c r="AA12" s="591">
        <v>0</v>
      </c>
      <c r="AB12" s="591">
        <v>0</v>
      </c>
      <c r="AC12" s="591">
        <v>0</v>
      </c>
      <c r="AD12" s="591" t="s">
        <v>316</v>
      </c>
      <c r="AE12" s="591">
        <v>0</v>
      </c>
      <c r="AF12" s="591">
        <v>0</v>
      </c>
      <c r="AG12" s="591">
        <v>0</v>
      </c>
      <c r="AH12" s="591">
        <v>0</v>
      </c>
      <c r="AI12" s="591">
        <v>0</v>
      </c>
      <c r="AJ12" s="591">
        <v>6159</v>
      </c>
      <c r="AK12" s="591" t="s">
        <v>671</v>
      </c>
      <c r="AL12" s="591" t="s">
        <v>789</v>
      </c>
      <c r="AM12" s="591">
        <v>0</v>
      </c>
      <c r="AN12" s="591">
        <v>0</v>
      </c>
      <c r="AO12" s="591">
        <v>0</v>
      </c>
      <c r="AP12" s="591">
        <v>0</v>
      </c>
      <c r="AQ12" s="591">
        <v>0</v>
      </c>
      <c r="AR12" s="591">
        <v>0</v>
      </c>
      <c r="AS12" s="591">
        <v>0</v>
      </c>
      <c r="AT12" s="591">
        <v>0</v>
      </c>
      <c r="AU12" s="591">
        <v>0</v>
      </c>
      <c r="AV12" s="591">
        <v>0</v>
      </c>
      <c r="AW12" s="591">
        <v>3804641</v>
      </c>
      <c r="AX12" s="591">
        <v>3749689</v>
      </c>
      <c r="AY12" s="591">
        <v>0</v>
      </c>
      <c r="AZ12" s="591">
        <v>122230</v>
      </c>
      <c r="BA12" s="591">
        <v>0</v>
      </c>
      <c r="BB12" s="591">
        <v>0</v>
      </c>
      <c r="BC12" s="591">
        <v>0</v>
      </c>
      <c r="BD12" s="591">
        <v>0</v>
      </c>
      <c r="BE12" s="591">
        <v>50</v>
      </c>
      <c r="BF12" s="591">
        <v>3384076</v>
      </c>
      <c r="BG12" s="591">
        <v>0</v>
      </c>
      <c r="BH12" s="591">
        <v>0</v>
      </c>
      <c r="BI12" s="591">
        <v>0</v>
      </c>
      <c r="BJ12" s="591">
        <v>12</v>
      </c>
      <c r="BK12" s="591">
        <v>0</v>
      </c>
      <c r="BL12" s="591">
        <v>0</v>
      </c>
      <c r="BM12" s="591">
        <v>0</v>
      </c>
      <c r="BN12" s="591">
        <v>0</v>
      </c>
      <c r="BO12" s="591">
        <v>0</v>
      </c>
      <c r="BP12" s="591">
        <v>0</v>
      </c>
      <c r="BQ12" s="591">
        <v>727</v>
      </c>
      <c r="BR12" s="591">
        <v>0</v>
      </c>
      <c r="BS12" s="591">
        <v>0</v>
      </c>
      <c r="BT12" s="591">
        <v>0</v>
      </c>
      <c r="BU12" s="591">
        <v>0</v>
      </c>
      <c r="BV12" s="591">
        <v>0</v>
      </c>
      <c r="BW12" s="591">
        <v>0</v>
      </c>
      <c r="BX12" s="591">
        <v>0</v>
      </c>
      <c r="BY12" s="591">
        <v>0</v>
      </c>
      <c r="BZ12" s="591">
        <v>0</v>
      </c>
      <c r="CA12" s="591">
        <v>0</v>
      </c>
      <c r="CB12" s="591">
        <v>0</v>
      </c>
      <c r="CC12" s="591">
        <v>0</v>
      </c>
      <c r="CD12" s="591">
        <v>0</v>
      </c>
      <c r="CE12" s="591">
        <v>0</v>
      </c>
      <c r="CF12" s="591">
        <v>0</v>
      </c>
      <c r="CG12" s="591">
        <v>0</v>
      </c>
      <c r="CH12" s="591">
        <v>55820</v>
      </c>
      <c r="CI12" s="591">
        <v>0</v>
      </c>
      <c r="CJ12" s="591">
        <v>4</v>
      </c>
      <c r="CK12" s="591">
        <v>0</v>
      </c>
      <c r="CL12" s="591">
        <v>0</v>
      </c>
      <c r="CM12" s="591">
        <v>0</v>
      </c>
      <c r="CN12" s="591">
        <v>0</v>
      </c>
      <c r="CO12" s="591">
        <v>1</v>
      </c>
      <c r="CP12" s="591">
        <v>0</v>
      </c>
      <c r="CQ12" s="591">
        <v>0</v>
      </c>
      <c r="CR12" s="591">
        <v>308.04000000000002</v>
      </c>
      <c r="CS12" s="591">
        <v>0</v>
      </c>
      <c r="CT12" s="591">
        <v>0</v>
      </c>
      <c r="CU12" s="591">
        <v>0</v>
      </c>
      <c r="CV12" s="591">
        <v>0</v>
      </c>
      <c r="CW12" s="591">
        <v>0</v>
      </c>
      <c r="CX12" s="591">
        <v>0</v>
      </c>
      <c r="CY12" s="591">
        <v>0</v>
      </c>
      <c r="CZ12" s="591">
        <v>0</v>
      </c>
      <c r="DA12" s="591">
        <v>0</v>
      </c>
      <c r="DB12" s="591">
        <v>1651730</v>
      </c>
      <c r="DC12" s="591">
        <v>0</v>
      </c>
      <c r="DD12" s="591">
        <v>0</v>
      </c>
      <c r="DE12" s="591">
        <v>675112</v>
      </c>
      <c r="DF12" s="591">
        <v>675112</v>
      </c>
      <c r="DG12" s="591">
        <v>109.613</v>
      </c>
      <c r="DH12" s="591">
        <v>0</v>
      </c>
      <c r="DI12" s="591">
        <v>0</v>
      </c>
      <c r="DJ12" s="591">
        <v>0</v>
      </c>
      <c r="DK12" s="591">
        <v>3258</v>
      </c>
      <c r="DL12" s="591">
        <v>0</v>
      </c>
      <c r="DM12" s="591">
        <v>271587</v>
      </c>
      <c r="DN12" s="591">
        <v>818</v>
      </c>
      <c r="DO12" s="591">
        <v>0</v>
      </c>
      <c r="DP12" s="591">
        <v>0</v>
      </c>
      <c r="DQ12" s="591">
        <v>0</v>
      </c>
      <c r="DR12" s="591">
        <v>0</v>
      </c>
      <c r="DS12" s="591">
        <v>0</v>
      </c>
      <c r="DT12" s="591">
        <v>0</v>
      </c>
      <c r="DU12" s="591">
        <v>0</v>
      </c>
      <c r="DV12" s="591">
        <v>0</v>
      </c>
      <c r="DW12" s="591">
        <v>0</v>
      </c>
      <c r="DX12" s="591">
        <v>0</v>
      </c>
      <c r="DY12" s="591">
        <v>0</v>
      </c>
      <c r="DZ12" s="591">
        <v>0</v>
      </c>
      <c r="EA12" s="591">
        <v>0</v>
      </c>
      <c r="EB12" s="591">
        <v>0</v>
      </c>
      <c r="EC12" s="591">
        <v>19.195</v>
      </c>
      <c r="ED12" s="591">
        <v>135957</v>
      </c>
      <c r="EE12" s="591">
        <v>0</v>
      </c>
      <c r="EF12" s="591">
        <v>0</v>
      </c>
      <c r="EG12" s="591">
        <v>0</v>
      </c>
      <c r="EH12" s="591">
        <v>79304</v>
      </c>
      <c r="EI12" s="591">
        <v>0</v>
      </c>
      <c r="EJ12" s="591">
        <v>0</v>
      </c>
      <c r="EK12" s="591">
        <v>1.9520000000000002</v>
      </c>
      <c r="EL12" s="591">
        <v>0</v>
      </c>
      <c r="EM12" s="591">
        <v>1.6950000000000001</v>
      </c>
      <c r="EN12" s="591">
        <v>0.38700000000000001</v>
      </c>
      <c r="EO12" s="591">
        <v>0</v>
      </c>
      <c r="EP12" s="591">
        <v>0</v>
      </c>
      <c r="EQ12" s="591">
        <v>4.0339999999999998</v>
      </c>
      <c r="ER12" s="591">
        <v>0</v>
      </c>
      <c r="ES12" s="591">
        <v>12.876000000000001</v>
      </c>
      <c r="ET12" s="591">
        <v>0</v>
      </c>
      <c r="EU12" s="591">
        <v>0</v>
      </c>
      <c r="EV12" s="591">
        <v>0</v>
      </c>
      <c r="EW12" s="591">
        <v>0</v>
      </c>
      <c r="EX12" s="591">
        <v>0</v>
      </c>
      <c r="EY12" s="591">
        <v>0</v>
      </c>
      <c r="EZ12" s="591">
        <v>3327661</v>
      </c>
      <c r="FA12" s="591">
        <v>0</v>
      </c>
      <c r="FB12" s="591">
        <v>3449023</v>
      </c>
      <c r="FC12" s="591">
        <v>0</v>
      </c>
      <c r="FD12" s="591">
        <v>0</v>
      </c>
      <c r="FE12" s="591">
        <v>350529</v>
      </c>
      <c r="FF12" s="591">
        <v>71499</v>
      </c>
      <c r="FG12" s="591">
        <v>6.4728999999999995E-2</v>
      </c>
      <c r="FH12" s="591">
        <v>2.6405999999999999E-2</v>
      </c>
      <c r="FI12" s="591">
        <v>0</v>
      </c>
      <c r="FJ12" s="591">
        <v>0</v>
      </c>
      <c r="FK12" s="591">
        <v>549.44500000000005</v>
      </c>
      <c r="FL12" s="591">
        <v>3926871</v>
      </c>
      <c r="FM12" s="591">
        <v>0</v>
      </c>
      <c r="FN12" s="591">
        <v>0</v>
      </c>
      <c r="FO12" s="591">
        <v>63289</v>
      </c>
      <c r="FP12" s="591">
        <v>0</v>
      </c>
      <c r="FQ12" s="591">
        <v>63289</v>
      </c>
      <c r="FR12" s="591">
        <v>63289</v>
      </c>
      <c r="FS12" s="591">
        <v>0</v>
      </c>
      <c r="FT12" s="591">
        <v>0</v>
      </c>
      <c r="FU12" s="591">
        <v>0</v>
      </c>
      <c r="FV12" s="591">
        <v>0</v>
      </c>
      <c r="FW12" s="591">
        <v>0</v>
      </c>
      <c r="FX12" s="591">
        <v>0</v>
      </c>
      <c r="FY12" s="591">
        <v>0</v>
      </c>
      <c r="FZ12" s="591">
        <v>0</v>
      </c>
      <c r="GA12" s="591">
        <v>0</v>
      </c>
      <c r="GB12" s="591">
        <v>220757</v>
      </c>
      <c r="GC12" s="591">
        <v>220757</v>
      </c>
      <c r="GD12" s="591">
        <v>26.55</v>
      </c>
      <c r="GE12" s="591">
        <v>0</v>
      </c>
      <c r="GF12" s="591">
        <v>0</v>
      </c>
      <c r="GG12" s="591">
        <v>0</v>
      </c>
      <c r="GH12" s="591">
        <v>0</v>
      </c>
      <c r="GI12" s="591">
        <v>0</v>
      </c>
      <c r="GJ12" s="591">
        <v>0</v>
      </c>
      <c r="GK12" s="591">
        <v>0</v>
      </c>
      <c r="GL12" s="591">
        <v>0</v>
      </c>
      <c r="GM12" s="591">
        <v>0</v>
      </c>
      <c r="GN12" s="591">
        <v>0</v>
      </c>
      <c r="GO12" s="591">
        <v>0</v>
      </c>
      <c r="GP12" s="591">
        <v>0</v>
      </c>
      <c r="GQ12" s="591">
        <v>0</v>
      </c>
      <c r="GR12" s="591">
        <v>0</v>
      </c>
      <c r="GS12" s="591">
        <v>0</v>
      </c>
      <c r="GT12" s="591">
        <v>0</v>
      </c>
      <c r="GU12" s="591">
        <v>0</v>
      </c>
      <c r="GV12" s="591">
        <v>0</v>
      </c>
      <c r="GW12" s="591">
        <v>0</v>
      </c>
      <c r="GX12" s="591">
        <v>0</v>
      </c>
      <c r="GY12" s="591">
        <v>0</v>
      </c>
      <c r="GZ12" s="591">
        <v>0</v>
      </c>
      <c r="HA12" s="591">
        <v>0</v>
      </c>
      <c r="HB12" s="591">
        <v>260009272</v>
      </c>
      <c r="HC12" s="591">
        <v>5.1774999999999995E-2</v>
      </c>
      <c r="HD12" s="591">
        <v>55820</v>
      </c>
      <c r="HE12" s="591">
        <v>0</v>
      </c>
      <c r="HF12" s="591">
        <v>304924</v>
      </c>
      <c r="HG12" s="591">
        <v>16038</v>
      </c>
      <c r="HH12" s="591">
        <v>187852</v>
      </c>
      <c r="HI12" s="591">
        <v>0</v>
      </c>
      <c r="HJ12" s="591">
        <v>2994</v>
      </c>
      <c r="HK12" s="591">
        <v>954</v>
      </c>
      <c r="HL12" s="591">
        <v>1572</v>
      </c>
      <c r="HM12" s="591">
        <v>10000</v>
      </c>
      <c r="HN12" s="591">
        <v>0</v>
      </c>
      <c r="HO12" s="591">
        <v>0</v>
      </c>
      <c r="HP12" s="591">
        <v>0</v>
      </c>
      <c r="HQ12" s="591">
        <v>0</v>
      </c>
      <c r="HR12" s="591">
        <v>0</v>
      </c>
      <c r="HS12" s="591">
        <v>3326793</v>
      </c>
      <c r="HT12" s="591">
        <v>0</v>
      </c>
      <c r="HU12" s="591">
        <v>0</v>
      </c>
      <c r="HV12" s="591">
        <v>0</v>
      </c>
      <c r="HW12" s="591">
        <v>0</v>
      </c>
      <c r="HX12" s="591">
        <v>56</v>
      </c>
      <c r="HY12" s="591">
        <v>43</v>
      </c>
      <c r="HZ12" s="591">
        <v>74</v>
      </c>
      <c r="IA12" s="591">
        <v>102</v>
      </c>
      <c r="IB12" s="591">
        <v>151</v>
      </c>
      <c r="IC12" s="591">
        <v>329</v>
      </c>
      <c r="ID12" s="591">
        <v>0</v>
      </c>
      <c r="IE12" s="591">
        <v>0</v>
      </c>
      <c r="IF12" s="591">
        <v>0</v>
      </c>
      <c r="IG12" s="591">
        <v>26.04</v>
      </c>
      <c r="IH12" s="591">
        <v>305</v>
      </c>
      <c r="II12" s="591">
        <v>0</v>
      </c>
      <c r="IJ12" s="591">
        <v>68.62</v>
      </c>
      <c r="IK12" s="591">
        <v>0</v>
      </c>
      <c r="IL12" s="591">
        <v>2</v>
      </c>
      <c r="IM12" s="591">
        <v>0</v>
      </c>
      <c r="IN12" s="591">
        <v>0</v>
      </c>
      <c r="IO12" s="591">
        <v>2</v>
      </c>
      <c r="IP12" s="591">
        <v>0</v>
      </c>
      <c r="IQ12" s="591">
        <v>68.62</v>
      </c>
      <c r="IR12" s="591">
        <v>42264</v>
      </c>
      <c r="IS12" s="591">
        <v>0</v>
      </c>
      <c r="IT12" s="591">
        <v>10000</v>
      </c>
      <c r="IU12" s="591">
        <v>0</v>
      </c>
      <c r="IV12" s="591">
        <v>0</v>
      </c>
      <c r="IW12" s="591">
        <v>6159</v>
      </c>
      <c r="IX12" s="591">
        <v>0</v>
      </c>
      <c r="IY12" s="591">
        <v>0</v>
      </c>
      <c r="IZ12" s="591">
        <v>0</v>
      </c>
      <c r="JA12" s="591">
        <v>0</v>
      </c>
      <c r="JB12" s="591">
        <v>0</v>
      </c>
      <c r="JC12" s="591">
        <v>0</v>
      </c>
      <c r="JD12" s="591">
        <v>0</v>
      </c>
      <c r="JE12" s="591">
        <v>0</v>
      </c>
      <c r="JF12" s="591">
        <v>0</v>
      </c>
      <c r="JG12" s="591">
        <v>0</v>
      </c>
      <c r="JH12" s="591">
        <v>0</v>
      </c>
      <c r="JI12" s="591">
        <v>0</v>
      </c>
      <c r="JJ12" s="591">
        <v>0</v>
      </c>
      <c r="JK12" s="591">
        <v>0</v>
      </c>
      <c r="JL12" s="591">
        <v>0</v>
      </c>
      <c r="JM12" s="591">
        <v>0</v>
      </c>
      <c r="JN12" s="591">
        <v>32469</v>
      </c>
    </row>
    <row r="13" spans="1:274" x14ac:dyDescent="0.25">
      <c r="A13" s="591">
        <v>32570</v>
      </c>
      <c r="B13" s="591">
        <v>15807</v>
      </c>
      <c r="C13" s="591">
        <v>9</v>
      </c>
      <c r="D13" s="591">
        <v>2022</v>
      </c>
      <c r="E13" s="591">
        <v>6159</v>
      </c>
      <c r="F13" s="591">
        <v>0</v>
      </c>
      <c r="G13" s="591">
        <v>746.94</v>
      </c>
      <c r="H13" s="591">
        <v>626.90300000000002</v>
      </c>
      <c r="I13" s="591">
        <v>626.90300000000002</v>
      </c>
      <c r="J13" s="591">
        <v>746.94</v>
      </c>
      <c r="K13" s="591">
        <v>0</v>
      </c>
      <c r="L13" s="591">
        <v>6159</v>
      </c>
      <c r="M13" s="591">
        <v>0</v>
      </c>
      <c r="N13" s="591">
        <v>0</v>
      </c>
      <c r="O13" s="591">
        <v>0</v>
      </c>
      <c r="P13" s="591">
        <v>741.60300000000007</v>
      </c>
      <c r="Q13" s="591">
        <v>0</v>
      </c>
      <c r="R13" s="591">
        <v>298442</v>
      </c>
      <c r="S13" s="591">
        <v>402.428</v>
      </c>
      <c r="T13" s="591">
        <v>0</v>
      </c>
      <c r="U13" s="591">
        <v>0</v>
      </c>
      <c r="V13" s="591">
        <v>75.063000000000002</v>
      </c>
      <c r="W13" s="591">
        <v>46232</v>
      </c>
      <c r="X13" s="591">
        <v>46232</v>
      </c>
      <c r="Y13" s="591">
        <v>0</v>
      </c>
      <c r="Z13" s="591">
        <v>0</v>
      </c>
      <c r="AA13" s="591">
        <v>0</v>
      </c>
      <c r="AB13" s="591">
        <v>0</v>
      </c>
      <c r="AC13" s="591">
        <v>0</v>
      </c>
      <c r="AD13" s="591" t="s">
        <v>316</v>
      </c>
      <c r="AE13" s="591">
        <v>0</v>
      </c>
      <c r="AF13" s="591">
        <v>0</v>
      </c>
      <c r="AG13" s="591">
        <v>0</v>
      </c>
      <c r="AH13" s="591">
        <v>0</v>
      </c>
      <c r="AI13" s="591">
        <v>0</v>
      </c>
      <c r="AJ13" s="591">
        <v>6159</v>
      </c>
      <c r="AK13" s="591" t="s">
        <v>671</v>
      </c>
      <c r="AL13" s="591" t="s">
        <v>39</v>
      </c>
      <c r="AM13" s="591">
        <v>0</v>
      </c>
      <c r="AN13" s="591">
        <v>0</v>
      </c>
      <c r="AO13" s="591">
        <v>0</v>
      </c>
      <c r="AP13" s="591">
        <v>0</v>
      </c>
      <c r="AQ13" s="591">
        <v>0</v>
      </c>
      <c r="AR13" s="591">
        <v>0</v>
      </c>
      <c r="AS13" s="591">
        <v>0</v>
      </c>
      <c r="AT13" s="591">
        <v>0</v>
      </c>
      <c r="AU13" s="591">
        <v>0</v>
      </c>
      <c r="AV13" s="591">
        <v>0</v>
      </c>
      <c r="AW13" s="591">
        <v>8333452</v>
      </c>
      <c r="AX13" s="591">
        <v>8200888</v>
      </c>
      <c r="AY13" s="591">
        <v>0</v>
      </c>
      <c r="AZ13" s="591">
        <v>298442</v>
      </c>
      <c r="BA13" s="591">
        <v>0</v>
      </c>
      <c r="BB13" s="591">
        <v>0</v>
      </c>
      <c r="BC13" s="591">
        <v>0</v>
      </c>
      <c r="BD13" s="591">
        <v>5</v>
      </c>
      <c r="BE13" s="591">
        <v>109</v>
      </c>
      <c r="BF13" s="591">
        <v>7533168</v>
      </c>
      <c r="BG13" s="591">
        <v>0</v>
      </c>
      <c r="BH13" s="591">
        <v>0</v>
      </c>
      <c r="BI13" s="591">
        <v>0</v>
      </c>
      <c r="BJ13" s="591">
        <v>12</v>
      </c>
      <c r="BK13" s="591">
        <v>0</v>
      </c>
      <c r="BL13" s="591">
        <v>0</v>
      </c>
      <c r="BM13" s="591">
        <v>0</v>
      </c>
      <c r="BN13" s="591">
        <v>0</v>
      </c>
      <c r="BO13" s="591">
        <v>0</v>
      </c>
      <c r="BP13" s="591">
        <v>0</v>
      </c>
      <c r="BQ13" s="591">
        <v>673</v>
      </c>
      <c r="BR13" s="591">
        <v>0</v>
      </c>
      <c r="BS13" s="591">
        <v>0</v>
      </c>
      <c r="BT13" s="591">
        <v>0</v>
      </c>
      <c r="BU13" s="591">
        <v>0</v>
      </c>
      <c r="BV13" s="591">
        <v>0</v>
      </c>
      <c r="BW13" s="591">
        <v>0</v>
      </c>
      <c r="BX13" s="591">
        <v>0</v>
      </c>
      <c r="BY13" s="591">
        <v>0</v>
      </c>
      <c r="BZ13" s="591">
        <v>0</v>
      </c>
      <c r="CA13" s="591">
        <v>0</v>
      </c>
      <c r="CB13" s="591">
        <v>0</v>
      </c>
      <c r="CC13" s="591">
        <v>0</v>
      </c>
      <c r="CD13" s="591">
        <v>0</v>
      </c>
      <c r="CE13" s="591">
        <v>0</v>
      </c>
      <c r="CF13" s="591">
        <v>0</v>
      </c>
      <c r="CG13" s="591">
        <v>0</v>
      </c>
      <c r="CH13" s="591">
        <v>135354</v>
      </c>
      <c r="CI13" s="591">
        <v>0</v>
      </c>
      <c r="CJ13" s="591">
        <v>4</v>
      </c>
      <c r="CK13" s="591">
        <v>0</v>
      </c>
      <c r="CL13" s="591">
        <v>0</v>
      </c>
      <c r="CM13" s="591">
        <v>0</v>
      </c>
      <c r="CN13" s="591">
        <v>0</v>
      </c>
      <c r="CO13" s="591">
        <v>1</v>
      </c>
      <c r="CP13" s="591">
        <v>0</v>
      </c>
      <c r="CQ13" s="591">
        <v>0</v>
      </c>
      <c r="CR13" s="591">
        <v>746.94</v>
      </c>
      <c r="CS13" s="591">
        <v>0</v>
      </c>
      <c r="CT13" s="591">
        <v>0</v>
      </c>
      <c r="CU13" s="591">
        <v>0</v>
      </c>
      <c r="CV13" s="591">
        <v>0</v>
      </c>
      <c r="CW13" s="591">
        <v>0</v>
      </c>
      <c r="CX13" s="591">
        <v>0</v>
      </c>
      <c r="CY13" s="591">
        <v>0</v>
      </c>
      <c r="CZ13" s="591">
        <v>0</v>
      </c>
      <c r="DA13" s="591">
        <v>0</v>
      </c>
      <c r="DB13" s="591">
        <v>3788060</v>
      </c>
      <c r="DC13" s="591">
        <v>0</v>
      </c>
      <c r="DD13" s="591">
        <v>0</v>
      </c>
      <c r="DE13" s="591">
        <v>1246598</v>
      </c>
      <c r="DF13" s="591">
        <v>1246598</v>
      </c>
      <c r="DG13" s="591">
        <v>202.4</v>
      </c>
      <c r="DH13" s="591">
        <v>0</v>
      </c>
      <c r="DI13" s="591">
        <v>0</v>
      </c>
      <c r="DJ13" s="591">
        <v>0</v>
      </c>
      <c r="DK13" s="591">
        <v>2397</v>
      </c>
      <c r="DL13" s="591">
        <v>0</v>
      </c>
      <c r="DM13" s="591">
        <v>775950</v>
      </c>
      <c r="DN13" s="591">
        <v>2682</v>
      </c>
      <c r="DO13" s="591">
        <v>0</v>
      </c>
      <c r="DP13" s="591">
        <v>0</v>
      </c>
      <c r="DQ13" s="591">
        <v>0</v>
      </c>
      <c r="DR13" s="591">
        <v>0</v>
      </c>
      <c r="DS13" s="591">
        <v>0</v>
      </c>
      <c r="DT13" s="591">
        <v>0</v>
      </c>
      <c r="DU13" s="591">
        <v>0</v>
      </c>
      <c r="DV13" s="591">
        <v>0</v>
      </c>
      <c r="DW13" s="591">
        <v>0</v>
      </c>
      <c r="DX13" s="591">
        <v>0</v>
      </c>
      <c r="DY13" s="591">
        <v>0</v>
      </c>
      <c r="DZ13" s="591">
        <v>0</v>
      </c>
      <c r="EA13" s="591">
        <v>0</v>
      </c>
      <c r="EB13" s="591">
        <v>0</v>
      </c>
      <c r="EC13" s="591">
        <v>40.103999999999999</v>
      </c>
      <c r="ED13" s="591">
        <v>284054</v>
      </c>
      <c r="EE13" s="591">
        <v>0</v>
      </c>
      <c r="EF13" s="591">
        <v>0</v>
      </c>
      <c r="EG13" s="591">
        <v>0</v>
      </c>
      <c r="EH13" s="591">
        <v>421491</v>
      </c>
      <c r="EI13" s="591">
        <v>0</v>
      </c>
      <c r="EJ13" s="591">
        <v>0</v>
      </c>
      <c r="EK13" s="591">
        <v>19.875</v>
      </c>
      <c r="EL13" s="591">
        <v>0</v>
      </c>
      <c r="EM13" s="591">
        <v>0.45300000000000001</v>
      </c>
      <c r="EN13" s="591">
        <v>1.49</v>
      </c>
      <c r="EO13" s="591">
        <v>0</v>
      </c>
      <c r="EP13" s="591">
        <v>0</v>
      </c>
      <c r="EQ13" s="591">
        <v>21.818000000000001</v>
      </c>
      <c r="ER13" s="591">
        <v>0</v>
      </c>
      <c r="ES13" s="591">
        <v>68.433999999999997</v>
      </c>
      <c r="ET13" s="591">
        <v>0</v>
      </c>
      <c r="EU13" s="591">
        <v>0</v>
      </c>
      <c r="EV13" s="591">
        <v>0</v>
      </c>
      <c r="EW13" s="591">
        <v>0</v>
      </c>
      <c r="EX13" s="591">
        <v>0</v>
      </c>
      <c r="EY13" s="591">
        <v>0</v>
      </c>
      <c r="EZ13" s="591">
        <v>7261429</v>
      </c>
      <c r="FA13" s="591">
        <v>0</v>
      </c>
      <c r="FB13" s="591">
        <v>7557081</v>
      </c>
      <c r="FC13" s="591">
        <v>0</v>
      </c>
      <c r="FD13" s="591">
        <v>0</v>
      </c>
      <c r="FE13" s="591">
        <v>780299</v>
      </c>
      <c r="FF13" s="591">
        <v>159160</v>
      </c>
      <c r="FG13" s="591">
        <v>6.4728999999999995E-2</v>
      </c>
      <c r="FH13" s="591">
        <v>2.6405999999999999E-2</v>
      </c>
      <c r="FI13" s="591">
        <v>0</v>
      </c>
      <c r="FJ13" s="591">
        <v>0</v>
      </c>
      <c r="FK13" s="591">
        <v>1223.0990000000002</v>
      </c>
      <c r="FL13" s="591">
        <v>8631894</v>
      </c>
      <c r="FM13" s="591">
        <v>0</v>
      </c>
      <c r="FN13" s="591">
        <v>0</v>
      </c>
      <c r="FO13" s="591">
        <v>19557</v>
      </c>
      <c r="FP13" s="591">
        <v>0</v>
      </c>
      <c r="FQ13" s="591">
        <v>19557</v>
      </c>
      <c r="FR13" s="591">
        <v>19557</v>
      </c>
      <c r="FS13" s="591">
        <v>0</v>
      </c>
      <c r="FT13" s="591">
        <v>0</v>
      </c>
      <c r="FU13" s="591">
        <v>0</v>
      </c>
      <c r="FV13" s="591">
        <v>0</v>
      </c>
      <c r="FW13" s="591">
        <v>0</v>
      </c>
      <c r="FX13" s="591">
        <v>0</v>
      </c>
      <c r="FY13" s="591">
        <v>0</v>
      </c>
      <c r="FZ13" s="591">
        <v>0</v>
      </c>
      <c r="GA13" s="591">
        <v>0</v>
      </c>
      <c r="GB13" s="591">
        <v>816668</v>
      </c>
      <c r="GC13" s="591">
        <v>816668</v>
      </c>
      <c r="GD13" s="591">
        <v>98.219000000000008</v>
      </c>
      <c r="GE13" s="591">
        <v>0</v>
      </c>
      <c r="GF13" s="591">
        <v>0</v>
      </c>
      <c r="GG13" s="591">
        <v>0</v>
      </c>
      <c r="GH13" s="591">
        <v>0</v>
      </c>
      <c r="GI13" s="591">
        <v>0</v>
      </c>
      <c r="GJ13" s="591">
        <v>0</v>
      </c>
      <c r="GK13" s="591">
        <v>0</v>
      </c>
      <c r="GL13" s="591">
        <v>0</v>
      </c>
      <c r="GM13" s="591">
        <v>0</v>
      </c>
      <c r="GN13" s="591">
        <v>0</v>
      </c>
      <c r="GO13" s="591">
        <v>0</v>
      </c>
      <c r="GP13" s="591">
        <v>0</v>
      </c>
      <c r="GQ13" s="591">
        <v>0</v>
      </c>
      <c r="GR13" s="591">
        <v>0</v>
      </c>
      <c r="GS13" s="591">
        <v>0</v>
      </c>
      <c r="GT13" s="591">
        <v>0</v>
      </c>
      <c r="GU13" s="591">
        <v>0</v>
      </c>
      <c r="GV13" s="591">
        <v>0</v>
      </c>
      <c r="GW13" s="591">
        <v>0</v>
      </c>
      <c r="GX13" s="591">
        <v>0</v>
      </c>
      <c r="GY13" s="591">
        <v>0</v>
      </c>
      <c r="GZ13" s="591">
        <v>0</v>
      </c>
      <c r="HA13" s="591">
        <v>0</v>
      </c>
      <c r="HB13" s="591">
        <v>260009272</v>
      </c>
      <c r="HC13" s="591">
        <v>5.1774999999999995E-2</v>
      </c>
      <c r="HD13" s="591">
        <v>135354</v>
      </c>
      <c r="HE13" s="591">
        <v>0</v>
      </c>
      <c r="HF13" s="591">
        <v>688966</v>
      </c>
      <c r="HG13" s="591">
        <v>19093</v>
      </c>
      <c r="HH13" s="591">
        <v>141659</v>
      </c>
      <c r="HI13" s="591">
        <v>0</v>
      </c>
      <c r="HJ13" s="591">
        <v>7260</v>
      </c>
      <c r="HK13" s="591">
        <v>3124</v>
      </c>
      <c r="HL13" s="591">
        <v>4022</v>
      </c>
      <c r="HM13" s="591">
        <v>0</v>
      </c>
      <c r="HN13" s="591">
        <v>0</v>
      </c>
      <c r="HO13" s="591">
        <v>0</v>
      </c>
      <c r="HP13" s="591">
        <v>0</v>
      </c>
      <c r="HQ13" s="591">
        <v>0</v>
      </c>
      <c r="HR13" s="591">
        <v>0</v>
      </c>
      <c r="HS13" s="591">
        <v>7258639</v>
      </c>
      <c r="HT13" s="591">
        <v>0</v>
      </c>
      <c r="HU13" s="591">
        <v>0</v>
      </c>
      <c r="HV13" s="591">
        <v>0</v>
      </c>
      <c r="HW13" s="591">
        <v>0</v>
      </c>
      <c r="HX13" s="591">
        <v>128</v>
      </c>
      <c r="HY13" s="591">
        <v>160</v>
      </c>
      <c r="HZ13" s="591">
        <v>106</v>
      </c>
      <c r="IA13" s="591">
        <v>160</v>
      </c>
      <c r="IB13" s="591">
        <v>244</v>
      </c>
      <c r="IC13" s="591">
        <v>711</v>
      </c>
      <c r="ID13" s="591">
        <v>0</v>
      </c>
      <c r="IE13" s="591">
        <v>0</v>
      </c>
      <c r="IF13" s="591">
        <v>0</v>
      </c>
      <c r="IG13" s="591">
        <v>31</v>
      </c>
      <c r="IH13" s="591">
        <v>230</v>
      </c>
      <c r="II13" s="591">
        <v>0</v>
      </c>
      <c r="IJ13" s="591">
        <v>75.063000000000002</v>
      </c>
      <c r="IK13" s="591">
        <v>0</v>
      </c>
      <c r="IL13" s="591">
        <v>0</v>
      </c>
      <c r="IM13" s="591">
        <v>0</v>
      </c>
      <c r="IN13" s="591">
        <v>0</v>
      </c>
      <c r="IO13" s="591">
        <v>0</v>
      </c>
      <c r="IP13" s="591">
        <v>0</v>
      </c>
      <c r="IQ13" s="591">
        <v>75.063000000000002</v>
      </c>
      <c r="IR13" s="591">
        <v>46232</v>
      </c>
      <c r="IS13" s="591">
        <v>0</v>
      </c>
      <c r="IT13" s="591">
        <v>0</v>
      </c>
      <c r="IU13" s="591">
        <v>0</v>
      </c>
      <c r="IV13" s="591">
        <v>0</v>
      </c>
      <c r="IW13" s="591">
        <v>6159</v>
      </c>
      <c r="IX13" s="591">
        <v>0</v>
      </c>
      <c r="IY13" s="591">
        <v>0</v>
      </c>
      <c r="IZ13" s="591">
        <v>0</v>
      </c>
      <c r="JA13" s="591">
        <v>0</v>
      </c>
      <c r="JB13" s="591">
        <v>0</v>
      </c>
      <c r="JC13" s="591">
        <v>0</v>
      </c>
      <c r="JD13" s="591">
        <v>0</v>
      </c>
      <c r="JE13" s="591">
        <v>0</v>
      </c>
      <c r="JF13" s="591">
        <v>0</v>
      </c>
      <c r="JG13" s="591">
        <v>0</v>
      </c>
      <c r="JH13" s="591">
        <v>0</v>
      </c>
      <c r="JI13" s="591">
        <v>0</v>
      </c>
      <c r="JJ13" s="591">
        <v>0</v>
      </c>
      <c r="JK13" s="591">
        <v>0</v>
      </c>
      <c r="JL13" s="591">
        <v>0</v>
      </c>
      <c r="JM13" s="591">
        <v>0</v>
      </c>
      <c r="JN13" s="591">
        <v>32469</v>
      </c>
    </row>
    <row r="14" spans="1:274" x14ac:dyDescent="0.25">
      <c r="A14" s="591">
        <v>32570</v>
      </c>
      <c r="B14" s="591">
        <v>15808</v>
      </c>
      <c r="C14" s="591">
        <v>9</v>
      </c>
      <c r="D14" s="591">
        <v>2022</v>
      </c>
      <c r="E14" s="591">
        <v>6159</v>
      </c>
      <c r="F14" s="591">
        <v>0</v>
      </c>
      <c r="G14" s="591">
        <v>544.20299999999997</v>
      </c>
      <c r="H14" s="591">
        <v>478.71900000000005</v>
      </c>
      <c r="I14" s="591">
        <v>478.71900000000005</v>
      </c>
      <c r="J14" s="591">
        <v>544.20299999999997</v>
      </c>
      <c r="K14" s="591">
        <v>0</v>
      </c>
      <c r="L14" s="591">
        <v>6159</v>
      </c>
      <c r="M14" s="591">
        <v>0</v>
      </c>
      <c r="N14" s="591">
        <v>0</v>
      </c>
      <c r="O14" s="591">
        <v>0</v>
      </c>
      <c r="P14" s="591">
        <v>525.74700000000007</v>
      </c>
      <c r="Q14" s="591">
        <v>0</v>
      </c>
      <c r="R14" s="591">
        <v>211575</v>
      </c>
      <c r="S14" s="591">
        <v>402.428</v>
      </c>
      <c r="T14" s="591">
        <v>0</v>
      </c>
      <c r="U14" s="591">
        <v>0</v>
      </c>
      <c r="V14" s="591">
        <v>14.69</v>
      </c>
      <c r="W14" s="591">
        <v>9048</v>
      </c>
      <c r="X14" s="591">
        <v>9048</v>
      </c>
      <c r="Y14" s="591">
        <v>0</v>
      </c>
      <c r="Z14" s="591">
        <v>0</v>
      </c>
      <c r="AA14" s="591">
        <v>0</v>
      </c>
      <c r="AB14" s="591">
        <v>0</v>
      </c>
      <c r="AC14" s="591">
        <v>0</v>
      </c>
      <c r="AD14" s="591" t="s">
        <v>316</v>
      </c>
      <c r="AE14" s="591">
        <v>0</v>
      </c>
      <c r="AF14" s="591">
        <v>0</v>
      </c>
      <c r="AG14" s="591">
        <v>0</v>
      </c>
      <c r="AH14" s="591">
        <v>0</v>
      </c>
      <c r="AI14" s="591">
        <v>0</v>
      </c>
      <c r="AJ14" s="591">
        <v>6159</v>
      </c>
      <c r="AK14" s="591" t="s">
        <v>671</v>
      </c>
      <c r="AL14" s="591" t="s">
        <v>444</v>
      </c>
      <c r="AM14" s="591">
        <v>0</v>
      </c>
      <c r="AN14" s="591">
        <v>0</v>
      </c>
      <c r="AO14" s="591">
        <v>0</v>
      </c>
      <c r="AP14" s="591">
        <v>0</v>
      </c>
      <c r="AQ14" s="591">
        <v>0</v>
      </c>
      <c r="AR14" s="591">
        <v>0</v>
      </c>
      <c r="AS14" s="591">
        <v>0</v>
      </c>
      <c r="AT14" s="591">
        <v>0</v>
      </c>
      <c r="AU14" s="591">
        <v>0</v>
      </c>
      <c r="AV14" s="591">
        <v>0</v>
      </c>
      <c r="AW14" s="591">
        <v>6722936</v>
      </c>
      <c r="AX14" s="591">
        <v>6629575</v>
      </c>
      <c r="AY14" s="591">
        <v>0</v>
      </c>
      <c r="AZ14" s="591">
        <v>211575</v>
      </c>
      <c r="BA14" s="591">
        <v>0</v>
      </c>
      <c r="BB14" s="591">
        <v>0</v>
      </c>
      <c r="BC14" s="591">
        <v>0</v>
      </c>
      <c r="BD14" s="591">
        <v>0</v>
      </c>
      <c r="BE14" s="591">
        <v>88</v>
      </c>
      <c r="BF14" s="591">
        <v>5981642</v>
      </c>
      <c r="BG14" s="591">
        <v>0</v>
      </c>
      <c r="BH14" s="591">
        <v>0</v>
      </c>
      <c r="BI14" s="591">
        <v>0</v>
      </c>
      <c r="BJ14" s="591">
        <v>12</v>
      </c>
      <c r="BK14" s="591">
        <v>0</v>
      </c>
      <c r="BL14" s="591">
        <v>0</v>
      </c>
      <c r="BM14" s="591">
        <v>0</v>
      </c>
      <c r="BN14" s="591">
        <v>0</v>
      </c>
      <c r="BO14" s="591">
        <v>0</v>
      </c>
      <c r="BP14" s="591">
        <v>0</v>
      </c>
      <c r="BQ14" s="591">
        <v>696</v>
      </c>
      <c r="BR14" s="591">
        <v>0</v>
      </c>
      <c r="BS14" s="591">
        <v>0</v>
      </c>
      <c r="BT14" s="591">
        <v>0</v>
      </c>
      <c r="BU14" s="591">
        <v>0</v>
      </c>
      <c r="BV14" s="591">
        <v>0</v>
      </c>
      <c r="BW14" s="591">
        <v>0</v>
      </c>
      <c r="BX14" s="591">
        <v>0</v>
      </c>
      <c r="BY14" s="591">
        <v>0</v>
      </c>
      <c r="BZ14" s="591">
        <v>0</v>
      </c>
      <c r="CA14" s="591">
        <v>0</v>
      </c>
      <c r="CB14" s="591">
        <v>0</v>
      </c>
      <c r="CC14" s="591">
        <v>0</v>
      </c>
      <c r="CD14" s="591">
        <v>0</v>
      </c>
      <c r="CE14" s="591">
        <v>0</v>
      </c>
      <c r="CF14" s="591">
        <v>0</v>
      </c>
      <c r="CG14" s="591">
        <v>0</v>
      </c>
      <c r="CH14" s="591">
        <v>98615</v>
      </c>
      <c r="CI14" s="591">
        <v>0</v>
      </c>
      <c r="CJ14" s="591">
        <v>4</v>
      </c>
      <c r="CK14" s="591">
        <v>0</v>
      </c>
      <c r="CL14" s="591">
        <v>0</v>
      </c>
      <c r="CM14" s="591">
        <v>0</v>
      </c>
      <c r="CN14" s="591">
        <v>0</v>
      </c>
      <c r="CO14" s="591">
        <v>1</v>
      </c>
      <c r="CP14" s="591">
        <v>0</v>
      </c>
      <c r="CQ14" s="591">
        <v>0</v>
      </c>
      <c r="CR14" s="591">
        <v>544.20299999999997</v>
      </c>
      <c r="CS14" s="591">
        <v>0</v>
      </c>
      <c r="CT14" s="591">
        <v>0</v>
      </c>
      <c r="CU14" s="591">
        <v>0</v>
      </c>
      <c r="CV14" s="591">
        <v>0</v>
      </c>
      <c r="CW14" s="591">
        <v>0</v>
      </c>
      <c r="CX14" s="591">
        <v>0</v>
      </c>
      <c r="CY14" s="591">
        <v>0</v>
      </c>
      <c r="CZ14" s="591">
        <v>0</v>
      </c>
      <c r="DA14" s="591">
        <v>0</v>
      </c>
      <c r="DB14" s="591">
        <v>280438</v>
      </c>
      <c r="DC14" s="591">
        <v>0</v>
      </c>
      <c r="DD14" s="591">
        <v>0</v>
      </c>
      <c r="DE14" s="591">
        <v>952425</v>
      </c>
      <c r="DF14" s="591">
        <v>952425</v>
      </c>
      <c r="DG14" s="591">
        <v>154.63800000000001</v>
      </c>
      <c r="DH14" s="591">
        <v>0</v>
      </c>
      <c r="DI14" s="591">
        <v>0</v>
      </c>
      <c r="DJ14" s="591">
        <v>0</v>
      </c>
      <c r="DK14" s="591">
        <v>2762</v>
      </c>
      <c r="DL14" s="591">
        <v>0</v>
      </c>
      <c r="DM14" s="591">
        <v>4021939</v>
      </c>
      <c r="DN14" s="591">
        <v>5166</v>
      </c>
      <c r="DO14" s="591">
        <v>0</v>
      </c>
      <c r="DP14" s="591">
        <v>0</v>
      </c>
      <c r="DQ14" s="591">
        <v>0</v>
      </c>
      <c r="DR14" s="591">
        <v>0</v>
      </c>
      <c r="DS14" s="591">
        <v>0</v>
      </c>
      <c r="DT14" s="591">
        <v>0</v>
      </c>
      <c r="DU14" s="591">
        <v>0</v>
      </c>
      <c r="DV14" s="591">
        <v>0</v>
      </c>
      <c r="DW14" s="591">
        <v>0</v>
      </c>
      <c r="DX14" s="591">
        <v>0</v>
      </c>
      <c r="DY14" s="591">
        <v>0</v>
      </c>
      <c r="DZ14" s="591">
        <v>0</v>
      </c>
      <c r="EA14" s="591">
        <v>0.22900000000000001</v>
      </c>
      <c r="EB14" s="591">
        <v>0</v>
      </c>
      <c r="EC14" s="591">
        <v>37.117000000000004</v>
      </c>
      <c r="ED14" s="591">
        <v>262898</v>
      </c>
      <c r="EE14" s="591">
        <v>0</v>
      </c>
      <c r="EF14" s="591">
        <v>0</v>
      </c>
      <c r="EG14" s="591">
        <v>0</v>
      </c>
      <c r="EH14" s="591">
        <v>184532</v>
      </c>
      <c r="EI14" s="591">
        <v>911643</v>
      </c>
      <c r="EJ14" s="591">
        <v>37.004000000000005</v>
      </c>
      <c r="EK14" s="591">
        <v>8.1120000000000001</v>
      </c>
      <c r="EL14" s="591">
        <v>0</v>
      </c>
      <c r="EM14" s="591">
        <v>0</v>
      </c>
      <c r="EN14" s="591">
        <v>0.89600000000000002</v>
      </c>
      <c r="EO14" s="591">
        <v>0</v>
      </c>
      <c r="EP14" s="591">
        <v>0</v>
      </c>
      <c r="EQ14" s="591">
        <v>46.241</v>
      </c>
      <c r="ER14" s="591">
        <v>0</v>
      </c>
      <c r="ES14" s="591">
        <v>29.961000000000002</v>
      </c>
      <c r="ET14" s="591">
        <v>0</v>
      </c>
      <c r="EU14" s="591">
        <v>0</v>
      </c>
      <c r="EV14" s="591">
        <v>0</v>
      </c>
      <c r="EW14" s="591">
        <v>0</v>
      </c>
      <c r="EX14" s="591">
        <v>0</v>
      </c>
      <c r="EY14" s="591">
        <v>0</v>
      </c>
      <c r="EZ14" s="591">
        <v>5883606</v>
      </c>
      <c r="FA14" s="591">
        <v>0</v>
      </c>
      <c r="FB14" s="591">
        <v>6089927</v>
      </c>
      <c r="FC14" s="591">
        <v>0</v>
      </c>
      <c r="FD14" s="591">
        <v>0</v>
      </c>
      <c r="FE14" s="591">
        <v>619589</v>
      </c>
      <c r="FF14" s="591">
        <v>126380</v>
      </c>
      <c r="FG14" s="591">
        <v>6.4728999999999995E-2</v>
      </c>
      <c r="FH14" s="591">
        <v>2.6405999999999999E-2</v>
      </c>
      <c r="FI14" s="591">
        <v>0</v>
      </c>
      <c r="FJ14" s="591">
        <v>0</v>
      </c>
      <c r="FK14" s="591">
        <v>971.19</v>
      </c>
      <c r="FL14" s="591">
        <v>6934511</v>
      </c>
      <c r="FM14" s="591">
        <v>0</v>
      </c>
      <c r="FN14" s="591">
        <v>0</v>
      </c>
      <c r="FO14" s="591">
        <v>0</v>
      </c>
      <c r="FP14" s="591">
        <v>0</v>
      </c>
      <c r="FQ14" s="591">
        <v>0</v>
      </c>
      <c r="FR14" s="591">
        <v>0</v>
      </c>
      <c r="FS14" s="591">
        <v>0</v>
      </c>
      <c r="FT14" s="591">
        <v>0</v>
      </c>
      <c r="FU14" s="591">
        <v>0</v>
      </c>
      <c r="FV14" s="591">
        <v>0</v>
      </c>
      <c r="FW14" s="591">
        <v>0</v>
      </c>
      <c r="FX14" s="591">
        <v>0</v>
      </c>
      <c r="FY14" s="591">
        <v>0</v>
      </c>
      <c r="FZ14" s="591">
        <v>0</v>
      </c>
      <c r="GA14" s="591">
        <v>0</v>
      </c>
      <c r="GB14" s="591">
        <v>160001</v>
      </c>
      <c r="GC14" s="591">
        <v>160001</v>
      </c>
      <c r="GD14" s="591">
        <v>19.243000000000002</v>
      </c>
      <c r="GE14" s="591">
        <v>0</v>
      </c>
      <c r="GF14" s="591">
        <v>0</v>
      </c>
      <c r="GG14" s="591">
        <v>0</v>
      </c>
      <c r="GH14" s="591">
        <v>0</v>
      </c>
      <c r="GI14" s="591">
        <v>0</v>
      </c>
      <c r="GJ14" s="591">
        <v>0</v>
      </c>
      <c r="GK14" s="591">
        <v>0</v>
      </c>
      <c r="GL14" s="591">
        <v>0</v>
      </c>
      <c r="GM14" s="591">
        <v>0</v>
      </c>
      <c r="GN14" s="591">
        <v>0</v>
      </c>
      <c r="GO14" s="591">
        <v>0</v>
      </c>
      <c r="GP14" s="591">
        <v>0</v>
      </c>
      <c r="GQ14" s="591">
        <v>0</v>
      </c>
      <c r="GR14" s="591">
        <v>0</v>
      </c>
      <c r="GS14" s="591">
        <v>0</v>
      </c>
      <c r="GT14" s="591">
        <v>0</v>
      </c>
      <c r="GU14" s="591">
        <v>0</v>
      </c>
      <c r="GV14" s="591">
        <v>0</v>
      </c>
      <c r="GW14" s="591">
        <v>0</v>
      </c>
      <c r="GX14" s="591">
        <v>0</v>
      </c>
      <c r="GY14" s="591">
        <v>0</v>
      </c>
      <c r="GZ14" s="591">
        <v>0</v>
      </c>
      <c r="HA14" s="591">
        <v>0</v>
      </c>
      <c r="HB14" s="591">
        <v>260009272</v>
      </c>
      <c r="HC14" s="591">
        <v>5.1774999999999995E-2</v>
      </c>
      <c r="HD14" s="591">
        <v>98615</v>
      </c>
      <c r="HE14" s="591">
        <v>0</v>
      </c>
      <c r="HF14" s="591">
        <v>526112</v>
      </c>
      <c r="HG14" s="591">
        <v>7057</v>
      </c>
      <c r="HH14" s="591">
        <v>14166</v>
      </c>
      <c r="HI14" s="591">
        <v>0</v>
      </c>
      <c r="HJ14" s="591">
        <v>5290</v>
      </c>
      <c r="HK14" s="591">
        <v>4253</v>
      </c>
      <c r="HL14" s="591">
        <v>1200</v>
      </c>
      <c r="HM14" s="591">
        <v>0</v>
      </c>
      <c r="HN14" s="591">
        <v>0</v>
      </c>
      <c r="HO14" s="591">
        <v>0</v>
      </c>
      <c r="HP14" s="591">
        <v>108086</v>
      </c>
      <c r="HQ14" s="591">
        <v>0</v>
      </c>
      <c r="HR14" s="591">
        <v>0</v>
      </c>
      <c r="HS14" s="591">
        <v>5878352</v>
      </c>
      <c r="HT14" s="591">
        <v>0</v>
      </c>
      <c r="HU14" s="591">
        <v>0</v>
      </c>
      <c r="HV14" s="591">
        <v>0</v>
      </c>
      <c r="HW14" s="591">
        <v>0</v>
      </c>
      <c r="HX14" s="591">
        <v>66</v>
      </c>
      <c r="HY14" s="591">
        <v>33</v>
      </c>
      <c r="HZ14" s="591">
        <v>151</v>
      </c>
      <c r="IA14" s="591">
        <v>10</v>
      </c>
      <c r="IB14" s="591">
        <v>333</v>
      </c>
      <c r="IC14" s="591">
        <v>305</v>
      </c>
      <c r="ID14" s="591">
        <v>0</v>
      </c>
      <c r="IE14" s="591">
        <v>0</v>
      </c>
      <c r="IF14" s="591">
        <v>0</v>
      </c>
      <c r="IG14" s="591">
        <v>11.458</v>
      </c>
      <c r="IH14" s="591">
        <v>23</v>
      </c>
      <c r="II14" s="591">
        <v>393.03900000000004</v>
      </c>
      <c r="IJ14" s="591">
        <v>14.69</v>
      </c>
      <c r="IK14" s="591">
        <v>0</v>
      </c>
      <c r="IL14" s="591">
        <v>0</v>
      </c>
      <c r="IM14" s="591">
        <v>0</v>
      </c>
      <c r="IN14" s="591">
        <v>0</v>
      </c>
      <c r="IO14" s="591">
        <v>0</v>
      </c>
      <c r="IP14" s="591">
        <v>393.03900000000004</v>
      </c>
      <c r="IQ14" s="591">
        <v>14.69</v>
      </c>
      <c r="IR14" s="591">
        <v>9048</v>
      </c>
      <c r="IS14" s="591">
        <v>0</v>
      </c>
      <c r="IT14" s="591">
        <v>0</v>
      </c>
      <c r="IU14" s="591">
        <v>0</v>
      </c>
      <c r="IV14" s="591">
        <v>0</v>
      </c>
      <c r="IW14" s="591">
        <v>6159</v>
      </c>
      <c r="IX14" s="591">
        <v>0</v>
      </c>
      <c r="IY14" s="591">
        <v>0</v>
      </c>
      <c r="IZ14" s="591">
        <v>108086</v>
      </c>
      <c r="JA14" s="591">
        <v>0</v>
      </c>
      <c r="JB14" s="591">
        <v>0</v>
      </c>
      <c r="JC14" s="591">
        <v>0</v>
      </c>
      <c r="JD14" s="591">
        <v>0</v>
      </c>
      <c r="JE14" s="591">
        <v>0</v>
      </c>
      <c r="JF14" s="591">
        <v>0</v>
      </c>
      <c r="JG14" s="591">
        <v>0</v>
      </c>
      <c r="JH14" s="591">
        <v>0</v>
      </c>
      <c r="JI14" s="591">
        <v>0</v>
      </c>
      <c r="JJ14" s="591">
        <v>0</v>
      </c>
      <c r="JK14" s="591">
        <v>0</v>
      </c>
      <c r="JL14" s="591">
        <v>0</v>
      </c>
      <c r="JM14" s="591">
        <v>0</v>
      </c>
      <c r="JN14" s="591">
        <v>32469</v>
      </c>
    </row>
    <row r="15" spans="1:274" x14ac:dyDescent="0.25">
      <c r="A15" s="591">
        <v>32570</v>
      </c>
      <c r="B15" s="591">
        <v>15809</v>
      </c>
      <c r="C15" s="591">
        <v>9</v>
      </c>
      <c r="D15" s="591">
        <v>2022</v>
      </c>
      <c r="E15" s="591">
        <v>6159</v>
      </c>
      <c r="F15" s="591">
        <v>0</v>
      </c>
      <c r="G15" s="591">
        <v>228.66200000000001</v>
      </c>
      <c r="H15" s="591">
        <v>218.90800000000002</v>
      </c>
      <c r="I15" s="591">
        <v>218.90800000000002</v>
      </c>
      <c r="J15" s="591">
        <v>228.66200000000001</v>
      </c>
      <c r="K15" s="591">
        <v>0</v>
      </c>
      <c r="L15" s="591">
        <v>6159</v>
      </c>
      <c r="M15" s="591">
        <v>0</v>
      </c>
      <c r="N15" s="591">
        <v>0</v>
      </c>
      <c r="O15" s="591">
        <v>0</v>
      </c>
      <c r="P15" s="591">
        <v>215.19500000000002</v>
      </c>
      <c r="Q15" s="591">
        <v>0</v>
      </c>
      <c r="R15" s="591">
        <v>86600</v>
      </c>
      <c r="S15" s="591">
        <v>402.428</v>
      </c>
      <c r="T15" s="591">
        <v>0</v>
      </c>
      <c r="U15" s="591">
        <v>0</v>
      </c>
      <c r="V15" s="591">
        <v>54.63</v>
      </c>
      <c r="W15" s="591">
        <v>33647</v>
      </c>
      <c r="X15" s="591">
        <v>33647</v>
      </c>
      <c r="Y15" s="591">
        <v>0</v>
      </c>
      <c r="Z15" s="591">
        <v>0</v>
      </c>
      <c r="AA15" s="591">
        <v>0</v>
      </c>
      <c r="AB15" s="591">
        <v>0</v>
      </c>
      <c r="AC15" s="591">
        <v>0</v>
      </c>
      <c r="AD15" s="591" t="s">
        <v>316</v>
      </c>
      <c r="AE15" s="591">
        <v>0</v>
      </c>
      <c r="AF15" s="591">
        <v>0</v>
      </c>
      <c r="AG15" s="591">
        <v>0</v>
      </c>
      <c r="AH15" s="591">
        <v>0</v>
      </c>
      <c r="AI15" s="591">
        <v>0</v>
      </c>
      <c r="AJ15" s="591">
        <v>6159</v>
      </c>
      <c r="AK15" s="591" t="s">
        <v>671</v>
      </c>
      <c r="AL15" s="591" t="s">
        <v>38</v>
      </c>
      <c r="AM15" s="591">
        <v>0</v>
      </c>
      <c r="AN15" s="591">
        <v>0</v>
      </c>
      <c r="AO15" s="591">
        <v>0</v>
      </c>
      <c r="AP15" s="591">
        <v>0</v>
      </c>
      <c r="AQ15" s="591">
        <v>0</v>
      </c>
      <c r="AR15" s="591">
        <v>0</v>
      </c>
      <c r="AS15" s="591">
        <v>0</v>
      </c>
      <c r="AT15" s="591">
        <v>0</v>
      </c>
      <c r="AU15" s="591">
        <v>0</v>
      </c>
      <c r="AV15" s="591">
        <v>0</v>
      </c>
      <c r="AW15" s="591">
        <v>2793633</v>
      </c>
      <c r="AX15" s="591">
        <v>2753016</v>
      </c>
      <c r="AY15" s="591">
        <v>0</v>
      </c>
      <c r="AZ15" s="591">
        <v>86600</v>
      </c>
      <c r="BA15" s="591">
        <v>0</v>
      </c>
      <c r="BB15" s="591">
        <v>0</v>
      </c>
      <c r="BC15" s="591">
        <v>0</v>
      </c>
      <c r="BD15" s="591">
        <v>0</v>
      </c>
      <c r="BE15" s="591">
        <v>36</v>
      </c>
      <c r="BF15" s="591">
        <v>2524754</v>
      </c>
      <c r="BG15" s="591">
        <v>0</v>
      </c>
      <c r="BH15" s="591">
        <v>0</v>
      </c>
      <c r="BI15" s="591">
        <v>0</v>
      </c>
      <c r="BJ15" s="591">
        <v>12</v>
      </c>
      <c r="BK15" s="591">
        <v>0</v>
      </c>
      <c r="BL15" s="591">
        <v>0</v>
      </c>
      <c r="BM15" s="591">
        <v>0</v>
      </c>
      <c r="BN15" s="591">
        <v>0</v>
      </c>
      <c r="BO15" s="591">
        <v>0</v>
      </c>
      <c r="BP15" s="591">
        <v>0</v>
      </c>
      <c r="BQ15" s="591">
        <v>736</v>
      </c>
      <c r="BR15" s="591">
        <v>0</v>
      </c>
      <c r="BS15" s="591">
        <v>0</v>
      </c>
      <c r="BT15" s="591">
        <v>0</v>
      </c>
      <c r="BU15" s="591">
        <v>0</v>
      </c>
      <c r="BV15" s="591">
        <v>0</v>
      </c>
      <c r="BW15" s="591">
        <v>0</v>
      </c>
      <c r="BX15" s="591">
        <v>0</v>
      </c>
      <c r="BY15" s="591">
        <v>0</v>
      </c>
      <c r="BZ15" s="591">
        <v>0</v>
      </c>
      <c r="CA15" s="591">
        <v>0</v>
      </c>
      <c r="CB15" s="591">
        <v>0</v>
      </c>
      <c r="CC15" s="591">
        <v>0</v>
      </c>
      <c r="CD15" s="591">
        <v>0</v>
      </c>
      <c r="CE15" s="591">
        <v>0</v>
      </c>
      <c r="CF15" s="591">
        <v>0</v>
      </c>
      <c r="CG15" s="591">
        <v>0</v>
      </c>
      <c r="CH15" s="591">
        <v>41436</v>
      </c>
      <c r="CI15" s="591">
        <v>0</v>
      </c>
      <c r="CJ15" s="591">
        <v>4</v>
      </c>
      <c r="CK15" s="591">
        <v>0</v>
      </c>
      <c r="CL15" s="591">
        <v>0</v>
      </c>
      <c r="CM15" s="591">
        <v>0</v>
      </c>
      <c r="CN15" s="591">
        <v>0</v>
      </c>
      <c r="CO15" s="591">
        <v>1</v>
      </c>
      <c r="CP15" s="591">
        <v>0</v>
      </c>
      <c r="CQ15" s="591">
        <v>0</v>
      </c>
      <c r="CR15" s="591">
        <v>228.66200000000001</v>
      </c>
      <c r="CS15" s="591">
        <v>0</v>
      </c>
      <c r="CT15" s="591">
        <v>0</v>
      </c>
      <c r="CU15" s="591">
        <v>0</v>
      </c>
      <c r="CV15" s="591">
        <v>0</v>
      </c>
      <c r="CW15" s="591">
        <v>0</v>
      </c>
      <c r="CX15" s="591">
        <v>0</v>
      </c>
      <c r="CY15" s="591">
        <v>0</v>
      </c>
      <c r="CZ15" s="591">
        <v>0</v>
      </c>
      <c r="DA15" s="591">
        <v>0</v>
      </c>
      <c r="DB15" s="591">
        <v>1298498</v>
      </c>
      <c r="DC15" s="591">
        <v>0</v>
      </c>
      <c r="DD15" s="591">
        <v>0</v>
      </c>
      <c r="DE15" s="591">
        <v>573103</v>
      </c>
      <c r="DF15" s="591">
        <v>573103</v>
      </c>
      <c r="DG15" s="591">
        <v>93.05</v>
      </c>
      <c r="DH15" s="591">
        <v>0</v>
      </c>
      <c r="DI15" s="591">
        <v>0</v>
      </c>
      <c r="DJ15" s="591">
        <v>0</v>
      </c>
      <c r="DK15" s="591">
        <v>3402</v>
      </c>
      <c r="DL15" s="591">
        <v>0</v>
      </c>
      <c r="DM15" s="591">
        <v>254793</v>
      </c>
      <c r="DN15" s="591">
        <v>782</v>
      </c>
      <c r="DO15" s="591">
        <v>0</v>
      </c>
      <c r="DP15" s="591">
        <v>0</v>
      </c>
      <c r="DQ15" s="591">
        <v>0</v>
      </c>
      <c r="DR15" s="591">
        <v>0</v>
      </c>
      <c r="DS15" s="591">
        <v>0</v>
      </c>
      <c r="DT15" s="591">
        <v>0</v>
      </c>
      <c r="DU15" s="591">
        <v>0</v>
      </c>
      <c r="DV15" s="591">
        <v>0</v>
      </c>
      <c r="DW15" s="591">
        <v>0</v>
      </c>
      <c r="DX15" s="591">
        <v>0</v>
      </c>
      <c r="DY15" s="591">
        <v>0</v>
      </c>
      <c r="DZ15" s="591">
        <v>0</v>
      </c>
      <c r="EA15" s="591">
        <v>9.9000000000000005E-2</v>
      </c>
      <c r="EB15" s="591">
        <v>0</v>
      </c>
      <c r="EC15" s="591">
        <v>2.5220000000000002</v>
      </c>
      <c r="ED15" s="591">
        <v>17863</v>
      </c>
      <c r="EE15" s="591">
        <v>0</v>
      </c>
      <c r="EF15" s="591">
        <v>0</v>
      </c>
      <c r="EG15" s="591">
        <v>0</v>
      </c>
      <c r="EH15" s="591">
        <v>187938</v>
      </c>
      <c r="EI15" s="591">
        <v>0</v>
      </c>
      <c r="EJ15" s="591">
        <v>0</v>
      </c>
      <c r="EK15" s="591">
        <v>7.5420000000000007</v>
      </c>
      <c r="EL15" s="591">
        <v>0</v>
      </c>
      <c r="EM15" s="591">
        <v>1.5860000000000001</v>
      </c>
      <c r="EN15" s="591">
        <v>0.52700000000000002</v>
      </c>
      <c r="EO15" s="591">
        <v>0</v>
      </c>
      <c r="EP15" s="591">
        <v>0</v>
      </c>
      <c r="EQ15" s="591">
        <v>9.7540000000000013</v>
      </c>
      <c r="ER15" s="591">
        <v>0</v>
      </c>
      <c r="ES15" s="591">
        <v>30.514000000000003</v>
      </c>
      <c r="ET15" s="591">
        <v>0</v>
      </c>
      <c r="EU15" s="591">
        <v>0</v>
      </c>
      <c r="EV15" s="591">
        <v>0</v>
      </c>
      <c r="EW15" s="591">
        <v>0</v>
      </c>
      <c r="EX15" s="591">
        <v>0</v>
      </c>
      <c r="EY15" s="591">
        <v>0</v>
      </c>
      <c r="EZ15" s="591">
        <v>2438154</v>
      </c>
      <c r="FA15" s="591">
        <v>0</v>
      </c>
      <c r="FB15" s="591">
        <v>2523935</v>
      </c>
      <c r="FC15" s="591">
        <v>0</v>
      </c>
      <c r="FD15" s="591">
        <v>0</v>
      </c>
      <c r="FE15" s="591">
        <v>261519</v>
      </c>
      <c r="FF15" s="591">
        <v>53343</v>
      </c>
      <c r="FG15" s="591">
        <v>6.4728999999999995E-2</v>
      </c>
      <c r="FH15" s="591">
        <v>2.6405999999999999E-2</v>
      </c>
      <c r="FI15" s="591">
        <v>0</v>
      </c>
      <c r="FJ15" s="591">
        <v>0</v>
      </c>
      <c r="FK15" s="591">
        <v>409.92400000000004</v>
      </c>
      <c r="FL15" s="591">
        <v>2880233</v>
      </c>
      <c r="FM15" s="591">
        <v>0</v>
      </c>
      <c r="FN15" s="591">
        <v>0</v>
      </c>
      <c r="FO15" s="591">
        <v>0</v>
      </c>
      <c r="FP15" s="591">
        <v>0</v>
      </c>
      <c r="FQ15" s="591">
        <v>0</v>
      </c>
      <c r="FR15" s="591">
        <v>0</v>
      </c>
      <c r="FS15" s="591">
        <v>0</v>
      </c>
      <c r="FT15" s="591">
        <v>0</v>
      </c>
      <c r="FU15" s="591">
        <v>0</v>
      </c>
      <c r="FV15" s="591">
        <v>0</v>
      </c>
      <c r="FW15" s="591">
        <v>0</v>
      </c>
      <c r="FX15" s="591">
        <v>0</v>
      </c>
      <c r="FY15" s="591">
        <v>0</v>
      </c>
      <c r="FZ15" s="591">
        <v>0</v>
      </c>
      <c r="GA15" s="591">
        <v>0</v>
      </c>
      <c r="GB15" s="591">
        <v>0</v>
      </c>
      <c r="GC15" s="591">
        <v>0</v>
      </c>
      <c r="GD15" s="591">
        <v>0</v>
      </c>
      <c r="GE15" s="591">
        <v>0</v>
      </c>
      <c r="GF15" s="591">
        <v>0</v>
      </c>
      <c r="GG15" s="591">
        <v>0</v>
      </c>
      <c r="GH15" s="591">
        <v>0</v>
      </c>
      <c r="GI15" s="591">
        <v>0</v>
      </c>
      <c r="GJ15" s="591">
        <v>0</v>
      </c>
      <c r="GK15" s="591">
        <v>0</v>
      </c>
      <c r="GL15" s="591">
        <v>0</v>
      </c>
      <c r="GM15" s="591">
        <v>0</v>
      </c>
      <c r="GN15" s="591">
        <v>0</v>
      </c>
      <c r="GO15" s="591">
        <v>0</v>
      </c>
      <c r="GP15" s="591">
        <v>0</v>
      </c>
      <c r="GQ15" s="591">
        <v>0</v>
      </c>
      <c r="GR15" s="591">
        <v>0</v>
      </c>
      <c r="GS15" s="591">
        <v>0</v>
      </c>
      <c r="GT15" s="591">
        <v>0</v>
      </c>
      <c r="GU15" s="591">
        <v>0</v>
      </c>
      <c r="GV15" s="591">
        <v>0</v>
      </c>
      <c r="GW15" s="591">
        <v>0</v>
      </c>
      <c r="GX15" s="591">
        <v>0</v>
      </c>
      <c r="GY15" s="591">
        <v>0</v>
      </c>
      <c r="GZ15" s="591">
        <v>0</v>
      </c>
      <c r="HA15" s="591">
        <v>0</v>
      </c>
      <c r="HB15" s="591">
        <v>260009272</v>
      </c>
      <c r="HC15" s="591">
        <v>5.1774999999999995E-2</v>
      </c>
      <c r="HD15" s="591">
        <v>41436</v>
      </c>
      <c r="HE15" s="591">
        <v>0</v>
      </c>
      <c r="HF15" s="591">
        <v>240580</v>
      </c>
      <c r="HG15" s="591">
        <v>10265</v>
      </c>
      <c r="HH15" s="591">
        <v>110863</v>
      </c>
      <c r="HI15" s="591">
        <v>0</v>
      </c>
      <c r="HJ15" s="591">
        <v>2223</v>
      </c>
      <c r="HK15" s="591">
        <v>0</v>
      </c>
      <c r="HL15" s="591">
        <v>0</v>
      </c>
      <c r="HM15" s="591">
        <v>0</v>
      </c>
      <c r="HN15" s="591">
        <v>0</v>
      </c>
      <c r="HO15" s="591">
        <v>0</v>
      </c>
      <c r="HP15" s="591">
        <v>0</v>
      </c>
      <c r="HQ15" s="591">
        <v>0</v>
      </c>
      <c r="HR15" s="591">
        <v>0</v>
      </c>
      <c r="HS15" s="591">
        <v>2437335</v>
      </c>
      <c r="HT15" s="591">
        <v>0</v>
      </c>
      <c r="HU15" s="591">
        <v>0</v>
      </c>
      <c r="HV15" s="591">
        <v>0</v>
      </c>
      <c r="HW15" s="591">
        <v>0</v>
      </c>
      <c r="HX15" s="591">
        <v>14</v>
      </c>
      <c r="HY15" s="591">
        <v>25</v>
      </c>
      <c r="HZ15" s="591">
        <v>49</v>
      </c>
      <c r="IA15" s="591">
        <v>93</v>
      </c>
      <c r="IB15" s="591">
        <v>172</v>
      </c>
      <c r="IC15" s="591">
        <v>264</v>
      </c>
      <c r="ID15" s="591">
        <v>0</v>
      </c>
      <c r="IE15" s="591">
        <v>0</v>
      </c>
      <c r="IF15" s="591">
        <v>0</v>
      </c>
      <c r="IG15" s="591">
        <v>16.666</v>
      </c>
      <c r="IH15" s="591">
        <v>180</v>
      </c>
      <c r="II15" s="591">
        <v>0</v>
      </c>
      <c r="IJ15" s="591">
        <v>54.63</v>
      </c>
      <c r="IK15" s="591">
        <v>0</v>
      </c>
      <c r="IL15" s="591">
        <v>0</v>
      </c>
      <c r="IM15" s="591">
        <v>0</v>
      </c>
      <c r="IN15" s="591">
        <v>0</v>
      </c>
      <c r="IO15" s="591">
        <v>0</v>
      </c>
      <c r="IP15" s="591">
        <v>0</v>
      </c>
      <c r="IQ15" s="591">
        <v>54.63</v>
      </c>
      <c r="IR15" s="591">
        <v>33647</v>
      </c>
      <c r="IS15" s="591">
        <v>0</v>
      </c>
      <c r="IT15" s="591">
        <v>0</v>
      </c>
      <c r="IU15" s="591">
        <v>0</v>
      </c>
      <c r="IV15" s="591">
        <v>0</v>
      </c>
      <c r="IW15" s="591">
        <v>6159</v>
      </c>
      <c r="IX15" s="591">
        <v>0</v>
      </c>
      <c r="IY15" s="591">
        <v>0</v>
      </c>
      <c r="IZ15" s="591">
        <v>0</v>
      </c>
      <c r="JA15" s="591">
        <v>0</v>
      </c>
      <c r="JB15" s="591">
        <v>0</v>
      </c>
      <c r="JC15" s="591">
        <v>0</v>
      </c>
      <c r="JD15" s="591">
        <v>0</v>
      </c>
      <c r="JE15" s="591">
        <v>0</v>
      </c>
      <c r="JF15" s="591">
        <v>0</v>
      </c>
      <c r="JG15" s="591">
        <v>0</v>
      </c>
      <c r="JH15" s="591">
        <v>0</v>
      </c>
      <c r="JI15" s="591">
        <v>0</v>
      </c>
      <c r="JJ15" s="591">
        <v>0</v>
      </c>
      <c r="JK15" s="591">
        <v>0</v>
      </c>
      <c r="JL15" s="591">
        <v>0</v>
      </c>
      <c r="JM15" s="591">
        <v>0</v>
      </c>
      <c r="JN15" s="591">
        <v>32469</v>
      </c>
    </row>
    <row r="16" spans="1:274" x14ac:dyDescent="0.25">
      <c r="A16" s="591">
        <v>32570</v>
      </c>
      <c r="B16" s="591">
        <v>15814</v>
      </c>
      <c r="C16" s="591">
        <v>9</v>
      </c>
      <c r="D16" s="591">
        <v>2022</v>
      </c>
      <c r="E16" s="591">
        <v>6159</v>
      </c>
      <c r="F16" s="591">
        <v>0</v>
      </c>
      <c r="G16" s="591">
        <v>69.022000000000006</v>
      </c>
      <c r="H16" s="591">
        <v>67.963999999999999</v>
      </c>
      <c r="I16" s="591">
        <v>67.963999999999999</v>
      </c>
      <c r="J16" s="591">
        <v>69.022000000000006</v>
      </c>
      <c r="K16" s="591">
        <v>0</v>
      </c>
      <c r="L16" s="591">
        <v>6159</v>
      </c>
      <c r="M16" s="591">
        <v>0</v>
      </c>
      <c r="N16" s="591">
        <v>0</v>
      </c>
      <c r="O16" s="591">
        <v>0</v>
      </c>
      <c r="P16" s="591">
        <v>85.838000000000008</v>
      </c>
      <c r="Q16" s="591">
        <v>0</v>
      </c>
      <c r="R16" s="591">
        <v>34544</v>
      </c>
      <c r="S16" s="591">
        <v>402.428</v>
      </c>
      <c r="T16" s="591">
        <v>0</v>
      </c>
      <c r="U16" s="591">
        <v>0</v>
      </c>
      <c r="V16" s="591">
        <v>3.468</v>
      </c>
      <c r="W16" s="591">
        <v>2136</v>
      </c>
      <c r="X16" s="591">
        <v>2136</v>
      </c>
      <c r="Y16" s="591">
        <v>0</v>
      </c>
      <c r="Z16" s="591">
        <v>0</v>
      </c>
      <c r="AA16" s="591">
        <v>0</v>
      </c>
      <c r="AB16" s="591">
        <v>0</v>
      </c>
      <c r="AC16" s="591">
        <v>0</v>
      </c>
      <c r="AD16" s="591" t="s">
        <v>316</v>
      </c>
      <c r="AE16" s="591">
        <v>0</v>
      </c>
      <c r="AF16" s="591">
        <v>0</v>
      </c>
      <c r="AG16" s="591">
        <v>0</v>
      </c>
      <c r="AH16" s="591">
        <v>0</v>
      </c>
      <c r="AI16" s="591">
        <v>0</v>
      </c>
      <c r="AJ16" s="591">
        <v>6159</v>
      </c>
      <c r="AK16" s="591" t="s">
        <v>671</v>
      </c>
      <c r="AL16" s="591" t="s">
        <v>40</v>
      </c>
      <c r="AM16" s="591">
        <v>0</v>
      </c>
      <c r="AN16" s="591">
        <v>0</v>
      </c>
      <c r="AO16" s="591">
        <v>0</v>
      </c>
      <c r="AP16" s="591">
        <v>0</v>
      </c>
      <c r="AQ16" s="591">
        <v>0</v>
      </c>
      <c r="AR16" s="591">
        <v>0</v>
      </c>
      <c r="AS16" s="591">
        <v>0</v>
      </c>
      <c r="AT16" s="591">
        <v>0</v>
      </c>
      <c r="AU16" s="591">
        <v>0</v>
      </c>
      <c r="AV16" s="591">
        <v>0</v>
      </c>
      <c r="AW16" s="591">
        <v>851870</v>
      </c>
      <c r="AX16" s="591">
        <v>839613</v>
      </c>
      <c r="AY16" s="591">
        <v>0</v>
      </c>
      <c r="AZ16" s="591">
        <v>34544</v>
      </c>
      <c r="BA16" s="591">
        <v>0</v>
      </c>
      <c r="BB16" s="591">
        <v>0</v>
      </c>
      <c r="BC16" s="591">
        <v>0</v>
      </c>
      <c r="BD16" s="591">
        <v>0</v>
      </c>
      <c r="BE16" s="591">
        <v>11</v>
      </c>
      <c r="BF16" s="591">
        <v>769514</v>
      </c>
      <c r="BG16" s="591">
        <v>0</v>
      </c>
      <c r="BH16" s="591">
        <v>0</v>
      </c>
      <c r="BI16" s="591">
        <v>0</v>
      </c>
      <c r="BJ16" s="591">
        <v>12</v>
      </c>
      <c r="BK16" s="591">
        <v>0</v>
      </c>
      <c r="BL16" s="591">
        <v>0</v>
      </c>
      <c r="BM16" s="591">
        <v>0</v>
      </c>
      <c r="BN16" s="591">
        <v>0</v>
      </c>
      <c r="BO16" s="591">
        <v>0</v>
      </c>
      <c r="BP16" s="591">
        <v>0</v>
      </c>
      <c r="BQ16" s="591">
        <v>759</v>
      </c>
      <c r="BR16" s="591">
        <v>0</v>
      </c>
      <c r="BS16" s="591">
        <v>0</v>
      </c>
      <c r="BT16" s="591">
        <v>0</v>
      </c>
      <c r="BU16" s="591">
        <v>0</v>
      </c>
      <c r="BV16" s="591">
        <v>0</v>
      </c>
      <c r="BW16" s="591">
        <v>0</v>
      </c>
      <c r="BX16" s="591">
        <v>0</v>
      </c>
      <c r="BY16" s="591">
        <v>0</v>
      </c>
      <c r="BZ16" s="591">
        <v>0</v>
      </c>
      <c r="CA16" s="591">
        <v>0</v>
      </c>
      <c r="CB16" s="591">
        <v>0</v>
      </c>
      <c r="CC16" s="591">
        <v>0</v>
      </c>
      <c r="CD16" s="591">
        <v>0</v>
      </c>
      <c r="CE16" s="591">
        <v>0</v>
      </c>
      <c r="CF16" s="591">
        <v>0</v>
      </c>
      <c r="CG16" s="591">
        <v>0</v>
      </c>
      <c r="CH16" s="591">
        <v>12508</v>
      </c>
      <c r="CI16" s="591">
        <v>0</v>
      </c>
      <c r="CJ16" s="591">
        <v>4</v>
      </c>
      <c r="CK16" s="591">
        <v>0</v>
      </c>
      <c r="CL16" s="591">
        <v>0</v>
      </c>
      <c r="CM16" s="591">
        <v>0</v>
      </c>
      <c r="CN16" s="591">
        <v>0</v>
      </c>
      <c r="CO16" s="591">
        <v>1</v>
      </c>
      <c r="CP16" s="591">
        <v>5.5E-2</v>
      </c>
      <c r="CQ16" s="591">
        <v>0</v>
      </c>
      <c r="CR16" s="591">
        <v>69.022000000000006</v>
      </c>
      <c r="CS16" s="591">
        <v>0</v>
      </c>
      <c r="CT16" s="591">
        <v>0</v>
      </c>
      <c r="CU16" s="591">
        <v>0</v>
      </c>
      <c r="CV16" s="591">
        <v>0</v>
      </c>
      <c r="CW16" s="591">
        <v>0</v>
      </c>
      <c r="CX16" s="591">
        <v>0</v>
      </c>
      <c r="CY16" s="591">
        <v>0</v>
      </c>
      <c r="CZ16" s="591">
        <v>0</v>
      </c>
      <c r="DA16" s="591">
        <v>0</v>
      </c>
      <c r="DB16" s="591">
        <v>367048</v>
      </c>
      <c r="DC16" s="591">
        <v>0</v>
      </c>
      <c r="DD16" s="591">
        <v>0</v>
      </c>
      <c r="DE16" s="591">
        <v>201094</v>
      </c>
      <c r="DF16" s="591">
        <v>201910</v>
      </c>
      <c r="DG16" s="591">
        <v>32.65</v>
      </c>
      <c r="DH16" s="591">
        <v>0</v>
      </c>
      <c r="DI16" s="591">
        <v>816</v>
      </c>
      <c r="DJ16" s="591">
        <v>0</v>
      </c>
      <c r="DK16" s="591">
        <v>3774</v>
      </c>
      <c r="DL16" s="591">
        <v>0</v>
      </c>
      <c r="DM16" s="591">
        <v>114353</v>
      </c>
      <c r="DN16" s="591">
        <v>240</v>
      </c>
      <c r="DO16" s="591">
        <v>0</v>
      </c>
      <c r="DP16" s="591">
        <v>0</v>
      </c>
      <c r="DQ16" s="591">
        <v>0</v>
      </c>
      <c r="DR16" s="591">
        <v>0</v>
      </c>
      <c r="DS16" s="591">
        <v>0</v>
      </c>
      <c r="DT16" s="591">
        <v>0</v>
      </c>
      <c r="DU16" s="591">
        <v>0</v>
      </c>
      <c r="DV16" s="591">
        <v>0</v>
      </c>
      <c r="DW16" s="591">
        <v>0</v>
      </c>
      <c r="DX16" s="591">
        <v>0</v>
      </c>
      <c r="DY16" s="591">
        <v>0</v>
      </c>
      <c r="DZ16" s="591">
        <v>0</v>
      </c>
      <c r="EA16" s="591">
        <v>0</v>
      </c>
      <c r="EB16" s="591">
        <v>0</v>
      </c>
      <c r="EC16" s="591">
        <v>8.7270000000000003</v>
      </c>
      <c r="ED16" s="591">
        <v>61813</v>
      </c>
      <c r="EE16" s="591">
        <v>0</v>
      </c>
      <c r="EF16" s="591">
        <v>0</v>
      </c>
      <c r="EG16" s="591">
        <v>0</v>
      </c>
      <c r="EH16" s="591">
        <v>1232</v>
      </c>
      <c r="EI16" s="591">
        <v>0</v>
      </c>
      <c r="EJ16" s="591">
        <v>0</v>
      </c>
      <c r="EK16" s="591">
        <v>0</v>
      </c>
      <c r="EL16" s="591">
        <v>0</v>
      </c>
      <c r="EM16" s="591">
        <v>0</v>
      </c>
      <c r="EN16" s="591">
        <v>0.04</v>
      </c>
      <c r="EO16" s="591">
        <v>0</v>
      </c>
      <c r="EP16" s="591">
        <v>0</v>
      </c>
      <c r="EQ16" s="591">
        <v>0.04</v>
      </c>
      <c r="ER16" s="591">
        <v>0</v>
      </c>
      <c r="ES16" s="591">
        <v>0.2</v>
      </c>
      <c r="ET16" s="591">
        <v>0</v>
      </c>
      <c r="EU16" s="591">
        <v>0</v>
      </c>
      <c r="EV16" s="591">
        <v>0</v>
      </c>
      <c r="EW16" s="591">
        <v>0</v>
      </c>
      <c r="EX16" s="591">
        <v>0</v>
      </c>
      <c r="EY16" s="591">
        <v>0</v>
      </c>
      <c r="EZ16" s="591">
        <v>743647</v>
      </c>
      <c r="FA16" s="591">
        <v>0</v>
      </c>
      <c r="FB16" s="591">
        <v>777940</v>
      </c>
      <c r="FC16" s="591">
        <v>0</v>
      </c>
      <c r="FD16" s="591">
        <v>0</v>
      </c>
      <c r="FE16" s="591">
        <v>79708</v>
      </c>
      <c r="FF16" s="591">
        <v>16258</v>
      </c>
      <c r="FG16" s="591">
        <v>6.4728999999999995E-2</v>
      </c>
      <c r="FH16" s="591">
        <v>2.6405999999999999E-2</v>
      </c>
      <c r="FI16" s="591">
        <v>0</v>
      </c>
      <c r="FJ16" s="591">
        <v>0</v>
      </c>
      <c r="FK16" s="591">
        <v>124.94</v>
      </c>
      <c r="FL16" s="591">
        <v>886414</v>
      </c>
      <c r="FM16" s="591">
        <v>0</v>
      </c>
      <c r="FN16" s="591">
        <v>0</v>
      </c>
      <c r="FO16" s="591">
        <v>7049</v>
      </c>
      <c r="FP16" s="591">
        <v>0</v>
      </c>
      <c r="FQ16" s="591">
        <v>7049</v>
      </c>
      <c r="FR16" s="591">
        <v>7049</v>
      </c>
      <c r="FS16" s="591">
        <v>0</v>
      </c>
      <c r="FT16" s="591">
        <v>0</v>
      </c>
      <c r="FU16" s="591">
        <v>0</v>
      </c>
      <c r="FV16" s="591">
        <v>0</v>
      </c>
      <c r="FW16" s="591">
        <v>0</v>
      </c>
      <c r="FX16" s="591">
        <v>0</v>
      </c>
      <c r="FY16" s="591">
        <v>0</v>
      </c>
      <c r="FZ16" s="591">
        <v>0</v>
      </c>
      <c r="GA16" s="591">
        <v>0</v>
      </c>
      <c r="GB16" s="591">
        <v>8464</v>
      </c>
      <c r="GC16" s="591">
        <v>8464</v>
      </c>
      <c r="GD16" s="591">
        <v>1.018</v>
      </c>
      <c r="GE16" s="591">
        <v>0</v>
      </c>
      <c r="GF16" s="591">
        <v>0</v>
      </c>
      <c r="GG16" s="591">
        <v>0</v>
      </c>
      <c r="GH16" s="591">
        <v>0</v>
      </c>
      <c r="GI16" s="591">
        <v>0</v>
      </c>
      <c r="GJ16" s="591">
        <v>0</v>
      </c>
      <c r="GK16" s="591">
        <v>0</v>
      </c>
      <c r="GL16" s="591">
        <v>0</v>
      </c>
      <c r="GM16" s="591">
        <v>0</v>
      </c>
      <c r="GN16" s="591">
        <v>0</v>
      </c>
      <c r="GO16" s="591">
        <v>0</v>
      </c>
      <c r="GP16" s="591">
        <v>0</v>
      </c>
      <c r="GQ16" s="591">
        <v>0</v>
      </c>
      <c r="GR16" s="591">
        <v>0</v>
      </c>
      <c r="GS16" s="591">
        <v>0</v>
      </c>
      <c r="GT16" s="591">
        <v>0</v>
      </c>
      <c r="GU16" s="591">
        <v>0</v>
      </c>
      <c r="GV16" s="591">
        <v>0</v>
      </c>
      <c r="GW16" s="591">
        <v>0</v>
      </c>
      <c r="GX16" s="591">
        <v>0</v>
      </c>
      <c r="GY16" s="591">
        <v>0</v>
      </c>
      <c r="GZ16" s="591">
        <v>0</v>
      </c>
      <c r="HA16" s="591">
        <v>0</v>
      </c>
      <c r="HB16" s="591">
        <v>260009272</v>
      </c>
      <c r="HC16" s="591">
        <v>5.1774999999999995E-2</v>
      </c>
      <c r="HD16" s="591">
        <v>12508</v>
      </c>
      <c r="HE16" s="591">
        <v>0</v>
      </c>
      <c r="HF16" s="591">
        <v>74692</v>
      </c>
      <c r="HG16" s="591">
        <v>0</v>
      </c>
      <c r="HH16" s="591">
        <v>0</v>
      </c>
      <c r="HI16" s="591">
        <v>0</v>
      </c>
      <c r="HJ16" s="591">
        <v>671</v>
      </c>
      <c r="HK16" s="591">
        <v>1426</v>
      </c>
      <c r="HL16" s="591">
        <v>202</v>
      </c>
      <c r="HM16" s="591">
        <v>0</v>
      </c>
      <c r="HN16" s="591">
        <v>0</v>
      </c>
      <c r="HO16" s="591">
        <v>0</v>
      </c>
      <c r="HP16" s="591">
        <v>0</v>
      </c>
      <c r="HQ16" s="591">
        <v>0</v>
      </c>
      <c r="HR16" s="591">
        <v>0</v>
      </c>
      <c r="HS16" s="591">
        <v>743396</v>
      </c>
      <c r="HT16" s="591">
        <v>0</v>
      </c>
      <c r="HU16" s="591">
        <v>0</v>
      </c>
      <c r="HV16" s="591">
        <v>0</v>
      </c>
      <c r="HW16" s="591">
        <v>0</v>
      </c>
      <c r="HX16" s="591">
        <v>8</v>
      </c>
      <c r="HY16" s="591">
        <v>16</v>
      </c>
      <c r="HZ16" s="591">
        <v>23</v>
      </c>
      <c r="IA16" s="591">
        <v>34</v>
      </c>
      <c r="IB16" s="591">
        <v>45</v>
      </c>
      <c r="IC16" s="591">
        <v>95</v>
      </c>
      <c r="ID16" s="591">
        <v>0</v>
      </c>
      <c r="IE16" s="591">
        <v>0</v>
      </c>
      <c r="IF16" s="591">
        <v>0</v>
      </c>
      <c r="IG16" s="591">
        <v>0</v>
      </c>
      <c r="IH16" s="591">
        <v>0</v>
      </c>
      <c r="II16" s="591">
        <v>0</v>
      </c>
      <c r="IJ16" s="591">
        <v>3.468</v>
      </c>
      <c r="IK16" s="591">
        <v>0</v>
      </c>
      <c r="IL16" s="591">
        <v>0</v>
      </c>
      <c r="IM16" s="591">
        <v>0</v>
      </c>
      <c r="IN16" s="591">
        <v>0</v>
      </c>
      <c r="IO16" s="591">
        <v>0</v>
      </c>
      <c r="IP16" s="591">
        <v>0</v>
      </c>
      <c r="IQ16" s="591">
        <v>3.468</v>
      </c>
      <c r="IR16" s="591">
        <v>2136</v>
      </c>
      <c r="IS16" s="591">
        <v>0</v>
      </c>
      <c r="IT16" s="591">
        <v>0</v>
      </c>
      <c r="IU16" s="591">
        <v>0</v>
      </c>
      <c r="IV16" s="591">
        <v>0</v>
      </c>
      <c r="IW16" s="591">
        <v>6159</v>
      </c>
      <c r="IX16" s="591">
        <v>0</v>
      </c>
      <c r="IY16" s="591">
        <v>0</v>
      </c>
      <c r="IZ16" s="591">
        <v>0</v>
      </c>
      <c r="JA16" s="591">
        <v>0</v>
      </c>
      <c r="JB16" s="591">
        <v>0</v>
      </c>
      <c r="JC16" s="591">
        <v>0</v>
      </c>
      <c r="JD16" s="591">
        <v>0</v>
      </c>
      <c r="JE16" s="591">
        <v>0</v>
      </c>
      <c r="JF16" s="591">
        <v>0</v>
      </c>
      <c r="JG16" s="591">
        <v>0</v>
      </c>
      <c r="JH16" s="591">
        <v>0</v>
      </c>
      <c r="JI16" s="591">
        <v>0</v>
      </c>
      <c r="JJ16" s="591">
        <v>0</v>
      </c>
      <c r="JK16" s="591">
        <v>0</v>
      </c>
      <c r="JL16" s="591">
        <v>0</v>
      </c>
      <c r="JM16" s="591">
        <v>0</v>
      </c>
      <c r="JN16" s="591">
        <v>32469</v>
      </c>
    </row>
    <row r="17" spans="1:274" x14ac:dyDescent="0.25">
      <c r="A17" s="591">
        <v>32570</v>
      </c>
      <c r="B17" s="591">
        <v>15815</v>
      </c>
      <c r="C17" s="591">
        <v>9</v>
      </c>
      <c r="D17" s="591">
        <v>2022</v>
      </c>
      <c r="E17" s="591">
        <v>6159</v>
      </c>
      <c r="F17" s="591">
        <v>0</v>
      </c>
      <c r="G17" s="591">
        <v>588.27700000000004</v>
      </c>
      <c r="H17" s="591">
        <v>547.65899999999999</v>
      </c>
      <c r="I17" s="591">
        <v>547.65899999999999</v>
      </c>
      <c r="J17" s="591">
        <v>588.27700000000004</v>
      </c>
      <c r="K17" s="591">
        <v>0</v>
      </c>
      <c r="L17" s="591">
        <v>6159</v>
      </c>
      <c r="M17" s="591">
        <v>0</v>
      </c>
      <c r="N17" s="591">
        <v>0</v>
      </c>
      <c r="O17" s="591">
        <v>0</v>
      </c>
      <c r="P17" s="591">
        <v>567.39600000000007</v>
      </c>
      <c r="Q17" s="591">
        <v>0</v>
      </c>
      <c r="R17" s="591">
        <v>228336</v>
      </c>
      <c r="S17" s="591">
        <v>402.428</v>
      </c>
      <c r="T17" s="591">
        <v>0</v>
      </c>
      <c r="U17" s="591">
        <v>0</v>
      </c>
      <c r="V17" s="591">
        <v>260.91300000000001</v>
      </c>
      <c r="W17" s="591">
        <v>160698</v>
      </c>
      <c r="X17" s="591">
        <v>160698</v>
      </c>
      <c r="Y17" s="591">
        <v>0</v>
      </c>
      <c r="Z17" s="591">
        <v>0</v>
      </c>
      <c r="AA17" s="591">
        <v>0</v>
      </c>
      <c r="AB17" s="591">
        <v>0</v>
      </c>
      <c r="AC17" s="591">
        <v>0</v>
      </c>
      <c r="AD17" s="591" t="s">
        <v>316</v>
      </c>
      <c r="AE17" s="591">
        <v>0</v>
      </c>
      <c r="AF17" s="591">
        <v>0</v>
      </c>
      <c r="AG17" s="591">
        <v>0</v>
      </c>
      <c r="AH17" s="591">
        <v>0</v>
      </c>
      <c r="AI17" s="591">
        <v>0</v>
      </c>
      <c r="AJ17" s="591">
        <v>6159</v>
      </c>
      <c r="AK17" s="591" t="s">
        <v>671</v>
      </c>
      <c r="AL17" s="591" t="s">
        <v>391</v>
      </c>
      <c r="AM17" s="591">
        <v>0</v>
      </c>
      <c r="AN17" s="591">
        <v>0</v>
      </c>
      <c r="AO17" s="591">
        <v>0</v>
      </c>
      <c r="AP17" s="591">
        <v>0</v>
      </c>
      <c r="AQ17" s="591">
        <v>0</v>
      </c>
      <c r="AR17" s="591">
        <v>0</v>
      </c>
      <c r="AS17" s="591">
        <v>0</v>
      </c>
      <c r="AT17" s="591">
        <v>0</v>
      </c>
      <c r="AU17" s="591">
        <v>0</v>
      </c>
      <c r="AV17" s="591">
        <v>0</v>
      </c>
      <c r="AW17" s="591">
        <v>6063593</v>
      </c>
      <c r="AX17" s="591">
        <v>5878935</v>
      </c>
      <c r="AY17" s="591">
        <v>0</v>
      </c>
      <c r="AZ17" s="591">
        <v>228336</v>
      </c>
      <c r="BA17" s="591">
        <v>0</v>
      </c>
      <c r="BB17" s="591">
        <v>0</v>
      </c>
      <c r="BC17" s="591">
        <v>0</v>
      </c>
      <c r="BD17" s="591">
        <v>1.8330000000000002</v>
      </c>
      <c r="BE17" s="591">
        <v>78</v>
      </c>
      <c r="BF17" s="591">
        <v>5425632</v>
      </c>
      <c r="BG17" s="591">
        <v>0</v>
      </c>
      <c r="BH17" s="591">
        <v>0</v>
      </c>
      <c r="BI17" s="591">
        <v>0</v>
      </c>
      <c r="BJ17" s="591">
        <v>12</v>
      </c>
      <c r="BK17" s="591">
        <v>0</v>
      </c>
      <c r="BL17" s="591">
        <v>0</v>
      </c>
      <c r="BM17" s="591">
        <v>0</v>
      </c>
      <c r="BN17" s="591">
        <v>0</v>
      </c>
      <c r="BO17" s="591">
        <v>0</v>
      </c>
      <c r="BP17" s="591">
        <v>0</v>
      </c>
      <c r="BQ17" s="591">
        <v>686</v>
      </c>
      <c r="BR17" s="591">
        <v>0</v>
      </c>
      <c r="BS17" s="591">
        <v>0</v>
      </c>
      <c r="BT17" s="591">
        <v>0</v>
      </c>
      <c r="BU17" s="591">
        <v>0</v>
      </c>
      <c r="BV17" s="591">
        <v>0</v>
      </c>
      <c r="BW17" s="591">
        <v>0</v>
      </c>
      <c r="BX17" s="591">
        <v>0</v>
      </c>
      <c r="BY17" s="591">
        <v>0</v>
      </c>
      <c r="BZ17" s="591">
        <v>0</v>
      </c>
      <c r="CA17" s="591">
        <v>0</v>
      </c>
      <c r="CB17" s="591">
        <v>0</v>
      </c>
      <c r="CC17" s="591">
        <v>0</v>
      </c>
      <c r="CD17" s="591">
        <v>0</v>
      </c>
      <c r="CE17" s="591">
        <v>0</v>
      </c>
      <c r="CF17" s="591">
        <v>0</v>
      </c>
      <c r="CG17" s="591">
        <v>0</v>
      </c>
      <c r="CH17" s="591">
        <v>186290</v>
      </c>
      <c r="CI17" s="591">
        <v>0</v>
      </c>
      <c r="CJ17" s="591">
        <v>4</v>
      </c>
      <c r="CK17" s="591">
        <v>0</v>
      </c>
      <c r="CL17" s="591">
        <v>0</v>
      </c>
      <c r="CM17" s="591">
        <v>0</v>
      </c>
      <c r="CN17" s="591">
        <v>0</v>
      </c>
      <c r="CO17" s="591">
        <v>1</v>
      </c>
      <c r="CP17" s="591">
        <v>0</v>
      </c>
      <c r="CQ17" s="591">
        <v>0</v>
      </c>
      <c r="CR17" s="591">
        <v>588.27700000000004</v>
      </c>
      <c r="CS17" s="591">
        <v>0</v>
      </c>
      <c r="CT17" s="591">
        <v>0</v>
      </c>
      <c r="CU17" s="591">
        <v>0</v>
      </c>
      <c r="CV17" s="591">
        <v>0</v>
      </c>
      <c r="CW17" s="591">
        <v>0</v>
      </c>
      <c r="CX17" s="591">
        <v>0</v>
      </c>
      <c r="CY17" s="591">
        <v>0</v>
      </c>
      <c r="CZ17" s="591">
        <v>0</v>
      </c>
      <c r="DA17" s="591">
        <v>0</v>
      </c>
      <c r="DB17" s="591">
        <v>3373077</v>
      </c>
      <c r="DC17" s="591">
        <v>0</v>
      </c>
      <c r="DD17" s="591">
        <v>0</v>
      </c>
      <c r="DE17" s="591">
        <v>594813</v>
      </c>
      <c r="DF17" s="591">
        <v>594813</v>
      </c>
      <c r="DG17" s="591">
        <v>96.575000000000003</v>
      </c>
      <c r="DH17" s="591">
        <v>0</v>
      </c>
      <c r="DI17" s="591">
        <v>0</v>
      </c>
      <c r="DJ17" s="591">
        <v>0</v>
      </c>
      <c r="DK17" s="591">
        <v>2593</v>
      </c>
      <c r="DL17" s="591">
        <v>0</v>
      </c>
      <c r="DM17" s="591">
        <v>407394</v>
      </c>
      <c r="DN17" s="591">
        <v>1554</v>
      </c>
      <c r="DO17" s="591">
        <v>0</v>
      </c>
      <c r="DP17" s="591">
        <v>0</v>
      </c>
      <c r="DQ17" s="591">
        <v>0</v>
      </c>
      <c r="DR17" s="591">
        <v>0</v>
      </c>
      <c r="DS17" s="591">
        <v>0</v>
      </c>
      <c r="DT17" s="591">
        <v>0</v>
      </c>
      <c r="DU17" s="591">
        <v>0</v>
      </c>
      <c r="DV17" s="591">
        <v>0</v>
      </c>
      <c r="DW17" s="591">
        <v>0</v>
      </c>
      <c r="DX17" s="591">
        <v>0</v>
      </c>
      <c r="DY17" s="591">
        <v>0</v>
      </c>
      <c r="DZ17" s="591">
        <v>0</v>
      </c>
      <c r="EA17" s="591">
        <v>0</v>
      </c>
      <c r="EB17" s="591">
        <v>0</v>
      </c>
      <c r="EC17" s="591">
        <v>20.637</v>
      </c>
      <c r="ED17" s="591">
        <v>146171</v>
      </c>
      <c r="EE17" s="591">
        <v>0</v>
      </c>
      <c r="EF17" s="591">
        <v>0</v>
      </c>
      <c r="EG17" s="591">
        <v>0</v>
      </c>
      <c r="EH17" s="591">
        <v>262777</v>
      </c>
      <c r="EI17" s="591">
        <v>0</v>
      </c>
      <c r="EJ17" s="591">
        <v>0</v>
      </c>
      <c r="EK17" s="591">
        <v>10.712</v>
      </c>
      <c r="EL17" s="591">
        <v>0</v>
      </c>
      <c r="EM17" s="591">
        <v>2.238</v>
      </c>
      <c r="EN17" s="591">
        <v>0.76300000000000001</v>
      </c>
      <c r="EO17" s="591">
        <v>0</v>
      </c>
      <c r="EP17" s="591">
        <v>0</v>
      </c>
      <c r="EQ17" s="591">
        <v>13.713000000000001</v>
      </c>
      <c r="ER17" s="591">
        <v>0</v>
      </c>
      <c r="ES17" s="591">
        <v>42.664999999999999</v>
      </c>
      <c r="ET17" s="591">
        <v>0</v>
      </c>
      <c r="EU17" s="591">
        <v>0</v>
      </c>
      <c r="EV17" s="591">
        <v>0</v>
      </c>
      <c r="EW17" s="591">
        <v>0</v>
      </c>
      <c r="EX17" s="591">
        <v>0</v>
      </c>
      <c r="EY17" s="591">
        <v>0</v>
      </c>
      <c r="EZ17" s="591">
        <v>5202305</v>
      </c>
      <c r="FA17" s="591">
        <v>0</v>
      </c>
      <c r="FB17" s="591">
        <v>5429009</v>
      </c>
      <c r="FC17" s="591">
        <v>0</v>
      </c>
      <c r="FD17" s="591">
        <v>0</v>
      </c>
      <c r="FE17" s="591">
        <v>561997</v>
      </c>
      <c r="FF17" s="591">
        <v>114633</v>
      </c>
      <c r="FG17" s="591">
        <v>6.4728999999999995E-2</v>
      </c>
      <c r="FH17" s="591">
        <v>2.6405999999999999E-2</v>
      </c>
      <c r="FI17" s="591">
        <v>0</v>
      </c>
      <c r="FJ17" s="591">
        <v>0</v>
      </c>
      <c r="FK17" s="591">
        <v>880.91600000000005</v>
      </c>
      <c r="FL17" s="591">
        <v>6291929</v>
      </c>
      <c r="FM17" s="591">
        <v>0</v>
      </c>
      <c r="FN17" s="591">
        <v>0</v>
      </c>
      <c r="FO17" s="591">
        <v>0</v>
      </c>
      <c r="FP17" s="591">
        <v>0</v>
      </c>
      <c r="FQ17" s="591">
        <v>0</v>
      </c>
      <c r="FR17" s="591">
        <v>0</v>
      </c>
      <c r="FS17" s="591">
        <v>0</v>
      </c>
      <c r="FT17" s="591">
        <v>0</v>
      </c>
      <c r="FU17" s="591">
        <v>0</v>
      </c>
      <c r="FV17" s="591">
        <v>0</v>
      </c>
      <c r="FW17" s="591">
        <v>0</v>
      </c>
      <c r="FX17" s="591">
        <v>0</v>
      </c>
      <c r="FY17" s="591">
        <v>0</v>
      </c>
      <c r="FZ17" s="591">
        <v>0</v>
      </c>
      <c r="GA17" s="591">
        <v>0</v>
      </c>
      <c r="GB17" s="591">
        <v>223709</v>
      </c>
      <c r="GC17" s="591">
        <v>223709</v>
      </c>
      <c r="GD17" s="591">
        <v>26.905000000000001</v>
      </c>
      <c r="GE17" s="591">
        <v>0</v>
      </c>
      <c r="GF17" s="591">
        <v>0</v>
      </c>
      <c r="GG17" s="591">
        <v>0</v>
      </c>
      <c r="GH17" s="591">
        <v>0</v>
      </c>
      <c r="GI17" s="591">
        <v>0</v>
      </c>
      <c r="GJ17" s="591">
        <v>0</v>
      </c>
      <c r="GK17" s="591">
        <v>0</v>
      </c>
      <c r="GL17" s="591">
        <v>0</v>
      </c>
      <c r="GM17" s="591">
        <v>0</v>
      </c>
      <c r="GN17" s="591">
        <v>0</v>
      </c>
      <c r="GO17" s="591">
        <v>0</v>
      </c>
      <c r="GP17" s="591">
        <v>0</v>
      </c>
      <c r="GQ17" s="591">
        <v>0</v>
      </c>
      <c r="GR17" s="591">
        <v>0</v>
      </c>
      <c r="GS17" s="591">
        <v>0</v>
      </c>
      <c r="GT17" s="591">
        <v>0</v>
      </c>
      <c r="GU17" s="591">
        <v>0</v>
      </c>
      <c r="GV17" s="591">
        <v>0</v>
      </c>
      <c r="GW17" s="591">
        <v>0</v>
      </c>
      <c r="GX17" s="591">
        <v>0</v>
      </c>
      <c r="GY17" s="591">
        <v>0</v>
      </c>
      <c r="GZ17" s="591">
        <v>0</v>
      </c>
      <c r="HA17" s="591">
        <v>0</v>
      </c>
      <c r="HB17" s="591">
        <v>260009272</v>
      </c>
      <c r="HC17" s="591">
        <v>5.1774999999999995E-2</v>
      </c>
      <c r="HD17" s="591">
        <v>106602</v>
      </c>
      <c r="HE17" s="591">
        <v>0</v>
      </c>
      <c r="HF17" s="591">
        <v>601877</v>
      </c>
      <c r="HG17" s="591">
        <v>3208</v>
      </c>
      <c r="HH17" s="591">
        <v>53584</v>
      </c>
      <c r="HI17" s="591">
        <v>0</v>
      </c>
      <c r="HJ17" s="591">
        <v>5718</v>
      </c>
      <c r="HK17" s="591">
        <v>1995</v>
      </c>
      <c r="HL17" s="591">
        <v>3014</v>
      </c>
      <c r="HM17" s="591">
        <v>0</v>
      </c>
      <c r="HN17" s="591">
        <v>0</v>
      </c>
      <c r="HO17" s="591">
        <v>0</v>
      </c>
      <c r="HP17" s="591">
        <v>0</v>
      </c>
      <c r="HQ17" s="591">
        <v>0</v>
      </c>
      <c r="HR17" s="591">
        <v>0</v>
      </c>
      <c r="HS17" s="591">
        <v>5200673</v>
      </c>
      <c r="HT17" s="591">
        <v>0</v>
      </c>
      <c r="HU17" s="591">
        <v>79688</v>
      </c>
      <c r="HV17" s="591">
        <v>0</v>
      </c>
      <c r="HW17" s="591">
        <v>0</v>
      </c>
      <c r="HX17" s="591">
        <v>116</v>
      </c>
      <c r="HY17" s="591">
        <v>95</v>
      </c>
      <c r="HZ17" s="591">
        <v>72</v>
      </c>
      <c r="IA17" s="591">
        <v>93</v>
      </c>
      <c r="IB17" s="591">
        <v>20</v>
      </c>
      <c r="IC17" s="591">
        <v>269</v>
      </c>
      <c r="ID17" s="591">
        <v>0</v>
      </c>
      <c r="IE17" s="591">
        <v>0</v>
      </c>
      <c r="IF17" s="591">
        <v>0</v>
      </c>
      <c r="IG17" s="591">
        <v>5.2080000000000002</v>
      </c>
      <c r="IH17" s="591">
        <v>87</v>
      </c>
      <c r="II17" s="591">
        <v>0</v>
      </c>
      <c r="IJ17" s="591">
        <v>260.91300000000001</v>
      </c>
      <c r="IK17" s="591">
        <v>0</v>
      </c>
      <c r="IL17" s="591">
        <v>0</v>
      </c>
      <c r="IM17" s="591">
        <v>0</v>
      </c>
      <c r="IN17" s="591">
        <v>0</v>
      </c>
      <c r="IO17" s="591">
        <v>0</v>
      </c>
      <c r="IP17" s="591">
        <v>0</v>
      </c>
      <c r="IQ17" s="591">
        <v>260.91300000000001</v>
      </c>
      <c r="IR17" s="591">
        <v>160698</v>
      </c>
      <c r="IS17" s="591">
        <v>0</v>
      </c>
      <c r="IT17" s="591">
        <v>0</v>
      </c>
      <c r="IU17" s="591">
        <v>0</v>
      </c>
      <c r="IV17" s="591">
        <v>0</v>
      </c>
      <c r="IW17" s="591">
        <v>6159</v>
      </c>
      <c r="IX17" s="591">
        <v>0</v>
      </c>
      <c r="IY17" s="591">
        <v>0</v>
      </c>
      <c r="IZ17" s="591">
        <v>0</v>
      </c>
      <c r="JA17" s="591">
        <v>0</v>
      </c>
      <c r="JB17" s="591">
        <v>0</v>
      </c>
      <c r="JC17" s="591">
        <v>0</v>
      </c>
      <c r="JD17" s="591">
        <v>0</v>
      </c>
      <c r="JE17" s="591">
        <v>0</v>
      </c>
      <c r="JF17" s="591">
        <v>0</v>
      </c>
      <c r="JG17" s="591">
        <v>0</v>
      </c>
      <c r="JH17" s="591">
        <v>0</v>
      </c>
      <c r="JI17" s="591">
        <v>0</v>
      </c>
      <c r="JJ17" s="591">
        <v>0</v>
      </c>
      <c r="JK17" s="591">
        <v>0</v>
      </c>
      <c r="JL17" s="591">
        <v>0</v>
      </c>
      <c r="JM17" s="591">
        <v>0</v>
      </c>
      <c r="JN17" s="591">
        <v>32469</v>
      </c>
    </row>
    <row r="18" spans="1:274" x14ac:dyDescent="0.25">
      <c r="A18" s="591">
        <v>32570</v>
      </c>
      <c r="B18" s="591">
        <v>15822</v>
      </c>
      <c r="C18" s="591">
        <v>9</v>
      </c>
      <c r="D18" s="591">
        <v>2022</v>
      </c>
      <c r="E18" s="591">
        <v>6159</v>
      </c>
      <c r="F18" s="591">
        <v>0</v>
      </c>
      <c r="G18" s="591">
        <v>5649.1320000000005</v>
      </c>
      <c r="H18" s="591">
        <v>5325.2910000000002</v>
      </c>
      <c r="I18" s="591">
        <v>5325.2910000000002</v>
      </c>
      <c r="J18" s="591">
        <v>5649.1320000000005</v>
      </c>
      <c r="K18" s="591">
        <v>0</v>
      </c>
      <c r="L18" s="591">
        <v>6159</v>
      </c>
      <c r="M18" s="591">
        <v>0</v>
      </c>
      <c r="N18" s="591">
        <v>0</v>
      </c>
      <c r="O18" s="591">
        <v>0</v>
      </c>
      <c r="P18" s="591">
        <v>5617.3780000000006</v>
      </c>
      <c r="Q18" s="591">
        <v>0</v>
      </c>
      <c r="R18" s="591">
        <v>2260590</v>
      </c>
      <c r="S18" s="591">
        <v>402.428</v>
      </c>
      <c r="T18" s="591">
        <v>0</v>
      </c>
      <c r="U18" s="591">
        <v>0</v>
      </c>
      <c r="V18" s="591">
        <v>1313.58</v>
      </c>
      <c r="W18" s="591">
        <v>809045</v>
      </c>
      <c r="X18" s="591">
        <v>809045</v>
      </c>
      <c r="Y18" s="591">
        <v>0</v>
      </c>
      <c r="Z18" s="591">
        <v>0</v>
      </c>
      <c r="AA18" s="591">
        <v>0</v>
      </c>
      <c r="AB18" s="591">
        <v>0</v>
      </c>
      <c r="AC18" s="591">
        <v>0</v>
      </c>
      <c r="AD18" s="591" t="s">
        <v>316</v>
      </c>
      <c r="AE18" s="591">
        <v>0</v>
      </c>
      <c r="AF18" s="591">
        <v>0</v>
      </c>
      <c r="AG18" s="591">
        <v>0</v>
      </c>
      <c r="AH18" s="591">
        <v>0</v>
      </c>
      <c r="AI18" s="591">
        <v>0</v>
      </c>
      <c r="AJ18" s="591">
        <v>6159</v>
      </c>
      <c r="AK18" s="591" t="s">
        <v>671</v>
      </c>
      <c r="AL18" s="591" t="s">
        <v>430</v>
      </c>
      <c r="AM18" s="591">
        <v>0</v>
      </c>
      <c r="AN18" s="591">
        <v>0</v>
      </c>
      <c r="AO18" s="591">
        <v>0</v>
      </c>
      <c r="AP18" s="591">
        <v>0</v>
      </c>
      <c r="AQ18" s="591">
        <v>0</v>
      </c>
      <c r="AR18" s="591">
        <v>0</v>
      </c>
      <c r="AS18" s="591">
        <v>0</v>
      </c>
      <c r="AT18" s="591">
        <v>0</v>
      </c>
      <c r="AU18" s="591">
        <v>0</v>
      </c>
      <c r="AV18" s="591">
        <v>0</v>
      </c>
      <c r="AW18" s="591">
        <v>59939343</v>
      </c>
      <c r="AX18" s="591">
        <v>58929380</v>
      </c>
      <c r="AY18" s="591">
        <v>0</v>
      </c>
      <c r="AZ18" s="591">
        <v>2260590</v>
      </c>
      <c r="BA18" s="591">
        <v>0</v>
      </c>
      <c r="BB18" s="591">
        <v>0</v>
      </c>
      <c r="BC18" s="591">
        <v>0</v>
      </c>
      <c r="BD18" s="591">
        <v>47</v>
      </c>
      <c r="BE18" s="591">
        <v>783</v>
      </c>
      <c r="BF18" s="591">
        <v>54338961</v>
      </c>
      <c r="BG18" s="591">
        <v>0</v>
      </c>
      <c r="BH18" s="591">
        <v>0</v>
      </c>
      <c r="BI18" s="591">
        <v>0</v>
      </c>
      <c r="BJ18" s="591">
        <v>12</v>
      </c>
      <c r="BK18" s="591">
        <v>0</v>
      </c>
      <c r="BL18" s="591">
        <v>0</v>
      </c>
      <c r="BM18" s="591">
        <v>0</v>
      </c>
      <c r="BN18" s="591">
        <v>0</v>
      </c>
      <c r="BO18" s="591">
        <v>0</v>
      </c>
      <c r="BP18" s="591">
        <v>0</v>
      </c>
      <c r="BQ18" s="591">
        <v>0</v>
      </c>
      <c r="BR18" s="591">
        <v>0</v>
      </c>
      <c r="BS18" s="591">
        <v>0</v>
      </c>
      <c r="BT18" s="591">
        <v>0</v>
      </c>
      <c r="BU18" s="591">
        <v>0</v>
      </c>
      <c r="BV18" s="591">
        <v>0</v>
      </c>
      <c r="BW18" s="591">
        <v>0</v>
      </c>
      <c r="BX18" s="591">
        <v>0</v>
      </c>
      <c r="BY18" s="591">
        <v>0</v>
      </c>
      <c r="BZ18" s="591">
        <v>0</v>
      </c>
      <c r="CA18" s="591">
        <v>0</v>
      </c>
      <c r="CB18" s="591">
        <v>0</v>
      </c>
      <c r="CC18" s="591">
        <v>0</v>
      </c>
      <c r="CD18" s="591">
        <v>0</v>
      </c>
      <c r="CE18" s="591">
        <v>0</v>
      </c>
      <c r="CF18" s="591">
        <v>0</v>
      </c>
      <c r="CG18" s="591">
        <v>0</v>
      </c>
      <c r="CH18" s="591">
        <v>1023684</v>
      </c>
      <c r="CI18" s="591">
        <v>0</v>
      </c>
      <c r="CJ18" s="591">
        <v>4</v>
      </c>
      <c r="CK18" s="591">
        <v>0</v>
      </c>
      <c r="CL18" s="591">
        <v>0</v>
      </c>
      <c r="CM18" s="591">
        <v>0</v>
      </c>
      <c r="CN18" s="591">
        <v>0</v>
      </c>
      <c r="CO18" s="591">
        <v>1</v>
      </c>
      <c r="CP18" s="591">
        <v>0</v>
      </c>
      <c r="CQ18" s="591">
        <v>0</v>
      </c>
      <c r="CR18" s="591">
        <v>5649.1320000000005</v>
      </c>
      <c r="CS18" s="591">
        <v>0</v>
      </c>
      <c r="CT18" s="591">
        <v>0</v>
      </c>
      <c r="CU18" s="591">
        <v>0</v>
      </c>
      <c r="CV18" s="591">
        <v>0</v>
      </c>
      <c r="CW18" s="591">
        <v>0</v>
      </c>
      <c r="CX18" s="591">
        <v>0</v>
      </c>
      <c r="CY18" s="591">
        <v>0</v>
      </c>
      <c r="CZ18" s="591">
        <v>0</v>
      </c>
      <c r="DA18" s="591">
        <v>0</v>
      </c>
      <c r="DB18" s="591">
        <v>32798906</v>
      </c>
      <c r="DC18" s="591">
        <v>0</v>
      </c>
      <c r="DD18" s="591">
        <v>0</v>
      </c>
      <c r="DE18" s="591">
        <v>8403914</v>
      </c>
      <c r="DF18" s="591">
        <v>8403914</v>
      </c>
      <c r="DG18" s="591">
        <v>1364.4750000000001</v>
      </c>
      <c r="DH18" s="591">
        <v>0</v>
      </c>
      <c r="DI18" s="591">
        <v>0</v>
      </c>
      <c r="DJ18" s="591">
        <v>0</v>
      </c>
      <c r="DK18" s="591">
        <v>0</v>
      </c>
      <c r="DL18" s="591">
        <v>0</v>
      </c>
      <c r="DM18" s="591">
        <v>3391179</v>
      </c>
      <c r="DN18" s="591">
        <v>12938</v>
      </c>
      <c r="DO18" s="591">
        <v>0</v>
      </c>
      <c r="DP18" s="591">
        <v>0</v>
      </c>
      <c r="DQ18" s="591">
        <v>0</v>
      </c>
      <c r="DR18" s="591">
        <v>0</v>
      </c>
      <c r="DS18" s="591">
        <v>0</v>
      </c>
      <c r="DT18" s="591">
        <v>0</v>
      </c>
      <c r="DU18" s="591">
        <v>0</v>
      </c>
      <c r="DV18" s="591">
        <v>0</v>
      </c>
      <c r="DW18" s="591">
        <v>0</v>
      </c>
      <c r="DX18" s="591">
        <v>0</v>
      </c>
      <c r="DY18" s="591">
        <v>0</v>
      </c>
      <c r="DZ18" s="591">
        <v>0</v>
      </c>
      <c r="EA18" s="591">
        <v>0</v>
      </c>
      <c r="EB18" s="591">
        <v>0</v>
      </c>
      <c r="EC18" s="591">
        <v>164.60500000000002</v>
      </c>
      <c r="ED18" s="591">
        <v>1165888</v>
      </c>
      <c r="EE18" s="591">
        <v>0</v>
      </c>
      <c r="EF18" s="591">
        <v>0</v>
      </c>
      <c r="EG18" s="591">
        <v>0</v>
      </c>
      <c r="EH18" s="591">
        <v>2238229</v>
      </c>
      <c r="EI18" s="591">
        <v>0</v>
      </c>
      <c r="EJ18" s="591">
        <v>0</v>
      </c>
      <c r="EK18" s="591">
        <v>93.551000000000002</v>
      </c>
      <c r="EL18" s="591">
        <v>0</v>
      </c>
      <c r="EM18" s="591">
        <v>12.16</v>
      </c>
      <c r="EN18" s="591">
        <v>9.2539999999999996</v>
      </c>
      <c r="EO18" s="591">
        <v>0</v>
      </c>
      <c r="EP18" s="591">
        <v>0</v>
      </c>
      <c r="EQ18" s="591">
        <v>114.965</v>
      </c>
      <c r="ER18" s="591">
        <v>0</v>
      </c>
      <c r="ES18" s="591">
        <v>363.40300000000002</v>
      </c>
      <c r="ET18" s="591">
        <v>0</v>
      </c>
      <c r="EU18" s="591">
        <v>0</v>
      </c>
      <c r="EV18" s="591">
        <v>0</v>
      </c>
      <c r="EW18" s="591">
        <v>0</v>
      </c>
      <c r="EX18" s="591">
        <v>0</v>
      </c>
      <c r="EY18" s="591">
        <v>0</v>
      </c>
      <c r="EZ18" s="591">
        <v>52152780</v>
      </c>
      <c r="FA18" s="591">
        <v>0</v>
      </c>
      <c r="FB18" s="591">
        <v>54399649</v>
      </c>
      <c r="FC18" s="591">
        <v>0</v>
      </c>
      <c r="FD18" s="591">
        <v>0</v>
      </c>
      <c r="FE18" s="591">
        <v>5628529</v>
      </c>
      <c r="FF18" s="591">
        <v>1148071</v>
      </c>
      <c r="FG18" s="591">
        <v>6.4728999999999995E-2</v>
      </c>
      <c r="FH18" s="591">
        <v>2.6405999999999999E-2</v>
      </c>
      <c r="FI18" s="591">
        <v>0</v>
      </c>
      <c r="FJ18" s="591">
        <v>0</v>
      </c>
      <c r="FK18" s="591">
        <v>8822.5740000000005</v>
      </c>
      <c r="FL18" s="591">
        <v>62199933</v>
      </c>
      <c r="FM18" s="591">
        <v>0</v>
      </c>
      <c r="FN18" s="591">
        <v>0</v>
      </c>
      <c r="FO18" s="591">
        <v>43503</v>
      </c>
      <c r="FP18" s="591">
        <v>0</v>
      </c>
      <c r="FQ18" s="591">
        <v>52207</v>
      </c>
      <c r="FR18" s="591">
        <v>43503</v>
      </c>
      <c r="FS18" s="591">
        <v>8704</v>
      </c>
      <c r="FT18" s="591">
        <v>0</v>
      </c>
      <c r="FU18" s="591">
        <v>0</v>
      </c>
      <c r="FV18" s="591">
        <v>0</v>
      </c>
      <c r="FW18" s="591">
        <v>0</v>
      </c>
      <c r="FX18" s="591">
        <v>0</v>
      </c>
      <c r="FY18" s="591">
        <v>0</v>
      </c>
      <c r="FZ18" s="591">
        <v>0</v>
      </c>
      <c r="GA18" s="591">
        <v>0</v>
      </c>
      <c r="GB18" s="591">
        <v>1736754</v>
      </c>
      <c r="GC18" s="591">
        <v>1736754</v>
      </c>
      <c r="GD18" s="591">
        <v>208.876</v>
      </c>
      <c r="GE18" s="591">
        <v>0</v>
      </c>
      <c r="GF18" s="591">
        <v>0</v>
      </c>
      <c r="GG18" s="591">
        <v>0</v>
      </c>
      <c r="GH18" s="591">
        <v>0</v>
      </c>
      <c r="GI18" s="591">
        <v>0</v>
      </c>
      <c r="GJ18" s="591">
        <v>0</v>
      </c>
      <c r="GK18" s="591">
        <v>0</v>
      </c>
      <c r="GL18" s="591">
        <v>0</v>
      </c>
      <c r="GM18" s="591">
        <v>0</v>
      </c>
      <c r="GN18" s="591">
        <v>0</v>
      </c>
      <c r="GO18" s="591">
        <v>0</v>
      </c>
      <c r="GP18" s="591">
        <v>0</v>
      </c>
      <c r="GQ18" s="591">
        <v>0</v>
      </c>
      <c r="GR18" s="591">
        <v>0</v>
      </c>
      <c r="GS18" s="591">
        <v>0</v>
      </c>
      <c r="GT18" s="591">
        <v>0</v>
      </c>
      <c r="GU18" s="591">
        <v>0</v>
      </c>
      <c r="GV18" s="591">
        <v>0</v>
      </c>
      <c r="GW18" s="591">
        <v>0</v>
      </c>
      <c r="GX18" s="591">
        <v>0</v>
      </c>
      <c r="GY18" s="591">
        <v>0</v>
      </c>
      <c r="GZ18" s="591">
        <v>0</v>
      </c>
      <c r="HA18" s="591">
        <v>0</v>
      </c>
      <c r="HB18" s="591">
        <v>260009272</v>
      </c>
      <c r="HC18" s="591">
        <v>5.1774999999999995E-2</v>
      </c>
      <c r="HD18" s="591">
        <v>1023684</v>
      </c>
      <c r="HE18" s="591">
        <v>0</v>
      </c>
      <c r="HF18" s="591">
        <v>5852495</v>
      </c>
      <c r="HG18" s="591">
        <v>123815</v>
      </c>
      <c r="HH18" s="591">
        <v>1092005</v>
      </c>
      <c r="HI18" s="591">
        <v>0</v>
      </c>
      <c r="HJ18" s="591">
        <v>54910</v>
      </c>
      <c r="HK18" s="591">
        <v>8523</v>
      </c>
      <c r="HL18" s="591">
        <v>13679</v>
      </c>
      <c r="HM18" s="591">
        <v>63000</v>
      </c>
      <c r="HN18" s="591">
        <v>0</v>
      </c>
      <c r="HO18" s="591">
        <v>0</v>
      </c>
      <c r="HP18" s="591">
        <v>0</v>
      </c>
      <c r="HQ18" s="591">
        <v>0</v>
      </c>
      <c r="HR18" s="591">
        <v>0</v>
      </c>
      <c r="HS18" s="591">
        <v>52139059</v>
      </c>
      <c r="HT18" s="591">
        <v>0</v>
      </c>
      <c r="HU18" s="591">
        <v>0</v>
      </c>
      <c r="HV18" s="591">
        <v>0</v>
      </c>
      <c r="HW18" s="591">
        <v>0</v>
      </c>
      <c r="HX18" s="591">
        <v>682</v>
      </c>
      <c r="HY18" s="591">
        <v>1053</v>
      </c>
      <c r="HZ18" s="591">
        <v>793</v>
      </c>
      <c r="IA18" s="591">
        <v>1157</v>
      </c>
      <c r="IB18" s="591">
        <v>1669</v>
      </c>
      <c r="IC18" s="591">
        <v>5098</v>
      </c>
      <c r="ID18" s="591">
        <v>0</v>
      </c>
      <c r="IE18" s="591">
        <v>0</v>
      </c>
      <c r="IF18" s="591">
        <v>0</v>
      </c>
      <c r="IG18" s="591">
        <v>201.029</v>
      </c>
      <c r="IH18" s="591">
        <v>1773</v>
      </c>
      <c r="II18" s="591">
        <v>0</v>
      </c>
      <c r="IJ18" s="591">
        <v>1313.58</v>
      </c>
      <c r="IK18" s="591">
        <v>0</v>
      </c>
      <c r="IL18" s="591">
        <v>9</v>
      </c>
      <c r="IM18" s="591">
        <v>6</v>
      </c>
      <c r="IN18" s="591">
        <v>0</v>
      </c>
      <c r="IO18" s="591">
        <v>15</v>
      </c>
      <c r="IP18" s="591">
        <v>0</v>
      </c>
      <c r="IQ18" s="591">
        <v>1313.58</v>
      </c>
      <c r="IR18" s="591">
        <v>809045</v>
      </c>
      <c r="IS18" s="591">
        <v>0</v>
      </c>
      <c r="IT18" s="591">
        <v>45000</v>
      </c>
      <c r="IU18" s="591">
        <v>18000</v>
      </c>
      <c r="IV18" s="591">
        <v>0</v>
      </c>
      <c r="IW18" s="591">
        <v>6159</v>
      </c>
      <c r="IX18" s="591">
        <v>0</v>
      </c>
      <c r="IY18" s="591">
        <v>0</v>
      </c>
      <c r="IZ18" s="591">
        <v>0</v>
      </c>
      <c r="JA18" s="591">
        <v>0</v>
      </c>
      <c r="JB18" s="591">
        <v>0</v>
      </c>
      <c r="JC18" s="591">
        <v>0</v>
      </c>
      <c r="JD18" s="591">
        <v>0</v>
      </c>
      <c r="JE18" s="591">
        <v>0</v>
      </c>
      <c r="JF18" s="591">
        <v>0</v>
      </c>
      <c r="JG18" s="591">
        <v>0</v>
      </c>
      <c r="JH18" s="591">
        <v>0</v>
      </c>
      <c r="JI18" s="591">
        <v>0</v>
      </c>
      <c r="JJ18" s="591">
        <v>0</v>
      </c>
      <c r="JK18" s="591">
        <v>0</v>
      </c>
      <c r="JL18" s="591">
        <v>0</v>
      </c>
      <c r="JM18" s="591">
        <v>0</v>
      </c>
      <c r="JN18" s="591">
        <v>32469</v>
      </c>
    </row>
    <row r="19" spans="1:274" x14ac:dyDescent="0.25">
      <c r="A19" s="591">
        <v>32570</v>
      </c>
      <c r="B19" s="591">
        <v>15825</v>
      </c>
      <c r="C19" s="591">
        <v>9</v>
      </c>
      <c r="D19" s="591">
        <v>2022</v>
      </c>
      <c r="E19" s="591">
        <v>6159</v>
      </c>
      <c r="F19" s="591">
        <v>0</v>
      </c>
      <c r="G19" s="591">
        <v>293.08300000000003</v>
      </c>
      <c r="H19" s="591">
        <v>273.32100000000003</v>
      </c>
      <c r="I19" s="591">
        <v>273.32100000000003</v>
      </c>
      <c r="J19" s="591">
        <v>293.08300000000003</v>
      </c>
      <c r="K19" s="591">
        <v>0</v>
      </c>
      <c r="L19" s="591">
        <v>6159</v>
      </c>
      <c r="M19" s="591">
        <v>0</v>
      </c>
      <c r="N19" s="591">
        <v>0</v>
      </c>
      <c r="O19" s="591">
        <v>0</v>
      </c>
      <c r="P19" s="591">
        <v>275.40500000000003</v>
      </c>
      <c r="Q19" s="591">
        <v>0</v>
      </c>
      <c r="R19" s="591">
        <v>110831</v>
      </c>
      <c r="S19" s="591">
        <v>402.428</v>
      </c>
      <c r="T19" s="591">
        <v>0</v>
      </c>
      <c r="U19" s="591">
        <v>0</v>
      </c>
      <c r="V19" s="591">
        <v>78.39200000000001</v>
      </c>
      <c r="W19" s="591">
        <v>48282</v>
      </c>
      <c r="X19" s="591">
        <v>48282</v>
      </c>
      <c r="Y19" s="591">
        <v>0</v>
      </c>
      <c r="Z19" s="591">
        <v>0</v>
      </c>
      <c r="AA19" s="591">
        <v>0</v>
      </c>
      <c r="AB19" s="591">
        <v>0</v>
      </c>
      <c r="AC19" s="591">
        <v>0</v>
      </c>
      <c r="AD19" s="591" t="s">
        <v>316</v>
      </c>
      <c r="AE19" s="591">
        <v>0</v>
      </c>
      <c r="AF19" s="591">
        <v>0</v>
      </c>
      <c r="AG19" s="591">
        <v>0</v>
      </c>
      <c r="AH19" s="591">
        <v>0</v>
      </c>
      <c r="AI19" s="591">
        <v>0</v>
      </c>
      <c r="AJ19" s="591">
        <v>6159</v>
      </c>
      <c r="AK19" s="591" t="s">
        <v>671</v>
      </c>
      <c r="AL19" s="591" t="s">
        <v>791</v>
      </c>
      <c r="AM19" s="591">
        <v>0</v>
      </c>
      <c r="AN19" s="591">
        <v>0</v>
      </c>
      <c r="AO19" s="591">
        <v>0</v>
      </c>
      <c r="AP19" s="591">
        <v>0</v>
      </c>
      <c r="AQ19" s="591">
        <v>0</v>
      </c>
      <c r="AR19" s="591">
        <v>0</v>
      </c>
      <c r="AS19" s="591">
        <v>0</v>
      </c>
      <c r="AT19" s="591">
        <v>0</v>
      </c>
      <c r="AU19" s="591">
        <v>0</v>
      </c>
      <c r="AV19" s="591">
        <v>0</v>
      </c>
      <c r="AW19" s="591">
        <v>3167392</v>
      </c>
      <c r="AX19" s="591">
        <v>3115283</v>
      </c>
      <c r="AY19" s="591">
        <v>0</v>
      </c>
      <c r="AZ19" s="591">
        <v>110831</v>
      </c>
      <c r="BA19" s="591">
        <v>0</v>
      </c>
      <c r="BB19" s="591">
        <v>0</v>
      </c>
      <c r="BC19" s="591">
        <v>0</v>
      </c>
      <c r="BD19" s="591">
        <v>0</v>
      </c>
      <c r="BE19" s="591">
        <v>41</v>
      </c>
      <c r="BF19" s="591">
        <v>2868397</v>
      </c>
      <c r="BG19" s="591">
        <v>0</v>
      </c>
      <c r="BH19" s="591">
        <v>0</v>
      </c>
      <c r="BI19" s="591">
        <v>0</v>
      </c>
      <c r="BJ19" s="591">
        <v>12</v>
      </c>
      <c r="BK19" s="591">
        <v>0</v>
      </c>
      <c r="BL19" s="591">
        <v>0</v>
      </c>
      <c r="BM19" s="591">
        <v>0</v>
      </c>
      <c r="BN19" s="591">
        <v>0</v>
      </c>
      <c r="BO19" s="591">
        <v>0</v>
      </c>
      <c r="BP19" s="591">
        <v>0</v>
      </c>
      <c r="BQ19" s="591">
        <v>728</v>
      </c>
      <c r="BR19" s="591">
        <v>0</v>
      </c>
      <c r="BS19" s="591">
        <v>0</v>
      </c>
      <c r="BT19" s="591">
        <v>0</v>
      </c>
      <c r="BU19" s="591">
        <v>0</v>
      </c>
      <c r="BV19" s="591">
        <v>0</v>
      </c>
      <c r="BW19" s="591">
        <v>0</v>
      </c>
      <c r="BX19" s="591">
        <v>0</v>
      </c>
      <c r="BY19" s="591">
        <v>0</v>
      </c>
      <c r="BZ19" s="591">
        <v>0</v>
      </c>
      <c r="CA19" s="591">
        <v>0</v>
      </c>
      <c r="CB19" s="591">
        <v>0</v>
      </c>
      <c r="CC19" s="591">
        <v>0</v>
      </c>
      <c r="CD19" s="591">
        <v>0</v>
      </c>
      <c r="CE19" s="591">
        <v>0</v>
      </c>
      <c r="CF19" s="591">
        <v>0</v>
      </c>
      <c r="CG19" s="591">
        <v>0</v>
      </c>
      <c r="CH19" s="591">
        <v>53110</v>
      </c>
      <c r="CI19" s="591">
        <v>0</v>
      </c>
      <c r="CJ19" s="591">
        <v>4</v>
      </c>
      <c r="CK19" s="591">
        <v>0</v>
      </c>
      <c r="CL19" s="591">
        <v>0</v>
      </c>
      <c r="CM19" s="591">
        <v>0</v>
      </c>
      <c r="CN19" s="591">
        <v>0</v>
      </c>
      <c r="CO19" s="591">
        <v>1</v>
      </c>
      <c r="CP19" s="591">
        <v>0</v>
      </c>
      <c r="CQ19" s="591">
        <v>0</v>
      </c>
      <c r="CR19" s="591">
        <v>293.08300000000003</v>
      </c>
      <c r="CS19" s="591">
        <v>0</v>
      </c>
      <c r="CT19" s="591">
        <v>0</v>
      </c>
      <c r="CU19" s="591">
        <v>0</v>
      </c>
      <c r="CV19" s="591">
        <v>0</v>
      </c>
      <c r="CW19" s="591">
        <v>0</v>
      </c>
      <c r="CX19" s="591">
        <v>0</v>
      </c>
      <c r="CY19" s="591">
        <v>0</v>
      </c>
      <c r="CZ19" s="591">
        <v>0</v>
      </c>
      <c r="DA19" s="591">
        <v>0</v>
      </c>
      <c r="DB19" s="591">
        <v>1683407</v>
      </c>
      <c r="DC19" s="591">
        <v>0</v>
      </c>
      <c r="DD19" s="591">
        <v>0</v>
      </c>
      <c r="DE19" s="591">
        <v>444686</v>
      </c>
      <c r="DF19" s="591">
        <v>444686</v>
      </c>
      <c r="DG19" s="591">
        <v>72.2</v>
      </c>
      <c r="DH19" s="591">
        <v>0</v>
      </c>
      <c r="DI19" s="591">
        <v>0</v>
      </c>
      <c r="DJ19" s="591">
        <v>0</v>
      </c>
      <c r="DK19" s="591">
        <v>3268</v>
      </c>
      <c r="DL19" s="591">
        <v>0</v>
      </c>
      <c r="DM19" s="591">
        <v>251495</v>
      </c>
      <c r="DN19" s="591">
        <v>960</v>
      </c>
      <c r="DO19" s="591">
        <v>0</v>
      </c>
      <c r="DP19" s="591">
        <v>0</v>
      </c>
      <c r="DQ19" s="591">
        <v>0</v>
      </c>
      <c r="DR19" s="591">
        <v>0</v>
      </c>
      <c r="DS19" s="591">
        <v>0</v>
      </c>
      <c r="DT19" s="591">
        <v>0</v>
      </c>
      <c r="DU19" s="591">
        <v>0</v>
      </c>
      <c r="DV19" s="591">
        <v>0</v>
      </c>
      <c r="DW19" s="591">
        <v>0</v>
      </c>
      <c r="DX19" s="591">
        <v>0</v>
      </c>
      <c r="DY19" s="591">
        <v>0</v>
      </c>
      <c r="DZ19" s="591">
        <v>0</v>
      </c>
      <c r="EA19" s="591">
        <v>0</v>
      </c>
      <c r="EB19" s="591">
        <v>0</v>
      </c>
      <c r="EC19" s="591">
        <v>4.673</v>
      </c>
      <c r="ED19" s="591">
        <v>33099</v>
      </c>
      <c r="EE19" s="591">
        <v>0</v>
      </c>
      <c r="EF19" s="591">
        <v>0</v>
      </c>
      <c r="EG19" s="591">
        <v>0</v>
      </c>
      <c r="EH19" s="591">
        <v>219356</v>
      </c>
      <c r="EI19" s="591">
        <v>0</v>
      </c>
      <c r="EJ19" s="591">
        <v>0</v>
      </c>
      <c r="EK19" s="591">
        <v>10.790000000000001</v>
      </c>
      <c r="EL19" s="591">
        <v>0</v>
      </c>
      <c r="EM19" s="591">
        <v>0</v>
      </c>
      <c r="EN19" s="591">
        <v>0.64900000000000002</v>
      </c>
      <c r="EO19" s="591">
        <v>0</v>
      </c>
      <c r="EP19" s="591">
        <v>0</v>
      </c>
      <c r="EQ19" s="591">
        <v>11.439</v>
      </c>
      <c r="ER19" s="591">
        <v>0</v>
      </c>
      <c r="ES19" s="591">
        <v>35.615000000000002</v>
      </c>
      <c r="ET19" s="591">
        <v>0</v>
      </c>
      <c r="EU19" s="591">
        <v>0</v>
      </c>
      <c r="EV19" s="591">
        <v>0</v>
      </c>
      <c r="EW19" s="591">
        <v>0</v>
      </c>
      <c r="EX19" s="591">
        <v>0</v>
      </c>
      <c r="EY19" s="591">
        <v>0</v>
      </c>
      <c r="EZ19" s="591">
        <v>2757566</v>
      </c>
      <c r="FA19" s="591">
        <v>0</v>
      </c>
      <c r="FB19" s="591">
        <v>2867396</v>
      </c>
      <c r="FC19" s="591">
        <v>0</v>
      </c>
      <c r="FD19" s="591">
        <v>0</v>
      </c>
      <c r="FE19" s="591">
        <v>297114</v>
      </c>
      <c r="FF19" s="591">
        <v>60603</v>
      </c>
      <c r="FG19" s="591">
        <v>6.4728999999999995E-2</v>
      </c>
      <c r="FH19" s="591">
        <v>2.6405999999999999E-2</v>
      </c>
      <c r="FI19" s="591">
        <v>0</v>
      </c>
      <c r="FJ19" s="591">
        <v>0</v>
      </c>
      <c r="FK19" s="591">
        <v>465.71800000000002</v>
      </c>
      <c r="FL19" s="591">
        <v>3278223</v>
      </c>
      <c r="FM19" s="591">
        <v>0</v>
      </c>
      <c r="FN19" s="591">
        <v>0</v>
      </c>
      <c r="FO19" s="591">
        <v>0</v>
      </c>
      <c r="FP19" s="591">
        <v>0</v>
      </c>
      <c r="FQ19" s="591">
        <v>0</v>
      </c>
      <c r="FR19" s="591">
        <v>0</v>
      </c>
      <c r="FS19" s="591">
        <v>0</v>
      </c>
      <c r="FT19" s="591">
        <v>0</v>
      </c>
      <c r="FU19" s="591">
        <v>0</v>
      </c>
      <c r="FV19" s="591">
        <v>0</v>
      </c>
      <c r="FW19" s="591">
        <v>0</v>
      </c>
      <c r="FX19" s="591">
        <v>0</v>
      </c>
      <c r="FY19" s="591">
        <v>0</v>
      </c>
      <c r="FZ19" s="591">
        <v>0</v>
      </c>
      <c r="GA19" s="591">
        <v>0</v>
      </c>
      <c r="GB19" s="591">
        <v>69204</v>
      </c>
      <c r="GC19" s="591">
        <v>69204</v>
      </c>
      <c r="GD19" s="591">
        <v>8.3230000000000004</v>
      </c>
      <c r="GE19" s="591">
        <v>0</v>
      </c>
      <c r="GF19" s="591">
        <v>0</v>
      </c>
      <c r="GG19" s="591">
        <v>0</v>
      </c>
      <c r="GH19" s="591">
        <v>0</v>
      </c>
      <c r="GI19" s="591">
        <v>0</v>
      </c>
      <c r="GJ19" s="591">
        <v>0</v>
      </c>
      <c r="GK19" s="591">
        <v>0</v>
      </c>
      <c r="GL19" s="591">
        <v>0</v>
      </c>
      <c r="GM19" s="591">
        <v>0</v>
      </c>
      <c r="GN19" s="591">
        <v>0</v>
      </c>
      <c r="GO19" s="591">
        <v>0</v>
      </c>
      <c r="GP19" s="591">
        <v>0</v>
      </c>
      <c r="GQ19" s="591">
        <v>0</v>
      </c>
      <c r="GR19" s="591">
        <v>0</v>
      </c>
      <c r="GS19" s="591">
        <v>0</v>
      </c>
      <c r="GT19" s="591">
        <v>0</v>
      </c>
      <c r="GU19" s="591">
        <v>0</v>
      </c>
      <c r="GV19" s="591">
        <v>0</v>
      </c>
      <c r="GW19" s="591">
        <v>0</v>
      </c>
      <c r="GX19" s="591">
        <v>0</v>
      </c>
      <c r="GY19" s="591">
        <v>0</v>
      </c>
      <c r="GZ19" s="591">
        <v>0</v>
      </c>
      <c r="HA19" s="591">
        <v>0</v>
      </c>
      <c r="HB19" s="591">
        <v>260009272</v>
      </c>
      <c r="HC19" s="591">
        <v>5.1774999999999995E-2</v>
      </c>
      <c r="HD19" s="591">
        <v>53110</v>
      </c>
      <c r="HE19" s="591">
        <v>0</v>
      </c>
      <c r="HF19" s="591">
        <v>300380</v>
      </c>
      <c r="HG19" s="591">
        <v>0</v>
      </c>
      <c r="HH19" s="591">
        <v>67134</v>
      </c>
      <c r="HI19" s="591">
        <v>0</v>
      </c>
      <c r="HJ19" s="591">
        <v>2849</v>
      </c>
      <c r="HK19" s="591">
        <v>0</v>
      </c>
      <c r="HL19" s="591">
        <v>0</v>
      </c>
      <c r="HM19" s="591">
        <v>0</v>
      </c>
      <c r="HN19" s="591">
        <v>0</v>
      </c>
      <c r="HO19" s="591">
        <v>0</v>
      </c>
      <c r="HP19" s="591">
        <v>0</v>
      </c>
      <c r="HQ19" s="591">
        <v>0</v>
      </c>
      <c r="HR19" s="591">
        <v>0</v>
      </c>
      <c r="HS19" s="591">
        <v>2756565</v>
      </c>
      <c r="HT19" s="591">
        <v>0</v>
      </c>
      <c r="HU19" s="591">
        <v>0</v>
      </c>
      <c r="HV19" s="591">
        <v>0</v>
      </c>
      <c r="HW19" s="591">
        <v>0</v>
      </c>
      <c r="HX19" s="591">
        <v>53</v>
      </c>
      <c r="HY19" s="591">
        <v>30</v>
      </c>
      <c r="HZ19" s="591">
        <v>80</v>
      </c>
      <c r="IA19" s="591">
        <v>76</v>
      </c>
      <c r="IB19" s="591">
        <v>48</v>
      </c>
      <c r="IC19" s="591">
        <v>244</v>
      </c>
      <c r="ID19" s="591">
        <v>0</v>
      </c>
      <c r="IE19" s="591">
        <v>0</v>
      </c>
      <c r="IF19" s="591">
        <v>0</v>
      </c>
      <c r="IG19" s="591">
        <v>0</v>
      </c>
      <c r="IH19" s="591">
        <v>109</v>
      </c>
      <c r="II19" s="591">
        <v>0</v>
      </c>
      <c r="IJ19" s="591">
        <v>78.39200000000001</v>
      </c>
      <c r="IK19" s="591">
        <v>0</v>
      </c>
      <c r="IL19" s="591">
        <v>0</v>
      </c>
      <c r="IM19" s="591">
        <v>0</v>
      </c>
      <c r="IN19" s="591">
        <v>0</v>
      </c>
      <c r="IO19" s="591">
        <v>0</v>
      </c>
      <c r="IP19" s="591">
        <v>0</v>
      </c>
      <c r="IQ19" s="591">
        <v>78.39200000000001</v>
      </c>
      <c r="IR19" s="591">
        <v>48282</v>
      </c>
      <c r="IS19" s="591">
        <v>0</v>
      </c>
      <c r="IT19" s="591">
        <v>0</v>
      </c>
      <c r="IU19" s="591">
        <v>0</v>
      </c>
      <c r="IV19" s="591">
        <v>0</v>
      </c>
      <c r="IW19" s="591">
        <v>6159</v>
      </c>
      <c r="IX19" s="591">
        <v>0</v>
      </c>
      <c r="IY19" s="591">
        <v>0</v>
      </c>
      <c r="IZ19" s="591">
        <v>0</v>
      </c>
      <c r="JA19" s="591">
        <v>0</v>
      </c>
      <c r="JB19" s="591">
        <v>0</v>
      </c>
      <c r="JC19" s="591">
        <v>0</v>
      </c>
      <c r="JD19" s="591">
        <v>0</v>
      </c>
      <c r="JE19" s="591">
        <v>0</v>
      </c>
      <c r="JF19" s="591">
        <v>0</v>
      </c>
      <c r="JG19" s="591">
        <v>0</v>
      </c>
      <c r="JH19" s="591">
        <v>0</v>
      </c>
      <c r="JI19" s="591">
        <v>0</v>
      </c>
      <c r="JJ19" s="591">
        <v>0</v>
      </c>
      <c r="JK19" s="591">
        <v>0</v>
      </c>
      <c r="JL19" s="591">
        <v>0</v>
      </c>
      <c r="JM19" s="591">
        <v>0</v>
      </c>
      <c r="JN19" s="591">
        <v>32469</v>
      </c>
    </row>
    <row r="20" spans="1:274" x14ac:dyDescent="0.25">
      <c r="A20" s="591">
        <v>32570</v>
      </c>
      <c r="B20" s="591">
        <v>15827</v>
      </c>
      <c r="C20" s="591">
        <v>9</v>
      </c>
      <c r="D20" s="591">
        <v>2022</v>
      </c>
      <c r="E20" s="591">
        <v>6159</v>
      </c>
      <c r="F20" s="591">
        <v>0</v>
      </c>
      <c r="G20" s="591">
        <v>3095.4630000000002</v>
      </c>
      <c r="H20" s="591">
        <v>2882.3690000000001</v>
      </c>
      <c r="I20" s="591">
        <v>2882.3690000000001</v>
      </c>
      <c r="J20" s="591">
        <v>3095.4630000000002</v>
      </c>
      <c r="K20" s="591">
        <v>0</v>
      </c>
      <c r="L20" s="591">
        <v>6159</v>
      </c>
      <c r="M20" s="591">
        <v>0</v>
      </c>
      <c r="N20" s="591">
        <v>0</v>
      </c>
      <c r="O20" s="591">
        <v>0</v>
      </c>
      <c r="P20" s="591">
        <v>3001.547</v>
      </c>
      <c r="Q20" s="591">
        <v>0</v>
      </c>
      <c r="R20" s="591">
        <v>1207907</v>
      </c>
      <c r="S20" s="591">
        <v>402.428</v>
      </c>
      <c r="T20" s="591">
        <v>0</v>
      </c>
      <c r="U20" s="591">
        <v>0</v>
      </c>
      <c r="V20" s="591">
        <v>551.29200000000003</v>
      </c>
      <c r="W20" s="591">
        <v>339545</v>
      </c>
      <c r="X20" s="591">
        <v>339545</v>
      </c>
      <c r="Y20" s="591">
        <v>0</v>
      </c>
      <c r="Z20" s="591">
        <v>0</v>
      </c>
      <c r="AA20" s="591">
        <v>0</v>
      </c>
      <c r="AB20" s="591">
        <v>0</v>
      </c>
      <c r="AC20" s="591">
        <v>0</v>
      </c>
      <c r="AD20" s="591" t="s">
        <v>316</v>
      </c>
      <c r="AE20" s="591">
        <v>0</v>
      </c>
      <c r="AF20" s="591">
        <v>0</v>
      </c>
      <c r="AG20" s="591">
        <v>0</v>
      </c>
      <c r="AH20" s="591">
        <v>0</v>
      </c>
      <c r="AI20" s="591">
        <v>0</v>
      </c>
      <c r="AJ20" s="591">
        <v>6159</v>
      </c>
      <c r="AK20" s="591" t="s">
        <v>671</v>
      </c>
      <c r="AL20" s="591" t="s">
        <v>15</v>
      </c>
      <c r="AM20" s="591">
        <v>0</v>
      </c>
      <c r="AN20" s="591">
        <v>0</v>
      </c>
      <c r="AO20" s="591">
        <v>0</v>
      </c>
      <c r="AP20" s="591">
        <v>0</v>
      </c>
      <c r="AQ20" s="591">
        <v>0</v>
      </c>
      <c r="AR20" s="591">
        <v>0</v>
      </c>
      <c r="AS20" s="591">
        <v>0</v>
      </c>
      <c r="AT20" s="591">
        <v>0</v>
      </c>
      <c r="AU20" s="591">
        <v>0</v>
      </c>
      <c r="AV20" s="591">
        <v>0</v>
      </c>
      <c r="AW20" s="591">
        <v>31087602</v>
      </c>
      <c r="AX20" s="591">
        <v>30535482</v>
      </c>
      <c r="AY20" s="591">
        <v>0</v>
      </c>
      <c r="AZ20" s="591">
        <v>1207907</v>
      </c>
      <c r="BA20" s="591">
        <v>0</v>
      </c>
      <c r="BB20" s="591">
        <v>0</v>
      </c>
      <c r="BC20" s="591">
        <v>0</v>
      </c>
      <c r="BD20" s="591">
        <v>0</v>
      </c>
      <c r="BE20" s="591">
        <v>406</v>
      </c>
      <c r="BF20" s="591">
        <v>28217535</v>
      </c>
      <c r="BG20" s="591">
        <v>0</v>
      </c>
      <c r="BH20" s="591">
        <v>0</v>
      </c>
      <c r="BI20" s="591">
        <v>0</v>
      </c>
      <c r="BJ20" s="591">
        <v>12</v>
      </c>
      <c r="BK20" s="591">
        <v>0</v>
      </c>
      <c r="BL20" s="591">
        <v>0</v>
      </c>
      <c r="BM20" s="591">
        <v>0</v>
      </c>
      <c r="BN20" s="591">
        <v>0</v>
      </c>
      <c r="BO20" s="591">
        <v>0</v>
      </c>
      <c r="BP20" s="591">
        <v>0</v>
      </c>
      <c r="BQ20" s="591">
        <v>326</v>
      </c>
      <c r="BR20" s="591">
        <v>0</v>
      </c>
      <c r="BS20" s="591">
        <v>0</v>
      </c>
      <c r="BT20" s="591">
        <v>0</v>
      </c>
      <c r="BU20" s="591">
        <v>0</v>
      </c>
      <c r="BV20" s="591">
        <v>0</v>
      </c>
      <c r="BW20" s="591">
        <v>0</v>
      </c>
      <c r="BX20" s="591">
        <v>0</v>
      </c>
      <c r="BY20" s="591">
        <v>0</v>
      </c>
      <c r="BZ20" s="591">
        <v>0</v>
      </c>
      <c r="CA20" s="591">
        <v>0</v>
      </c>
      <c r="CB20" s="591">
        <v>0</v>
      </c>
      <c r="CC20" s="591">
        <v>0</v>
      </c>
      <c r="CD20" s="591">
        <v>0</v>
      </c>
      <c r="CE20" s="591">
        <v>0</v>
      </c>
      <c r="CF20" s="591">
        <v>0</v>
      </c>
      <c r="CG20" s="591">
        <v>0</v>
      </c>
      <c r="CH20" s="591">
        <v>560931</v>
      </c>
      <c r="CI20" s="591">
        <v>0</v>
      </c>
      <c r="CJ20" s="591">
        <v>4</v>
      </c>
      <c r="CK20" s="591">
        <v>0</v>
      </c>
      <c r="CL20" s="591">
        <v>0</v>
      </c>
      <c r="CM20" s="591">
        <v>0</v>
      </c>
      <c r="CN20" s="591">
        <v>0</v>
      </c>
      <c r="CO20" s="591">
        <v>1</v>
      </c>
      <c r="CP20" s="591">
        <v>0</v>
      </c>
      <c r="CQ20" s="591">
        <v>0</v>
      </c>
      <c r="CR20" s="591">
        <v>3095.4630000000002</v>
      </c>
      <c r="CS20" s="591">
        <v>0</v>
      </c>
      <c r="CT20" s="591">
        <v>0</v>
      </c>
      <c r="CU20" s="591">
        <v>0</v>
      </c>
      <c r="CV20" s="591">
        <v>0</v>
      </c>
      <c r="CW20" s="591">
        <v>0</v>
      </c>
      <c r="CX20" s="591">
        <v>0</v>
      </c>
      <c r="CY20" s="591">
        <v>0</v>
      </c>
      <c r="CZ20" s="591">
        <v>0</v>
      </c>
      <c r="DA20" s="591">
        <v>0</v>
      </c>
      <c r="DB20" s="591">
        <v>17752748</v>
      </c>
      <c r="DC20" s="591">
        <v>0</v>
      </c>
      <c r="DD20" s="591">
        <v>0</v>
      </c>
      <c r="DE20" s="591">
        <v>3041432</v>
      </c>
      <c r="DF20" s="591">
        <v>3041432</v>
      </c>
      <c r="DG20" s="591">
        <v>493.81300000000005</v>
      </c>
      <c r="DH20" s="591">
        <v>0</v>
      </c>
      <c r="DI20" s="591">
        <v>0</v>
      </c>
      <c r="DJ20" s="591">
        <v>0</v>
      </c>
      <c r="DK20" s="591">
        <v>0</v>
      </c>
      <c r="DL20" s="591">
        <v>0</v>
      </c>
      <c r="DM20" s="591">
        <v>2203040</v>
      </c>
      <c r="DN20" s="591">
        <v>8405</v>
      </c>
      <c r="DO20" s="591">
        <v>0</v>
      </c>
      <c r="DP20" s="591">
        <v>0</v>
      </c>
      <c r="DQ20" s="591">
        <v>0</v>
      </c>
      <c r="DR20" s="591">
        <v>0</v>
      </c>
      <c r="DS20" s="591">
        <v>0</v>
      </c>
      <c r="DT20" s="591">
        <v>0</v>
      </c>
      <c r="DU20" s="591">
        <v>0</v>
      </c>
      <c r="DV20" s="591">
        <v>0</v>
      </c>
      <c r="DW20" s="591">
        <v>0</v>
      </c>
      <c r="DX20" s="591">
        <v>0</v>
      </c>
      <c r="DY20" s="591">
        <v>0</v>
      </c>
      <c r="DZ20" s="591">
        <v>0</v>
      </c>
      <c r="EA20" s="591">
        <v>0</v>
      </c>
      <c r="EB20" s="591">
        <v>0</v>
      </c>
      <c r="EC20" s="591">
        <v>91.615000000000009</v>
      </c>
      <c r="ED20" s="591">
        <v>648904</v>
      </c>
      <c r="EE20" s="591">
        <v>0</v>
      </c>
      <c r="EF20" s="591">
        <v>0</v>
      </c>
      <c r="EG20" s="591">
        <v>0</v>
      </c>
      <c r="EH20" s="591">
        <v>1562541</v>
      </c>
      <c r="EI20" s="591">
        <v>0</v>
      </c>
      <c r="EJ20" s="591">
        <v>0</v>
      </c>
      <c r="EK20" s="591">
        <v>69.625</v>
      </c>
      <c r="EL20" s="591">
        <v>0</v>
      </c>
      <c r="EM20" s="591">
        <v>4.9140000000000006</v>
      </c>
      <c r="EN20" s="591">
        <v>6.016</v>
      </c>
      <c r="EO20" s="591">
        <v>0</v>
      </c>
      <c r="EP20" s="591">
        <v>0</v>
      </c>
      <c r="EQ20" s="591">
        <v>80.555000000000007</v>
      </c>
      <c r="ER20" s="591">
        <v>0</v>
      </c>
      <c r="ES20" s="591">
        <v>253.697</v>
      </c>
      <c r="ET20" s="591">
        <v>0</v>
      </c>
      <c r="EU20" s="591">
        <v>0</v>
      </c>
      <c r="EV20" s="591">
        <v>0</v>
      </c>
      <c r="EW20" s="591">
        <v>0</v>
      </c>
      <c r="EX20" s="591">
        <v>0</v>
      </c>
      <c r="EY20" s="591">
        <v>0</v>
      </c>
      <c r="EZ20" s="591">
        <v>27016479</v>
      </c>
      <c r="FA20" s="591">
        <v>0</v>
      </c>
      <c r="FB20" s="591">
        <v>28215575</v>
      </c>
      <c r="FC20" s="591">
        <v>0</v>
      </c>
      <c r="FD20" s="591">
        <v>0</v>
      </c>
      <c r="FE20" s="591">
        <v>2922824</v>
      </c>
      <c r="FF20" s="591">
        <v>596179</v>
      </c>
      <c r="FG20" s="591">
        <v>6.4728999999999995E-2</v>
      </c>
      <c r="FH20" s="591">
        <v>2.6405999999999999E-2</v>
      </c>
      <c r="FI20" s="591">
        <v>0</v>
      </c>
      <c r="FJ20" s="591">
        <v>0</v>
      </c>
      <c r="FK20" s="591">
        <v>4581.451</v>
      </c>
      <c r="FL20" s="591">
        <v>32295509</v>
      </c>
      <c r="FM20" s="591">
        <v>0</v>
      </c>
      <c r="FN20" s="591">
        <v>0</v>
      </c>
      <c r="FO20" s="591">
        <v>0</v>
      </c>
      <c r="FP20" s="591">
        <v>0</v>
      </c>
      <c r="FQ20" s="591">
        <v>0</v>
      </c>
      <c r="FR20" s="591">
        <v>0</v>
      </c>
      <c r="FS20" s="591">
        <v>0</v>
      </c>
      <c r="FT20" s="591">
        <v>0</v>
      </c>
      <c r="FU20" s="591">
        <v>0</v>
      </c>
      <c r="FV20" s="591">
        <v>0</v>
      </c>
      <c r="FW20" s="591">
        <v>0</v>
      </c>
      <c r="FX20" s="591">
        <v>0</v>
      </c>
      <c r="FY20" s="591">
        <v>0</v>
      </c>
      <c r="FZ20" s="591">
        <v>0</v>
      </c>
      <c r="GA20" s="591">
        <v>0</v>
      </c>
      <c r="GB20" s="591">
        <v>1102030</v>
      </c>
      <c r="GC20" s="591">
        <v>1102030</v>
      </c>
      <c r="GD20" s="591">
        <v>132.53900000000002</v>
      </c>
      <c r="GE20" s="591">
        <v>0</v>
      </c>
      <c r="GF20" s="591">
        <v>0</v>
      </c>
      <c r="GG20" s="591">
        <v>0</v>
      </c>
      <c r="GH20" s="591">
        <v>0</v>
      </c>
      <c r="GI20" s="591">
        <v>0</v>
      </c>
      <c r="GJ20" s="591">
        <v>0</v>
      </c>
      <c r="GK20" s="591">
        <v>0</v>
      </c>
      <c r="GL20" s="591">
        <v>0</v>
      </c>
      <c r="GM20" s="591">
        <v>0</v>
      </c>
      <c r="GN20" s="591">
        <v>0</v>
      </c>
      <c r="GO20" s="591">
        <v>0</v>
      </c>
      <c r="GP20" s="591">
        <v>0</v>
      </c>
      <c r="GQ20" s="591">
        <v>0</v>
      </c>
      <c r="GR20" s="591">
        <v>0</v>
      </c>
      <c r="GS20" s="591">
        <v>0</v>
      </c>
      <c r="GT20" s="591">
        <v>0</v>
      </c>
      <c r="GU20" s="591">
        <v>0</v>
      </c>
      <c r="GV20" s="591">
        <v>0</v>
      </c>
      <c r="GW20" s="591">
        <v>0</v>
      </c>
      <c r="GX20" s="591">
        <v>0</v>
      </c>
      <c r="GY20" s="591">
        <v>0</v>
      </c>
      <c r="GZ20" s="591">
        <v>0</v>
      </c>
      <c r="HA20" s="591">
        <v>0</v>
      </c>
      <c r="HB20" s="591">
        <v>260009272</v>
      </c>
      <c r="HC20" s="591">
        <v>5.1774999999999995E-2</v>
      </c>
      <c r="HD20" s="591">
        <v>560931</v>
      </c>
      <c r="HE20" s="591">
        <v>0</v>
      </c>
      <c r="HF20" s="591">
        <v>3167724</v>
      </c>
      <c r="HG20" s="591">
        <v>49273</v>
      </c>
      <c r="HH20" s="591">
        <v>438250</v>
      </c>
      <c r="HI20" s="591">
        <v>0</v>
      </c>
      <c r="HJ20" s="591">
        <v>30088</v>
      </c>
      <c r="HK20" s="591">
        <v>3071</v>
      </c>
      <c r="HL20" s="591">
        <v>3780</v>
      </c>
      <c r="HM20" s="591">
        <v>85000</v>
      </c>
      <c r="HN20" s="591">
        <v>0</v>
      </c>
      <c r="HO20" s="591">
        <v>0</v>
      </c>
      <c r="HP20" s="591">
        <v>0</v>
      </c>
      <c r="HQ20" s="591">
        <v>0</v>
      </c>
      <c r="HR20" s="591">
        <v>0</v>
      </c>
      <c r="HS20" s="591">
        <v>27007668</v>
      </c>
      <c r="HT20" s="591">
        <v>0</v>
      </c>
      <c r="HU20" s="591">
        <v>0</v>
      </c>
      <c r="HV20" s="591">
        <v>0</v>
      </c>
      <c r="HW20" s="591">
        <v>0</v>
      </c>
      <c r="HX20" s="591">
        <v>410</v>
      </c>
      <c r="HY20" s="591">
        <v>478</v>
      </c>
      <c r="HZ20" s="591">
        <v>404</v>
      </c>
      <c r="IA20" s="591">
        <v>371</v>
      </c>
      <c r="IB20" s="591">
        <v>326</v>
      </c>
      <c r="IC20" s="591">
        <v>1989</v>
      </c>
      <c r="ID20" s="591">
        <v>0</v>
      </c>
      <c r="IE20" s="591">
        <v>0</v>
      </c>
      <c r="IF20" s="591">
        <v>0</v>
      </c>
      <c r="IG20" s="591">
        <v>80</v>
      </c>
      <c r="IH20" s="591">
        <v>711.55000000000007</v>
      </c>
      <c r="II20" s="591">
        <v>0</v>
      </c>
      <c r="IJ20" s="591">
        <v>551.29200000000003</v>
      </c>
      <c r="IK20" s="591">
        <v>0</v>
      </c>
      <c r="IL20" s="591">
        <v>14</v>
      </c>
      <c r="IM20" s="591">
        <v>5</v>
      </c>
      <c r="IN20" s="591">
        <v>0</v>
      </c>
      <c r="IO20" s="591">
        <v>19</v>
      </c>
      <c r="IP20" s="591">
        <v>0</v>
      </c>
      <c r="IQ20" s="591">
        <v>551.29200000000003</v>
      </c>
      <c r="IR20" s="591">
        <v>339545</v>
      </c>
      <c r="IS20" s="591">
        <v>0</v>
      </c>
      <c r="IT20" s="591">
        <v>70000</v>
      </c>
      <c r="IU20" s="591">
        <v>15000</v>
      </c>
      <c r="IV20" s="591">
        <v>0</v>
      </c>
      <c r="IW20" s="591">
        <v>6159</v>
      </c>
      <c r="IX20" s="591">
        <v>0</v>
      </c>
      <c r="IY20" s="591">
        <v>0</v>
      </c>
      <c r="IZ20" s="591">
        <v>0</v>
      </c>
      <c r="JA20" s="591">
        <v>0</v>
      </c>
      <c r="JB20" s="591">
        <v>0</v>
      </c>
      <c r="JC20" s="591">
        <v>0</v>
      </c>
      <c r="JD20" s="591">
        <v>0</v>
      </c>
      <c r="JE20" s="591">
        <v>0</v>
      </c>
      <c r="JF20" s="591">
        <v>0</v>
      </c>
      <c r="JG20" s="591">
        <v>0</v>
      </c>
      <c r="JH20" s="591">
        <v>0</v>
      </c>
      <c r="JI20" s="591">
        <v>0</v>
      </c>
      <c r="JJ20" s="591">
        <v>0</v>
      </c>
      <c r="JK20" s="591">
        <v>0</v>
      </c>
      <c r="JL20" s="591">
        <v>0</v>
      </c>
      <c r="JM20" s="591">
        <v>0</v>
      </c>
      <c r="JN20" s="591">
        <v>32469</v>
      </c>
    </row>
    <row r="21" spans="1:274" x14ac:dyDescent="0.25">
      <c r="A21" s="591">
        <v>32570</v>
      </c>
      <c r="B21" s="591">
        <v>15828</v>
      </c>
      <c r="C21" s="591">
        <v>9</v>
      </c>
      <c r="D21" s="591">
        <v>2022</v>
      </c>
      <c r="E21" s="591">
        <v>6159</v>
      </c>
      <c r="F21" s="591">
        <v>0</v>
      </c>
      <c r="G21" s="591">
        <v>4235.5770000000002</v>
      </c>
      <c r="H21" s="591">
        <v>3805.4670000000001</v>
      </c>
      <c r="I21" s="591">
        <v>3805.4670000000001</v>
      </c>
      <c r="J21" s="591">
        <v>4235.5770000000002</v>
      </c>
      <c r="K21" s="591">
        <v>0</v>
      </c>
      <c r="L21" s="591">
        <v>6159</v>
      </c>
      <c r="M21" s="591">
        <v>0</v>
      </c>
      <c r="N21" s="591">
        <v>0</v>
      </c>
      <c r="O21" s="591">
        <v>0</v>
      </c>
      <c r="P21" s="591">
        <v>4133.1329999999998</v>
      </c>
      <c r="Q21" s="591">
        <v>0</v>
      </c>
      <c r="R21" s="591">
        <v>1663288</v>
      </c>
      <c r="S21" s="591">
        <v>402.428</v>
      </c>
      <c r="T21" s="591">
        <v>0</v>
      </c>
      <c r="U21" s="591">
        <v>0</v>
      </c>
      <c r="V21" s="591">
        <v>1452.905</v>
      </c>
      <c r="W21" s="591">
        <v>894856</v>
      </c>
      <c r="X21" s="591">
        <v>894856</v>
      </c>
      <c r="Y21" s="591">
        <v>0</v>
      </c>
      <c r="Z21" s="591">
        <v>0</v>
      </c>
      <c r="AA21" s="591">
        <v>0</v>
      </c>
      <c r="AB21" s="591">
        <v>0</v>
      </c>
      <c r="AC21" s="591">
        <v>0</v>
      </c>
      <c r="AD21" s="591" t="s">
        <v>316</v>
      </c>
      <c r="AE21" s="591">
        <v>0</v>
      </c>
      <c r="AF21" s="591">
        <v>0</v>
      </c>
      <c r="AG21" s="591">
        <v>0</v>
      </c>
      <c r="AH21" s="591">
        <v>0</v>
      </c>
      <c r="AI21" s="591">
        <v>0</v>
      </c>
      <c r="AJ21" s="591">
        <v>6159</v>
      </c>
      <c r="AK21" s="591" t="s">
        <v>671</v>
      </c>
      <c r="AL21" s="591" t="s">
        <v>16</v>
      </c>
      <c r="AM21" s="591">
        <v>0</v>
      </c>
      <c r="AN21" s="591">
        <v>0</v>
      </c>
      <c r="AO21" s="591">
        <v>0</v>
      </c>
      <c r="AP21" s="591">
        <v>0</v>
      </c>
      <c r="AQ21" s="591">
        <v>0</v>
      </c>
      <c r="AR21" s="591">
        <v>0</v>
      </c>
      <c r="AS21" s="591">
        <v>0</v>
      </c>
      <c r="AT21" s="591">
        <v>0</v>
      </c>
      <c r="AU21" s="591">
        <v>0</v>
      </c>
      <c r="AV21" s="591">
        <v>0</v>
      </c>
      <c r="AW21" s="591">
        <v>45909089</v>
      </c>
      <c r="AX21" s="591">
        <v>45154184</v>
      </c>
      <c r="AY21" s="591">
        <v>0</v>
      </c>
      <c r="AZ21" s="591">
        <v>1663288</v>
      </c>
      <c r="BA21" s="591">
        <v>0</v>
      </c>
      <c r="BB21" s="591">
        <v>0</v>
      </c>
      <c r="BC21" s="591">
        <v>0</v>
      </c>
      <c r="BD21" s="591">
        <v>35</v>
      </c>
      <c r="BE21" s="591">
        <v>599</v>
      </c>
      <c r="BF21" s="591">
        <v>41603884</v>
      </c>
      <c r="BG21" s="591">
        <v>0</v>
      </c>
      <c r="BH21" s="591">
        <v>0</v>
      </c>
      <c r="BI21" s="591">
        <v>0</v>
      </c>
      <c r="BJ21" s="591">
        <v>12</v>
      </c>
      <c r="BK21" s="591">
        <v>0</v>
      </c>
      <c r="BL21" s="591">
        <v>0</v>
      </c>
      <c r="BM21" s="591">
        <v>0</v>
      </c>
      <c r="BN21" s="591">
        <v>0</v>
      </c>
      <c r="BO21" s="591">
        <v>0</v>
      </c>
      <c r="BP21" s="591">
        <v>0</v>
      </c>
      <c r="BQ21" s="591">
        <v>184</v>
      </c>
      <c r="BR21" s="591">
        <v>0</v>
      </c>
      <c r="BS21" s="591">
        <v>0</v>
      </c>
      <c r="BT21" s="591">
        <v>0</v>
      </c>
      <c r="BU21" s="591">
        <v>0</v>
      </c>
      <c r="BV21" s="591">
        <v>0</v>
      </c>
      <c r="BW21" s="591">
        <v>0</v>
      </c>
      <c r="BX21" s="591">
        <v>0</v>
      </c>
      <c r="BY21" s="591">
        <v>0</v>
      </c>
      <c r="BZ21" s="591">
        <v>0</v>
      </c>
      <c r="CA21" s="591">
        <v>0</v>
      </c>
      <c r="CB21" s="591">
        <v>0</v>
      </c>
      <c r="CC21" s="591">
        <v>0</v>
      </c>
      <c r="CD21" s="591">
        <v>0</v>
      </c>
      <c r="CE21" s="591">
        <v>0</v>
      </c>
      <c r="CF21" s="591">
        <v>0</v>
      </c>
      <c r="CG21" s="591">
        <v>0</v>
      </c>
      <c r="CH21" s="591">
        <v>767532</v>
      </c>
      <c r="CI21" s="591">
        <v>0</v>
      </c>
      <c r="CJ21" s="591">
        <v>4</v>
      </c>
      <c r="CK21" s="591">
        <v>0</v>
      </c>
      <c r="CL21" s="591">
        <v>0</v>
      </c>
      <c r="CM21" s="591">
        <v>0</v>
      </c>
      <c r="CN21" s="591">
        <v>0</v>
      </c>
      <c r="CO21" s="591">
        <v>1</v>
      </c>
      <c r="CP21" s="591">
        <v>0</v>
      </c>
      <c r="CQ21" s="591">
        <v>0</v>
      </c>
      <c r="CR21" s="591">
        <v>4235.5770000000002</v>
      </c>
      <c r="CS21" s="591">
        <v>0</v>
      </c>
      <c r="CT21" s="591">
        <v>0</v>
      </c>
      <c r="CU21" s="591">
        <v>0</v>
      </c>
      <c r="CV21" s="591">
        <v>0</v>
      </c>
      <c r="CW21" s="591">
        <v>0</v>
      </c>
      <c r="CX21" s="591">
        <v>0</v>
      </c>
      <c r="CY21" s="591">
        <v>0</v>
      </c>
      <c r="CZ21" s="591">
        <v>0</v>
      </c>
      <c r="DA21" s="591">
        <v>0</v>
      </c>
      <c r="DB21" s="591">
        <v>23406351</v>
      </c>
      <c r="DC21" s="591">
        <v>0</v>
      </c>
      <c r="DD21" s="591">
        <v>0</v>
      </c>
      <c r="DE21" s="591">
        <v>5704311</v>
      </c>
      <c r="DF21" s="591">
        <v>5704311</v>
      </c>
      <c r="DG21" s="591">
        <v>926.16300000000001</v>
      </c>
      <c r="DH21" s="591">
        <v>0</v>
      </c>
      <c r="DI21" s="591">
        <v>0</v>
      </c>
      <c r="DJ21" s="591">
        <v>0</v>
      </c>
      <c r="DK21" s="591">
        <v>0</v>
      </c>
      <c r="DL21" s="591">
        <v>0</v>
      </c>
      <c r="DM21" s="591">
        <v>3184309</v>
      </c>
      <c r="DN21" s="591">
        <v>12028</v>
      </c>
      <c r="DO21" s="591">
        <v>0</v>
      </c>
      <c r="DP21" s="591">
        <v>0</v>
      </c>
      <c r="DQ21" s="591">
        <v>0</v>
      </c>
      <c r="DR21" s="591">
        <v>0</v>
      </c>
      <c r="DS21" s="591">
        <v>0</v>
      </c>
      <c r="DT21" s="591">
        <v>0</v>
      </c>
      <c r="DU21" s="591">
        <v>0</v>
      </c>
      <c r="DV21" s="591">
        <v>0</v>
      </c>
      <c r="DW21" s="591">
        <v>0</v>
      </c>
      <c r="DX21" s="591">
        <v>0</v>
      </c>
      <c r="DY21" s="591">
        <v>0</v>
      </c>
      <c r="DZ21" s="591">
        <v>0</v>
      </c>
      <c r="EA21" s="591">
        <v>0</v>
      </c>
      <c r="EB21" s="591">
        <v>0</v>
      </c>
      <c r="EC21" s="591">
        <v>79.853000000000009</v>
      </c>
      <c r="ED21" s="591">
        <v>565594</v>
      </c>
      <c r="EE21" s="591">
        <v>0</v>
      </c>
      <c r="EF21" s="591">
        <v>0</v>
      </c>
      <c r="EG21" s="591">
        <v>0</v>
      </c>
      <c r="EH21" s="591">
        <v>2598909</v>
      </c>
      <c r="EI21" s="591">
        <v>0</v>
      </c>
      <c r="EJ21" s="591">
        <v>0</v>
      </c>
      <c r="EK21" s="591">
        <v>106.873</v>
      </c>
      <c r="EL21" s="591">
        <v>0</v>
      </c>
      <c r="EM21" s="591">
        <v>20.6</v>
      </c>
      <c r="EN21" s="591">
        <v>7.7010000000000005</v>
      </c>
      <c r="EO21" s="591">
        <v>0</v>
      </c>
      <c r="EP21" s="591">
        <v>0</v>
      </c>
      <c r="EQ21" s="591">
        <v>135.626</v>
      </c>
      <c r="ER21" s="591">
        <v>0.45200000000000001</v>
      </c>
      <c r="ES21" s="591">
        <v>421.964</v>
      </c>
      <c r="ET21" s="591">
        <v>0</v>
      </c>
      <c r="EU21" s="591">
        <v>0</v>
      </c>
      <c r="EV21" s="591">
        <v>0</v>
      </c>
      <c r="EW21" s="591">
        <v>0</v>
      </c>
      <c r="EX21" s="591">
        <v>0</v>
      </c>
      <c r="EY21" s="591">
        <v>0</v>
      </c>
      <c r="EZ21" s="591">
        <v>39965773</v>
      </c>
      <c r="FA21" s="591">
        <v>0</v>
      </c>
      <c r="FB21" s="591">
        <v>41616434</v>
      </c>
      <c r="FC21" s="591">
        <v>0</v>
      </c>
      <c r="FD21" s="591">
        <v>0</v>
      </c>
      <c r="FE21" s="591">
        <v>4309406</v>
      </c>
      <c r="FF21" s="591">
        <v>879005</v>
      </c>
      <c r="FG21" s="591">
        <v>6.4728999999999995E-2</v>
      </c>
      <c r="FH21" s="591">
        <v>2.6405999999999999E-2</v>
      </c>
      <c r="FI21" s="591">
        <v>0</v>
      </c>
      <c r="FJ21" s="591">
        <v>0</v>
      </c>
      <c r="FK21" s="591">
        <v>6754.8830000000007</v>
      </c>
      <c r="FL21" s="591">
        <v>47572377</v>
      </c>
      <c r="FM21" s="591">
        <v>0</v>
      </c>
      <c r="FN21" s="591">
        <v>0</v>
      </c>
      <c r="FO21" s="591">
        <v>0</v>
      </c>
      <c r="FP21" s="591">
        <v>0</v>
      </c>
      <c r="FQ21" s="591">
        <v>0</v>
      </c>
      <c r="FR21" s="591">
        <v>0</v>
      </c>
      <c r="FS21" s="591">
        <v>0</v>
      </c>
      <c r="FT21" s="591">
        <v>0</v>
      </c>
      <c r="FU21" s="591">
        <v>0</v>
      </c>
      <c r="FV21" s="591">
        <v>0</v>
      </c>
      <c r="FW21" s="591">
        <v>0</v>
      </c>
      <c r="FX21" s="591">
        <v>0</v>
      </c>
      <c r="FY21" s="591">
        <v>0</v>
      </c>
      <c r="FZ21" s="591">
        <v>0</v>
      </c>
      <c r="GA21" s="591">
        <v>0</v>
      </c>
      <c r="GB21" s="591">
        <v>2448564</v>
      </c>
      <c r="GC21" s="591">
        <v>2448564</v>
      </c>
      <c r="GD21" s="591">
        <v>294.48400000000004</v>
      </c>
      <c r="GE21" s="591">
        <v>0</v>
      </c>
      <c r="GF21" s="591">
        <v>0</v>
      </c>
      <c r="GG21" s="591">
        <v>0</v>
      </c>
      <c r="GH21" s="591">
        <v>0</v>
      </c>
      <c r="GI21" s="591">
        <v>0</v>
      </c>
      <c r="GJ21" s="591">
        <v>0</v>
      </c>
      <c r="GK21" s="591">
        <v>0</v>
      </c>
      <c r="GL21" s="591">
        <v>0</v>
      </c>
      <c r="GM21" s="591">
        <v>0</v>
      </c>
      <c r="GN21" s="591">
        <v>0</v>
      </c>
      <c r="GO21" s="591">
        <v>0</v>
      </c>
      <c r="GP21" s="591">
        <v>0</v>
      </c>
      <c r="GQ21" s="591">
        <v>0</v>
      </c>
      <c r="GR21" s="591">
        <v>0</v>
      </c>
      <c r="GS21" s="591">
        <v>0</v>
      </c>
      <c r="GT21" s="591">
        <v>0</v>
      </c>
      <c r="GU21" s="591">
        <v>0</v>
      </c>
      <c r="GV21" s="591">
        <v>0</v>
      </c>
      <c r="GW21" s="591">
        <v>0</v>
      </c>
      <c r="GX21" s="591">
        <v>0</v>
      </c>
      <c r="GY21" s="591">
        <v>0</v>
      </c>
      <c r="GZ21" s="591">
        <v>0</v>
      </c>
      <c r="HA21" s="591">
        <v>0</v>
      </c>
      <c r="HB21" s="591">
        <v>260009272</v>
      </c>
      <c r="HC21" s="591">
        <v>5.1774999999999995E-2</v>
      </c>
      <c r="HD21" s="591">
        <v>767532</v>
      </c>
      <c r="HE21" s="591">
        <v>0</v>
      </c>
      <c r="HF21" s="591">
        <v>4182208</v>
      </c>
      <c r="HG21" s="591">
        <v>65902</v>
      </c>
      <c r="HH21" s="591">
        <v>798995</v>
      </c>
      <c r="HI21" s="591">
        <v>0</v>
      </c>
      <c r="HJ21" s="591">
        <v>41170</v>
      </c>
      <c r="HK21" s="591">
        <v>12486</v>
      </c>
      <c r="HL21" s="591">
        <v>12691</v>
      </c>
      <c r="HM21" s="591">
        <v>278000</v>
      </c>
      <c r="HN21" s="591">
        <v>488190</v>
      </c>
      <c r="HO21" s="591">
        <v>99000</v>
      </c>
      <c r="HP21" s="591">
        <v>0</v>
      </c>
      <c r="HQ21" s="591">
        <v>0</v>
      </c>
      <c r="HR21" s="591">
        <v>0</v>
      </c>
      <c r="HS21" s="591">
        <v>39953146</v>
      </c>
      <c r="HT21" s="591">
        <v>0</v>
      </c>
      <c r="HU21" s="591">
        <v>0</v>
      </c>
      <c r="HV21" s="591">
        <v>0</v>
      </c>
      <c r="HW21" s="591">
        <v>0</v>
      </c>
      <c r="HX21" s="591">
        <v>367</v>
      </c>
      <c r="HY21" s="591">
        <v>760</v>
      </c>
      <c r="HZ21" s="591">
        <v>693</v>
      </c>
      <c r="IA21" s="591">
        <v>853</v>
      </c>
      <c r="IB21" s="591">
        <v>967</v>
      </c>
      <c r="IC21" s="591">
        <v>3593</v>
      </c>
      <c r="ID21" s="591">
        <v>0</v>
      </c>
      <c r="IE21" s="591">
        <v>0</v>
      </c>
      <c r="IF21" s="591">
        <v>0</v>
      </c>
      <c r="IG21" s="591">
        <v>107</v>
      </c>
      <c r="IH21" s="591">
        <v>1297.2630000000001</v>
      </c>
      <c r="II21" s="591">
        <v>0</v>
      </c>
      <c r="IJ21" s="591">
        <v>1452.905</v>
      </c>
      <c r="IK21" s="591">
        <v>0</v>
      </c>
      <c r="IL21" s="591">
        <v>42</v>
      </c>
      <c r="IM21" s="591">
        <v>22</v>
      </c>
      <c r="IN21" s="591">
        <v>1</v>
      </c>
      <c r="IO21" s="591">
        <v>65</v>
      </c>
      <c r="IP21" s="591">
        <v>0</v>
      </c>
      <c r="IQ21" s="591">
        <v>1452.905</v>
      </c>
      <c r="IR21" s="591">
        <v>894856</v>
      </c>
      <c r="IS21" s="591">
        <v>0</v>
      </c>
      <c r="IT21" s="591">
        <v>210000</v>
      </c>
      <c r="IU21" s="591">
        <v>66000</v>
      </c>
      <c r="IV21" s="591">
        <v>2000</v>
      </c>
      <c r="IW21" s="591">
        <v>6159</v>
      </c>
      <c r="IX21" s="591">
        <v>0</v>
      </c>
      <c r="IY21" s="591">
        <v>0</v>
      </c>
      <c r="IZ21" s="591">
        <v>0</v>
      </c>
      <c r="JA21" s="591">
        <v>0</v>
      </c>
      <c r="JB21" s="591">
        <v>3</v>
      </c>
      <c r="JC21" s="591">
        <v>66776</v>
      </c>
      <c r="JD21" s="591">
        <v>21</v>
      </c>
      <c r="JE21" s="591">
        <v>256330</v>
      </c>
      <c r="JF21" s="591">
        <v>23</v>
      </c>
      <c r="JG21" s="591">
        <v>139584</v>
      </c>
      <c r="JH21" s="591">
        <v>25500</v>
      </c>
      <c r="JI21" s="591">
        <v>0</v>
      </c>
      <c r="JJ21" s="591">
        <v>0</v>
      </c>
      <c r="JK21" s="591">
        <v>0</v>
      </c>
      <c r="JL21" s="591">
        <v>0</v>
      </c>
      <c r="JM21" s="591">
        <v>0</v>
      </c>
      <c r="JN21" s="591">
        <v>32469</v>
      </c>
    </row>
    <row r="22" spans="1:274" x14ac:dyDescent="0.25">
      <c r="A22" s="591">
        <v>32570</v>
      </c>
      <c r="B22" s="591">
        <v>15830</v>
      </c>
      <c r="C22" s="591">
        <v>9</v>
      </c>
      <c r="D22" s="591">
        <v>2022</v>
      </c>
      <c r="E22" s="591">
        <v>6159</v>
      </c>
      <c r="F22" s="591">
        <v>0</v>
      </c>
      <c r="G22" s="591">
        <v>2787.5280000000002</v>
      </c>
      <c r="H22" s="591">
        <v>2533.9250000000002</v>
      </c>
      <c r="I22" s="591">
        <v>2533.9250000000002</v>
      </c>
      <c r="J22" s="591">
        <v>2787.5280000000002</v>
      </c>
      <c r="K22" s="591">
        <v>0</v>
      </c>
      <c r="L22" s="591">
        <v>6159</v>
      </c>
      <c r="M22" s="591">
        <v>0</v>
      </c>
      <c r="N22" s="591">
        <v>0</v>
      </c>
      <c r="O22" s="591">
        <v>0</v>
      </c>
      <c r="P22" s="591">
        <v>2850.52</v>
      </c>
      <c r="Q22" s="591">
        <v>0</v>
      </c>
      <c r="R22" s="591">
        <v>1147129</v>
      </c>
      <c r="S22" s="591">
        <v>402.428</v>
      </c>
      <c r="T22" s="591">
        <v>0</v>
      </c>
      <c r="U22" s="591">
        <v>0</v>
      </c>
      <c r="V22" s="591">
        <v>159.56800000000001</v>
      </c>
      <c r="W22" s="591">
        <v>98279</v>
      </c>
      <c r="X22" s="591">
        <v>98279</v>
      </c>
      <c r="Y22" s="591">
        <v>0</v>
      </c>
      <c r="Z22" s="591">
        <v>0</v>
      </c>
      <c r="AA22" s="591">
        <v>0</v>
      </c>
      <c r="AB22" s="591">
        <v>0</v>
      </c>
      <c r="AC22" s="591">
        <v>0</v>
      </c>
      <c r="AD22" s="591" t="s">
        <v>316</v>
      </c>
      <c r="AE22" s="591">
        <v>0</v>
      </c>
      <c r="AF22" s="591">
        <v>0</v>
      </c>
      <c r="AG22" s="591">
        <v>0</v>
      </c>
      <c r="AH22" s="591">
        <v>0</v>
      </c>
      <c r="AI22" s="591">
        <v>0</v>
      </c>
      <c r="AJ22" s="591">
        <v>6159</v>
      </c>
      <c r="AK22" s="591" t="s">
        <v>671</v>
      </c>
      <c r="AL22" s="591" t="s">
        <v>461</v>
      </c>
      <c r="AM22" s="591">
        <v>0</v>
      </c>
      <c r="AN22" s="591">
        <v>0</v>
      </c>
      <c r="AO22" s="591">
        <v>0</v>
      </c>
      <c r="AP22" s="591">
        <v>0</v>
      </c>
      <c r="AQ22" s="591">
        <v>0</v>
      </c>
      <c r="AR22" s="591">
        <v>0</v>
      </c>
      <c r="AS22" s="591">
        <v>0</v>
      </c>
      <c r="AT22" s="591">
        <v>0</v>
      </c>
      <c r="AU22" s="591">
        <v>0</v>
      </c>
      <c r="AV22" s="591">
        <v>0</v>
      </c>
      <c r="AW22" s="591">
        <v>29632845</v>
      </c>
      <c r="AX22" s="591">
        <v>29139141</v>
      </c>
      <c r="AY22" s="591">
        <v>0</v>
      </c>
      <c r="AZ22" s="591">
        <v>1147129</v>
      </c>
      <c r="BA22" s="591">
        <v>0</v>
      </c>
      <c r="BB22" s="591">
        <v>0</v>
      </c>
      <c r="BC22" s="591">
        <v>0</v>
      </c>
      <c r="BD22" s="591">
        <v>0</v>
      </c>
      <c r="BE22" s="591">
        <v>387</v>
      </c>
      <c r="BF22" s="591">
        <v>26913556</v>
      </c>
      <c r="BG22" s="591">
        <v>0</v>
      </c>
      <c r="BH22" s="591">
        <v>0</v>
      </c>
      <c r="BI22" s="591">
        <v>0</v>
      </c>
      <c r="BJ22" s="591">
        <v>12</v>
      </c>
      <c r="BK22" s="591">
        <v>0</v>
      </c>
      <c r="BL22" s="591">
        <v>0</v>
      </c>
      <c r="BM22" s="591">
        <v>0</v>
      </c>
      <c r="BN22" s="591">
        <v>0</v>
      </c>
      <c r="BO22" s="591">
        <v>0</v>
      </c>
      <c r="BP22" s="591">
        <v>0</v>
      </c>
      <c r="BQ22" s="591">
        <v>380</v>
      </c>
      <c r="BR22" s="591">
        <v>0</v>
      </c>
      <c r="BS22" s="591">
        <v>0</v>
      </c>
      <c r="BT22" s="591">
        <v>0</v>
      </c>
      <c r="BU22" s="591">
        <v>0</v>
      </c>
      <c r="BV22" s="591">
        <v>0</v>
      </c>
      <c r="BW22" s="591">
        <v>0</v>
      </c>
      <c r="BX22" s="591">
        <v>0</v>
      </c>
      <c r="BY22" s="591">
        <v>0</v>
      </c>
      <c r="BZ22" s="591">
        <v>0</v>
      </c>
      <c r="CA22" s="591">
        <v>0</v>
      </c>
      <c r="CB22" s="591">
        <v>0</v>
      </c>
      <c r="CC22" s="591">
        <v>0</v>
      </c>
      <c r="CD22" s="591">
        <v>0</v>
      </c>
      <c r="CE22" s="591">
        <v>0</v>
      </c>
      <c r="CF22" s="591">
        <v>0</v>
      </c>
      <c r="CG22" s="591">
        <v>0</v>
      </c>
      <c r="CH22" s="591">
        <v>505130</v>
      </c>
      <c r="CI22" s="591">
        <v>0</v>
      </c>
      <c r="CJ22" s="591">
        <v>4</v>
      </c>
      <c r="CK22" s="591">
        <v>0</v>
      </c>
      <c r="CL22" s="591">
        <v>0</v>
      </c>
      <c r="CM22" s="591">
        <v>0</v>
      </c>
      <c r="CN22" s="591">
        <v>0</v>
      </c>
      <c r="CO22" s="591">
        <v>1</v>
      </c>
      <c r="CP22" s="591">
        <v>0</v>
      </c>
      <c r="CQ22" s="591">
        <v>0</v>
      </c>
      <c r="CR22" s="591">
        <v>2787.5280000000002</v>
      </c>
      <c r="CS22" s="591">
        <v>0</v>
      </c>
      <c r="CT22" s="591">
        <v>0</v>
      </c>
      <c r="CU22" s="591">
        <v>0</v>
      </c>
      <c r="CV22" s="591">
        <v>0</v>
      </c>
      <c r="CW22" s="591">
        <v>0</v>
      </c>
      <c r="CX22" s="591">
        <v>0</v>
      </c>
      <c r="CY22" s="591">
        <v>0</v>
      </c>
      <c r="CZ22" s="591">
        <v>0</v>
      </c>
      <c r="DA22" s="591">
        <v>0</v>
      </c>
      <c r="DB22" s="591">
        <v>15401932</v>
      </c>
      <c r="DC22" s="591">
        <v>0</v>
      </c>
      <c r="DD22" s="591">
        <v>0</v>
      </c>
      <c r="DE22" s="591">
        <v>3805466</v>
      </c>
      <c r="DF22" s="591">
        <v>3805466</v>
      </c>
      <c r="DG22" s="591">
        <v>617.86300000000006</v>
      </c>
      <c r="DH22" s="591">
        <v>0</v>
      </c>
      <c r="DI22" s="591">
        <v>0</v>
      </c>
      <c r="DJ22" s="591">
        <v>0</v>
      </c>
      <c r="DK22" s="591">
        <v>0</v>
      </c>
      <c r="DL22" s="591">
        <v>0</v>
      </c>
      <c r="DM22" s="591">
        <v>3097825</v>
      </c>
      <c r="DN22" s="591">
        <v>11038</v>
      </c>
      <c r="DO22" s="591">
        <v>0</v>
      </c>
      <c r="DP22" s="591">
        <v>0</v>
      </c>
      <c r="DQ22" s="591">
        <v>0</v>
      </c>
      <c r="DR22" s="591">
        <v>0</v>
      </c>
      <c r="DS22" s="591">
        <v>0</v>
      </c>
      <c r="DT22" s="591">
        <v>0</v>
      </c>
      <c r="DU22" s="591">
        <v>0</v>
      </c>
      <c r="DV22" s="591">
        <v>0</v>
      </c>
      <c r="DW22" s="591">
        <v>0</v>
      </c>
      <c r="DX22" s="591">
        <v>0</v>
      </c>
      <c r="DY22" s="591">
        <v>0</v>
      </c>
      <c r="DZ22" s="591">
        <v>0</v>
      </c>
      <c r="EA22" s="591">
        <v>0.17800000000000002</v>
      </c>
      <c r="EB22" s="591">
        <v>0</v>
      </c>
      <c r="EC22" s="591">
        <v>130.02000000000001</v>
      </c>
      <c r="ED22" s="591">
        <v>920924</v>
      </c>
      <c r="EE22" s="591">
        <v>0</v>
      </c>
      <c r="EF22" s="591">
        <v>0</v>
      </c>
      <c r="EG22" s="591">
        <v>0</v>
      </c>
      <c r="EH22" s="591">
        <v>1983218</v>
      </c>
      <c r="EI22" s="591">
        <v>0</v>
      </c>
      <c r="EJ22" s="591">
        <v>0</v>
      </c>
      <c r="EK22" s="591">
        <v>67.611000000000004</v>
      </c>
      <c r="EL22" s="591">
        <v>1.7120000000000002</v>
      </c>
      <c r="EM22" s="591">
        <v>27.797000000000001</v>
      </c>
      <c r="EN22" s="591">
        <v>6.9770000000000003</v>
      </c>
      <c r="EO22" s="591">
        <v>0</v>
      </c>
      <c r="EP22" s="591">
        <v>0</v>
      </c>
      <c r="EQ22" s="591">
        <v>102.563</v>
      </c>
      <c r="ER22" s="591">
        <v>0</v>
      </c>
      <c r="ES22" s="591">
        <v>321.99900000000002</v>
      </c>
      <c r="ET22" s="591">
        <v>0</v>
      </c>
      <c r="EU22" s="591">
        <v>0</v>
      </c>
      <c r="EV22" s="591">
        <v>0</v>
      </c>
      <c r="EW22" s="591">
        <v>0</v>
      </c>
      <c r="EX22" s="591">
        <v>0</v>
      </c>
      <c r="EY22" s="591">
        <v>0</v>
      </c>
      <c r="EZ22" s="591">
        <v>25782757</v>
      </c>
      <c r="FA22" s="591">
        <v>0</v>
      </c>
      <c r="FB22" s="591">
        <v>26918460</v>
      </c>
      <c r="FC22" s="591">
        <v>0</v>
      </c>
      <c r="FD22" s="591">
        <v>0</v>
      </c>
      <c r="FE22" s="591">
        <v>2787756</v>
      </c>
      <c r="FF22" s="591">
        <v>568628</v>
      </c>
      <c r="FG22" s="591">
        <v>6.4728999999999995E-2</v>
      </c>
      <c r="FH22" s="591">
        <v>2.6405999999999999E-2</v>
      </c>
      <c r="FI22" s="591">
        <v>0</v>
      </c>
      <c r="FJ22" s="591">
        <v>0</v>
      </c>
      <c r="FK22" s="591">
        <v>4369.7350000000006</v>
      </c>
      <c r="FL22" s="591">
        <v>30779974</v>
      </c>
      <c r="FM22" s="591">
        <v>0</v>
      </c>
      <c r="FN22" s="591">
        <v>0</v>
      </c>
      <c r="FO22" s="591">
        <v>0</v>
      </c>
      <c r="FP22" s="591">
        <v>0</v>
      </c>
      <c r="FQ22" s="591">
        <v>0</v>
      </c>
      <c r="FR22" s="591">
        <v>0</v>
      </c>
      <c r="FS22" s="591">
        <v>0</v>
      </c>
      <c r="FT22" s="591">
        <v>0</v>
      </c>
      <c r="FU22" s="591">
        <v>0</v>
      </c>
      <c r="FV22" s="591">
        <v>0</v>
      </c>
      <c r="FW22" s="591">
        <v>0</v>
      </c>
      <c r="FX22" s="591">
        <v>0</v>
      </c>
      <c r="FY22" s="591">
        <v>0</v>
      </c>
      <c r="FZ22" s="591">
        <v>0</v>
      </c>
      <c r="GA22" s="591">
        <v>0</v>
      </c>
      <c r="GB22" s="591">
        <v>1255862</v>
      </c>
      <c r="GC22" s="591">
        <v>1255862</v>
      </c>
      <c r="GD22" s="591">
        <v>151.04</v>
      </c>
      <c r="GE22" s="591">
        <v>0</v>
      </c>
      <c r="GF22" s="591">
        <v>0</v>
      </c>
      <c r="GG22" s="591">
        <v>0</v>
      </c>
      <c r="GH22" s="591">
        <v>0</v>
      </c>
      <c r="GI22" s="591">
        <v>0</v>
      </c>
      <c r="GJ22" s="591">
        <v>0</v>
      </c>
      <c r="GK22" s="591">
        <v>0</v>
      </c>
      <c r="GL22" s="591">
        <v>0</v>
      </c>
      <c r="GM22" s="591">
        <v>0</v>
      </c>
      <c r="GN22" s="591">
        <v>0</v>
      </c>
      <c r="GO22" s="591">
        <v>0</v>
      </c>
      <c r="GP22" s="591">
        <v>0</v>
      </c>
      <c r="GQ22" s="591">
        <v>0</v>
      </c>
      <c r="GR22" s="591">
        <v>0</v>
      </c>
      <c r="GS22" s="591">
        <v>0</v>
      </c>
      <c r="GT22" s="591">
        <v>0</v>
      </c>
      <c r="GU22" s="591">
        <v>0</v>
      </c>
      <c r="GV22" s="591">
        <v>0</v>
      </c>
      <c r="GW22" s="591">
        <v>0</v>
      </c>
      <c r="GX22" s="591">
        <v>0</v>
      </c>
      <c r="GY22" s="591">
        <v>0</v>
      </c>
      <c r="GZ22" s="591">
        <v>0</v>
      </c>
      <c r="HA22" s="591">
        <v>0</v>
      </c>
      <c r="HB22" s="591">
        <v>260009272</v>
      </c>
      <c r="HC22" s="591">
        <v>5.1774999999999995E-2</v>
      </c>
      <c r="HD22" s="591">
        <v>505130</v>
      </c>
      <c r="HE22" s="591">
        <v>0</v>
      </c>
      <c r="HF22" s="591">
        <v>2784784</v>
      </c>
      <c r="HG22" s="591">
        <v>16630</v>
      </c>
      <c r="HH22" s="591">
        <v>396645</v>
      </c>
      <c r="HI22" s="591">
        <v>0</v>
      </c>
      <c r="HJ22" s="591">
        <v>27095</v>
      </c>
      <c r="HK22" s="591">
        <v>7429</v>
      </c>
      <c r="HL22" s="591">
        <v>8901</v>
      </c>
      <c r="HM22" s="591">
        <v>18000</v>
      </c>
      <c r="HN22" s="591">
        <v>0</v>
      </c>
      <c r="HO22" s="591">
        <v>0</v>
      </c>
      <c r="HP22" s="591">
        <v>0</v>
      </c>
      <c r="HQ22" s="591">
        <v>0</v>
      </c>
      <c r="HR22" s="591">
        <v>0</v>
      </c>
      <c r="HS22" s="591">
        <v>25771331</v>
      </c>
      <c r="HT22" s="591">
        <v>0</v>
      </c>
      <c r="HU22" s="591">
        <v>0</v>
      </c>
      <c r="HV22" s="591">
        <v>0</v>
      </c>
      <c r="HW22" s="591">
        <v>0</v>
      </c>
      <c r="HX22" s="591">
        <v>260</v>
      </c>
      <c r="HY22" s="591">
        <v>455</v>
      </c>
      <c r="HZ22" s="591">
        <v>612</v>
      </c>
      <c r="IA22" s="591">
        <v>578</v>
      </c>
      <c r="IB22" s="591">
        <v>533</v>
      </c>
      <c r="IC22" s="591">
        <v>2134</v>
      </c>
      <c r="ID22" s="591">
        <v>0</v>
      </c>
      <c r="IE22" s="591">
        <v>0</v>
      </c>
      <c r="IF22" s="591">
        <v>0</v>
      </c>
      <c r="IG22" s="591">
        <v>27</v>
      </c>
      <c r="IH22" s="591">
        <v>644</v>
      </c>
      <c r="II22" s="591">
        <v>0</v>
      </c>
      <c r="IJ22" s="591">
        <v>159.56800000000001</v>
      </c>
      <c r="IK22" s="591">
        <v>0</v>
      </c>
      <c r="IL22" s="591">
        <v>3</v>
      </c>
      <c r="IM22" s="591">
        <v>1</v>
      </c>
      <c r="IN22" s="591">
        <v>0</v>
      </c>
      <c r="IO22" s="591">
        <v>4</v>
      </c>
      <c r="IP22" s="591">
        <v>0</v>
      </c>
      <c r="IQ22" s="591">
        <v>159.56800000000001</v>
      </c>
      <c r="IR22" s="591">
        <v>98279</v>
      </c>
      <c r="IS22" s="591">
        <v>0</v>
      </c>
      <c r="IT22" s="591">
        <v>15000</v>
      </c>
      <c r="IU22" s="591">
        <v>3000</v>
      </c>
      <c r="IV22" s="591">
        <v>0</v>
      </c>
      <c r="IW22" s="591">
        <v>6159</v>
      </c>
      <c r="IX22" s="591">
        <v>0</v>
      </c>
      <c r="IY22" s="591">
        <v>0</v>
      </c>
      <c r="IZ22" s="591">
        <v>0</v>
      </c>
      <c r="JA22" s="591">
        <v>0</v>
      </c>
      <c r="JB22" s="591">
        <v>0</v>
      </c>
      <c r="JC22" s="591">
        <v>0</v>
      </c>
      <c r="JD22" s="591">
        <v>0</v>
      </c>
      <c r="JE22" s="591">
        <v>0</v>
      </c>
      <c r="JF22" s="591">
        <v>0</v>
      </c>
      <c r="JG22" s="591">
        <v>0</v>
      </c>
      <c r="JH22" s="591">
        <v>0</v>
      </c>
      <c r="JI22" s="591">
        <v>0</v>
      </c>
      <c r="JJ22" s="591">
        <v>0</v>
      </c>
      <c r="JK22" s="591">
        <v>0</v>
      </c>
      <c r="JL22" s="591">
        <v>0</v>
      </c>
      <c r="JM22" s="591">
        <v>0</v>
      </c>
      <c r="JN22" s="591">
        <v>32469</v>
      </c>
    </row>
    <row r="23" spans="1:274" x14ac:dyDescent="0.25">
      <c r="A23" s="591">
        <v>32570</v>
      </c>
      <c r="B23" s="591">
        <v>15831</v>
      </c>
      <c r="C23" s="591">
        <v>9</v>
      </c>
      <c r="D23" s="591">
        <v>2022</v>
      </c>
      <c r="E23" s="591">
        <v>6159</v>
      </c>
      <c r="F23" s="591">
        <v>0</v>
      </c>
      <c r="G23" s="591">
        <v>4562.5030000000006</v>
      </c>
      <c r="H23" s="591">
        <v>4278.4050000000007</v>
      </c>
      <c r="I23" s="591">
        <v>4278.4050000000007</v>
      </c>
      <c r="J23" s="591">
        <v>4562.5030000000006</v>
      </c>
      <c r="K23" s="591">
        <v>0</v>
      </c>
      <c r="L23" s="591">
        <v>6159</v>
      </c>
      <c r="M23" s="591">
        <v>0</v>
      </c>
      <c r="N23" s="591">
        <v>0</v>
      </c>
      <c r="O23" s="591">
        <v>0</v>
      </c>
      <c r="P23" s="591">
        <v>4372.1140000000005</v>
      </c>
      <c r="Q23" s="591">
        <v>0</v>
      </c>
      <c r="R23" s="591">
        <v>1759461</v>
      </c>
      <c r="S23" s="591">
        <v>402.428</v>
      </c>
      <c r="T23" s="591">
        <v>0</v>
      </c>
      <c r="U23" s="591">
        <v>0</v>
      </c>
      <c r="V23" s="591">
        <v>694.48400000000004</v>
      </c>
      <c r="W23" s="591">
        <v>427738</v>
      </c>
      <c r="X23" s="591">
        <v>427738</v>
      </c>
      <c r="Y23" s="591">
        <v>0</v>
      </c>
      <c r="Z23" s="591">
        <v>0</v>
      </c>
      <c r="AA23" s="591">
        <v>0</v>
      </c>
      <c r="AB23" s="591">
        <v>0</v>
      </c>
      <c r="AC23" s="591">
        <v>0</v>
      </c>
      <c r="AD23" s="591" t="s">
        <v>316</v>
      </c>
      <c r="AE23" s="591">
        <v>0</v>
      </c>
      <c r="AF23" s="591">
        <v>0</v>
      </c>
      <c r="AG23" s="591">
        <v>0</v>
      </c>
      <c r="AH23" s="591">
        <v>0</v>
      </c>
      <c r="AI23" s="591">
        <v>0</v>
      </c>
      <c r="AJ23" s="591">
        <v>6159</v>
      </c>
      <c r="AK23" s="591" t="s">
        <v>671</v>
      </c>
      <c r="AL23" s="591" t="s">
        <v>318</v>
      </c>
      <c r="AM23" s="591">
        <v>0</v>
      </c>
      <c r="AN23" s="591">
        <v>0</v>
      </c>
      <c r="AO23" s="591">
        <v>0</v>
      </c>
      <c r="AP23" s="591">
        <v>0</v>
      </c>
      <c r="AQ23" s="591">
        <v>0</v>
      </c>
      <c r="AR23" s="591">
        <v>0</v>
      </c>
      <c r="AS23" s="591">
        <v>0</v>
      </c>
      <c r="AT23" s="591">
        <v>0</v>
      </c>
      <c r="AU23" s="591">
        <v>0</v>
      </c>
      <c r="AV23" s="591">
        <v>0</v>
      </c>
      <c r="AW23" s="591">
        <v>44620235</v>
      </c>
      <c r="AX23" s="591">
        <v>43804994</v>
      </c>
      <c r="AY23" s="591">
        <v>0</v>
      </c>
      <c r="AZ23" s="591">
        <v>1759461</v>
      </c>
      <c r="BA23" s="591">
        <v>0</v>
      </c>
      <c r="BB23" s="591">
        <v>0</v>
      </c>
      <c r="BC23" s="591">
        <v>0</v>
      </c>
      <c r="BD23" s="591">
        <v>0</v>
      </c>
      <c r="BE23" s="591">
        <v>583</v>
      </c>
      <c r="BF23" s="591">
        <v>40507295</v>
      </c>
      <c r="BG23" s="591">
        <v>0</v>
      </c>
      <c r="BH23" s="591">
        <v>0</v>
      </c>
      <c r="BI23" s="591">
        <v>0</v>
      </c>
      <c r="BJ23" s="591">
        <v>12</v>
      </c>
      <c r="BK23" s="591">
        <v>0</v>
      </c>
      <c r="BL23" s="591">
        <v>0</v>
      </c>
      <c r="BM23" s="591">
        <v>0</v>
      </c>
      <c r="BN23" s="591">
        <v>0</v>
      </c>
      <c r="BO23" s="591">
        <v>0</v>
      </c>
      <c r="BP23" s="591">
        <v>0</v>
      </c>
      <c r="BQ23" s="591">
        <v>111</v>
      </c>
      <c r="BR23" s="591">
        <v>0</v>
      </c>
      <c r="BS23" s="591">
        <v>0</v>
      </c>
      <c r="BT23" s="591">
        <v>0</v>
      </c>
      <c r="BU23" s="591">
        <v>0</v>
      </c>
      <c r="BV23" s="591">
        <v>0</v>
      </c>
      <c r="BW23" s="591">
        <v>0</v>
      </c>
      <c r="BX23" s="591">
        <v>0</v>
      </c>
      <c r="BY23" s="591">
        <v>0</v>
      </c>
      <c r="BZ23" s="591">
        <v>0</v>
      </c>
      <c r="CA23" s="591">
        <v>0</v>
      </c>
      <c r="CB23" s="591">
        <v>0</v>
      </c>
      <c r="CC23" s="591">
        <v>0</v>
      </c>
      <c r="CD23" s="591">
        <v>0</v>
      </c>
      <c r="CE23" s="591">
        <v>0</v>
      </c>
      <c r="CF23" s="591">
        <v>0</v>
      </c>
      <c r="CG23" s="591">
        <v>0</v>
      </c>
      <c r="CH23" s="591">
        <v>826775</v>
      </c>
      <c r="CI23" s="591">
        <v>0</v>
      </c>
      <c r="CJ23" s="591">
        <v>4</v>
      </c>
      <c r="CK23" s="591">
        <v>0</v>
      </c>
      <c r="CL23" s="591">
        <v>0</v>
      </c>
      <c r="CM23" s="591">
        <v>0</v>
      </c>
      <c r="CN23" s="591">
        <v>0</v>
      </c>
      <c r="CO23" s="591">
        <v>1</v>
      </c>
      <c r="CP23" s="591">
        <v>0</v>
      </c>
      <c r="CQ23" s="591">
        <v>0</v>
      </c>
      <c r="CR23" s="591">
        <v>4562.5030000000006</v>
      </c>
      <c r="CS23" s="591">
        <v>0</v>
      </c>
      <c r="CT23" s="591">
        <v>0</v>
      </c>
      <c r="CU23" s="591">
        <v>0</v>
      </c>
      <c r="CV23" s="591">
        <v>0</v>
      </c>
      <c r="CW23" s="591">
        <v>0</v>
      </c>
      <c r="CX23" s="591">
        <v>0</v>
      </c>
      <c r="CY23" s="591">
        <v>0</v>
      </c>
      <c r="CZ23" s="591">
        <v>0</v>
      </c>
      <c r="DA23" s="591">
        <v>0</v>
      </c>
      <c r="DB23" s="591">
        <v>26351049</v>
      </c>
      <c r="DC23" s="591">
        <v>0</v>
      </c>
      <c r="DD23" s="591">
        <v>0</v>
      </c>
      <c r="DE23" s="591">
        <v>4182710</v>
      </c>
      <c r="DF23" s="591">
        <v>4182710</v>
      </c>
      <c r="DG23" s="591">
        <v>679.11300000000006</v>
      </c>
      <c r="DH23" s="591">
        <v>0</v>
      </c>
      <c r="DI23" s="591">
        <v>0</v>
      </c>
      <c r="DJ23" s="591">
        <v>0</v>
      </c>
      <c r="DK23" s="591">
        <v>0</v>
      </c>
      <c r="DL23" s="591">
        <v>0</v>
      </c>
      <c r="DM23" s="591">
        <v>2870353</v>
      </c>
      <c r="DN23" s="591">
        <v>10951</v>
      </c>
      <c r="DO23" s="591">
        <v>0</v>
      </c>
      <c r="DP23" s="591">
        <v>0</v>
      </c>
      <c r="DQ23" s="591">
        <v>0</v>
      </c>
      <c r="DR23" s="591">
        <v>0</v>
      </c>
      <c r="DS23" s="591">
        <v>0</v>
      </c>
      <c r="DT23" s="591">
        <v>0</v>
      </c>
      <c r="DU23" s="591">
        <v>0</v>
      </c>
      <c r="DV23" s="591">
        <v>0</v>
      </c>
      <c r="DW23" s="591">
        <v>0</v>
      </c>
      <c r="DX23" s="591">
        <v>0</v>
      </c>
      <c r="DY23" s="591">
        <v>0</v>
      </c>
      <c r="DZ23" s="591">
        <v>0</v>
      </c>
      <c r="EA23" s="591">
        <v>0</v>
      </c>
      <c r="EB23" s="591">
        <v>0</v>
      </c>
      <c r="EC23" s="591">
        <v>59.406000000000006</v>
      </c>
      <c r="ED23" s="591">
        <v>420769</v>
      </c>
      <c r="EE23" s="591">
        <v>0</v>
      </c>
      <c r="EF23" s="591">
        <v>0</v>
      </c>
      <c r="EG23" s="591">
        <v>0</v>
      </c>
      <c r="EH23" s="591">
        <v>2460535</v>
      </c>
      <c r="EI23" s="591">
        <v>0</v>
      </c>
      <c r="EJ23" s="591">
        <v>0</v>
      </c>
      <c r="EK23" s="591">
        <v>109.369</v>
      </c>
      <c r="EL23" s="591">
        <v>0</v>
      </c>
      <c r="EM23" s="591">
        <v>10.790000000000001</v>
      </c>
      <c r="EN23" s="591">
        <v>7.8040000000000003</v>
      </c>
      <c r="EO23" s="591">
        <v>0</v>
      </c>
      <c r="EP23" s="591">
        <v>0</v>
      </c>
      <c r="EQ23" s="591">
        <v>127.96300000000001</v>
      </c>
      <c r="ER23" s="591">
        <v>0</v>
      </c>
      <c r="ES23" s="591">
        <v>399.49700000000001</v>
      </c>
      <c r="ET23" s="591">
        <v>0</v>
      </c>
      <c r="EU23" s="591">
        <v>0</v>
      </c>
      <c r="EV23" s="591">
        <v>0</v>
      </c>
      <c r="EW23" s="591">
        <v>0</v>
      </c>
      <c r="EX23" s="591">
        <v>0</v>
      </c>
      <c r="EY23" s="591">
        <v>0</v>
      </c>
      <c r="EZ23" s="591">
        <v>38753338</v>
      </c>
      <c r="FA23" s="591">
        <v>0</v>
      </c>
      <c r="FB23" s="591">
        <v>40501265</v>
      </c>
      <c r="FC23" s="591">
        <v>0</v>
      </c>
      <c r="FD23" s="591">
        <v>0</v>
      </c>
      <c r="FE23" s="591">
        <v>4195820</v>
      </c>
      <c r="FF23" s="591">
        <v>855836</v>
      </c>
      <c r="FG23" s="591">
        <v>6.4728999999999995E-2</v>
      </c>
      <c r="FH23" s="591">
        <v>2.6405999999999999E-2</v>
      </c>
      <c r="FI23" s="591">
        <v>0</v>
      </c>
      <c r="FJ23" s="591">
        <v>0</v>
      </c>
      <c r="FK23" s="591">
        <v>6576.8389999999999</v>
      </c>
      <c r="FL23" s="591">
        <v>46379696</v>
      </c>
      <c r="FM23" s="591">
        <v>0</v>
      </c>
      <c r="FN23" s="591">
        <v>0</v>
      </c>
      <c r="FO23" s="591">
        <v>0</v>
      </c>
      <c r="FP23" s="591">
        <v>0</v>
      </c>
      <c r="FQ23" s="591">
        <v>0</v>
      </c>
      <c r="FR23" s="591">
        <v>0</v>
      </c>
      <c r="FS23" s="591">
        <v>0</v>
      </c>
      <c r="FT23" s="591">
        <v>0</v>
      </c>
      <c r="FU23" s="591">
        <v>0</v>
      </c>
      <c r="FV23" s="591">
        <v>0</v>
      </c>
      <c r="FW23" s="591">
        <v>0</v>
      </c>
      <c r="FX23" s="591">
        <v>0</v>
      </c>
      <c r="FY23" s="591">
        <v>0</v>
      </c>
      <c r="FZ23" s="591">
        <v>0</v>
      </c>
      <c r="GA23" s="591">
        <v>0</v>
      </c>
      <c r="GB23" s="591">
        <v>1298225</v>
      </c>
      <c r="GC23" s="591">
        <v>1298225</v>
      </c>
      <c r="GD23" s="591">
        <v>156.13500000000002</v>
      </c>
      <c r="GE23" s="591">
        <v>0</v>
      </c>
      <c r="GF23" s="591">
        <v>0</v>
      </c>
      <c r="GG23" s="591">
        <v>0</v>
      </c>
      <c r="GH23" s="591">
        <v>0</v>
      </c>
      <c r="GI23" s="591">
        <v>0</v>
      </c>
      <c r="GJ23" s="591">
        <v>0</v>
      </c>
      <c r="GK23" s="591">
        <v>0</v>
      </c>
      <c r="GL23" s="591">
        <v>0</v>
      </c>
      <c r="GM23" s="591">
        <v>0</v>
      </c>
      <c r="GN23" s="591">
        <v>0</v>
      </c>
      <c r="GO23" s="591">
        <v>0</v>
      </c>
      <c r="GP23" s="591">
        <v>0</v>
      </c>
      <c r="GQ23" s="591">
        <v>0</v>
      </c>
      <c r="GR23" s="591">
        <v>0</v>
      </c>
      <c r="GS23" s="591">
        <v>0</v>
      </c>
      <c r="GT23" s="591">
        <v>0</v>
      </c>
      <c r="GU23" s="591">
        <v>0</v>
      </c>
      <c r="GV23" s="591">
        <v>0</v>
      </c>
      <c r="GW23" s="591">
        <v>0</v>
      </c>
      <c r="GX23" s="591">
        <v>0</v>
      </c>
      <c r="GY23" s="591">
        <v>0</v>
      </c>
      <c r="GZ23" s="591">
        <v>0</v>
      </c>
      <c r="HA23" s="591">
        <v>0</v>
      </c>
      <c r="HB23" s="591">
        <v>260009272</v>
      </c>
      <c r="HC23" s="591">
        <v>5.1774999999999995E-2</v>
      </c>
      <c r="HD23" s="591">
        <v>826775</v>
      </c>
      <c r="HE23" s="591">
        <v>0</v>
      </c>
      <c r="HF23" s="591">
        <v>4701967</v>
      </c>
      <c r="HG23" s="591">
        <v>46193</v>
      </c>
      <c r="HH23" s="591">
        <v>551761</v>
      </c>
      <c r="HI23" s="591">
        <v>0</v>
      </c>
      <c r="HJ23" s="591">
        <v>44348</v>
      </c>
      <c r="HK23" s="591">
        <v>2188</v>
      </c>
      <c r="HL23" s="591">
        <v>3316</v>
      </c>
      <c r="HM23" s="591">
        <v>22000</v>
      </c>
      <c r="HN23" s="591">
        <v>0</v>
      </c>
      <c r="HO23" s="591">
        <v>0</v>
      </c>
      <c r="HP23" s="591">
        <v>0</v>
      </c>
      <c r="HQ23" s="591">
        <v>0</v>
      </c>
      <c r="HR23" s="591">
        <v>0</v>
      </c>
      <c r="HS23" s="591">
        <v>38741804</v>
      </c>
      <c r="HT23" s="591">
        <v>0</v>
      </c>
      <c r="HU23" s="591">
        <v>0</v>
      </c>
      <c r="HV23" s="591">
        <v>0</v>
      </c>
      <c r="HW23" s="591">
        <v>0</v>
      </c>
      <c r="HX23" s="591">
        <v>758</v>
      </c>
      <c r="HY23" s="591">
        <v>488</v>
      </c>
      <c r="HZ23" s="591">
        <v>577</v>
      </c>
      <c r="IA23" s="591">
        <v>543</v>
      </c>
      <c r="IB23" s="591">
        <v>385</v>
      </c>
      <c r="IC23" s="591">
        <v>2751</v>
      </c>
      <c r="ID23" s="591">
        <v>0</v>
      </c>
      <c r="IE23" s="591">
        <v>0</v>
      </c>
      <c r="IF23" s="591">
        <v>0</v>
      </c>
      <c r="IG23" s="591">
        <v>75</v>
      </c>
      <c r="IH23" s="591">
        <v>895.85</v>
      </c>
      <c r="II23" s="591">
        <v>0</v>
      </c>
      <c r="IJ23" s="591">
        <v>694.48400000000004</v>
      </c>
      <c r="IK23" s="591">
        <v>0</v>
      </c>
      <c r="IL23" s="591">
        <v>2</v>
      </c>
      <c r="IM23" s="591">
        <v>4</v>
      </c>
      <c r="IN23" s="591">
        <v>0</v>
      </c>
      <c r="IO23" s="591">
        <v>6</v>
      </c>
      <c r="IP23" s="591">
        <v>0</v>
      </c>
      <c r="IQ23" s="591">
        <v>694.48400000000004</v>
      </c>
      <c r="IR23" s="591">
        <v>427738</v>
      </c>
      <c r="IS23" s="591">
        <v>0</v>
      </c>
      <c r="IT23" s="591">
        <v>10000</v>
      </c>
      <c r="IU23" s="591">
        <v>12000</v>
      </c>
      <c r="IV23" s="591">
        <v>0</v>
      </c>
      <c r="IW23" s="591">
        <v>6159</v>
      </c>
      <c r="IX23" s="591">
        <v>0</v>
      </c>
      <c r="IY23" s="591">
        <v>0</v>
      </c>
      <c r="IZ23" s="591">
        <v>0</v>
      </c>
      <c r="JA23" s="591">
        <v>0</v>
      </c>
      <c r="JB23" s="591">
        <v>0</v>
      </c>
      <c r="JC23" s="591">
        <v>0</v>
      </c>
      <c r="JD23" s="591">
        <v>0</v>
      </c>
      <c r="JE23" s="591">
        <v>0</v>
      </c>
      <c r="JF23" s="591">
        <v>0</v>
      </c>
      <c r="JG23" s="591">
        <v>0</v>
      </c>
      <c r="JH23" s="591">
        <v>0</v>
      </c>
      <c r="JI23" s="591">
        <v>0</v>
      </c>
      <c r="JJ23" s="591">
        <v>0</v>
      </c>
      <c r="JK23" s="591">
        <v>0</v>
      </c>
      <c r="JL23" s="591">
        <v>0</v>
      </c>
      <c r="JM23" s="591">
        <v>0</v>
      </c>
      <c r="JN23" s="591">
        <v>32469</v>
      </c>
    </row>
    <row r="24" spans="1:274" x14ac:dyDescent="0.25">
      <c r="A24" s="591">
        <v>32570</v>
      </c>
      <c r="B24" s="591">
        <v>15833</v>
      </c>
      <c r="C24" s="591">
        <v>9</v>
      </c>
      <c r="D24" s="591">
        <v>2022</v>
      </c>
      <c r="E24" s="591">
        <v>6159</v>
      </c>
      <c r="F24" s="591">
        <v>0</v>
      </c>
      <c r="G24" s="591">
        <v>80.147000000000006</v>
      </c>
      <c r="H24" s="591">
        <v>77.885000000000005</v>
      </c>
      <c r="I24" s="591">
        <v>77.885000000000005</v>
      </c>
      <c r="J24" s="591">
        <v>80.147000000000006</v>
      </c>
      <c r="K24" s="591">
        <v>0</v>
      </c>
      <c r="L24" s="591">
        <v>6159</v>
      </c>
      <c r="M24" s="591">
        <v>0</v>
      </c>
      <c r="N24" s="591">
        <v>0</v>
      </c>
      <c r="O24" s="591">
        <v>0</v>
      </c>
      <c r="P24" s="591">
        <v>94.284000000000006</v>
      </c>
      <c r="Q24" s="591">
        <v>0</v>
      </c>
      <c r="R24" s="591">
        <v>37943</v>
      </c>
      <c r="S24" s="591">
        <v>402.428</v>
      </c>
      <c r="T24" s="591">
        <v>0</v>
      </c>
      <c r="U24" s="591">
        <v>0</v>
      </c>
      <c r="V24" s="591">
        <v>0</v>
      </c>
      <c r="W24" s="591">
        <v>0</v>
      </c>
      <c r="X24" s="591">
        <v>0</v>
      </c>
      <c r="Y24" s="591">
        <v>0</v>
      </c>
      <c r="Z24" s="591">
        <v>0</v>
      </c>
      <c r="AA24" s="591">
        <v>0</v>
      </c>
      <c r="AB24" s="591">
        <v>0</v>
      </c>
      <c r="AC24" s="591">
        <v>0</v>
      </c>
      <c r="AD24" s="591" t="s">
        <v>316</v>
      </c>
      <c r="AE24" s="591">
        <v>0</v>
      </c>
      <c r="AF24" s="591">
        <v>0</v>
      </c>
      <c r="AG24" s="591">
        <v>0</v>
      </c>
      <c r="AH24" s="591">
        <v>0</v>
      </c>
      <c r="AI24" s="591">
        <v>0</v>
      </c>
      <c r="AJ24" s="591">
        <v>6159</v>
      </c>
      <c r="AK24" s="591" t="s">
        <v>671</v>
      </c>
      <c r="AL24" s="591" t="s">
        <v>95</v>
      </c>
      <c r="AM24" s="591">
        <v>0</v>
      </c>
      <c r="AN24" s="591">
        <v>0</v>
      </c>
      <c r="AO24" s="591">
        <v>0</v>
      </c>
      <c r="AP24" s="591">
        <v>0</v>
      </c>
      <c r="AQ24" s="591">
        <v>0</v>
      </c>
      <c r="AR24" s="591">
        <v>0</v>
      </c>
      <c r="AS24" s="591">
        <v>0</v>
      </c>
      <c r="AT24" s="591">
        <v>0</v>
      </c>
      <c r="AU24" s="591">
        <v>0</v>
      </c>
      <c r="AV24" s="591">
        <v>0</v>
      </c>
      <c r="AW24" s="591">
        <v>810881</v>
      </c>
      <c r="AX24" s="591">
        <v>782604</v>
      </c>
      <c r="AY24" s="591">
        <v>0</v>
      </c>
      <c r="AZ24" s="591">
        <v>37943</v>
      </c>
      <c r="BA24" s="591">
        <v>0</v>
      </c>
      <c r="BB24" s="591">
        <v>0</v>
      </c>
      <c r="BC24" s="591">
        <v>0</v>
      </c>
      <c r="BD24" s="591">
        <v>0</v>
      </c>
      <c r="BE24" s="591">
        <v>11</v>
      </c>
      <c r="BF24" s="591">
        <v>720146</v>
      </c>
      <c r="BG24" s="591">
        <v>0</v>
      </c>
      <c r="BH24" s="591">
        <v>0</v>
      </c>
      <c r="BI24" s="591">
        <v>0</v>
      </c>
      <c r="BJ24" s="591">
        <v>12</v>
      </c>
      <c r="BK24" s="591">
        <v>0</v>
      </c>
      <c r="BL24" s="591">
        <v>0</v>
      </c>
      <c r="BM24" s="591">
        <v>0</v>
      </c>
      <c r="BN24" s="591">
        <v>0</v>
      </c>
      <c r="BO24" s="591">
        <v>0</v>
      </c>
      <c r="BP24" s="591">
        <v>0</v>
      </c>
      <c r="BQ24" s="591">
        <v>758</v>
      </c>
      <c r="BR24" s="591">
        <v>0</v>
      </c>
      <c r="BS24" s="591">
        <v>0</v>
      </c>
      <c r="BT24" s="591">
        <v>0</v>
      </c>
      <c r="BU24" s="591">
        <v>0</v>
      </c>
      <c r="BV24" s="591">
        <v>0</v>
      </c>
      <c r="BW24" s="591">
        <v>0</v>
      </c>
      <c r="BX24" s="591">
        <v>0</v>
      </c>
      <c r="BY24" s="591">
        <v>0</v>
      </c>
      <c r="BZ24" s="591">
        <v>0</v>
      </c>
      <c r="CA24" s="591">
        <v>0</v>
      </c>
      <c r="CB24" s="591">
        <v>0</v>
      </c>
      <c r="CC24" s="591">
        <v>0</v>
      </c>
      <c r="CD24" s="591">
        <v>0</v>
      </c>
      <c r="CE24" s="591">
        <v>0</v>
      </c>
      <c r="CF24" s="591">
        <v>0</v>
      </c>
      <c r="CG24" s="591">
        <v>0</v>
      </c>
      <c r="CH24" s="591">
        <v>28491</v>
      </c>
      <c r="CI24" s="591">
        <v>0</v>
      </c>
      <c r="CJ24" s="591">
        <v>4</v>
      </c>
      <c r="CK24" s="591">
        <v>0</v>
      </c>
      <c r="CL24" s="591">
        <v>0</v>
      </c>
      <c r="CM24" s="591">
        <v>0</v>
      </c>
      <c r="CN24" s="591">
        <v>0</v>
      </c>
      <c r="CO24" s="591">
        <v>1</v>
      </c>
      <c r="CP24" s="591">
        <v>0</v>
      </c>
      <c r="CQ24" s="591">
        <v>0</v>
      </c>
      <c r="CR24" s="591">
        <v>80.147000000000006</v>
      </c>
      <c r="CS24" s="591">
        <v>0</v>
      </c>
      <c r="CT24" s="591">
        <v>0</v>
      </c>
      <c r="CU24" s="591">
        <v>0</v>
      </c>
      <c r="CV24" s="591">
        <v>0</v>
      </c>
      <c r="CW24" s="591">
        <v>0</v>
      </c>
      <c r="CX24" s="591">
        <v>0</v>
      </c>
      <c r="CY24" s="591">
        <v>0</v>
      </c>
      <c r="CZ24" s="591">
        <v>0</v>
      </c>
      <c r="DA24" s="591">
        <v>0</v>
      </c>
      <c r="DB24" s="591">
        <v>451358</v>
      </c>
      <c r="DC24" s="591">
        <v>0</v>
      </c>
      <c r="DD24" s="591">
        <v>0</v>
      </c>
      <c r="DE24" s="591">
        <v>90539</v>
      </c>
      <c r="DF24" s="591">
        <v>90539</v>
      </c>
      <c r="DG24" s="591">
        <v>14.700000000000001</v>
      </c>
      <c r="DH24" s="591">
        <v>0</v>
      </c>
      <c r="DI24" s="591">
        <v>0</v>
      </c>
      <c r="DJ24" s="591">
        <v>0</v>
      </c>
      <c r="DK24" s="591">
        <v>3750</v>
      </c>
      <c r="DL24" s="591">
        <v>0</v>
      </c>
      <c r="DM24" s="591">
        <v>81671</v>
      </c>
      <c r="DN24" s="591">
        <v>203</v>
      </c>
      <c r="DO24" s="591">
        <v>0</v>
      </c>
      <c r="DP24" s="591">
        <v>0</v>
      </c>
      <c r="DQ24" s="591">
        <v>0</v>
      </c>
      <c r="DR24" s="591">
        <v>0</v>
      </c>
      <c r="DS24" s="591">
        <v>0</v>
      </c>
      <c r="DT24" s="591">
        <v>0</v>
      </c>
      <c r="DU24" s="591">
        <v>0</v>
      </c>
      <c r="DV24" s="591">
        <v>0</v>
      </c>
      <c r="DW24" s="591">
        <v>0</v>
      </c>
      <c r="DX24" s="591">
        <v>0</v>
      </c>
      <c r="DY24" s="591">
        <v>0</v>
      </c>
      <c r="DZ24" s="591">
        <v>0</v>
      </c>
      <c r="EA24" s="591">
        <v>0</v>
      </c>
      <c r="EB24" s="591">
        <v>0</v>
      </c>
      <c r="EC24" s="591">
        <v>1.657</v>
      </c>
      <c r="ED24" s="591">
        <v>11736</v>
      </c>
      <c r="EE24" s="591">
        <v>0</v>
      </c>
      <c r="EF24" s="591">
        <v>0</v>
      </c>
      <c r="EG24" s="591">
        <v>0</v>
      </c>
      <c r="EH24" s="591">
        <v>41796</v>
      </c>
      <c r="EI24" s="591">
        <v>0</v>
      </c>
      <c r="EJ24" s="591">
        <v>0</v>
      </c>
      <c r="EK24" s="591">
        <v>2.262</v>
      </c>
      <c r="EL24" s="591">
        <v>0</v>
      </c>
      <c r="EM24" s="591">
        <v>0</v>
      </c>
      <c r="EN24" s="591">
        <v>0</v>
      </c>
      <c r="EO24" s="591">
        <v>0</v>
      </c>
      <c r="EP24" s="591">
        <v>0</v>
      </c>
      <c r="EQ24" s="591">
        <v>2.262</v>
      </c>
      <c r="ER24" s="591">
        <v>0</v>
      </c>
      <c r="ES24" s="591">
        <v>6.7860000000000005</v>
      </c>
      <c r="ET24" s="591">
        <v>0</v>
      </c>
      <c r="EU24" s="591">
        <v>0</v>
      </c>
      <c r="EV24" s="591">
        <v>0</v>
      </c>
      <c r="EW24" s="591">
        <v>0</v>
      </c>
      <c r="EX24" s="591">
        <v>0</v>
      </c>
      <c r="EY24" s="591">
        <v>0</v>
      </c>
      <c r="EZ24" s="591">
        <v>692795</v>
      </c>
      <c r="FA24" s="591">
        <v>0</v>
      </c>
      <c r="FB24" s="591">
        <v>730524</v>
      </c>
      <c r="FC24" s="591">
        <v>0</v>
      </c>
      <c r="FD24" s="591">
        <v>0</v>
      </c>
      <c r="FE24" s="591">
        <v>74594</v>
      </c>
      <c r="FF24" s="591">
        <v>15215</v>
      </c>
      <c r="FG24" s="591">
        <v>6.4728999999999995E-2</v>
      </c>
      <c r="FH24" s="591">
        <v>2.6405999999999999E-2</v>
      </c>
      <c r="FI24" s="591">
        <v>0</v>
      </c>
      <c r="FJ24" s="591">
        <v>0</v>
      </c>
      <c r="FK24" s="591">
        <v>116.92400000000001</v>
      </c>
      <c r="FL24" s="591">
        <v>848824</v>
      </c>
      <c r="FM24" s="591">
        <v>0</v>
      </c>
      <c r="FN24" s="591">
        <v>0</v>
      </c>
      <c r="FO24" s="591">
        <v>8360</v>
      </c>
      <c r="FP24" s="591">
        <v>0</v>
      </c>
      <c r="FQ24" s="591">
        <v>8360</v>
      </c>
      <c r="FR24" s="591">
        <v>8360</v>
      </c>
      <c r="FS24" s="591">
        <v>0</v>
      </c>
      <c r="FT24" s="591">
        <v>0</v>
      </c>
      <c r="FU24" s="591">
        <v>0</v>
      </c>
      <c r="FV24" s="591">
        <v>0</v>
      </c>
      <c r="FW24" s="591">
        <v>0</v>
      </c>
      <c r="FX24" s="591">
        <v>0</v>
      </c>
      <c r="FY24" s="591">
        <v>0</v>
      </c>
      <c r="FZ24" s="591">
        <v>0</v>
      </c>
      <c r="GA24" s="591">
        <v>0</v>
      </c>
      <c r="GB24" s="591">
        <v>0</v>
      </c>
      <c r="GC24" s="591">
        <v>0</v>
      </c>
      <c r="GD24" s="591">
        <v>0</v>
      </c>
      <c r="GE24" s="591">
        <v>0</v>
      </c>
      <c r="GF24" s="591">
        <v>0</v>
      </c>
      <c r="GG24" s="591">
        <v>0</v>
      </c>
      <c r="GH24" s="591">
        <v>0</v>
      </c>
      <c r="GI24" s="591">
        <v>0</v>
      </c>
      <c r="GJ24" s="591">
        <v>0</v>
      </c>
      <c r="GK24" s="591">
        <v>0</v>
      </c>
      <c r="GL24" s="591">
        <v>0</v>
      </c>
      <c r="GM24" s="591">
        <v>0</v>
      </c>
      <c r="GN24" s="591">
        <v>0</v>
      </c>
      <c r="GO24" s="591">
        <v>0</v>
      </c>
      <c r="GP24" s="591">
        <v>0</v>
      </c>
      <c r="GQ24" s="591">
        <v>0</v>
      </c>
      <c r="GR24" s="591">
        <v>0</v>
      </c>
      <c r="GS24" s="591">
        <v>0</v>
      </c>
      <c r="GT24" s="591">
        <v>0</v>
      </c>
      <c r="GU24" s="591">
        <v>0</v>
      </c>
      <c r="GV24" s="591">
        <v>0</v>
      </c>
      <c r="GW24" s="591">
        <v>0</v>
      </c>
      <c r="GX24" s="591">
        <v>0</v>
      </c>
      <c r="GY24" s="591">
        <v>0</v>
      </c>
      <c r="GZ24" s="591">
        <v>0</v>
      </c>
      <c r="HA24" s="591">
        <v>0</v>
      </c>
      <c r="HB24" s="591">
        <v>260009272</v>
      </c>
      <c r="HC24" s="591">
        <v>5.1774999999999995E-2</v>
      </c>
      <c r="HD24" s="591">
        <v>14524</v>
      </c>
      <c r="HE24" s="591">
        <v>0</v>
      </c>
      <c r="HF24" s="591">
        <v>85596</v>
      </c>
      <c r="HG24" s="591">
        <v>0</v>
      </c>
      <c r="HH24" s="591">
        <v>0</v>
      </c>
      <c r="HI24" s="591">
        <v>0</v>
      </c>
      <c r="HJ24" s="591">
        <v>779</v>
      </c>
      <c r="HK24" s="591">
        <v>1234</v>
      </c>
      <c r="HL24" s="591">
        <v>998</v>
      </c>
      <c r="HM24" s="591">
        <v>10000</v>
      </c>
      <c r="HN24" s="591">
        <v>0</v>
      </c>
      <c r="HO24" s="591">
        <v>0</v>
      </c>
      <c r="HP24" s="591">
        <v>0</v>
      </c>
      <c r="HQ24" s="591">
        <v>0</v>
      </c>
      <c r="HR24" s="591">
        <v>0</v>
      </c>
      <c r="HS24" s="591">
        <v>692581</v>
      </c>
      <c r="HT24" s="591">
        <v>0</v>
      </c>
      <c r="HU24" s="591">
        <v>13967</v>
      </c>
      <c r="HV24" s="591">
        <v>0</v>
      </c>
      <c r="HW24" s="591">
        <v>0</v>
      </c>
      <c r="HX24" s="591">
        <v>8</v>
      </c>
      <c r="HY24" s="591">
        <v>6</v>
      </c>
      <c r="HZ24" s="591">
        <v>8</v>
      </c>
      <c r="IA24" s="591">
        <v>12</v>
      </c>
      <c r="IB24" s="591">
        <v>23</v>
      </c>
      <c r="IC24" s="591">
        <v>38</v>
      </c>
      <c r="ID24" s="591">
        <v>0</v>
      </c>
      <c r="IE24" s="591">
        <v>0</v>
      </c>
      <c r="IF24" s="591">
        <v>0</v>
      </c>
      <c r="IG24" s="591">
        <v>0</v>
      </c>
      <c r="IH24" s="591">
        <v>0</v>
      </c>
      <c r="II24" s="591">
        <v>0</v>
      </c>
      <c r="IJ24" s="591">
        <v>0</v>
      </c>
      <c r="IK24" s="591">
        <v>0</v>
      </c>
      <c r="IL24" s="591">
        <v>2</v>
      </c>
      <c r="IM24" s="591">
        <v>0</v>
      </c>
      <c r="IN24" s="591">
        <v>0</v>
      </c>
      <c r="IO24" s="591">
        <v>2</v>
      </c>
      <c r="IP24" s="591">
        <v>0</v>
      </c>
      <c r="IQ24" s="591">
        <v>0</v>
      </c>
      <c r="IR24" s="591">
        <v>0</v>
      </c>
      <c r="IS24" s="591">
        <v>0</v>
      </c>
      <c r="IT24" s="591">
        <v>10000</v>
      </c>
      <c r="IU24" s="591">
        <v>0</v>
      </c>
      <c r="IV24" s="591">
        <v>0</v>
      </c>
      <c r="IW24" s="591">
        <v>6159</v>
      </c>
      <c r="IX24" s="591">
        <v>0</v>
      </c>
      <c r="IY24" s="591">
        <v>0</v>
      </c>
      <c r="IZ24" s="591">
        <v>0</v>
      </c>
      <c r="JA24" s="591">
        <v>0</v>
      </c>
      <c r="JB24" s="591">
        <v>0</v>
      </c>
      <c r="JC24" s="591">
        <v>0</v>
      </c>
      <c r="JD24" s="591">
        <v>0</v>
      </c>
      <c r="JE24" s="591">
        <v>0</v>
      </c>
      <c r="JF24" s="591">
        <v>0</v>
      </c>
      <c r="JG24" s="591">
        <v>0</v>
      </c>
      <c r="JH24" s="591">
        <v>0</v>
      </c>
      <c r="JI24" s="591">
        <v>0</v>
      </c>
      <c r="JJ24" s="591">
        <v>0</v>
      </c>
      <c r="JK24" s="591">
        <v>0</v>
      </c>
      <c r="JL24" s="591">
        <v>0</v>
      </c>
      <c r="JM24" s="591">
        <v>0</v>
      </c>
      <c r="JN24" s="591">
        <v>32469</v>
      </c>
    </row>
    <row r="25" spans="1:274" x14ac:dyDescent="0.25">
      <c r="A25" s="591">
        <v>32570</v>
      </c>
      <c r="B25" s="591">
        <v>15834</v>
      </c>
      <c r="C25" s="591">
        <v>9</v>
      </c>
      <c r="D25" s="591">
        <v>2022</v>
      </c>
      <c r="E25" s="591">
        <v>6159</v>
      </c>
      <c r="F25" s="591">
        <v>0</v>
      </c>
      <c r="G25" s="591">
        <v>2965.973</v>
      </c>
      <c r="H25" s="591">
        <v>2950.56</v>
      </c>
      <c r="I25" s="591">
        <v>2950.56</v>
      </c>
      <c r="J25" s="591">
        <v>2965.973</v>
      </c>
      <c r="K25" s="591">
        <v>0</v>
      </c>
      <c r="L25" s="591">
        <v>6159</v>
      </c>
      <c r="M25" s="591">
        <v>0</v>
      </c>
      <c r="N25" s="591">
        <v>0</v>
      </c>
      <c r="O25" s="591">
        <v>0</v>
      </c>
      <c r="P25" s="591">
        <v>2889.6260000000002</v>
      </c>
      <c r="Q25" s="591">
        <v>0</v>
      </c>
      <c r="R25" s="591">
        <v>1162866</v>
      </c>
      <c r="S25" s="591">
        <v>402.428</v>
      </c>
      <c r="T25" s="591">
        <v>0</v>
      </c>
      <c r="U25" s="591">
        <v>0</v>
      </c>
      <c r="V25" s="591">
        <v>355.44800000000004</v>
      </c>
      <c r="W25" s="591">
        <v>218923</v>
      </c>
      <c r="X25" s="591">
        <v>218923</v>
      </c>
      <c r="Y25" s="591">
        <v>0</v>
      </c>
      <c r="Z25" s="591">
        <v>0</v>
      </c>
      <c r="AA25" s="591">
        <v>0</v>
      </c>
      <c r="AB25" s="591">
        <v>0</v>
      </c>
      <c r="AC25" s="591">
        <v>0</v>
      </c>
      <c r="AD25" s="591" t="s">
        <v>316</v>
      </c>
      <c r="AE25" s="591">
        <v>0</v>
      </c>
      <c r="AF25" s="591">
        <v>0</v>
      </c>
      <c r="AG25" s="591">
        <v>0</v>
      </c>
      <c r="AH25" s="591">
        <v>0</v>
      </c>
      <c r="AI25" s="591">
        <v>0</v>
      </c>
      <c r="AJ25" s="591">
        <v>6159</v>
      </c>
      <c r="AK25" s="591" t="s">
        <v>671</v>
      </c>
      <c r="AL25" s="591" t="s">
        <v>319</v>
      </c>
      <c r="AM25" s="591">
        <v>0</v>
      </c>
      <c r="AN25" s="591">
        <v>0</v>
      </c>
      <c r="AO25" s="591">
        <v>0</v>
      </c>
      <c r="AP25" s="591">
        <v>0</v>
      </c>
      <c r="AQ25" s="591">
        <v>0</v>
      </c>
      <c r="AR25" s="591">
        <v>0</v>
      </c>
      <c r="AS25" s="591">
        <v>0</v>
      </c>
      <c r="AT25" s="591">
        <v>0</v>
      </c>
      <c r="AU25" s="591">
        <v>0</v>
      </c>
      <c r="AV25" s="591">
        <v>0</v>
      </c>
      <c r="AW25" s="591">
        <v>24704089</v>
      </c>
      <c r="AX25" s="591">
        <v>24168550</v>
      </c>
      <c r="AY25" s="591">
        <v>0</v>
      </c>
      <c r="AZ25" s="591">
        <v>1162866</v>
      </c>
      <c r="BA25" s="591">
        <v>0</v>
      </c>
      <c r="BB25" s="591">
        <v>0</v>
      </c>
      <c r="BC25" s="591">
        <v>0</v>
      </c>
      <c r="BD25" s="591">
        <v>0</v>
      </c>
      <c r="BE25" s="591">
        <v>324</v>
      </c>
      <c r="BF25" s="591">
        <v>22517913</v>
      </c>
      <c r="BG25" s="591">
        <v>0</v>
      </c>
      <c r="BH25" s="591">
        <v>0</v>
      </c>
      <c r="BI25" s="591">
        <v>0</v>
      </c>
      <c r="BJ25" s="591">
        <v>12</v>
      </c>
      <c r="BK25" s="591">
        <v>0</v>
      </c>
      <c r="BL25" s="591">
        <v>0</v>
      </c>
      <c r="BM25" s="591">
        <v>0</v>
      </c>
      <c r="BN25" s="591">
        <v>0</v>
      </c>
      <c r="BO25" s="591">
        <v>0</v>
      </c>
      <c r="BP25" s="591">
        <v>0</v>
      </c>
      <c r="BQ25" s="591">
        <v>316</v>
      </c>
      <c r="BR25" s="591">
        <v>0</v>
      </c>
      <c r="BS25" s="591">
        <v>0</v>
      </c>
      <c r="BT25" s="591">
        <v>0</v>
      </c>
      <c r="BU25" s="591">
        <v>0</v>
      </c>
      <c r="BV25" s="591">
        <v>0</v>
      </c>
      <c r="BW25" s="591">
        <v>0</v>
      </c>
      <c r="BX25" s="591">
        <v>0</v>
      </c>
      <c r="BY25" s="591">
        <v>0</v>
      </c>
      <c r="BZ25" s="591">
        <v>0</v>
      </c>
      <c r="CA25" s="591">
        <v>0</v>
      </c>
      <c r="CB25" s="591">
        <v>0</v>
      </c>
      <c r="CC25" s="591">
        <v>0</v>
      </c>
      <c r="CD25" s="591">
        <v>0</v>
      </c>
      <c r="CE25" s="591">
        <v>0</v>
      </c>
      <c r="CF25" s="591">
        <v>0</v>
      </c>
      <c r="CG25" s="591">
        <v>0</v>
      </c>
      <c r="CH25" s="591">
        <v>537466</v>
      </c>
      <c r="CI25" s="591">
        <v>0</v>
      </c>
      <c r="CJ25" s="591">
        <v>4</v>
      </c>
      <c r="CK25" s="591">
        <v>0</v>
      </c>
      <c r="CL25" s="591">
        <v>0</v>
      </c>
      <c r="CM25" s="591">
        <v>0</v>
      </c>
      <c r="CN25" s="591">
        <v>0</v>
      </c>
      <c r="CO25" s="591">
        <v>1</v>
      </c>
      <c r="CP25" s="591">
        <v>0</v>
      </c>
      <c r="CQ25" s="591">
        <v>0</v>
      </c>
      <c r="CR25" s="591">
        <v>2965.973</v>
      </c>
      <c r="CS25" s="591">
        <v>0</v>
      </c>
      <c r="CT25" s="591">
        <v>0</v>
      </c>
      <c r="CU25" s="591">
        <v>0</v>
      </c>
      <c r="CV25" s="591">
        <v>0</v>
      </c>
      <c r="CW25" s="591">
        <v>0</v>
      </c>
      <c r="CX25" s="591">
        <v>0</v>
      </c>
      <c r="CY25" s="591">
        <v>0</v>
      </c>
      <c r="CZ25" s="591">
        <v>0</v>
      </c>
      <c r="DA25" s="591">
        <v>0</v>
      </c>
      <c r="DB25" s="591">
        <v>18172742</v>
      </c>
      <c r="DC25" s="591">
        <v>0</v>
      </c>
      <c r="DD25" s="591">
        <v>0</v>
      </c>
      <c r="DE25" s="591">
        <v>363386</v>
      </c>
      <c r="DF25" s="591">
        <v>363386</v>
      </c>
      <c r="DG25" s="591">
        <v>59</v>
      </c>
      <c r="DH25" s="591">
        <v>0</v>
      </c>
      <c r="DI25" s="591">
        <v>0</v>
      </c>
      <c r="DJ25" s="591">
        <v>0</v>
      </c>
      <c r="DK25" s="591">
        <v>0</v>
      </c>
      <c r="DL25" s="591">
        <v>0</v>
      </c>
      <c r="DM25" s="591">
        <v>420080</v>
      </c>
      <c r="DN25" s="591">
        <v>1603</v>
      </c>
      <c r="DO25" s="591">
        <v>0</v>
      </c>
      <c r="DP25" s="591">
        <v>0</v>
      </c>
      <c r="DQ25" s="591">
        <v>0</v>
      </c>
      <c r="DR25" s="591">
        <v>0</v>
      </c>
      <c r="DS25" s="591">
        <v>0</v>
      </c>
      <c r="DT25" s="591">
        <v>0</v>
      </c>
      <c r="DU25" s="591">
        <v>0</v>
      </c>
      <c r="DV25" s="591">
        <v>0</v>
      </c>
      <c r="DW25" s="591">
        <v>0</v>
      </c>
      <c r="DX25" s="591">
        <v>0</v>
      </c>
      <c r="DY25" s="591">
        <v>0</v>
      </c>
      <c r="DZ25" s="591">
        <v>0</v>
      </c>
      <c r="EA25" s="591">
        <v>0</v>
      </c>
      <c r="EB25" s="591">
        <v>0</v>
      </c>
      <c r="EC25" s="591">
        <v>15.428000000000001</v>
      </c>
      <c r="ED25" s="591">
        <v>109276</v>
      </c>
      <c r="EE25" s="591">
        <v>0</v>
      </c>
      <c r="EF25" s="591">
        <v>0</v>
      </c>
      <c r="EG25" s="591">
        <v>0</v>
      </c>
      <c r="EH25" s="591">
        <v>312407</v>
      </c>
      <c r="EI25" s="591">
        <v>0</v>
      </c>
      <c r="EJ25" s="591">
        <v>0</v>
      </c>
      <c r="EK25" s="591">
        <v>13.163</v>
      </c>
      <c r="EL25" s="591">
        <v>0</v>
      </c>
      <c r="EM25" s="591">
        <v>8.0000000000000002E-3</v>
      </c>
      <c r="EN25" s="591">
        <v>2.242</v>
      </c>
      <c r="EO25" s="591">
        <v>0</v>
      </c>
      <c r="EP25" s="591">
        <v>0</v>
      </c>
      <c r="EQ25" s="591">
        <v>15.413</v>
      </c>
      <c r="ER25" s="591">
        <v>0</v>
      </c>
      <c r="ES25" s="591">
        <v>50.722999999999999</v>
      </c>
      <c r="ET25" s="591">
        <v>0</v>
      </c>
      <c r="EU25" s="591">
        <v>0</v>
      </c>
      <c r="EV25" s="591">
        <v>0</v>
      </c>
      <c r="EW25" s="591">
        <v>0</v>
      </c>
      <c r="EX25" s="591">
        <v>0</v>
      </c>
      <c r="EY25" s="591">
        <v>0</v>
      </c>
      <c r="EZ25" s="591">
        <v>21360346</v>
      </c>
      <c r="FA25" s="591">
        <v>0</v>
      </c>
      <c r="FB25" s="591">
        <v>22521285</v>
      </c>
      <c r="FC25" s="591">
        <v>0</v>
      </c>
      <c r="FD25" s="591">
        <v>0</v>
      </c>
      <c r="FE25" s="591">
        <v>2332447</v>
      </c>
      <c r="FF25" s="591">
        <v>475757</v>
      </c>
      <c r="FG25" s="591">
        <v>6.4728999999999995E-2</v>
      </c>
      <c r="FH25" s="591">
        <v>2.6405999999999999E-2</v>
      </c>
      <c r="FI25" s="591">
        <v>0</v>
      </c>
      <c r="FJ25" s="591">
        <v>0</v>
      </c>
      <c r="FK25" s="591">
        <v>3656.05</v>
      </c>
      <c r="FL25" s="591">
        <v>25866955</v>
      </c>
      <c r="FM25" s="591">
        <v>0</v>
      </c>
      <c r="FN25" s="591">
        <v>0</v>
      </c>
      <c r="FO25" s="591">
        <v>0</v>
      </c>
      <c r="FP25" s="591">
        <v>0</v>
      </c>
      <c r="FQ25" s="591">
        <v>0</v>
      </c>
      <c r="FR25" s="591">
        <v>0</v>
      </c>
      <c r="FS25" s="591">
        <v>0</v>
      </c>
      <c r="FT25" s="591">
        <v>0</v>
      </c>
      <c r="FU25" s="591">
        <v>0</v>
      </c>
      <c r="FV25" s="591">
        <v>0</v>
      </c>
      <c r="FW25" s="591">
        <v>0</v>
      </c>
      <c r="FX25" s="591">
        <v>0</v>
      </c>
      <c r="FY25" s="591">
        <v>0</v>
      </c>
      <c r="FZ25" s="591">
        <v>0</v>
      </c>
      <c r="GA25" s="591">
        <v>0</v>
      </c>
      <c r="GB25" s="591">
        <v>0</v>
      </c>
      <c r="GC25" s="591">
        <v>0</v>
      </c>
      <c r="GD25" s="591">
        <v>0</v>
      </c>
      <c r="GE25" s="591">
        <v>0</v>
      </c>
      <c r="GF25" s="591">
        <v>0</v>
      </c>
      <c r="GG25" s="591">
        <v>0</v>
      </c>
      <c r="GH25" s="591">
        <v>0</v>
      </c>
      <c r="GI25" s="591">
        <v>0</v>
      </c>
      <c r="GJ25" s="591">
        <v>0</v>
      </c>
      <c r="GK25" s="591">
        <v>0</v>
      </c>
      <c r="GL25" s="591">
        <v>0</v>
      </c>
      <c r="GM25" s="591">
        <v>0</v>
      </c>
      <c r="GN25" s="591">
        <v>0</v>
      </c>
      <c r="GO25" s="591">
        <v>0</v>
      </c>
      <c r="GP25" s="591">
        <v>0</v>
      </c>
      <c r="GQ25" s="591">
        <v>0</v>
      </c>
      <c r="GR25" s="591">
        <v>0</v>
      </c>
      <c r="GS25" s="591">
        <v>0</v>
      </c>
      <c r="GT25" s="591">
        <v>0</v>
      </c>
      <c r="GU25" s="591">
        <v>0</v>
      </c>
      <c r="GV25" s="591">
        <v>0</v>
      </c>
      <c r="GW25" s="591">
        <v>0</v>
      </c>
      <c r="GX25" s="591">
        <v>0</v>
      </c>
      <c r="GY25" s="591">
        <v>0</v>
      </c>
      <c r="GZ25" s="591">
        <v>0</v>
      </c>
      <c r="HA25" s="591">
        <v>0</v>
      </c>
      <c r="HB25" s="591">
        <v>260009272</v>
      </c>
      <c r="HC25" s="591">
        <v>5.1774999999999995E-2</v>
      </c>
      <c r="HD25" s="591">
        <v>537466</v>
      </c>
      <c r="HE25" s="591">
        <v>0</v>
      </c>
      <c r="HF25" s="591">
        <v>3242665</v>
      </c>
      <c r="HG25" s="591">
        <v>12934</v>
      </c>
      <c r="HH25" s="591">
        <v>12751</v>
      </c>
      <c r="HI25" s="591">
        <v>0</v>
      </c>
      <c r="HJ25" s="591">
        <v>28829</v>
      </c>
      <c r="HK25" s="591">
        <v>3999</v>
      </c>
      <c r="HL25" s="591">
        <v>1300</v>
      </c>
      <c r="HM25" s="591">
        <v>44000</v>
      </c>
      <c r="HN25" s="591">
        <v>0</v>
      </c>
      <c r="HO25" s="591">
        <v>0</v>
      </c>
      <c r="HP25" s="591">
        <v>0</v>
      </c>
      <c r="HQ25" s="591">
        <v>0</v>
      </c>
      <c r="HR25" s="591">
        <v>0</v>
      </c>
      <c r="HS25" s="591">
        <v>21358419</v>
      </c>
      <c r="HT25" s="591">
        <v>0</v>
      </c>
      <c r="HU25" s="591">
        <v>0</v>
      </c>
      <c r="HV25" s="591">
        <v>0</v>
      </c>
      <c r="HW25" s="591">
        <v>0</v>
      </c>
      <c r="HX25" s="591">
        <v>91</v>
      </c>
      <c r="HY25" s="591">
        <v>59</v>
      </c>
      <c r="HZ25" s="591">
        <v>48</v>
      </c>
      <c r="IA25" s="591">
        <v>33</v>
      </c>
      <c r="IB25" s="591">
        <v>14</v>
      </c>
      <c r="IC25" s="591">
        <v>245</v>
      </c>
      <c r="ID25" s="591">
        <v>0</v>
      </c>
      <c r="IE25" s="591">
        <v>0</v>
      </c>
      <c r="IF25" s="591">
        <v>0</v>
      </c>
      <c r="IG25" s="591">
        <v>21</v>
      </c>
      <c r="IH25" s="591">
        <v>20.702000000000002</v>
      </c>
      <c r="II25" s="591">
        <v>0</v>
      </c>
      <c r="IJ25" s="591">
        <v>355.44800000000004</v>
      </c>
      <c r="IK25" s="591">
        <v>0</v>
      </c>
      <c r="IL25" s="591">
        <v>1</v>
      </c>
      <c r="IM25" s="591">
        <v>13</v>
      </c>
      <c r="IN25" s="591">
        <v>0</v>
      </c>
      <c r="IO25" s="591">
        <v>14</v>
      </c>
      <c r="IP25" s="591">
        <v>0</v>
      </c>
      <c r="IQ25" s="591">
        <v>355.44800000000004</v>
      </c>
      <c r="IR25" s="591">
        <v>218923</v>
      </c>
      <c r="IS25" s="591">
        <v>0</v>
      </c>
      <c r="IT25" s="591">
        <v>5000</v>
      </c>
      <c r="IU25" s="591">
        <v>39000</v>
      </c>
      <c r="IV25" s="591">
        <v>0</v>
      </c>
      <c r="IW25" s="591">
        <v>6159</v>
      </c>
      <c r="IX25" s="591">
        <v>0</v>
      </c>
      <c r="IY25" s="591">
        <v>0</v>
      </c>
      <c r="IZ25" s="591">
        <v>0</v>
      </c>
      <c r="JA25" s="591">
        <v>0</v>
      </c>
      <c r="JB25" s="591">
        <v>0</v>
      </c>
      <c r="JC25" s="591">
        <v>0</v>
      </c>
      <c r="JD25" s="591">
        <v>0</v>
      </c>
      <c r="JE25" s="591">
        <v>0</v>
      </c>
      <c r="JF25" s="591">
        <v>0</v>
      </c>
      <c r="JG25" s="591">
        <v>0</v>
      </c>
      <c r="JH25" s="591">
        <v>0</v>
      </c>
      <c r="JI25" s="591">
        <v>0</v>
      </c>
      <c r="JJ25" s="591">
        <v>0</v>
      </c>
      <c r="JK25" s="591">
        <v>0</v>
      </c>
      <c r="JL25" s="591">
        <v>0</v>
      </c>
      <c r="JM25" s="591">
        <v>0</v>
      </c>
      <c r="JN25" s="591">
        <v>32469</v>
      </c>
    </row>
    <row r="26" spans="1:274" x14ac:dyDescent="0.25">
      <c r="A26" s="591">
        <v>32570</v>
      </c>
      <c r="B26" s="591">
        <v>15835</v>
      </c>
      <c r="C26" s="591">
        <v>9</v>
      </c>
      <c r="D26" s="591">
        <v>2022</v>
      </c>
      <c r="E26" s="591">
        <v>6159</v>
      </c>
      <c r="F26" s="591">
        <v>0</v>
      </c>
      <c r="G26" s="591">
        <v>6480.3850000000002</v>
      </c>
      <c r="H26" s="591">
        <v>6339.5450000000001</v>
      </c>
      <c r="I26" s="591">
        <v>6339.5450000000001</v>
      </c>
      <c r="J26" s="591">
        <v>6480.3850000000002</v>
      </c>
      <c r="K26" s="591">
        <v>0</v>
      </c>
      <c r="L26" s="591">
        <v>6159</v>
      </c>
      <c r="M26" s="591">
        <v>0</v>
      </c>
      <c r="N26" s="591">
        <v>0</v>
      </c>
      <c r="O26" s="591">
        <v>0</v>
      </c>
      <c r="P26" s="591">
        <v>6313.3389999999999</v>
      </c>
      <c r="Q26" s="591">
        <v>0</v>
      </c>
      <c r="R26" s="591">
        <v>2540664</v>
      </c>
      <c r="S26" s="591">
        <v>402.428</v>
      </c>
      <c r="T26" s="591">
        <v>0</v>
      </c>
      <c r="U26" s="591">
        <v>0</v>
      </c>
      <c r="V26" s="591">
        <v>410.488</v>
      </c>
      <c r="W26" s="591">
        <v>252823</v>
      </c>
      <c r="X26" s="591">
        <v>252823</v>
      </c>
      <c r="Y26" s="591">
        <v>0</v>
      </c>
      <c r="Z26" s="591">
        <v>0</v>
      </c>
      <c r="AA26" s="591">
        <v>0</v>
      </c>
      <c r="AB26" s="591">
        <v>0</v>
      </c>
      <c r="AC26" s="591">
        <v>0</v>
      </c>
      <c r="AD26" s="591" t="s">
        <v>316</v>
      </c>
      <c r="AE26" s="591">
        <v>0</v>
      </c>
      <c r="AF26" s="591">
        <v>0</v>
      </c>
      <c r="AG26" s="591">
        <v>0</v>
      </c>
      <c r="AH26" s="591">
        <v>0</v>
      </c>
      <c r="AI26" s="591">
        <v>0</v>
      </c>
      <c r="AJ26" s="591">
        <v>6159</v>
      </c>
      <c r="AK26" s="591" t="s">
        <v>671</v>
      </c>
      <c r="AL26" s="591" t="s">
        <v>320</v>
      </c>
      <c r="AM26" s="591">
        <v>0</v>
      </c>
      <c r="AN26" s="591">
        <v>0</v>
      </c>
      <c r="AO26" s="591">
        <v>0</v>
      </c>
      <c r="AP26" s="591">
        <v>0</v>
      </c>
      <c r="AQ26" s="591">
        <v>0</v>
      </c>
      <c r="AR26" s="591">
        <v>0</v>
      </c>
      <c r="AS26" s="591">
        <v>0</v>
      </c>
      <c r="AT26" s="591">
        <v>0</v>
      </c>
      <c r="AU26" s="591">
        <v>0</v>
      </c>
      <c r="AV26" s="591">
        <v>0</v>
      </c>
      <c r="AW26" s="591">
        <v>56905146</v>
      </c>
      <c r="AX26" s="591">
        <v>55743114</v>
      </c>
      <c r="AY26" s="591">
        <v>0</v>
      </c>
      <c r="AZ26" s="591">
        <v>2540664</v>
      </c>
      <c r="BA26" s="591">
        <v>0</v>
      </c>
      <c r="BB26" s="591">
        <v>0</v>
      </c>
      <c r="BC26" s="591">
        <v>0</v>
      </c>
      <c r="BD26" s="591">
        <v>0</v>
      </c>
      <c r="BE26" s="591">
        <v>746</v>
      </c>
      <c r="BF26" s="591">
        <v>51814661</v>
      </c>
      <c r="BG26" s="591">
        <v>0</v>
      </c>
      <c r="BH26" s="591">
        <v>0</v>
      </c>
      <c r="BI26" s="591">
        <v>0</v>
      </c>
      <c r="BJ26" s="591">
        <v>12</v>
      </c>
      <c r="BK26" s="591">
        <v>0</v>
      </c>
      <c r="BL26" s="591">
        <v>0</v>
      </c>
      <c r="BM26" s="591">
        <v>0</v>
      </c>
      <c r="BN26" s="591">
        <v>0</v>
      </c>
      <c r="BO26" s="591">
        <v>0</v>
      </c>
      <c r="BP26" s="591">
        <v>0</v>
      </c>
      <c r="BQ26" s="591">
        <v>0</v>
      </c>
      <c r="BR26" s="591">
        <v>0</v>
      </c>
      <c r="BS26" s="591">
        <v>0</v>
      </c>
      <c r="BT26" s="591">
        <v>0</v>
      </c>
      <c r="BU26" s="591">
        <v>0</v>
      </c>
      <c r="BV26" s="591">
        <v>0</v>
      </c>
      <c r="BW26" s="591">
        <v>0</v>
      </c>
      <c r="BX26" s="591">
        <v>0</v>
      </c>
      <c r="BY26" s="591">
        <v>0</v>
      </c>
      <c r="BZ26" s="591">
        <v>0</v>
      </c>
      <c r="CA26" s="591">
        <v>0</v>
      </c>
      <c r="CB26" s="591">
        <v>0</v>
      </c>
      <c r="CC26" s="591">
        <v>0</v>
      </c>
      <c r="CD26" s="591">
        <v>0</v>
      </c>
      <c r="CE26" s="591">
        <v>0</v>
      </c>
      <c r="CF26" s="591">
        <v>0</v>
      </c>
      <c r="CG26" s="591">
        <v>0</v>
      </c>
      <c r="CH26" s="591">
        <v>1174316</v>
      </c>
      <c r="CI26" s="591">
        <v>0</v>
      </c>
      <c r="CJ26" s="591">
        <v>4</v>
      </c>
      <c r="CK26" s="591">
        <v>0</v>
      </c>
      <c r="CL26" s="591">
        <v>0</v>
      </c>
      <c r="CM26" s="591">
        <v>0</v>
      </c>
      <c r="CN26" s="591">
        <v>0</v>
      </c>
      <c r="CO26" s="591">
        <v>1</v>
      </c>
      <c r="CP26" s="591">
        <v>0</v>
      </c>
      <c r="CQ26" s="591">
        <v>0</v>
      </c>
      <c r="CR26" s="591">
        <v>6480.3850000000002</v>
      </c>
      <c r="CS26" s="591">
        <v>0</v>
      </c>
      <c r="CT26" s="591">
        <v>0</v>
      </c>
      <c r="CU26" s="591">
        <v>0</v>
      </c>
      <c r="CV26" s="591">
        <v>0</v>
      </c>
      <c r="CW26" s="591">
        <v>0</v>
      </c>
      <c r="CX26" s="591">
        <v>0</v>
      </c>
      <c r="CY26" s="591">
        <v>0</v>
      </c>
      <c r="CZ26" s="591">
        <v>0</v>
      </c>
      <c r="DA26" s="591">
        <v>0</v>
      </c>
      <c r="DB26" s="591">
        <v>39045780</v>
      </c>
      <c r="DC26" s="591">
        <v>0</v>
      </c>
      <c r="DD26" s="591">
        <v>0</v>
      </c>
      <c r="DE26" s="591">
        <v>2178775</v>
      </c>
      <c r="DF26" s="591">
        <v>2178775</v>
      </c>
      <c r="DG26" s="591">
        <v>353.75</v>
      </c>
      <c r="DH26" s="591">
        <v>0</v>
      </c>
      <c r="DI26" s="591">
        <v>0</v>
      </c>
      <c r="DJ26" s="591">
        <v>0</v>
      </c>
      <c r="DK26" s="591">
        <v>0</v>
      </c>
      <c r="DL26" s="591">
        <v>0</v>
      </c>
      <c r="DM26" s="591">
        <v>3024350</v>
      </c>
      <c r="DN26" s="591">
        <v>11539</v>
      </c>
      <c r="DO26" s="591">
        <v>0</v>
      </c>
      <c r="DP26" s="591">
        <v>0</v>
      </c>
      <c r="DQ26" s="591">
        <v>0</v>
      </c>
      <c r="DR26" s="591">
        <v>0</v>
      </c>
      <c r="DS26" s="591">
        <v>0</v>
      </c>
      <c r="DT26" s="591">
        <v>0</v>
      </c>
      <c r="DU26" s="591">
        <v>0</v>
      </c>
      <c r="DV26" s="591">
        <v>0</v>
      </c>
      <c r="DW26" s="591">
        <v>0</v>
      </c>
      <c r="DX26" s="591">
        <v>0</v>
      </c>
      <c r="DY26" s="591">
        <v>0</v>
      </c>
      <c r="DZ26" s="591">
        <v>0</v>
      </c>
      <c r="EA26" s="591">
        <v>0</v>
      </c>
      <c r="EB26" s="591">
        <v>0</v>
      </c>
      <c r="EC26" s="591">
        <v>44.423000000000002</v>
      </c>
      <c r="ED26" s="591">
        <v>314646</v>
      </c>
      <c r="EE26" s="591">
        <v>0</v>
      </c>
      <c r="EF26" s="591">
        <v>0</v>
      </c>
      <c r="EG26" s="591">
        <v>0</v>
      </c>
      <c r="EH26" s="591">
        <v>2721243</v>
      </c>
      <c r="EI26" s="591">
        <v>0</v>
      </c>
      <c r="EJ26" s="591">
        <v>0</v>
      </c>
      <c r="EK26" s="591">
        <v>112.607</v>
      </c>
      <c r="EL26" s="591">
        <v>0</v>
      </c>
      <c r="EM26" s="591">
        <v>18.580000000000002</v>
      </c>
      <c r="EN26" s="591">
        <v>9.6530000000000005</v>
      </c>
      <c r="EO26" s="591">
        <v>0</v>
      </c>
      <c r="EP26" s="591">
        <v>0</v>
      </c>
      <c r="EQ26" s="591">
        <v>140.84</v>
      </c>
      <c r="ER26" s="591">
        <v>0</v>
      </c>
      <c r="ES26" s="591">
        <v>441.82600000000002</v>
      </c>
      <c r="ET26" s="591">
        <v>0</v>
      </c>
      <c r="EU26" s="591">
        <v>0</v>
      </c>
      <c r="EV26" s="591">
        <v>0</v>
      </c>
      <c r="EW26" s="591">
        <v>0</v>
      </c>
      <c r="EX26" s="591">
        <v>0</v>
      </c>
      <c r="EY26" s="591">
        <v>0</v>
      </c>
      <c r="EZ26" s="591">
        <v>49281320</v>
      </c>
      <c r="FA26" s="591">
        <v>0</v>
      </c>
      <c r="FB26" s="591">
        <v>51809700</v>
      </c>
      <c r="FC26" s="591">
        <v>0</v>
      </c>
      <c r="FD26" s="591">
        <v>0</v>
      </c>
      <c r="FE26" s="591">
        <v>5367057</v>
      </c>
      <c r="FF26" s="591">
        <v>1094737</v>
      </c>
      <c r="FG26" s="591">
        <v>6.4728999999999995E-2</v>
      </c>
      <c r="FH26" s="591">
        <v>2.6405999999999999E-2</v>
      </c>
      <c r="FI26" s="591">
        <v>0</v>
      </c>
      <c r="FJ26" s="591">
        <v>0</v>
      </c>
      <c r="FK26" s="591">
        <v>8412.7240000000002</v>
      </c>
      <c r="FL26" s="591">
        <v>59445810</v>
      </c>
      <c r="FM26" s="591">
        <v>0</v>
      </c>
      <c r="FN26" s="591">
        <v>0</v>
      </c>
      <c r="FO26" s="591">
        <v>0</v>
      </c>
      <c r="FP26" s="591">
        <v>0</v>
      </c>
      <c r="FQ26" s="591">
        <v>0</v>
      </c>
      <c r="FR26" s="591">
        <v>0</v>
      </c>
      <c r="FS26" s="591">
        <v>0</v>
      </c>
      <c r="FT26" s="591">
        <v>0</v>
      </c>
      <c r="FU26" s="591">
        <v>0</v>
      </c>
      <c r="FV26" s="591">
        <v>0</v>
      </c>
      <c r="FW26" s="591">
        <v>0</v>
      </c>
      <c r="FX26" s="591">
        <v>0</v>
      </c>
      <c r="FY26" s="591">
        <v>0</v>
      </c>
      <c r="FZ26" s="591">
        <v>0</v>
      </c>
      <c r="GA26" s="591">
        <v>0</v>
      </c>
      <c r="GB26" s="591">
        <v>0</v>
      </c>
      <c r="GC26" s="591">
        <v>0</v>
      </c>
      <c r="GD26" s="591">
        <v>0</v>
      </c>
      <c r="GE26" s="591">
        <v>0</v>
      </c>
      <c r="GF26" s="591">
        <v>0</v>
      </c>
      <c r="GG26" s="591">
        <v>0</v>
      </c>
      <c r="GH26" s="591">
        <v>0</v>
      </c>
      <c r="GI26" s="591">
        <v>0</v>
      </c>
      <c r="GJ26" s="591">
        <v>0</v>
      </c>
      <c r="GK26" s="591">
        <v>0</v>
      </c>
      <c r="GL26" s="591">
        <v>0</v>
      </c>
      <c r="GM26" s="591">
        <v>0</v>
      </c>
      <c r="GN26" s="591">
        <v>0</v>
      </c>
      <c r="GO26" s="591">
        <v>0</v>
      </c>
      <c r="GP26" s="591">
        <v>0</v>
      </c>
      <c r="GQ26" s="591">
        <v>0</v>
      </c>
      <c r="GR26" s="591">
        <v>0</v>
      </c>
      <c r="GS26" s="591">
        <v>0</v>
      </c>
      <c r="GT26" s="591">
        <v>0</v>
      </c>
      <c r="GU26" s="591">
        <v>0</v>
      </c>
      <c r="GV26" s="591">
        <v>0</v>
      </c>
      <c r="GW26" s="591">
        <v>0</v>
      </c>
      <c r="GX26" s="591">
        <v>0</v>
      </c>
      <c r="GY26" s="591">
        <v>0</v>
      </c>
      <c r="GZ26" s="591">
        <v>0</v>
      </c>
      <c r="HA26" s="591">
        <v>0</v>
      </c>
      <c r="HB26" s="591">
        <v>260009272</v>
      </c>
      <c r="HC26" s="591">
        <v>5.1774999999999995E-2</v>
      </c>
      <c r="HD26" s="591">
        <v>1174316</v>
      </c>
      <c r="HE26" s="591">
        <v>0</v>
      </c>
      <c r="HF26" s="591">
        <v>6967160</v>
      </c>
      <c r="HG26" s="591">
        <v>42498</v>
      </c>
      <c r="HH26" s="591">
        <v>151747</v>
      </c>
      <c r="HI26" s="591">
        <v>0</v>
      </c>
      <c r="HJ26" s="591">
        <v>62989</v>
      </c>
      <c r="HK26" s="591">
        <v>6869</v>
      </c>
      <c r="HL26" s="591">
        <v>454</v>
      </c>
      <c r="HM26" s="591">
        <v>77000</v>
      </c>
      <c r="HN26" s="591">
        <v>0</v>
      </c>
      <c r="HO26" s="591">
        <v>0</v>
      </c>
      <c r="HP26" s="591">
        <v>0</v>
      </c>
      <c r="HQ26" s="591">
        <v>0</v>
      </c>
      <c r="HR26" s="591">
        <v>0</v>
      </c>
      <c r="HS26" s="591">
        <v>49269036</v>
      </c>
      <c r="HT26" s="591">
        <v>0</v>
      </c>
      <c r="HU26" s="591">
        <v>0</v>
      </c>
      <c r="HV26" s="591">
        <v>0</v>
      </c>
      <c r="HW26" s="591">
        <v>0</v>
      </c>
      <c r="HX26" s="591">
        <v>486</v>
      </c>
      <c r="HY26" s="591">
        <v>382</v>
      </c>
      <c r="HZ26" s="591">
        <v>265</v>
      </c>
      <c r="IA26" s="591">
        <v>222</v>
      </c>
      <c r="IB26" s="591">
        <v>106</v>
      </c>
      <c r="IC26" s="591">
        <v>1461</v>
      </c>
      <c r="ID26" s="591">
        <v>0</v>
      </c>
      <c r="IE26" s="591">
        <v>0</v>
      </c>
      <c r="IF26" s="591">
        <v>0</v>
      </c>
      <c r="IG26" s="591">
        <v>69</v>
      </c>
      <c r="IH26" s="591">
        <v>246.38</v>
      </c>
      <c r="II26" s="591">
        <v>0</v>
      </c>
      <c r="IJ26" s="591">
        <v>410.488</v>
      </c>
      <c r="IK26" s="591">
        <v>0</v>
      </c>
      <c r="IL26" s="591">
        <v>6</v>
      </c>
      <c r="IM26" s="591">
        <v>15</v>
      </c>
      <c r="IN26" s="591">
        <v>1</v>
      </c>
      <c r="IO26" s="591">
        <v>22</v>
      </c>
      <c r="IP26" s="591">
        <v>0</v>
      </c>
      <c r="IQ26" s="591">
        <v>410.488</v>
      </c>
      <c r="IR26" s="591">
        <v>252823</v>
      </c>
      <c r="IS26" s="591">
        <v>0</v>
      </c>
      <c r="IT26" s="591">
        <v>30000</v>
      </c>
      <c r="IU26" s="591">
        <v>45000</v>
      </c>
      <c r="IV26" s="591">
        <v>2000</v>
      </c>
      <c r="IW26" s="591">
        <v>6159</v>
      </c>
      <c r="IX26" s="591">
        <v>0</v>
      </c>
      <c r="IY26" s="591">
        <v>0</v>
      </c>
      <c r="IZ26" s="591">
        <v>0</v>
      </c>
      <c r="JA26" s="591">
        <v>0</v>
      </c>
      <c r="JB26" s="591">
        <v>0</v>
      </c>
      <c r="JC26" s="591">
        <v>0</v>
      </c>
      <c r="JD26" s="591">
        <v>0</v>
      </c>
      <c r="JE26" s="591">
        <v>0</v>
      </c>
      <c r="JF26" s="591">
        <v>0</v>
      </c>
      <c r="JG26" s="591">
        <v>0</v>
      </c>
      <c r="JH26" s="591">
        <v>0</v>
      </c>
      <c r="JI26" s="591">
        <v>0</v>
      </c>
      <c r="JJ26" s="591">
        <v>0</v>
      </c>
      <c r="JK26" s="591">
        <v>0</v>
      </c>
      <c r="JL26" s="591">
        <v>0</v>
      </c>
      <c r="JM26" s="591">
        <v>0</v>
      </c>
      <c r="JN26" s="591">
        <v>32469</v>
      </c>
    </row>
    <row r="27" spans="1:274" x14ac:dyDescent="0.25">
      <c r="A27" s="591">
        <v>32570</v>
      </c>
      <c r="B27" s="591">
        <v>15836</v>
      </c>
      <c r="C27" s="591">
        <v>9</v>
      </c>
      <c r="D27" s="591">
        <v>2022</v>
      </c>
      <c r="E27" s="591">
        <v>6159</v>
      </c>
      <c r="F27" s="591">
        <v>0</v>
      </c>
      <c r="G27" s="591">
        <v>459.67100000000005</v>
      </c>
      <c r="H27" s="591">
        <v>451.88800000000003</v>
      </c>
      <c r="I27" s="591">
        <v>451.88800000000003</v>
      </c>
      <c r="J27" s="591">
        <v>459.67100000000005</v>
      </c>
      <c r="K27" s="591">
        <v>0</v>
      </c>
      <c r="L27" s="591">
        <v>6159</v>
      </c>
      <c r="M27" s="591">
        <v>0</v>
      </c>
      <c r="N27" s="591">
        <v>0</v>
      </c>
      <c r="O27" s="591">
        <v>0</v>
      </c>
      <c r="P27" s="591">
        <v>452.548</v>
      </c>
      <c r="Q27" s="591">
        <v>0</v>
      </c>
      <c r="R27" s="591">
        <v>182118</v>
      </c>
      <c r="S27" s="591">
        <v>402.428</v>
      </c>
      <c r="T27" s="591">
        <v>0</v>
      </c>
      <c r="U27" s="591">
        <v>0</v>
      </c>
      <c r="V27" s="591">
        <v>26.488</v>
      </c>
      <c r="W27" s="591">
        <v>16314</v>
      </c>
      <c r="X27" s="591">
        <v>16314</v>
      </c>
      <c r="Y27" s="591">
        <v>0</v>
      </c>
      <c r="Z27" s="591">
        <v>0</v>
      </c>
      <c r="AA27" s="591">
        <v>0</v>
      </c>
      <c r="AB27" s="591">
        <v>0</v>
      </c>
      <c r="AC27" s="591">
        <v>0</v>
      </c>
      <c r="AD27" s="591" t="s">
        <v>316</v>
      </c>
      <c r="AE27" s="591">
        <v>0</v>
      </c>
      <c r="AF27" s="591">
        <v>0</v>
      </c>
      <c r="AG27" s="591">
        <v>0</v>
      </c>
      <c r="AH27" s="591">
        <v>0</v>
      </c>
      <c r="AI27" s="591">
        <v>0</v>
      </c>
      <c r="AJ27" s="591">
        <v>6159</v>
      </c>
      <c r="AK27" s="591" t="s">
        <v>671</v>
      </c>
      <c r="AL27" s="591" t="s">
        <v>321</v>
      </c>
      <c r="AM27" s="591">
        <v>0</v>
      </c>
      <c r="AN27" s="591">
        <v>0</v>
      </c>
      <c r="AO27" s="591">
        <v>0</v>
      </c>
      <c r="AP27" s="591">
        <v>0</v>
      </c>
      <c r="AQ27" s="591">
        <v>0</v>
      </c>
      <c r="AR27" s="591">
        <v>0</v>
      </c>
      <c r="AS27" s="591">
        <v>0</v>
      </c>
      <c r="AT27" s="591">
        <v>0</v>
      </c>
      <c r="AU27" s="591">
        <v>0</v>
      </c>
      <c r="AV27" s="591">
        <v>0</v>
      </c>
      <c r="AW27" s="591">
        <v>4000020</v>
      </c>
      <c r="AX27" s="591">
        <v>3917522</v>
      </c>
      <c r="AY27" s="591">
        <v>0</v>
      </c>
      <c r="AZ27" s="591">
        <v>182118</v>
      </c>
      <c r="BA27" s="591">
        <v>0</v>
      </c>
      <c r="BB27" s="591">
        <v>0</v>
      </c>
      <c r="BC27" s="591">
        <v>0</v>
      </c>
      <c r="BD27" s="591">
        <v>0</v>
      </c>
      <c r="BE27" s="591">
        <v>52</v>
      </c>
      <c r="BF27" s="591">
        <v>3645065</v>
      </c>
      <c r="BG27" s="591">
        <v>0</v>
      </c>
      <c r="BH27" s="591">
        <v>0</v>
      </c>
      <c r="BI27" s="591">
        <v>0</v>
      </c>
      <c r="BJ27" s="591">
        <v>12</v>
      </c>
      <c r="BK27" s="591">
        <v>0</v>
      </c>
      <c r="BL27" s="591">
        <v>0</v>
      </c>
      <c r="BM27" s="591">
        <v>0</v>
      </c>
      <c r="BN27" s="591">
        <v>0</v>
      </c>
      <c r="BO27" s="591">
        <v>0</v>
      </c>
      <c r="BP27" s="591">
        <v>0</v>
      </c>
      <c r="BQ27" s="591">
        <v>700</v>
      </c>
      <c r="BR27" s="591">
        <v>0</v>
      </c>
      <c r="BS27" s="591">
        <v>0</v>
      </c>
      <c r="BT27" s="591">
        <v>0</v>
      </c>
      <c r="BU27" s="591">
        <v>0</v>
      </c>
      <c r="BV27" s="591">
        <v>0</v>
      </c>
      <c r="BW27" s="591">
        <v>0</v>
      </c>
      <c r="BX27" s="591">
        <v>0</v>
      </c>
      <c r="BY27" s="591">
        <v>0</v>
      </c>
      <c r="BZ27" s="591">
        <v>0</v>
      </c>
      <c r="CA27" s="591">
        <v>0</v>
      </c>
      <c r="CB27" s="591">
        <v>0</v>
      </c>
      <c r="CC27" s="591">
        <v>0</v>
      </c>
      <c r="CD27" s="591">
        <v>0</v>
      </c>
      <c r="CE27" s="591">
        <v>0</v>
      </c>
      <c r="CF27" s="591">
        <v>0</v>
      </c>
      <c r="CG27" s="591">
        <v>0</v>
      </c>
      <c r="CH27" s="591">
        <v>83297</v>
      </c>
      <c r="CI27" s="591">
        <v>0</v>
      </c>
      <c r="CJ27" s="591">
        <v>4</v>
      </c>
      <c r="CK27" s="591">
        <v>0</v>
      </c>
      <c r="CL27" s="591">
        <v>0</v>
      </c>
      <c r="CM27" s="591">
        <v>0</v>
      </c>
      <c r="CN27" s="591">
        <v>0</v>
      </c>
      <c r="CO27" s="591">
        <v>1</v>
      </c>
      <c r="CP27" s="591">
        <v>0</v>
      </c>
      <c r="CQ27" s="591">
        <v>0</v>
      </c>
      <c r="CR27" s="591">
        <v>459.67100000000005</v>
      </c>
      <c r="CS27" s="591">
        <v>0</v>
      </c>
      <c r="CT27" s="591">
        <v>0</v>
      </c>
      <c r="CU27" s="591">
        <v>0</v>
      </c>
      <c r="CV27" s="591">
        <v>0</v>
      </c>
      <c r="CW27" s="591">
        <v>0</v>
      </c>
      <c r="CX27" s="591">
        <v>0</v>
      </c>
      <c r="CY27" s="591">
        <v>0</v>
      </c>
      <c r="CZ27" s="591">
        <v>0</v>
      </c>
      <c r="DA27" s="591">
        <v>0</v>
      </c>
      <c r="DB27" s="591">
        <v>2783215</v>
      </c>
      <c r="DC27" s="591">
        <v>0</v>
      </c>
      <c r="DD27" s="591">
        <v>0</v>
      </c>
      <c r="DE27" s="591">
        <v>126492</v>
      </c>
      <c r="DF27" s="591">
        <v>126492</v>
      </c>
      <c r="DG27" s="591">
        <v>20.538</v>
      </c>
      <c r="DH27" s="591">
        <v>0</v>
      </c>
      <c r="DI27" s="591">
        <v>0</v>
      </c>
      <c r="DJ27" s="591">
        <v>0</v>
      </c>
      <c r="DK27" s="591">
        <v>2828</v>
      </c>
      <c r="DL27" s="591">
        <v>0</v>
      </c>
      <c r="DM27" s="591">
        <v>195648</v>
      </c>
      <c r="DN27" s="591">
        <v>746</v>
      </c>
      <c r="DO27" s="591">
        <v>0</v>
      </c>
      <c r="DP27" s="591">
        <v>0</v>
      </c>
      <c r="DQ27" s="591">
        <v>0</v>
      </c>
      <c r="DR27" s="591">
        <v>0</v>
      </c>
      <c r="DS27" s="591">
        <v>0</v>
      </c>
      <c r="DT27" s="591">
        <v>0</v>
      </c>
      <c r="DU27" s="591">
        <v>0</v>
      </c>
      <c r="DV27" s="591">
        <v>0</v>
      </c>
      <c r="DW27" s="591">
        <v>0</v>
      </c>
      <c r="DX27" s="591">
        <v>0</v>
      </c>
      <c r="DY27" s="591">
        <v>0</v>
      </c>
      <c r="DZ27" s="591">
        <v>0</v>
      </c>
      <c r="EA27" s="591">
        <v>0</v>
      </c>
      <c r="EB27" s="591">
        <v>0</v>
      </c>
      <c r="EC27" s="591">
        <v>6.226</v>
      </c>
      <c r="ED27" s="591">
        <v>44098</v>
      </c>
      <c r="EE27" s="591">
        <v>0</v>
      </c>
      <c r="EF27" s="591">
        <v>0</v>
      </c>
      <c r="EG27" s="591">
        <v>0</v>
      </c>
      <c r="EH27" s="591">
        <v>152296</v>
      </c>
      <c r="EI27" s="591">
        <v>0</v>
      </c>
      <c r="EJ27" s="591">
        <v>0</v>
      </c>
      <c r="EK27" s="591">
        <v>6.617</v>
      </c>
      <c r="EL27" s="591">
        <v>0</v>
      </c>
      <c r="EM27" s="591">
        <v>0.47700000000000004</v>
      </c>
      <c r="EN27" s="591">
        <v>0.68900000000000006</v>
      </c>
      <c r="EO27" s="591">
        <v>0</v>
      </c>
      <c r="EP27" s="591">
        <v>0</v>
      </c>
      <c r="EQ27" s="591">
        <v>7.7830000000000004</v>
      </c>
      <c r="ER27" s="591">
        <v>0</v>
      </c>
      <c r="ES27" s="591">
        <v>24.727</v>
      </c>
      <c r="ET27" s="591">
        <v>0</v>
      </c>
      <c r="EU27" s="591">
        <v>0</v>
      </c>
      <c r="EV27" s="591">
        <v>0</v>
      </c>
      <c r="EW27" s="591">
        <v>0</v>
      </c>
      <c r="EX27" s="591">
        <v>0</v>
      </c>
      <c r="EY27" s="591">
        <v>0</v>
      </c>
      <c r="EZ27" s="591">
        <v>3462947</v>
      </c>
      <c r="FA27" s="591">
        <v>0</v>
      </c>
      <c r="FB27" s="591">
        <v>3644266</v>
      </c>
      <c r="FC27" s="591">
        <v>0</v>
      </c>
      <c r="FD27" s="591">
        <v>0</v>
      </c>
      <c r="FE27" s="591">
        <v>377562</v>
      </c>
      <c r="FF27" s="591">
        <v>77013</v>
      </c>
      <c r="FG27" s="591">
        <v>6.4728999999999995E-2</v>
      </c>
      <c r="FH27" s="591">
        <v>2.6405999999999999E-2</v>
      </c>
      <c r="FI27" s="591">
        <v>0</v>
      </c>
      <c r="FJ27" s="591">
        <v>0</v>
      </c>
      <c r="FK27" s="591">
        <v>591.81900000000007</v>
      </c>
      <c r="FL27" s="591">
        <v>4182138</v>
      </c>
      <c r="FM27" s="591">
        <v>0</v>
      </c>
      <c r="FN27" s="591">
        <v>0</v>
      </c>
      <c r="FO27" s="591">
        <v>0</v>
      </c>
      <c r="FP27" s="591">
        <v>0</v>
      </c>
      <c r="FQ27" s="591">
        <v>0</v>
      </c>
      <c r="FR27" s="591">
        <v>0</v>
      </c>
      <c r="FS27" s="591">
        <v>0</v>
      </c>
      <c r="FT27" s="591">
        <v>0</v>
      </c>
      <c r="FU27" s="591">
        <v>0</v>
      </c>
      <c r="FV27" s="591">
        <v>0</v>
      </c>
      <c r="FW27" s="591">
        <v>0</v>
      </c>
      <c r="FX27" s="591">
        <v>0</v>
      </c>
      <c r="FY27" s="591">
        <v>0</v>
      </c>
      <c r="FZ27" s="591">
        <v>0</v>
      </c>
      <c r="GA27" s="591">
        <v>0</v>
      </c>
      <c r="GB27" s="591">
        <v>0</v>
      </c>
      <c r="GC27" s="591">
        <v>0</v>
      </c>
      <c r="GD27" s="591">
        <v>0</v>
      </c>
      <c r="GE27" s="591">
        <v>0</v>
      </c>
      <c r="GF27" s="591">
        <v>0</v>
      </c>
      <c r="GG27" s="591">
        <v>0</v>
      </c>
      <c r="GH27" s="591">
        <v>0</v>
      </c>
      <c r="GI27" s="591">
        <v>0</v>
      </c>
      <c r="GJ27" s="591">
        <v>0</v>
      </c>
      <c r="GK27" s="591">
        <v>0</v>
      </c>
      <c r="GL27" s="591">
        <v>0</v>
      </c>
      <c r="GM27" s="591">
        <v>0</v>
      </c>
      <c r="GN27" s="591">
        <v>0</v>
      </c>
      <c r="GO27" s="591">
        <v>0</v>
      </c>
      <c r="GP27" s="591">
        <v>0</v>
      </c>
      <c r="GQ27" s="591">
        <v>0</v>
      </c>
      <c r="GR27" s="591">
        <v>0</v>
      </c>
      <c r="GS27" s="591">
        <v>0</v>
      </c>
      <c r="GT27" s="591">
        <v>0</v>
      </c>
      <c r="GU27" s="591">
        <v>0</v>
      </c>
      <c r="GV27" s="591">
        <v>0</v>
      </c>
      <c r="GW27" s="591">
        <v>0</v>
      </c>
      <c r="GX27" s="591">
        <v>0</v>
      </c>
      <c r="GY27" s="591">
        <v>0</v>
      </c>
      <c r="GZ27" s="591">
        <v>0</v>
      </c>
      <c r="HA27" s="591">
        <v>0</v>
      </c>
      <c r="HB27" s="591">
        <v>260009272</v>
      </c>
      <c r="HC27" s="591">
        <v>5.1774999999999995E-2</v>
      </c>
      <c r="HD27" s="591">
        <v>83297</v>
      </c>
      <c r="HE27" s="591">
        <v>0</v>
      </c>
      <c r="HF27" s="591">
        <v>496625</v>
      </c>
      <c r="HG27" s="591">
        <v>2464</v>
      </c>
      <c r="HH27" s="591">
        <v>19093</v>
      </c>
      <c r="HI27" s="591">
        <v>0</v>
      </c>
      <c r="HJ27" s="591">
        <v>4468</v>
      </c>
      <c r="HK27" s="591">
        <v>0</v>
      </c>
      <c r="HL27" s="591">
        <v>0</v>
      </c>
      <c r="HM27" s="591">
        <v>0</v>
      </c>
      <c r="HN27" s="591">
        <v>0</v>
      </c>
      <c r="HO27" s="591">
        <v>0</v>
      </c>
      <c r="HP27" s="591">
        <v>0</v>
      </c>
      <c r="HQ27" s="591">
        <v>0</v>
      </c>
      <c r="HR27" s="591">
        <v>0</v>
      </c>
      <c r="HS27" s="591">
        <v>3462148</v>
      </c>
      <c r="HT27" s="591">
        <v>0</v>
      </c>
      <c r="HU27" s="591">
        <v>0</v>
      </c>
      <c r="HV27" s="591">
        <v>0</v>
      </c>
      <c r="HW27" s="591">
        <v>0</v>
      </c>
      <c r="HX27" s="591">
        <v>26</v>
      </c>
      <c r="HY27" s="591">
        <v>27</v>
      </c>
      <c r="HZ27" s="591">
        <v>13</v>
      </c>
      <c r="IA27" s="591">
        <v>16</v>
      </c>
      <c r="IB27" s="591">
        <v>3</v>
      </c>
      <c r="IC27" s="591">
        <v>85</v>
      </c>
      <c r="ID27" s="591">
        <v>0</v>
      </c>
      <c r="IE27" s="591">
        <v>0</v>
      </c>
      <c r="IF27" s="591">
        <v>0</v>
      </c>
      <c r="IG27" s="591">
        <v>4</v>
      </c>
      <c r="IH27" s="591">
        <v>31</v>
      </c>
      <c r="II27" s="591">
        <v>0</v>
      </c>
      <c r="IJ27" s="591">
        <v>26.488</v>
      </c>
      <c r="IK27" s="591">
        <v>0</v>
      </c>
      <c r="IL27" s="591">
        <v>0</v>
      </c>
      <c r="IM27" s="591">
        <v>0</v>
      </c>
      <c r="IN27" s="591">
        <v>0</v>
      </c>
      <c r="IO27" s="591">
        <v>0</v>
      </c>
      <c r="IP27" s="591">
        <v>0</v>
      </c>
      <c r="IQ27" s="591">
        <v>26.488</v>
      </c>
      <c r="IR27" s="591">
        <v>16314</v>
      </c>
      <c r="IS27" s="591">
        <v>0</v>
      </c>
      <c r="IT27" s="591">
        <v>0</v>
      </c>
      <c r="IU27" s="591">
        <v>0</v>
      </c>
      <c r="IV27" s="591">
        <v>0</v>
      </c>
      <c r="IW27" s="591">
        <v>6159</v>
      </c>
      <c r="IX27" s="591">
        <v>0</v>
      </c>
      <c r="IY27" s="591">
        <v>0</v>
      </c>
      <c r="IZ27" s="591">
        <v>0</v>
      </c>
      <c r="JA27" s="591">
        <v>0</v>
      </c>
      <c r="JB27" s="591">
        <v>0</v>
      </c>
      <c r="JC27" s="591">
        <v>0</v>
      </c>
      <c r="JD27" s="591">
        <v>0</v>
      </c>
      <c r="JE27" s="591">
        <v>0</v>
      </c>
      <c r="JF27" s="591">
        <v>0</v>
      </c>
      <c r="JG27" s="591">
        <v>0</v>
      </c>
      <c r="JH27" s="591">
        <v>0</v>
      </c>
      <c r="JI27" s="591">
        <v>0</v>
      </c>
      <c r="JJ27" s="591">
        <v>0</v>
      </c>
      <c r="JK27" s="591">
        <v>0</v>
      </c>
      <c r="JL27" s="591">
        <v>0</v>
      </c>
      <c r="JM27" s="591">
        <v>0</v>
      </c>
      <c r="JN27" s="591">
        <v>32469</v>
      </c>
    </row>
    <row r="28" spans="1:274" x14ac:dyDescent="0.25">
      <c r="A28" s="591">
        <v>32570</v>
      </c>
      <c r="B28" s="591">
        <v>15838</v>
      </c>
      <c r="C28" s="591">
        <v>9</v>
      </c>
      <c r="D28" s="591">
        <v>2022</v>
      </c>
      <c r="E28" s="591">
        <v>6159</v>
      </c>
      <c r="F28" s="591">
        <v>0</v>
      </c>
      <c r="G28" s="591">
        <v>1042.8130000000001</v>
      </c>
      <c r="H28" s="591">
        <v>988.06600000000003</v>
      </c>
      <c r="I28" s="591">
        <v>988.06600000000003</v>
      </c>
      <c r="J28" s="591">
        <v>1042.8130000000001</v>
      </c>
      <c r="K28" s="591">
        <v>0</v>
      </c>
      <c r="L28" s="591">
        <v>6159</v>
      </c>
      <c r="M28" s="591">
        <v>0</v>
      </c>
      <c r="N28" s="591">
        <v>0</v>
      </c>
      <c r="O28" s="591">
        <v>0</v>
      </c>
      <c r="P28" s="591">
        <v>1040.2860000000001</v>
      </c>
      <c r="Q28" s="591">
        <v>0</v>
      </c>
      <c r="R28" s="591">
        <v>418640</v>
      </c>
      <c r="S28" s="591">
        <v>402.428</v>
      </c>
      <c r="T28" s="591">
        <v>0</v>
      </c>
      <c r="U28" s="591">
        <v>0</v>
      </c>
      <c r="V28" s="591">
        <v>118.25800000000001</v>
      </c>
      <c r="W28" s="591">
        <v>72836</v>
      </c>
      <c r="X28" s="591">
        <v>72836</v>
      </c>
      <c r="Y28" s="591">
        <v>0</v>
      </c>
      <c r="Z28" s="591">
        <v>0</v>
      </c>
      <c r="AA28" s="591">
        <v>0</v>
      </c>
      <c r="AB28" s="591">
        <v>0</v>
      </c>
      <c r="AC28" s="591">
        <v>0</v>
      </c>
      <c r="AD28" s="591" t="s">
        <v>316</v>
      </c>
      <c r="AE28" s="591">
        <v>0</v>
      </c>
      <c r="AF28" s="591">
        <v>0</v>
      </c>
      <c r="AG28" s="591">
        <v>0</v>
      </c>
      <c r="AH28" s="591">
        <v>0</v>
      </c>
      <c r="AI28" s="591">
        <v>0</v>
      </c>
      <c r="AJ28" s="591">
        <v>6159</v>
      </c>
      <c r="AK28" s="591" t="s">
        <v>671</v>
      </c>
      <c r="AL28" s="591" t="s">
        <v>792</v>
      </c>
      <c r="AM28" s="591">
        <v>0</v>
      </c>
      <c r="AN28" s="591">
        <v>0</v>
      </c>
      <c r="AO28" s="591">
        <v>0</v>
      </c>
      <c r="AP28" s="591">
        <v>0</v>
      </c>
      <c r="AQ28" s="591">
        <v>0</v>
      </c>
      <c r="AR28" s="591">
        <v>0</v>
      </c>
      <c r="AS28" s="591">
        <v>0</v>
      </c>
      <c r="AT28" s="591">
        <v>0</v>
      </c>
      <c r="AU28" s="591">
        <v>0</v>
      </c>
      <c r="AV28" s="591">
        <v>0</v>
      </c>
      <c r="AW28" s="591">
        <v>11165537</v>
      </c>
      <c r="AX28" s="591">
        <v>10979613</v>
      </c>
      <c r="AY28" s="591">
        <v>0</v>
      </c>
      <c r="AZ28" s="591">
        <v>418640</v>
      </c>
      <c r="BA28" s="591">
        <v>0</v>
      </c>
      <c r="BB28" s="591">
        <v>0</v>
      </c>
      <c r="BC28" s="591">
        <v>0</v>
      </c>
      <c r="BD28" s="591">
        <v>0</v>
      </c>
      <c r="BE28" s="591">
        <v>146</v>
      </c>
      <c r="BF28" s="591">
        <v>10113503</v>
      </c>
      <c r="BG28" s="591">
        <v>0</v>
      </c>
      <c r="BH28" s="591">
        <v>0</v>
      </c>
      <c r="BI28" s="591">
        <v>0</v>
      </c>
      <c r="BJ28" s="591">
        <v>12</v>
      </c>
      <c r="BK28" s="591">
        <v>0</v>
      </c>
      <c r="BL28" s="591">
        <v>0</v>
      </c>
      <c r="BM28" s="591">
        <v>0</v>
      </c>
      <c r="BN28" s="591">
        <v>0</v>
      </c>
      <c r="BO28" s="591">
        <v>0</v>
      </c>
      <c r="BP28" s="591">
        <v>0</v>
      </c>
      <c r="BQ28" s="591">
        <v>618</v>
      </c>
      <c r="BR28" s="591">
        <v>0</v>
      </c>
      <c r="BS28" s="591">
        <v>0</v>
      </c>
      <c r="BT28" s="591">
        <v>0</v>
      </c>
      <c r="BU28" s="591">
        <v>0</v>
      </c>
      <c r="BV28" s="591">
        <v>0</v>
      </c>
      <c r="BW28" s="591">
        <v>0</v>
      </c>
      <c r="BX28" s="591">
        <v>0</v>
      </c>
      <c r="BY28" s="591">
        <v>0</v>
      </c>
      <c r="BZ28" s="591">
        <v>0</v>
      </c>
      <c r="CA28" s="591">
        <v>0</v>
      </c>
      <c r="CB28" s="591">
        <v>0</v>
      </c>
      <c r="CC28" s="591">
        <v>0</v>
      </c>
      <c r="CD28" s="591">
        <v>0</v>
      </c>
      <c r="CE28" s="591">
        <v>0</v>
      </c>
      <c r="CF28" s="591">
        <v>0</v>
      </c>
      <c r="CG28" s="591">
        <v>0</v>
      </c>
      <c r="CH28" s="591">
        <v>188969</v>
      </c>
      <c r="CI28" s="591">
        <v>0</v>
      </c>
      <c r="CJ28" s="591">
        <v>5</v>
      </c>
      <c r="CK28" s="591">
        <v>0</v>
      </c>
      <c r="CL28" s="591">
        <v>0</v>
      </c>
      <c r="CM28" s="591">
        <v>0</v>
      </c>
      <c r="CN28" s="591">
        <v>0</v>
      </c>
      <c r="CO28" s="591">
        <v>1</v>
      </c>
      <c r="CP28" s="591">
        <v>0</v>
      </c>
      <c r="CQ28" s="591">
        <v>0</v>
      </c>
      <c r="CR28" s="591">
        <v>1042.8130000000001</v>
      </c>
      <c r="CS28" s="591">
        <v>0</v>
      </c>
      <c r="CT28" s="591">
        <v>0</v>
      </c>
      <c r="CU28" s="591">
        <v>0</v>
      </c>
      <c r="CV28" s="591">
        <v>0</v>
      </c>
      <c r="CW28" s="591">
        <v>0</v>
      </c>
      <c r="CX28" s="591">
        <v>0</v>
      </c>
      <c r="CY28" s="591">
        <v>0</v>
      </c>
      <c r="CZ28" s="591">
        <v>0</v>
      </c>
      <c r="DA28" s="591">
        <v>0</v>
      </c>
      <c r="DB28" s="591">
        <v>6085580</v>
      </c>
      <c r="DC28" s="591">
        <v>0</v>
      </c>
      <c r="DD28" s="591">
        <v>0</v>
      </c>
      <c r="DE28" s="591">
        <v>1701293</v>
      </c>
      <c r="DF28" s="591">
        <v>1701293</v>
      </c>
      <c r="DG28" s="591">
        <v>276.22500000000002</v>
      </c>
      <c r="DH28" s="591">
        <v>0</v>
      </c>
      <c r="DI28" s="591">
        <v>0</v>
      </c>
      <c r="DJ28" s="591">
        <v>0</v>
      </c>
      <c r="DK28" s="591">
        <v>1508</v>
      </c>
      <c r="DL28" s="591">
        <v>0</v>
      </c>
      <c r="DM28" s="591">
        <v>759779</v>
      </c>
      <c r="DN28" s="591">
        <v>2899</v>
      </c>
      <c r="DO28" s="591">
        <v>0</v>
      </c>
      <c r="DP28" s="591">
        <v>0</v>
      </c>
      <c r="DQ28" s="591">
        <v>0</v>
      </c>
      <c r="DR28" s="591">
        <v>0</v>
      </c>
      <c r="DS28" s="591">
        <v>0</v>
      </c>
      <c r="DT28" s="591">
        <v>0</v>
      </c>
      <c r="DU28" s="591">
        <v>0</v>
      </c>
      <c r="DV28" s="591">
        <v>0</v>
      </c>
      <c r="DW28" s="591">
        <v>0</v>
      </c>
      <c r="DX28" s="591">
        <v>0</v>
      </c>
      <c r="DY28" s="591">
        <v>0</v>
      </c>
      <c r="DZ28" s="591">
        <v>0</v>
      </c>
      <c r="EA28" s="591">
        <v>0</v>
      </c>
      <c r="EB28" s="591">
        <v>0</v>
      </c>
      <c r="EC28" s="591">
        <v>80.052000000000007</v>
      </c>
      <c r="ED28" s="591">
        <v>567004</v>
      </c>
      <c r="EE28" s="591">
        <v>0</v>
      </c>
      <c r="EF28" s="591">
        <v>0</v>
      </c>
      <c r="EG28" s="591">
        <v>0</v>
      </c>
      <c r="EH28" s="591">
        <v>195674</v>
      </c>
      <c r="EI28" s="591">
        <v>0</v>
      </c>
      <c r="EJ28" s="591">
        <v>0</v>
      </c>
      <c r="EK28" s="591">
        <v>1.264</v>
      </c>
      <c r="EL28" s="591">
        <v>0</v>
      </c>
      <c r="EM28" s="591">
        <v>6.6660000000000004</v>
      </c>
      <c r="EN28" s="591">
        <v>1.5960000000000001</v>
      </c>
      <c r="EO28" s="591">
        <v>0</v>
      </c>
      <c r="EP28" s="591">
        <v>0</v>
      </c>
      <c r="EQ28" s="591">
        <v>9.5259999999999998</v>
      </c>
      <c r="ER28" s="591">
        <v>0</v>
      </c>
      <c r="ES28" s="591">
        <v>31.77</v>
      </c>
      <c r="ET28" s="591">
        <v>0</v>
      </c>
      <c r="EU28" s="591">
        <v>0</v>
      </c>
      <c r="EV28" s="591">
        <v>0</v>
      </c>
      <c r="EW28" s="591">
        <v>0</v>
      </c>
      <c r="EX28" s="591">
        <v>0</v>
      </c>
      <c r="EY28" s="591">
        <v>0</v>
      </c>
      <c r="EZ28" s="591">
        <v>9718360</v>
      </c>
      <c r="FA28" s="591">
        <v>0</v>
      </c>
      <c r="FB28" s="591">
        <v>10133955</v>
      </c>
      <c r="FC28" s="591">
        <v>0</v>
      </c>
      <c r="FD28" s="591">
        <v>0</v>
      </c>
      <c r="FE28" s="591">
        <v>1047575</v>
      </c>
      <c r="FF28" s="591">
        <v>213678</v>
      </c>
      <c r="FG28" s="591">
        <v>6.4728999999999995E-2</v>
      </c>
      <c r="FH28" s="591">
        <v>2.6405999999999999E-2</v>
      </c>
      <c r="FI28" s="591">
        <v>0</v>
      </c>
      <c r="FJ28" s="591">
        <v>0</v>
      </c>
      <c r="FK28" s="591">
        <v>1642.047</v>
      </c>
      <c r="FL28" s="591">
        <v>11584177</v>
      </c>
      <c r="FM28" s="591">
        <v>0</v>
      </c>
      <c r="FN28" s="591">
        <v>0</v>
      </c>
      <c r="FO28" s="591">
        <v>20685</v>
      </c>
      <c r="FP28" s="591">
        <v>0</v>
      </c>
      <c r="FQ28" s="591">
        <v>20685</v>
      </c>
      <c r="FR28" s="591">
        <v>20685</v>
      </c>
      <c r="FS28" s="591">
        <v>0</v>
      </c>
      <c r="FT28" s="591">
        <v>0</v>
      </c>
      <c r="FU28" s="591">
        <v>0</v>
      </c>
      <c r="FV28" s="591">
        <v>0</v>
      </c>
      <c r="FW28" s="591">
        <v>0</v>
      </c>
      <c r="FX28" s="591">
        <v>0</v>
      </c>
      <c r="FY28" s="591">
        <v>0</v>
      </c>
      <c r="FZ28" s="591">
        <v>0</v>
      </c>
      <c r="GA28" s="591">
        <v>0</v>
      </c>
      <c r="GB28" s="591">
        <v>376002</v>
      </c>
      <c r="GC28" s="591">
        <v>376002</v>
      </c>
      <c r="GD28" s="591">
        <v>45.221000000000004</v>
      </c>
      <c r="GE28" s="591">
        <v>0</v>
      </c>
      <c r="GF28" s="591">
        <v>0</v>
      </c>
      <c r="GG28" s="591">
        <v>0</v>
      </c>
      <c r="GH28" s="591">
        <v>0</v>
      </c>
      <c r="GI28" s="591">
        <v>0</v>
      </c>
      <c r="GJ28" s="591">
        <v>0</v>
      </c>
      <c r="GK28" s="591">
        <v>0</v>
      </c>
      <c r="GL28" s="591">
        <v>0</v>
      </c>
      <c r="GM28" s="591">
        <v>0</v>
      </c>
      <c r="GN28" s="591">
        <v>0</v>
      </c>
      <c r="GO28" s="591">
        <v>0</v>
      </c>
      <c r="GP28" s="591">
        <v>0</v>
      </c>
      <c r="GQ28" s="591">
        <v>0</v>
      </c>
      <c r="GR28" s="591">
        <v>0</v>
      </c>
      <c r="GS28" s="591">
        <v>0</v>
      </c>
      <c r="GT28" s="591">
        <v>0</v>
      </c>
      <c r="GU28" s="591">
        <v>0</v>
      </c>
      <c r="GV28" s="591">
        <v>0</v>
      </c>
      <c r="GW28" s="591">
        <v>0</v>
      </c>
      <c r="GX28" s="591">
        <v>0</v>
      </c>
      <c r="GY28" s="591">
        <v>0</v>
      </c>
      <c r="GZ28" s="591">
        <v>0</v>
      </c>
      <c r="HA28" s="591">
        <v>0</v>
      </c>
      <c r="HB28" s="591">
        <v>260009272</v>
      </c>
      <c r="HC28" s="591">
        <v>5.1774999999999995E-2</v>
      </c>
      <c r="HD28" s="591">
        <v>188969</v>
      </c>
      <c r="HE28" s="591">
        <v>0</v>
      </c>
      <c r="HF28" s="591">
        <v>1085885</v>
      </c>
      <c r="HG28" s="591">
        <v>19093</v>
      </c>
      <c r="HH28" s="591">
        <v>0</v>
      </c>
      <c r="HI28" s="591">
        <v>0</v>
      </c>
      <c r="HJ28" s="591">
        <v>10136</v>
      </c>
      <c r="HK28" s="591">
        <v>0</v>
      </c>
      <c r="HL28" s="591">
        <v>2812</v>
      </c>
      <c r="HM28" s="591">
        <v>0</v>
      </c>
      <c r="HN28" s="591">
        <v>0</v>
      </c>
      <c r="HO28" s="591">
        <v>0</v>
      </c>
      <c r="HP28" s="591">
        <v>0</v>
      </c>
      <c r="HQ28" s="591">
        <v>0</v>
      </c>
      <c r="HR28" s="591">
        <v>0</v>
      </c>
      <c r="HS28" s="591">
        <v>9715315</v>
      </c>
      <c r="HT28" s="591">
        <v>0</v>
      </c>
      <c r="HU28" s="591">
        <v>0</v>
      </c>
      <c r="HV28" s="591">
        <v>0</v>
      </c>
      <c r="HW28" s="591">
        <v>0</v>
      </c>
      <c r="HX28" s="591">
        <v>29</v>
      </c>
      <c r="HY28" s="591">
        <v>98</v>
      </c>
      <c r="HZ28" s="591">
        <v>144</v>
      </c>
      <c r="IA28" s="591">
        <v>326</v>
      </c>
      <c r="IB28" s="591">
        <v>454</v>
      </c>
      <c r="IC28" s="591">
        <v>1051</v>
      </c>
      <c r="ID28" s="591">
        <v>0</v>
      </c>
      <c r="IE28" s="591">
        <v>0</v>
      </c>
      <c r="IF28" s="591">
        <v>0</v>
      </c>
      <c r="IG28" s="591">
        <v>31</v>
      </c>
      <c r="IH28" s="591">
        <v>0</v>
      </c>
      <c r="II28" s="591">
        <v>0</v>
      </c>
      <c r="IJ28" s="591">
        <v>118.25800000000001</v>
      </c>
      <c r="IK28" s="591">
        <v>0</v>
      </c>
      <c r="IL28" s="591">
        <v>0</v>
      </c>
      <c r="IM28" s="591">
        <v>0</v>
      </c>
      <c r="IN28" s="591">
        <v>0</v>
      </c>
      <c r="IO28" s="591">
        <v>0</v>
      </c>
      <c r="IP28" s="591">
        <v>0</v>
      </c>
      <c r="IQ28" s="591">
        <v>118.25800000000001</v>
      </c>
      <c r="IR28" s="591">
        <v>72836</v>
      </c>
      <c r="IS28" s="591">
        <v>0</v>
      </c>
      <c r="IT28" s="591">
        <v>0</v>
      </c>
      <c r="IU28" s="591">
        <v>0</v>
      </c>
      <c r="IV28" s="591">
        <v>0</v>
      </c>
      <c r="IW28" s="591">
        <v>6159</v>
      </c>
      <c r="IX28" s="591">
        <v>0</v>
      </c>
      <c r="IY28" s="591">
        <v>0</v>
      </c>
      <c r="IZ28" s="591">
        <v>0</v>
      </c>
      <c r="JA28" s="591">
        <v>0</v>
      </c>
      <c r="JB28" s="591">
        <v>0</v>
      </c>
      <c r="JC28" s="591">
        <v>0</v>
      </c>
      <c r="JD28" s="591">
        <v>0</v>
      </c>
      <c r="JE28" s="591">
        <v>0</v>
      </c>
      <c r="JF28" s="591">
        <v>0</v>
      </c>
      <c r="JG28" s="591">
        <v>0</v>
      </c>
      <c r="JH28" s="591">
        <v>0</v>
      </c>
      <c r="JI28" s="591">
        <v>0</v>
      </c>
      <c r="JJ28" s="591">
        <v>0</v>
      </c>
      <c r="JK28" s="591">
        <v>0</v>
      </c>
      <c r="JL28" s="591">
        <v>0</v>
      </c>
      <c r="JM28" s="591">
        <v>0</v>
      </c>
      <c r="JN28" s="591">
        <v>32469</v>
      </c>
    </row>
    <row r="29" spans="1:274" x14ac:dyDescent="0.25">
      <c r="A29" s="591">
        <v>32570</v>
      </c>
      <c r="B29" s="591">
        <v>15839</v>
      </c>
      <c r="C29" s="591">
        <v>9</v>
      </c>
      <c r="D29" s="591">
        <v>2022</v>
      </c>
      <c r="E29" s="591">
        <v>6159</v>
      </c>
      <c r="F29" s="591">
        <v>0</v>
      </c>
      <c r="G29" s="591">
        <v>174.32500000000002</v>
      </c>
      <c r="H29" s="591">
        <v>172.90600000000001</v>
      </c>
      <c r="I29" s="591">
        <v>172.90600000000001</v>
      </c>
      <c r="J29" s="591">
        <v>174.32500000000002</v>
      </c>
      <c r="K29" s="591">
        <v>0</v>
      </c>
      <c r="L29" s="591">
        <v>6159</v>
      </c>
      <c r="M29" s="591">
        <v>0</v>
      </c>
      <c r="N29" s="591">
        <v>0</v>
      </c>
      <c r="O29" s="591">
        <v>0</v>
      </c>
      <c r="P29" s="591">
        <v>174.32500000000002</v>
      </c>
      <c r="Q29" s="591">
        <v>0</v>
      </c>
      <c r="R29" s="591">
        <v>70153</v>
      </c>
      <c r="S29" s="591">
        <v>402.428</v>
      </c>
      <c r="T29" s="591">
        <v>0</v>
      </c>
      <c r="U29" s="591">
        <v>0</v>
      </c>
      <c r="V29" s="591">
        <v>8.2650000000000006</v>
      </c>
      <c r="W29" s="591">
        <v>5090</v>
      </c>
      <c r="X29" s="591">
        <v>5090</v>
      </c>
      <c r="Y29" s="591">
        <v>0</v>
      </c>
      <c r="Z29" s="591">
        <v>0</v>
      </c>
      <c r="AA29" s="591">
        <v>0</v>
      </c>
      <c r="AB29" s="591">
        <v>0</v>
      </c>
      <c r="AC29" s="591">
        <v>0</v>
      </c>
      <c r="AD29" s="591" t="s">
        <v>316</v>
      </c>
      <c r="AE29" s="591">
        <v>0</v>
      </c>
      <c r="AF29" s="591">
        <v>0</v>
      </c>
      <c r="AG29" s="591">
        <v>0</v>
      </c>
      <c r="AH29" s="591">
        <v>0</v>
      </c>
      <c r="AI29" s="591">
        <v>0</v>
      </c>
      <c r="AJ29" s="591">
        <v>6159</v>
      </c>
      <c r="AK29" s="591" t="s">
        <v>671</v>
      </c>
      <c r="AL29" s="591" t="s">
        <v>462</v>
      </c>
      <c r="AM29" s="591">
        <v>0</v>
      </c>
      <c r="AN29" s="591">
        <v>0</v>
      </c>
      <c r="AO29" s="591">
        <v>0</v>
      </c>
      <c r="AP29" s="591">
        <v>0</v>
      </c>
      <c r="AQ29" s="591">
        <v>0</v>
      </c>
      <c r="AR29" s="591">
        <v>0</v>
      </c>
      <c r="AS29" s="591">
        <v>0</v>
      </c>
      <c r="AT29" s="591">
        <v>0</v>
      </c>
      <c r="AU29" s="591">
        <v>0</v>
      </c>
      <c r="AV29" s="591">
        <v>0</v>
      </c>
      <c r="AW29" s="591">
        <v>1889482</v>
      </c>
      <c r="AX29" s="591">
        <v>1889792</v>
      </c>
      <c r="AY29" s="591">
        <v>0</v>
      </c>
      <c r="AZ29" s="591">
        <v>70153</v>
      </c>
      <c r="BA29" s="591">
        <v>0</v>
      </c>
      <c r="BB29" s="591">
        <v>0</v>
      </c>
      <c r="BC29" s="591">
        <v>0</v>
      </c>
      <c r="BD29" s="591">
        <v>0</v>
      </c>
      <c r="BE29" s="591">
        <v>25</v>
      </c>
      <c r="BF29" s="591">
        <v>1726939</v>
      </c>
      <c r="BG29" s="591">
        <v>0</v>
      </c>
      <c r="BH29" s="591">
        <v>0</v>
      </c>
      <c r="BI29" s="591">
        <v>0</v>
      </c>
      <c r="BJ29" s="591">
        <v>12</v>
      </c>
      <c r="BK29" s="591">
        <v>0</v>
      </c>
      <c r="BL29" s="591">
        <v>0</v>
      </c>
      <c r="BM29" s="591">
        <v>0</v>
      </c>
      <c r="BN29" s="591">
        <v>0</v>
      </c>
      <c r="BO29" s="591">
        <v>0</v>
      </c>
      <c r="BP29" s="591">
        <v>0</v>
      </c>
      <c r="BQ29" s="591">
        <v>743</v>
      </c>
      <c r="BR29" s="591">
        <v>0</v>
      </c>
      <c r="BS29" s="591">
        <v>0</v>
      </c>
      <c r="BT29" s="591">
        <v>0</v>
      </c>
      <c r="BU29" s="591">
        <v>0</v>
      </c>
      <c r="BV29" s="591">
        <v>0</v>
      </c>
      <c r="BW29" s="591">
        <v>0</v>
      </c>
      <c r="BX29" s="591">
        <v>0</v>
      </c>
      <c r="BY29" s="591">
        <v>0</v>
      </c>
      <c r="BZ29" s="591">
        <v>0</v>
      </c>
      <c r="CA29" s="591">
        <v>0</v>
      </c>
      <c r="CB29" s="591">
        <v>0</v>
      </c>
      <c r="CC29" s="591">
        <v>0</v>
      </c>
      <c r="CD29" s="591">
        <v>0</v>
      </c>
      <c r="CE29" s="591">
        <v>0</v>
      </c>
      <c r="CF29" s="591">
        <v>0</v>
      </c>
      <c r="CG29" s="591">
        <v>0</v>
      </c>
      <c r="CH29" s="591">
        <v>0</v>
      </c>
      <c r="CI29" s="591">
        <v>0</v>
      </c>
      <c r="CJ29" s="591">
        <v>4</v>
      </c>
      <c r="CK29" s="591">
        <v>0</v>
      </c>
      <c r="CL29" s="591">
        <v>0</v>
      </c>
      <c r="CM29" s="591">
        <v>0</v>
      </c>
      <c r="CN29" s="591">
        <v>0</v>
      </c>
      <c r="CO29" s="591">
        <v>1</v>
      </c>
      <c r="CP29" s="591">
        <v>0</v>
      </c>
      <c r="CQ29" s="591">
        <v>0</v>
      </c>
      <c r="CR29" s="591">
        <v>174.32500000000002</v>
      </c>
      <c r="CS29" s="591">
        <v>0</v>
      </c>
      <c r="CT29" s="591">
        <v>0</v>
      </c>
      <c r="CU29" s="591">
        <v>0</v>
      </c>
      <c r="CV29" s="591">
        <v>0</v>
      </c>
      <c r="CW29" s="591">
        <v>0</v>
      </c>
      <c r="CX29" s="591">
        <v>0</v>
      </c>
      <c r="CY29" s="591">
        <v>0</v>
      </c>
      <c r="CZ29" s="591">
        <v>0</v>
      </c>
      <c r="DA29" s="591">
        <v>0</v>
      </c>
      <c r="DB29" s="591">
        <v>1064942</v>
      </c>
      <c r="DC29" s="591">
        <v>0</v>
      </c>
      <c r="DD29" s="591">
        <v>0</v>
      </c>
      <c r="DE29" s="591">
        <v>278852</v>
      </c>
      <c r="DF29" s="591">
        <v>278852</v>
      </c>
      <c r="DG29" s="591">
        <v>45.275000000000006</v>
      </c>
      <c r="DH29" s="591">
        <v>0</v>
      </c>
      <c r="DI29" s="591">
        <v>0</v>
      </c>
      <c r="DJ29" s="591">
        <v>0</v>
      </c>
      <c r="DK29" s="591">
        <v>3516</v>
      </c>
      <c r="DL29" s="591">
        <v>0</v>
      </c>
      <c r="DM29" s="591">
        <v>74573</v>
      </c>
      <c r="DN29" s="591">
        <v>285</v>
      </c>
      <c r="DO29" s="591">
        <v>0</v>
      </c>
      <c r="DP29" s="591">
        <v>0</v>
      </c>
      <c r="DQ29" s="591">
        <v>0</v>
      </c>
      <c r="DR29" s="591">
        <v>0</v>
      </c>
      <c r="DS29" s="591">
        <v>0</v>
      </c>
      <c r="DT29" s="591">
        <v>0</v>
      </c>
      <c r="DU29" s="591">
        <v>0</v>
      </c>
      <c r="DV29" s="591">
        <v>0</v>
      </c>
      <c r="DW29" s="591">
        <v>0</v>
      </c>
      <c r="DX29" s="591">
        <v>0</v>
      </c>
      <c r="DY29" s="591">
        <v>0</v>
      </c>
      <c r="DZ29" s="591">
        <v>0</v>
      </c>
      <c r="EA29" s="591">
        <v>0</v>
      </c>
      <c r="EB29" s="591">
        <v>0</v>
      </c>
      <c r="EC29" s="591">
        <v>6.008</v>
      </c>
      <c r="ED29" s="591">
        <v>42554</v>
      </c>
      <c r="EE29" s="591">
        <v>0</v>
      </c>
      <c r="EF29" s="591">
        <v>0</v>
      </c>
      <c r="EG29" s="591">
        <v>0</v>
      </c>
      <c r="EH29" s="591">
        <v>32304</v>
      </c>
      <c r="EI29" s="591">
        <v>0</v>
      </c>
      <c r="EJ29" s="591">
        <v>0</v>
      </c>
      <c r="EK29" s="591">
        <v>0.92500000000000004</v>
      </c>
      <c r="EL29" s="591">
        <v>0</v>
      </c>
      <c r="EM29" s="591">
        <v>0</v>
      </c>
      <c r="EN29" s="591">
        <v>0.49400000000000005</v>
      </c>
      <c r="EO29" s="591">
        <v>0</v>
      </c>
      <c r="EP29" s="591">
        <v>0</v>
      </c>
      <c r="EQ29" s="591">
        <v>1.419</v>
      </c>
      <c r="ER29" s="591">
        <v>0</v>
      </c>
      <c r="ES29" s="591">
        <v>5.2450000000000001</v>
      </c>
      <c r="ET29" s="591">
        <v>0</v>
      </c>
      <c r="EU29" s="591">
        <v>0</v>
      </c>
      <c r="EV29" s="591">
        <v>0</v>
      </c>
      <c r="EW29" s="591">
        <v>0</v>
      </c>
      <c r="EX29" s="591">
        <v>0</v>
      </c>
      <c r="EY29" s="591">
        <v>0</v>
      </c>
      <c r="EZ29" s="591">
        <v>1674426</v>
      </c>
      <c r="FA29" s="591">
        <v>0</v>
      </c>
      <c r="FB29" s="591">
        <v>1744269</v>
      </c>
      <c r="FC29" s="591">
        <v>0</v>
      </c>
      <c r="FD29" s="591">
        <v>0</v>
      </c>
      <c r="FE29" s="591">
        <v>178879</v>
      </c>
      <c r="FF29" s="591">
        <v>36487</v>
      </c>
      <c r="FG29" s="591">
        <v>6.4728999999999995E-2</v>
      </c>
      <c r="FH29" s="591">
        <v>2.6405999999999999E-2</v>
      </c>
      <c r="FI29" s="591">
        <v>0</v>
      </c>
      <c r="FJ29" s="591">
        <v>0</v>
      </c>
      <c r="FK29" s="591">
        <v>280.38900000000001</v>
      </c>
      <c r="FL29" s="591">
        <v>1959635</v>
      </c>
      <c r="FM29" s="591">
        <v>0</v>
      </c>
      <c r="FN29" s="591">
        <v>0</v>
      </c>
      <c r="FO29" s="591">
        <v>17640</v>
      </c>
      <c r="FP29" s="591">
        <v>0</v>
      </c>
      <c r="FQ29" s="591">
        <v>17640</v>
      </c>
      <c r="FR29" s="591">
        <v>17640</v>
      </c>
      <c r="FS29" s="591">
        <v>0</v>
      </c>
      <c r="FT29" s="591">
        <v>0</v>
      </c>
      <c r="FU29" s="591">
        <v>0</v>
      </c>
      <c r="FV29" s="591">
        <v>0</v>
      </c>
      <c r="FW29" s="591">
        <v>0</v>
      </c>
      <c r="FX29" s="591">
        <v>0</v>
      </c>
      <c r="FY29" s="591">
        <v>0</v>
      </c>
      <c r="FZ29" s="591">
        <v>0</v>
      </c>
      <c r="GA29" s="591">
        <v>0</v>
      </c>
      <c r="GB29" s="591">
        <v>0</v>
      </c>
      <c r="GC29" s="591">
        <v>0</v>
      </c>
      <c r="GD29" s="591">
        <v>0</v>
      </c>
      <c r="GE29" s="591">
        <v>0</v>
      </c>
      <c r="GF29" s="591">
        <v>0</v>
      </c>
      <c r="GG29" s="591">
        <v>0</v>
      </c>
      <c r="GH29" s="591">
        <v>0</v>
      </c>
      <c r="GI29" s="591">
        <v>0</v>
      </c>
      <c r="GJ29" s="591">
        <v>0</v>
      </c>
      <c r="GK29" s="591">
        <v>0</v>
      </c>
      <c r="GL29" s="591">
        <v>0</v>
      </c>
      <c r="GM29" s="591">
        <v>0</v>
      </c>
      <c r="GN29" s="591">
        <v>0</v>
      </c>
      <c r="GO29" s="591">
        <v>0</v>
      </c>
      <c r="GP29" s="591">
        <v>0</v>
      </c>
      <c r="GQ29" s="591">
        <v>0</v>
      </c>
      <c r="GR29" s="591">
        <v>0</v>
      </c>
      <c r="GS29" s="591">
        <v>0</v>
      </c>
      <c r="GT29" s="591">
        <v>0</v>
      </c>
      <c r="GU29" s="591">
        <v>0</v>
      </c>
      <c r="GV29" s="591">
        <v>0</v>
      </c>
      <c r="GW29" s="591">
        <v>0</v>
      </c>
      <c r="GX29" s="591">
        <v>0</v>
      </c>
      <c r="GY29" s="591">
        <v>0</v>
      </c>
      <c r="GZ29" s="591">
        <v>0</v>
      </c>
      <c r="HA29" s="591">
        <v>0</v>
      </c>
      <c r="HB29" s="591">
        <v>0</v>
      </c>
      <c r="HC29" s="591">
        <v>5.1774999999999995E-2</v>
      </c>
      <c r="HD29" s="591">
        <v>0</v>
      </c>
      <c r="HE29" s="591">
        <v>0</v>
      </c>
      <c r="HF29" s="591">
        <v>190024</v>
      </c>
      <c r="HG29" s="591">
        <v>6159</v>
      </c>
      <c r="HH29" s="591">
        <v>105320</v>
      </c>
      <c r="HI29" s="591">
        <v>0</v>
      </c>
      <c r="HJ29" s="591">
        <v>1694</v>
      </c>
      <c r="HK29" s="591">
        <v>0</v>
      </c>
      <c r="HL29" s="591">
        <v>0</v>
      </c>
      <c r="HM29" s="591">
        <v>0</v>
      </c>
      <c r="HN29" s="591">
        <v>0</v>
      </c>
      <c r="HO29" s="591">
        <v>0</v>
      </c>
      <c r="HP29" s="591">
        <v>0</v>
      </c>
      <c r="HQ29" s="591">
        <v>0</v>
      </c>
      <c r="HR29" s="591">
        <v>0</v>
      </c>
      <c r="HS29" s="591">
        <v>1674116</v>
      </c>
      <c r="HT29" s="591">
        <v>0</v>
      </c>
      <c r="HU29" s="591">
        <v>0</v>
      </c>
      <c r="HV29" s="591">
        <v>0</v>
      </c>
      <c r="HW29" s="591">
        <v>0</v>
      </c>
      <c r="HX29" s="591">
        <v>7</v>
      </c>
      <c r="HY29" s="591">
        <v>13</v>
      </c>
      <c r="HZ29" s="591">
        <v>20</v>
      </c>
      <c r="IA29" s="591">
        <v>33</v>
      </c>
      <c r="IB29" s="591">
        <v>98</v>
      </c>
      <c r="IC29" s="591">
        <v>171</v>
      </c>
      <c r="ID29" s="591">
        <v>0</v>
      </c>
      <c r="IE29" s="591">
        <v>0</v>
      </c>
      <c r="IF29" s="591">
        <v>0</v>
      </c>
      <c r="IG29" s="591">
        <v>10</v>
      </c>
      <c r="IH29" s="591">
        <v>171</v>
      </c>
      <c r="II29" s="591">
        <v>0</v>
      </c>
      <c r="IJ29" s="591">
        <v>8.2650000000000006</v>
      </c>
      <c r="IK29" s="591">
        <v>0</v>
      </c>
      <c r="IL29" s="591">
        <v>0</v>
      </c>
      <c r="IM29" s="591">
        <v>0</v>
      </c>
      <c r="IN29" s="591">
        <v>0</v>
      </c>
      <c r="IO29" s="591">
        <v>0</v>
      </c>
      <c r="IP29" s="591">
        <v>0</v>
      </c>
      <c r="IQ29" s="591">
        <v>8.2650000000000006</v>
      </c>
      <c r="IR29" s="591">
        <v>5090</v>
      </c>
      <c r="IS29" s="591">
        <v>0</v>
      </c>
      <c r="IT29" s="591">
        <v>0</v>
      </c>
      <c r="IU29" s="591">
        <v>0</v>
      </c>
      <c r="IV29" s="591">
        <v>0</v>
      </c>
      <c r="IW29" s="591">
        <v>6159</v>
      </c>
      <c r="IX29" s="591">
        <v>0</v>
      </c>
      <c r="IY29" s="591">
        <v>0</v>
      </c>
      <c r="IZ29" s="591">
        <v>0</v>
      </c>
      <c r="JA29" s="591">
        <v>0</v>
      </c>
      <c r="JB29" s="591">
        <v>0</v>
      </c>
      <c r="JC29" s="591">
        <v>0</v>
      </c>
      <c r="JD29" s="591">
        <v>0</v>
      </c>
      <c r="JE29" s="591">
        <v>0</v>
      </c>
      <c r="JF29" s="591">
        <v>0</v>
      </c>
      <c r="JG29" s="591">
        <v>0</v>
      </c>
      <c r="JH29" s="591">
        <v>0</v>
      </c>
      <c r="JI29" s="591">
        <v>0</v>
      </c>
      <c r="JJ29" s="591">
        <v>0</v>
      </c>
      <c r="JK29" s="591">
        <v>0</v>
      </c>
      <c r="JL29" s="591">
        <v>0</v>
      </c>
      <c r="JM29" s="591">
        <v>0</v>
      </c>
      <c r="JN29" s="591">
        <v>29136</v>
      </c>
    </row>
    <row r="30" spans="1:274" x14ac:dyDescent="0.25">
      <c r="A30" s="591">
        <v>32570</v>
      </c>
      <c r="B30" s="591">
        <v>15840</v>
      </c>
      <c r="C30" s="591">
        <v>9</v>
      </c>
      <c r="D30" s="591">
        <v>2022</v>
      </c>
      <c r="E30" s="591">
        <v>6159</v>
      </c>
      <c r="F30" s="591">
        <v>0</v>
      </c>
      <c r="G30" s="591">
        <v>191.01500000000001</v>
      </c>
      <c r="H30" s="591">
        <v>190.249</v>
      </c>
      <c r="I30" s="591">
        <v>190.249</v>
      </c>
      <c r="J30" s="591">
        <v>191.01500000000001</v>
      </c>
      <c r="K30" s="591">
        <v>0</v>
      </c>
      <c r="L30" s="591">
        <v>6159</v>
      </c>
      <c r="M30" s="591">
        <v>0</v>
      </c>
      <c r="N30" s="591">
        <v>0</v>
      </c>
      <c r="O30" s="591">
        <v>0</v>
      </c>
      <c r="P30" s="591">
        <v>191.01500000000001</v>
      </c>
      <c r="Q30" s="591">
        <v>0</v>
      </c>
      <c r="R30" s="591">
        <v>76870</v>
      </c>
      <c r="S30" s="591">
        <v>402.428</v>
      </c>
      <c r="T30" s="591">
        <v>0</v>
      </c>
      <c r="U30" s="591">
        <v>0</v>
      </c>
      <c r="V30" s="591">
        <v>0</v>
      </c>
      <c r="W30" s="591">
        <v>0</v>
      </c>
      <c r="X30" s="591">
        <v>0</v>
      </c>
      <c r="Y30" s="591">
        <v>0</v>
      </c>
      <c r="Z30" s="591">
        <v>0</v>
      </c>
      <c r="AA30" s="591">
        <v>0</v>
      </c>
      <c r="AB30" s="591">
        <v>0</v>
      </c>
      <c r="AC30" s="591">
        <v>0</v>
      </c>
      <c r="AD30" s="591" t="s">
        <v>316</v>
      </c>
      <c r="AE30" s="591">
        <v>0</v>
      </c>
      <c r="AF30" s="591">
        <v>0</v>
      </c>
      <c r="AG30" s="591">
        <v>0</v>
      </c>
      <c r="AH30" s="591">
        <v>0</v>
      </c>
      <c r="AI30" s="591">
        <v>0</v>
      </c>
      <c r="AJ30" s="591">
        <v>6159</v>
      </c>
      <c r="AK30" s="591" t="s">
        <v>671</v>
      </c>
      <c r="AL30" s="591" t="s">
        <v>793</v>
      </c>
      <c r="AM30" s="591">
        <v>0</v>
      </c>
      <c r="AN30" s="591">
        <v>0</v>
      </c>
      <c r="AO30" s="591">
        <v>0</v>
      </c>
      <c r="AP30" s="591">
        <v>0</v>
      </c>
      <c r="AQ30" s="591">
        <v>0</v>
      </c>
      <c r="AR30" s="591">
        <v>0</v>
      </c>
      <c r="AS30" s="591">
        <v>0</v>
      </c>
      <c r="AT30" s="591">
        <v>0</v>
      </c>
      <c r="AU30" s="591">
        <v>0</v>
      </c>
      <c r="AV30" s="591">
        <v>0</v>
      </c>
      <c r="AW30" s="591">
        <v>1928335</v>
      </c>
      <c r="AX30" s="591">
        <v>1929026</v>
      </c>
      <c r="AY30" s="591">
        <v>0</v>
      </c>
      <c r="AZ30" s="591">
        <v>76870</v>
      </c>
      <c r="BA30" s="591">
        <v>0</v>
      </c>
      <c r="BB30" s="591">
        <v>0</v>
      </c>
      <c r="BC30" s="591">
        <v>0</v>
      </c>
      <c r="BD30" s="591">
        <v>0</v>
      </c>
      <c r="BE30" s="591">
        <v>26</v>
      </c>
      <c r="BF30" s="591">
        <v>1783479</v>
      </c>
      <c r="BG30" s="591">
        <v>0</v>
      </c>
      <c r="BH30" s="591">
        <v>0</v>
      </c>
      <c r="BI30" s="591">
        <v>0</v>
      </c>
      <c r="BJ30" s="591">
        <v>12</v>
      </c>
      <c r="BK30" s="591">
        <v>0</v>
      </c>
      <c r="BL30" s="591">
        <v>0</v>
      </c>
      <c r="BM30" s="591">
        <v>0</v>
      </c>
      <c r="BN30" s="591">
        <v>0</v>
      </c>
      <c r="BO30" s="591">
        <v>0</v>
      </c>
      <c r="BP30" s="591">
        <v>0</v>
      </c>
      <c r="BQ30" s="591">
        <v>741</v>
      </c>
      <c r="BR30" s="591">
        <v>0</v>
      </c>
      <c r="BS30" s="591">
        <v>0</v>
      </c>
      <c r="BT30" s="591">
        <v>0</v>
      </c>
      <c r="BU30" s="591">
        <v>0</v>
      </c>
      <c r="BV30" s="591">
        <v>0</v>
      </c>
      <c r="BW30" s="591">
        <v>0</v>
      </c>
      <c r="BX30" s="591">
        <v>0</v>
      </c>
      <c r="BY30" s="591">
        <v>0</v>
      </c>
      <c r="BZ30" s="591">
        <v>0</v>
      </c>
      <c r="CA30" s="591">
        <v>0</v>
      </c>
      <c r="CB30" s="591">
        <v>0</v>
      </c>
      <c r="CC30" s="591">
        <v>0</v>
      </c>
      <c r="CD30" s="591">
        <v>0</v>
      </c>
      <c r="CE30" s="591">
        <v>0</v>
      </c>
      <c r="CF30" s="591">
        <v>0</v>
      </c>
      <c r="CG30" s="591">
        <v>0</v>
      </c>
      <c r="CH30" s="591">
        <v>0</v>
      </c>
      <c r="CI30" s="591">
        <v>0</v>
      </c>
      <c r="CJ30" s="591">
        <v>4</v>
      </c>
      <c r="CK30" s="591">
        <v>0</v>
      </c>
      <c r="CL30" s="591">
        <v>0</v>
      </c>
      <c r="CM30" s="591">
        <v>0</v>
      </c>
      <c r="CN30" s="591">
        <v>0</v>
      </c>
      <c r="CO30" s="591">
        <v>1</v>
      </c>
      <c r="CP30" s="591">
        <v>0</v>
      </c>
      <c r="CQ30" s="591">
        <v>0</v>
      </c>
      <c r="CR30" s="591">
        <v>191.01500000000001</v>
      </c>
      <c r="CS30" s="591">
        <v>0</v>
      </c>
      <c r="CT30" s="591">
        <v>0</v>
      </c>
      <c r="CU30" s="591">
        <v>0</v>
      </c>
      <c r="CV30" s="591">
        <v>0</v>
      </c>
      <c r="CW30" s="591">
        <v>0</v>
      </c>
      <c r="CX30" s="591">
        <v>0</v>
      </c>
      <c r="CY30" s="591">
        <v>0</v>
      </c>
      <c r="CZ30" s="591">
        <v>0</v>
      </c>
      <c r="DA30" s="591">
        <v>0</v>
      </c>
      <c r="DB30" s="591">
        <v>1171759</v>
      </c>
      <c r="DC30" s="591">
        <v>0</v>
      </c>
      <c r="DD30" s="591">
        <v>0</v>
      </c>
      <c r="DE30" s="591">
        <v>222728</v>
      </c>
      <c r="DF30" s="591">
        <v>222728</v>
      </c>
      <c r="DG30" s="591">
        <v>36.163000000000004</v>
      </c>
      <c r="DH30" s="591">
        <v>0</v>
      </c>
      <c r="DI30" s="591">
        <v>0</v>
      </c>
      <c r="DJ30" s="591">
        <v>0</v>
      </c>
      <c r="DK30" s="591">
        <v>3473</v>
      </c>
      <c r="DL30" s="591">
        <v>0</v>
      </c>
      <c r="DM30" s="591">
        <v>174306</v>
      </c>
      <c r="DN30" s="591">
        <v>665</v>
      </c>
      <c r="DO30" s="591">
        <v>0</v>
      </c>
      <c r="DP30" s="591">
        <v>0</v>
      </c>
      <c r="DQ30" s="591">
        <v>0</v>
      </c>
      <c r="DR30" s="591">
        <v>0</v>
      </c>
      <c r="DS30" s="591">
        <v>0</v>
      </c>
      <c r="DT30" s="591">
        <v>0</v>
      </c>
      <c r="DU30" s="591">
        <v>0</v>
      </c>
      <c r="DV30" s="591">
        <v>0</v>
      </c>
      <c r="DW30" s="591">
        <v>0</v>
      </c>
      <c r="DX30" s="591">
        <v>0</v>
      </c>
      <c r="DY30" s="591">
        <v>0</v>
      </c>
      <c r="DZ30" s="591">
        <v>0</v>
      </c>
      <c r="EA30" s="591">
        <v>0</v>
      </c>
      <c r="EB30" s="591">
        <v>0</v>
      </c>
      <c r="EC30" s="591">
        <v>22.277000000000001</v>
      </c>
      <c r="ED30" s="591">
        <v>157787</v>
      </c>
      <c r="EE30" s="591">
        <v>0</v>
      </c>
      <c r="EF30" s="591">
        <v>0</v>
      </c>
      <c r="EG30" s="591">
        <v>0</v>
      </c>
      <c r="EH30" s="591">
        <v>17184</v>
      </c>
      <c r="EI30" s="591">
        <v>0</v>
      </c>
      <c r="EJ30" s="591">
        <v>0</v>
      </c>
      <c r="EK30" s="591">
        <v>0.52</v>
      </c>
      <c r="EL30" s="591">
        <v>0</v>
      </c>
      <c r="EM30" s="591">
        <v>0</v>
      </c>
      <c r="EN30" s="591">
        <v>0.24600000000000002</v>
      </c>
      <c r="EO30" s="591">
        <v>0</v>
      </c>
      <c r="EP30" s="591">
        <v>0</v>
      </c>
      <c r="EQ30" s="591">
        <v>0.76600000000000001</v>
      </c>
      <c r="ER30" s="591">
        <v>0</v>
      </c>
      <c r="ES30" s="591">
        <v>2.79</v>
      </c>
      <c r="ET30" s="591">
        <v>0</v>
      </c>
      <c r="EU30" s="591">
        <v>0</v>
      </c>
      <c r="EV30" s="591">
        <v>0</v>
      </c>
      <c r="EW30" s="591">
        <v>0</v>
      </c>
      <c r="EX30" s="591">
        <v>0</v>
      </c>
      <c r="EY30" s="591">
        <v>0</v>
      </c>
      <c r="EZ30" s="591">
        <v>1706609</v>
      </c>
      <c r="FA30" s="591">
        <v>0</v>
      </c>
      <c r="FB30" s="591">
        <v>1782788</v>
      </c>
      <c r="FC30" s="591">
        <v>0</v>
      </c>
      <c r="FD30" s="591">
        <v>0</v>
      </c>
      <c r="FE30" s="591">
        <v>184736</v>
      </c>
      <c r="FF30" s="591">
        <v>37681</v>
      </c>
      <c r="FG30" s="591">
        <v>6.4728999999999995E-2</v>
      </c>
      <c r="FH30" s="591">
        <v>2.6405999999999999E-2</v>
      </c>
      <c r="FI30" s="591">
        <v>0</v>
      </c>
      <c r="FJ30" s="591">
        <v>0</v>
      </c>
      <c r="FK30" s="591">
        <v>289.56900000000002</v>
      </c>
      <c r="FL30" s="591">
        <v>2005205</v>
      </c>
      <c r="FM30" s="591">
        <v>0</v>
      </c>
      <c r="FN30" s="591">
        <v>0</v>
      </c>
      <c r="FO30" s="591">
        <v>0</v>
      </c>
      <c r="FP30" s="591">
        <v>0</v>
      </c>
      <c r="FQ30" s="591">
        <v>0</v>
      </c>
      <c r="FR30" s="591">
        <v>0</v>
      </c>
      <c r="FS30" s="591">
        <v>0</v>
      </c>
      <c r="FT30" s="591">
        <v>0</v>
      </c>
      <c r="FU30" s="591">
        <v>0</v>
      </c>
      <c r="FV30" s="591">
        <v>0</v>
      </c>
      <c r="FW30" s="591">
        <v>0</v>
      </c>
      <c r="FX30" s="591">
        <v>0</v>
      </c>
      <c r="FY30" s="591">
        <v>0</v>
      </c>
      <c r="FZ30" s="591">
        <v>0</v>
      </c>
      <c r="GA30" s="591">
        <v>0</v>
      </c>
      <c r="GB30" s="591">
        <v>0</v>
      </c>
      <c r="GC30" s="591">
        <v>0</v>
      </c>
      <c r="GD30" s="591">
        <v>0</v>
      </c>
      <c r="GE30" s="591">
        <v>0</v>
      </c>
      <c r="GF30" s="591">
        <v>0</v>
      </c>
      <c r="GG30" s="591">
        <v>0</v>
      </c>
      <c r="GH30" s="591">
        <v>0</v>
      </c>
      <c r="GI30" s="591">
        <v>0</v>
      </c>
      <c r="GJ30" s="591">
        <v>0</v>
      </c>
      <c r="GK30" s="591">
        <v>0</v>
      </c>
      <c r="GL30" s="591">
        <v>0</v>
      </c>
      <c r="GM30" s="591">
        <v>0</v>
      </c>
      <c r="GN30" s="591">
        <v>0</v>
      </c>
      <c r="GO30" s="591">
        <v>0</v>
      </c>
      <c r="GP30" s="591">
        <v>0</v>
      </c>
      <c r="GQ30" s="591">
        <v>0</v>
      </c>
      <c r="GR30" s="591">
        <v>0</v>
      </c>
      <c r="GS30" s="591">
        <v>0</v>
      </c>
      <c r="GT30" s="591">
        <v>0</v>
      </c>
      <c r="GU30" s="591">
        <v>0</v>
      </c>
      <c r="GV30" s="591">
        <v>0</v>
      </c>
      <c r="GW30" s="591">
        <v>0</v>
      </c>
      <c r="GX30" s="591">
        <v>0</v>
      </c>
      <c r="GY30" s="591">
        <v>0</v>
      </c>
      <c r="GZ30" s="591">
        <v>0</v>
      </c>
      <c r="HA30" s="591">
        <v>0</v>
      </c>
      <c r="HB30" s="591">
        <v>0</v>
      </c>
      <c r="HC30" s="591">
        <v>5.1774999999999995E-2</v>
      </c>
      <c r="HD30" s="591">
        <v>0</v>
      </c>
      <c r="HE30" s="591">
        <v>0</v>
      </c>
      <c r="HF30" s="591">
        <v>209084</v>
      </c>
      <c r="HG30" s="591">
        <v>3080</v>
      </c>
      <c r="HH30" s="591">
        <v>0</v>
      </c>
      <c r="HI30" s="591">
        <v>0</v>
      </c>
      <c r="HJ30" s="591">
        <v>1857</v>
      </c>
      <c r="HK30" s="591">
        <v>0</v>
      </c>
      <c r="HL30" s="591">
        <v>0</v>
      </c>
      <c r="HM30" s="591">
        <v>0</v>
      </c>
      <c r="HN30" s="591">
        <v>0</v>
      </c>
      <c r="HO30" s="591">
        <v>0</v>
      </c>
      <c r="HP30" s="591">
        <v>0</v>
      </c>
      <c r="HQ30" s="591">
        <v>0</v>
      </c>
      <c r="HR30" s="591">
        <v>0</v>
      </c>
      <c r="HS30" s="591">
        <v>1705918</v>
      </c>
      <c r="HT30" s="591">
        <v>0</v>
      </c>
      <c r="HU30" s="591">
        <v>0</v>
      </c>
      <c r="HV30" s="591">
        <v>0</v>
      </c>
      <c r="HW30" s="591">
        <v>0</v>
      </c>
      <c r="HX30" s="591">
        <v>12</v>
      </c>
      <c r="HY30" s="591">
        <v>13</v>
      </c>
      <c r="HZ30" s="591">
        <v>31</v>
      </c>
      <c r="IA30" s="591">
        <v>38</v>
      </c>
      <c r="IB30" s="591">
        <v>46</v>
      </c>
      <c r="IC30" s="591">
        <v>140</v>
      </c>
      <c r="ID30" s="591">
        <v>0</v>
      </c>
      <c r="IE30" s="591">
        <v>0</v>
      </c>
      <c r="IF30" s="591">
        <v>0</v>
      </c>
      <c r="IG30" s="591">
        <v>5</v>
      </c>
      <c r="IH30" s="591">
        <v>0</v>
      </c>
      <c r="II30" s="591">
        <v>0</v>
      </c>
      <c r="IJ30" s="591">
        <v>0</v>
      </c>
      <c r="IK30" s="591">
        <v>0</v>
      </c>
      <c r="IL30" s="591">
        <v>0</v>
      </c>
      <c r="IM30" s="591">
        <v>0</v>
      </c>
      <c r="IN30" s="591">
        <v>0</v>
      </c>
      <c r="IO30" s="591">
        <v>0</v>
      </c>
      <c r="IP30" s="591">
        <v>0</v>
      </c>
      <c r="IQ30" s="591">
        <v>0</v>
      </c>
      <c r="IR30" s="591">
        <v>0</v>
      </c>
      <c r="IS30" s="591">
        <v>0</v>
      </c>
      <c r="IT30" s="591">
        <v>0</v>
      </c>
      <c r="IU30" s="591">
        <v>0</v>
      </c>
      <c r="IV30" s="591">
        <v>0</v>
      </c>
      <c r="IW30" s="591">
        <v>6159</v>
      </c>
      <c r="IX30" s="591">
        <v>0</v>
      </c>
      <c r="IY30" s="591">
        <v>0</v>
      </c>
      <c r="IZ30" s="591">
        <v>0</v>
      </c>
      <c r="JA30" s="591">
        <v>0</v>
      </c>
      <c r="JB30" s="591">
        <v>0</v>
      </c>
      <c r="JC30" s="591">
        <v>0</v>
      </c>
      <c r="JD30" s="591">
        <v>0</v>
      </c>
      <c r="JE30" s="591">
        <v>0</v>
      </c>
      <c r="JF30" s="591">
        <v>0</v>
      </c>
      <c r="JG30" s="591">
        <v>0</v>
      </c>
      <c r="JH30" s="591">
        <v>0</v>
      </c>
      <c r="JI30" s="591">
        <v>0</v>
      </c>
      <c r="JJ30" s="591">
        <v>0</v>
      </c>
      <c r="JK30" s="591">
        <v>0</v>
      </c>
      <c r="JL30" s="591">
        <v>0</v>
      </c>
      <c r="JM30" s="591">
        <v>0</v>
      </c>
      <c r="JN30" s="591">
        <v>0</v>
      </c>
    </row>
    <row r="31" spans="1:274" x14ac:dyDescent="0.25">
      <c r="A31" s="591">
        <v>32570</v>
      </c>
      <c r="B31" s="591">
        <v>15841</v>
      </c>
      <c r="C31" s="591">
        <v>9</v>
      </c>
      <c r="D31" s="591">
        <v>2022</v>
      </c>
      <c r="E31" s="591">
        <v>6159</v>
      </c>
      <c r="F31" s="591">
        <v>0</v>
      </c>
      <c r="G31" s="591">
        <v>324.90200000000004</v>
      </c>
      <c r="H31" s="591">
        <v>323.05700000000002</v>
      </c>
      <c r="I31" s="591">
        <v>323.05700000000002</v>
      </c>
      <c r="J31" s="591">
        <v>324.90200000000004</v>
      </c>
      <c r="K31" s="591">
        <v>0</v>
      </c>
      <c r="L31" s="591">
        <v>6159</v>
      </c>
      <c r="M31" s="591">
        <v>0</v>
      </c>
      <c r="N31" s="591">
        <v>0</v>
      </c>
      <c r="O31" s="591">
        <v>0</v>
      </c>
      <c r="P31" s="591">
        <v>326.25300000000004</v>
      </c>
      <c r="Q31" s="591">
        <v>0</v>
      </c>
      <c r="R31" s="591">
        <v>131293</v>
      </c>
      <c r="S31" s="591">
        <v>402.428</v>
      </c>
      <c r="T31" s="591">
        <v>0</v>
      </c>
      <c r="U31" s="591">
        <v>0</v>
      </c>
      <c r="V31" s="591">
        <v>2.25</v>
      </c>
      <c r="W31" s="591">
        <v>1386</v>
      </c>
      <c r="X31" s="591">
        <v>1386</v>
      </c>
      <c r="Y31" s="591">
        <v>0</v>
      </c>
      <c r="Z31" s="591">
        <v>0</v>
      </c>
      <c r="AA31" s="591">
        <v>0</v>
      </c>
      <c r="AB31" s="591">
        <v>0</v>
      </c>
      <c r="AC31" s="591">
        <v>0</v>
      </c>
      <c r="AD31" s="591" t="s">
        <v>316</v>
      </c>
      <c r="AE31" s="591">
        <v>0</v>
      </c>
      <c r="AF31" s="591">
        <v>0</v>
      </c>
      <c r="AG31" s="591">
        <v>0</v>
      </c>
      <c r="AH31" s="591">
        <v>0</v>
      </c>
      <c r="AI31" s="591">
        <v>0</v>
      </c>
      <c r="AJ31" s="591">
        <v>6159</v>
      </c>
      <c r="AK31" s="591" t="s">
        <v>671</v>
      </c>
      <c r="AL31" s="591" t="s">
        <v>546</v>
      </c>
      <c r="AM31" s="591">
        <v>0</v>
      </c>
      <c r="AN31" s="591">
        <v>0</v>
      </c>
      <c r="AO31" s="591">
        <v>0</v>
      </c>
      <c r="AP31" s="591">
        <v>0</v>
      </c>
      <c r="AQ31" s="591">
        <v>0</v>
      </c>
      <c r="AR31" s="591">
        <v>0</v>
      </c>
      <c r="AS31" s="591">
        <v>0</v>
      </c>
      <c r="AT31" s="591">
        <v>0</v>
      </c>
      <c r="AU31" s="591">
        <v>0</v>
      </c>
      <c r="AV31" s="591">
        <v>0</v>
      </c>
      <c r="AW31" s="591">
        <v>3256343</v>
      </c>
      <c r="AX31" s="591">
        <v>3257128</v>
      </c>
      <c r="AY31" s="591">
        <v>0</v>
      </c>
      <c r="AZ31" s="591">
        <v>131293</v>
      </c>
      <c r="BA31" s="591">
        <v>0</v>
      </c>
      <c r="BB31" s="591">
        <v>0</v>
      </c>
      <c r="BC31" s="591">
        <v>0</v>
      </c>
      <c r="BD31" s="591">
        <v>0</v>
      </c>
      <c r="BE31" s="591">
        <v>43</v>
      </c>
      <c r="BF31" s="591">
        <v>3012707</v>
      </c>
      <c r="BG31" s="591">
        <v>0</v>
      </c>
      <c r="BH31" s="591">
        <v>0</v>
      </c>
      <c r="BI31" s="591">
        <v>0</v>
      </c>
      <c r="BJ31" s="591">
        <v>12</v>
      </c>
      <c r="BK31" s="591">
        <v>0</v>
      </c>
      <c r="BL31" s="591">
        <v>0</v>
      </c>
      <c r="BM31" s="591">
        <v>0</v>
      </c>
      <c r="BN31" s="591">
        <v>0</v>
      </c>
      <c r="BO31" s="591">
        <v>0</v>
      </c>
      <c r="BP31" s="591">
        <v>0</v>
      </c>
      <c r="BQ31" s="591">
        <v>720</v>
      </c>
      <c r="BR31" s="591">
        <v>0</v>
      </c>
      <c r="BS31" s="591">
        <v>0</v>
      </c>
      <c r="BT31" s="591">
        <v>0</v>
      </c>
      <c r="BU31" s="591">
        <v>0</v>
      </c>
      <c r="BV31" s="591">
        <v>0</v>
      </c>
      <c r="BW31" s="591">
        <v>0</v>
      </c>
      <c r="BX31" s="591">
        <v>0</v>
      </c>
      <c r="BY31" s="591">
        <v>0</v>
      </c>
      <c r="BZ31" s="591">
        <v>0</v>
      </c>
      <c r="CA31" s="591">
        <v>0</v>
      </c>
      <c r="CB31" s="591">
        <v>0</v>
      </c>
      <c r="CC31" s="591">
        <v>0</v>
      </c>
      <c r="CD31" s="591">
        <v>0</v>
      </c>
      <c r="CE31" s="591">
        <v>0</v>
      </c>
      <c r="CF31" s="591">
        <v>0</v>
      </c>
      <c r="CG31" s="591">
        <v>0</v>
      </c>
      <c r="CH31" s="591">
        <v>0</v>
      </c>
      <c r="CI31" s="591">
        <v>0</v>
      </c>
      <c r="CJ31" s="591">
        <v>4</v>
      </c>
      <c r="CK31" s="591">
        <v>0</v>
      </c>
      <c r="CL31" s="591">
        <v>0</v>
      </c>
      <c r="CM31" s="591">
        <v>0</v>
      </c>
      <c r="CN31" s="591">
        <v>0</v>
      </c>
      <c r="CO31" s="591">
        <v>1</v>
      </c>
      <c r="CP31" s="591">
        <v>0</v>
      </c>
      <c r="CQ31" s="591">
        <v>0</v>
      </c>
      <c r="CR31" s="591">
        <v>324.90200000000004</v>
      </c>
      <c r="CS31" s="591">
        <v>0</v>
      </c>
      <c r="CT31" s="591">
        <v>0</v>
      </c>
      <c r="CU31" s="591">
        <v>0</v>
      </c>
      <c r="CV31" s="591">
        <v>0</v>
      </c>
      <c r="CW31" s="591">
        <v>0</v>
      </c>
      <c r="CX31" s="591">
        <v>0</v>
      </c>
      <c r="CY31" s="591">
        <v>0</v>
      </c>
      <c r="CZ31" s="591">
        <v>0</v>
      </c>
      <c r="DA31" s="591">
        <v>0</v>
      </c>
      <c r="DB31" s="591">
        <v>1989735</v>
      </c>
      <c r="DC31" s="591">
        <v>0</v>
      </c>
      <c r="DD31" s="591">
        <v>0</v>
      </c>
      <c r="DE31" s="591">
        <v>326970</v>
      </c>
      <c r="DF31" s="591">
        <v>326970</v>
      </c>
      <c r="DG31" s="591">
        <v>53.088000000000001</v>
      </c>
      <c r="DH31" s="591">
        <v>0</v>
      </c>
      <c r="DI31" s="591">
        <v>0</v>
      </c>
      <c r="DJ31" s="591">
        <v>0</v>
      </c>
      <c r="DK31" s="591">
        <v>3146</v>
      </c>
      <c r="DL31" s="591">
        <v>0</v>
      </c>
      <c r="DM31" s="591">
        <v>194295</v>
      </c>
      <c r="DN31" s="591">
        <v>741</v>
      </c>
      <c r="DO31" s="591">
        <v>0</v>
      </c>
      <c r="DP31" s="591">
        <v>0</v>
      </c>
      <c r="DQ31" s="591">
        <v>0</v>
      </c>
      <c r="DR31" s="591">
        <v>0</v>
      </c>
      <c r="DS31" s="591">
        <v>0</v>
      </c>
      <c r="DT31" s="591">
        <v>0</v>
      </c>
      <c r="DU31" s="591">
        <v>0</v>
      </c>
      <c r="DV31" s="591">
        <v>0</v>
      </c>
      <c r="DW31" s="591">
        <v>0</v>
      </c>
      <c r="DX31" s="591">
        <v>0</v>
      </c>
      <c r="DY31" s="591">
        <v>0</v>
      </c>
      <c r="DZ31" s="591">
        <v>0</v>
      </c>
      <c r="EA31" s="591">
        <v>0</v>
      </c>
      <c r="EB31" s="591">
        <v>0</v>
      </c>
      <c r="EC31" s="591">
        <v>20.723000000000003</v>
      </c>
      <c r="ED31" s="591">
        <v>146780</v>
      </c>
      <c r="EE31" s="591">
        <v>0</v>
      </c>
      <c r="EF31" s="591">
        <v>0</v>
      </c>
      <c r="EG31" s="591">
        <v>0</v>
      </c>
      <c r="EH31" s="591">
        <v>48256</v>
      </c>
      <c r="EI31" s="591">
        <v>0</v>
      </c>
      <c r="EJ31" s="591">
        <v>0</v>
      </c>
      <c r="EK31" s="591">
        <v>0.69500000000000006</v>
      </c>
      <c r="EL31" s="591">
        <v>0</v>
      </c>
      <c r="EM31" s="591">
        <v>0</v>
      </c>
      <c r="EN31" s="591">
        <v>1.1500000000000001</v>
      </c>
      <c r="EO31" s="591">
        <v>0</v>
      </c>
      <c r="EP31" s="591">
        <v>0</v>
      </c>
      <c r="EQ31" s="591">
        <v>1.8450000000000002</v>
      </c>
      <c r="ER31" s="591">
        <v>0</v>
      </c>
      <c r="ES31" s="591">
        <v>7.835</v>
      </c>
      <c r="ET31" s="591">
        <v>0</v>
      </c>
      <c r="EU31" s="591">
        <v>0</v>
      </c>
      <c r="EV31" s="591">
        <v>0</v>
      </c>
      <c r="EW31" s="591">
        <v>0</v>
      </c>
      <c r="EX31" s="591">
        <v>0</v>
      </c>
      <c r="EY31" s="591">
        <v>0</v>
      </c>
      <c r="EZ31" s="591">
        <v>2881414</v>
      </c>
      <c r="FA31" s="591">
        <v>0</v>
      </c>
      <c r="FB31" s="591">
        <v>3011922</v>
      </c>
      <c r="FC31" s="591">
        <v>0</v>
      </c>
      <c r="FD31" s="591">
        <v>0</v>
      </c>
      <c r="FE31" s="591">
        <v>312062</v>
      </c>
      <c r="FF31" s="591">
        <v>63652</v>
      </c>
      <c r="FG31" s="591">
        <v>6.4728999999999995E-2</v>
      </c>
      <c r="FH31" s="591">
        <v>2.6405999999999999E-2</v>
      </c>
      <c r="FI31" s="591">
        <v>0</v>
      </c>
      <c r="FJ31" s="591">
        <v>0</v>
      </c>
      <c r="FK31" s="591">
        <v>489.149</v>
      </c>
      <c r="FL31" s="591">
        <v>3387636</v>
      </c>
      <c r="FM31" s="591">
        <v>0</v>
      </c>
      <c r="FN31" s="591">
        <v>0</v>
      </c>
      <c r="FO31" s="591">
        <v>0</v>
      </c>
      <c r="FP31" s="591">
        <v>0</v>
      </c>
      <c r="FQ31" s="591">
        <v>0</v>
      </c>
      <c r="FR31" s="591">
        <v>0</v>
      </c>
      <c r="FS31" s="591">
        <v>0</v>
      </c>
      <c r="FT31" s="591">
        <v>0</v>
      </c>
      <c r="FU31" s="591">
        <v>0</v>
      </c>
      <c r="FV31" s="591">
        <v>0</v>
      </c>
      <c r="FW31" s="591">
        <v>0</v>
      </c>
      <c r="FX31" s="591">
        <v>0</v>
      </c>
      <c r="FY31" s="591">
        <v>0</v>
      </c>
      <c r="FZ31" s="591">
        <v>0</v>
      </c>
      <c r="GA31" s="591">
        <v>0</v>
      </c>
      <c r="GB31" s="591">
        <v>0</v>
      </c>
      <c r="GC31" s="591">
        <v>0</v>
      </c>
      <c r="GD31" s="591">
        <v>0</v>
      </c>
      <c r="GE31" s="591">
        <v>0</v>
      </c>
      <c r="GF31" s="591">
        <v>0</v>
      </c>
      <c r="GG31" s="591">
        <v>0</v>
      </c>
      <c r="GH31" s="591">
        <v>0</v>
      </c>
      <c r="GI31" s="591">
        <v>0</v>
      </c>
      <c r="GJ31" s="591">
        <v>0</v>
      </c>
      <c r="GK31" s="591">
        <v>0</v>
      </c>
      <c r="GL31" s="591">
        <v>0</v>
      </c>
      <c r="GM31" s="591">
        <v>0</v>
      </c>
      <c r="GN31" s="591">
        <v>0</v>
      </c>
      <c r="GO31" s="591">
        <v>0</v>
      </c>
      <c r="GP31" s="591">
        <v>0</v>
      </c>
      <c r="GQ31" s="591">
        <v>0</v>
      </c>
      <c r="GR31" s="591">
        <v>0</v>
      </c>
      <c r="GS31" s="591">
        <v>0</v>
      </c>
      <c r="GT31" s="591">
        <v>0</v>
      </c>
      <c r="GU31" s="591">
        <v>0</v>
      </c>
      <c r="GV31" s="591">
        <v>0</v>
      </c>
      <c r="GW31" s="591">
        <v>0</v>
      </c>
      <c r="GX31" s="591">
        <v>0</v>
      </c>
      <c r="GY31" s="591">
        <v>0</v>
      </c>
      <c r="GZ31" s="591">
        <v>0</v>
      </c>
      <c r="HA31" s="591">
        <v>0</v>
      </c>
      <c r="HB31" s="591">
        <v>0</v>
      </c>
      <c r="HC31" s="591">
        <v>5.1774999999999995E-2</v>
      </c>
      <c r="HD31" s="591">
        <v>0</v>
      </c>
      <c r="HE31" s="591">
        <v>0</v>
      </c>
      <c r="HF31" s="591">
        <v>355040</v>
      </c>
      <c r="HG31" s="591">
        <v>7391</v>
      </c>
      <c r="HH31" s="591">
        <v>133991</v>
      </c>
      <c r="HI31" s="591">
        <v>0</v>
      </c>
      <c r="HJ31" s="591">
        <v>3158</v>
      </c>
      <c r="HK31" s="591">
        <v>0</v>
      </c>
      <c r="HL31" s="591">
        <v>0</v>
      </c>
      <c r="HM31" s="591">
        <v>0</v>
      </c>
      <c r="HN31" s="591">
        <v>0</v>
      </c>
      <c r="HO31" s="591">
        <v>0</v>
      </c>
      <c r="HP31" s="591">
        <v>0</v>
      </c>
      <c r="HQ31" s="591">
        <v>0</v>
      </c>
      <c r="HR31" s="591">
        <v>0</v>
      </c>
      <c r="HS31" s="591">
        <v>2880629</v>
      </c>
      <c r="HT31" s="591">
        <v>0</v>
      </c>
      <c r="HU31" s="591">
        <v>0</v>
      </c>
      <c r="HV31" s="591">
        <v>0</v>
      </c>
      <c r="HW31" s="591">
        <v>0</v>
      </c>
      <c r="HX31" s="591">
        <v>43</v>
      </c>
      <c r="HY31" s="591">
        <v>59</v>
      </c>
      <c r="HZ31" s="591">
        <v>38</v>
      </c>
      <c r="IA31" s="591">
        <v>36</v>
      </c>
      <c r="IB31" s="591">
        <v>38</v>
      </c>
      <c r="IC31" s="591">
        <v>214</v>
      </c>
      <c r="ID31" s="591">
        <v>0</v>
      </c>
      <c r="IE31" s="591">
        <v>0</v>
      </c>
      <c r="IF31" s="591">
        <v>0</v>
      </c>
      <c r="IG31" s="591">
        <v>12</v>
      </c>
      <c r="IH31" s="591">
        <v>217.55</v>
      </c>
      <c r="II31" s="591">
        <v>0</v>
      </c>
      <c r="IJ31" s="591">
        <v>2.25</v>
      </c>
      <c r="IK31" s="591">
        <v>0</v>
      </c>
      <c r="IL31" s="591">
        <v>0</v>
      </c>
      <c r="IM31" s="591">
        <v>0</v>
      </c>
      <c r="IN31" s="591">
        <v>0</v>
      </c>
      <c r="IO31" s="591">
        <v>0</v>
      </c>
      <c r="IP31" s="591">
        <v>0</v>
      </c>
      <c r="IQ31" s="591">
        <v>2.25</v>
      </c>
      <c r="IR31" s="591">
        <v>1386</v>
      </c>
      <c r="IS31" s="591">
        <v>0</v>
      </c>
      <c r="IT31" s="591">
        <v>0</v>
      </c>
      <c r="IU31" s="591">
        <v>0</v>
      </c>
      <c r="IV31" s="591">
        <v>0</v>
      </c>
      <c r="IW31" s="591">
        <v>6159</v>
      </c>
      <c r="IX31" s="591">
        <v>0</v>
      </c>
      <c r="IY31" s="591">
        <v>0</v>
      </c>
      <c r="IZ31" s="591">
        <v>0</v>
      </c>
      <c r="JA31" s="591">
        <v>0</v>
      </c>
      <c r="JB31" s="591">
        <v>0</v>
      </c>
      <c r="JC31" s="591">
        <v>0</v>
      </c>
      <c r="JD31" s="591">
        <v>0</v>
      </c>
      <c r="JE31" s="591">
        <v>0</v>
      </c>
      <c r="JF31" s="591">
        <v>0</v>
      </c>
      <c r="JG31" s="591">
        <v>0</v>
      </c>
      <c r="JH31" s="591">
        <v>0</v>
      </c>
      <c r="JI31" s="591">
        <v>0</v>
      </c>
      <c r="JJ31" s="591">
        <v>0</v>
      </c>
      <c r="JK31" s="591">
        <v>0</v>
      </c>
      <c r="JL31" s="591">
        <v>0</v>
      </c>
      <c r="JM31" s="591">
        <v>0</v>
      </c>
      <c r="JN31" s="591">
        <v>0</v>
      </c>
    </row>
    <row r="32" spans="1:274" x14ac:dyDescent="0.25">
      <c r="A32" s="591">
        <v>32570</v>
      </c>
      <c r="B32" s="591">
        <v>15842</v>
      </c>
      <c r="C32" s="591">
        <v>9</v>
      </c>
      <c r="D32" s="591">
        <v>2022</v>
      </c>
      <c r="E32" s="591">
        <v>6159</v>
      </c>
      <c r="F32" s="591">
        <v>0</v>
      </c>
      <c r="G32" s="591">
        <v>0</v>
      </c>
      <c r="H32" s="591">
        <v>0</v>
      </c>
      <c r="I32" s="591">
        <v>0</v>
      </c>
      <c r="J32" s="591">
        <v>0</v>
      </c>
      <c r="K32" s="591">
        <v>0</v>
      </c>
      <c r="L32" s="591">
        <v>6159</v>
      </c>
      <c r="M32" s="591">
        <v>0</v>
      </c>
      <c r="N32" s="591">
        <v>0</v>
      </c>
      <c r="O32" s="591">
        <v>0</v>
      </c>
      <c r="P32" s="591">
        <v>0</v>
      </c>
      <c r="Q32" s="591">
        <v>0</v>
      </c>
      <c r="R32" s="591">
        <v>0</v>
      </c>
      <c r="S32" s="591">
        <v>402.428</v>
      </c>
      <c r="T32" s="591">
        <v>0</v>
      </c>
      <c r="U32" s="591">
        <v>0</v>
      </c>
      <c r="V32" s="591">
        <v>0</v>
      </c>
      <c r="W32" s="591">
        <v>0</v>
      </c>
      <c r="X32" s="591">
        <v>0</v>
      </c>
      <c r="Y32" s="591">
        <v>0</v>
      </c>
      <c r="Z32" s="591">
        <v>0</v>
      </c>
      <c r="AA32" s="591">
        <v>0</v>
      </c>
      <c r="AB32" s="591">
        <v>0</v>
      </c>
      <c r="AC32" s="591">
        <v>0</v>
      </c>
      <c r="AD32" s="591" t="s">
        <v>316</v>
      </c>
      <c r="AE32" s="591">
        <v>0</v>
      </c>
      <c r="AF32" s="591">
        <v>0</v>
      </c>
      <c r="AG32" s="591">
        <v>0</v>
      </c>
      <c r="AH32" s="591">
        <v>0</v>
      </c>
      <c r="AI32" s="591">
        <v>0</v>
      </c>
      <c r="AJ32" s="591">
        <v>6159</v>
      </c>
      <c r="AK32" s="591" t="s">
        <v>671</v>
      </c>
      <c r="AL32" s="591" t="s">
        <v>794</v>
      </c>
      <c r="AM32" s="591">
        <v>0</v>
      </c>
      <c r="AN32" s="591">
        <v>0</v>
      </c>
      <c r="AO32" s="591">
        <v>0</v>
      </c>
      <c r="AP32" s="591">
        <v>0</v>
      </c>
      <c r="AQ32" s="591">
        <v>0</v>
      </c>
      <c r="AR32" s="591">
        <v>0</v>
      </c>
      <c r="AS32" s="591">
        <v>0</v>
      </c>
      <c r="AT32" s="591">
        <v>0</v>
      </c>
      <c r="AU32" s="591">
        <v>0</v>
      </c>
      <c r="AV32" s="591">
        <v>0</v>
      </c>
      <c r="AW32" s="591">
        <v>0</v>
      </c>
      <c r="AX32" s="591">
        <v>0</v>
      </c>
      <c r="AY32" s="591">
        <v>0</v>
      </c>
      <c r="AZ32" s="591">
        <v>0</v>
      </c>
      <c r="BA32" s="591">
        <v>0</v>
      </c>
      <c r="BB32" s="591">
        <v>0</v>
      </c>
      <c r="BC32" s="591">
        <v>0</v>
      </c>
      <c r="BD32" s="591">
        <v>0</v>
      </c>
      <c r="BE32" s="591">
        <v>0</v>
      </c>
      <c r="BF32" s="591">
        <v>0</v>
      </c>
      <c r="BG32" s="591">
        <v>0</v>
      </c>
      <c r="BH32" s="591">
        <v>0</v>
      </c>
      <c r="BI32" s="591">
        <v>0</v>
      </c>
      <c r="BJ32" s="591">
        <v>12</v>
      </c>
      <c r="BK32" s="591">
        <v>0</v>
      </c>
      <c r="BL32" s="591">
        <v>0</v>
      </c>
      <c r="BM32" s="591">
        <v>0</v>
      </c>
      <c r="BN32" s="591">
        <v>0</v>
      </c>
      <c r="BO32" s="591">
        <v>0</v>
      </c>
      <c r="BP32" s="591">
        <v>0</v>
      </c>
      <c r="BQ32" s="591">
        <v>770</v>
      </c>
      <c r="BR32" s="591">
        <v>0</v>
      </c>
      <c r="BS32" s="591">
        <v>0</v>
      </c>
      <c r="BT32" s="591">
        <v>0</v>
      </c>
      <c r="BU32" s="591">
        <v>0</v>
      </c>
      <c r="BV32" s="591">
        <v>0</v>
      </c>
      <c r="BW32" s="591">
        <v>0</v>
      </c>
      <c r="BX32" s="591">
        <v>0</v>
      </c>
      <c r="BY32" s="591">
        <v>0</v>
      </c>
      <c r="BZ32" s="591">
        <v>0</v>
      </c>
      <c r="CA32" s="591">
        <v>0</v>
      </c>
      <c r="CB32" s="591">
        <v>0</v>
      </c>
      <c r="CC32" s="591">
        <v>0</v>
      </c>
      <c r="CD32" s="591">
        <v>0</v>
      </c>
      <c r="CE32" s="591">
        <v>0</v>
      </c>
      <c r="CF32" s="591">
        <v>0</v>
      </c>
      <c r="CG32" s="591">
        <v>0</v>
      </c>
      <c r="CH32" s="591">
        <v>0</v>
      </c>
      <c r="CI32" s="591">
        <v>0</v>
      </c>
      <c r="CJ32" s="591">
        <v>4</v>
      </c>
      <c r="CK32" s="591">
        <v>0</v>
      </c>
      <c r="CL32" s="591">
        <v>0</v>
      </c>
      <c r="CM32" s="591">
        <v>0</v>
      </c>
      <c r="CN32" s="591">
        <v>0</v>
      </c>
      <c r="CO32" s="591">
        <v>0</v>
      </c>
      <c r="CP32" s="591">
        <v>0</v>
      </c>
      <c r="CQ32" s="591">
        <v>0</v>
      </c>
      <c r="CR32" s="591">
        <v>0</v>
      </c>
      <c r="CS32" s="591">
        <v>0</v>
      </c>
      <c r="CT32" s="591">
        <v>0</v>
      </c>
      <c r="CU32" s="591">
        <v>0</v>
      </c>
      <c r="CV32" s="591">
        <v>0</v>
      </c>
      <c r="CW32" s="591">
        <v>0</v>
      </c>
      <c r="CX32" s="591">
        <v>0</v>
      </c>
      <c r="CY32" s="591">
        <v>0</v>
      </c>
      <c r="CZ32" s="591">
        <v>0</v>
      </c>
      <c r="DA32" s="591">
        <v>0</v>
      </c>
      <c r="DB32" s="591">
        <v>0</v>
      </c>
      <c r="DC32" s="591">
        <v>0</v>
      </c>
      <c r="DD32" s="591">
        <v>0</v>
      </c>
      <c r="DE32" s="591">
        <v>0</v>
      </c>
      <c r="DF32" s="591">
        <v>0</v>
      </c>
      <c r="DG32" s="591">
        <v>0</v>
      </c>
      <c r="DH32" s="591">
        <v>0</v>
      </c>
      <c r="DI32" s="591">
        <v>0</v>
      </c>
      <c r="DJ32" s="591">
        <v>0</v>
      </c>
      <c r="DK32" s="591">
        <v>3942</v>
      </c>
      <c r="DL32" s="591">
        <v>0</v>
      </c>
      <c r="DM32" s="591">
        <v>0</v>
      </c>
      <c r="DN32" s="591">
        <v>0</v>
      </c>
      <c r="DO32" s="591">
        <v>0</v>
      </c>
      <c r="DP32" s="591">
        <v>0</v>
      </c>
      <c r="DQ32" s="591">
        <v>0</v>
      </c>
      <c r="DR32" s="591">
        <v>0</v>
      </c>
      <c r="DS32" s="591">
        <v>0</v>
      </c>
      <c r="DT32" s="591">
        <v>0</v>
      </c>
      <c r="DU32" s="591">
        <v>0</v>
      </c>
      <c r="DV32" s="591">
        <v>0</v>
      </c>
      <c r="DW32" s="591">
        <v>0</v>
      </c>
      <c r="DX32" s="591">
        <v>0</v>
      </c>
      <c r="DY32" s="591">
        <v>0</v>
      </c>
      <c r="DZ32" s="591">
        <v>0</v>
      </c>
      <c r="EA32" s="591">
        <v>0</v>
      </c>
      <c r="EB32" s="591">
        <v>0</v>
      </c>
      <c r="EC32" s="591">
        <v>0</v>
      </c>
      <c r="ED32" s="591">
        <v>0</v>
      </c>
      <c r="EE32" s="591">
        <v>0</v>
      </c>
      <c r="EF32" s="591">
        <v>0</v>
      </c>
      <c r="EG32" s="591">
        <v>0</v>
      </c>
      <c r="EH32" s="591">
        <v>0</v>
      </c>
      <c r="EI32" s="591">
        <v>0</v>
      </c>
      <c r="EJ32" s="591">
        <v>0</v>
      </c>
      <c r="EK32" s="591">
        <v>0</v>
      </c>
      <c r="EL32" s="591">
        <v>0</v>
      </c>
      <c r="EM32" s="591">
        <v>0</v>
      </c>
      <c r="EN32" s="591">
        <v>0</v>
      </c>
      <c r="EO32" s="591">
        <v>0</v>
      </c>
      <c r="EP32" s="591">
        <v>0</v>
      </c>
      <c r="EQ32" s="591">
        <v>0</v>
      </c>
      <c r="ER32" s="591">
        <v>0</v>
      </c>
      <c r="ES32" s="591">
        <v>0</v>
      </c>
      <c r="ET32" s="591">
        <v>0</v>
      </c>
      <c r="EU32" s="591">
        <v>0</v>
      </c>
      <c r="EV32" s="591">
        <v>0</v>
      </c>
      <c r="EW32" s="591">
        <v>0</v>
      </c>
      <c r="EX32" s="591">
        <v>0</v>
      </c>
      <c r="EY32" s="591">
        <v>0</v>
      </c>
      <c r="EZ32" s="591">
        <v>0</v>
      </c>
      <c r="FA32" s="591">
        <v>0</v>
      </c>
      <c r="FB32" s="591">
        <v>0</v>
      </c>
      <c r="FC32" s="591">
        <v>0</v>
      </c>
      <c r="FD32" s="591">
        <v>0</v>
      </c>
      <c r="FE32" s="591">
        <v>0</v>
      </c>
      <c r="FF32" s="591">
        <v>0</v>
      </c>
      <c r="FG32" s="591">
        <v>6.4728999999999995E-2</v>
      </c>
      <c r="FH32" s="591">
        <v>2.6405999999999999E-2</v>
      </c>
      <c r="FI32" s="591">
        <v>0</v>
      </c>
      <c r="FJ32" s="591">
        <v>0</v>
      </c>
      <c r="FK32" s="591">
        <v>0</v>
      </c>
      <c r="FL32" s="591">
        <v>0</v>
      </c>
      <c r="FM32" s="591">
        <v>0</v>
      </c>
      <c r="FN32" s="591">
        <v>0</v>
      </c>
      <c r="FO32" s="591">
        <v>0</v>
      </c>
      <c r="FP32" s="591">
        <v>0</v>
      </c>
      <c r="FQ32" s="591">
        <v>0</v>
      </c>
      <c r="FR32" s="591">
        <v>0</v>
      </c>
      <c r="FS32" s="591">
        <v>0</v>
      </c>
      <c r="FT32" s="591">
        <v>0</v>
      </c>
      <c r="FU32" s="591">
        <v>0</v>
      </c>
      <c r="FV32" s="591">
        <v>0</v>
      </c>
      <c r="FW32" s="591">
        <v>0</v>
      </c>
      <c r="FX32" s="591">
        <v>0</v>
      </c>
      <c r="FY32" s="591">
        <v>0</v>
      </c>
      <c r="FZ32" s="591">
        <v>0</v>
      </c>
      <c r="GA32" s="591">
        <v>0</v>
      </c>
      <c r="GB32" s="591">
        <v>0</v>
      </c>
      <c r="GC32" s="591">
        <v>0</v>
      </c>
      <c r="GD32" s="591">
        <v>0</v>
      </c>
      <c r="GE32" s="591">
        <v>0</v>
      </c>
      <c r="GF32" s="591">
        <v>0</v>
      </c>
      <c r="GG32" s="591">
        <v>0</v>
      </c>
      <c r="GH32" s="591">
        <v>0</v>
      </c>
      <c r="GI32" s="591">
        <v>0</v>
      </c>
      <c r="GJ32" s="591">
        <v>0</v>
      </c>
      <c r="GK32" s="591">
        <v>0</v>
      </c>
      <c r="GL32" s="591">
        <v>0</v>
      </c>
      <c r="GM32" s="591">
        <v>0</v>
      </c>
      <c r="GN32" s="591">
        <v>0</v>
      </c>
      <c r="GO32" s="591">
        <v>0</v>
      </c>
      <c r="GP32" s="591">
        <v>0</v>
      </c>
      <c r="GQ32" s="591">
        <v>0</v>
      </c>
      <c r="GR32" s="591">
        <v>0</v>
      </c>
      <c r="GS32" s="591">
        <v>0</v>
      </c>
      <c r="GT32" s="591">
        <v>0</v>
      </c>
      <c r="GU32" s="591">
        <v>0</v>
      </c>
      <c r="GV32" s="591">
        <v>0</v>
      </c>
      <c r="GW32" s="591">
        <v>0</v>
      </c>
      <c r="GX32" s="591">
        <v>0</v>
      </c>
      <c r="GY32" s="591">
        <v>0</v>
      </c>
      <c r="GZ32" s="591">
        <v>0</v>
      </c>
      <c r="HA32" s="591">
        <v>0</v>
      </c>
      <c r="HB32" s="591">
        <v>0</v>
      </c>
      <c r="HC32" s="591">
        <v>5.1774999999999995E-2</v>
      </c>
      <c r="HD32" s="591">
        <v>0</v>
      </c>
      <c r="HE32" s="591">
        <v>0</v>
      </c>
      <c r="HF32" s="591">
        <v>0</v>
      </c>
      <c r="HG32" s="591">
        <v>0</v>
      </c>
      <c r="HH32" s="591">
        <v>0</v>
      </c>
      <c r="HI32" s="591">
        <v>0</v>
      </c>
      <c r="HJ32" s="591">
        <v>0</v>
      </c>
      <c r="HK32" s="591">
        <v>0</v>
      </c>
      <c r="HL32" s="591">
        <v>0</v>
      </c>
      <c r="HM32" s="591">
        <v>0</v>
      </c>
      <c r="HN32" s="591">
        <v>0</v>
      </c>
      <c r="HO32" s="591">
        <v>0</v>
      </c>
      <c r="HP32" s="591">
        <v>0</v>
      </c>
      <c r="HQ32" s="591">
        <v>0</v>
      </c>
      <c r="HR32" s="591">
        <v>0</v>
      </c>
      <c r="HS32" s="591">
        <v>0</v>
      </c>
      <c r="HT32" s="591">
        <v>0</v>
      </c>
      <c r="HU32" s="591">
        <v>0</v>
      </c>
      <c r="HV32" s="591">
        <v>0</v>
      </c>
      <c r="HW32" s="591">
        <v>0</v>
      </c>
      <c r="HX32" s="591">
        <v>0</v>
      </c>
      <c r="HY32" s="591">
        <v>0</v>
      </c>
      <c r="HZ32" s="591">
        <v>0</v>
      </c>
      <c r="IA32" s="591">
        <v>0</v>
      </c>
      <c r="IB32" s="591">
        <v>0</v>
      </c>
      <c r="IC32" s="591">
        <v>0</v>
      </c>
      <c r="ID32" s="591">
        <v>0</v>
      </c>
      <c r="IE32" s="591">
        <v>0</v>
      </c>
      <c r="IF32" s="591">
        <v>0</v>
      </c>
      <c r="IG32" s="591">
        <v>0</v>
      </c>
      <c r="IH32" s="591">
        <v>0</v>
      </c>
      <c r="II32" s="591">
        <v>0</v>
      </c>
      <c r="IJ32" s="591">
        <v>0</v>
      </c>
      <c r="IK32" s="591">
        <v>0</v>
      </c>
      <c r="IL32" s="591">
        <v>0</v>
      </c>
      <c r="IM32" s="591">
        <v>0</v>
      </c>
      <c r="IN32" s="591">
        <v>0</v>
      </c>
      <c r="IO32" s="591">
        <v>0</v>
      </c>
      <c r="IP32" s="591">
        <v>0</v>
      </c>
      <c r="IQ32" s="591">
        <v>0</v>
      </c>
      <c r="IR32" s="591">
        <v>0</v>
      </c>
      <c r="IS32" s="591">
        <v>0</v>
      </c>
      <c r="IT32" s="591">
        <v>0</v>
      </c>
      <c r="IU32" s="591">
        <v>0</v>
      </c>
      <c r="IV32" s="591">
        <v>0</v>
      </c>
      <c r="IW32" s="591">
        <v>6159</v>
      </c>
      <c r="IX32" s="591">
        <v>0</v>
      </c>
      <c r="IY32" s="591">
        <v>0</v>
      </c>
      <c r="IZ32" s="591">
        <v>0</v>
      </c>
      <c r="JA32" s="591">
        <v>0</v>
      </c>
      <c r="JB32" s="591">
        <v>0</v>
      </c>
      <c r="JC32" s="591">
        <v>0</v>
      </c>
      <c r="JD32" s="591">
        <v>0</v>
      </c>
      <c r="JE32" s="591">
        <v>0</v>
      </c>
      <c r="JF32" s="591">
        <v>0</v>
      </c>
      <c r="JG32" s="591">
        <v>0</v>
      </c>
      <c r="JH32" s="591">
        <v>0</v>
      </c>
      <c r="JI32" s="591">
        <v>0</v>
      </c>
      <c r="JJ32" s="591">
        <v>0</v>
      </c>
      <c r="JK32" s="591">
        <v>0</v>
      </c>
      <c r="JL32" s="591">
        <v>0</v>
      </c>
      <c r="JM32" s="591">
        <v>0</v>
      </c>
      <c r="JN32" s="591">
        <v>0</v>
      </c>
    </row>
    <row r="33" spans="1:274" x14ac:dyDescent="0.25">
      <c r="A33" s="591">
        <v>32570</v>
      </c>
      <c r="B33" s="591">
        <v>15843</v>
      </c>
      <c r="C33" s="591">
        <v>9</v>
      </c>
      <c r="D33" s="591">
        <v>2022</v>
      </c>
      <c r="E33" s="591">
        <v>6159</v>
      </c>
      <c r="F33" s="591">
        <v>0</v>
      </c>
      <c r="G33" s="591">
        <v>0</v>
      </c>
      <c r="H33" s="591">
        <v>0</v>
      </c>
      <c r="I33" s="591">
        <v>0</v>
      </c>
      <c r="J33" s="591">
        <v>0</v>
      </c>
      <c r="K33" s="591">
        <v>0</v>
      </c>
      <c r="L33" s="591">
        <v>6159</v>
      </c>
      <c r="M33" s="591">
        <v>0</v>
      </c>
      <c r="N33" s="591">
        <v>0</v>
      </c>
      <c r="O33" s="591">
        <v>0</v>
      </c>
      <c r="P33" s="591">
        <v>0</v>
      </c>
      <c r="Q33" s="591">
        <v>0</v>
      </c>
      <c r="R33" s="591">
        <v>0</v>
      </c>
      <c r="S33" s="591">
        <v>402.428</v>
      </c>
      <c r="T33" s="591">
        <v>0</v>
      </c>
      <c r="U33" s="591">
        <v>0</v>
      </c>
      <c r="V33" s="591">
        <v>0</v>
      </c>
      <c r="W33" s="591">
        <v>0</v>
      </c>
      <c r="X33" s="591">
        <v>0</v>
      </c>
      <c r="Y33" s="591">
        <v>0</v>
      </c>
      <c r="Z33" s="591">
        <v>0</v>
      </c>
      <c r="AA33" s="591">
        <v>0</v>
      </c>
      <c r="AB33" s="591">
        <v>0</v>
      </c>
      <c r="AC33" s="591">
        <v>0</v>
      </c>
      <c r="AD33" s="591" t="s">
        <v>316</v>
      </c>
      <c r="AE33" s="591">
        <v>0</v>
      </c>
      <c r="AF33" s="591">
        <v>0</v>
      </c>
      <c r="AG33" s="591">
        <v>0</v>
      </c>
      <c r="AH33" s="591">
        <v>0</v>
      </c>
      <c r="AI33" s="591">
        <v>0</v>
      </c>
      <c r="AJ33" s="591">
        <v>6159</v>
      </c>
      <c r="AK33" s="591" t="s">
        <v>671</v>
      </c>
      <c r="AL33" s="591" t="s">
        <v>795</v>
      </c>
      <c r="AM33" s="591">
        <v>0</v>
      </c>
      <c r="AN33" s="591">
        <v>0</v>
      </c>
      <c r="AO33" s="591">
        <v>0</v>
      </c>
      <c r="AP33" s="591">
        <v>0</v>
      </c>
      <c r="AQ33" s="591">
        <v>0</v>
      </c>
      <c r="AR33" s="591">
        <v>0</v>
      </c>
      <c r="AS33" s="591">
        <v>0</v>
      </c>
      <c r="AT33" s="591">
        <v>0</v>
      </c>
      <c r="AU33" s="591">
        <v>0</v>
      </c>
      <c r="AV33" s="591">
        <v>0</v>
      </c>
      <c r="AW33" s="591">
        <v>0</v>
      </c>
      <c r="AX33" s="591">
        <v>0</v>
      </c>
      <c r="AY33" s="591">
        <v>0</v>
      </c>
      <c r="AZ33" s="591">
        <v>0</v>
      </c>
      <c r="BA33" s="591">
        <v>0</v>
      </c>
      <c r="BB33" s="591">
        <v>0</v>
      </c>
      <c r="BC33" s="591">
        <v>0</v>
      </c>
      <c r="BD33" s="591">
        <v>0</v>
      </c>
      <c r="BE33" s="591">
        <v>0</v>
      </c>
      <c r="BF33" s="591">
        <v>0</v>
      </c>
      <c r="BG33" s="591">
        <v>0</v>
      </c>
      <c r="BH33" s="591">
        <v>0</v>
      </c>
      <c r="BI33" s="591">
        <v>0</v>
      </c>
      <c r="BJ33" s="591">
        <v>12</v>
      </c>
      <c r="BK33" s="591">
        <v>0</v>
      </c>
      <c r="BL33" s="591">
        <v>0</v>
      </c>
      <c r="BM33" s="591">
        <v>0</v>
      </c>
      <c r="BN33" s="591">
        <v>0</v>
      </c>
      <c r="BO33" s="591">
        <v>0</v>
      </c>
      <c r="BP33" s="591">
        <v>0</v>
      </c>
      <c r="BQ33" s="591">
        <v>770</v>
      </c>
      <c r="BR33" s="591">
        <v>0</v>
      </c>
      <c r="BS33" s="591">
        <v>0</v>
      </c>
      <c r="BT33" s="591">
        <v>0</v>
      </c>
      <c r="BU33" s="591">
        <v>0</v>
      </c>
      <c r="BV33" s="591">
        <v>0</v>
      </c>
      <c r="BW33" s="591">
        <v>0</v>
      </c>
      <c r="BX33" s="591">
        <v>0</v>
      </c>
      <c r="BY33" s="591">
        <v>0</v>
      </c>
      <c r="BZ33" s="591">
        <v>0</v>
      </c>
      <c r="CA33" s="591">
        <v>0</v>
      </c>
      <c r="CB33" s="591">
        <v>0</v>
      </c>
      <c r="CC33" s="591">
        <v>0</v>
      </c>
      <c r="CD33" s="591">
        <v>0</v>
      </c>
      <c r="CE33" s="591">
        <v>0</v>
      </c>
      <c r="CF33" s="591">
        <v>0</v>
      </c>
      <c r="CG33" s="591">
        <v>0</v>
      </c>
      <c r="CH33" s="591">
        <v>0</v>
      </c>
      <c r="CI33" s="591">
        <v>0</v>
      </c>
      <c r="CJ33" s="591">
        <v>4</v>
      </c>
      <c r="CK33" s="591">
        <v>0</v>
      </c>
      <c r="CL33" s="591">
        <v>0</v>
      </c>
      <c r="CM33" s="591">
        <v>0</v>
      </c>
      <c r="CN33" s="591">
        <v>0</v>
      </c>
      <c r="CO33" s="591">
        <v>0</v>
      </c>
      <c r="CP33" s="591">
        <v>0</v>
      </c>
      <c r="CQ33" s="591">
        <v>0</v>
      </c>
      <c r="CR33" s="591">
        <v>0</v>
      </c>
      <c r="CS33" s="591">
        <v>0</v>
      </c>
      <c r="CT33" s="591">
        <v>0</v>
      </c>
      <c r="CU33" s="591">
        <v>0</v>
      </c>
      <c r="CV33" s="591">
        <v>0</v>
      </c>
      <c r="CW33" s="591">
        <v>0</v>
      </c>
      <c r="CX33" s="591">
        <v>0</v>
      </c>
      <c r="CY33" s="591">
        <v>0</v>
      </c>
      <c r="CZ33" s="591">
        <v>0</v>
      </c>
      <c r="DA33" s="591">
        <v>0</v>
      </c>
      <c r="DB33" s="591">
        <v>0</v>
      </c>
      <c r="DC33" s="591">
        <v>0</v>
      </c>
      <c r="DD33" s="591">
        <v>0</v>
      </c>
      <c r="DE33" s="591">
        <v>0</v>
      </c>
      <c r="DF33" s="591">
        <v>0</v>
      </c>
      <c r="DG33" s="591">
        <v>0</v>
      </c>
      <c r="DH33" s="591">
        <v>0</v>
      </c>
      <c r="DI33" s="591">
        <v>0</v>
      </c>
      <c r="DJ33" s="591">
        <v>0</v>
      </c>
      <c r="DK33" s="591">
        <v>3942</v>
      </c>
      <c r="DL33" s="591">
        <v>0</v>
      </c>
      <c r="DM33" s="591">
        <v>0</v>
      </c>
      <c r="DN33" s="591">
        <v>0</v>
      </c>
      <c r="DO33" s="591">
        <v>0</v>
      </c>
      <c r="DP33" s="591">
        <v>0</v>
      </c>
      <c r="DQ33" s="591">
        <v>0</v>
      </c>
      <c r="DR33" s="591">
        <v>0</v>
      </c>
      <c r="DS33" s="591">
        <v>0</v>
      </c>
      <c r="DT33" s="591">
        <v>0</v>
      </c>
      <c r="DU33" s="591">
        <v>0</v>
      </c>
      <c r="DV33" s="591">
        <v>0</v>
      </c>
      <c r="DW33" s="591">
        <v>0</v>
      </c>
      <c r="DX33" s="591">
        <v>0</v>
      </c>
      <c r="DY33" s="591">
        <v>0</v>
      </c>
      <c r="DZ33" s="591">
        <v>0</v>
      </c>
      <c r="EA33" s="591">
        <v>0</v>
      </c>
      <c r="EB33" s="591">
        <v>0</v>
      </c>
      <c r="EC33" s="591">
        <v>0</v>
      </c>
      <c r="ED33" s="591">
        <v>0</v>
      </c>
      <c r="EE33" s="591">
        <v>0</v>
      </c>
      <c r="EF33" s="591">
        <v>0</v>
      </c>
      <c r="EG33" s="591">
        <v>0</v>
      </c>
      <c r="EH33" s="591">
        <v>0</v>
      </c>
      <c r="EI33" s="591">
        <v>0</v>
      </c>
      <c r="EJ33" s="591">
        <v>0</v>
      </c>
      <c r="EK33" s="591">
        <v>0</v>
      </c>
      <c r="EL33" s="591">
        <v>0</v>
      </c>
      <c r="EM33" s="591">
        <v>0</v>
      </c>
      <c r="EN33" s="591">
        <v>0</v>
      </c>
      <c r="EO33" s="591">
        <v>0</v>
      </c>
      <c r="EP33" s="591">
        <v>0</v>
      </c>
      <c r="EQ33" s="591">
        <v>0</v>
      </c>
      <c r="ER33" s="591">
        <v>0</v>
      </c>
      <c r="ES33" s="591">
        <v>0</v>
      </c>
      <c r="ET33" s="591">
        <v>0</v>
      </c>
      <c r="EU33" s="591">
        <v>0</v>
      </c>
      <c r="EV33" s="591">
        <v>0</v>
      </c>
      <c r="EW33" s="591">
        <v>0</v>
      </c>
      <c r="EX33" s="591">
        <v>0</v>
      </c>
      <c r="EY33" s="591">
        <v>0</v>
      </c>
      <c r="EZ33" s="591">
        <v>0</v>
      </c>
      <c r="FA33" s="591">
        <v>0</v>
      </c>
      <c r="FB33" s="591">
        <v>0</v>
      </c>
      <c r="FC33" s="591">
        <v>0</v>
      </c>
      <c r="FD33" s="591">
        <v>0</v>
      </c>
      <c r="FE33" s="591">
        <v>0</v>
      </c>
      <c r="FF33" s="591">
        <v>0</v>
      </c>
      <c r="FG33" s="591">
        <v>6.4728999999999995E-2</v>
      </c>
      <c r="FH33" s="591">
        <v>2.6405999999999999E-2</v>
      </c>
      <c r="FI33" s="591">
        <v>0</v>
      </c>
      <c r="FJ33" s="591">
        <v>0</v>
      </c>
      <c r="FK33" s="591">
        <v>0</v>
      </c>
      <c r="FL33" s="591">
        <v>0</v>
      </c>
      <c r="FM33" s="591">
        <v>0</v>
      </c>
      <c r="FN33" s="591">
        <v>0</v>
      </c>
      <c r="FO33" s="591">
        <v>0</v>
      </c>
      <c r="FP33" s="591">
        <v>0</v>
      </c>
      <c r="FQ33" s="591">
        <v>0</v>
      </c>
      <c r="FR33" s="591">
        <v>0</v>
      </c>
      <c r="FS33" s="591">
        <v>0</v>
      </c>
      <c r="FT33" s="591">
        <v>0</v>
      </c>
      <c r="FU33" s="591">
        <v>0</v>
      </c>
      <c r="FV33" s="591">
        <v>0</v>
      </c>
      <c r="FW33" s="591">
        <v>0</v>
      </c>
      <c r="FX33" s="591">
        <v>0</v>
      </c>
      <c r="FY33" s="591">
        <v>0</v>
      </c>
      <c r="FZ33" s="591">
        <v>0</v>
      </c>
      <c r="GA33" s="591">
        <v>0</v>
      </c>
      <c r="GB33" s="591">
        <v>0</v>
      </c>
      <c r="GC33" s="591">
        <v>0</v>
      </c>
      <c r="GD33" s="591">
        <v>0</v>
      </c>
      <c r="GE33" s="591">
        <v>0</v>
      </c>
      <c r="GF33" s="591">
        <v>0</v>
      </c>
      <c r="GG33" s="591">
        <v>0</v>
      </c>
      <c r="GH33" s="591">
        <v>0</v>
      </c>
      <c r="GI33" s="591">
        <v>0</v>
      </c>
      <c r="GJ33" s="591">
        <v>0</v>
      </c>
      <c r="GK33" s="591">
        <v>0</v>
      </c>
      <c r="GL33" s="591">
        <v>0</v>
      </c>
      <c r="GM33" s="591">
        <v>0</v>
      </c>
      <c r="GN33" s="591">
        <v>0</v>
      </c>
      <c r="GO33" s="591">
        <v>0</v>
      </c>
      <c r="GP33" s="591">
        <v>0</v>
      </c>
      <c r="GQ33" s="591">
        <v>0</v>
      </c>
      <c r="GR33" s="591">
        <v>0</v>
      </c>
      <c r="GS33" s="591">
        <v>0</v>
      </c>
      <c r="GT33" s="591">
        <v>0</v>
      </c>
      <c r="GU33" s="591">
        <v>0</v>
      </c>
      <c r="GV33" s="591">
        <v>0</v>
      </c>
      <c r="GW33" s="591">
        <v>0</v>
      </c>
      <c r="GX33" s="591">
        <v>0</v>
      </c>
      <c r="GY33" s="591">
        <v>0</v>
      </c>
      <c r="GZ33" s="591">
        <v>0</v>
      </c>
      <c r="HA33" s="591">
        <v>0</v>
      </c>
      <c r="HB33" s="591">
        <v>0</v>
      </c>
      <c r="HC33" s="591">
        <v>5.1774999999999995E-2</v>
      </c>
      <c r="HD33" s="591">
        <v>0</v>
      </c>
      <c r="HE33" s="591">
        <v>0</v>
      </c>
      <c r="HF33" s="591">
        <v>0</v>
      </c>
      <c r="HG33" s="591">
        <v>0</v>
      </c>
      <c r="HH33" s="591">
        <v>0</v>
      </c>
      <c r="HI33" s="591">
        <v>0</v>
      </c>
      <c r="HJ33" s="591">
        <v>0</v>
      </c>
      <c r="HK33" s="591">
        <v>0</v>
      </c>
      <c r="HL33" s="591">
        <v>0</v>
      </c>
      <c r="HM33" s="591">
        <v>0</v>
      </c>
      <c r="HN33" s="591">
        <v>0</v>
      </c>
      <c r="HO33" s="591">
        <v>0</v>
      </c>
      <c r="HP33" s="591">
        <v>0</v>
      </c>
      <c r="HQ33" s="591">
        <v>0</v>
      </c>
      <c r="HR33" s="591">
        <v>0</v>
      </c>
      <c r="HS33" s="591">
        <v>0</v>
      </c>
      <c r="HT33" s="591">
        <v>0</v>
      </c>
      <c r="HU33" s="591">
        <v>0</v>
      </c>
      <c r="HV33" s="591">
        <v>0</v>
      </c>
      <c r="HW33" s="591">
        <v>0</v>
      </c>
      <c r="HX33" s="591">
        <v>0</v>
      </c>
      <c r="HY33" s="591">
        <v>0</v>
      </c>
      <c r="HZ33" s="591">
        <v>0</v>
      </c>
      <c r="IA33" s="591">
        <v>0</v>
      </c>
      <c r="IB33" s="591">
        <v>0</v>
      </c>
      <c r="IC33" s="591">
        <v>0</v>
      </c>
      <c r="ID33" s="591">
        <v>0</v>
      </c>
      <c r="IE33" s="591">
        <v>0</v>
      </c>
      <c r="IF33" s="591">
        <v>0</v>
      </c>
      <c r="IG33" s="591">
        <v>0</v>
      </c>
      <c r="IH33" s="591">
        <v>0</v>
      </c>
      <c r="II33" s="591">
        <v>0</v>
      </c>
      <c r="IJ33" s="591">
        <v>0</v>
      </c>
      <c r="IK33" s="591">
        <v>0</v>
      </c>
      <c r="IL33" s="591">
        <v>0</v>
      </c>
      <c r="IM33" s="591">
        <v>0</v>
      </c>
      <c r="IN33" s="591">
        <v>0</v>
      </c>
      <c r="IO33" s="591">
        <v>0</v>
      </c>
      <c r="IP33" s="591">
        <v>0</v>
      </c>
      <c r="IQ33" s="591">
        <v>0</v>
      </c>
      <c r="IR33" s="591">
        <v>0</v>
      </c>
      <c r="IS33" s="591">
        <v>0</v>
      </c>
      <c r="IT33" s="591">
        <v>0</v>
      </c>
      <c r="IU33" s="591">
        <v>0</v>
      </c>
      <c r="IV33" s="591">
        <v>0</v>
      </c>
      <c r="IW33" s="591">
        <v>6159</v>
      </c>
      <c r="IX33" s="591">
        <v>0</v>
      </c>
      <c r="IY33" s="591">
        <v>0</v>
      </c>
      <c r="IZ33" s="591">
        <v>0</v>
      </c>
      <c r="JA33" s="591">
        <v>0</v>
      </c>
      <c r="JB33" s="591">
        <v>0</v>
      </c>
      <c r="JC33" s="591">
        <v>0</v>
      </c>
      <c r="JD33" s="591">
        <v>0</v>
      </c>
      <c r="JE33" s="591">
        <v>0</v>
      </c>
      <c r="JF33" s="591">
        <v>0</v>
      </c>
      <c r="JG33" s="591">
        <v>0</v>
      </c>
      <c r="JH33" s="591">
        <v>0</v>
      </c>
      <c r="JI33" s="591">
        <v>0</v>
      </c>
      <c r="JJ33" s="591">
        <v>0</v>
      </c>
      <c r="JK33" s="591">
        <v>0</v>
      </c>
      <c r="JL33" s="591">
        <v>0</v>
      </c>
      <c r="JM33" s="591">
        <v>0</v>
      </c>
      <c r="JN33" s="591">
        <v>0</v>
      </c>
    </row>
    <row r="34" spans="1:274" x14ac:dyDescent="0.25">
      <c r="A34" s="591">
        <v>32570</v>
      </c>
      <c r="B34" s="591">
        <v>21803</v>
      </c>
      <c r="C34" s="591">
        <v>9</v>
      </c>
      <c r="D34" s="591">
        <v>2022</v>
      </c>
      <c r="E34" s="591">
        <v>6159</v>
      </c>
      <c r="F34" s="591">
        <v>0</v>
      </c>
      <c r="G34" s="591">
        <v>274.87299999999999</v>
      </c>
      <c r="H34" s="591">
        <v>266.99799999999999</v>
      </c>
      <c r="I34" s="591">
        <v>266.99799999999999</v>
      </c>
      <c r="J34" s="591">
        <v>274.87299999999999</v>
      </c>
      <c r="K34" s="591">
        <v>0</v>
      </c>
      <c r="L34" s="591">
        <v>6159</v>
      </c>
      <c r="M34" s="591">
        <v>0</v>
      </c>
      <c r="N34" s="591">
        <v>0</v>
      </c>
      <c r="O34" s="591">
        <v>0</v>
      </c>
      <c r="P34" s="591">
        <v>259.19300000000004</v>
      </c>
      <c r="Q34" s="591">
        <v>0</v>
      </c>
      <c r="R34" s="591">
        <v>104307</v>
      </c>
      <c r="S34" s="591">
        <v>402.428</v>
      </c>
      <c r="T34" s="591">
        <v>0</v>
      </c>
      <c r="U34" s="591">
        <v>0</v>
      </c>
      <c r="V34" s="591">
        <v>109.02200000000001</v>
      </c>
      <c r="W34" s="591">
        <v>67148</v>
      </c>
      <c r="X34" s="591">
        <v>67148</v>
      </c>
      <c r="Y34" s="591">
        <v>0</v>
      </c>
      <c r="Z34" s="591">
        <v>0</v>
      </c>
      <c r="AA34" s="591">
        <v>0</v>
      </c>
      <c r="AB34" s="591">
        <v>0</v>
      </c>
      <c r="AC34" s="591">
        <v>0</v>
      </c>
      <c r="AD34" s="591" t="s">
        <v>316</v>
      </c>
      <c r="AE34" s="591">
        <v>0</v>
      </c>
      <c r="AF34" s="591">
        <v>0</v>
      </c>
      <c r="AG34" s="591">
        <v>0</v>
      </c>
      <c r="AH34" s="591">
        <v>0</v>
      </c>
      <c r="AI34" s="591">
        <v>0</v>
      </c>
      <c r="AJ34" s="591">
        <v>6159</v>
      </c>
      <c r="AK34" s="591" t="s">
        <v>671</v>
      </c>
      <c r="AL34" s="591" t="s">
        <v>41</v>
      </c>
      <c r="AM34" s="591">
        <v>0</v>
      </c>
      <c r="AN34" s="591">
        <v>0</v>
      </c>
      <c r="AO34" s="591">
        <v>0</v>
      </c>
      <c r="AP34" s="591">
        <v>0</v>
      </c>
      <c r="AQ34" s="591">
        <v>0</v>
      </c>
      <c r="AR34" s="591">
        <v>0</v>
      </c>
      <c r="AS34" s="591">
        <v>0</v>
      </c>
      <c r="AT34" s="591">
        <v>0</v>
      </c>
      <c r="AU34" s="591">
        <v>0</v>
      </c>
      <c r="AV34" s="591">
        <v>0</v>
      </c>
      <c r="AW34" s="591">
        <v>3209025</v>
      </c>
      <c r="AX34" s="591">
        <v>3159845</v>
      </c>
      <c r="AY34" s="591">
        <v>0</v>
      </c>
      <c r="AZ34" s="591">
        <v>104307</v>
      </c>
      <c r="BA34" s="591">
        <v>0</v>
      </c>
      <c r="BB34" s="591">
        <v>0</v>
      </c>
      <c r="BC34" s="591">
        <v>0</v>
      </c>
      <c r="BD34" s="591">
        <v>0</v>
      </c>
      <c r="BE34" s="591">
        <v>42</v>
      </c>
      <c r="BF34" s="591">
        <v>2871201</v>
      </c>
      <c r="BG34" s="591">
        <v>0</v>
      </c>
      <c r="BH34" s="591">
        <v>0</v>
      </c>
      <c r="BI34" s="591">
        <v>0</v>
      </c>
      <c r="BJ34" s="591">
        <v>12</v>
      </c>
      <c r="BK34" s="591">
        <v>0</v>
      </c>
      <c r="BL34" s="591">
        <v>0</v>
      </c>
      <c r="BM34" s="591">
        <v>0</v>
      </c>
      <c r="BN34" s="591">
        <v>0</v>
      </c>
      <c r="BO34" s="591">
        <v>0</v>
      </c>
      <c r="BP34" s="591">
        <v>0</v>
      </c>
      <c r="BQ34" s="591">
        <v>729</v>
      </c>
      <c r="BR34" s="591">
        <v>0</v>
      </c>
      <c r="BS34" s="591">
        <v>0</v>
      </c>
      <c r="BT34" s="591">
        <v>0</v>
      </c>
      <c r="BU34" s="591">
        <v>0</v>
      </c>
      <c r="BV34" s="591">
        <v>0</v>
      </c>
      <c r="BW34" s="591">
        <v>0</v>
      </c>
      <c r="BX34" s="591">
        <v>0</v>
      </c>
      <c r="BY34" s="591">
        <v>0</v>
      </c>
      <c r="BZ34" s="591">
        <v>0</v>
      </c>
      <c r="CA34" s="591">
        <v>0</v>
      </c>
      <c r="CB34" s="591">
        <v>0</v>
      </c>
      <c r="CC34" s="591">
        <v>0</v>
      </c>
      <c r="CD34" s="591">
        <v>0</v>
      </c>
      <c r="CE34" s="591">
        <v>0</v>
      </c>
      <c r="CF34" s="591">
        <v>0</v>
      </c>
      <c r="CG34" s="591">
        <v>0</v>
      </c>
      <c r="CH34" s="591">
        <v>49810</v>
      </c>
      <c r="CI34" s="591">
        <v>0</v>
      </c>
      <c r="CJ34" s="591">
        <v>4</v>
      </c>
      <c r="CK34" s="591">
        <v>0</v>
      </c>
      <c r="CL34" s="591">
        <v>0</v>
      </c>
      <c r="CM34" s="591">
        <v>0</v>
      </c>
      <c r="CN34" s="591">
        <v>0</v>
      </c>
      <c r="CO34" s="591">
        <v>1</v>
      </c>
      <c r="CP34" s="591">
        <v>0</v>
      </c>
      <c r="CQ34" s="591">
        <v>0</v>
      </c>
      <c r="CR34" s="591">
        <v>274.87299999999999</v>
      </c>
      <c r="CS34" s="591">
        <v>0</v>
      </c>
      <c r="CT34" s="591">
        <v>0</v>
      </c>
      <c r="CU34" s="591">
        <v>0</v>
      </c>
      <c r="CV34" s="591">
        <v>0</v>
      </c>
      <c r="CW34" s="591">
        <v>0</v>
      </c>
      <c r="CX34" s="591">
        <v>0</v>
      </c>
      <c r="CY34" s="591">
        <v>0</v>
      </c>
      <c r="CZ34" s="591">
        <v>0</v>
      </c>
      <c r="DA34" s="591">
        <v>0</v>
      </c>
      <c r="DB34" s="591">
        <v>1632195</v>
      </c>
      <c r="DC34" s="591">
        <v>0</v>
      </c>
      <c r="DD34" s="591">
        <v>0</v>
      </c>
      <c r="DE34" s="591">
        <v>580032</v>
      </c>
      <c r="DF34" s="591">
        <v>580032</v>
      </c>
      <c r="DG34" s="591">
        <v>94.175000000000011</v>
      </c>
      <c r="DH34" s="591">
        <v>0</v>
      </c>
      <c r="DI34" s="591">
        <v>0</v>
      </c>
      <c r="DJ34" s="591">
        <v>0</v>
      </c>
      <c r="DK34" s="591">
        <v>3284</v>
      </c>
      <c r="DL34" s="591">
        <v>0</v>
      </c>
      <c r="DM34" s="591">
        <v>166333</v>
      </c>
      <c r="DN34" s="591">
        <v>588</v>
      </c>
      <c r="DO34" s="591">
        <v>0</v>
      </c>
      <c r="DP34" s="591">
        <v>0</v>
      </c>
      <c r="DQ34" s="591">
        <v>0</v>
      </c>
      <c r="DR34" s="591">
        <v>0</v>
      </c>
      <c r="DS34" s="591">
        <v>0</v>
      </c>
      <c r="DT34" s="591">
        <v>0</v>
      </c>
      <c r="DU34" s="591">
        <v>0</v>
      </c>
      <c r="DV34" s="591">
        <v>0</v>
      </c>
      <c r="DW34" s="591">
        <v>0</v>
      </c>
      <c r="DX34" s="591">
        <v>0</v>
      </c>
      <c r="DY34" s="591">
        <v>0</v>
      </c>
      <c r="DZ34" s="591">
        <v>0</v>
      </c>
      <c r="EA34" s="591">
        <v>0</v>
      </c>
      <c r="EB34" s="591">
        <v>0</v>
      </c>
      <c r="EC34" s="591">
        <v>0.185</v>
      </c>
      <c r="ED34" s="591">
        <v>1310</v>
      </c>
      <c r="EE34" s="591">
        <v>0</v>
      </c>
      <c r="EF34" s="591">
        <v>0</v>
      </c>
      <c r="EG34" s="591">
        <v>0</v>
      </c>
      <c r="EH34" s="591">
        <v>153343</v>
      </c>
      <c r="EI34" s="591">
        <v>0</v>
      </c>
      <c r="EJ34" s="591">
        <v>0</v>
      </c>
      <c r="EK34" s="591">
        <v>7.2390000000000008</v>
      </c>
      <c r="EL34" s="591">
        <v>0</v>
      </c>
      <c r="EM34" s="591">
        <v>0</v>
      </c>
      <c r="EN34" s="591">
        <v>0.63600000000000001</v>
      </c>
      <c r="EO34" s="591">
        <v>0</v>
      </c>
      <c r="EP34" s="591">
        <v>0</v>
      </c>
      <c r="EQ34" s="591">
        <v>7.875</v>
      </c>
      <c r="ER34" s="591">
        <v>0</v>
      </c>
      <c r="ES34" s="591">
        <v>24.897000000000002</v>
      </c>
      <c r="ET34" s="591">
        <v>0</v>
      </c>
      <c r="EU34" s="591">
        <v>0</v>
      </c>
      <c r="EV34" s="591">
        <v>0</v>
      </c>
      <c r="EW34" s="591">
        <v>0</v>
      </c>
      <c r="EX34" s="591">
        <v>0</v>
      </c>
      <c r="EY34" s="591">
        <v>0</v>
      </c>
      <c r="EZ34" s="591">
        <v>2801778</v>
      </c>
      <c r="FA34" s="591">
        <v>0</v>
      </c>
      <c r="FB34" s="591">
        <v>2905455</v>
      </c>
      <c r="FC34" s="591">
        <v>0</v>
      </c>
      <c r="FD34" s="591">
        <v>0</v>
      </c>
      <c r="FE34" s="591">
        <v>297404</v>
      </c>
      <c r="FF34" s="591">
        <v>60663</v>
      </c>
      <c r="FG34" s="591">
        <v>6.4728999999999995E-2</v>
      </c>
      <c r="FH34" s="591">
        <v>2.6405999999999999E-2</v>
      </c>
      <c r="FI34" s="591">
        <v>0</v>
      </c>
      <c r="FJ34" s="591">
        <v>0</v>
      </c>
      <c r="FK34" s="591">
        <v>466.173</v>
      </c>
      <c r="FL34" s="591">
        <v>3313332</v>
      </c>
      <c r="FM34" s="591">
        <v>0</v>
      </c>
      <c r="FN34" s="591">
        <v>0</v>
      </c>
      <c r="FO34" s="591">
        <v>34884</v>
      </c>
      <c r="FP34" s="591">
        <v>0</v>
      </c>
      <c r="FQ34" s="591">
        <v>34884</v>
      </c>
      <c r="FR34" s="591">
        <v>34884</v>
      </c>
      <c r="FS34" s="591">
        <v>0</v>
      </c>
      <c r="FT34" s="591">
        <v>0</v>
      </c>
      <c r="FU34" s="591">
        <v>0</v>
      </c>
      <c r="FV34" s="591">
        <v>0</v>
      </c>
      <c r="FW34" s="591">
        <v>0</v>
      </c>
      <c r="FX34" s="591">
        <v>0</v>
      </c>
      <c r="FY34" s="591">
        <v>0</v>
      </c>
      <c r="FZ34" s="591">
        <v>0</v>
      </c>
      <c r="GA34" s="591">
        <v>0</v>
      </c>
      <c r="GB34" s="591">
        <v>0</v>
      </c>
      <c r="GC34" s="591">
        <v>0</v>
      </c>
      <c r="GD34" s="591">
        <v>0</v>
      </c>
      <c r="GE34" s="591">
        <v>0</v>
      </c>
      <c r="GF34" s="591">
        <v>0</v>
      </c>
      <c r="GG34" s="591">
        <v>0</v>
      </c>
      <c r="GH34" s="591">
        <v>0</v>
      </c>
      <c r="GI34" s="591">
        <v>0</v>
      </c>
      <c r="GJ34" s="591">
        <v>0</v>
      </c>
      <c r="GK34" s="591">
        <v>0</v>
      </c>
      <c r="GL34" s="591">
        <v>0</v>
      </c>
      <c r="GM34" s="591">
        <v>0</v>
      </c>
      <c r="GN34" s="591">
        <v>0</v>
      </c>
      <c r="GO34" s="591">
        <v>0</v>
      </c>
      <c r="GP34" s="591">
        <v>0</v>
      </c>
      <c r="GQ34" s="591">
        <v>0</v>
      </c>
      <c r="GR34" s="591">
        <v>0</v>
      </c>
      <c r="GS34" s="591">
        <v>0</v>
      </c>
      <c r="GT34" s="591">
        <v>0</v>
      </c>
      <c r="GU34" s="591">
        <v>0</v>
      </c>
      <c r="GV34" s="591">
        <v>0</v>
      </c>
      <c r="GW34" s="591">
        <v>0</v>
      </c>
      <c r="GX34" s="591">
        <v>0</v>
      </c>
      <c r="GY34" s="591">
        <v>0</v>
      </c>
      <c r="GZ34" s="591">
        <v>0</v>
      </c>
      <c r="HA34" s="591">
        <v>0</v>
      </c>
      <c r="HB34" s="591">
        <v>260009272</v>
      </c>
      <c r="HC34" s="591">
        <v>5.1774999999999995E-2</v>
      </c>
      <c r="HD34" s="591">
        <v>49810</v>
      </c>
      <c r="HE34" s="591">
        <v>0</v>
      </c>
      <c r="HF34" s="591">
        <v>293431</v>
      </c>
      <c r="HG34" s="591">
        <v>1925</v>
      </c>
      <c r="HH34" s="591">
        <v>126877</v>
      </c>
      <c r="HI34" s="591">
        <v>0</v>
      </c>
      <c r="HJ34" s="591">
        <v>2672</v>
      </c>
      <c r="HK34" s="591">
        <v>0</v>
      </c>
      <c r="HL34" s="591">
        <v>0</v>
      </c>
      <c r="HM34" s="591">
        <v>0</v>
      </c>
      <c r="HN34" s="591">
        <v>0</v>
      </c>
      <c r="HO34" s="591">
        <v>0</v>
      </c>
      <c r="HP34" s="591">
        <v>0</v>
      </c>
      <c r="HQ34" s="591">
        <v>0</v>
      </c>
      <c r="HR34" s="591">
        <v>0</v>
      </c>
      <c r="HS34" s="591">
        <v>2801148</v>
      </c>
      <c r="HT34" s="591">
        <v>0</v>
      </c>
      <c r="HU34" s="591">
        <v>0</v>
      </c>
      <c r="HV34" s="591">
        <v>0</v>
      </c>
      <c r="HW34" s="591">
        <v>0</v>
      </c>
      <c r="HX34" s="591">
        <v>34</v>
      </c>
      <c r="HY34" s="591">
        <v>22</v>
      </c>
      <c r="HZ34" s="591">
        <v>62</v>
      </c>
      <c r="IA34" s="591">
        <v>104</v>
      </c>
      <c r="IB34" s="591">
        <v>140</v>
      </c>
      <c r="IC34" s="591">
        <v>304</v>
      </c>
      <c r="ID34" s="591">
        <v>0</v>
      </c>
      <c r="IE34" s="591">
        <v>0</v>
      </c>
      <c r="IF34" s="591">
        <v>0</v>
      </c>
      <c r="IG34" s="591">
        <v>3.125</v>
      </c>
      <c r="IH34" s="591">
        <v>206</v>
      </c>
      <c r="II34" s="591">
        <v>0</v>
      </c>
      <c r="IJ34" s="591">
        <v>109.02200000000001</v>
      </c>
      <c r="IK34" s="591">
        <v>0</v>
      </c>
      <c r="IL34" s="591">
        <v>0</v>
      </c>
      <c r="IM34" s="591">
        <v>0</v>
      </c>
      <c r="IN34" s="591">
        <v>0</v>
      </c>
      <c r="IO34" s="591">
        <v>0</v>
      </c>
      <c r="IP34" s="591">
        <v>0</v>
      </c>
      <c r="IQ34" s="591">
        <v>109.02200000000001</v>
      </c>
      <c r="IR34" s="591">
        <v>67148</v>
      </c>
      <c r="IS34" s="591">
        <v>0</v>
      </c>
      <c r="IT34" s="591">
        <v>0</v>
      </c>
      <c r="IU34" s="591">
        <v>0</v>
      </c>
      <c r="IV34" s="591">
        <v>0</v>
      </c>
      <c r="IW34" s="591">
        <v>6159</v>
      </c>
      <c r="IX34" s="591">
        <v>0</v>
      </c>
      <c r="IY34" s="591">
        <v>0</v>
      </c>
      <c r="IZ34" s="591">
        <v>0</v>
      </c>
      <c r="JA34" s="591">
        <v>0</v>
      </c>
      <c r="JB34" s="591">
        <v>0</v>
      </c>
      <c r="JC34" s="591">
        <v>0</v>
      </c>
      <c r="JD34" s="591">
        <v>0</v>
      </c>
      <c r="JE34" s="591">
        <v>0</v>
      </c>
      <c r="JF34" s="591">
        <v>0</v>
      </c>
      <c r="JG34" s="591">
        <v>0</v>
      </c>
      <c r="JH34" s="591">
        <v>0</v>
      </c>
      <c r="JI34" s="591">
        <v>0</v>
      </c>
      <c r="JJ34" s="591">
        <v>0</v>
      </c>
      <c r="JK34" s="591">
        <v>0</v>
      </c>
      <c r="JL34" s="591">
        <v>0</v>
      </c>
      <c r="JM34" s="591">
        <v>0</v>
      </c>
      <c r="JN34" s="591">
        <v>32469</v>
      </c>
    </row>
    <row r="35" spans="1:274" x14ac:dyDescent="0.25">
      <c r="A35" s="591">
        <v>32570</v>
      </c>
      <c r="B35" s="591">
        <v>21805</v>
      </c>
      <c r="C35" s="591">
        <v>9</v>
      </c>
      <c r="D35" s="591">
        <v>2022</v>
      </c>
      <c r="E35" s="591">
        <v>6159</v>
      </c>
      <c r="F35" s="591">
        <v>0</v>
      </c>
      <c r="G35" s="591">
        <v>634.68200000000002</v>
      </c>
      <c r="H35" s="591">
        <v>618.97800000000007</v>
      </c>
      <c r="I35" s="591">
        <v>618.97800000000007</v>
      </c>
      <c r="J35" s="591">
        <v>634.68200000000002</v>
      </c>
      <c r="K35" s="591">
        <v>0</v>
      </c>
      <c r="L35" s="591">
        <v>6159</v>
      </c>
      <c r="M35" s="591">
        <v>0</v>
      </c>
      <c r="N35" s="591">
        <v>0</v>
      </c>
      <c r="O35" s="591">
        <v>0</v>
      </c>
      <c r="P35" s="591">
        <v>627.09800000000007</v>
      </c>
      <c r="Q35" s="591">
        <v>0</v>
      </c>
      <c r="R35" s="591">
        <v>252362</v>
      </c>
      <c r="S35" s="591">
        <v>402.428</v>
      </c>
      <c r="T35" s="591">
        <v>0</v>
      </c>
      <c r="U35" s="591">
        <v>0</v>
      </c>
      <c r="V35" s="591">
        <v>82.525000000000006</v>
      </c>
      <c r="W35" s="591">
        <v>50828</v>
      </c>
      <c r="X35" s="591">
        <v>50828</v>
      </c>
      <c r="Y35" s="591">
        <v>0</v>
      </c>
      <c r="Z35" s="591">
        <v>0</v>
      </c>
      <c r="AA35" s="591">
        <v>0</v>
      </c>
      <c r="AB35" s="591">
        <v>0</v>
      </c>
      <c r="AC35" s="591">
        <v>0</v>
      </c>
      <c r="AD35" s="591" t="s">
        <v>316</v>
      </c>
      <c r="AE35" s="591">
        <v>0</v>
      </c>
      <c r="AF35" s="591">
        <v>0</v>
      </c>
      <c r="AG35" s="591">
        <v>0</v>
      </c>
      <c r="AH35" s="591">
        <v>0</v>
      </c>
      <c r="AI35" s="591">
        <v>0</v>
      </c>
      <c r="AJ35" s="591">
        <v>6159</v>
      </c>
      <c r="AK35" s="591" t="s">
        <v>671</v>
      </c>
      <c r="AL35" s="591" t="s">
        <v>322</v>
      </c>
      <c r="AM35" s="591">
        <v>0</v>
      </c>
      <c r="AN35" s="591">
        <v>0</v>
      </c>
      <c r="AO35" s="591">
        <v>0</v>
      </c>
      <c r="AP35" s="591">
        <v>0</v>
      </c>
      <c r="AQ35" s="591">
        <v>0</v>
      </c>
      <c r="AR35" s="591">
        <v>0</v>
      </c>
      <c r="AS35" s="591">
        <v>0</v>
      </c>
      <c r="AT35" s="591">
        <v>0</v>
      </c>
      <c r="AU35" s="591">
        <v>0</v>
      </c>
      <c r="AV35" s="591">
        <v>0</v>
      </c>
      <c r="AW35" s="591">
        <v>6891017</v>
      </c>
      <c r="AX35" s="591">
        <v>6777687</v>
      </c>
      <c r="AY35" s="591">
        <v>0</v>
      </c>
      <c r="AZ35" s="591">
        <v>252362</v>
      </c>
      <c r="BA35" s="591">
        <v>0</v>
      </c>
      <c r="BB35" s="591">
        <v>0</v>
      </c>
      <c r="BC35" s="591">
        <v>0</v>
      </c>
      <c r="BD35" s="591">
        <v>0</v>
      </c>
      <c r="BE35" s="591">
        <v>90</v>
      </c>
      <c r="BF35" s="591">
        <v>6208472</v>
      </c>
      <c r="BG35" s="591">
        <v>0</v>
      </c>
      <c r="BH35" s="591">
        <v>0</v>
      </c>
      <c r="BI35" s="591">
        <v>0</v>
      </c>
      <c r="BJ35" s="591">
        <v>12</v>
      </c>
      <c r="BK35" s="591">
        <v>0</v>
      </c>
      <c r="BL35" s="591">
        <v>0</v>
      </c>
      <c r="BM35" s="591">
        <v>0</v>
      </c>
      <c r="BN35" s="591">
        <v>0</v>
      </c>
      <c r="BO35" s="591">
        <v>0</v>
      </c>
      <c r="BP35" s="591">
        <v>0</v>
      </c>
      <c r="BQ35" s="591">
        <v>675</v>
      </c>
      <c r="BR35" s="591">
        <v>0</v>
      </c>
      <c r="BS35" s="591">
        <v>0</v>
      </c>
      <c r="BT35" s="591">
        <v>0</v>
      </c>
      <c r="BU35" s="591">
        <v>0</v>
      </c>
      <c r="BV35" s="591">
        <v>0</v>
      </c>
      <c r="BW35" s="591">
        <v>0</v>
      </c>
      <c r="BX35" s="591">
        <v>0</v>
      </c>
      <c r="BY35" s="591">
        <v>0</v>
      </c>
      <c r="BZ35" s="591">
        <v>0</v>
      </c>
      <c r="CA35" s="591">
        <v>0</v>
      </c>
      <c r="CB35" s="591">
        <v>0</v>
      </c>
      <c r="CC35" s="591">
        <v>0</v>
      </c>
      <c r="CD35" s="591">
        <v>0</v>
      </c>
      <c r="CE35" s="591">
        <v>0</v>
      </c>
      <c r="CF35" s="591">
        <v>0</v>
      </c>
      <c r="CG35" s="591">
        <v>0</v>
      </c>
      <c r="CH35" s="591">
        <v>115011</v>
      </c>
      <c r="CI35" s="591">
        <v>0</v>
      </c>
      <c r="CJ35" s="591">
        <v>4</v>
      </c>
      <c r="CK35" s="591">
        <v>0</v>
      </c>
      <c r="CL35" s="591">
        <v>0</v>
      </c>
      <c r="CM35" s="591">
        <v>0</v>
      </c>
      <c r="CN35" s="591">
        <v>0</v>
      </c>
      <c r="CO35" s="591">
        <v>1</v>
      </c>
      <c r="CP35" s="591">
        <v>0</v>
      </c>
      <c r="CQ35" s="591">
        <v>0</v>
      </c>
      <c r="CR35" s="591">
        <v>634.68200000000002</v>
      </c>
      <c r="CS35" s="591">
        <v>0</v>
      </c>
      <c r="CT35" s="591">
        <v>0</v>
      </c>
      <c r="CU35" s="591">
        <v>0</v>
      </c>
      <c r="CV35" s="591">
        <v>0</v>
      </c>
      <c r="CW35" s="591">
        <v>0</v>
      </c>
      <c r="CX35" s="591">
        <v>0</v>
      </c>
      <c r="CY35" s="591">
        <v>0</v>
      </c>
      <c r="CZ35" s="591">
        <v>0</v>
      </c>
      <c r="DA35" s="591">
        <v>0</v>
      </c>
      <c r="DB35" s="591">
        <v>3808314</v>
      </c>
      <c r="DC35" s="591">
        <v>0</v>
      </c>
      <c r="DD35" s="591">
        <v>0</v>
      </c>
      <c r="DE35" s="591">
        <v>990457</v>
      </c>
      <c r="DF35" s="591">
        <v>990457</v>
      </c>
      <c r="DG35" s="591">
        <v>160.81300000000002</v>
      </c>
      <c r="DH35" s="591">
        <v>0</v>
      </c>
      <c r="DI35" s="591">
        <v>0</v>
      </c>
      <c r="DJ35" s="591">
        <v>0</v>
      </c>
      <c r="DK35" s="591">
        <v>2417</v>
      </c>
      <c r="DL35" s="591">
        <v>0</v>
      </c>
      <c r="DM35" s="591">
        <v>421147</v>
      </c>
      <c r="DN35" s="591">
        <v>1591</v>
      </c>
      <c r="DO35" s="591">
        <v>0</v>
      </c>
      <c r="DP35" s="591">
        <v>0</v>
      </c>
      <c r="DQ35" s="591">
        <v>0</v>
      </c>
      <c r="DR35" s="591">
        <v>0</v>
      </c>
      <c r="DS35" s="591">
        <v>0</v>
      </c>
      <c r="DT35" s="591">
        <v>0</v>
      </c>
      <c r="DU35" s="591">
        <v>0</v>
      </c>
      <c r="DV35" s="591">
        <v>0</v>
      </c>
      <c r="DW35" s="591">
        <v>0</v>
      </c>
      <c r="DX35" s="591">
        <v>0</v>
      </c>
      <c r="DY35" s="591">
        <v>0</v>
      </c>
      <c r="DZ35" s="591">
        <v>0</v>
      </c>
      <c r="EA35" s="591">
        <v>0</v>
      </c>
      <c r="EB35" s="591">
        <v>0</v>
      </c>
      <c r="EC35" s="591">
        <v>16.363</v>
      </c>
      <c r="ED35" s="591">
        <v>115898</v>
      </c>
      <c r="EE35" s="591">
        <v>0</v>
      </c>
      <c r="EF35" s="591">
        <v>0</v>
      </c>
      <c r="EG35" s="591">
        <v>0</v>
      </c>
      <c r="EH35" s="591">
        <v>302817</v>
      </c>
      <c r="EI35" s="591">
        <v>0</v>
      </c>
      <c r="EJ35" s="591">
        <v>0</v>
      </c>
      <c r="EK35" s="591">
        <v>13.86</v>
      </c>
      <c r="EL35" s="591">
        <v>0</v>
      </c>
      <c r="EM35" s="591">
        <v>0.81700000000000006</v>
      </c>
      <c r="EN35" s="591">
        <v>1.0270000000000001</v>
      </c>
      <c r="EO35" s="591">
        <v>0</v>
      </c>
      <c r="EP35" s="591">
        <v>0</v>
      </c>
      <c r="EQ35" s="591">
        <v>15.704000000000001</v>
      </c>
      <c r="ER35" s="591">
        <v>0</v>
      </c>
      <c r="ES35" s="591">
        <v>49.166000000000004</v>
      </c>
      <c r="ET35" s="591">
        <v>0</v>
      </c>
      <c r="EU35" s="591">
        <v>0</v>
      </c>
      <c r="EV35" s="591">
        <v>0</v>
      </c>
      <c r="EW35" s="591">
        <v>0</v>
      </c>
      <c r="EX35" s="591">
        <v>0</v>
      </c>
      <c r="EY35" s="591">
        <v>0</v>
      </c>
      <c r="EZ35" s="591">
        <v>6003430</v>
      </c>
      <c r="FA35" s="591">
        <v>0</v>
      </c>
      <c r="FB35" s="591">
        <v>6254111</v>
      </c>
      <c r="FC35" s="591">
        <v>0</v>
      </c>
      <c r="FD35" s="591">
        <v>0</v>
      </c>
      <c r="FE35" s="591">
        <v>643085</v>
      </c>
      <c r="FF35" s="591">
        <v>131172</v>
      </c>
      <c r="FG35" s="591">
        <v>6.4728999999999995E-2</v>
      </c>
      <c r="FH35" s="591">
        <v>2.6405999999999999E-2</v>
      </c>
      <c r="FI35" s="591">
        <v>0</v>
      </c>
      <c r="FJ35" s="591">
        <v>0</v>
      </c>
      <c r="FK35" s="591">
        <v>1008.019</v>
      </c>
      <c r="FL35" s="591">
        <v>7143379</v>
      </c>
      <c r="FM35" s="591">
        <v>0</v>
      </c>
      <c r="FN35" s="591">
        <v>0</v>
      </c>
      <c r="FO35" s="591">
        <v>47320</v>
      </c>
      <c r="FP35" s="591">
        <v>0</v>
      </c>
      <c r="FQ35" s="591">
        <v>47320</v>
      </c>
      <c r="FR35" s="591">
        <v>47320</v>
      </c>
      <c r="FS35" s="591">
        <v>0</v>
      </c>
      <c r="FT35" s="591">
        <v>0</v>
      </c>
      <c r="FU35" s="591">
        <v>0</v>
      </c>
      <c r="FV35" s="591">
        <v>0</v>
      </c>
      <c r="FW35" s="591">
        <v>0</v>
      </c>
      <c r="FX35" s="591">
        <v>0</v>
      </c>
      <c r="FY35" s="591">
        <v>0</v>
      </c>
      <c r="FZ35" s="591">
        <v>0</v>
      </c>
      <c r="GA35" s="591">
        <v>0</v>
      </c>
      <c r="GB35" s="591">
        <v>0</v>
      </c>
      <c r="GC35" s="591">
        <v>0</v>
      </c>
      <c r="GD35" s="591">
        <v>0</v>
      </c>
      <c r="GE35" s="591">
        <v>0</v>
      </c>
      <c r="GF35" s="591">
        <v>0</v>
      </c>
      <c r="GG35" s="591">
        <v>0</v>
      </c>
      <c r="GH35" s="591">
        <v>0</v>
      </c>
      <c r="GI35" s="591">
        <v>0</v>
      </c>
      <c r="GJ35" s="591">
        <v>0</v>
      </c>
      <c r="GK35" s="591">
        <v>0</v>
      </c>
      <c r="GL35" s="591">
        <v>0</v>
      </c>
      <c r="GM35" s="591">
        <v>0</v>
      </c>
      <c r="GN35" s="591">
        <v>0</v>
      </c>
      <c r="GO35" s="591">
        <v>0</v>
      </c>
      <c r="GP35" s="591">
        <v>0</v>
      </c>
      <c r="GQ35" s="591">
        <v>0</v>
      </c>
      <c r="GR35" s="591">
        <v>0</v>
      </c>
      <c r="GS35" s="591">
        <v>0</v>
      </c>
      <c r="GT35" s="591">
        <v>0</v>
      </c>
      <c r="GU35" s="591">
        <v>0</v>
      </c>
      <c r="GV35" s="591">
        <v>0</v>
      </c>
      <c r="GW35" s="591">
        <v>0</v>
      </c>
      <c r="GX35" s="591">
        <v>0</v>
      </c>
      <c r="GY35" s="591">
        <v>0</v>
      </c>
      <c r="GZ35" s="591">
        <v>0</v>
      </c>
      <c r="HA35" s="591">
        <v>0</v>
      </c>
      <c r="HB35" s="591">
        <v>260009272</v>
      </c>
      <c r="HC35" s="591">
        <v>5.1774999999999995E-2</v>
      </c>
      <c r="HD35" s="591">
        <v>115011</v>
      </c>
      <c r="HE35" s="591">
        <v>0</v>
      </c>
      <c r="HF35" s="591">
        <v>680257</v>
      </c>
      <c r="HG35" s="591">
        <v>3080</v>
      </c>
      <c r="HH35" s="591">
        <v>246629</v>
      </c>
      <c r="HI35" s="591">
        <v>0</v>
      </c>
      <c r="HJ35" s="591">
        <v>6169</v>
      </c>
      <c r="HK35" s="591">
        <v>0</v>
      </c>
      <c r="HL35" s="591">
        <v>0</v>
      </c>
      <c r="HM35" s="591">
        <v>0</v>
      </c>
      <c r="HN35" s="591">
        <v>0</v>
      </c>
      <c r="HO35" s="591">
        <v>0</v>
      </c>
      <c r="HP35" s="591">
        <v>0</v>
      </c>
      <c r="HQ35" s="591">
        <v>0</v>
      </c>
      <c r="HR35" s="591">
        <v>0</v>
      </c>
      <c r="HS35" s="591">
        <v>6001749</v>
      </c>
      <c r="HT35" s="591">
        <v>0</v>
      </c>
      <c r="HU35" s="591">
        <v>0</v>
      </c>
      <c r="HV35" s="591">
        <v>0</v>
      </c>
      <c r="HW35" s="591">
        <v>0</v>
      </c>
      <c r="HX35" s="591">
        <v>75</v>
      </c>
      <c r="HY35" s="591">
        <v>97</v>
      </c>
      <c r="HZ35" s="591">
        <v>95</v>
      </c>
      <c r="IA35" s="591">
        <v>82</v>
      </c>
      <c r="IB35" s="591">
        <v>275</v>
      </c>
      <c r="IC35" s="591">
        <v>478</v>
      </c>
      <c r="ID35" s="591">
        <v>0</v>
      </c>
      <c r="IE35" s="591">
        <v>0</v>
      </c>
      <c r="IF35" s="591">
        <v>0</v>
      </c>
      <c r="IG35" s="591">
        <v>5</v>
      </c>
      <c r="IH35" s="591">
        <v>400.43100000000004</v>
      </c>
      <c r="II35" s="591">
        <v>0</v>
      </c>
      <c r="IJ35" s="591">
        <v>82.525000000000006</v>
      </c>
      <c r="IK35" s="591">
        <v>0</v>
      </c>
      <c r="IL35" s="591">
        <v>0</v>
      </c>
      <c r="IM35" s="591">
        <v>0</v>
      </c>
      <c r="IN35" s="591">
        <v>0</v>
      </c>
      <c r="IO35" s="591">
        <v>0</v>
      </c>
      <c r="IP35" s="591">
        <v>0</v>
      </c>
      <c r="IQ35" s="591">
        <v>82.525000000000006</v>
      </c>
      <c r="IR35" s="591">
        <v>50828</v>
      </c>
      <c r="IS35" s="591">
        <v>0</v>
      </c>
      <c r="IT35" s="591">
        <v>0</v>
      </c>
      <c r="IU35" s="591">
        <v>0</v>
      </c>
      <c r="IV35" s="591">
        <v>0</v>
      </c>
      <c r="IW35" s="591">
        <v>6159</v>
      </c>
      <c r="IX35" s="591">
        <v>0</v>
      </c>
      <c r="IY35" s="591">
        <v>0</v>
      </c>
      <c r="IZ35" s="591">
        <v>0</v>
      </c>
      <c r="JA35" s="591">
        <v>0</v>
      </c>
      <c r="JB35" s="591">
        <v>0</v>
      </c>
      <c r="JC35" s="591">
        <v>0</v>
      </c>
      <c r="JD35" s="591">
        <v>0</v>
      </c>
      <c r="JE35" s="591">
        <v>0</v>
      </c>
      <c r="JF35" s="591">
        <v>0</v>
      </c>
      <c r="JG35" s="591">
        <v>0</v>
      </c>
      <c r="JH35" s="591">
        <v>0</v>
      </c>
      <c r="JI35" s="591">
        <v>0</v>
      </c>
      <c r="JJ35" s="591">
        <v>0</v>
      </c>
      <c r="JK35" s="591">
        <v>0</v>
      </c>
      <c r="JL35" s="591">
        <v>0</v>
      </c>
      <c r="JM35" s="591">
        <v>0</v>
      </c>
      <c r="JN35" s="591">
        <v>32469</v>
      </c>
    </row>
    <row r="36" spans="1:274" x14ac:dyDescent="0.25">
      <c r="A36" s="591">
        <v>32570</v>
      </c>
      <c r="B36" s="591">
        <v>43801</v>
      </c>
      <c r="C36" s="591">
        <v>9</v>
      </c>
      <c r="D36" s="591">
        <v>2022</v>
      </c>
      <c r="E36" s="591">
        <v>6159</v>
      </c>
      <c r="F36" s="591">
        <v>0</v>
      </c>
      <c r="G36" s="591">
        <v>1391.5120000000002</v>
      </c>
      <c r="H36" s="591">
        <v>1381.8490000000002</v>
      </c>
      <c r="I36" s="591">
        <v>1381.8490000000002</v>
      </c>
      <c r="J36" s="591">
        <v>1391.5120000000002</v>
      </c>
      <c r="K36" s="591">
        <v>0</v>
      </c>
      <c r="L36" s="591">
        <v>6159</v>
      </c>
      <c r="M36" s="591">
        <v>0</v>
      </c>
      <c r="N36" s="591">
        <v>0</v>
      </c>
      <c r="O36" s="591">
        <v>0</v>
      </c>
      <c r="P36" s="591">
        <v>1384.9950000000001</v>
      </c>
      <c r="Q36" s="591">
        <v>0</v>
      </c>
      <c r="R36" s="591">
        <v>557361</v>
      </c>
      <c r="S36" s="591">
        <v>402.428</v>
      </c>
      <c r="T36" s="591">
        <v>0</v>
      </c>
      <c r="U36" s="591">
        <v>0</v>
      </c>
      <c r="V36" s="591">
        <v>150.09800000000001</v>
      </c>
      <c r="W36" s="591">
        <v>92447</v>
      </c>
      <c r="X36" s="591">
        <v>92447</v>
      </c>
      <c r="Y36" s="591">
        <v>0</v>
      </c>
      <c r="Z36" s="591">
        <v>0</v>
      </c>
      <c r="AA36" s="591">
        <v>0</v>
      </c>
      <c r="AB36" s="591">
        <v>0</v>
      </c>
      <c r="AC36" s="591">
        <v>0</v>
      </c>
      <c r="AD36" s="591" t="s">
        <v>316</v>
      </c>
      <c r="AE36" s="591">
        <v>0</v>
      </c>
      <c r="AF36" s="591">
        <v>0</v>
      </c>
      <c r="AG36" s="591">
        <v>0</v>
      </c>
      <c r="AH36" s="591">
        <v>0</v>
      </c>
      <c r="AI36" s="591">
        <v>0</v>
      </c>
      <c r="AJ36" s="591">
        <v>6159</v>
      </c>
      <c r="AK36" s="591" t="s">
        <v>671</v>
      </c>
      <c r="AL36" s="591" t="s">
        <v>323</v>
      </c>
      <c r="AM36" s="591">
        <v>0</v>
      </c>
      <c r="AN36" s="591">
        <v>0</v>
      </c>
      <c r="AO36" s="591">
        <v>0</v>
      </c>
      <c r="AP36" s="591">
        <v>0</v>
      </c>
      <c r="AQ36" s="591">
        <v>0</v>
      </c>
      <c r="AR36" s="591">
        <v>0</v>
      </c>
      <c r="AS36" s="591">
        <v>0</v>
      </c>
      <c r="AT36" s="591">
        <v>0</v>
      </c>
      <c r="AU36" s="591">
        <v>0</v>
      </c>
      <c r="AV36" s="591">
        <v>0</v>
      </c>
      <c r="AW36" s="591">
        <v>11911443</v>
      </c>
      <c r="AX36" s="591">
        <v>11661026</v>
      </c>
      <c r="AY36" s="591">
        <v>0</v>
      </c>
      <c r="AZ36" s="591">
        <v>557361</v>
      </c>
      <c r="BA36" s="591">
        <v>0</v>
      </c>
      <c r="BB36" s="591">
        <v>0</v>
      </c>
      <c r="BC36" s="591">
        <v>0</v>
      </c>
      <c r="BD36" s="591">
        <v>0</v>
      </c>
      <c r="BE36" s="591">
        <v>156</v>
      </c>
      <c r="BF36" s="591">
        <v>10861140</v>
      </c>
      <c r="BG36" s="591">
        <v>0</v>
      </c>
      <c r="BH36" s="591">
        <v>0</v>
      </c>
      <c r="BI36" s="591">
        <v>0</v>
      </c>
      <c r="BJ36" s="591">
        <v>12</v>
      </c>
      <c r="BK36" s="591">
        <v>0</v>
      </c>
      <c r="BL36" s="591">
        <v>0</v>
      </c>
      <c r="BM36" s="591">
        <v>0</v>
      </c>
      <c r="BN36" s="591">
        <v>0</v>
      </c>
      <c r="BO36" s="591">
        <v>0</v>
      </c>
      <c r="BP36" s="591">
        <v>0</v>
      </c>
      <c r="BQ36" s="591">
        <v>557</v>
      </c>
      <c r="BR36" s="591">
        <v>0</v>
      </c>
      <c r="BS36" s="591">
        <v>0</v>
      </c>
      <c r="BT36" s="591">
        <v>0</v>
      </c>
      <c r="BU36" s="591">
        <v>0</v>
      </c>
      <c r="BV36" s="591">
        <v>0</v>
      </c>
      <c r="BW36" s="591">
        <v>0</v>
      </c>
      <c r="BX36" s="591">
        <v>0</v>
      </c>
      <c r="BY36" s="591">
        <v>0</v>
      </c>
      <c r="BZ36" s="591">
        <v>0</v>
      </c>
      <c r="CA36" s="591">
        <v>0</v>
      </c>
      <c r="CB36" s="591">
        <v>0</v>
      </c>
      <c r="CC36" s="591">
        <v>0</v>
      </c>
      <c r="CD36" s="591">
        <v>0</v>
      </c>
      <c r="CE36" s="591">
        <v>0</v>
      </c>
      <c r="CF36" s="591">
        <v>0</v>
      </c>
      <c r="CG36" s="591">
        <v>0</v>
      </c>
      <c r="CH36" s="591">
        <v>252157</v>
      </c>
      <c r="CI36" s="591">
        <v>0</v>
      </c>
      <c r="CJ36" s="591">
        <v>4</v>
      </c>
      <c r="CK36" s="591">
        <v>0</v>
      </c>
      <c r="CL36" s="591">
        <v>0</v>
      </c>
      <c r="CM36" s="591">
        <v>0</v>
      </c>
      <c r="CN36" s="591">
        <v>0</v>
      </c>
      <c r="CO36" s="591">
        <v>1</v>
      </c>
      <c r="CP36" s="591">
        <v>0</v>
      </c>
      <c r="CQ36" s="591">
        <v>0</v>
      </c>
      <c r="CR36" s="591">
        <v>1391.5120000000002</v>
      </c>
      <c r="CS36" s="591">
        <v>0</v>
      </c>
      <c r="CT36" s="591">
        <v>0</v>
      </c>
      <c r="CU36" s="591">
        <v>0</v>
      </c>
      <c r="CV36" s="591">
        <v>0</v>
      </c>
      <c r="CW36" s="591">
        <v>0</v>
      </c>
      <c r="CX36" s="591">
        <v>0</v>
      </c>
      <c r="CY36" s="591">
        <v>0</v>
      </c>
      <c r="CZ36" s="591">
        <v>0</v>
      </c>
      <c r="DA36" s="591">
        <v>0</v>
      </c>
      <c r="DB36" s="591">
        <v>8510922</v>
      </c>
      <c r="DC36" s="591">
        <v>0</v>
      </c>
      <c r="DD36" s="591">
        <v>0</v>
      </c>
      <c r="DE36" s="591">
        <v>176535</v>
      </c>
      <c r="DF36" s="591">
        <v>176535</v>
      </c>
      <c r="DG36" s="591">
        <v>28.663</v>
      </c>
      <c r="DH36" s="591">
        <v>0</v>
      </c>
      <c r="DI36" s="591">
        <v>0</v>
      </c>
      <c r="DJ36" s="591">
        <v>0</v>
      </c>
      <c r="DK36" s="591">
        <v>537</v>
      </c>
      <c r="DL36" s="591">
        <v>0</v>
      </c>
      <c r="DM36" s="591">
        <v>415172</v>
      </c>
      <c r="DN36" s="591">
        <v>1584</v>
      </c>
      <c r="DO36" s="591">
        <v>0</v>
      </c>
      <c r="DP36" s="591">
        <v>0</v>
      </c>
      <c r="DQ36" s="591">
        <v>0</v>
      </c>
      <c r="DR36" s="591">
        <v>0</v>
      </c>
      <c r="DS36" s="591">
        <v>0</v>
      </c>
      <c r="DT36" s="591">
        <v>0</v>
      </c>
      <c r="DU36" s="591">
        <v>0</v>
      </c>
      <c r="DV36" s="591">
        <v>0</v>
      </c>
      <c r="DW36" s="591">
        <v>0</v>
      </c>
      <c r="DX36" s="591">
        <v>0</v>
      </c>
      <c r="DY36" s="591">
        <v>0</v>
      </c>
      <c r="DZ36" s="591">
        <v>0</v>
      </c>
      <c r="EA36" s="591">
        <v>0</v>
      </c>
      <c r="EB36" s="591">
        <v>0</v>
      </c>
      <c r="EC36" s="591">
        <v>31.028000000000002</v>
      </c>
      <c r="ED36" s="591">
        <v>219770</v>
      </c>
      <c r="EE36" s="591">
        <v>0</v>
      </c>
      <c r="EF36" s="591">
        <v>0</v>
      </c>
      <c r="EG36" s="591">
        <v>0</v>
      </c>
      <c r="EH36" s="591">
        <v>196986</v>
      </c>
      <c r="EI36" s="591">
        <v>0</v>
      </c>
      <c r="EJ36" s="591">
        <v>0</v>
      </c>
      <c r="EK36" s="591">
        <v>7.3440000000000003</v>
      </c>
      <c r="EL36" s="591">
        <v>7.400000000000001E-2</v>
      </c>
      <c r="EM36" s="591">
        <v>0.82200000000000006</v>
      </c>
      <c r="EN36" s="591">
        <v>1.4970000000000001</v>
      </c>
      <c r="EO36" s="591">
        <v>0</v>
      </c>
      <c r="EP36" s="591">
        <v>0</v>
      </c>
      <c r="EQ36" s="591">
        <v>9.6630000000000003</v>
      </c>
      <c r="ER36" s="591">
        <v>0</v>
      </c>
      <c r="ES36" s="591">
        <v>31.983000000000001</v>
      </c>
      <c r="ET36" s="591">
        <v>0</v>
      </c>
      <c r="EU36" s="591">
        <v>0</v>
      </c>
      <c r="EV36" s="591">
        <v>0</v>
      </c>
      <c r="EW36" s="591">
        <v>0</v>
      </c>
      <c r="EX36" s="591">
        <v>0</v>
      </c>
      <c r="EY36" s="591">
        <v>0</v>
      </c>
      <c r="EZ36" s="591">
        <v>10306535</v>
      </c>
      <c r="FA36" s="591">
        <v>0</v>
      </c>
      <c r="FB36" s="591">
        <v>10862156</v>
      </c>
      <c r="FC36" s="591">
        <v>0</v>
      </c>
      <c r="FD36" s="591">
        <v>0</v>
      </c>
      <c r="FE36" s="591">
        <v>1125017</v>
      </c>
      <c r="FF36" s="591">
        <v>229474</v>
      </c>
      <c r="FG36" s="591">
        <v>6.4728999999999995E-2</v>
      </c>
      <c r="FH36" s="591">
        <v>2.6405999999999999E-2</v>
      </c>
      <c r="FI36" s="591">
        <v>0</v>
      </c>
      <c r="FJ36" s="591">
        <v>0</v>
      </c>
      <c r="FK36" s="591">
        <v>1763.4350000000002</v>
      </c>
      <c r="FL36" s="591">
        <v>12468804</v>
      </c>
      <c r="FM36" s="591">
        <v>0</v>
      </c>
      <c r="FN36" s="591">
        <v>0</v>
      </c>
      <c r="FO36" s="591">
        <v>0</v>
      </c>
      <c r="FP36" s="591">
        <v>0</v>
      </c>
      <c r="FQ36" s="591">
        <v>0</v>
      </c>
      <c r="FR36" s="591">
        <v>0</v>
      </c>
      <c r="FS36" s="591">
        <v>0</v>
      </c>
      <c r="FT36" s="591">
        <v>0</v>
      </c>
      <c r="FU36" s="591">
        <v>0</v>
      </c>
      <c r="FV36" s="591">
        <v>0</v>
      </c>
      <c r="FW36" s="591">
        <v>0</v>
      </c>
      <c r="FX36" s="591">
        <v>0</v>
      </c>
      <c r="FY36" s="591">
        <v>0</v>
      </c>
      <c r="FZ36" s="591">
        <v>0</v>
      </c>
      <c r="GA36" s="591">
        <v>0</v>
      </c>
      <c r="GB36" s="591">
        <v>0</v>
      </c>
      <c r="GC36" s="591">
        <v>0</v>
      </c>
      <c r="GD36" s="591">
        <v>0</v>
      </c>
      <c r="GE36" s="591">
        <v>0</v>
      </c>
      <c r="GF36" s="591">
        <v>0</v>
      </c>
      <c r="GG36" s="591">
        <v>0</v>
      </c>
      <c r="GH36" s="591">
        <v>0</v>
      </c>
      <c r="GI36" s="591">
        <v>0</v>
      </c>
      <c r="GJ36" s="591">
        <v>0</v>
      </c>
      <c r="GK36" s="591">
        <v>0</v>
      </c>
      <c r="GL36" s="591">
        <v>0</v>
      </c>
      <c r="GM36" s="591">
        <v>0</v>
      </c>
      <c r="GN36" s="591">
        <v>0</v>
      </c>
      <c r="GO36" s="591">
        <v>0</v>
      </c>
      <c r="GP36" s="591">
        <v>0</v>
      </c>
      <c r="GQ36" s="591">
        <v>0</v>
      </c>
      <c r="GR36" s="591">
        <v>0</v>
      </c>
      <c r="GS36" s="591">
        <v>0</v>
      </c>
      <c r="GT36" s="591">
        <v>0</v>
      </c>
      <c r="GU36" s="591">
        <v>0</v>
      </c>
      <c r="GV36" s="591">
        <v>0</v>
      </c>
      <c r="GW36" s="591">
        <v>0</v>
      </c>
      <c r="GX36" s="591">
        <v>0</v>
      </c>
      <c r="GY36" s="591">
        <v>0</v>
      </c>
      <c r="GZ36" s="591">
        <v>0</v>
      </c>
      <c r="HA36" s="591">
        <v>0</v>
      </c>
      <c r="HB36" s="591">
        <v>260009272</v>
      </c>
      <c r="HC36" s="591">
        <v>5.1774999999999995E-2</v>
      </c>
      <c r="HD36" s="591">
        <v>252157</v>
      </c>
      <c r="HE36" s="591">
        <v>0</v>
      </c>
      <c r="HF36" s="591">
        <v>1518652</v>
      </c>
      <c r="HG36" s="591">
        <v>17321</v>
      </c>
      <c r="HH36" s="591">
        <v>68982</v>
      </c>
      <c r="HI36" s="591">
        <v>0</v>
      </c>
      <c r="HJ36" s="591">
        <v>13525</v>
      </c>
      <c r="HK36" s="591">
        <v>2756</v>
      </c>
      <c r="HL36" s="591">
        <v>0</v>
      </c>
      <c r="HM36" s="591">
        <v>46000</v>
      </c>
      <c r="HN36" s="591">
        <v>0</v>
      </c>
      <c r="HO36" s="591">
        <v>0</v>
      </c>
      <c r="HP36" s="591">
        <v>0</v>
      </c>
      <c r="HQ36" s="591">
        <v>0</v>
      </c>
      <c r="HR36" s="591">
        <v>0</v>
      </c>
      <c r="HS36" s="591">
        <v>10304795</v>
      </c>
      <c r="HT36" s="591">
        <v>0</v>
      </c>
      <c r="HU36" s="591">
        <v>0</v>
      </c>
      <c r="HV36" s="591">
        <v>0</v>
      </c>
      <c r="HW36" s="591">
        <v>0</v>
      </c>
      <c r="HX36" s="591">
        <v>62</v>
      </c>
      <c r="HY36" s="591">
        <v>41</v>
      </c>
      <c r="HZ36" s="591">
        <v>7</v>
      </c>
      <c r="IA36" s="591">
        <v>6</v>
      </c>
      <c r="IB36" s="591">
        <v>6</v>
      </c>
      <c r="IC36" s="591">
        <v>122</v>
      </c>
      <c r="ID36" s="591">
        <v>0</v>
      </c>
      <c r="IE36" s="591">
        <v>0</v>
      </c>
      <c r="IF36" s="591">
        <v>0</v>
      </c>
      <c r="IG36" s="591">
        <v>28.123000000000001</v>
      </c>
      <c r="IH36" s="591">
        <v>112</v>
      </c>
      <c r="II36" s="591">
        <v>0</v>
      </c>
      <c r="IJ36" s="591">
        <v>150.09800000000001</v>
      </c>
      <c r="IK36" s="591">
        <v>0</v>
      </c>
      <c r="IL36" s="591">
        <v>1</v>
      </c>
      <c r="IM36" s="591">
        <v>13</v>
      </c>
      <c r="IN36" s="591">
        <v>1</v>
      </c>
      <c r="IO36" s="591">
        <v>15</v>
      </c>
      <c r="IP36" s="591">
        <v>0</v>
      </c>
      <c r="IQ36" s="591">
        <v>150.09800000000001</v>
      </c>
      <c r="IR36" s="591">
        <v>92447</v>
      </c>
      <c r="IS36" s="591">
        <v>0</v>
      </c>
      <c r="IT36" s="591">
        <v>5000</v>
      </c>
      <c r="IU36" s="591">
        <v>39000</v>
      </c>
      <c r="IV36" s="591">
        <v>2000</v>
      </c>
      <c r="IW36" s="591">
        <v>6159</v>
      </c>
      <c r="IX36" s="591">
        <v>0</v>
      </c>
      <c r="IY36" s="591">
        <v>0</v>
      </c>
      <c r="IZ36" s="591">
        <v>0</v>
      </c>
      <c r="JA36" s="591">
        <v>0</v>
      </c>
      <c r="JB36" s="591">
        <v>0</v>
      </c>
      <c r="JC36" s="591">
        <v>0</v>
      </c>
      <c r="JD36" s="591">
        <v>0</v>
      </c>
      <c r="JE36" s="591">
        <v>0</v>
      </c>
      <c r="JF36" s="591">
        <v>0</v>
      </c>
      <c r="JG36" s="591">
        <v>0</v>
      </c>
      <c r="JH36" s="591">
        <v>0</v>
      </c>
      <c r="JI36" s="591">
        <v>0</v>
      </c>
      <c r="JJ36" s="591">
        <v>0</v>
      </c>
      <c r="JK36" s="591">
        <v>0</v>
      </c>
      <c r="JL36" s="591">
        <v>0</v>
      </c>
      <c r="JM36" s="591">
        <v>0</v>
      </c>
      <c r="JN36" s="591">
        <v>32469</v>
      </c>
    </row>
    <row r="37" spans="1:274" x14ac:dyDescent="0.25">
      <c r="A37" s="591">
        <v>32570</v>
      </c>
      <c r="B37" s="591">
        <v>43802</v>
      </c>
      <c r="C37" s="591">
        <v>9</v>
      </c>
      <c r="D37" s="591">
        <v>2022</v>
      </c>
      <c r="E37" s="591">
        <v>6159</v>
      </c>
      <c r="F37" s="591">
        <v>0</v>
      </c>
      <c r="G37" s="591">
        <v>200.62700000000001</v>
      </c>
      <c r="H37" s="591">
        <v>196.77100000000002</v>
      </c>
      <c r="I37" s="591">
        <v>196.77100000000002</v>
      </c>
      <c r="J37" s="591">
        <v>200.62700000000001</v>
      </c>
      <c r="K37" s="591">
        <v>0</v>
      </c>
      <c r="L37" s="591">
        <v>6159</v>
      </c>
      <c r="M37" s="591">
        <v>0</v>
      </c>
      <c r="N37" s="591">
        <v>0</v>
      </c>
      <c r="O37" s="591">
        <v>0</v>
      </c>
      <c r="P37" s="591">
        <v>193.47300000000001</v>
      </c>
      <c r="Q37" s="591">
        <v>0</v>
      </c>
      <c r="R37" s="591">
        <v>77859</v>
      </c>
      <c r="S37" s="591">
        <v>402.428</v>
      </c>
      <c r="T37" s="591">
        <v>0</v>
      </c>
      <c r="U37" s="591">
        <v>0</v>
      </c>
      <c r="V37" s="591">
        <v>20.838000000000001</v>
      </c>
      <c r="W37" s="591">
        <v>12834</v>
      </c>
      <c r="X37" s="591">
        <v>12834</v>
      </c>
      <c r="Y37" s="591">
        <v>0</v>
      </c>
      <c r="Z37" s="591">
        <v>0</v>
      </c>
      <c r="AA37" s="591">
        <v>0</v>
      </c>
      <c r="AB37" s="591">
        <v>0</v>
      </c>
      <c r="AC37" s="591">
        <v>0</v>
      </c>
      <c r="AD37" s="591" t="s">
        <v>316</v>
      </c>
      <c r="AE37" s="591">
        <v>0</v>
      </c>
      <c r="AF37" s="591">
        <v>0</v>
      </c>
      <c r="AG37" s="591">
        <v>0</v>
      </c>
      <c r="AH37" s="591">
        <v>0</v>
      </c>
      <c r="AI37" s="591">
        <v>0</v>
      </c>
      <c r="AJ37" s="591">
        <v>6159</v>
      </c>
      <c r="AK37" s="591" t="s">
        <v>671</v>
      </c>
      <c r="AL37" s="591" t="s">
        <v>446</v>
      </c>
      <c r="AM37" s="591">
        <v>0</v>
      </c>
      <c r="AN37" s="591">
        <v>0</v>
      </c>
      <c r="AO37" s="591">
        <v>0</v>
      </c>
      <c r="AP37" s="591">
        <v>0</v>
      </c>
      <c r="AQ37" s="591">
        <v>0</v>
      </c>
      <c r="AR37" s="591">
        <v>0</v>
      </c>
      <c r="AS37" s="591">
        <v>0</v>
      </c>
      <c r="AT37" s="591">
        <v>0</v>
      </c>
      <c r="AU37" s="591">
        <v>0</v>
      </c>
      <c r="AV37" s="591">
        <v>0</v>
      </c>
      <c r="AW37" s="591">
        <v>1700980</v>
      </c>
      <c r="AX37" s="591">
        <v>1664959</v>
      </c>
      <c r="AY37" s="591">
        <v>0</v>
      </c>
      <c r="AZ37" s="591">
        <v>77859</v>
      </c>
      <c r="BA37" s="591">
        <v>0</v>
      </c>
      <c r="BB37" s="591">
        <v>0</v>
      </c>
      <c r="BC37" s="591">
        <v>0</v>
      </c>
      <c r="BD37" s="591">
        <v>0</v>
      </c>
      <c r="BE37" s="591">
        <v>22</v>
      </c>
      <c r="BF37" s="591">
        <v>1549572</v>
      </c>
      <c r="BG37" s="591">
        <v>0</v>
      </c>
      <c r="BH37" s="591">
        <v>0</v>
      </c>
      <c r="BI37" s="591">
        <v>0</v>
      </c>
      <c r="BJ37" s="591">
        <v>12</v>
      </c>
      <c r="BK37" s="591">
        <v>0</v>
      </c>
      <c r="BL37" s="591">
        <v>0</v>
      </c>
      <c r="BM37" s="591">
        <v>0</v>
      </c>
      <c r="BN37" s="591">
        <v>0</v>
      </c>
      <c r="BO37" s="591">
        <v>0</v>
      </c>
      <c r="BP37" s="591">
        <v>0</v>
      </c>
      <c r="BQ37" s="591">
        <v>740</v>
      </c>
      <c r="BR37" s="591">
        <v>0</v>
      </c>
      <c r="BS37" s="591">
        <v>0</v>
      </c>
      <c r="BT37" s="591">
        <v>0</v>
      </c>
      <c r="BU37" s="591">
        <v>0</v>
      </c>
      <c r="BV37" s="591">
        <v>0</v>
      </c>
      <c r="BW37" s="591">
        <v>0</v>
      </c>
      <c r="BX37" s="591">
        <v>0</v>
      </c>
      <c r="BY37" s="591">
        <v>0</v>
      </c>
      <c r="BZ37" s="591">
        <v>0</v>
      </c>
      <c r="CA37" s="591">
        <v>0</v>
      </c>
      <c r="CB37" s="591">
        <v>0</v>
      </c>
      <c r="CC37" s="591">
        <v>0</v>
      </c>
      <c r="CD37" s="591">
        <v>0</v>
      </c>
      <c r="CE37" s="591">
        <v>0</v>
      </c>
      <c r="CF37" s="591">
        <v>0</v>
      </c>
      <c r="CG37" s="591">
        <v>0</v>
      </c>
      <c r="CH37" s="591">
        <v>36356</v>
      </c>
      <c r="CI37" s="591">
        <v>0</v>
      </c>
      <c r="CJ37" s="591">
        <v>5</v>
      </c>
      <c r="CK37" s="591">
        <v>0</v>
      </c>
      <c r="CL37" s="591">
        <v>0</v>
      </c>
      <c r="CM37" s="591">
        <v>0</v>
      </c>
      <c r="CN37" s="591">
        <v>0</v>
      </c>
      <c r="CO37" s="591">
        <v>1</v>
      </c>
      <c r="CP37" s="591">
        <v>0</v>
      </c>
      <c r="CQ37" s="591">
        <v>0</v>
      </c>
      <c r="CR37" s="591">
        <v>200.62700000000001</v>
      </c>
      <c r="CS37" s="591">
        <v>0</v>
      </c>
      <c r="CT37" s="591">
        <v>0</v>
      </c>
      <c r="CU37" s="591">
        <v>0</v>
      </c>
      <c r="CV37" s="591">
        <v>0</v>
      </c>
      <c r="CW37" s="591">
        <v>0</v>
      </c>
      <c r="CX37" s="591">
        <v>0</v>
      </c>
      <c r="CY37" s="591">
        <v>0</v>
      </c>
      <c r="CZ37" s="591">
        <v>0</v>
      </c>
      <c r="DA37" s="591">
        <v>0</v>
      </c>
      <c r="DB37" s="591">
        <v>1211929</v>
      </c>
      <c r="DC37" s="591">
        <v>0</v>
      </c>
      <c r="DD37" s="591">
        <v>0</v>
      </c>
      <c r="DE37" s="591">
        <v>8469</v>
      </c>
      <c r="DF37" s="591">
        <v>8469</v>
      </c>
      <c r="DG37" s="591">
        <v>1.375</v>
      </c>
      <c r="DH37" s="591">
        <v>0</v>
      </c>
      <c r="DI37" s="591">
        <v>0</v>
      </c>
      <c r="DJ37" s="591">
        <v>0</v>
      </c>
      <c r="DK37" s="591">
        <v>3457</v>
      </c>
      <c r="DL37" s="591">
        <v>0</v>
      </c>
      <c r="DM37" s="591">
        <v>82043</v>
      </c>
      <c r="DN37" s="591">
        <v>313</v>
      </c>
      <c r="DO37" s="591">
        <v>0</v>
      </c>
      <c r="DP37" s="591">
        <v>0</v>
      </c>
      <c r="DQ37" s="591">
        <v>0</v>
      </c>
      <c r="DR37" s="591">
        <v>0</v>
      </c>
      <c r="DS37" s="591">
        <v>0</v>
      </c>
      <c r="DT37" s="591">
        <v>0</v>
      </c>
      <c r="DU37" s="591">
        <v>0</v>
      </c>
      <c r="DV37" s="591">
        <v>0</v>
      </c>
      <c r="DW37" s="591">
        <v>0</v>
      </c>
      <c r="DX37" s="591">
        <v>0</v>
      </c>
      <c r="DY37" s="591">
        <v>0</v>
      </c>
      <c r="DZ37" s="591">
        <v>0</v>
      </c>
      <c r="EA37" s="591">
        <v>0</v>
      </c>
      <c r="EB37" s="591">
        <v>0</v>
      </c>
      <c r="EC37" s="591">
        <v>0.89</v>
      </c>
      <c r="ED37" s="591">
        <v>6304</v>
      </c>
      <c r="EE37" s="591">
        <v>0</v>
      </c>
      <c r="EF37" s="591">
        <v>0</v>
      </c>
      <c r="EG37" s="591">
        <v>0</v>
      </c>
      <c r="EH37" s="591">
        <v>76052</v>
      </c>
      <c r="EI37" s="591">
        <v>0</v>
      </c>
      <c r="EJ37" s="591">
        <v>0</v>
      </c>
      <c r="EK37" s="591">
        <v>2.9850000000000003</v>
      </c>
      <c r="EL37" s="591">
        <v>0</v>
      </c>
      <c r="EM37" s="591">
        <v>0.48100000000000004</v>
      </c>
      <c r="EN37" s="591">
        <v>0.39</v>
      </c>
      <c r="EO37" s="591">
        <v>0</v>
      </c>
      <c r="EP37" s="591">
        <v>0</v>
      </c>
      <c r="EQ37" s="591">
        <v>3.8560000000000003</v>
      </c>
      <c r="ER37" s="591">
        <v>0</v>
      </c>
      <c r="ES37" s="591">
        <v>12.348000000000001</v>
      </c>
      <c r="ET37" s="591">
        <v>0</v>
      </c>
      <c r="EU37" s="591">
        <v>0</v>
      </c>
      <c r="EV37" s="591">
        <v>0</v>
      </c>
      <c r="EW37" s="591">
        <v>0</v>
      </c>
      <c r="EX37" s="591">
        <v>0</v>
      </c>
      <c r="EY37" s="591">
        <v>0</v>
      </c>
      <c r="EZ37" s="591">
        <v>1471713</v>
      </c>
      <c r="FA37" s="591">
        <v>0</v>
      </c>
      <c r="FB37" s="591">
        <v>1549237</v>
      </c>
      <c r="FC37" s="591">
        <v>0</v>
      </c>
      <c r="FD37" s="591">
        <v>0</v>
      </c>
      <c r="FE37" s="591">
        <v>160507</v>
      </c>
      <c r="FF37" s="591">
        <v>32739</v>
      </c>
      <c r="FG37" s="591">
        <v>6.4728999999999995E-2</v>
      </c>
      <c r="FH37" s="591">
        <v>2.6405999999999999E-2</v>
      </c>
      <c r="FI37" s="591">
        <v>0</v>
      </c>
      <c r="FJ37" s="591">
        <v>0</v>
      </c>
      <c r="FK37" s="591">
        <v>251.59100000000001</v>
      </c>
      <c r="FL37" s="591">
        <v>1778839</v>
      </c>
      <c r="FM37" s="591">
        <v>0</v>
      </c>
      <c r="FN37" s="591">
        <v>0</v>
      </c>
      <c r="FO37" s="591">
        <v>0</v>
      </c>
      <c r="FP37" s="591">
        <v>0</v>
      </c>
      <c r="FQ37" s="591">
        <v>0</v>
      </c>
      <c r="FR37" s="591">
        <v>0</v>
      </c>
      <c r="FS37" s="591">
        <v>0</v>
      </c>
      <c r="FT37" s="591">
        <v>0</v>
      </c>
      <c r="FU37" s="591">
        <v>0</v>
      </c>
      <c r="FV37" s="591">
        <v>0</v>
      </c>
      <c r="FW37" s="591">
        <v>0</v>
      </c>
      <c r="FX37" s="591">
        <v>0</v>
      </c>
      <c r="FY37" s="591">
        <v>0</v>
      </c>
      <c r="FZ37" s="591">
        <v>0</v>
      </c>
      <c r="GA37" s="591">
        <v>0</v>
      </c>
      <c r="GB37" s="591">
        <v>0</v>
      </c>
      <c r="GC37" s="591">
        <v>0</v>
      </c>
      <c r="GD37" s="591">
        <v>0</v>
      </c>
      <c r="GE37" s="591">
        <v>0</v>
      </c>
      <c r="GF37" s="591">
        <v>0</v>
      </c>
      <c r="GG37" s="591">
        <v>0</v>
      </c>
      <c r="GH37" s="591">
        <v>0</v>
      </c>
      <c r="GI37" s="591">
        <v>0</v>
      </c>
      <c r="GJ37" s="591">
        <v>0</v>
      </c>
      <c r="GK37" s="591">
        <v>0</v>
      </c>
      <c r="GL37" s="591">
        <v>0</v>
      </c>
      <c r="GM37" s="591">
        <v>0</v>
      </c>
      <c r="GN37" s="591">
        <v>0</v>
      </c>
      <c r="GO37" s="591">
        <v>0</v>
      </c>
      <c r="GP37" s="591">
        <v>0</v>
      </c>
      <c r="GQ37" s="591">
        <v>0</v>
      </c>
      <c r="GR37" s="591">
        <v>0</v>
      </c>
      <c r="GS37" s="591">
        <v>0</v>
      </c>
      <c r="GT37" s="591">
        <v>0</v>
      </c>
      <c r="GU37" s="591">
        <v>0</v>
      </c>
      <c r="GV37" s="591">
        <v>0</v>
      </c>
      <c r="GW37" s="591">
        <v>0</v>
      </c>
      <c r="GX37" s="591">
        <v>0</v>
      </c>
      <c r="GY37" s="591">
        <v>0</v>
      </c>
      <c r="GZ37" s="591">
        <v>0</v>
      </c>
      <c r="HA37" s="591">
        <v>0</v>
      </c>
      <c r="HB37" s="591">
        <v>260009272</v>
      </c>
      <c r="HC37" s="591">
        <v>5.1774999999999995E-2</v>
      </c>
      <c r="HD37" s="591">
        <v>36356</v>
      </c>
      <c r="HE37" s="591">
        <v>0</v>
      </c>
      <c r="HF37" s="591">
        <v>216251</v>
      </c>
      <c r="HG37" s="591">
        <v>924</v>
      </c>
      <c r="HH37" s="591">
        <v>14859</v>
      </c>
      <c r="HI37" s="591">
        <v>0</v>
      </c>
      <c r="HJ37" s="591">
        <v>1950</v>
      </c>
      <c r="HK37" s="591">
        <v>0</v>
      </c>
      <c r="HL37" s="591">
        <v>0</v>
      </c>
      <c r="HM37" s="591">
        <v>0</v>
      </c>
      <c r="HN37" s="591">
        <v>0</v>
      </c>
      <c r="HO37" s="591">
        <v>0</v>
      </c>
      <c r="HP37" s="591">
        <v>0</v>
      </c>
      <c r="HQ37" s="591">
        <v>0</v>
      </c>
      <c r="HR37" s="591">
        <v>0</v>
      </c>
      <c r="HS37" s="591">
        <v>1471378</v>
      </c>
      <c r="HT37" s="591">
        <v>0</v>
      </c>
      <c r="HU37" s="591">
        <v>0</v>
      </c>
      <c r="HV37" s="591">
        <v>0</v>
      </c>
      <c r="HW37" s="591">
        <v>0</v>
      </c>
      <c r="HX37" s="591">
        <v>4</v>
      </c>
      <c r="HY37" s="591">
        <v>2</v>
      </c>
      <c r="HZ37" s="591">
        <v>0</v>
      </c>
      <c r="IA37" s="591">
        <v>0</v>
      </c>
      <c r="IB37" s="591">
        <v>0</v>
      </c>
      <c r="IC37" s="591">
        <v>6</v>
      </c>
      <c r="ID37" s="591">
        <v>0</v>
      </c>
      <c r="IE37" s="591">
        <v>0</v>
      </c>
      <c r="IF37" s="591">
        <v>0</v>
      </c>
      <c r="IG37" s="591">
        <v>1.5</v>
      </c>
      <c r="IH37" s="591">
        <v>24.125</v>
      </c>
      <c r="II37" s="591">
        <v>0</v>
      </c>
      <c r="IJ37" s="591">
        <v>20.838000000000001</v>
      </c>
      <c r="IK37" s="591">
        <v>0</v>
      </c>
      <c r="IL37" s="591">
        <v>0</v>
      </c>
      <c r="IM37" s="591">
        <v>0</v>
      </c>
      <c r="IN37" s="591">
        <v>0</v>
      </c>
      <c r="IO37" s="591">
        <v>0</v>
      </c>
      <c r="IP37" s="591">
        <v>0</v>
      </c>
      <c r="IQ37" s="591">
        <v>20.838000000000001</v>
      </c>
      <c r="IR37" s="591">
        <v>12834</v>
      </c>
      <c r="IS37" s="591">
        <v>0</v>
      </c>
      <c r="IT37" s="591">
        <v>0</v>
      </c>
      <c r="IU37" s="591">
        <v>0</v>
      </c>
      <c r="IV37" s="591">
        <v>0</v>
      </c>
      <c r="IW37" s="591">
        <v>6159</v>
      </c>
      <c r="IX37" s="591">
        <v>0</v>
      </c>
      <c r="IY37" s="591">
        <v>0</v>
      </c>
      <c r="IZ37" s="591">
        <v>0</v>
      </c>
      <c r="JA37" s="591">
        <v>0</v>
      </c>
      <c r="JB37" s="591">
        <v>0</v>
      </c>
      <c r="JC37" s="591">
        <v>0</v>
      </c>
      <c r="JD37" s="591">
        <v>0</v>
      </c>
      <c r="JE37" s="591">
        <v>0</v>
      </c>
      <c r="JF37" s="591">
        <v>0</v>
      </c>
      <c r="JG37" s="591">
        <v>0</v>
      </c>
      <c r="JH37" s="591">
        <v>0</v>
      </c>
      <c r="JI37" s="591">
        <v>0</v>
      </c>
      <c r="JJ37" s="591">
        <v>0</v>
      </c>
      <c r="JK37" s="591">
        <v>0</v>
      </c>
      <c r="JL37" s="591">
        <v>0</v>
      </c>
      <c r="JM37" s="591">
        <v>0</v>
      </c>
      <c r="JN37" s="591">
        <v>32469</v>
      </c>
    </row>
    <row r="38" spans="1:274" x14ac:dyDescent="0.25">
      <c r="A38" s="591">
        <v>32570</v>
      </c>
      <c r="B38" s="591">
        <v>46802</v>
      </c>
      <c r="C38" s="591">
        <v>9</v>
      </c>
      <c r="D38" s="591">
        <v>2022</v>
      </c>
      <c r="E38" s="591">
        <v>6159</v>
      </c>
      <c r="F38" s="591">
        <v>0</v>
      </c>
      <c r="G38" s="591">
        <v>396.25</v>
      </c>
      <c r="H38" s="591">
        <v>243.251</v>
      </c>
      <c r="I38" s="591">
        <v>243.251</v>
      </c>
      <c r="J38" s="591">
        <v>396.25</v>
      </c>
      <c r="K38" s="591">
        <v>0</v>
      </c>
      <c r="L38" s="591">
        <v>6159</v>
      </c>
      <c r="M38" s="591">
        <v>0</v>
      </c>
      <c r="N38" s="591">
        <v>0</v>
      </c>
      <c r="O38" s="591">
        <v>0</v>
      </c>
      <c r="P38" s="591">
        <v>395.7</v>
      </c>
      <c r="Q38" s="591">
        <v>0</v>
      </c>
      <c r="R38" s="591">
        <v>159241</v>
      </c>
      <c r="S38" s="591">
        <v>402.428</v>
      </c>
      <c r="T38" s="591">
        <v>0</v>
      </c>
      <c r="U38" s="591">
        <v>0</v>
      </c>
      <c r="V38" s="591">
        <v>15.873000000000001</v>
      </c>
      <c r="W38" s="591">
        <v>9776</v>
      </c>
      <c r="X38" s="591">
        <v>9776</v>
      </c>
      <c r="Y38" s="591">
        <v>0</v>
      </c>
      <c r="Z38" s="591">
        <v>0</v>
      </c>
      <c r="AA38" s="591">
        <v>0</v>
      </c>
      <c r="AB38" s="591">
        <v>0</v>
      </c>
      <c r="AC38" s="591">
        <v>0</v>
      </c>
      <c r="AD38" s="591" t="s">
        <v>316</v>
      </c>
      <c r="AE38" s="591">
        <v>0</v>
      </c>
      <c r="AF38" s="591">
        <v>0</v>
      </c>
      <c r="AG38" s="591">
        <v>0</v>
      </c>
      <c r="AH38" s="591">
        <v>0</v>
      </c>
      <c r="AI38" s="591">
        <v>0</v>
      </c>
      <c r="AJ38" s="591">
        <v>6159</v>
      </c>
      <c r="AK38" s="591" t="s">
        <v>671</v>
      </c>
      <c r="AL38" s="591" t="s">
        <v>42</v>
      </c>
      <c r="AM38" s="591">
        <v>0</v>
      </c>
      <c r="AN38" s="591">
        <v>0</v>
      </c>
      <c r="AO38" s="591">
        <v>0</v>
      </c>
      <c r="AP38" s="591">
        <v>0</v>
      </c>
      <c r="AQ38" s="591">
        <v>0</v>
      </c>
      <c r="AR38" s="591">
        <v>0</v>
      </c>
      <c r="AS38" s="591">
        <v>0</v>
      </c>
      <c r="AT38" s="591">
        <v>0</v>
      </c>
      <c r="AU38" s="591">
        <v>0</v>
      </c>
      <c r="AV38" s="591">
        <v>0</v>
      </c>
      <c r="AW38" s="591">
        <v>6686734</v>
      </c>
      <c r="AX38" s="591">
        <v>6627407</v>
      </c>
      <c r="AY38" s="591">
        <v>0</v>
      </c>
      <c r="AZ38" s="591">
        <v>159241</v>
      </c>
      <c r="BA38" s="591">
        <v>0</v>
      </c>
      <c r="BB38" s="591">
        <v>0</v>
      </c>
      <c r="BC38" s="591">
        <v>0</v>
      </c>
      <c r="BD38" s="591">
        <v>0</v>
      </c>
      <c r="BE38" s="591">
        <v>87</v>
      </c>
      <c r="BF38" s="591">
        <v>5929107</v>
      </c>
      <c r="BG38" s="591">
        <v>0</v>
      </c>
      <c r="BH38" s="591">
        <v>0</v>
      </c>
      <c r="BI38" s="591">
        <v>0</v>
      </c>
      <c r="BJ38" s="591">
        <v>12</v>
      </c>
      <c r="BK38" s="591">
        <v>0</v>
      </c>
      <c r="BL38" s="591">
        <v>0</v>
      </c>
      <c r="BM38" s="591">
        <v>0</v>
      </c>
      <c r="BN38" s="591">
        <v>0</v>
      </c>
      <c r="BO38" s="591">
        <v>0</v>
      </c>
      <c r="BP38" s="591">
        <v>0</v>
      </c>
      <c r="BQ38" s="591">
        <v>732</v>
      </c>
      <c r="BR38" s="591">
        <v>0</v>
      </c>
      <c r="BS38" s="591">
        <v>0</v>
      </c>
      <c r="BT38" s="591">
        <v>0</v>
      </c>
      <c r="BU38" s="591">
        <v>0</v>
      </c>
      <c r="BV38" s="591">
        <v>0</v>
      </c>
      <c r="BW38" s="591">
        <v>0</v>
      </c>
      <c r="BX38" s="591">
        <v>0</v>
      </c>
      <c r="BY38" s="591">
        <v>0</v>
      </c>
      <c r="BZ38" s="591">
        <v>0</v>
      </c>
      <c r="CA38" s="591">
        <v>0</v>
      </c>
      <c r="CB38" s="591">
        <v>0</v>
      </c>
      <c r="CC38" s="591">
        <v>0</v>
      </c>
      <c r="CD38" s="591">
        <v>0</v>
      </c>
      <c r="CE38" s="591">
        <v>0</v>
      </c>
      <c r="CF38" s="591">
        <v>0</v>
      </c>
      <c r="CG38" s="591">
        <v>0</v>
      </c>
      <c r="CH38" s="591">
        <v>71805</v>
      </c>
      <c r="CI38" s="591">
        <v>0</v>
      </c>
      <c r="CJ38" s="591">
        <v>4</v>
      </c>
      <c r="CK38" s="591">
        <v>0</v>
      </c>
      <c r="CL38" s="591">
        <v>0</v>
      </c>
      <c r="CM38" s="591">
        <v>0</v>
      </c>
      <c r="CN38" s="591">
        <v>0</v>
      </c>
      <c r="CO38" s="591">
        <v>1</v>
      </c>
      <c r="CP38" s="591">
        <v>0</v>
      </c>
      <c r="CQ38" s="591">
        <v>0</v>
      </c>
      <c r="CR38" s="591">
        <v>396.25</v>
      </c>
      <c r="CS38" s="591">
        <v>0</v>
      </c>
      <c r="CT38" s="591">
        <v>0</v>
      </c>
      <c r="CU38" s="591">
        <v>0</v>
      </c>
      <c r="CV38" s="591">
        <v>0</v>
      </c>
      <c r="CW38" s="591">
        <v>0</v>
      </c>
      <c r="CX38" s="591">
        <v>0</v>
      </c>
      <c r="CY38" s="591">
        <v>0</v>
      </c>
      <c r="CZ38" s="591">
        <v>0</v>
      </c>
      <c r="DA38" s="591">
        <v>0</v>
      </c>
      <c r="DB38" s="591">
        <v>940808</v>
      </c>
      <c r="DC38" s="591">
        <v>0</v>
      </c>
      <c r="DD38" s="591">
        <v>0</v>
      </c>
      <c r="DE38" s="591">
        <v>689355</v>
      </c>
      <c r="DF38" s="591">
        <v>689355</v>
      </c>
      <c r="DG38" s="591">
        <v>111.92500000000001</v>
      </c>
      <c r="DH38" s="591">
        <v>0</v>
      </c>
      <c r="DI38" s="591">
        <v>0</v>
      </c>
      <c r="DJ38" s="591">
        <v>0</v>
      </c>
      <c r="DK38" s="591">
        <v>3342</v>
      </c>
      <c r="DL38" s="591">
        <v>0</v>
      </c>
      <c r="DM38" s="591">
        <v>3805117</v>
      </c>
      <c r="DN38" s="591">
        <v>12391</v>
      </c>
      <c r="DO38" s="591">
        <v>0</v>
      </c>
      <c r="DP38" s="591">
        <v>0</v>
      </c>
      <c r="DQ38" s="591">
        <v>0</v>
      </c>
      <c r="DR38" s="591">
        <v>0</v>
      </c>
      <c r="DS38" s="591">
        <v>0</v>
      </c>
      <c r="DT38" s="591">
        <v>0</v>
      </c>
      <c r="DU38" s="591">
        <v>0</v>
      </c>
      <c r="DV38" s="591">
        <v>0</v>
      </c>
      <c r="DW38" s="591">
        <v>0</v>
      </c>
      <c r="DX38" s="591">
        <v>0</v>
      </c>
      <c r="DY38" s="591">
        <v>0</v>
      </c>
      <c r="DZ38" s="591">
        <v>0</v>
      </c>
      <c r="EA38" s="591">
        <v>0</v>
      </c>
      <c r="EB38" s="591">
        <v>0</v>
      </c>
      <c r="EC38" s="591">
        <v>2.2330000000000001</v>
      </c>
      <c r="ED38" s="591">
        <v>15816</v>
      </c>
      <c r="EE38" s="591">
        <v>0</v>
      </c>
      <c r="EF38" s="591">
        <v>0</v>
      </c>
      <c r="EG38" s="591">
        <v>0</v>
      </c>
      <c r="EH38" s="591">
        <v>14055</v>
      </c>
      <c r="EI38" s="591">
        <v>3230242</v>
      </c>
      <c r="EJ38" s="591">
        <v>131.11700000000002</v>
      </c>
      <c r="EK38" s="591">
        <v>5.3999999999999999E-2</v>
      </c>
      <c r="EL38" s="591">
        <v>0</v>
      </c>
      <c r="EM38" s="591">
        <v>0</v>
      </c>
      <c r="EN38" s="591">
        <v>0.42400000000000004</v>
      </c>
      <c r="EO38" s="591">
        <v>0</v>
      </c>
      <c r="EP38" s="591">
        <v>0</v>
      </c>
      <c r="EQ38" s="591">
        <v>131.595</v>
      </c>
      <c r="ER38" s="591">
        <v>0</v>
      </c>
      <c r="ES38" s="591">
        <v>2.282</v>
      </c>
      <c r="ET38" s="591">
        <v>0</v>
      </c>
      <c r="EU38" s="591">
        <v>0</v>
      </c>
      <c r="EV38" s="591">
        <v>0</v>
      </c>
      <c r="EW38" s="591">
        <v>0</v>
      </c>
      <c r="EX38" s="591">
        <v>0</v>
      </c>
      <c r="EY38" s="591">
        <v>0</v>
      </c>
      <c r="EZ38" s="591">
        <v>5887989</v>
      </c>
      <c r="FA38" s="591">
        <v>0</v>
      </c>
      <c r="FB38" s="591">
        <v>6034752</v>
      </c>
      <c r="FC38" s="591">
        <v>0</v>
      </c>
      <c r="FD38" s="591">
        <v>0</v>
      </c>
      <c r="FE38" s="591">
        <v>614148</v>
      </c>
      <c r="FF38" s="591">
        <v>125270</v>
      </c>
      <c r="FG38" s="591">
        <v>6.4728999999999995E-2</v>
      </c>
      <c r="FH38" s="591">
        <v>2.6405999999999999E-2</v>
      </c>
      <c r="FI38" s="591">
        <v>0</v>
      </c>
      <c r="FJ38" s="591">
        <v>0</v>
      </c>
      <c r="FK38" s="591">
        <v>962.66100000000006</v>
      </c>
      <c r="FL38" s="591">
        <v>6845975</v>
      </c>
      <c r="FM38" s="591">
        <v>0</v>
      </c>
      <c r="FN38" s="591">
        <v>0</v>
      </c>
      <c r="FO38" s="591">
        <v>0</v>
      </c>
      <c r="FP38" s="591">
        <v>0</v>
      </c>
      <c r="FQ38" s="591">
        <v>0</v>
      </c>
      <c r="FR38" s="591">
        <v>0</v>
      </c>
      <c r="FS38" s="591">
        <v>0</v>
      </c>
      <c r="FT38" s="591">
        <v>0</v>
      </c>
      <c r="FU38" s="591">
        <v>0</v>
      </c>
      <c r="FV38" s="591">
        <v>0</v>
      </c>
      <c r="FW38" s="591">
        <v>0</v>
      </c>
      <c r="FX38" s="591">
        <v>0</v>
      </c>
      <c r="FY38" s="591">
        <v>0</v>
      </c>
      <c r="FZ38" s="591">
        <v>0</v>
      </c>
      <c r="GA38" s="591">
        <v>0</v>
      </c>
      <c r="GB38" s="591">
        <v>177969</v>
      </c>
      <c r="GC38" s="591">
        <v>177969</v>
      </c>
      <c r="GD38" s="591">
        <v>21.404</v>
      </c>
      <c r="GE38" s="591">
        <v>0</v>
      </c>
      <c r="GF38" s="591">
        <v>0</v>
      </c>
      <c r="GG38" s="591">
        <v>0</v>
      </c>
      <c r="GH38" s="591">
        <v>0</v>
      </c>
      <c r="GI38" s="591">
        <v>0</v>
      </c>
      <c r="GJ38" s="591">
        <v>0</v>
      </c>
      <c r="GK38" s="591">
        <v>0</v>
      </c>
      <c r="GL38" s="591">
        <v>0</v>
      </c>
      <c r="GM38" s="591">
        <v>0</v>
      </c>
      <c r="GN38" s="591">
        <v>0</v>
      </c>
      <c r="GO38" s="591">
        <v>0</v>
      </c>
      <c r="GP38" s="591">
        <v>0</v>
      </c>
      <c r="GQ38" s="591">
        <v>0</v>
      </c>
      <c r="GR38" s="591">
        <v>0</v>
      </c>
      <c r="GS38" s="591">
        <v>0</v>
      </c>
      <c r="GT38" s="591">
        <v>0</v>
      </c>
      <c r="GU38" s="591">
        <v>0</v>
      </c>
      <c r="GV38" s="591">
        <v>0</v>
      </c>
      <c r="GW38" s="591">
        <v>0</v>
      </c>
      <c r="GX38" s="591">
        <v>0</v>
      </c>
      <c r="GY38" s="591">
        <v>0</v>
      </c>
      <c r="GZ38" s="591">
        <v>0</v>
      </c>
      <c r="HA38" s="591">
        <v>0</v>
      </c>
      <c r="HB38" s="591">
        <v>260009272</v>
      </c>
      <c r="HC38" s="591">
        <v>5.1774999999999995E-2</v>
      </c>
      <c r="HD38" s="591">
        <v>71805</v>
      </c>
      <c r="HE38" s="591">
        <v>0</v>
      </c>
      <c r="HF38" s="591">
        <v>267333</v>
      </c>
      <c r="HG38" s="591">
        <v>8340</v>
      </c>
      <c r="HH38" s="591">
        <v>14166</v>
      </c>
      <c r="HI38" s="591">
        <v>0</v>
      </c>
      <c r="HJ38" s="591">
        <v>3852</v>
      </c>
      <c r="HK38" s="591">
        <v>3929</v>
      </c>
      <c r="HL38" s="591">
        <v>857</v>
      </c>
      <c r="HM38" s="591">
        <v>0</v>
      </c>
      <c r="HN38" s="591">
        <v>0</v>
      </c>
      <c r="HO38" s="591">
        <v>0</v>
      </c>
      <c r="HP38" s="591">
        <v>113337</v>
      </c>
      <c r="HQ38" s="591">
        <v>0</v>
      </c>
      <c r="HR38" s="591">
        <v>0</v>
      </c>
      <c r="HS38" s="591">
        <v>5875511</v>
      </c>
      <c r="HT38" s="591">
        <v>0</v>
      </c>
      <c r="HU38" s="591">
        <v>0</v>
      </c>
      <c r="HV38" s="591">
        <v>0</v>
      </c>
      <c r="HW38" s="591">
        <v>0</v>
      </c>
      <c r="HX38" s="591">
        <v>0</v>
      </c>
      <c r="HY38" s="591">
        <v>0</v>
      </c>
      <c r="HZ38" s="591">
        <v>0</v>
      </c>
      <c r="IA38" s="591">
        <v>0</v>
      </c>
      <c r="IB38" s="591">
        <v>407</v>
      </c>
      <c r="IC38" s="591">
        <v>400</v>
      </c>
      <c r="ID38" s="591">
        <v>0</v>
      </c>
      <c r="IE38" s="591">
        <v>0</v>
      </c>
      <c r="IF38" s="591">
        <v>0</v>
      </c>
      <c r="IG38" s="591">
        <v>13.541</v>
      </c>
      <c r="IH38" s="591">
        <v>23</v>
      </c>
      <c r="II38" s="591">
        <v>412.13500000000005</v>
      </c>
      <c r="IJ38" s="591">
        <v>15.873000000000001</v>
      </c>
      <c r="IK38" s="591">
        <v>0</v>
      </c>
      <c r="IL38" s="591">
        <v>0</v>
      </c>
      <c r="IM38" s="591">
        <v>0</v>
      </c>
      <c r="IN38" s="591">
        <v>0</v>
      </c>
      <c r="IO38" s="591">
        <v>0</v>
      </c>
      <c r="IP38" s="591">
        <v>412.13500000000005</v>
      </c>
      <c r="IQ38" s="591">
        <v>15.873000000000001</v>
      </c>
      <c r="IR38" s="591">
        <v>9776</v>
      </c>
      <c r="IS38" s="591">
        <v>0</v>
      </c>
      <c r="IT38" s="591">
        <v>0</v>
      </c>
      <c r="IU38" s="591">
        <v>0</v>
      </c>
      <c r="IV38" s="591">
        <v>0</v>
      </c>
      <c r="IW38" s="591">
        <v>6159</v>
      </c>
      <c r="IX38" s="591">
        <v>0</v>
      </c>
      <c r="IY38" s="591">
        <v>0</v>
      </c>
      <c r="IZ38" s="591">
        <v>113337</v>
      </c>
      <c r="JA38" s="591">
        <v>0</v>
      </c>
      <c r="JB38" s="591">
        <v>0</v>
      </c>
      <c r="JC38" s="591">
        <v>0</v>
      </c>
      <c r="JD38" s="591">
        <v>0</v>
      </c>
      <c r="JE38" s="591">
        <v>0</v>
      </c>
      <c r="JF38" s="591">
        <v>0</v>
      </c>
      <c r="JG38" s="591">
        <v>0</v>
      </c>
      <c r="JH38" s="591">
        <v>0</v>
      </c>
      <c r="JI38" s="591">
        <v>0</v>
      </c>
      <c r="JJ38" s="591">
        <v>0</v>
      </c>
      <c r="JK38" s="591">
        <v>0</v>
      </c>
      <c r="JL38" s="591">
        <v>0</v>
      </c>
      <c r="JM38" s="591">
        <v>0</v>
      </c>
      <c r="JN38" s="591">
        <v>32469</v>
      </c>
    </row>
    <row r="39" spans="1:274" x14ac:dyDescent="0.25">
      <c r="A39" s="591">
        <v>32570</v>
      </c>
      <c r="B39" s="591">
        <v>57802</v>
      </c>
      <c r="C39" s="591">
        <v>9</v>
      </c>
      <c r="D39" s="591">
        <v>2022</v>
      </c>
      <c r="E39" s="591">
        <v>6159</v>
      </c>
      <c r="F39" s="591">
        <v>0</v>
      </c>
      <c r="G39" s="591">
        <v>475.72300000000001</v>
      </c>
      <c r="H39" s="591">
        <v>460.05</v>
      </c>
      <c r="I39" s="591">
        <v>460.05</v>
      </c>
      <c r="J39" s="591">
        <v>475.72300000000001</v>
      </c>
      <c r="K39" s="591">
        <v>0</v>
      </c>
      <c r="L39" s="591">
        <v>6159</v>
      </c>
      <c r="M39" s="591">
        <v>0</v>
      </c>
      <c r="N39" s="591">
        <v>0</v>
      </c>
      <c r="O39" s="591">
        <v>0</v>
      </c>
      <c r="P39" s="591">
        <v>459.02700000000004</v>
      </c>
      <c r="Q39" s="591">
        <v>0</v>
      </c>
      <c r="R39" s="591">
        <v>184725</v>
      </c>
      <c r="S39" s="591">
        <v>402.428</v>
      </c>
      <c r="T39" s="591">
        <v>0</v>
      </c>
      <c r="U39" s="591">
        <v>0</v>
      </c>
      <c r="V39" s="591">
        <v>127.01</v>
      </c>
      <c r="W39" s="591">
        <v>78227</v>
      </c>
      <c r="X39" s="591">
        <v>78227</v>
      </c>
      <c r="Y39" s="591">
        <v>0</v>
      </c>
      <c r="Z39" s="591">
        <v>0</v>
      </c>
      <c r="AA39" s="591">
        <v>0</v>
      </c>
      <c r="AB39" s="591">
        <v>0</v>
      </c>
      <c r="AC39" s="591">
        <v>0</v>
      </c>
      <c r="AD39" s="591" t="s">
        <v>316</v>
      </c>
      <c r="AE39" s="591">
        <v>0</v>
      </c>
      <c r="AF39" s="591">
        <v>0</v>
      </c>
      <c r="AG39" s="591">
        <v>0</v>
      </c>
      <c r="AH39" s="591">
        <v>0</v>
      </c>
      <c r="AI39" s="591">
        <v>0</v>
      </c>
      <c r="AJ39" s="591">
        <v>6159</v>
      </c>
      <c r="AK39" s="591" t="s">
        <v>671</v>
      </c>
      <c r="AL39" s="591" t="s">
        <v>17</v>
      </c>
      <c r="AM39" s="591">
        <v>0</v>
      </c>
      <c r="AN39" s="591">
        <v>0</v>
      </c>
      <c r="AO39" s="591">
        <v>0</v>
      </c>
      <c r="AP39" s="591">
        <v>0</v>
      </c>
      <c r="AQ39" s="591">
        <v>0</v>
      </c>
      <c r="AR39" s="591">
        <v>0</v>
      </c>
      <c r="AS39" s="591">
        <v>0</v>
      </c>
      <c r="AT39" s="591">
        <v>0</v>
      </c>
      <c r="AU39" s="591">
        <v>0</v>
      </c>
      <c r="AV39" s="591">
        <v>0</v>
      </c>
      <c r="AW39" s="591">
        <v>5423902</v>
      </c>
      <c r="AX39" s="591">
        <v>5339324</v>
      </c>
      <c r="AY39" s="591">
        <v>0</v>
      </c>
      <c r="AZ39" s="591">
        <v>184725</v>
      </c>
      <c r="BA39" s="591">
        <v>0</v>
      </c>
      <c r="BB39" s="591">
        <v>0</v>
      </c>
      <c r="BC39" s="591">
        <v>0</v>
      </c>
      <c r="BD39" s="591">
        <v>0</v>
      </c>
      <c r="BE39" s="591">
        <v>71</v>
      </c>
      <c r="BF39" s="591">
        <v>4750231</v>
      </c>
      <c r="BG39" s="591">
        <v>0</v>
      </c>
      <c r="BH39" s="591">
        <v>0</v>
      </c>
      <c r="BI39" s="591">
        <v>0</v>
      </c>
      <c r="BJ39" s="591">
        <v>12</v>
      </c>
      <c r="BK39" s="591">
        <v>0</v>
      </c>
      <c r="BL39" s="591">
        <v>0</v>
      </c>
      <c r="BM39" s="591">
        <v>0</v>
      </c>
      <c r="BN39" s="591">
        <v>0</v>
      </c>
      <c r="BO39" s="591">
        <v>0</v>
      </c>
      <c r="BP39" s="591">
        <v>0</v>
      </c>
      <c r="BQ39" s="591">
        <v>699</v>
      </c>
      <c r="BR39" s="591">
        <v>0</v>
      </c>
      <c r="BS39" s="591">
        <v>0</v>
      </c>
      <c r="BT39" s="591">
        <v>0</v>
      </c>
      <c r="BU39" s="591">
        <v>0</v>
      </c>
      <c r="BV39" s="591">
        <v>0</v>
      </c>
      <c r="BW39" s="591">
        <v>0</v>
      </c>
      <c r="BX39" s="591">
        <v>0</v>
      </c>
      <c r="BY39" s="591">
        <v>0</v>
      </c>
      <c r="BZ39" s="591">
        <v>0</v>
      </c>
      <c r="CA39" s="591">
        <v>0</v>
      </c>
      <c r="CB39" s="591">
        <v>0</v>
      </c>
      <c r="CC39" s="591">
        <v>0</v>
      </c>
      <c r="CD39" s="591">
        <v>0</v>
      </c>
      <c r="CE39" s="591">
        <v>0</v>
      </c>
      <c r="CF39" s="591">
        <v>0</v>
      </c>
      <c r="CG39" s="591">
        <v>0</v>
      </c>
      <c r="CH39" s="591">
        <v>86206</v>
      </c>
      <c r="CI39" s="591">
        <v>0</v>
      </c>
      <c r="CJ39" s="591">
        <v>4</v>
      </c>
      <c r="CK39" s="591">
        <v>0</v>
      </c>
      <c r="CL39" s="591">
        <v>0</v>
      </c>
      <c r="CM39" s="591">
        <v>0</v>
      </c>
      <c r="CN39" s="591">
        <v>0</v>
      </c>
      <c r="CO39" s="591">
        <v>1</v>
      </c>
      <c r="CP39" s="591">
        <v>0</v>
      </c>
      <c r="CQ39" s="591">
        <v>0</v>
      </c>
      <c r="CR39" s="591">
        <v>475.72300000000001</v>
      </c>
      <c r="CS39" s="591">
        <v>0</v>
      </c>
      <c r="CT39" s="591">
        <v>0</v>
      </c>
      <c r="CU39" s="591">
        <v>0</v>
      </c>
      <c r="CV39" s="591">
        <v>0</v>
      </c>
      <c r="CW39" s="591">
        <v>0</v>
      </c>
      <c r="CX39" s="591">
        <v>0</v>
      </c>
      <c r="CY39" s="591">
        <v>0</v>
      </c>
      <c r="CZ39" s="591">
        <v>0</v>
      </c>
      <c r="DA39" s="591">
        <v>0</v>
      </c>
      <c r="DB39" s="591">
        <v>2778727</v>
      </c>
      <c r="DC39" s="591">
        <v>0</v>
      </c>
      <c r="DD39" s="591">
        <v>0</v>
      </c>
      <c r="DE39" s="591">
        <v>768961</v>
      </c>
      <c r="DF39" s="591">
        <v>768961</v>
      </c>
      <c r="DG39" s="591">
        <v>124.85000000000001</v>
      </c>
      <c r="DH39" s="591">
        <v>0</v>
      </c>
      <c r="DI39" s="591">
        <v>0</v>
      </c>
      <c r="DJ39" s="591">
        <v>0</v>
      </c>
      <c r="DK39" s="591">
        <v>2808</v>
      </c>
      <c r="DL39" s="591">
        <v>0</v>
      </c>
      <c r="DM39" s="591">
        <v>462885</v>
      </c>
      <c r="DN39" s="591">
        <v>1557</v>
      </c>
      <c r="DO39" s="591">
        <v>0</v>
      </c>
      <c r="DP39" s="591">
        <v>0</v>
      </c>
      <c r="DQ39" s="591">
        <v>0</v>
      </c>
      <c r="DR39" s="591">
        <v>0</v>
      </c>
      <c r="DS39" s="591">
        <v>0</v>
      </c>
      <c r="DT39" s="591">
        <v>0</v>
      </c>
      <c r="DU39" s="591">
        <v>0</v>
      </c>
      <c r="DV39" s="591">
        <v>0</v>
      </c>
      <c r="DW39" s="591">
        <v>0</v>
      </c>
      <c r="DX39" s="591">
        <v>0</v>
      </c>
      <c r="DY39" s="591">
        <v>0</v>
      </c>
      <c r="DZ39" s="591">
        <v>0</v>
      </c>
      <c r="EA39" s="591">
        <v>0</v>
      </c>
      <c r="EB39" s="591">
        <v>0</v>
      </c>
      <c r="EC39" s="591">
        <v>15.433000000000002</v>
      </c>
      <c r="ED39" s="591">
        <v>109311</v>
      </c>
      <c r="EE39" s="591">
        <v>0</v>
      </c>
      <c r="EF39" s="591">
        <v>0</v>
      </c>
      <c r="EG39" s="591">
        <v>0</v>
      </c>
      <c r="EH39" s="591">
        <v>300372</v>
      </c>
      <c r="EI39" s="591">
        <v>0</v>
      </c>
      <c r="EJ39" s="591">
        <v>0</v>
      </c>
      <c r="EK39" s="591">
        <v>14.798</v>
      </c>
      <c r="EL39" s="591">
        <v>0</v>
      </c>
      <c r="EM39" s="591">
        <v>0</v>
      </c>
      <c r="EN39" s="591">
        <v>0.875</v>
      </c>
      <c r="EO39" s="591">
        <v>0</v>
      </c>
      <c r="EP39" s="591">
        <v>0</v>
      </c>
      <c r="EQ39" s="591">
        <v>15.673</v>
      </c>
      <c r="ER39" s="591">
        <v>0</v>
      </c>
      <c r="ES39" s="591">
        <v>48.769000000000005</v>
      </c>
      <c r="ET39" s="591">
        <v>0</v>
      </c>
      <c r="EU39" s="591">
        <v>0</v>
      </c>
      <c r="EV39" s="591">
        <v>0</v>
      </c>
      <c r="EW39" s="591">
        <v>0</v>
      </c>
      <c r="EX39" s="591">
        <v>0</v>
      </c>
      <c r="EY39" s="591">
        <v>0</v>
      </c>
      <c r="EZ39" s="591">
        <v>4746924</v>
      </c>
      <c r="FA39" s="591">
        <v>0</v>
      </c>
      <c r="FB39" s="591">
        <v>4930021</v>
      </c>
      <c r="FC39" s="591">
        <v>0</v>
      </c>
      <c r="FD39" s="591">
        <v>0</v>
      </c>
      <c r="FE39" s="591">
        <v>492037</v>
      </c>
      <c r="FF39" s="591">
        <v>100363</v>
      </c>
      <c r="FG39" s="591">
        <v>6.4728999999999995E-2</v>
      </c>
      <c r="FH39" s="591">
        <v>2.6405999999999999E-2</v>
      </c>
      <c r="FI39" s="591">
        <v>0</v>
      </c>
      <c r="FJ39" s="591">
        <v>0</v>
      </c>
      <c r="FK39" s="591">
        <v>771.25600000000009</v>
      </c>
      <c r="FL39" s="591">
        <v>5608627</v>
      </c>
      <c r="FM39" s="591">
        <v>0</v>
      </c>
      <c r="FN39" s="591">
        <v>0</v>
      </c>
      <c r="FO39" s="591">
        <v>180000</v>
      </c>
      <c r="FP39" s="591">
        <v>0</v>
      </c>
      <c r="FQ39" s="591">
        <v>180000</v>
      </c>
      <c r="FR39" s="591">
        <v>180000</v>
      </c>
      <c r="FS39" s="591">
        <v>0</v>
      </c>
      <c r="FT39" s="591">
        <v>0</v>
      </c>
      <c r="FU39" s="591">
        <v>0</v>
      </c>
      <c r="FV39" s="591">
        <v>0</v>
      </c>
      <c r="FW39" s="591">
        <v>0</v>
      </c>
      <c r="FX39" s="591">
        <v>0</v>
      </c>
      <c r="FY39" s="591">
        <v>0</v>
      </c>
      <c r="FZ39" s="591">
        <v>0</v>
      </c>
      <c r="GA39" s="591">
        <v>0</v>
      </c>
      <c r="GB39" s="591">
        <v>0</v>
      </c>
      <c r="GC39" s="591">
        <v>0</v>
      </c>
      <c r="GD39" s="591">
        <v>0</v>
      </c>
      <c r="GE39" s="591">
        <v>0</v>
      </c>
      <c r="GF39" s="591">
        <v>0</v>
      </c>
      <c r="GG39" s="591">
        <v>0</v>
      </c>
      <c r="GH39" s="591">
        <v>0</v>
      </c>
      <c r="GI39" s="591">
        <v>0</v>
      </c>
      <c r="GJ39" s="591">
        <v>0</v>
      </c>
      <c r="GK39" s="591">
        <v>0</v>
      </c>
      <c r="GL39" s="591">
        <v>0</v>
      </c>
      <c r="GM39" s="591">
        <v>0</v>
      </c>
      <c r="GN39" s="591">
        <v>0</v>
      </c>
      <c r="GO39" s="591">
        <v>0</v>
      </c>
      <c r="GP39" s="591">
        <v>0</v>
      </c>
      <c r="GQ39" s="591">
        <v>0</v>
      </c>
      <c r="GR39" s="591">
        <v>0</v>
      </c>
      <c r="GS39" s="591">
        <v>0</v>
      </c>
      <c r="GT39" s="591">
        <v>0</v>
      </c>
      <c r="GU39" s="591">
        <v>0</v>
      </c>
      <c r="GV39" s="591">
        <v>0</v>
      </c>
      <c r="GW39" s="591">
        <v>0</v>
      </c>
      <c r="GX39" s="591">
        <v>0</v>
      </c>
      <c r="GY39" s="591">
        <v>0</v>
      </c>
      <c r="GZ39" s="591">
        <v>0</v>
      </c>
      <c r="HA39" s="591">
        <v>0</v>
      </c>
      <c r="HB39" s="591">
        <v>260009272</v>
      </c>
      <c r="HC39" s="591">
        <v>5.1774999999999995E-2</v>
      </c>
      <c r="HD39" s="591">
        <v>86206</v>
      </c>
      <c r="HE39" s="591">
        <v>0</v>
      </c>
      <c r="HF39" s="591">
        <v>505595</v>
      </c>
      <c r="HG39" s="591">
        <v>17321</v>
      </c>
      <c r="HH39" s="591">
        <v>121334</v>
      </c>
      <c r="HI39" s="591">
        <v>0</v>
      </c>
      <c r="HJ39" s="591">
        <v>4624</v>
      </c>
      <c r="HK39" s="591">
        <v>1418</v>
      </c>
      <c r="HL39" s="591">
        <v>0</v>
      </c>
      <c r="HM39" s="591">
        <v>11000</v>
      </c>
      <c r="HN39" s="591">
        <v>0</v>
      </c>
      <c r="HO39" s="591">
        <v>0</v>
      </c>
      <c r="HP39" s="591">
        <v>0</v>
      </c>
      <c r="HQ39" s="591">
        <v>0</v>
      </c>
      <c r="HR39" s="591">
        <v>0</v>
      </c>
      <c r="HS39" s="591">
        <v>4745296</v>
      </c>
      <c r="HT39" s="591">
        <v>0</v>
      </c>
      <c r="HU39" s="591">
        <v>0</v>
      </c>
      <c r="HV39" s="591">
        <v>0</v>
      </c>
      <c r="HW39" s="591">
        <v>0</v>
      </c>
      <c r="HX39" s="591">
        <v>40</v>
      </c>
      <c r="HY39" s="591">
        <v>39</v>
      </c>
      <c r="HZ39" s="591">
        <v>79</v>
      </c>
      <c r="IA39" s="591">
        <v>93</v>
      </c>
      <c r="IB39" s="591">
        <v>227</v>
      </c>
      <c r="IC39" s="591">
        <v>439</v>
      </c>
      <c r="ID39" s="591">
        <v>0</v>
      </c>
      <c r="IE39" s="591">
        <v>0</v>
      </c>
      <c r="IF39" s="591">
        <v>0</v>
      </c>
      <c r="IG39" s="591">
        <v>28.123000000000001</v>
      </c>
      <c r="IH39" s="591">
        <v>197</v>
      </c>
      <c r="II39" s="591">
        <v>0</v>
      </c>
      <c r="IJ39" s="591">
        <v>127.01</v>
      </c>
      <c r="IK39" s="591">
        <v>0</v>
      </c>
      <c r="IL39" s="591">
        <v>1</v>
      </c>
      <c r="IM39" s="591">
        <v>2</v>
      </c>
      <c r="IN39" s="591">
        <v>0</v>
      </c>
      <c r="IO39" s="591">
        <v>3</v>
      </c>
      <c r="IP39" s="591">
        <v>0</v>
      </c>
      <c r="IQ39" s="591">
        <v>127.01</v>
      </c>
      <c r="IR39" s="591">
        <v>78227</v>
      </c>
      <c r="IS39" s="591">
        <v>0</v>
      </c>
      <c r="IT39" s="591">
        <v>5000</v>
      </c>
      <c r="IU39" s="591">
        <v>6000</v>
      </c>
      <c r="IV39" s="591">
        <v>0</v>
      </c>
      <c r="IW39" s="591">
        <v>6159</v>
      </c>
      <c r="IX39" s="591">
        <v>0</v>
      </c>
      <c r="IY39" s="591">
        <v>0</v>
      </c>
      <c r="IZ39" s="591">
        <v>0</v>
      </c>
      <c r="JA39" s="591">
        <v>0</v>
      </c>
      <c r="JB39" s="591">
        <v>0</v>
      </c>
      <c r="JC39" s="591">
        <v>0</v>
      </c>
      <c r="JD39" s="591">
        <v>0</v>
      </c>
      <c r="JE39" s="591">
        <v>0</v>
      </c>
      <c r="JF39" s="591">
        <v>0</v>
      </c>
      <c r="JG39" s="591">
        <v>0</v>
      </c>
      <c r="JH39" s="591">
        <v>0</v>
      </c>
      <c r="JI39" s="591">
        <v>0</v>
      </c>
      <c r="JJ39" s="591">
        <v>0</v>
      </c>
      <c r="JK39" s="591">
        <v>0</v>
      </c>
      <c r="JL39" s="591">
        <v>0</v>
      </c>
      <c r="JM39" s="591">
        <v>0</v>
      </c>
      <c r="JN39" s="591">
        <v>32469</v>
      </c>
    </row>
    <row r="40" spans="1:274" x14ac:dyDescent="0.25">
      <c r="A40" s="591">
        <v>32570</v>
      </c>
      <c r="B40" s="591">
        <v>57803</v>
      </c>
      <c r="C40" s="591">
        <v>9</v>
      </c>
      <c r="D40" s="591">
        <v>2022</v>
      </c>
      <c r="E40" s="591">
        <v>6159</v>
      </c>
      <c r="F40" s="591">
        <v>0</v>
      </c>
      <c r="G40" s="591">
        <v>19561.232</v>
      </c>
      <c r="H40" s="591">
        <v>17936.811000000002</v>
      </c>
      <c r="I40" s="591">
        <v>17936.811000000002</v>
      </c>
      <c r="J40" s="591">
        <v>19561.232</v>
      </c>
      <c r="K40" s="591">
        <v>0</v>
      </c>
      <c r="L40" s="591">
        <v>6159</v>
      </c>
      <c r="M40" s="591">
        <v>0</v>
      </c>
      <c r="N40" s="591">
        <v>0</v>
      </c>
      <c r="O40" s="591">
        <v>0</v>
      </c>
      <c r="P40" s="591">
        <v>20108.472000000002</v>
      </c>
      <c r="Q40" s="591">
        <v>0</v>
      </c>
      <c r="R40" s="591">
        <v>8092212</v>
      </c>
      <c r="S40" s="591">
        <v>402.428</v>
      </c>
      <c r="T40" s="591">
        <v>0</v>
      </c>
      <c r="U40" s="591">
        <v>0</v>
      </c>
      <c r="V40" s="591">
        <v>5678.7380000000003</v>
      </c>
      <c r="W40" s="591">
        <v>3497582</v>
      </c>
      <c r="X40" s="591">
        <v>3497582</v>
      </c>
      <c r="Y40" s="591">
        <v>0</v>
      </c>
      <c r="Z40" s="591">
        <v>0</v>
      </c>
      <c r="AA40" s="591">
        <v>0</v>
      </c>
      <c r="AB40" s="591">
        <v>0</v>
      </c>
      <c r="AC40" s="591">
        <v>0</v>
      </c>
      <c r="AD40" s="591" t="s">
        <v>316</v>
      </c>
      <c r="AE40" s="591">
        <v>0</v>
      </c>
      <c r="AF40" s="591">
        <v>0</v>
      </c>
      <c r="AG40" s="591">
        <v>0</v>
      </c>
      <c r="AH40" s="591">
        <v>0</v>
      </c>
      <c r="AI40" s="591">
        <v>0</v>
      </c>
      <c r="AJ40" s="591">
        <v>6159</v>
      </c>
      <c r="AK40" s="591" t="s">
        <v>671</v>
      </c>
      <c r="AL40" s="591" t="s">
        <v>386</v>
      </c>
      <c r="AM40" s="591">
        <v>0</v>
      </c>
      <c r="AN40" s="591">
        <v>0</v>
      </c>
      <c r="AO40" s="591">
        <v>0</v>
      </c>
      <c r="AP40" s="591">
        <v>0</v>
      </c>
      <c r="AQ40" s="591">
        <v>0</v>
      </c>
      <c r="AR40" s="591">
        <v>0</v>
      </c>
      <c r="AS40" s="591">
        <v>0</v>
      </c>
      <c r="AT40" s="591">
        <v>0</v>
      </c>
      <c r="AU40" s="591">
        <v>0</v>
      </c>
      <c r="AV40" s="591">
        <v>0</v>
      </c>
      <c r="AW40" s="591">
        <v>208516846</v>
      </c>
      <c r="AX40" s="591">
        <v>205021231</v>
      </c>
      <c r="AY40" s="591">
        <v>0</v>
      </c>
      <c r="AZ40" s="591">
        <v>8092212</v>
      </c>
      <c r="BA40" s="591">
        <v>0</v>
      </c>
      <c r="BB40" s="591">
        <v>0</v>
      </c>
      <c r="BC40" s="591">
        <v>0</v>
      </c>
      <c r="BD40" s="591">
        <v>0</v>
      </c>
      <c r="BE40" s="591">
        <v>2726</v>
      </c>
      <c r="BF40" s="591">
        <v>189397900</v>
      </c>
      <c r="BG40" s="591">
        <v>0</v>
      </c>
      <c r="BH40" s="591">
        <v>0</v>
      </c>
      <c r="BI40" s="591">
        <v>0</v>
      </c>
      <c r="BJ40" s="591">
        <v>12</v>
      </c>
      <c r="BK40" s="591">
        <v>0</v>
      </c>
      <c r="BL40" s="591">
        <v>0</v>
      </c>
      <c r="BM40" s="591">
        <v>0</v>
      </c>
      <c r="BN40" s="591">
        <v>0</v>
      </c>
      <c r="BO40" s="591">
        <v>0</v>
      </c>
      <c r="BP40" s="591">
        <v>0</v>
      </c>
      <c r="BQ40" s="591">
        <v>0</v>
      </c>
      <c r="BR40" s="591">
        <v>0</v>
      </c>
      <c r="BS40" s="591">
        <v>0</v>
      </c>
      <c r="BT40" s="591">
        <v>0</v>
      </c>
      <c r="BU40" s="591">
        <v>0</v>
      </c>
      <c r="BV40" s="591">
        <v>0</v>
      </c>
      <c r="BW40" s="591">
        <v>0</v>
      </c>
      <c r="BX40" s="591">
        <v>0</v>
      </c>
      <c r="BY40" s="591">
        <v>0</v>
      </c>
      <c r="BZ40" s="591">
        <v>0</v>
      </c>
      <c r="CA40" s="591">
        <v>0</v>
      </c>
      <c r="CB40" s="591">
        <v>0</v>
      </c>
      <c r="CC40" s="591">
        <v>0</v>
      </c>
      <c r="CD40" s="591">
        <v>0</v>
      </c>
      <c r="CE40" s="591">
        <v>0</v>
      </c>
      <c r="CF40" s="591">
        <v>0</v>
      </c>
      <c r="CG40" s="591">
        <v>0</v>
      </c>
      <c r="CH40" s="591">
        <v>3544706</v>
      </c>
      <c r="CI40" s="591">
        <v>0</v>
      </c>
      <c r="CJ40" s="591">
        <v>4</v>
      </c>
      <c r="CK40" s="591">
        <v>0</v>
      </c>
      <c r="CL40" s="591">
        <v>0</v>
      </c>
      <c r="CM40" s="591">
        <v>0</v>
      </c>
      <c r="CN40" s="591">
        <v>0</v>
      </c>
      <c r="CO40" s="591">
        <v>1</v>
      </c>
      <c r="CP40" s="591">
        <v>0</v>
      </c>
      <c r="CQ40" s="591">
        <v>0</v>
      </c>
      <c r="CR40" s="591">
        <v>19561.232</v>
      </c>
      <c r="CS40" s="591">
        <v>0</v>
      </c>
      <c r="CT40" s="591">
        <v>0</v>
      </c>
      <c r="CU40" s="591">
        <v>0</v>
      </c>
      <c r="CV40" s="591">
        <v>0</v>
      </c>
      <c r="CW40" s="591">
        <v>0</v>
      </c>
      <c r="CX40" s="591">
        <v>0</v>
      </c>
      <c r="CY40" s="591">
        <v>0</v>
      </c>
      <c r="CZ40" s="591">
        <v>0</v>
      </c>
      <c r="DA40" s="591">
        <v>0</v>
      </c>
      <c r="DB40" s="591">
        <v>110175208</v>
      </c>
      <c r="DC40" s="591">
        <v>0</v>
      </c>
      <c r="DD40" s="591">
        <v>0</v>
      </c>
      <c r="DE40" s="591">
        <v>27495838</v>
      </c>
      <c r="DF40" s="591">
        <v>27495838</v>
      </c>
      <c r="DG40" s="591">
        <v>4464.2750000000005</v>
      </c>
      <c r="DH40" s="591">
        <v>0</v>
      </c>
      <c r="DI40" s="591">
        <v>0</v>
      </c>
      <c r="DJ40" s="591">
        <v>0</v>
      </c>
      <c r="DK40" s="591">
        <v>0</v>
      </c>
      <c r="DL40" s="591">
        <v>0</v>
      </c>
      <c r="DM40" s="591">
        <v>12451431</v>
      </c>
      <c r="DN40" s="591">
        <v>46365</v>
      </c>
      <c r="DO40" s="591">
        <v>0</v>
      </c>
      <c r="DP40" s="591">
        <v>0</v>
      </c>
      <c r="DQ40" s="591">
        <v>0</v>
      </c>
      <c r="DR40" s="591">
        <v>0</v>
      </c>
      <c r="DS40" s="591">
        <v>0</v>
      </c>
      <c r="DT40" s="591">
        <v>0</v>
      </c>
      <c r="DU40" s="591">
        <v>0</v>
      </c>
      <c r="DV40" s="591">
        <v>0</v>
      </c>
      <c r="DW40" s="591">
        <v>0</v>
      </c>
      <c r="DX40" s="591">
        <v>0</v>
      </c>
      <c r="DY40" s="591">
        <v>0</v>
      </c>
      <c r="DZ40" s="591">
        <v>0</v>
      </c>
      <c r="EA40" s="591">
        <v>0.80200000000000005</v>
      </c>
      <c r="EB40" s="591">
        <v>0</v>
      </c>
      <c r="EC40" s="591">
        <v>250.518</v>
      </c>
      <c r="ED40" s="591">
        <v>1774405</v>
      </c>
      <c r="EE40" s="591">
        <v>0</v>
      </c>
      <c r="EF40" s="591">
        <v>0</v>
      </c>
      <c r="EG40" s="591">
        <v>0</v>
      </c>
      <c r="EH40" s="591">
        <v>10424302</v>
      </c>
      <c r="EI40" s="591">
        <v>0</v>
      </c>
      <c r="EJ40" s="591">
        <v>0</v>
      </c>
      <c r="EK40" s="591">
        <v>407.07500000000005</v>
      </c>
      <c r="EL40" s="591">
        <v>0.10500000000000001</v>
      </c>
      <c r="EM40" s="591">
        <v>101.953</v>
      </c>
      <c r="EN40" s="591">
        <v>32.283000000000001</v>
      </c>
      <c r="EO40" s="591">
        <v>0</v>
      </c>
      <c r="EP40" s="591">
        <v>0</v>
      </c>
      <c r="EQ40" s="591">
        <v>542.11300000000006</v>
      </c>
      <c r="ER40" s="591">
        <v>0</v>
      </c>
      <c r="ES40" s="591">
        <v>1692.509</v>
      </c>
      <c r="ET40" s="591">
        <v>0</v>
      </c>
      <c r="EU40" s="591">
        <v>0</v>
      </c>
      <c r="EV40" s="591">
        <v>0</v>
      </c>
      <c r="EW40" s="591">
        <v>0</v>
      </c>
      <c r="EX40" s="591">
        <v>0</v>
      </c>
      <c r="EY40" s="591">
        <v>0</v>
      </c>
      <c r="EZ40" s="591">
        <v>181401461</v>
      </c>
      <c r="FA40" s="591">
        <v>0</v>
      </c>
      <c r="FB40" s="591">
        <v>189444582</v>
      </c>
      <c r="FC40" s="591">
        <v>0</v>
      </c>
      <c r="FD40" s="591">
        <v>0</v>
      </c>
      <c r="FE40" s="591">
        <v>19618181</v>
      </c>
      <c r="FF40" s="591">
        <v>4001589</v>
      </c>
      <c r="FG40" s="591">
        <v>6.4728999999999995E-2</v>
      </c>
      <c r="FH40" s="591">
        <v>2.6405999999999999E-2</v>
      </c>
      <c r="FI40" s="591">
        <v>0</v>
      </c>
      <c r="FJ40" s="591">
        <v>0</v>
      </c>
      <c r="FK40" s="591">
        <v>30750.992999999999</v>
      </c>
      <c r="FL40" s="591">
        <v>216609058</v>
      </c>
      <c r="FM40" s="591">
        <v>0</v>
      </c>
      <c r="FN40" s="591">
        <v>0</v>
      </c>
      <c r="FO40" s="591">
        <v>0</v>
      </c>
      <c r="FP40" s="591">
        <v>0</v>
      </c>
      <c r="FQ40" s="591">
        <v>0</v>
      </c>
      <c r="FR40" s="591">
        <v>0</v>
      </c>
      <c r="FS40" s="591">
        <v>0</v>
      </c>
      <c r="FT40" s="591">
        <v>0</v>
      </c>
      <c r="FU40" s="591">
        <v>1</v>
      </c>
      <c r="FV40" s="591">
        <v>0</v>
      </c>
      <c r="FW40" s="591">
        <v>0</v>
      </c>
      <c r="FX40" s="591">
        <v>0</v>
      </c>
      <c r="FY40" s="591">
        <v>0</v>
      </c>
      <c r="FZ40" s="591">
        <v>0</v>
      </c>
      <c r="GA40" s="591">
        <v>0</v>
      </c>
      <c r="GB40" s="591">
        <v>8999133</v>
      </c>
      <c r="GC40" s="591">
        <v>8999133</v>
      </c>
      <c r="GD40" s="591">
        <v>1082.308</v>
      </c>
      <c r="GE40" s="591">
        <v>0</v>
      </c>
      <c r="GF40" s="591">
        <v>0</v>
      </c>
      <c r="GG40" s="591">
        <v>0</v>
      </c>
      <c r="GH40" s="591">
        <v>0</v>
      </c>
      <c r="GI40" s="591">
        <v>0</v>
      </c>
      <c r="GJ40" s="591">
        <v>0</v>
      </c>
      <c r="GK40" s="591">
        <v>0</v>
      </c>
      <c r="GL40" s="591">
        <v>0</v>
      </c>
      <c r="GM40" s="591">
        <v>0</v>
      </c>
      <c r="GN40" s="591">
        <v>0</v>
      </c>
      <c r="GO40" s="591">
        <v>0</v>
      </c>
      <c r="GP40" s="591">
        <v>0</v>
      </c>
      <c r="GQ40" s="591">
        <v>0</v>
      </c>
      <c r="GR40" s="591">
        <v>0</v>
      </c>
      <c r="GS40" s="591">
        <v>0</v>
      </c>
      <c r="GT40" s="591">
        <v>0</v>
      </c>
      <c r="GU40" s="591">
        <v>0</v>
      </c>
      <c r="GV40" s="591">
        <v>0</v>
      </c>
      <c r="GW40" s="591">
        <v>0</v>
      </c>
      <c r="GX40" s="591">
        <v>0</v>
      </c>
      <c r="GY40" s="591">
        <v>0</v>
      </c>
      <c r="GZ40" s="591">
        <v>0</v>
      </c>
      <c r="HA40" s="591">
        <v>0</v>
      </c>
      <c r="HB40" s="591">
        <v>260009272</v>
      </c>
      <c r="HC40" s="591">
        <v>5.1774999999999995E-2</v>
      </c>
      <c r="HD40" s="591">
        <v>3544706</v>
      </c>
      <c r="HE40" s="591">
        <v>0</v>
      </c>
      <c r="HF40" s="591">
        <v>19712555</v>
      </c>
      <c r="HG40" s="591">
        <v>138579</v>
      </c>
      <c r="HH40" s="591">
        <v>4597297</v>
      </c>
      <c r="HI40" s="591">
        <v>0</v>
      </c>
      <c r="HJ40" s="591">
        <v>190135</v>
      </c>
      <c r="HK40" s="591">
        <v>48851</v>
      </c>
      <c r="HL40" s="591">
        <v>46922</v>
      </c>
      <c r="HM40" s="591">
        <v>654000</v>
      </c>
      <c r="HN40" s="591">
        <v>1340777</v>
      </c>
      <c r="HO40" s="591">
        <v>99000</v>
      </c>
      <c r="HP40" s="591">
        <v>0</v>
      </c>
      <c r="HQ40" s="591">
        <v>0</v>
      </c>
      <c r="HR40" s="591">
        <v>0</v>
      </c>
      <c r="HS40" s="591">
        <v>181352370</v>
      </c>
      <c r="HT40" s="591">
        <v>0</v>
      </c>
      <c r="HU40" s="591">
        <v>0</v>
      </c>
      <c r="HV40" s="591">
        <v>0</v>
      </c>
      <c r="HW40" s="591">
        <v>0</v>
      </c>
      <c r="HX40" s="591">
        <v>1728</v>
      </c>
      <c r="HY40" s="591">
        <v>2051</v>
      </c>
      <c r="HZ40" s="591">
        <v>2938</v>
      </c>
      <c r="IA40" s="591">
        <v>4473</v>
      </c>
      <c r="IB40" s="591">
        <v>6108</v>
      </c>
      <c r="IC40" s="591">
        <v>17298</v>
      </c>
      <c r="ID40" s="591">
        <v>0</v>
      </c>
      <c r="IE40" s="591">
        <v>0</v>
      </c>
      <c r="IF40" s="591">
        <v>0</v>
      </c>
      <c r="IG40" s="591">
        <v>225</v>
      </c>
      <c r="IH40" s="591">
        <v>7464.2560000000003</v>
      </c>
      <c r="II40" s="591">
        <v>0</v>
      </c>
      <c r="IJ40" s="591">
        <v>5678.7380000000003</v>
      </c>
      <c r="IK40" s="591">
        <v>0</v>
      </c>
      <c r="IL40" s="591">
        <v>92</v>
      </c>
      <c r="IM40" s="591">
        <v>62</v>
      </c>
      <c r="IN40" s="591">
        <v>4</v>
      </c>
      <c r="IO40" s="591">
        <v>158</v>
      </c>
      <c r="IP40" s="591">
        <v>0</v>
      </c>
      <c r="IQ40" s="591">
        <v>5678.7380000000003</v>
      </c>
      <c r="IR40" s="591">
        <v>3497582</v>
      </c>
      <c r="IS40" s="591">
        <v>0</v>
      </c>
      <c r="IT40" s="591">
        <v>460000</v>
      </c>
      <c r="IU40" s="591">
        <v>186000</v>
      </c>
      <c r="IV40" s="591">
        <v>8000</v>
      </c>
      <c r="IW40" s="591">
        <v>6159</v>
      </c>
      <c r="IX40" s="591">
        <v>0</v>
      </c>
      <c r="IY40" s="591">
        <v>0</v>
      </c>
      <c r="IZ40" s="591">
        <v>0</v>
      </c>
      <c r="JA40" s="591">
        <v>0</v>
      </c>
      <c r="JB40" s="591">
        <v>16</v>
      </c>
      <c r="JC40" s="591">
        <v>309865</v>
      </c>
      <c r="JD40" s="591">
        <v>52</v>
      </c>
      <c r="JE40" s="591">
        <v>598131</v>
      </c>
      <c r="JF40" s="591">
        <v>60</v>
      </c>
      <c r="JG40" s="591">
        <v>364281</v>
      </c>
      <c r="JH40" s="591">
        <v>68500</v>
      </c>
      <c r="JI40" s="591">
        <v>0</v>
      </c>
      <c r="JJ40" s="591">
        <v>0</v>
      </c>
      <c r="JK40" s="591">
        <v>0</v>
      </c>
      <c r="JL40" s="591">
        <v>0</v>
      </c>
      <c r="JM40" s="591">
        <v>0</v>
      </c>
      <c r="JN40" s="591">
        <v>32469</v>
      </c>
    </row>
    <row r="41" spans="1:274" x14ac:dyDescent="0.25">
      <c r="A41" s="591">
        <v>32570</v>
      </c>
      <c r="B41" s="591">
        <v>57804</v>
      </c>
      <c r="C41" s="591">
        <v>9</v>
      </c>
      <c r="D41" s="591">
        <v>2022</v>
      </c>
      <c r="E41" s="591">
        <v>6159</v>
      </c>
      <c r="F41" s="591">
        <v>0</v>
      </c>
      <c r="G41" s="591">
        <v>3018.4630000000002</v>
      </c>
      <c r="H41" s="591">
        <v>2797.9259999999999</v>
      </c>
      <c r="I41" s="591">
        <v>2797.9259999999999</v>
      </c>
      <c r="J41" s="591">
        <v>3018.4630000000002</v>
      </c>
      <c r="K41" s="591">
        <v>0</v>
      </c>
      <c r="L41" s="591">
        <v>6159</v>
      </c>
      <c r="M41" s="591">
        <v>0</v>
      </c>
      <c r="N41" s="591">
        <v>0</v>
      </c>
      <c r="O41" s="591">
        <v>0</v>
      </c>
      <c r="P41" s="591">
        <v>3971.5440000000003</v>
      </c>
      <c r="Q41" s="591">
        <v>0</v>
      </c>
      <c r="R41" s="591">
        <v>1598261</v>
      </c>
      <c r="S41" s="591">
        <v>402.428</v>
      </c>
      <c r="T41" s="591">
        <v>0</v>
      </c>
      <c r="U41" s="591">
        <v>0</v>
      </c>
      <c r="V41" s="591">
        <v>770.09300000000007</v>
      </c>
      <c r="W41" s="591">
        <v>474307</v>
      </c>
      <c r="X41" s="591">
        <v>474307</v>
      </c>
      <c r="Y41" s="591">
        <v>0</v>
      </c>
      <c r="Z41" s="591">
        <v>0</v>
      </c>
      <c r="AA41" s="591">
        <v>0</v>
      </c>
      <c r="AB41" s="591">
        <v>0</v>
      </c>
      <c r="AC41" s="591">
        <v>0</v>
      </c>
      <c r="AD41" s="591" t="s">
        <v>316</v>
      </c>
      <c r="AE41" s="591">
        <v>0</v>
      </c>
      <c r="AF41" s="591">
        <v>0</v>
      </c>
      <c r="AG41" s="591">
        <v>0</v>
      </c>
      <c r="AH41" s="591">
        <v>0</v>
      </c>
      <c r="AI41" s="591">
        <v>0</v>
      </c>
      <c r="AJ41" s="591">
        <v>6159</v>
      </c>
      <c r="AK41" s="591" t="s">
        <v>671</v>
      </c>
      <c r="AL41" s="591" t="s">
        <v>324</v>
      </c>
      <c r="AM41" s="591">
        <v>0</v>
      </c>
      <c r="AN41" s="591">
        <v>0</v>
      </c>
      <c r="AO41" s="591">
        <v>0</v>
      </c>
      <c r="AP41" s="591">
        <v>0</v>
      </c>
      <c r="AQ41" s="591">
        <v>0</v>
      </c>
      <c r="AR41" s="591">
        <v>0</v>
      </c>
      <c r="AS41" s="591">
        <v>0</v>
      </c>
      <c r="AT41" s="591">
        <v>0</v>
      </c>
      <c r="AU41" s="591">
        <v>0</v>
      </c>
      <c r="AV41" s="591">
        <v>0</v>
      </c>
      <c r="AW41" s="591">
        <v>36863077</v>
      </c>
      <c r="AX41" s="591">
        <v>36325367</v>
      </c>
      <c r="AY41" s="591">
        <v>0</v>
      </c>
      <c r="AZ41" s="591">
        <v>1598261</v>
      </c>
      <c r="BA41" s="591">
        <v>0</v>
      </c>
      <c r="BB41" s="591">
        <v>0</v>
      </c>
      <c r="BC41" s="591">
        <v>0</v>
      </c>
      <c r="BD41" s="591">
        <v>0</v>
      </c>
      <c r="BE41" s="591">
        <v>489</v>
      </c>
      <c r="BF41" s="591">
        <v>31642801</v>
      </c>
      <c r="BG41" s="591">
        <v>0</v>
      </c>
      <c r="BH41" s="591">
        <v>0</v>
      </c>
      <c r="BI41" s="591">
        <v>0</v>
      </c>
      <c r="BJ41" s="591">
        <v>12</v>
      </c>
      <c r="BK41" s="591">
        <v>0</v>
      </c>
      <c r="BL41" s="591">
        <v>0</v>
      </c>
      <c r="BM41" s="591">
        <v>0</v>
      </c>
      <c r="BN41" s="591">
        <v>0</v>
      </c>
      <c r="BO41" s="591">
        <v>0</v>
      </c>
      <c r="BP41" s="591">
        <v>0</v>
      </c>
      <c r="BQ41" s="591">
        <v>339</v>
      </c>
      <c r="BR41" s="591">
        <v>0</v>
      </c>
      <c r="BS41" s="591">
        <v>0</v>
      </c>
      <c r="BT41" s="591">
        <v>0</v>
      </c>
      <c r="BU41" s="591">
        <v>0</v>
      </c>
      <c r="BV41" s="591">
        <v>0</v>
      </c>
      <c r="BW41" s="591">
        <v>0</v>
      </c>
      <c r="BX41" s="591">
        <v>0</v>
      </c>
      <c r="BY41" s="591">
        <v>0</v>
      </c>
      <c r="BZ41" s="591">
        <v>0</v>
      </c>
      <c r="CA41" s="591">
        <v>0</v>
      </c>
      <c r="CB41" s="591">
        <v>0</v>
      </c>
      <c r="CC41" s="591">
        <v>0</v>
      </c>
      <c r="CD41" s="591">
        <v>0</v>
      </c>
      <c r="CE41" s="591">
        <v>0</v>
      </c>
      <c r="CF41" s="591">
        <v>0</v>
      </c>
      <c r="CG41" s="591">
        <v>0</v>
      </c>
      <c r="CH41" s="591">
        <v>546978</v>
      </c>
      <c r="CI41" s="591">
        <v>0</v>
      </c>
      <c r="CJ41" s="591">
        <v>4</v>
      </c>
      <c r="CK41" s="591">
        <v>0</v>
      </c>
      <c r="CL41" s="591">
        <v>0</v>
      </c>
      <c r="CM41" s="591">
        <v>0</v>
      </c>
      <c r="CN41" s="591">
        <v>0</v>
      </c>
      <c r="CO41" s="591">
        <v>1</v>
      </c>
      <c r="CP41" s="591">
        <v>0</v>
      </c>
      <c r="CQ41" s="591">
        <v>0</v>
      </c>
      <c r="CR41" s="591">
        <v>3018.4630000000002</v>
      </c>
      <c r="CS41" s="591">
        <v>0</v>
      </c>
      <c r="CT41" s="591">
        <v>0</v>
      </c>
      <c r="CU41" s="591">
        <v>0</v>
      </c>
      <c r="CV41" s="591">
        <v>0</v>
      </c>
      <c r="CW41" s="591">
        <v>0</v>
      </c>
      <c r="CX41" s="591">
        <v>0</v>
      </c>
      <c r="CY41" s="591">
        <v>0</v>
      </c>
      <c r="CZ41" s="591">
        <v>0</v>
      </c>
      <c r="DA41" s="591">
        <v>0</v>
      </c>
      <c r="DB41" s="591">
        <v>16790804</v>
      </c>
      <c r="DC41" s="591">
        <v>0</v>
      </c>
      <c r="DD41" s="591">
        <v>0</v>
      </c>
      <c r="DE41" s="591">
        <v>7450334</v>
      </c>
      <c r="DF41" s="591">
        <v>7450334</v>
      </c>
      <c r="DG41" s="591">
        <v>1209.6500000000001</v>
      </c>
      <c r="DH41" s="591">
        <v>0</v>
      </c>
      <c r="DI41" s="591">
        <v>0</v>
      </c>
      <c r="DJ41" s="591">
        <v>0</v>
      </c>
      <c r="DK41" s="591">
        <v>0</v>
      </c>
      <c r="DL41" s="591">
        <v>0</v>
      </c>
      <c r="DM41" s="591">
        <v>2742860</v>
      </c>
      <c r="DN41" s="591">
        <v>8779</v>
      </c>
      <c r="DO41" s="591">
        <v>0</v>
      </c>
      <c r="DP41" s="591">
        <v>0</v>
      </c>
      <c r="DQ41" s="591">
        <v>0</v>
      </c>
      <c r="DR41" s="591">
        <v>0</v>
      </c>
      <c r="DS41" s="591">
        <v>0</v>
      </c>
      <c r="DT41" s="591">
        <v>0</v>
      </c>
      <c r="DU41" s="591">
        <v>0</v>
      </c>
      <c r="DV41" s="591">
        <v>0</v>
      </c>
      <c r="DW41" s="591">
        <v>0</v>
      </c>
      <c r="DX41" s="591">
        <v>0</v>
      </c>
      <c r="DY41" s="591">
        <v>0</v>
      </c>
      <c r="DZ41" s="591">
        <v>0</v>
      </c>
      <c r="EA41" s="591">
        <v>0.112</v>
      </c>
      <c r="EB41" s="591">
        <v>0</v>
      </c>
      <c r="EC41" s="591">
        <v>85.988</v>
      </c>
      <c r="ED41" s="591">
        <v>609048</v>
      </c>
      <c r="EE41" s="591">
        <v>0</v>
      </c>
      <c r="EF41" s="591">
        <v>0</v>
      </c>
      <c r="EG41" s="591">
        <v>0</v>
      </c>
      <c r="EH41" s="591">
        <v>1700738</v>
      </c>
      <c r="EI41" s="591">
        <v>0</v>
      </c>
      <c r="EJ41" s="591">
        <v>0</v>
      </c>
      <c r="EK41" s="591">
        <v>91.12</v>
      </c>
      <c r="EL41" s="591">
        <v>0</v>
      </c>
      <c r="EM41" s="591">
        <v>0</v>
      </c>
      <c r="EN41" s="591">
        <v>0.443</v>
      </c>
      <c r="EO41" s="591">
        <v>0</v>
      </c>
      <c r="EP41" s="591">
        <v>0</v>
      </c>
      <c r="EQ41" s="591">
        <v>91.675000000000011</v>
      </c>
      <c r="ER41" s="591">
        <v>0</v>
      </c>
      <c r="ES41" s="591">
        <v>276.13499999999999</v>
      </c>
      <c r="ET41" s="591">
        <v>0</v>
      </c>
      <c r="EU41" s="591">
        <v>0</v>
      </c>
      <c r="EV41" s="591">
        <v>0</v>
      </c>
      <c r="EW41" s="591">
        <v>0</v>
      </c>
      <c r="EX41" s="591">
        <v>0</v>
      </c>
      <c r="EY41" s="591">
        <v>0</v>
      </c>
      <c r="EZ41" s="591">
        <v>32379201</v>
      </c>
      <c r="FA41" s="591">
        <v>0</v>
      </c>
      <c r="FB41" s="591">
        <v>33968194</v>
      </c>
      <c r="FC41" s="591">
        <v>0</v>
      </c>
      <c r="FD41" s="591">
        <v>0</v>
      </c>
      <c r="FE41" s="591">
        <v>3277619</v>
      </c>
      <c r="FF41" s="591">
        <v>668547</v>
      </c>
      <c r="FG41" s="591">
        <v>6.4728999999999995E-2</v>
      </c>
      <c r="FH41" s="591">
        <v>2.6405999999999999E-2</v>
      </c>
      <c r="FI41" s="591">
        <v>0</v>
      </c>
      <c r="FJ41" s="591">
        <v>0</v>
      </c>
      <c r="FK41" s="591">
        <v>5137.5839999999998</v>
      </c>
      <c r="FL41" s="591">
        <v>38461338</v>
      </c>
      <c r="FM41" s="591">
        <v>0</v>
      </c>
      <c r="FN41" s="591">
        <v>0</v>
      </c>
      <c r="FO41" s="591">
        <v>994528</v>
      </c>
      <c r="FP41" s="591">
        <v>0</v>
      </c>
      <c r="FQ41" s="591">
        <v>994528</v>
      </c>
      <c r="FR41" s="591">
        <v>994528</v>
      </c>
      <c r="FS41" s="591">
        <v>0</v>
      </c>
      <c r="FT41" s="591">
        <v>0</v>
      </c>
      <c r="FU41" s="591">
        <v>0</v>
      </c>
      <c r="FV41" s="591">
        <v>0</v>
      </c>
      <c r="FW41" s="591">
        <v>0</v>
      </c>
      <c r="FX41" s="591">
        <v>0</v>
      </c>
      <c r="FY41" s="591">
        <v>0</v>
      </c>
      <c r="FZ41" s="591">
        <v>0</v>
      </c>
      <c r="GA41" s="591">
        <v>0</v>
      </c>
      <c r="GB41" s="591">
        <v>1071457</v>
      </c>
      <c r="GC41" s="591">
        <v>1071457</v>
      </c>
      <c r="GD41" s="591">
        <v>128.86199999999999</v>
      </c>
      <c r="GE41" s="591">
        <v>0</v>
      </c>
      <c r="GF41" s="591">
        <v>0</v>
      </c>
      <c r="GG41" s="591">
        <v>0</v>
      </c>
      <c r="GH41" s="591">
        <v>0</v>
      </c>
      <c r="GI41" s="591">
        <v>0</v>
      </c>
      <c r="GJ41" s="591">
        <v>0</v>
      </c>
      <c r="GK41" s="591">
        <v>0</v>
      </c>
      <c r="GL41" s="591">
        <v>0</v>
      </c>
      <c r="GM41" s="591">
        <v>0</v>
      </c>
      <c r="GN41" s="591">
        <v>0</v>
      </c>
      <c r="GO41" s="591">
        <v>0</v>
      </c>
      <c r="GP41" s="591">
        <v>0</v>
      </c>
      <c r="GQ41" s="591">
        <v>0</v>
      </c>
      <c r="GR41" s="591">
        <v>0</v>
      </c>
      <c r="GS41" s="591">
        <v>0</v>
      </c>
      <c r="GT41" s="591">
        <v>0</v>
      </c>
      <c r="GU41" s="591">
        <v>0</v>
      </c>
      <c r="GV41" s="591">
        <v>0</v>
      </c>
      <c r="GW41" s="591">
        <v>0</v>
      </c>
      <c r="GX41" s="591">
        <v>0</v>
      </c>
      <c r="GY41" s="591">
        <v>0</v>
      </c>
      <c r="GZ41" s="591">
        <v>0</v>
      </c>
      <c r="HA41" s="591">
        <v>0</v>
      </c>
      <c r="HB41" s="591">
        <v>260009272</v>
      </c>
      <c r="HC41" s="591">
        <v>5.1774999999999995E-2</v>
      </c>
      <c r="HD41" s="591">
        <v>546978</v>
      </c>
      <c r="HE41" s="591">
        <v>0</v>
      </c>
      <c r="HF41" s="591">
        <v>3074921</v>
      </c>
      <c r="HG41" s="591">
        <v>0</v>
      </c>
      <c r="HH41" s="591">
        <v>0</v>
      </c>
      <c r="HI41" s="591">
        <v>0</v>
      </c>
      <c r="HJ41" s="591">
        <v>29339</v>
      </c>
      <c r="HK41" s="591">
        <v>60366</v>
      </c>
      <c r="HL41" s="591">
        <v>18124</v>
      </c>
      <c r="HM41" s="591">
        <v>0</v>
      </c>
      <c r="HN41" s="591">
        <v>0</v>
      </c>
      <c r="HO41" s="591">
        <v>0</v>
      </c>
      <c r="HP41" s="591">
        <v>1261643</v>
      </c>
      <c r="HQ41" s="591">
        <v>0</v>
      </c>
      <c r="HR41" s="591">
        <v>0</v>
      </c>
      <c r="HS41" s="591">
        <v>32369933</v>
      </c>
      <c r="HT41" s="591">
        <v>0</v>
      </c>
      <c r="HU41" s="591">
        <v>0</v>
      </c>
      <c r="HV41" s="591">
        <v>0</v>
      </c>
      <c r="HW41" s="591">
        <v>0</v>
      </c>
      <c r="HX41" s="591">
        <v>423</v>
      </c>
      <c r="HY41" s="591">
        <v>524</v>
      </c>
      <c r="HZ41" s="591">
        <v>730</v>
      </c>
      <c r="IA41" s="591">
        <v>1244</v>
      </c>
      <c r="IB41" s="591">
        <v>1749</v>
      </c>
      <c r="IC41" s="591">
        <v>4670</v>
      </c>
      <c r="ID41" s="591">
        <v>0</v>
      </c>
      <c r="IE41" s="591">
        <v>0</v>
      </c>
      <c r="IF41" s="591">
        <v>0</v>
      </c>
      <c r="IG41" s="591">
        <v>0</v>
      </c>
      <c r="IH41" s="591">
        <v>0</v>
      </c>
      <c r="II41" s="591">
        <v>4587.7920000000004</v>
      </c>
      <c r="IJ41" s="591">
        <v>770.09300000000007</v>
      </c>
      <c r="IK41" s="591">
        <v>0</v>
      </c>
      <c r="IL41" s="591">
        <v>0</v>
      </c>
      <c r="IM41" s="591">
        <v>0</v>
      </c>
      <c r="IN41" s="591">
        <v>0</v>
      </c>
      <c r="IO41" s="591">
        <v>0</v>
      </c>
      <c r="IP41" s="591">
        <v>4587.7920000000004</v>
      </c>
      <c r="IQ41" s="591">
        <v>770.09300000000007</v>
      </c>
      <c r="IR41" s="591">
        <v>474307</v>
      </c>
      <c r="IS41" s="591">
        <v>0</v>
      </c>
      <c r="IT41" s="591">
        <v>0</v>
      </c>
      <c r="IU41" s="591">
        <v>0</v>
      </c>
      <c r="IV41" s="591">
        <v>0</v>
      </c>
      <c r="IW41" s="591">
        <v>6159</v>
      </c>
      <c r="IX41" s="591">
        <v>0</v>
      </c>
      <c r="IY41" s="591">
        <v>0</v>
      </c>
      <c r="IZ41" s="591">
        <v>1261643</v>
      </c>
      <c r="JA41" s="591">
        <v>0</v>
      </c>
      <c r="JB41" s="591">
        <v>0</v>
      </c>
      <c r="JC41" s="591">
        <v>0</v>
      </c>
      <c r="JD41" s="591">
        <v>0</v>
      </c>
      <c r="JE41" s="591">
        <v>0</v>
      </c>
      <c r="JF41" s="591">
        <v>0</v>
      </c>
      <c r="JG41" s="591">
        <v>0</v>
      </c>
      <c r="JH41" s="591">
        <v>0</v>
      </c>
      <c r="JI41" s="591">
        <v>0</v>
      </c>
      <c r="JJ41" s="591">
        <v>0</v>
      </c>
      <c r="JK41" s="591">
        <v>0</v>
      </c>
      <c r="JL41" s="591">
        <v>0</v>
      </c>
      <c r="JM41" s="591">
        <v>0</v>
      </c>
      <c r="JN41" s="591">
        <v>32469</v>
      </c>
    </row>
    <row r="42" spans="1:274" x14ac:dyDescent="0.25">
      <c r="A42" s="591">
        <v>32570</v>
      </c>
      <c r="B42" s="591">
        <v>57805</v>
      </c>
      <c r="C42" s="591">
        <v>9</v>
      </c>
      <c r="D42" s="591">
        <v>2022</v>
      </c>
      <c r="E42" s="591">
        <v>6159</v>
      </c>
      <c r="F42" s="591">
        <v>0</v>
      </c>
      <c r="G42" s="591">
        <v>182.44200000000001</v>
      </c>
      <c r="H42" s="591">
        <v>177.458</v>
      </c>
      <c r="I42" s="591">
        <v>177.458</v>
      </c>
      <c r="J42" s="591">
        <v>182.44200000000001</v>
      </c>
      <c r="K42" s="591">
        <v>0</v>
      </c>
      <c r="L42" s="591">
        <v>6159</v>
      </c>
      <c r="M42" s="591">
        <v>0</v>
      </c>
      <c r="N42" s="591">
        <v>0</v>
      </c>
      <c r="O42" s="591">
        <v>0</v>
      </c>
      <c r="P42" s="591">
        <v>174.84700000000001</v>
      </c>
      <c r="Q42" s="591">
        <v>0</v>
      </c>
      <c r="R42" s="591">
        <v>70363</v>
      </c>
      <c r="S42" s="591">
        <v>402.428</v>
      </c>
      <c r="T42" s="591">
        <v>0</v>
      </c>
      <c r="U42" s="591">
        <v>0</v>
      </c>
      <c r="V42" s="591">
        <v>67.356000000000009</v>
      </c>
      <c r="W42" s="591">
        <v>41485</v>
      </c>
      <c r="X42" s="591">
        <v>41485</v>
      </c>
      <c r="Y42" s="591">
        <v>0</v>
      </c>
      <c r="Z42" s="591">
        <v>0</v>
      </c>
      <c r="AA42" s="591">
        <v>0</v>
      </c>
      <c r="AB42" s="591">
        <v>0</v>
      </c>
      <c r="AC42" s="591">
        <v>0</v>
      </c>
      <c r="AD42" s="591" t="s">
        <v>316</v>
      </c>
      <c r="AE42" s="591">
        <v>0</v>
      </c>
      <c r="AF42" s="591">
        <v>0</v>
      </c>
      <c r="AG42" s="591">
        <v>0</v>
      </c>
      <c r="AH42" s="591">
        <v>0</v>
      </c>
      <c r="AI42" s="591">
        <v>0</v>
      </c>
      <c r="AJ42" s="591">
        <v>6159</v>
      </c>
      <c r="AK42" s="591" t="s">
        <v>671</v>
      </c>
      <c r="AL42" s="591" t="s">
        <v>325</v>
      </c>
      <c r="AM42" s="591">
        <v>0</v>
      </c>
      <c r="AN42" s="591">
        <v>0</v>
      </c>
      <c r="AO42" s="591">
        <v>0</v>
      </c>
      <c r="AP42" s="591">
        <v>0</v>
      </c>
      <c r="AQ42" s="591">
        <v>0</v>
      </c>
      <c r="AR42" s="591">
        <v>0</v>
      </c>
      <c r="AS42" s="591">
        <v>0</v>
      </c>
      <c r="AT42" s="591">
        <v>0</v>
      </c>
      <c r="AU42" s="591">
        <v>0</v>
      </c>
      <c r="AV42" s="591">
        <v>0</v>
      </c>
      <c r="AW42" s="591">
        <v>1987720</v>
      </c>
      <c r="AX42" s="591">
        <v>1988125</v>
      </c>
      <c r="AY42" s="591">
        <v>0</v>
      </c>
      <c r="AZ42" s="591">
        <v>70363</v>
      </c>
      <c r="BA42" s="591">
        <v>0</v>
      </c>
      <c r="BB42" s="591">
        <v>0</v>
      </c>
      <c r="BC42" s="591">
        <v>0</v>
      </c>
      <c r="BD42" s="591">
        <v>0</v>
      </c>
      <c r="BE42" s="591">
        <v>26</v>
      </c>
      <c r="BF42" s="591">
        <v>1830239</v>
      </c>
      <c r="BG42" s="591">
        <v>0</v>
      </c>
      <c r="BH42" s="591">
        <v>0</v>
      </c>
      <c r="BI42" s="591">
        <v>0</v>
      </c>
      <c r="BJ42" s="591">
        <v>12</v>
      </c>
      <c r="BK42" s="591">
        <v>0</v>
      </c>
      <c r="BL42" s="591">
        <v>0</v>
      </c>
      <c r="BM42" s="591">
        <v>0</v>
      </c>
      <c r="BN42" s="591">
        <v>0</v>
      </c>
      <c r="BO42" s="591">
        <v>0</v>
      </c>
      <c r="BP42" s="591">
        <v>0</v>
      </c>
      <c r="BQ42" s="591">
        <v>743</v>
      </c>
      <c r="BR42" s="591">
        <v>0</v>
      </c>
      <c r="BS42" s="591">
        <v>0</v>
      </c>
      <c r="BT42" s="591">
        <v>0</v>
      </c>
      <c r="BU42" s="591">
        <v>0</v>
      </c>
      <c r="BV42" s="591">
        <v>0</v>
      </c>
      <c r="BW42" s="591">
        <v>0</v>
      </c>
      <c r="BX42" s="591">
        <v>0</v>
      </c>
      <c r="BY42" s="591">
        <v>0</v>
      </c>
      <c r="BZ42" s="591">
        <v>0</v>
      </c>
      <c r="CA42" s="591">
        <v>0</v>
      </c>
      <c r="CB42" s="591">
        <v>0</v>
      </c>
      <c r="CC42" s="591">
        <v>0</v>
      </c>
      <c r="CD42" s="591">
        <v>0</v>
      </c>
      <c r="CE42" s="591">
        <v>0</v>
      </c>
      <c r="CF42" s="591">
        <v>0</v>
      </c>
      <c r="CG42" s="591">
        <v>0</v>
      </c>
      <c r="CH42" s="591">
        <v>0</v>
      </c>
      <c r="CI42" s="591">
        <v>0</v>
      </c>
      <c r="CJ42" s="591">
        <v>4</v>
      </c>
      <c r="CK42" s="591">
        <v>0</v>
      </c>
      <c r="CL42" s="591">
        <v>0</v>
      </c>
      <c r="CM42" s="591">
        <v>0</v>
      </c>
      <c r="CN42" s="591">
        <v>0</v>
      </c>
      <c r="CO42" s="591">
        <v>1</v>
      </c>
      <c r="CP42" s="591">
        <v>0</v>
      </c>
      <c r="CQ42" s="591">
        <v>0</v>
      </c>
      <c r="CR42" s="591">
        <v>182.44200000000001</v>
      </c>
      <c r="CS42" s="591">
        <v>0</v>
      </c>
      <c r="CT42" s="591">
        <v>0</v>
      </c>
      <c r="CU42" s="591">
        <v>0</v>
      </c>
      <c r="CV42" s="591">
        <v>0</v>
      </c>
      <c r="CW42" s="591">
        <v>0</v>
      </c>
      <c r="CX42" s="591">
        <v>0</v>
      </c>
      <c r="CY42" s="591">
        <v>0</v>
      </c>
      <c r="CZ42" s="591">
        <v>0</v>
      </c>
      <c r="DA42" s="591">
        <v>0</v>
      </c>
      <c r="DB42" s="591">
        <v>1043957</v>
      </c>
      <c r="DC42" s="591">
        <v>0</v>
      </c>
      <c r="DD42" s="591">
        <v>0</v>
      </c>
      <c r="DE42" s="591">
        <v>289400</v>
      </c>
      <c r="DF42" s="591">
        <v>289400</v>
      </c>
      <c r="DG42" s="591">
        <v>46.988</v>
      </c>
      <c r="DH42" s="591">
        <v>0</v>
      </c>
      <c r="DI42" s="591">
        <v>0</v>
      </c>
      <c r="DJ42" s="591">
        <v>0</v>
      </c>
      <c r="DK42" s="591">
        <v>3505</v>
      </c>
      <c r="DL42" s="591">
        <v>0</v>
      </c>
      <c r="DM42" s="591">
        <v>148383</v>
      </c>
      <c r="DN42" s="591">
        <v>379</v>
      </c>
      <c r="DO42" s="591">
        <v>0</v>
      </c>
      <c r="DP42" s="591">
        <v>0</v>
      </c>
      <c r="DQ42" s="591">
        <v>0</v>
      </c>
      <c r="DR42" s="591">
        <v>0</v>
      </c>
      <c r="DS42" s="591">
        <v>0</v>
      </c>
      <c r="DT42" s="591">
        <v>0</v>
      </c>
      <c r="DU42" s="591">
        <v>0</v>
      </c>
      <c r="DV42" s="591">
        <v>0</v>
      </c>
      <c r="DW42" s="591">
        <v>0</v>
      </c>
      <c r="DX42" s="591">
        <v>0</v>
      </c>
      <c r="DY42" s="591">
        <v>0</v>
      </c>
      <c r="DZ42" s="591">
        <v>0</v>
      </c>
      <c r="EA42" s="591">
        <v>0</v>
      </c>
      <c r="EB42" s="591">
        <v>0</v>
      </c>
      <c r="EC42" s="591">
        <v>6.1000000000000006E-2</v>
      </c>
      <c r="ED42" s="591">
        <v>432</v>
      </c>
      <c r="EE42" s="591">
        <v>0</v>
      </c>
      <c r="EF42" s="591">
        <v>0</v>
      </c>
      <c r="EG42" s="591">
        <v>0</v>
      </c>
      <c r="EH42" s="591">
        <v>99309</v>
      </c>
      <c r="EI42" s="591">
        <v>0</v>
      </c>
      <c r="EJ42" s="591">
        <v>0</v>
      </c>
      <c r="EK42" s="591">
        <v>4.3980000000000006</v>
      </c>
      <c r="EL42" s="591">
        <v>0</v>
      </c>
      <c r="EM42" s="591">
        <v>0</v>
      </c>
      <c r="EN42" s="591">
        <v>0.58600000000000008</v>
      </c>
      <c r="EO42" s="591">
        <v>0</v>
      </c>
      <c r="EP42" s="591">
        <v>0</v>
      </c>
      <c r="EQ42" s="591">
        <v>4.984</v>
      </c>
      <c r="ER42" s="591">
        <v>0</v>
      </c>
      <c r="ES42" s="591">
        <v>16.124000000000002</v>
      </c>
      <c r="ET42" s="591">
        <v>0</v>
      </c>
      <c r="EU42" s="591">
        <v>0</v>
      </c>
      <c r="EV42" s="591">
        <v>0</v>
      </c>
      <c r="EW42" s="591">
        <v>0</v>
      </c>
      <c r="EX42" s="591">
        <v>0</v>
      </c>
      <c r="EY42" s="591">
        <v>0</v>
      </c>
      <c r="EZ42" s="591">
        <v>1759876</v>
      </c>
      <c r="FA42" s="591">
        <v>0</v>
      </c>
      <c r="FB42" s="591">
        <v>1829834</v>
      </c>
      <c r="FC42" s="591">
        <v>0</v>
      </c>
      <c r="FD42" s="591">
        <v>0</v>
      </c>
      <c r="FE42" s="591">
        <v>189580</v>
      </c>
      <c r="FF42" s="591">
        <v>38669</v>
      </c>
      <c r="FG42" s="591">
        <v>6.4728999999999995E-2</v>
      </c>
      <c r="FH42" s="591">
        <v>2.6405999999999999E-2</v>
      </c>
      <c r="FI42" s="591">
        <v>0</v>
      </c>
      <c r="FJ42" s="591">
        <v>0</v>
      </c>
      <c r="FK42" s="591">
        <v>297.161</v>
      </c>
      <c r="FL42" s="591">
        <v>2058083</v>
      </c>
      <c r="FM42" s="591">
        <v>0</v>
      </c>
      <c r="FN42" s="591">
        <v>0</v>
      </c>
      <c r="FO42" s="591">
        <v>0</v>
      </c>
      <c r="FP42" s="591">
        <v>0</v>
      </c>
      <c r="FQ42" s="591">
        <v>0</v>
      </c>
      <c r="FR42" s="591">
        <v>0</v>
      </c>
      <c r="FS42" s="591">
        <v>0</v>
      </c>
      <c r="FT42" s="591">
        <v>0</v>
      </c>
      <c r="FU42" s="591">
        <v>0</v>
      </c>
      <c r="FV42" s="591">
        <v>0</v>
      </c>
      <c r="FW42" s="591">
        <v>0</v>
      </c>
      <c r="FX42" s="591">
        <v>0</v>
      </c>
      <c r="FY42" s="591">
        <v>0</v>
      </c>
      <c r="FZ42" s="591">
        <v>0</v>
      </c>
      <c r="GA42" s="591">
        <v>0</v>
      </c>
      <c r="GB42" s="591">
        <v>0</v>
      </c>
      <c r="GC42" s="591">
        <v>0</v>
      </c>
      <c r="GD42" s="591">
        <v>0</v>
      </c>
      <c r="GE42" s="591">
        <v>0</v>
      </c>
      <c r="GF42" s="591">
        <v>0</v>
      </c>
      <c r="GG42" s="591">
        <v>0</v>
      </c>
      <c r="GH42" s="591">
        <v>0</v>
      </c>
      <c r="GI42" s="591">
        <v>0</v>
      </c>
      <c r="GJ42" s="591">
        <v>0</v>
      </c>
      <c r="GK42" s="591">
        <v>0</v>
      </c>
      <c r="GL42" s="591">
        <v>0</v>
      </c>
      <c r="GM42" s="591">
        <v>0</v>
      </c>
      <c r="GN42" s="591">
        <v>0</v>
      </c>
      <c r="GO42" s="591">
        <v>0</v>
      </c>
      <c r="GP42" s="591">
        <v>0</v>
      </c>
      <c r="GQ42" s="591">
        <v>0</v>
      </c>
      <c r="GR42" s="591">
        <v>0</v>
      </c>
      <c r="GS42" s="591">
        <v>0</v>
      </c>
      <c r="GT42" s="591">
        <v>0</v>
      </c>
      <c r="GU42" s="591">
        <v>0</v>
      </c>
      <c r="GV42" s="591">
        <v>0</v>
      </c>
      <c r="GW42" s="591">
        <v>0</v>
      </c>
      <c r="GX42" s="591">
        <v>0</v>
      </c>
      <c r="GY42" s="591">
        <v>0</v>
      </c>
      <c r="GZ42" s="591">
        <v>0</v>
      </c>
      <c r="HA42" s="591">
        <v>0</v>
      </c>
      <c r="HB42" s="591">
        <v>0</v>
      </c>
      <c r="HC42" s="591">
        <v>5.1774999999999995E-2</v>
      </c>
      <c r="HD42" s="591">
        <v>0</v>
      </c>
      <c r="HE42" s="591">
        <v>0</v>
      </c>
      <c r="HF42" s="591">
        <v>195026</v>
      </c>
      <c r="HG42" s="591">
        <v>5132</v>
      </c>
      <c r="HH42" s="591">
        <v>104704</v>
      </c>
      <c r="HI42" s="591">
        <v>0</v>
      </c>
      <c r="HJ42" s="591">
        <v>1773</v>
      </c>
      <c r="HK42" s="591">
        <v>0</v>
      </c>
      <c r="HL42" s="591">
        <v>0</v>
      </c>
      <c r="HM42" s="591">
        <v>0</v>
      </c>
      <c r="HN42" s="591">
        <v>0</v>
      </c>
      <c r="HO42" s="591">
        <v>0</v>
      </c>
      <c r="HP42" s="591">
        <v>0</v>
      </c>
      <c r="HQ42" s="591">
        <v>0</v>
      </c>
      <c r="HR42" s="591">
        <v>0</v>
      </c>
      <c r="HS42" s="591">
        <v>1759471</v>
      </c>
      <c r="HT42" s="591">
        <v>0</v>
      </c>
      <c r="HU42" s="591">
        <v>0</v>
      </c>
      <c r="HV42" s="591">
        <v>0</v>
      </c>
      <c r="HW42" s="591">
        <v>0</v>
      </c>
      <c r="HX42" s="591">
        <v>19</v>
      </c>
      <c r="HY42" s="591">
        <v>18</v>
      </c>
      <c r="HZ42" s="591">
        <v>54</v>
      </c>
      <c r="IA42" s="591">
        <v>29</v>
      </c>
      <c r="IB42" s="591">
        <v>63</v>
      </c>
      <c r="IC42" s="591">
        <v>160</v>
      </c>
      <c r="ID42" s="591">
        <v>0</v>
      </c>
      <c r="IE42" s="591">
        <v>0</v>
      </c>
      <c r="IF42" s="591">
        <v>0</v>
      </c>
      <c r="IG42" s="591">
        <v>8.3330000000000002</v>
      </c>
      <c r="IH42" s="591">
        <v>170</v>
      </c>
      <c r="II42" s="591">
        <v>0</v>
      </c>
      <c r="IJ42" s="591">
        <v>67.356000000000009</v>
      </c>
      <c r="IK42" s="591">
        <v>0</v>
      </c>
      <c r="IL42" s="591">
        <v>0</v>
      </c>
      <c r="IM42" s="591">
        <v>0</v>
      </c>
      <c r="IN42" s="591">
        <v>0</v>
      </c>
      <c r="IO42" s="591">
        <v>0</v>
      </c>
      <c r="IP42" s="591">
        <v>0</v>
      </c>
      <c r="IQ42" s="591">
        <v>67.356000000000009</v>
      </c>
      <c r="IR42" s="591">
        <v>41485</v>
      </c>
      <c r="IS42" s="591">
        <v>0</v>
      </c>
      <c r="IT42" s="591">
        <v>0</v>
      </c>
      <c r="IU42" s="591">
        <v>0</v>
      </c>
      <c r="IV42" s="591">
        <v>0</v>
      </c>
      <c r="IW42" s="591">
        <v>6159</v>
      </c>
      <c r="IX42" s="591">
        <v>0</v>
      </c>
      <c r="IY42" s="591">
        <v>0</v>
      </c>
      <c r="IZ42" s="591">
        <v>0</v>
      </c>
      <c r="JA42" s="591">
        <v>0</v>
      </c>
      <c r="JB42" s="591">
        <v>0</v>
      </c>
      <c r="JC42" s="591">
        <v>0</v>
      </c>
      <c r="JD42" s="591">
        <v>0</v>
      </c>
      <c r="JE42" s="591">
        <v>0</v>
      </c>
      <c r="JF42" s="591">
        <v>0</v>
      </c>
      <c r="JG42" s="591">
        <v>0</v>
      </c>
      <c r="JH42" s="591">
        <v>0</v>
      </c>
      <c r="JI42" s="591">
        <v>0</v>
      </c>
      <c r="JJ42" s="591">
        <v>0</v>
      </c>
      <c r="JK42" s="591">
        <v>0</v>
      </c>
      <c r="JL42" s="591">
        <v>0</v>
      </c>
      <c r="JM42" s="591">
        <v>0</v>
      </c>
      <c r="JN42" s="591">
        <v>32469</v>
      </c>
    </row>
    <row r="43" spans="1:274" x14ac:dyDescent="0.25">
      <c r="A43" s="591">
        <v>32570</v>
      </c>
      <c r="B43" s="591">
        <v>57806</v>
      </c>
      <c r="C43" s="591">
        <v>9</v>
      </c>
      <c r="D43" s="591">
        <v>2022</v>
      </c>
      <c r="E43" s="591">
        <v>6159</v>
      </c>
      <c r="F43" s="591">
        <v>0</v>
      </c>
      <c r="G43" s="591">
        <v>1095.7830000000001</v>
      </c>
      <c r="H43" s="591">
        <v>987.8130000000001</v>
      </c>
      <c r="I43" s="591">
        <v>987.8130000000001</v>
      </c>
      <c r="J43" s="591">
        <v>1095.7830000000001</v>
      </c>
      <c r="K43" s="591">
        <v>0</v>
      </c>
      <c r="L43" s="591">
        <v>6159</v>
      </c>
      <c r="M43" s="591">
        <v>0</v>
      </c>
      <c r="N43" s="591">
        <v>0</v>
      </c>
      <c r="O43" s="591">
        <v>0</v>
      </c>
      <c r="P43" s="591">
        <v>1040.066</v>
      </c>
      <c r="Q43" s="591">
        <v>0</v>
      </c>
      <c r="R43" s="591">
        <v>418552</v>
      </c>
      <c r="S43" s="591">
        <v>402.428</v>
      </c>
      <c r="T43" s="591">
        <v>0</v>
      </c>
      <c r="U43" s="591">
        <v>0</v>
      </c>
      <c r="V43" s="591">
        <v>273.58300000000003</v>
      </c>
      <c r="W43" s="591">
        <v>168502</v>
      </c>
      <c r="X43" s="591">
        <v>168502</v>
      </c>
      <c r="Y43" s="591">
        <v>0</v>
      </c>
      <c r="Z43" s="591">
        <v>0</v>
      </c>
      <c r="AA43" s="591">
        <v>0</v>
      </c>
      <c r="AB43" s="591">
        <v>0</v>
      </c>
      <c r="AC43" s="591">
        <v>0</v>
      </c>
      <c r="AD43" s="591" t="s">
        <v>316</v>
      </c>
      <c r="AE43" s="591">
        <v>0</v>
      </c>
      <c r="AF43" s="591">
        <v>0</v>
      </c>
      <c r="AG43" s="591">
        <v>0</v>
      </c>
      <c r="AH43" s="591">
        <v>0</v>
      </c>
      <c r="AI43" s="591">
        <v>0</v>
      </c>
      <c r="AJ43" s="591">
        <v>6159</v>
      </c>
      <c r="AK43" s="591" t="s">
        <v>671</v>
      </c>
      <c r="AL43" s="591" t="s">
        <v>326</v>
      </c>
      <c r="AM43" s="591">
        <v>0</v>
      </c>
      <c r="AN43" s="591">
        <v>0</v>
      </c>
      <c r="AO43" s="591">
        <v>0</v>
      </c>
      <c r="AP43" s="591">
        <v>0</v>
      </c>
      <c r="AQ43" s="591">
        <v>0</v>
      </c>
      <c r="AR43" s="591">
        <v>0</v>
      </c>
      <c r="AS43" s="591">
        <v>0</v>
      </c>
      <c r="AT43" s="591">
        <v>0</v>
      </c>
      <c r="AU43" s="591">
        <v>0</v>
      </c>
      <c r="AV43" s="591">
        <v>0</v>
      </c>
      <c r="AW43" s="591">
        <v>11935625</v>
      </c>
      <c r="AX43" s="591">
        <v>11739690</v>
      </c>
      <c r="AY43" s="591">
        <v>0</v>
      </c>
      <c r="AZ43" s="591">
        <v>418552</v>
      </c>
      <c r="BA43" s="591">
        <v>0</v>
      </c>
      <c r="BB43" s="591">
        <v>0</v>
      </c>
      <c r="BC43" s="591">
        <v>0</v>
      </c>
      <c r="BD43" s="591">
        <v>0</v>
      </c>
      <c r="BE43" s="591">
        <v>156</v>
      </c>
      <c r="BF43" s="591">
        <v>10804053</v>
      </c>
      <c r="BG43" s="591">
        <v>0</v>
      </c>
      <c r="BH43" s="591">
        <v>0</v>
      </c>
      <c r="BI43" s="591">
        <v>0</v>
      </c>
      <c r="BJ43" s="591">
        <v>12</v>
      </c>
      <c r="BK43" s="591">
        <v>0</v>
      </c>
      <c r="BL43" s="591">
        <v>0</v>
      </c>
      <c r="BM43" s="591">
        <v>0</v>
      </c>
      <c r="BN43" s="591">
        <v>0</v>
      </c>
      <c r="BO43" s="591">
        <v>0</v>
      </c>
      <c r="BP43" s="591">
        <v>0</v>
      </c>
      <c r="BQ43" s="591">
        <v>618</v>
      </c>
      <c r="BR43" s="591">
        <v>0</v>
      </c>
      <c r="BS43" s="591">
        <v>0</v>
      </c>
      <c r="BT43" s="591">
        <v>0</v>
      </c>
      <c r="BU43" s="591">
        <v>0</v>
      </c>
      <c r="BV43" s="591">
        <v>0</v>
      </c>
      <c r="BW43" s="591">
        <v>0</v>
      </c>
      <c r="BX43" s="591">
        <v>0</v>
      </c>
      <c r="BY43" s="591">
        <v>0</v>
      </c>
      <c r="BZ43" s="591">
        <v>0</v>
      </c>
      <c r="CA43" s="591">
        <v>0</v>
      </c>
      <c r="CB43" s="591">
        <v>0</v>
      </c>
      <c r="CC43" s="591">
        <v>0</v>
      </c>
      <c r="CD43" s="591">
        <v>0</v>
      </c>
      <c r="CE43" s="591">
        <v>0</v>
      </c>
      <c r="CF43" s="591">
        <v>0</v>
      </c>
      <c r="CG43" s="591">
        <v>0</v>
      </c>
      <c r="CH43" s="591">
        <v>198568</v>
      </c>
      <c r="CI43" s="591">
        <v>0</v>
      </c>
      <c r="CJ43" s="591">
        <v>4</v>
      </c>
      <c r="CK43" s="591">
        <v>0</v>
      </c>
      <c r="CL43" s="591">
        <v>0</v>
      </c>
      <c r="CM43" s="591">
        <v>0</v>
      </c>
      <c r="CN43" s="591">
        <v>0</v>
      </c>
      <c r="CO43" s="591">
        <v>1</v>
      </c>
      <c r="CP43" s="591">
        <v>0</v>
      </c>
      <c r="CQ43" s="591">
        <v>0</v>
      </c>
      <c r="CR43" s="591">
        <v>1095.7830000000001</v>
      </c>
      <c r="CS43" s="591">
        <v>0</v>
      </c>
      <c r="CT43" s="591">
        <v>0</v>
      </c>
      <c r="CU43" s="591">
        <v>0</v>
      </c>
      <c r="CV43" s="591">
        <v>0</v>
      </c>
      <c r="CW43" s="591">
        <v>0</v>
      </c>
      <c r="CX43" s="591">
        <v>0</v>
      </c>
      <c r="CY43" s="591">
        <v>0</v>
      </c>
      <c r="CZ43" s="591">
        <v>0</v>
      </c>
      <c r="DA43" s="591">
        <v>0</v>
      </c>
      <c r="DB43" s="591">
        <v>6084022</v>
      </c>
      <c r="DC43" s="591">
        <v>0</v>
      </c>
      <c r="DD43" s="591">
        <v>0</v>
      </c>
      <c r="DE43" s="591">
        <v>1729085</v>
      </c>
      <c r="DF43" s="591">
        <v>1729085</v>
      </c>
      <c r="DG43" s="591">
        <v>280.738</v>
      </c>
      <c r="DH43" s="591">
        <v>0</v>
      </c>
      <c r="DI43" s="591">
        <v>0</v>
      </c>
      <c r="DJ43" s="591">
        <v>0</v>
      </c>
      <c r="DK43" s="591">
        <v>1508</v>
      </c>
      <c r="DL43" s="591">
        <v>0</v>
      </c>
      <c r="DM43" s="591">
        <v>649221</v>
      </c>
      <c r="DN43" s="591">
        <v>2477</v>
      </c>
      <c r="DO43" s="591">
        <v>0</v>
      </c>
      <c r="DP43" s="591">
        <v>0</v>
      </c>
      <c r="DQ43" s="591">
        <v>0</v>
      </c>
      <c r="DR43" s="591">
        <v>0</v>
      </c>
      <c r="DS43" s="591">
        <v>0</v>
      </c>
      <c r="DT43" s="591">
        <v>0</v>
      </c>
      <c r="DU43" s="591">
        <v>0</v>
      </c>
      <c r="DV43" s="591">
        <v>0</v>
      </c>
      <c r="DW43" s="591">
        <v>0</v>
      </c>
      <c r="DX43" s="591">
        <v>0</v>
      </c>
      <c r="DY43" s="591">
        <v>0</v>
      </c>
      <c r="DZ43" s="591">
        <v>0</v>
      </c>
      <c r="EA43" s="591">
        <v>0</v>
      </c>
      <c r="EB43" s="591">
        <v>0</v>
      </c>
      <c r="EC43" s="591">
        <v>29.953000000000003</v>
      </c>
      <c r="ED43" s="591">
        <v>212155</v>
      </c>
      <c r="EE43" s="591">
        <v>0</v>
      </c>
      <c r="EF43" s="591">
        <v>0</v>
      </c>
      <c r="EG43" s="591">
        <v>0</v>
      </c>
      <c r="EH43" s="591">
        <v>439543</v>
      </c>
      <c r="EI43" s="591">
        <v>0</v>
      </c>
      <c r="EJ43" s="591">
        <v>0</v>
      </c>
      <c r="EK43" s="591">
        <v>19.545999999999999</v>
      </c>
      <c r="EL43" s="591">
        <v>0</v>
      </c>
      <c r="EM43" s="591">
        <v>0.88900000000000001</v>
      </c>
      <c r="EN43" s="591">
        <v>2.012</v>
      </c>
      <c r="EO43" s="591">
        <v>0</v>
      </c>
      <c r="EP43" s="591">
        <v>0</v>
      </c>
      <c r="EQ43" s="591">
        <v>22.447000000000003</v>
      </c>
      <c r="ER43" s="591">
        <v>0</v>
      </c>
      <c r="ES43" s="591">
        <v>71.365000000000009</v>
      </c>
      <c r="ET43" s="591">
        <v>0</v>
      </c>
      <c r="EU43" s="591">
        <v>0</v>
      </c>
      <c r="EV43" s="591">
        <v>0</v>
      </c>
      <c r="EW43" s="591">
        <v>0</v>
      </c>
      <c r="EX43" s="591">
        <v>0</v>
      </c>
      <c r="EY43" s="591">
        <v>0</v>
      </c>
      <c r="EZ43" s="591">
        <v>10392319</v>
      </c>
      <c r="FA43" s="591">
        <v>0</v>
      </c>
      <c r="FB43" s="591">
        <v>10808238</v>
      </c>
      <c r="FC43" s="591">
        <v>0</v>
      </c>
      <c r="FD43" s="591">
        <v>0</v>
      </c>
      <c r="FE43" s="591">
        <v>1119104</v>
      </c>
      <c r="FF43" s="591">
        <v>228267</v>
      </c>
      <c r="FG43" s="591">
        <v>6.4728999999999995E-2</v>
      </c>
      <c r="FH43" s="591">
        <v>2.6405999999999999E-2</v>
      </c>
      <c r="FI43" s="591">
        <v>0</v>
      </c>
      <c r="FJ43" s="591">
        <v>0</v>
      </c>
      <c r="FK43" s="591">
        <v>1754.1660000000002</v>
      </c>
      <c r="FL43" s="591">
        <v>12354177</v>
      </c>
      <c r="FM43" s="591">
        <v>0</v>
      </c>
      <c r="FN43" s="591">
        <v>0</v>
      </c>
      <c r="FO43" s="591">
        <v>0</v>
      </c>
      <c r="FP43" s="591">
        <v>0</v>
      </c>
      <c r="FQ43" s="591">
        <v>0</v>
      </c>
      <c r="FR43" s="591">
        <v>0</v>
      </c>
      <c r="FS43" s="591">
        <v>0</v>
      </c>
      <c r="FT43" s="591">
        <v>0</v>
      </c>
      <c r="FU43" s="591">
        <v>0</v>
      </c>
      <c r="FV43" s="591">
        <v>0</v>
      </c>
      <c r="FW43" s="591">
        <v>0</v>
      </c>
      <c r="FX43" s="591">
        <v>0</v>
      </c>
      <c r="FY43" s="591">
        <v>0</v>
      </c>
      <c r="FZ43" s="591">
        <v>0</v>
      </c>
      <c r="GA43" s="591">
        <v>0</v>
      </c>
      <c r="GB43" s="591">
        <v>711103</v>
      </c>
      <c r="GC43" s="591">
        <v>711103</v>
      </c>
      <c r="GD43" s="591">
        <v>85.52300000000001</v>
      </c>
      <c r="GE43" s="591">
        <v>0</v>
      </c>
      <c r="GF43" s="591">
        <v>0</v>
      </c>
      <c r="GG43" s="591">
        <v>0</v>
      </c>
      <c r="GH43" s="591">
        <v>0</v>
      </c>
      <c r="GI43" s="591">
        <v>0</v>
      </c>
      <c r="GJ43" s="591">
        <v>0</v>
      </c>
      <c r="GK43" s="591">
        <v>0</v>
      </c>
      <c r="GL43" s="591">
        <v>0</v>
      </c>
      <c r="GM43" s="591">
        <v>0</v>
      </c>
      <c r="GN43" s="591">
        <v>0</v>
      </c>
      <c r="GO43" s="591">
        <v>0</v>
      </c>
      <c r="GP43" s="591">
        <v>0</v>
      </c>
      <c r="GQ43" s="591">
        <v>0</v>
      </c>
      <c r="GR43" s="591">
        <v>0</v>
      </c>
      <c r="GS43" s="591">
        <v>0</v>
      </c>
      <c r="GT43" s="591">
        <v>0</v>
      </c>
      <c r="GU43" s="591">
        <v>0</v>
      </c>
      <c r="GV43" s="591">
        <v>0</v>
      </c>
      <c r="GW43" s="591">
        <v>0</v>
      </c>
      <c r="GX43" s="591">
        <v>0</v>
      </c>
      <c r="GY43" s="591">
        <v>0</v>
      </c>
      <c r="GZ43" s="591">
        <v>0</v>
      </c>
      <c r="HA43" s="591">
        <v>0</v>
      </c>
      <c r="HB43" s="591">
        <v>260009272</v>
      </c>
      <c r="HC43" s="591">
        <v>5.1774999999999995E-2</v>
      </c>
      <c r="HD43" s="591">
        <v>198568</v>
      </c>
      <c r="HE43" s="591">
        <v>0</v>
      </c>
      <c r="HF43" s="591">
        <v>1085606</v>
      </c>
      <c r="HG43" s="591">
        <v>14782</v>
      </c>
      <c r="HH43" s="591">
        <v>348604</v>
      </c>
      <c r="HI43" s="591">
        <v>0</v>
      </c>
      <c r="HJ43" s="591">
        <v>10651</v>
      </c>
      <c r="HK43" s="591">
        <v>2363</v>
      </c>
      <c r="HL43" s="591">
        <v>4455</v>
      </c>
      <c r="HM43" s="591">
        <v>0</v>
      </c>
      <c r="HN43" s="591">
        <v>0</v>
      </c>
      <c r="HO43" s="591">
        <v>0</v>
      </c>
      <c r="HP43" s="591">
        <v>0</v>
      </c>
      <c r="HQ43" s="591">
        <v>0</v>
      </c>
      <c r="HR43" s="591">
        <v>0</v>
      </c>
      <c r="HS43" s="591">
        <v>10389686</v>
      </c>
      <c r="HT43" s="591">
        <v>0</v>
      </c>
      <c r="HU43" s="591">
        <v>0</v>
      </c>
      <c r="HV43" s="591">
        <v>0</v>
      </c>
      <c r="HW43" s="591">
        <v>0</v>
      </c>
      <c r="HX43" s="591">
        <v>134</v>
      </c>
      <c r="HY43" s="591">
        <v>98</v>
      </c>
      <c r="HZ43" s="591">
        <v>161</v>
      </c>
      <c r="IA43" s="591">
        <v>281</v>
      </c>
      <c r="IB43" s="591">
        <v>412</v>
      </c>
      <c r="IC43" s="591">
        <v>982</v>
      </c>
      <c r="ID43" s="591">
        <v>0</v>
      </c>
      <c r="IE43" s="591">
        <v>0</v>
      </c>
      <c r="IF43" s="591">
        <v>0</v>
      </c>
      <c r="IG43" s="591">
        <v>24</v>
      </c>
      <c r="IH43" s="591">
        <v>566</v>
      </c>
      <c r="II43" s="591">
        <v>0</v>
      </c>
      <c r="IJ43" s="591">
        <v>273.58300000000003</v>
      </c>
      <c r="IK43" s="591">
        <v>0</v>
      </c>
      <c r="IL43" s="591">
        <v>0</v>
      </c>
      <c r="IM43" s="591">
        <v>0</v>
      </c>
      <c r="IN43" s="591">
        <v>0</v>
      </c>
      <c r="IO43" s="591">
        <v>0</v>
      </c>
      <c r="IP43" s="591">
        <v>0</v>
      </c>
      <c r="IQ43" s="591">
        <v>273.58300000000003</v>
      </c>
      <c r="IR43" s="591">
        <v>168502</v>
      </c>
      <c r="IS43" s="591">
        <v>0</v>
      </c>
      <c r="IT43" s="591">
        <v>0</v>
      </c>
      <c r="IU43" s="591">
        <v>0</v>
      </c>
      <c r="IV43" s="591">
        <v>0</v>
      </c>
      <c r="IW43" s="591">
        <v>6159</v>
      </c>
      <c r="IX43" s="591">
        <v>0</v>
      </c>
      <c r="IY43" s="591">
        <v>0</v>
      </c>
      <c r="IZ43" s="591">
        <v>0</v>
      </c>
      <c r="JA43" s="591">
        <v>0</v>
      </c>
      <c r="JB43" s="591">
        <v>0</v>
      </c>
      <c r="JC43" s="591">
        <v>0</v>
      </c>
      <c r="JD43" s="591">
        <v>0</v>
      </c>
      <c r="JE43" s="591">
        <v>0</v>
      </c>
      <c r="JF43" s="591">
        <v>0</v>
      </c>
      <c r="JG43" s="591">
        <v>0</v>
      </c>
      <c r="JH43" s="591">
        <v>0</v>
      </c>
      <c r="JI43" s="591">
        <v>0</v>
      </c>
      <c r="JJ43" s="591">
        <v>0</v>
      </c>
      <c r="JK43" s="591">
        <v>0</v>
      </c>
      <c r="JL43" s="591">
        <v>0</v>
      </c>
      <c r="JM43" s="591">
        <v>0</v>
      </c>
      <c r="JN43" s="591">
        <v>32469</v>
      </c>
    </row>
    <row r="44" spans="1:274" x14ac:dyDescent="0.25">
      <c r="A44" s="591">
        <v>32570</v>
      </c>
      <c r="B44" s="591">
        <v>57807</v>
      </c>
      <c r="C44" s="591">
        <v>9</v>
      </c>
      <c r="D44" s="591">
        <v>2022</v>
      </c>
      <c r="E44" s="591">
        <v>6159</v>
      </c>
      <c r="F44" s="591">
        <v>0</v>
      </c>
      <c r="G44" s="591">
        <v>5245.5780000000004</v>
      </c>
      <c r="H44" s="591">
        <v>4645.049</v>
      </c>
      <c r="I44" s="591">
        <v>4645.049</v>
      </c>
      <c r="J44" s="591">
        <v>5245.5780000000004</v>
      </c>
      <c r="K44" s="591">
        <v>0</v>
      </c>
      <c r="L44" s="591">
        <v>6159</v>
      </c>
      <c r="M44" s="591">
        <v>0</v>
      </c>
      <c r="N44" s="591">
        <v>0</v>
      </c>
      <c r="O44" s="591">
        <v>0</v>
      </c>
      <c r="P44" s="591">
        <v>5249.4450000000006</v>
      </c>
      <c r="Q44" s="591">
        <v>0</v>
      </c>
      <c r="R44" s="591">
        <v>2112524</v>
      </c>
      <c r="S44" s="591">
        <v>402.428</v>
      </c>
      <c r="T44" s="591">
        <v>0</v>
      </c>
      <c r="U44" s="591">
        <v>0</v>
      </c>
      <c r="V44" s="591">
        <v>498.87</v>
      </c>
      <c r="W44" s="591">
        <v>307258</v>
      </c>
      <c r="X44" s="591">
        <v>307258</v>
      </c>
      <c r="Y44" s="591">
        <v>0</v>
      </c>
      <c r="Z44" s="591">
        <v>0</v>
      </c>
      <c r="AA44" s="591">
        <v>0</v>
      </c>
      <c r="AB44" s="591">
        <v>0</v>
      </c>
      <c r="AC44" s="591">
        <v>0</v>
      </c>
      <c r="AD44" s="591" t="s">
        <v>316</v>
      </c>
      <c r="AE44" s="591">
        <v>0</v>
      </c>
      <c r="AF44" s="591">
        <v>0</v>
      </c>
      <c r="AG44" s="591">
        <v>0</v>
      </c>
      <c r="AH44" s="591">
        <v>0</v>
      </c>
      <c r="AI44" s="591">
        <v>0</v>
      </c>
      <c r="AJ44" s="591">
        <v>6159</v>
      </c>
      <c r="AK44" s="591" t="s">
        <v>671</v>
      </c>
      <c r="AL44" s="591" t="s">
        <v>18</v>
      </c>
      <c r="AM44" s="591">
        <v>0</v>
      </c>
      <c r="AN44" s="591">
        <v>0</v>
      </c>
      <c r="AO44" s="591">
        <v>0</v>
      </c>
      <c r="AP44" s="591">
        <v>0</v>
      </c>
      <c r="AQ44" s="591">
        <v>0</v>
      </c>
      <c r="AR44" s="591">
        <v>0</v>
      </c>
      <c r="AS44" s="591">
        <v>0</v>
      </c>
      <c r="AT44" s="591">
        <v>0</v>
      </c>
      <c r="AU44" s="591">
        <v>0</v>
      </c>
      <c r="AV44" s="591">
        <v>0</v>
      </c>
      <c r="AW44" s="591">
        <v>54128511</v>
      </c>
      <c r="AX44" s="591">
        <v>53197055</v>
      </c>
      <c r="AY44" s="591">
        <v>0</v>
      </c>
      <c r="AZ44" s="591">
        <v>2112524</v>
      </c>
      <c r="BA44" s="591">
        <v>0</v>
      </c>
      <c r="BB44" s="591">
        <v>0</v>
      </c>
      <c r="BC44" s="591">
        <v>0</v>
      </c>
      <c r="BD44" s="591">
        <v>44.622</v>
      </c>
      <c r="BE44" s="591">
        <v>707</v>
      </c>
      <c r="BF44" s="591">
        <v>49128196</v>
      </c>
      <c r="BG44" s="591">
        <v>0</v>
      </c>
      <c r="BH44" s="591">
        <v>0</v>
      </c>
      <c r="BI44" s="591">
        <v>0</v>
      </c>
      <c r="BJ44" s="591">
        <v>12</v>
      </c>
      <c r="BK44" s="591">
        <v>0</v>
      </c>
      <c r="BL44" s="591">
        <v>0</v>
      </c>
      <c r="BM44" s="591">
        <v>0</v>
      </c>
      <c r="BN44" s="591">
        <v>0</v>
      </c>
      <c r="BO44" s="591">
        <v>0</v>
      </c>
      <c r="BP44" s="591">
        <v>0</v>
      </c>
      <c r="BQ44" s="591">
        <v>55</v>
      </c>
      <c r="BR44" s="591">
        <v>0</v>
      </c>
      <c r="BS44" s="591">
        <v>0</v>
      </c>
      <c r="BT44" s="591">
        <v>0</v>
      </c>
      <c r="BU44" s="591">
        <v>0</v>
      </c>
      <c r="BV44" s="591">
        <v>0</v>
      </c>
      <c r="BW44" s="591">
        <v>0</v>
      </c>
      <c r="BX44" s="591">
        <v>0</v>
      </c>
      <c r="BY44" s="591">
        <v>0</v>
      </c>
      <c r="BZ44" s="591">
        <v>0</v>
      </c>
      <c r="CA44" s="591">
        <v>0</v>
      </c>
      <c r="CB44" s="591">
        <v>0</v>
      </c>
      <c r="CC44" s="591">
        <v>0</v>
      </c>
      <c r="CD44" s="591">
        <v>0</v>
      </c>
      <c r="CE44" s="591">
        <v>0</v>
      </c>
      <c r="CF44" s="591">
        <v>0</v>
      </c>
      <c r="CG44" s="591">
        <v>0</v>
      </c>
      <c r="CH44" s="591">
        <v>950555</v>
      </c>
      <c r="CI44" s="591">
        <v>0</v>
      </c>
      <c r="CJ44" s="591">
        <v>4</v>
      </c>
      <c r="CK44" s="591">
        <v>0</v>
      </c>
      <c r="CL44" s="591">
        <v>0</v>
      </c>
      <c r="CM44" s="591">
        <v>0</v>
      </c>
      <c r="CN44" s="591">
        <v>0</v>
      </c>
      <c r="CO44" s="591">
        <v>1</v>
      </c>
      <c r="CP44" s="591">
        <v>0</v>
      </c>
      <c r="CQ44" s="591">
        <v>0</v>
      </c>
      <c r="CR44" s="591">
        <v>5245.5780000000004</v>
      </c>
      <c r="CS44" s="591">
        <v>0</v>
      </c>
      <c r="CT44" s="591">
        <v>0</v>
      </c>
      <c r="CU44" s="591">
        <v>0</v>
      </c>
      <c r="CV44" s="591">
        <v>0</v>
      </c>
      <c r="CW44" s="591">
        <v>0</v>
      </c>
      <c r="CX44" s="591">
        <v>0</v>
      </c>
      <c r="CY44" s="591">
        <v>0</v>
      </c>
      <c r="CZ44" s="591">
        <v>0</v>
      </c>
      <c r="DA44" s="591">
        <v>0</v>
      </c>
      <c r="DB44" s="591">
        <v>28609240</v>
      </c>
      <c r="DC44" s="591">
        <v>0</v>
      </c>
      <c r="DD44" s="591">
        <v>0</v>
      </c>
      <c r="DE44" s="591">
        <v>5569889</v>
      </c>
      <c r="DF44" s="591">
        <v>5569889</v>
      </c>
      <c r="DG44" s="591">
        <v>904.33800000000008</v>
      </c>
      <c r="DH44" s="591">
        <v>0</v>
      </c>
      <c r="DI44" s="591">
        <v>0</v>
      </c>
      <c r="DJ44" s="591">
        <v>0</v>
      </c>
      <c r="DK44" s="591">
        <v>0</v>
      </c>
      <c r="DL44" s="591">
        <v>0</v>
      </c>
      <c r="DM44" s="591">
        <v>4820513</v>
      </c>
      <c r="DN44" s="591">
        <v>18392</v>
      </c>
      <c r="DO44" s="591">
        <v>0</v>
      </c>
      <c r="DP44" s="591">
        <v>0</v>
      </c>
      <c r="DQ44" s="591">
        <v>0</v>
      </c>
      <c r="DR44" s="591">
        <v>0</v>
      </c>
      <c r="DS44" s="591">
        <v>0</v>
      </c>
      <c r="DT44" s="591">
        <v>0</v>
      </c>
      <c r="DU44" s="591">
        <v>0</v>
      </c>
      <c r="DV44" s="591">
        <v>0</v>
      </c>
      <c r="DW44" s="591">
        <v>0</v>
      </c>
      <c r="DX44" s="591">
        <v>0</v>
      </c>
      <c r="DY44" s="591">
        <v>0</v>
      </c>
      <c r="DZ44" s="591">
        <v>0</v>
      </c>
      <c r="EA44" s="591">
        <v>0</v>
      </c>
      <c r="EB44" s="591">
        <v>0</v>
      </c>
      <c r="EC44" s="591">
        <v>182.38300000000001</v>
      </c>
      <c r="ED44" s="591">
        <v>1291809</v>
      </c>
      <c r="EE44" s="591">
        <v>0</v>
      </c>
      <c r="EF44" s="591">
        <v>0</v>
      </c>
      <c r="EG44" s="591">
        <v>0</v>
      </c>
      <c r="EH44" s="591">
        <v>3547096</v>
      </c>
      <c r="EI44" s="591">
        <v>0</v>
      </c>
      <c r="EJ44" s="591">
        <v>0</v>
      </c>
      <c r="EK44" s="591">
        <v>138.16800000000001</v>
      </c>
      <c r="EL44" s="591">
        <v>0</v>
      </c>
      <c r="EM44" s="591">
        <v>36.753</v>
      </c>
      <c r="EN44" s="591">
        <v>10.23</v>
      </c>
      <c r="EO44" s="591">
        <v>0</v>
      </c>
      <c r="EP44" s="591">
        <v>0</v>
      </c>
      <c r="EQ44" s="591">
        <v>185.15100000000001</v>
      </c>
      <c r="ER44" s="591">
        <v>0</v>
      </c>
      <c r="ES44" s="591">
        <v>575.91300000000001</v>
      </c>
      <c r="ET44" s="591">
        <v>0</v>
      </c>
      <c r="EU44" s="591">
        <v>0</v>
      </c>
      <c r="EV44" s="591">
        <v>0</v>
      </c>
      <c r="EW44" s="591">
        <v>0</v>
      </c>
      <c r="EX44" s="591">
        <v>0</v>
      </c>
      <c r="EY44" s="591">
        <v>0</v>
      </c>
      <c r="EZ44" s="591">
        <v>47070288</v>
      </c>
      <c r="FA44" s="591">
        <v>0</v>
      </c>
      <c r="FB44" s="591">
        <v>49163713</v>
      </c>
      <c r="FC44" s="591">
        <v>0</v>
      </c>
      <c r="FD44" s="591">
        <v>0</v>
      </c>
      <c r="FE44" s="591">
        <v>5088789</v>
      </c>
      <c r="FF44" s="591">
        <v>1037978</v>
      </c>
      <c r="FG44" s="591">
        <v>6.4728999999999995E-2</v>
      </c>
      <c r="FH44" s="591">
        <v>2.6405999999999999E-2</v>
      </c>
      <c r="FI44" s="591">
        <v>0</v>
      </c>
      <c r="FJ44" s="591">
        <v>0</v>
      </c>
      <c r="FK44" s="591">
        <v>7976.5450000000001</v>
      </c>
      <c r="FL44" s="591">
        <v>56241035</v>
      </c>
      <c r="FM44" s="591">
        <v>0</v>
      </c>
      <c r="FN44" s="591">
        <v>0</v>
      </c>
      <c r="FO44" s="591">
        <v>21159</v>
      </c>
      <c r="FP44" s="591">
        <v>0</v>
      </c>
      <c r="FQ44" s="591">
        <v>25227</v>
      </c>
      <c r="FR44" s="591">
        <v>21159</v>
      </c>
      <c r="FS44" s="591">
        <v>4068</v>
      </c>
      <c r="FT44" s="591">
        <v>0</v>
      </c>
      <c r="FU44" s="591">
        <v>0</v>
      </c>
      <c r="FV44" s="591">
        <v>0</v>
      </c>
      <c r="FW44" s="591">
        <v>0</v>
      </c>
      <c r="FX44" s="591">
        <v>0</v>
      </c>
      <c r="FY44" s="591">
        <v>0</v>
      </c>
      <c r="FZ44" s="591">
        <v>0</v>
      </c>
      <c r="GA44" s="591">
        <v>0</v>
      </c>
      <c r="GB44" s="591">
        <v>3453769</v>
      </c>
      <c r="GC44" s="591">
        <v>3453769</v>
      </c>
      <c r="GD44" s="591">
        <v>415.37800000000004</v>
      </c>
      <c r="GE44" s="591">
        <v>0</v>
      </c>
      <c r="GF44" s="591">
        <v>0</v>
      </c>
      <c r="GG44" s="591">
        <v>0</v>
      </c>
      <c r="GH44" s="591">
        <v>0</v>
      </c>
      <c r="GI44" s="591">
        <v>0</v>
      </c>
      <c r="GJ44" s="591">
        <v>0</v>
      </c>
      <c r="GK44" s="591">
        <v>0</v>
      </c>
      <c r="GL44" s="591">
        <v>0</v>
      </c>
      <c r="GM44" s="591">
        <v>0</v>
      </c>
      <c r="GN44" s="591">
        <v>0</v>
      </c>
      <c r="GO44" s="591">
        <v>0</v>
      </c>
      <c r="GP44" s="591">
        <v>0</v>
      </c>
      <c r="GQ44" s="591">
        <v>0</v>
      </c>
      <c r="GR44" s="591">
        <v>0</v>
      </c>
      <c r="GS44" s="591">
        <v>0</v>
      </c>
      <c r="GT44" s="591">
        <v>0</v>
      </c>
      <c r="GU44" s="591">
        <v>0</v>
      </c>
      <c r="GV44" s="591">
        <v>0</v>
      </c>
      <c r="GW44" s="591">
        <v>0</v>
      </c>
      <c r="GX44" s="591">
        <v>0</v>
      </c>
      <c r="GY44" s="591">
        <v>0</v>
      </c>
      <c r="GZ44" s="591">
        <v>0</v>
      </c>
      <c r="HA44" s="591">
        <v>0</v>
      </c>
      <c r="HB44" s="591">
        <v>260009272</v>
      </c>
      <c r="HC44" s="591">
        <v>5.1774999999999995E-2</v>
      </c>
      <c r="HD44" s="591">
        <v>950555</v>
      </c>
      <c r="HE44" s="591">
        <v>0</v>
      </c>
      <c r="HF44" s="591">
        <v>5104909</v>
      </c>
      <c r="HG44" s="591">
        <v>134080</v>
      </c>
      <c r="HH44" s="591">
        <v>897378</v>
      </c>
      <c r="HI44" s="591">
        <v>0</v>
      </c>
      <c r="HJ44" s="591">
        <v>50987</v>
      </c>
      <c r="HK44" s="591">
        <v>15549</v>
      </c>
      <c r="HL44" s="591">
        <v>13840</v>
      </c>
      <c r="HM44" s="591">
        <v>155000</v>
      </c>
      <c r="HN44" s="591">
        <v>6781</v>
      </c>
      <c r="HO44" s="591">
        <v>0</v>
      </c>
      <c r="HP44" s="591">
        <v>0</v>
      </c>
      <c r="HQ44" s="591">
        <v>0</v>
      </c>
      <c r="HR44" s="591">
        <v>0</v>
      </c>
      <c r="HS44" s="591">
        <v>47051189</v>
      </c>
      <c r="HT44" s="591">
        <v>0</v>
      </c>
      <c r="HU44" s="591">
        <v>0</v>
      </c>
      <c r="HV44" s="591">
        <v>0</v>
      </c>
      <c r="HW44" s="591">
        <v>0</v>
      </c>
      <c r="HX44" s="591">
        <v>681</v>
      </c>
      <c r="HY44" s="591">
        <v>680</v>
      </c>
      <c r="HZ44" s="591">
        <v>658</v>
      </c>
      <c r="IA44" s="591">
        <v>773</v>
      </c>
      <c r="IB44" s="591">
        <v>808</v>
      </c>
      <c r="IC44" s="591">
        <v>3203</v>
      </c>
      <c r="ID44" s="591">
        <v>0</v>
      </c>
      <c r="IE44" s="591">
        <v>0</v>
      </c>
      <c r="IF44" s="591">
        <v>0</v>
      </c>
      <c r="IG44" s="591">
        <v>217.69400000000002</v>
      </c>
      <c r="IH44" s="591">
        <v>1457</v>
      </c>
      <c r="II44" s="591">
        <v>0</v>
      </c>
      <c r="IJ44" s="591">
        <v>498.87</v>
      </c>
      <c r="IK44" s="591">
        <v>0</v>
      </c>
      <c r="IL44" s="591">
        <v>12</v>
      </c>
      <c r="IM44" s="591">
        <v>31</v>
      </c>
      <c r="IN44" s="591">
        <v>1</v>
      </c>
      <c r="IO44" s="591">
        <v>44</v>
      </c>
      <c r="IP44" s="591">
        <v>0</v>
      </c>
      <c r="IQ44" s="591">
        <v>498.87</v>
      </c>
      <c r="IR44" s="591">
        <v>307258</v>
      </c>
      <c r="IS44" s="591">
        <v>0</v>
      </c>
      <c r="IT44" s="591">
        <v>60000</v>
      </c>
      <c r="IU44" s="591">
        <v>93000</v>
      </c>
      <c r="IV44" s="591">
        <v>2000</v>
      </c>
      <c r="IW44" s="591">
        <v>6159</v>
      </c>
      <c r="IX44" s="591">
        <v>0</v>
      </c>
      <c r="IY44" s="591">
        <v>0</v>
      </c>
      <c r="IZ44" s="591">
        <v>0</v>
      </c>
      <c r="JA44" s="591">
        <v>0</v>
      </c>
      <c r="JB44" s="591">
        <v>0</v>
      </c>
      <c r="JC44" s="591">
        <v>0</v>
      </c>
      <c r="JD44" s="591">
        <v>0</v>
      </c>
      <c r="JE44" s="591">
        <v>0</v>
      </c>
      <c r="JF44" s="591">
        <v>1</v>
      </c>
      <c r="JG44" s="591">
        <v>6781</v>
      </c>
      <c r="JH44" s="591">
        <v>0</v>
      </c>
      <c r="JI44" s="591">
        <v>0</v>
      </c>
      <c r="JJ44" s="591">
        <v>0</v>
      </c>
      <c r="JK44" s="591">
        <v>0</v>
      </c>
      <c r="JL44" s="591">
        <v>0</v>
      </c>
      <c r="JM44" s="591">
        <v>0</v>
      </c>
      <c r="JN44" s="591">
        <v>32469</v>
      </c>
    </row>
    <row r="45" spans="1:274" x14ac:dyDescent="0.25">
      <c r="A45" s="591">
        <v>32570</v>
      </c>
      <c r="B45" s="591">
        <v>57808</v>
      </c>
      <c r="C45" s="591">
        <v>9</v>
      </c>
      <c r="D45" s="591">
        <v>2022</v>
      </c>
      <c r="E45" s="591">
        <v>6159</v>
      </c>
      <c r="F45" s="591">
        <v>0</v>
      </c>
      <c r="G45" s="591">
        <v>2192.2470000000003</v>
      </c>
      <c r="H45" s="591">
        <v>2159.4459999999999</v>
      </c>
      <c r="I45" s="591">
        <v>2159.4459999999999</v>
      </c>
      <c r="J45" s="591">
        <v>2192.2470000000003</v>
      </c>
      <c r="K45" s="591">
        <v>0</v>
      </c>
      <c r="L45" s="591">
        <v>6159</v>
      </c>
      <c r="M45" s="591">
        <v>0</v>
      </c>
      <c r="N45" s="591">
        <v>0</v>
      </c>
      <c r="O45" s="591">
        <v>0</v>
      </c>
      <c r="P45" s="591">
        <v>2105.4680000000003</v>
      </c>
      <c r="Q45" s="591">
        <v>0</v>
      </c>
      <c r="R45" s="591">
        <v>847299</v>
      </c>
      <c r="S45" s="591">
        <v>402.428</v>
      </c>
      <c r="T45" s="591">
        <v>0</v>
      </c>
      <c r="U45" s="591">
        <v>0</v>
      </c>
      <c r="V45" s="591">
        <v>842.83300000000008</v>
      </c>
      <c r="W45" s="591">
        <v>519108</v>
      </c>
      <c r="X45" s="591">
        <v>519108</v>
      </c>
      <c r="Y45" s="591">
        <v>0</v>
      </c>
      <c r="Z45" s="591">
        <v>0</v>
      </c>
      <c r="AA45" s="591">
        <v>0</v>
      </c>
      <c r="AB45" s="591">
        <v>0</v>
      </c>
      <c r="AC45" s="591">
        <v>0</v>
      </c>
      <c r="AD45" s="591" t="s">
        <v>316</v>
      </c>
      <c r="AE45" s="591">
        <v>0</v>
      </c>
      <c r="AF45" s="591">
        <v>0</v>
      </c>
      <c r="AG45" s="591">
        <v>0</v>
      </c>
      <c r="AH45" s="591">
        <v>0</v>
      </c>
      <c r="AI45" s="591">
        <v>0</v>
      </c>
      <c r="AJ45" s="591">
        <v>6159</v>
      </c>
      <c r="AK45" s="591" t="s">
        <v>671</v>
      </c>
      <c r="AL45" s="591" t="s">
        <v>43</v>
      </c>
      <c r="AM45" s="591">
        <v>0</v>
      </c>
      <c r="AN45" s="591">
        <v>0</v>
      </c>
      <c r="AO45" s="591">
        <v>0</v>
      </c>
      <c r="AP45" s="591">
        <v>0</v>
      </c>
      <c r="AQ45" s="591">
        <v>0</v>
      </c>
      <c r="AR45" s="591">
        <v>0</v>
      </c>
      <c r="AS45" s="591">
        <v>0</v>
      </c>
      <c r="AT45" s="591">
        <v>0</v>
      </c>
      <c r="AU45" s="591">
        <v>0</v>
      </c>
      <c r="AV45" s="591">
        <v>0</v>
      </c>
      <c r="AW45" s="591">
        <v>20451859</v>
      </c>
      <c r="AX45" s="591">
        <v>20056506</v>
      </c>
      <c r="AY45" s="591">
        <v>0</v>
      </c>
      <c r="AZ45" s="591">
        <v>847299</v>
      </c>
      <c r="BA45" s="591">
        <v>0</v>
      </c>
      <c r="BB45" s="591">
        <v>0</v>
      </c>
      <c r="BC45" s="591">
        <v>0</v>
      </c>
      <c r="BD45" s="591">
        <v>0</v>
      </c>
      <c r="BE45" s="591">
        <v>268</v>
      </c>
      <c r="BF45" s="591">
        <v>18322177</v>
      </c>
      <c r="BG45" s="591">
        <v>0</v>
      </c>
      <c r="BH45" s="591">
        <v>0</v>
      </c>
      <c r="BI45" s="591">
        <v>0</v>
      </c>
      <c r="BJ45" s="591">
        <v>12</v>
      </c>
      <c r="BK45" s="591">
        <v>0</v>
      </c>
      <c r="BL45" s="591">
        <v>0</v>
      </c>
      <c r="BM45" s="591">
        <v>0</v>
      </c>
      <c r="BN45" s="591">
        <v>0</v>
      </c>
      <c r="BO45" s="591">
        <v>0</v>
      </c>
      <c r="BP45" s="591">
        <v>0</v>
      </c>
      <c r="BQ45" s="591">
        <v>437</v>
      </c>
      <c r="BR45" s="591">
        <v>0</v>
      </c>
      <c r="BS45" s="591">
        <v>0</v>
      </c>
      <c r="BT45" s="591">
        <v>0</v>
      </c>
      <c r="BU45" s="591">
        <v>0</v>
      </c>
      <c r="BV45" s="591">
        <v>0</v>
      </c>
      <c r="BW45" s="591">
        <v>0</v>
      </c>
      <c r="BX45" s="591">
        <v>0</v>
      </c>
      <c r="BY45" s="591">
        <v>0</v>
      </c>
      <c r="BZ45" s="591">
        <v>0</v>
      </c>
      <c r="CA45" s="591">
        <v>0</v>
      </c>
      <c r="CB45" s="591">
        <v>0</v>
      </c>
      <c r="CC45" s="591">
        <v>0</v>
      </c>
      <c r="CD45" s="591">
        <v>0</v>
      </c>
      <c r="CE45" s="591">
        <v>0</v>
      </c>
      <c r="CF45" s="591">
        <v>0</v>
      </c>
      <c r="CG45" s="591">
        <v>0</v>
      </c>
      <c r="CH45" s="591">
        <v>397259</v>
      </c>
      <c r="CI45" s="591">
        <v>0</v>
      </c>
      <c r="CJ45" s="591">
        <v>4</v>
      </c>
      <c r="CK45" s="591">
        <v>0</v>
      </c>
      <c r="CL45" s="591">
        <v>0</v>
      </c>
      <c r="CM45" s="591">
        <v>0</v>
      </c>
      <c r="CN45" s="591">
        <v>0</v>
      </c>
      <c r="CO45" s="591">
        <v>1</v>
      </c>
      <c r="CP45" s="591">
        <v>0</v>
      </c>
      <c r="CQ45" s="591">
        <v>0</v>
      </c>
      <c r="CR45" s="591">
        <v>2192.2470000000003</v>
      </c>
      <c r="CS45" s="591">
        <v>0</v>
      </c>
      <c r="CT45" s="591">
        <v>0</v>
      </c>
      <c r="CU45" s="591">
        <v>0</v>
      </c>
      <c r="CV45" s="591">
        <v>0</v>
      </c>
      <c r="CW45" s="591">
        <v>0</v>
      </c>
      <c r="CX45" s="591">
        <v>0</v>
      </c>
      <c r="CY45" s="591">
        <v>0</v>
      </c>
      <c r="CZ45" s="591">
        <v>0</v>
      </c>
      <c r="DA45" s="591">
        <v>0</v>
      </c>
      <c r="DB45" s="591">
        <v>13300206</v>
      </c>
      <c r="DC45" s="591">
        <v>0</v>
      </c>
      <c r="DD45" s="591">
        <v>0</v>
      </c>
      <c r="DE45" s="591">
        <v>1139584</v>
      </c>
      <c r="DF45" s="591">
        <v>1139584</v>
      </c>
      <c r="DG45" s="591">
        <v>185.02500000000001</v>
      </c>
      <c r="DH45" s="591">
        <v>0</v>
      </c>
      <c r="DI45" s="591">
        <v>0</v>
      </c>
      <c r="DJ45" s="591">
        <v>0</v>
      </c>
      <c r="DK45" s="591">
        <v>0</v>
      </c>
      <c r="DL45" s="591">
        <v>0</v>
      </c>
      <c r="DM45" s="591">
        <v>429292</v>
      </c>
      <c r="DN45" s="591">
        <v>1638</v>
      </c>
      <c r="DO45" s="591">
        <v>0</v>
      </c>
      <c r="DP45" s="591">
        <v>0</v>
      </c>
      <c r="DQ45" s="591">
        <v>0</v>
      </c>
      <c r="DR45" s="591">
        <v>0</v>
      </c>
      <c r="DS45" s="591">
        <v>0</v>
      </c>
      <c r="DT45" s="591">
        <v>0</v>
      </c>
      <c r="DU45" s="591">
        <v>0</v>
      </c>
      <c r="DV45" s="591">
        <v>0</v>
      </c>
      <c r="DW45" s="591">
        <v>0</v>
      </c>
      <c r="DX45" s="591">
        <v>0</v>
      </c>
      <c r="DY45" s="591">
        <v>0</v>
      </c>
      <c r="DZ45" s="591">
        <v>0</v>
      </c>
      <c r="EA45" s="591">
        <v>0</v>
      </c>
      <c r="EB45" s="591">
        <v>0</v>
      </c>
      <c r="EC45" s="591">
        <v>4.617</v>
      </c>
      <c r="ED45" s="591">
        <v>32702</v>
      </c>
      <c r="EE45" s="591">
        <v>0</v>
      </c>
      <c r="EF45" s="591">
        <v>0</v>
      </c>
      <c r="EG45" s="591">
        <v>0</v>
      </c>
      <c r="EH45" s="591">
        <v>398228</v>
      </c>
      <c r="EI45" s="591">
        <v>0</v>
      </c>
      <c r="EJ45" s="591">
        <v>0</v>
      </c>
      <c r="EK45" s="591">
        <v>18.09</v>
      </c>
      <c r="EL45" s="591">
        <v>0</v>
      </c>
      <c r="EM45" s="591">
        <v>0.47400000000000003</v>
      </c>
      <c r="EN45" s="591">
        <v>1.7930000000000001</v>
      </c>
      <c r="EO45" s="591">
        <v>0</v>
      </c>
      <c r="EP45" s="591">
        <v>0</v>
      </c>
      <c r="EQ45" s="591">
        <v>20.356999999999999</v>
      </c>
      <c r="ER45" s="591">
        <v>0</v>
      </c>
      <c r="ES45" s="591">
        <v>64.656999999999996</v>
      </c>
      <c r="ET45" s="591">
        <v>0</v>
      </c>
      <c r="EU45" s="591">
        <v>0</v>
      </c>
      <c r="EV45" s="591">
        <v>0</v>
      </c>
      <c r="EW45" s="591">
        <v>0</v>
      </c>
      <c r="EX45" s="591">
        <v>0</v>
      </c>
      <c r="EY45" s="591">
        <v>0</v>
      </c>
      <c r="EZ45" s="591">
        <v>17771551</v>
      </c>
      <c r="FA45" s="591">
        <v>0</v>
      </c>
      <c r="FB45" s="591">
        <v>18616944</v>
      </c>
      <c r="FC45" s="591">
        <v>0</v>
      </c>
      <c r="FD45" s="591">
        <v>0</v>
      </c>
      <c r="FE45" s="591">
        <v>1897845</v>
      </c>
      <c r="FF45" s="591">
        <v>387110</v>
      </c>
      <c r="FG45" s="591">
        <v>6.4728999999999995E-2</v>
      </c>
      <c r="FH45" s="591">
        <v>2.6405999999999999E-2</v>
      </c>
      <c r="FI45" s="591">
        <v>0</v>
      </c>
      <c r="FJ45" s="591">
        <v>0</v>
      </c>
      <c r="FK45" s="591">
        <v>2974.8230000000003</v>
      </c>
      <c r="FL45" s="591">
        <v>21299158</v>
      </c>
      <c r="FM45" s="591">
        <v>0</v>
      </c>
      <c r="FN45" s="591">
        <v>0</v>
      </c>
      <c r="FO45" s="591">
        <v>293763</v>
      </c>
      <c r="FP45" s="591">
        <v>0</v>
      </c>
      <c r="FQ45" s="591">
        <v>293763</v>
      </c>
      <c r="FR45" s="591">
        <v>293763</v>
      </c>
      <c r="FS45" s="591">
        <v>0</v>
      </c>
      <c r="FT45" s="591">
        <v>0</v>
      </c>
      <c r="FU45" s="591">
        <v>0</v>
      </c>
      <c r="FV45" s="591">
        <v>0</v>
      </c>
      <c r="FW45" s="591">
        <v>0</v>
      </c>
      <c r="FX45" s="591">
        <v>0</v>
      </c>
      <c r="FY45" s="591">
        <v>0</v>
      </c>
      <c r="FZ45" s="591">
        <v>0</v>
      </c>
      <c r="GA45" s="591">
        <v>0</v>
      </c>
      <c r="GB45" s="591">
        <v>103469</v>
      </c>
      <c r="GC45" s="591">
        <v>103469</v>
      </c>
      <c r="GD45" s="591">
        <v>12.444000000000001</v>
      </c>
      <c r="GE45" s="591">
        <v>0</v>
      </c>
      <c r="GF45" s="591">
        <v>0</v>
      </c>
      <c r="GG45" s="591">
        <v>0</v>
      </c>
      <c r="GH45" s="591">
        <v>0</v>
      </c>
      <c r="GI45" s="591">
        <v>0</v>
      </c>
      <c r="GJ45" s="591">
        <v>0</v>
      </c>
      <c r="GK45" s="591">
        <v>0</v>
      </c>
      <c r="GL45" s="591">
        <v>0</v>
      </c>
      <c r="GM45" s="591">
        <v>0</v>
      </c>
      <c r="GN45" s="591">
        <v>0</v>
      </c>
      <c r="GO45" s="591">
        <v>0</v>
      </c>
      <c r="GP45" s="591">
        <v>0</v>
      </c>
      <c r="GQ45" s="591">
        <v>0</v>
      </c>
      <c r="GR45" s="591">
        <v>0</v>
      </c>
      <c r="GS45" s="591">
        <v>0</v>
      </c>
      <c r="GT45" s="591">
        <v>0</v>
      </c>
      <c r="GU45" s="591">
        <v>0</v>
      </c>
      <c r="GV45" s="591">
        <v>0</v>
      </c>
      <c r="GW45" s="591">
        <v>0</v>
      </c>
      <c r="GX45" s="591">
        <v>0</v>
      </c>
      <c r="GY45" s="591">
        <v>0</v>
      </c>
      <c r="GZ45" s="591">
        <v>0</v>
      </c>
      <c r="HA45" s="591">
        <v>0</v>
      </c>
      <c r="HB45" s="591">
        <v>260009272</v>
      </c>
      <c r="HC45" s="591">
        <v>5.1774999999999995E-2</v>
      </c>
      <c r="HD45" s="591">
        <v>397259</v>
      </c>
      <c r="HE45" s="591">
        <v>0</v>
      </c>
      <c r="HF45" s="591">
        <v>2373231</v>
      </c>
      <c r="HG45" s="591">
        <v>3080</v>
      </c>
      <c r="HH45" s="591">
        <v>414260</v>
      </c>
      <c r="HI45" s="591">
        <v>0</v>
      </c>
      <c r="HJ45" s="591">
        <v>21309</v>
      </c>
      <c r="HK45" s="591">
        <v>1479</v>
      </c>
      <c r="HL45" s="591">
        <v>1431</v>
      </c>
      <c r="HM45" s="591">
        <v>17000</v>
      </c>
      <c r="HN45" s="591">
        <v>0</v>
      </c>
      <c r="HO45" s="591">
        <v>0</v>
      </c>
      <c r="HP45" s="591">
        <v>0</v>
      </c>
      <c r="HQ45" s="591">
        <v>0</v>
      </c>
      <c r="HR45" s="591">
        <v>0</v>
      </c>
      <c r="HS45" s="591">
        <v>17769645</v>
      </c>
      <c r="HT45" s="591">
        <v>0</v>
      </c>
      <c r="HU45" s="591">
        <v>0</v>
      </c>
      <c r="HV45" s="591">
        <v>0</v>
      </c>
      <c r="HW45" s="591">
        <v>0</v>
      </c>
      <c r="HX45" s="591">
        <v>63</v>
      </c>
      <c r="HY45" s="591">
        <v>134</v>
      </c>
      <c r="HZ45" s="591">
        <v>166</v>
      </c>
      <c r="IA45" s="591">
        <v>140</v>
      </c>
      <c r="IB45" s="591">
        <v>221</v>
      </c>
      <c r="IC45" s="591">
        <v>643</v>
      </c>
      <c r="ID45" s="591">
        <v>0</v>
      </c>
      <c r="IE45" s="591">
        <v>0</v>
      </c>
      <c r="IF45" s="591">
        <v>0</v>
      </c>
      <c r="IG45" s="591">
        <v>5</v>
      </c>
      <c r="IH45" s="591">
        <v>672.6</v>
      </c>
      <c r="II45" s="591">
        <v>0</v>
      </c>
      <c r="IJ45" s="591">
        <v>842.83300000000008</v>
      </c>
      <c r="IK45" s="591">
        <v>0</v>
      </c>
      <c r="IL45" s="591">
        <v>1</v>
      </c>
      <c r="IM45" s="591">
        <v>4</v>
      </c>
      <c r="IN45" s="591">
        <v>0</v>
      </c>
      <c r="IO45" s="591">
        <v>5</v>
      </c>
      <c r="IP45" s="591">
        <v>0</v>
      </c>
      <c r="IQ45" s="591">
        <v>842.83300000000008</v>
      </c>
      <c r="IR45" s="591">
        <v>519108</v>
      </c>
      <c r="IS45" s="591">
        <v>0</v>
      </c>
      <c r="IT45" s="591">
        <v>5000</v>
      </c>
      <c r="IU45" s="591">
        <v>12000</v>
      </c>
      <c r="IV45" s="591">
        <v>0</v>
      </c>
      <c r="IW45" s="591">
        <v>6159</v>
      </c>
      <c r="IX45" s="591">
        <v>0</v>
      </c>
      <c r="IY45" s="591">
        <v>0</v>
      </c>
      <c r="IZ45" s="591">
        <v>0</v>
      </c>
      <c r="JA45" s="591">
        <v>0</v>
      </c>
      <c r="JB45" s="591">
        <v>0</v>
      </c>
      <c r="JC45" s="591">
        <v>0</v>
      </c>
      <c r="JD45" s="591">
        <v>0</v>
      </c>
      <c r="JE45" s="591">
        <v>0</v>
      </c>
      <c r="JF45" s="591">
        <v>0</v>
      </c>
      <c r="JG45" s="591">
        <v>0</v>
      </c>
      <c r="JH45" s="591">
        <v>0</v>
      </c>
      <c r="JI45" s="591">
        <v>0</v>
      </c>
      <c r="JJ45" s="591">
        <v>0</v>
      </c>
      <c r="JK45" s="591">
        <v>0</v>
      </c>
      <c r="JL45" s="591">
        <v>0</v>
      </c>
      <c r="JM45" s="591">
        <v>0</v>
      </c>
      <c r="JN45" s="591">
        <v>32469</v>
      </c>
    </row>
    <row r="46" spans="1:274" x14ac:dyDescent="0.25">
      <c r="A46" s="591">
        <v>32570</v>
      </c>
      <c r="B46" s="591">
        <v>57809</v>
      </c>
      <c r="C46" s="591">
        <v>9</v>
      </c>
      <c r="D46" s="591">
        <v>2022</v>
      </c>
      <c r="E46" s="591">
        <v>6159</v>
      </c>
      <c r="F46" s="591">
        <v>0</v>
      </c>
      <c r="G46" s="591">
        <v>89.222000000000008</v>
      </c>
      <c r="H46" s="591">
        <v>89.198999999999998</v>
      </c>
      <c r="I46" s="591">
        <v>89.198999999999998</v>
      </c>
      <c r="J46" s="591">
        <v>89.222000000000008</v>
      </c>
      <c r="K46" s="591">
        <v>0</v>
      </c>
      <c r="L46" s="591">
        <v>6159</v>
      </c>
      <c r="M46" s="591">
        <v>0</v>
      </c>
      <c r="N46" s="591">
        <v>0</v>
      </c>
      <c r="O46" s="591">
        <v>0</v>
      </c>
      <c r="P46" s="591">
        <v>87.222000000000008</v>
      </c>
      <c r="Q46" s="591">
        <v>0</v>
      </c>
      <c r="R46" s="591">
        <v>35101</v>
      </c>
      <c r="S46" s="591">
        <v>402.428</v>
      </c>
      <c r="T46" s="591">
        <v>0</v>
      </c>
      <c r="U46" s="591">
        <v>0</v>
      </c>
      <c r="V46" s="591">
        <v>8.5590000000000011</v>
      </c>
      <c r="W46" s="591">
        <v>5272</v>
      </c>
      <c r="X46" s="591">
        <v>5272</v>
      </c>
      <c r="Y46" s="591">
        <v>0</v>
      </c>
      <c r="Z46" s="591">
        <v>0</v>
      </c>
      <c r="AA46" s="591">
        <v>0</v>
      </c>
      <c r="AB46" s="591">
        <v>0</v>
      </c>
      <c r="AC46" s="591">
        <v>0</v>
      </c>
      <c r="AD46" s="591" t="s">
        <v>316</v>
      </c>
      <c r="AE46" s="591">
        <v>0</v>
      </c>
      <c r="AF46" s="591">
        <v>0</v>
      </c>
      <c r="AG46" s="591">
        <v>0</v>
      </c>
      <c r="AH46" s="591">
        <v>0</v>
      </c>
      <c r="AI46" s="591">
        <v>0</v>
      </c>
      <c r="AJ46" s="591">
        <v>6159</v>
      </c>
      <c r="AK46" s="591" t="s">
        <v>671</v>
      </c>
      <c r="AL46" s="591" t="s">
        <v>327</v>
      </c>
      <c r="AM46" s="591">
        <v>0</v>
      </c>
      <c r="AN46" s="591">
        <v>0</v>
      </c>
      <c r="AO46" s="591">
        <v>0</v>
      </c>
      <c r="AP46" s="591">
        <v>0</v>
      </c>
      <c r="AQ46" s="591">
        <v>0</v>
      </c>
      <c r="AR46" s="591">
        <v>0</v>
      </c>
      <c r="AS46" s="591">
        <v>0</v>
      </c>
      <c r="AT46" s="591">
        <v>0</v>
      </c>
      <c r="AU46" s="591">
        <v>0</v>
      </c>
      <c r="AV46" s="591">
        <v>0</v>
      </c>
      <c r="AW46" s="591">
        <v>1071650</v>
      </c>
      <c r="AX46" s="591">
        <v>1055499</v>
      </c>
      <c r="AY46" s="591">
        <v>0</v>
      </c>
      <c r="AZ46" s="591">
        <v>35101</v>
      </c>
      <c r="BA46" s="591">
        <v>0</v>
      </c>
      <c r="BB46" s="591">
        <v>0</v>
      </c>
      <c r="BC46" s="591">
        <v>0</v>
      </c>
      <c r="BD46" s="591">
        <v>0</v>
      </c>
      <c r="BE46" s="591">
        <v>14</v>
      </c>
      <c r="BF46" s="591">
        <v>969672</v>
      </c>
      <c r="BG46" s="591">
        <v>0</v>
      </c>
      <c r="BH46" s="591">
        <v>0</v>
      </c>
      <c r="BI46" s="591">
        <v>0</v>
      </c>
      <c r="BJ46" s="591">
        <v>12</v>
      </c>
      <c r="BK46" s="591">
        <v>0</v>
      </c>
      <c r="BL46" s="591">
        <v>0</v>
      </c>
      <c r="BM46" s="591">
        <v>0</v>
      </c>
      <c r="BN46" s="591">
        <v>0</v>
      </c>
      <c r="BO46" s="591">
        <v>0</v>
      </c>
      <c r="BP46" s="591">
        <v>0</v>
      </c>
      <c r="BQ46" s="591">
        <v>756</v>
      </c>
      <c r="BR46" s="591">
        <v>0</v>
      </c>
      <c r="BS46" s="591">
        <v>0</v>
      </c>
      <c r="BT46" s="591">
        <v>0</v>
      </c>
      <c r="BU46" s="591">
        <v>0</v>
      </c>
      <c r="BV46" s="591">
        <v>0</v>
      </c>
      <c r="BW46" s="591">
        <v>0</v>
      </c>
      <c r="BX46" s="591">
        <v>0</v>
      </c>
      <c r="BY46" s="591">
        <v>0</v>
      </c>
      <c r="BZ46" s="591">
        <v>0</v>
      </c>
      <c r="CA46" s="591">
        <v>0</v>
      </c>
      <c r="CB46" s="591">
        <v>0</v>
      </c>
      <c r="CC46" s="591">
        <v>0</v>
      </c>
      <c r="CD46" s="591">
        <v>0</v>
      </c>
      <c r="CE46" s="591">
        <v>0</v>
      </c>
      <c r="CF46" s="591">
        <v>0</v>
      </c>
      <c r="CG46" s="591">
        <v>0</v>
      </c>
      <c r="CH46" s="591">
        <v>16168</v>
      </c>
      <c r="CI46" s="591">
        <v>0</v>
      </c>
      <c r="CJ46" s="591">
        <v>4</v>
      </c>
      <c r="CK46" s="591">
        <v>0</v>
      </c>
      <c r="CL46" s="591">
        <v>0</v>
      </c>
      <c r="CM46" s="591">
        <v>0</v>
      </c>
      <c r="CN46" s="591">
        <v>0</v>
      </c>
      <c r="CO46" s="591">
        <v>1</v>
      </c>
      <c r="CP46" s="591">
        <v>0</v>
      </c>
      <c r="CQ46" s="591">
        <v>0</v>
      </c>
      <c r="CR46" s="591">
        <v>89.222000000000008</v>
      </c>
      <c r="CS46" s="591">
        <v>0</v>
      </c>
      <c r="CT46" s="591">
        <v>0</v>
      </c>
      <c r="CU46" s="591">
        <v>0</v>
      </c>
      <c r="CV46" s="591">
        <v>0</v>
      </c>
      <c r="CW46" s="591">
        <v>0</v>
      </c>
      <c r="CX46" s="591">
        <v>0</v>
      </c>
      <c r="CY46" s="591">
        <v>0</v>
      </c>
      <c r="CZ46" s="591">
        <v>0</v>
      </c>
      <c r="DA46" s="591">
        <v>0</v>
      </c>
      <c r="DB46" s="591">
        <v>530759</v>
      </c>
      <c r="DC46" s="591">
        <v>0</v>
      </c>
      <c r="DD46" s="591">
        <v>0</v>
      </c>
      <c r="DE46" s="591">
        <v>216415</v>
      </c>
      <c r="DF46" s="591">
        <v>216415</v>
      </c>
      <c r="DG46" s="591">
        <v>35.138000000000005</v>
      </c>
      <c r="DH46" s="591">
        <v>0</v>
      </c>
      <c r="DI46" s="591">
        <v>0</v>
      </c>
      <c r="DJ46" s="591">
        <v>0</v>
      </c>
      <c r="DK46" s="591">
        <v>3722</v>
      </c>
      <c r="DL46" s="591">
        <v>0</v>
      </c>
      <c r="DM46" s="591">
        <v>19330</v>
      </c>
      <c r="DN46" s="591">
        <v>3</v>
      </c>
      <c r="DO46" s="591">
        <v>0</v>
      </c>
      <c r="DP46" s="591">
        <v>0</v>
      </c>
      <c r="DQ46" s="591">
        <v>0</v>
      </c>
      <c r="DR46" s="591">
        <v>0</v>
      </c>
      <c r="DS46" s="591">
        <v>0</v>
      </c>
      <c r="DT46" s="591">
        <v>0</v>
      </c>
      <c r="DU46" s="591">
        <v>0</v>
      </c>
      <c r="DV46" s="591">
        <v>0</v>
      </c>
      <c r="DW46" s="591">
        <v>0</v>
      </c>
      <c r="DX46" s="591">
        <v>0</v>
      </c>
      <c r="DY46" s="591">
        <v>0</v>
      </c>
      <c r="DZ46" s="591">
        <v>0</v>
      </c>
      <c r="EA46" s="591">
        <v>0</v>
      </c>
      <c r="EB46" s="591">
        <v>0</v>
      </c>
      <c r="EC46" s="591">
        <v>0</v>
      </c>
      <c r="ED46" s="591">
        <v>0</v>
      </c>
      <c r="EE46" s="591">
        <v>0</v>
      </c>
      <c r="EF46" s="591">
        <v>0</v>
      </c>
      <c r="EG46" s="591">
        <v>0</v>
      </c>
      <c r="EH46" s="591">
        <v>708</v>
      </c>
      <c r="EI46" s="591">
        <v>0</v>
      </c>
      <c r="EJ46" s="591">
        <v>0</v>
      </c>
      <c r="EK46" s="591">
        <v>0</v>
      </c>
      <c r="EL46" s="591">
        <v>0</v>
      </c>
      <c r="EM46" s="591">
        <v>0</v>
      </c>
      <c r="EN46" s="591">
        <v>2.3E-2</v>
      </c>
      <c r="EO46" s="591">
        <v>0</v>
      </c>
      <c r="EP46" s="591">
        <v>0</v>
      </c>
      <c r="EQ46" s="591">
        <v>2.3E-2</v>
      </c>
      <c r="ER46" s="591">
        <v>0</v>
      </c>
      <c r="ES46" s="591">
        <v>0.115</v>
      </c>
      <c r="ET46" s="591">
        <v>0</v>
      </c>
      <c r="EU46" s="591">
        <v>0</v>
      </c>
      <c r="EV46" s="591">
        <v>0</v>
      </c>
      <c r="EW46" s="591">
        <v>0</v>
      </c>
      <c r="EX46" s="591">
        <v>0</v>
      </c>
      <c r="EY46" s="591">
        <v>0</v>
      </c>
      <c r="EZ46" s="591">
        <v>934571</v>
      </c>
      <c r="FA46" s="591">
        <v>0</v>
      </c>
      <c r="FB46" s="591">
        <v>969655</v>
      </c>
      <c r="FC46" s="591">
        <v>0</v>
      </c>
      <c r="FD46" s="591">
        <v>0</v>
      </c>
      <c r="FE46" s="591">
        <v>100441</v>
      </c>
      <c r="FF46" s="591">
        <v>20487</v>
      </c>
      <c r="FG46" s="591">
        <v>6.4728999999999995E-2</v>
      </c>
      <c r="FH46" s="591">
        <v>2.6405999999999999E-2</v>
      </c>
      <c r="FI46" s="591">
        <v>0</v>
      </c>
      <c r="FJ46" s="591">
        <v>0</v>
      </c>
      <c r="FK46" s="591">
        <v>157.43800000000002</v>
      </c>
      <c r="FL46" s="591">
        <v>1106751</v>
      </c>
      <c r="FM46" s="591">
        <v>0</v>
      </c>
      <c r="FN46" s="591">
        <v>0</v>
      </c>
      <c r="FO46" s="591">
        <v>0</v>
      </c>
      <c r="FP46" s="591">
        <v>0</v>
      </c>
      <c r="FQ46" s="591">
        <v>0</v>
      </c>
      <c r="FR46" s="591">
        <v>0</v>
      </c>
      <c r="FS46" s="591">
        <v>0</v>
      </c>
      <c r="FT46" s="591">
        <v>0</v>
      </c>
      <c r="FU46" s="591">
        <v>0</v>
      </c>
      <c r="FV46" s="591">
        <v>0</v>
      </c>
      <c r="FW46" s="591">
        <v>0</v>
      </c>
      <c r="FX46" s="591">
        <v>0</v>
      </c>
      <c r="FY46" s="591">
        <v>0</v>
      </c>
      <c r="FZ46" s="591">
        <v>0</v>
      </c>
      <c r="GA46" s="591">
        <v>0</v>
      </c>
      <c r="GB46" s="591">
        <v>0</v>
      </c>
      <c r="GC46" s="591">
        <v>0</v>
      </c>
      <c r="GD46" s="591">
        <v>0</v>
      </c>
      <c r="GE46" s="591">
        <v>0</v>
      </c>
      <c r="GF46" s="591">
        <v>0</v>
      </c>
      <c r="GG46" s="591">
        <v>0</v>
      </c>
      <c r="GH46" s="591">
        <v>0</v>
      </c>
      <c r="GI46" s="591">
        <v>0</v>
      </c>
      <c r="GJ46" s="591">
        <v>0</v>
      </c>
      <c r="GK46" s="591">
        <v>0</v>
      </c>
      <c r="GL46" s="591">
        <v>0</v>
      </c>
      <c r="GM46" s="591">
        <v>0</v>
      </c>
      <c r="GN46" s="591">
        <v>0</v>
      </c>
      <c r="GO46" s="591">
        <v>0</v>
      </c>
      <c r="GP46" s="591">
        <v>0</v>
      </c>
      <c r="GQ46" s="591">
        <v>0</v>
      </c>
      <c r="GR46" s="591">
        <v>0</v>
      </c>
      <c r="GS46" s="591">
        <v>0</v>
      </c>
      <c r="GT46" s="591">
        <v>0</v>
      </c>
      <c r="GU46" s="591">
        <v>0</v>
      </c>
      <c r="GV46" s="591">
        <v>0</v>
      </c>
      <c r="GW46" s="591">
        <v>0</v>
      </c>
      <c r="GX46" s="591">
        <v>0</v>
      </c>
      <c r="GY46" s="591">
        <v>0</v>
      </c>
      <c r="GZ46" s="591">
        <v>0</v>
      </c>
      <c r="HA46" s="591">
        <v>0</v>
      </c>
      <c r="HB46" s="591">
        <v>260009272</v>
      </c>
      <c r="HC46" s="591">
        <v>5.1774999999999995E-2</v>
      </c>
      <c r="HD46" s="591">
        <v>16168</v>
      </c>
      <c r="HE46" s="591">
        <v>0</v>
      </c>
      <c r="HF46" s="591">
        <v>98030</v>
      </c>
      <c r="HG46" s="591">
        <v>642</v>
      </c>
      <c r="HH46" s="591">
        <v>91154</v>
      </c>
      <c r="HI46" s="591">
        <v>0</v>
      </c>
      <c r="HJ46" s="591">
        <v>867</v>
      </c>
      <c r="HK46" s="591">
        <v>0</v>
      </c>
      <c r="HL46" s="591">
        <v>0</v>
      </c>
      <c r="HM46" s="591">
        <v>0</v>
      </c>
      <c r="HN46" s="591">
        <v>0</v>
      </c>
      <c r="HO46" s="591">
        <v>7200</v>
      </c>
      <c r="HP46" s="591">
        <v>0</v>
      </c>
      <c r="HQ46" s="591">
        <v>0</v>
      </c>
      <c r="HR46" s="591">
        <v>0</v>
      </c>
      <c r="HS46" s="591">
        <v>934554</v>
      </c>
      <c r="HT46" s="591">
        <v>0</v>
      </c>
      <c r="HU46" s="591">
        <v>0</v>
      </c>
      <c r="HV46" s="591">
        <v>0</v>
      </c>
      <c r="HW46" s="591">
        <v>0</v>
      </c>
      <c r="HX46" s="591">
        <v>9</v>
      </c>
      <c r="HY46" s="591">
        <v>12</v>
      </c>
      <c r="HZ46" s="591">
        <v>33</v>
      </c>
      <c r="IA46" s="591">
        <v>21</v>
      </c>
      <c r="IB46" s="591">
        <v>60</v>
      </c>
      <c r="IC46" s="591">
        <v>113</v>
      </c>
      <c r="ID46" s="591">
        <v>0</v>
      </c>
      <c r="IE46" s="591">
        <v>0</v>
      </c>
      <c r="IF46" s="591">
        <v>0</v>
      </c>
      <c r="IG46" s="591">
        <v>1.042</v>
      </c>
      <c r="IH46" s="591">
        <v>148</v>
      </c>
      <c r="II46" s="591">
        <v>0</v>
      </c>
      <c r="IJ46" s="591">
        <v>8.5590000000000011</v>
      </c>
      <c r="IK46" s="591">
        <v>0</v>
      </c>
      <c r="IL46" s="591">
        <v>0</v>
      </c>
      <c r="IM46" s="591">
        <v>0</v>
      </c>
      <c r="IN46" s="591">
        <v>0</v>
      </c>
      <c r="IO46" s="591">
        <v>0</v>
      </c>
      <c r="IP46" s="591">
        <v>0</v>
      </c>
      <c r="IQ46" s="591">
        <v>8.5590000000000011</v>
      </c>
      <c r="IR46" s="591">
        <v>5272</v>
      </c>
      <c r="IS46" s="591">
        <v>0</v>
      </c>
      <c r="IT46" s="591">
        <v>0</v>
      </c>
      <c r="IU46" s="591">
        <v>0</v>
      </c>
      <c r="IV46" s="591">
        <v>0</v>
      </c>
      <c r="IW46" s="591">
        <v>6159</v>
      </c>
      <c r="IX46" s="591">
        <v>0</v>
      </c>
      <c r="IY46" s="591">
        <v>0</v>
      </c>
      <c r="IZ46" s="591">
        <v>0</v>
      </c>
      <c r="JA46" s="591">
        <v>0</v>
      </c>
      <c r="JB46" s="591">
        <v>0</v>
      </c>
      <c r="JC46" s="591">
        <v>0</v>
      </c>
      <c r="JD46" s="591">
        <v>0</v>
      </c>
      <c r="JE46" s="591">
        <v>0</v>
      </c>
      <c r="JF46" s="591">
        <v>0</v>
      </c>
      <c r="JG46" s="591">
        <v>0</v>
      </c>
      <c r="JH46" s="591">
        <v>0</v>
      </c>
      <c r="JI46" s="591">
        <v>0</v>
      </c>
      <c r="JJ46" s="591">
        <v>0</v>
      </c>
      <c r="JK46" s="591">
        <v>0</v>
      </c>
      <c r="JL46" s="591">
        <v>0</v>
      </c>
      <c r="JM46" s="591">
        <v>0</v>
      </c>
      <c r="JN46" s="591">
        <v>32469</v>
      </c>
    </row>
    <row r="47" spans="1:274" x14ac:dyDescent="0.25">
      <c r="A47" s="591">
        <v>32570</v>
      </c>
      <c r="B47" s="591">
        <v>57810</v>
      </c>
      <c r="C47" s="591">
        <v>9</v>
      </c>
      <c r="D47" s="591">
        <v>2022</v>
      </c>
      <c r="E47" s="591">
        <v>6159</v>
      </c>
      <c r="F47" s="591">
        <v>0</v>
      </c>
      <c r="G47" s="591">
        <v>268.36200000000002</v>
      </c>
      <c r="H47" s="591">
        <v>263.53899999999999</v>
      </c>
      <c r="I47" s="591">
        <v>263.53899999999999</v>
      </c>
      <c r="J47" s="591">
        <v>268.36200000000002</v>
      </c>
      <c r="K47" s="591">
        <v>0</v>
      </c>
      <c r="L47" s="591">
        <v>6159</v>
      </c>
      <c r="M47" s="591">
        <v>0</v>
      </c>
      <c r="N47" s="591">
        <v>0</v>
      </c>
      <c r="O47" s="591">
        <v>0</v>
      </c>
      <c r="P47" s="591">
        <v>260.23</v>
      </c>
      <c r="Q47" s="591">
        <v>0</v>
      </c>
      <c r="R47" s="591">
        <v>104724</v>
      </c>
      <c r="S47" s="591">
        <v>402.428</v>
      </c>
      <c r="T47" s="591">
        <v>0</v>
      </c>
      <c r="U47" s="591">
        <v>0</v>
      </c>
      <c r="V47" s="591">
        <v>29.958000000000002</v>
      </c>
      <c r="W47" s="591">
        <v>18451</v>
      </c>
      <c r="X47" s="591">
        <v>18451</v>
      </c>
      <c r="Y47" s="591">
        <v>0</v>
      </c>
      <c r="Z47" s="591">
        <v>0</v>
      </c>
      <c r="AA47" s="591">
        <v>0</v>
      </c>
      <c r="AB47" s="591">
        <v>0</v>
      </c>
      <c r="AC47" s="591">
        <v>0</v>
      </c>
      <c r="AD47" s="591" t="s">
        <v>316</v>
      </c>
      <c r="AE47" s="591">
        <v>0</v>
      </c>
      <c r="AF47" s="591">
        <v>0</v>
      </c>
      <c r="AG47" s="591">
        <v>0</v>
      </c>
      <c r="AH47" s="591">
        <v>0</v>
      </c>
      <c r="AI47" s="591">
        <v>0</v>
      </c>
      <c r="AJ47" s="591">
        <v>6159</v>
      </c>
      <c r="AK47" s="591" t="s">
        <v>671</v>
      </c>
      <c r="AL47" s="591" t="s">
        <v>20</v>
      </c>
      <c r="AM47" s="591">
        <v>0</v>
      </c>
      <c r="AN47" s="591">
        <v>0</v>
      </c>
      <c r="AO47" s="591">
        <v>0</v>
      </c>
      <c r="AP47" s="591">
        <v>0</v>
      </c>
      <c r="AQ47" s="591">
        <v>0</v>
      </c>
      <c r="AR47" s="591">
        <v>0</v>
      </c>
      <c r="AS47" s="591">
        <v>0</v>
      </c>
      <c r="AT47" s="591">
        <v>0</v>
      </c>
      <c r="AU47" s="591">
        <v>0</v>
      </c>
      <c r="AV47" s="591">
        <v>0</v>
      </c>
      <c r="AW47" s="591">
        <v>3231464</v>
      </c>
      <c r="AX47" s="591">
        <v>3183319</v>
      </c>
      <c r="AY47" s="591">
        <v>0</v>
      </c>
      <c r="AZ47" s="591">
        <v>104724</v>
      </c>
      <c r="BA47" s="591">
        <v>0</v>
      </c>
      <c r="BB47" s="591">
        <v>0</v>
      </c>
      <c r="BC47" s="591">
        <v>0</v>
      </c>
      <c r="BD47" s="591">
        <v>0</v>
      </c>
      <c r="BE47" s="591">
        <v>42</v>
      </c>
      <c r="BF47" s="591">
        <v>2923459</v>
      </c>
      <c r="BG47" s="591">
        <v>0</v>
      </c>
      <c r="BH47" s="591">
        <v>0</v>
      </c>
      <c r="BI47" s="591">
        <v>0</v>
      </c>
      <c r="BJ47" s="591">
        <v>12</v>
      </c>
      <c r="BK47" s="591">
        <v>0</v>
      </c>
      <c r="BL47" s="591">
        <v>0</v>
      </c>
      <c r="BM47" s="591">
        <v>0</v>
      </c>
      <c r="BN47" s="591">
        <v>0</v>
      </c>
      <c r="BO47" s="591">
        <v>0</v>
      </c>
      <c r="BP47" s="591">
        <v>0</v>
      </c>
      <c r="BQ47" s="591">
        <v>729</v>
      </c>
      <c r="BR47" s="591">
        <v>0</v>
      </c>
      <c r="BS47" s="591">
        <v>0</v>
      </c>
      <c r="BT47" s="591">
        <v>0</v>
      </c>
      <c r="BU47" s="591">
        <v>0</v>
      </c>
      <c r="BV47" s="591">
        <v>0</v>
      </c>
      <c r="BW47" s="591">
        <v>0</v>
      </c>
      <c r="BX47" s="591">
        <v>0</v>
      </c>
      <c r="BY47" s="591">
        <v>0</v>
      </c>
      <c r="BZ47" s="591">
        <v>0</v>
      </c>
      <c r="CA47" s="591">
        <v>0</v>
      </c>
      <c r="CB47" s="591">
        <v>0</v>
      </c>
      <c r="CC47" s="591">
        <v>0</v>
      </c>
      <c r="CD47" s="591">
        <v>0</v>
      </c>
      <c r="CE47" s="591">
        <v>0</v>
      </c>
      <c r="CF47" s="591">
        <v>0</v>
      </c>
      <c r="CG47" s="591">
        <v>0</v>
      </c>
      <c r="CH47" s="591">
        <v>48630</v>
      </c>
      <c r="CI47" s="591">
        <v>0</v>
      </c>
      <c r="CJ47" s="591">
        <v>4</v>
      </c>
      <c r="CK47" s="591">
        <v>0</v>
      </c>
      <c r="CL47" s="591">
        <v>0</v>
      </c>
      <c r="CM47" s="591">
        <v>0</v>
      </c>
      <c r="CN47" s="591">
        <v>0</v>
      </c>
      <c r="CO47" s="591">
        <v>1</v>
      </c>
      <c r="CP47" s="591">
        <v>0</v>
      </c>
      <c r="CQ47" s="591">
        <v>0</v>
      </c>
      <c r="CR47" s="591">
        <v>268.36200000000002</v>
      </c>
      <c r="CS47" s="591">
        <v>0</v>
      </c>
      <c r="CT47" s="591">
        <v>0</v>
      </c>
      <c r="CU47" s="591">
        <v>0</v>
      </c>
      <c r="CV47" s="591">
        <v>0</v>
      </c>
      <c r="CW47" s="591">
        <v>0</v>
      </c>
      <c r="CX47" s="591">
        <v>0</v>
      </c>
      <c r="CY47" s="591">
        <v>0</v>
      </c>
      <c r="CZ47" s="591">
        <v>0</v>
      </c>
      <c r="DA47" s="591">
        <v>0</v>
      </c>
      <c r="DB47" s="591">
        <v>1565821</v>
      </c>
      <c r="DC47" s="591">
        <v>0</v>
      </c>
      <c r="DD47" s="591">
        <v>0</v>
      </c>
      <c r="DE47" s="591">
        <v>781896</v>
      </c>
      <c r="DF47" s="591">
        <v>781896</v>
      </c>
      <c r="DG47" s="591">
        <v>126.95</v>
      </c>
      <c r="DH47" s="591">
        <v>0</v>
      </c>
      <c r="DI47" s="591">
        <v>0</v>
      </c>
      <c r="DJ47" s="591">
        <v>0</v>
      </c>
      <c r="DK47" s="591">
        <v>3293</v>
      </c>
      <c r="DL47" s="591">
        <v>0</v>
      </c>
      <c r="DM47" s="591">
        <v>173430</v>
      </c>
      <c r="DN47" s="591">
        <v>443</v>
      </c>
      <c r="DO47" s="591">
        <v>0</v>
      </c>
      <c r="DP47" s="591">
        <v>0</v>
      </c>
      <c r="DQ47" s="591">
        <v>0</v>
      </c>
      <c r="DR47" s="591">
        <v>0</v>
      </c>
      <c r="DS47" s="591">
        <v>0</v>
      </c>
      <c r="DT47" s="591">
        <v>0</v>
      </c>
      <c r="DU47" s="591">
        <v>0</v>
      </c>
      <c r="DV47" s="591">
        <v>0</v>
      </c>
      <c r="DW47" s="591">
        <v>0</v>
      </c>
      <c r="DX47" s="591">
        <v>0</v>
      </c>
      <c r="DY47" s="591">
        <v>0</v>
      </c>
      <c r="DZ47" s="591">
        <v>0</v>
      </c>
      <c r="EA47" s="591">
        <v>0</v>
      </c>
      <c r="EB47" s="591">
        <v>0</v>
      </c>
      <c r="EC47" s="591">
        <v>3.153</v>
      </c>
      <c r="ED47" s="591">
        <v>22333</v>
      </c>
      <c r="EE47" s="591">
        <v>0</v>
      </c>
      <c r="EF47" s="591">
        <v>0</v>
      </c>
      <c r="EG47" s="591">
        <v>0</v>
      </c>
      <c r="EH47" s="591">
        <v>94203</v>
      </c>
      <c r="EI47" s="591">
        <v>0</v>
      </c>
      <c r="EJ47" s="591">
        <v>0</v>
      </c>
      <c r="EK47" s="591">
        <v>2.028</v>
      </c>
      <c r="EL47" s="591">
        <v>0</v>
      </c>
      <c r="EM47" s="591">
        <v>2.3820000000000001</v>
      </c>
      <c r="EN47" s="591">
        <v>0.41300000000000003</v>
      </c>
      <c r="EO47" s="591">
        <v>0</v>
      </c>
      <c r="EP47" s="591">
        <v>0</v>
      </c>
      <c r="EQ47" s="591">
        <v>4.8230000000000004</v>
      </c>
      <c r="ER47" s="591">
        <v>0</v>
      </c>
      <c r="ES47" s="591">
        <v>15.295</v>
      </c>
      <c r="ET47" s="591">
        <v>0</v>
      </c>
      <c r="EU47" s="591">
        <v>0</v>
      </c>
      <c r="EV47" s="591">
        <v>0</v>
      </c>
      <c r="EW47" s="591">
        <v>0</v>
      </c>
      <c r="EX47" s="591">
        <v>0</v>
      </c>
      <c r="EY47" s="591">
        <v>0</v>
      </c>
      <c r="EZ47" s="591">
        <v>2818735</v>
      </c>
      <c r="FA47" s="591">
        <v>0</v>
      </c>
      <c r="FB47" s="591">
        <v>2922974</v>
      </c>
      <c r="FC47" s="591">
        <v>0</v>
      </c>
      <c r="FD47" s="591">
        <v>0</v>
      </c>
      <c r="FE47" s="591">
        <v>302817</v>
      </c>
      <c r="FF47" s="591">
        <v>61767</v>
      </c>
      <c r="FG47" s="591">
        <v>6.4728999999999995E-2</v>
      </c>
      <c r="FH47" s="591">
        <v>2.6405999999999999E-2</v>
      </c>
      <c r="FI47" s="591">
        <v>0</v>
      </c>
      <c r="FJ47" s="591">
        <v>0</v>
      </c>
      <c r="FK47" s="591">
        <v>474.65800000000002</v>
      </c>
      <c r="FL47" s="591">
        <v>3336188</v>
      </c>
      <c r="FM47" s="591">
        <v>0</v>
      </c>
      <c r="FN47" s="591">
        <v>0</v>
      </c>
      <c r="FO47" s="591">
        <v>0</v>
      </c>
      <c r="FP47" s="591">
        <v>0</v>
      </c>
      <c r="FQ47" s="591">
        <v>0</v>
      </c>
      <c r="FR47" s="591">
        <v>0</v>
      </c>
      <c r="FS47" s="591">
        <v>0</v>
      </c>
      <c r="FT47" s="591">
        <v>0</v>
      </c>
      <c r="FU47" s="591">
        <v>0</v>
      </c>
      <c r="FV47" s="591">
        <v>0</v>
      </c>
      <c r="FW47" s="591">
        <v>0</v>
      </c>
      <c r="FX47" s="591">
        <v>0</v>
      </c>
      <c r="FY47" s="591">
        <v>0</v>
      </c>
      <c r="FZ47" s="591">
        <v>0</v>
      </c>
      <c r="GA47" s="591">
        <v>0</v>
      </c>
      <c r="GB47" s="591">
        <v>0</v>
      </c>
      <c r="GC47" s="591">
        <v>0</v>
      </c>
      <c r="GD47" s="591">
        <v>0</v>
      </c>
      <c r="GE47" s="591">
        <v>0</v>
      </c>
      <c r="GF47" s="591">
        <v>0</v>
      </c>
      <c r="GG47" s="591">
        <v>0</v>
      </c>
      <c r="GH47" s="591">
        <v>0</v>
      </c>
      <c r="GI47" s="591">
        <v>0</v>
      </c>
      <c r="GJ47" s="591">
        <v>0</v>
      </c>
      <c r="GK47" s="591">
        <v>0</v>
      </c>
      <c r="GL47" s="591">
        <v>0</v>
      </c>
      <c r="GM47" s="591">
        <v>0</v>
      </c>
      <c r="GN47" s="591">
        <v>0</v>
      </c>
      <c r="GO47" s="591">
        <v>0</v>
      </c>
      <c r="GP47" s="591">
        <v>0</v>
      </c>
      <c r="GQ47" s="591">
        <v>0</v>
      </c>
      <c r="GR47" s="591">
        <v>0</v>
      </c>
      <c r="GS47" s="591">
        <v>0</v>
      </c>
      <c r="GT47" s="591">
        <v>0</v>
      </c>
      <c r="GU47" s="591">
        <v>0</v>
      </c>
      <c r="GV47" s="591">
        <v>0</v>
      </c>
      <c r="GW47" s="591">
        <v>0</v>
      </c>
      <c r="GX47" s="591">
        <v>0</v>
      </c>
      <c r="GY47" s="591">
        <v>0</v>
      </c>
      <c r="GZ47" s="591">
        <v>0</v>
      </c>
      <c r="HA47" s="591">
        <v>0</v>
      </c>
      <c r="HB47" s="591">
        <v>260009272</v>
      </c>
      <c r="HC47" s="591">
        <v>5.1774999999999995E-2</v>
      </c>
      <c r="HD47" s="591">
        <v>48630</v>
      </c>
      <c r="HE47" s="591">
        <v>0</v>
      </c>
      <c r="HF47" s="591">
        <v>289629</v>
      </c>
      <c r="HG47" s="591">
        <v>642</v>
      </c>
      <c r="HH47" s="591">
        <v>90539</v>
      </c>
      <c r="HI47" s="591">
        <v>0</v>
      </c>
      <c r="HJ47" s="591">
        <v>2608</v>
      </c>
      <c r="HK47" s="591">
        <v>0</v>
      </c>
      <c r="HL47" s="591">
        <v>0</v>
      </c>
      <c r="HM47" s="591">
        <v>0</v>
      </c>
      <c r="HN47" s="591">
        <v>0</v>
      </c>
      <c r="HO47" s="591">
        <v>0</v>
      </c>
      <c r="HP47" s="591">
        <v>0</v>
      </c>
      <c r="HQ47" s="591">
        <v>0</v>
      </c>
      <c r="HR47" s="591">
        <v>0</v>
      </c>
      <c r="HS47" s="591">
        <v>2818250</v>
      </c>
      <c r="HT47" s="591">
        <v>0</v>
      </c>
      <c r="HU47" s="591">
        <v>0</v>
      </c>
      <c r="HV47" s="591">
        <v>0</v>
      </c>
      <c r="HW47" s="591">
        <v>0</v>
      </c>
      <c r="HX47" s="591">
        <v>26</v>
      </c>
      <c r="HY47" s="591">
        <v>29</v>
      </c>
      <c r="HZ47" s="591">
        <v>36</v>
      </c>
      <c r="IA47" s="591">
        <v>141</v>
      </c>
      <c r="IB47" s="591">
        <v>248</v>
      </c>
      <c r="IC47" s="591">
        <v>339</v>
      </c>
      <c r="ID47" s="591">
        <v>0</v>
      </c>
      <c r="IE47" s="591">
        <v>0</v>
      </c>
      <c r="IF47" s="591">
        <v>0</v>
      </c>
      <c r="IG47" s="591">
        <v>1.042</v>
      </c>
      <c r="IH47" s="591">
        <v>147</v>
      </c>
      <c r="II47" s="591">
        <v>0</v>
      </c>
      <c r="IJ47" s="591">
        <v>29.958000000000002</v>
      </c>
      <c r="IK47" s="591">
        <v>0</v>
      </c>
      <c r="IL47" s="591">
        <v>0</v>
      </c>
      <c r="IM47" s="591">
        <v>0</v>
      </c>
      <c r="IN47" s="591">
        <v>0</v>
      </c>
      <c r="IO47" s="591">
        <v>0</v>
      </c>
      <c r="IP47" s="591">
        <v>0</v>
      </c>
      <c r="IQ47" s="591">
        <v>29.958000000000002</v>
      </c>
      <c r="IR47" s="591">
        <v>18451</v>
      </c>
      <c r="IS47" s="591">
        <v>0</v>
      </c>
      <c r="IT47" s="591">
        <v>0</v>
      </c>
      <c r="IU47" s="591">
        <v>0</v>
      </c>
      <c r="IV47" s="591">
        <v>0</v>
      </c>
      <c r="IW47" s="591">
        <v>6159</v>
      </c>
      <c r="IX47" s="591">
        <v>0</v>
      </c>
      <c r="IY47" s="591">
        <v>0</v>
      </c>
      <c r="IZ47" s="591">
        <v>0</v>
      </c>
      <c r="JA47" s="591">
        <v>0</v>
      </c>
      <c r="JB47" s="591">
        <v>0</v>
      </c>
      <c r="JC47" s="591">
        <v>0</v>
      </c>
      <c r="JD47" s="591">
        <v>0</v>
      </c>
      <c r="JE47" s="591">
        <v>0</v>
      </c>
      <c r="JF47" s="591">
        <v>0</v>
      </c>
      <c r="JG47" s="591">
        <v>0</v>
      </c>
      <c r="JH47" s="591">
        <v>0</v>
      </c>
      <c r="JI47" s="591">
        <v>0</v>
      </c>
      <c r="JJ47" s="591">
        <v>0</v>
      </c>
      <c r="JK47" s="591">
        <v>0</v>
      </c>
      <c r="JL47" s="591">
        <v>0</v>
      </c>
      <c r="JM47" s="591">
        <v>0</v>
      </c>
      <c r="JN47" s="591">
        <v>32469</v>
      </c>
    </row>
    <row r="48" spans="1:274" x14ac:dyDescent="0.25">
      <c r="A48" s="591">
        <v>32570</v>
      </c>
      <c r="B48" s="591">
        <v>57813</v>
      </c>
      <c r="C48" s="591">
        <v>9</v>
      </c>
      <c r="D48" s="591">
        <v>2022</v>
      </c>
      <c r="E48" s="591">
        <v>6159</v>
      </c>
      <c r="F48" s="591">
        <v>0</v>
      </c>
      <c r="G48" s="591">
        <v>3616.0250000000001</v>
      </c>
      <c r="H48" s="591">
        <v>3495.3140000000003</v>
      </c>
      <c r="I48" s="591">
        <v>3495.3140000000003</v>
      </c>
      <c r="J48" s="591">
        <v>3616.0250000000001</v>
      </c>
      <c r="K48" s="591">
        <v>0</v>
      </c>
      <c r="L48" s="591">
        <v>6159</v>
      </c>
      <c r="M48" s="591">
        <v>0</v>
      </c>
      <c r="N48" s="591">
        <v>0</v>
      </c>
      <c r="O48" s="591">
        <v>0</v>
      </c>
      <c r="P48" s="591">
        <v>3629.3870000000002</v>
      </c>
      <c r="Q48" s="591">
        <v>0</v>
      </c>
      <c r="R48" s="591">
        <v>1460567</v>
      </c>
      <c r="S48" s="591">
        <v>402.428</v>
      </c>
      <c r="T48" s="591">
        <v>0</v>
      </c>
      <c r="U48" s="591">
        <v>0</v>
      </c>
      <c r="V48" s="591">
        <v>2096.8710000000001</v>
      </c>
      <c r="W48" s="591">
        <v>1291480</v>
      </c>
      <c r="X48" s="591">
        <v>1291480</v>
      </c>
      <c r="Y48" s="591">
        <v>0</v>
      </c>
      <c r="Z48" s="591">
        <v>0</v>
      </c>
      <c r="AA48" s="591">
        <v>0</v>
      </c>
      <c r="AB48" s="591">
        <v>0</v>
      </c>
      <c r="AC48" s="591">
        <v>0</v>
      </c>
      <c r="AD48" s="591" t="s">
        <v>316</v>
      </c>
      <c r="AE48" s="591">
        <v>0</v>
      </c>
      <c r="AF48" s="591">
        <v>0</v>
      </c>
      <c r="AG48" s="591">
        <v>0</v>
      </c>
      <c r="AH48" s="591">
        <v>0</v>
      </c>
      <c r="AI48" s="591">
        <v>0</v>
      </c>
      <c r="AJ48" s="591">
        <v>6159</v>
      </c>
      <c r="AK48" s="591" t="s">
        <v>671</v>
      </c>
      <c r="AL48" s="591" t="s">
        <v>21</v>
      </c>
      <c r="AM48" s="591">
        <v>0</v>
      </c>
      <c r="AN48" s="591">
        <v>0</v>
      </c>
      <c r="AO48" s="591">
        <v>0</v>
      </c>
      <c r="AP48" s="591">
        <v>0</v>
      </c>
      <c r="AQ48" s="591">
        <v>0</v>
      </c>
      <c r="AR48" s="591">
        <v>0</v>
      </c>
      <c r="AS48" s="591">
        <v>0</v>
      </c>
      <c r="AT48" s="591">
        <v>0</v>
      </c>
      <c r="AU48" s="591">
        <v>0</v>
      </c>
      <c r="AV48" s="591">
        <v>0</v>
      </c>
      <c r="AW48" s="591">
        <v>40424148</v>
      </c>
      <c r="AX48" s="591">
        <v>39779409</v>
      </c>
      <c r="AY48" s="591">
        <v>0</v>
      </c>
      <c r="AZ48" s="591">
        <v>1460567</v>
      </c>
      <c r="BA48" s="591">
        <v>0</v>
      </c>
      <c r="BB48" s="591">
        <v>0</v>
      </c>
      <c r="BC48" s="591">
        <v>0</v>
      </c>
      <c r="BD48" s="591">
        <v>0</v>
      </c>
      <c r="BE48" s="591">
        <v>527</v>
      </c>
      <c r="BF48" s="591">
        <v>36667216</v>
      </c>
      <c r="BG48" s="591">
        <v>0</v>
      </c>
      <c r="BH48" s="591">
        <v>0</v>
      </c>
      <c r="BI48" s="591">
        <v>0</v>
      </c>
      <c r="BJ48" s="591">
        <v>12</v>
      </c>
      <c r="BK48" s="591">
        <v>0</v>
      </c>
      <c r="BL48" s="591">
        <v>0</v>
      </c>
      <c r="BM48" s="591">
        <v>0</v>
      </c>
      <c r="BN48" s="591">
        <v>0</v>
      </c>
      <c r="BO48" s="591">
        <v>0</v>
      </c>
      <c r="BP48" s="591">
        <v>0</v>
      </c>
      <c r="BQ48" s="591">
        <v>232</v>
      </c>
      <c r="BR48" s="591">
        <v>0</v>
      </c>
      <c r="BS48" s="591">
        <v>0</v>
      </c>
      <c r="BT48" s="591">
        <v>0</v>
      </c>
      <c r="BU48" s="591">
        <v>0</v>
      </c>
      <c r="BV48" s="591">
        <v>0</v>
      </c>
      <c r="BW48" s="591">
        <v>0</v>
      </c>
      <c r="BX48" s="591">
        <v>0</v>
      </c>
      <c r="BY48" s="591">
        <v>0</v>
      </c>
      <c r="BZ48" s="591">
        <v>0</v>
      </c>
      <c r="CA48" s="591">
        <v>0</v>
      </c>
      <c r="CB48" s="591">
        <v>0</v>
      </c>
      <c r="CC48" s="591">
        <v>0</v>
      </c>
      <c r="CD48" s="591">
        <v>0</v>
      </c>
      <c r="CE48" s="591">
        <v>0</v>
      </c>
      <c r="CF48" s="591">
        <v>0</v>
      </c>
      <c r="CG48" s="591">
        <v>0</v>
      </c>
      <c r="CH48" s="591">
        <v>655263</v>
      </c>
      <c r="CI48" s="591">
        <v>0</v>
      </c>
      <c r="CJ48" s="591">
        <v>4</v>
      </c>
      <c r="CK48" s="591">
        <v>0</v>
      </c>
      <c r="CL48" s="591">
        <v>0</v>
      </c>
      <c r="CM48" s="591">
        <v>0</v>
      </c>
      <c r="CN48" s="591">
        <v>0</v>
      </c>
      <c r="CO48" s="591">
        <v>1</v>
      </c>
      <c r="CP48" s="591">
        <v>0</v>
      </c>
      <c r="CQ48" s="591">
        <v>0</v>
      </c>
      <c r="CR48" s="591">
        <v>3616.0250000000001</v>
      </c>
      <c r="CS48" s="591">
        <v>0</v>
      </c>
      <c r="CT48" s="591">
        <v>0</v>
      </c>
      <c r="CU48" s="591">
        <v>0</v>
      </c>
      <c r="CV48" s="591">
        <v>0</v>
      </c>
      <c r="CW48" s="591">
        <v>0</v>
      </c>
      <c r="CX48" s="591">
        <v>0</v>
      </c>
      <c r="CY48" s="591">
        <v>0</v>
      </c>
      <c r="CZ48" s="591">
        <v>0</v>
      </c>
      <c r="DA48" s="591">
        <v>0</v>
      </c>
      <c r="DB48" s="591">
        <v>21527927</v>
      </c>
      <c r="DC48" s="591">
        <v>0</v>
      </c>
      <c r="DD48" s="591">
        <v>0</v>
      </c>
      <c r="DE48" s="591">
        <v>6120742</v>
      </c>
      <c r="DF48" s="591">
        <v>6120742</v>
      </c>
      <c r="DG48" s="591">
        <v>993.77500000000009</v>
      </c>
      <c r="DH48" s="591">
        <v>0</v>
      </c>
      <c r="DI48" s="591">
        <v>0</v>
      </c>
      <c r="DJ48" s="591">
        <v>0</v>
      </c>
      <c r="DK48" s="591">
        <v>0</v>
      </c>
      <c r="DL48" s="591">
        <v>0</v>
      </c>
      <c r="DM48" s="591">
        <v>2620023</v>
      </c>
      <c r="DN48" s="591">
        <v>9996</v>
      </c>
      <c r="DO48" s="591">
        <v>0</v>
      </c>
      <c r="DP48" s="591">
        <v>0</v>
      </c>
      <c r="DQ48" s="591">
        <v>0</v>
      </c>
      <c r="DR48" s="591">
        <v>0</v>
      </c>
      <c r="DS48" s="591">
        <v>0</v>
      </c>
      <c r="DT48" s="591">
        <v>0</v>
      </c>
      <c r="DU48" s="591">
        <v>0</v>
      </c>
      <c r="DV48" s="591">
        <v>0</v>
      </c>
      <c r="DW48" s="591">
        <v>0</v>
      </c>
      <c r="DX48" s="591">
        <v>0</v>
      </c>
      <c r="DY48" s="591">
        <v>0</v>
      </c>
      <c r="DZ48" s="591">
        <v>0</v>
      </c>
      <c r="EA48" s="591">
        <v>0</v>
      </c>
      <c r="EB48" s="591">
        <v>0</v>
      </c>
      <c r="EC48" s="591">
        <v>40.292000000000002</v>
      </c>
      <c r="ED48" s="591">
        <v>285386</v>
      </c>
      <c r="EE48" s="591">
        <v>0</v>
      </c>
      <c r="EF48" s="591">
        <v>0</v>
      </c>
      <c r="EG48" s="591">
        <v>0</v>
      </c>
      <c r="EH48" s="591">
        <v>2344633</v>
      </c>
      <c r="EI48" s="591">
        <v>0</v>
      </c>
      <c r="EJ48" s="591">
        <v>0</v>
      </c>
      <c r="EK48" s="591">
        <v>81.332999999999998</v>
      </c>
      <c r="EL48" s="591">
        <v>2.548</v>
      </c>
      <c r="EM48" s="591">
        <v>30.105</v>
      </c>
      <c r="EN48" s="591">
        <v>9.2729999999999997</v>
      </c>
      <c r="EO48" s="591">
        <v>0</v>
      </c>
      <c r="EP48" s="591">
        <v>0</v>
      </c>
      <c r="EQ48" s="591">
        <v>120.71100000000001</v>
      </c>
      <c r="ER48" s="591">
        <v>0</v>
      </c>
      <c r="ES48" s="591">
        <v>380.67900000000003</v>
      </c>
      <c r="ET48" s="591">
        <v>0</v>
      </c>
      <c r="EU48" s="591">
        <v>0</v>
      </c>
      <c r="EV48" s="591">
        <v>0</v>
      </c>
      <c r="EW48" s="591">
        <v>0</v>
      </c>
      <c r="EX48" s="591">
        <v>0</v>
      </c>
      <c r="EY48" s="591">
        <v>0</v>
      </c>
      <c r="EZ48" s="591">
        <v>35206649</v>
      </c>
      <c r="FA48" s="591">
        <v>0</v>
      </c>
      <c r="FB48" s="591">
        <v>36656692</v>
      </c>
      <c r="FC48" s="591">
        <v>0</v>
      </c>
      <c r="FD48" s="591">
        <v>0</v>
      </c>
      <c r="FE48" s="591">
        <v>3798057</v>
      </c>
      <c r="FF48" s="591">
        <v>774703</v>
      </c>
      <c r="FG48" s="591">
        <v>6.4728999999999995E-2</v>
      </c>
      <c r="FH48" s="591">
        <v>2.6405999999999999E-2</v>
      </c>
      <c r="FI48" s="591">
        <v>0</v>
      </c>
      <c r="FJ48" s="591">
        <v>0</v>
      </c>
      <c r="FK48" s="591">
        <v>5953.357</v>
      </c>
      <c r="FL48" s="591">
        <v>41884715</v>
      </c>
      <c r="FM48" s="591">
        <v>0</v>
      </c>
      <c r="FN48" s="591">
        <v>0</v>
      </c>
      <c r="FO48" s="591">
        <v>0</v>
      </c>
      <c r="FP48" s="591">
        <v>0</v>
      </c>
      <c r="FQ48" s="591">
        <v>0</v>
      </c>
      <c r="FR48" s="591">
        <v>0</v>
      </c>
      <c r="FS48" s="591">
        <v>0</v>
      </c>
      <c r="FT48" s="591">
        <v>0</v>
      </c>
      <c r="FU48" s="591">
        <v>0</v>
      </c>
      <c r="FV48" s="591">
        <v>0</v>
      </c>
      <c r="FW48" s="591">
        <v>0</v>
      </c>
      <c r="FX48" s="591">
        <v>0</v>
      </c>
      <c r="FY48" s="591">
        <v>0</v>
      </c>
      <c r="FZ48" s="591">
        <v>0</v>
      </c>
      <c r="GA48" s="591">
        <v>0</v>
      </c>
      <c r="GB48" s="591">
        <v>0</v>
      </c>
      <c r="GC48" s="591">
        <v>0</v>
      </c>
      <c r="GD48" s="591">
        <v>0</v>
      </c>
      <c r="GE48" s="591">
        <v>0</v>
      </c>
      <c r="GF48" s="591">
        <v>0</v>
      </c>
      <c r="GG48" s="591">
        <v>0</v>
      </c>
      <c r="GH48" s="591">
        <v>0</v>
      </c>
      <c r="GI48" s="591">
        <v>0</v>
      </c>
      <c r="GJ48" s="591">
        <v>0</v>
      </c>
      <c r="GK48" s="591">
        <v>0</v>
      </c>
      <c r="GL48" s="591">
        <v>0</v>
      </c>
      <c r="GM48" s="591">
        <v>0</v>
      </c>
      <c r="GN48" s="591">
        <v>0</v>
      </c>
      <c r="GO48" s="591">
        <v>0</v>
      </c>
      <c r="GP48" s="591">
        <v>0</v>
      </c>
      <c r="GQ48" s="591">
        <v>0</v>
      </c>
      <c r="GR48" s="591">
        <v>0</v>
      </c>
      <c r="GS48" s="591">
        <v>0</v>
      </c>
      <c r="GT48" s="591">
        <v>0</v>
      </c>
      <c r="GU48" s="591">
        <v>0</v>
      </c>
      <c r="GV48" s="591">
        <v>0</v>
      </c>
      <c r="GW48" s="591">
        <v>0</v>
      </c>
      <c r="GX48" s="591">
        <v>0</v>
      </c>
      <c r="GY48" s="591">
        <v>0</v>
      </c>
      <c r="GZ48" s="591">
        <v>0</v>
      </c>
      <c r="HA48" s="591">
        <v>0</v>
      </c>
      <c r="HB48" s="591">
        <v>260009272</v>
      </c>
      <c r="HC48" s="591">
        <v>5.1774999999999995E-2</v>
      </c>
      <c r="HD48" s="591">
        <v>655263</v>
      </c>
      <c r="HE48" s="591">
        <v>0</v>
      </c>
      <c r="HF48" s="591">
        <v>3841350</v>
      </c>
      <c r="HG48" s="591">
        <v>26484</v>
      </c>
      <c r="HH48" s="591">
        <v>1194066</v>
      </c>
      <c r="HI48" s="591">
        <v>0</v>
      </c>
      <c r="HJ48" s="591">
        <v>35148</v>
      </c>
      <c r="HK48" s="591">
        <v>0</v>
      </c>
      <c r="HL48" s="591">
        <v>0</v>
      </c>
      <c r="HM48" s="591">
        <v>0</v>
      </c>
      <c r="HN48" s="591">
        <v>0</v>
      </c>
      <c r="HO48" s="591">
        <v>0</v>
      </c>
      <c r="HP48" s="591">
        <v>0</v>
      </c>
      <c r="HQ48" s="591">
        <v>0</v>
      </c>
      <c r="HR48" s="591">
        <v>0</v>
      </c>
      <c r="HS48" s="591">
        <v>35196125</v>
      </c>
      <c r="HT48" s="591">
        <v>0</v>
      </c>
      <c r="HU48" s="591">
        <v>0</v>
      </c>
      <c r="HV48" s="591">
        <v>0</v>
      </c>
      <c r="HW48" s="591">
        <v>0</v>
      </c>
      <c r="HX48" s="591">
        <v>209</v>
      </c>
      <c r="HY48" s="591">
        <v>257</v>
      </c>
      <c r="HZ48" s="591">
        <v>446</v>
      </c>
      <c r="IA48" s="591">
        <v>1159</v>
      </c>
      <c r="IB48" s="591">
        <v>1709</v>
      </c>
      <c r="IC48" s="591">
        <v>3780</v>
      </c>
      <c r="ID48" s="591">
        <v>0</v>
      </c>
      <c r="IE48" s="591">
        <v>0</v>
      </c>
      <c r="IF48" s="591">
        <v>0</v>
      </c>
      <c r="IG48" s="591">
        <v>43</v>
      </c>
      <c r="IH48" s="591">
        <v>1938.7080000000001</v>
      </c>
      <c r="II48" s="591">
        <v>0</v>
      </c>
      <c r="IJ48" s="591">
        <v>2096.8710000000001</v>
      </c>
      <c r="IK48" s="591">
        <v>0</v>
      </c>
      <c r="IL48" s="591">
        <v>0</v>
      </c>
      <c r="IM48" s="591">
        <v>0</v>
      </c>
      <c r="IN48" s="591">
        <v>0</v>
      </c>
      <c r="IO48" s="591">
        <v>0</v>
      </c>
      <c r="IP48" s="591">
        <v>0</v>
      </c>
      <c r="IQ48" s="591">
        <v>2096.8710000000001</v>
      </c>
      <c r="IR48" s="591">
        <v>1291480</v>
      </c>
      <c r="IS48" s="591">
        <v>0</v>
      </c>
      <c r="IT48" s="591">
        <v>0</v>
      </c>
      <c r="IU48" s="591">
        <v>0</v>
      </c>
      <c r="IV48" s="591">
        <v>0</v>
      </c>
      <c r="IW48" s="591">
        <v>6159</v>
      </c>
      <c r="IX48" s="591">
        <v>0</v>
      </c>
      <c r="IY48" s="591">
        <v>0</v>
      </c>
      <c r="IZ48" s="591">
        <v>0</v>
      </c>
      <c r="JA48" s="591">
        <v>0</v>
      </c>
      <c r="JB48" s="591">
        <v>0</v>
      </c>
      <c r="JC48" s="591">
        <v>0</v>
      </c>
      <c r="JD48" s="591">
        <v>0</v>
      </c>
      <c r="JE48" s="591">
        <v>0</v>
      </c>
      <c r="JF48" s="591">
        <v>0</v>
      </c>
      <c r="JG48" s="591">
        <v>0</v>
      </c>
      <c r="JH48" s="591">
        <v>0</v>
      </c>
      <c r="JI48" s="591">
        <v>0</v>
      </c>
      <c r="JJ48" s="591">
        <v>0</v>
      </c>
      <c r="JK48" s="591">
        <v>0</v>
      </c>
      <c r="JL48" s="591">
        <v>0</v>
      </c>
      <c r="JM48" s="591">
        <v>0</v>
      </c>
      <c r="JN48" s="591">
        <v>32469</v>
      </c>
    </row>
    <row r="49" spans="1:274" x14ac:dyDescent="0.25">
      <c r="A49" s="591">
        <v>32570</v>
      </c>
      <c r="B49" s="591">
        <v>57814</v>
      </c>
      <c r="C49" s="591">
        <v>9</v>
      </c>
      <c r="D49" s="591">
        <v>2022</v>
      </c>
      <c r="E49" s="591">
        <v>6159</v>
      </c>
      <c r="F49" s="591">
        <v>0</v>
      </c>
      <c r="G49" s="591">
        <v>269.08699999999999</v>
      </c>
      <c r="H49" s="591">
        <v>203.339</v>
      </c>
      <c r="I49" s="591">
        <v>203.339</v>
      </c>
      <c r="J49" s="591">
        <v>269.08699999999999</v>
      </c>
      <c r="K49" s="591">
        <v>0</v>
      </c>
      <c r="L49" s="591">
        <v>6159</v>
      </c>
      <c r="M49" s="591">
        <v>0</v>
      </c>
      <c r="N49" s="591">
        <v>0</v>
      </c>
      <c r="O49" s="591">
        <v>0</v>
      </c>
      <c r="P49" s="591">
        <v>277.31100000000004</v>
      </c>
      <c r="Q49" s="591">
        <v>0</v>
      </c>
      <c r="R49" s="591">
        <v>111598</v>
      </c>
      <c r="S49" s="591">
        <v>402.428</v>
      </c>
      <c r="T49" s="591">
        <v>0</v>
      </c>
      <c r="U49" s="591">
        <v>0</v>
      </c>
      <c r="V49" s="591">
        <v>54.362000000000002</v>
      </c>
      <c r="W49" s="591">
        <v>33482</v>
      </c>
      <c r="X49" s="591">
        <v>33482</v>
      </c>
      <c r="Y49" s="591">
        <v>0</v>
      </c>
      <c r="Z49" s="591">
        <v>0</v>
      </c>
      <c r="AA49" s="591">
        <v>0</v>
      </c>
      <c r="AB49" s="591">
        <v>0</v>
      </c>
      <c r="AC49" s="591">
        <v>0</v>
      </c>
      <c r="AD49" s="591" t="s">
        <v>316</v>
      </c>
      <c r="AE49" s="591">
        <v>0</v>
      </c>
      <c r="AF49" s="591">
        <v>0</v>
      </c>
      <c r="AG49" s="591">
        <v>0</v>
      </c>
      <c r="AH49" s="591">
        <v>0</v>
      </c>
      <c r="AI49" s="591">
        <v>0</v>
      </c>
      <c r="AJ49" s="591">
        <v>6159</v>
      </c>
      <c r="AK49" s="591" t="s">
        <v>671</v>
      </c>
      <c r="AL49" s="591" t="s">
        <v>328</v>
      </c>
      <c r="AM49" s="591">
        <v>0</v>
      </c>
      <c r="AN49" s="591">
        <v>0</v>
      </c>
      <c r="AO49" s="591">
        <v>0</v>
      </c>
      <c r="AP49" s="591">
        <v>0</v>
      </c>
      <c r="AQ49" s="591">
        <v>0</v>
      </c>
      <c r="AR49" s="591">
        <v>0</v>
      </c>
      <c r="AS49" s="591">
        <v>0</v>
      </c>
      <c r="AT49" s="591">
        <v>0</v>
      </c>
      <c r="AU49" s="591">
        <v>0</v>
      </c>
      <c r="AV49" s="591">
        <v>0</v>
      </c>
      <c r="AW49" s="591">
        <v>4497104</v>
      </c>
      <c r="AX49" s="591">
        <v>4453997</v>
      </c>
      <c r="AY49" s="591">
        <v>0</v>
      </c>
      <c r="AZ49" s="591">
        <v>111598</v>
      </c>
      <c r="BA49" s="591">
        <v>0</v>
      </c>
      <c r="BB49" s="591">
        <v>0</v>
      </c>
      <c r="BC49" s="591">
        <v>0</v>
      </c>
      <c r="BD49" s="591">
        <v>0</v>
      </c>
      <c r="BE49" s="591">
        <v>59</v>
      </c>
      <c r="BF49" s="591">
        <v>3867266</v>
      </c>
      <c r="BG49" s="591">
        <v>0</v>
      </c>
      <c r="BH49" s="591">
        <v>0</v>
      </c>
      <c r="BI49" s="591">
        <v>0</v>
      </c>
      <c r="BJ49" s="591">
        <v>12</v>
      </c>
      <c r="BK49" s="591">
        <v>0</v>
      </c>
      <c r="BL49" s="591">
        <v>0</v>
      </c>
      <c r="BM49" s="591">
        <v>0</v>
      </c>
      <c r="BN49" s="591">
        <v>0</v>
      </c>
      <c r="BO49" s="591">
        <v>0</v>
      </c>
      <c r="BP49" s="591">
        <v>0</v>
      </c>
      <c r="BQ49" s="591">
        <v>739</v>
      </c>
      <c r="BR49" s="591">
        <v>0</v>
      </c>
      <c r="BS49" s="591">
        <v>0</v>
      </c>
      <c r="BT49" s="591">
        <v>0</v>
      </c>
      <c r="BU49" s="591">
        <v>0</v>
      </c>
      <c r="BV49" s="591">
        <v>0</v>
      </c>
      <c r="BW49" s="591">
        <v>0</v>
      </c>
      <c r="BX49" s="591">
        <v>0</v>
      </c>
      <c r="BY49" s="591">
        <v>0</v>
      </c>
      <c r="BZ49" s="591">
        <v>0</v>
      </c>
      <c r="CA49" s="591">
        <v>0</v>
      </c>
      <c r="CB49" s="591">
        <v>0</v>
      </c>
      <c r="CC49" s="591">
        <v>0</v>
      </c>
      <c r="CD49" s="591">
        <v>0</v>
      </c>
      <c r="CE49" s="591">
        <v>0</v>
      </c>
      <c r="CF49" s="591">
        <v>0</v>
      </c>
      <c r="CG49" s="591">
        <v>0</v>
      </c>
      <c r="CH49" s="591">
        <v>48761</v>
      </c>
      <c r="CI49" s="591">
        <v>0</v>
      </c>
      <c r="CJ49" s="591">
        <v>4</v>
      </c>
      <c r="CK49" s="591">
        <v>0</v>
      </c>
      <c r="CL49" s="591">
        <v>0</v>
      </c>
      <c r="CM49" s="591">
        <v>0</v>
      </c>
      <c r="CN49" s="591">
        <v>0</v>
      </c>
      <c r="CO49" s="591">
        <v>1</v>
      </c>
      <c r="CP49" s="591">
        <v>0</v>
      </c>
      <c r="CQ49" s="591">
        <v>0</v>
      </c>
      <c r="CR49" s="591">
        <v>269.08699999999999</v>
      </c>
      <c r="CS49" s="591">
        <v>0</v>
      </c>
      <c r="CT49" s="591">
        <v>0</v>
      </c>
      <c r="CU49" s="591">
        <v>0</v>
      </c>
      <c r="CV49" s="591">
        <v>0</v>
      </c>
      <c r="CW49" s="591">
        <v>0</v>
      </c>
      <c r="CX49" s="591">
        <v>0</v>
      </c>
      <c r="CY49" s="591">
        <v>0</v>
      </c>
      <c r="CZ49" s="591">
        <v>0</v>
      </c>
      <c r="DA49" s="591">
        <v>0</v>
      </c>
      <c r="DB49" s="591">
        <v>442522</v>
      </c>
      <c r="DC49" s="591">
        <v>0</v>
      </c>
      <c r="DD49" s="591">
        <v>0</v>
      </c>
      <c r="DE49" s="591">
        <v>832554</v>
      </c>
      <c r="DF49" s="591">
        <v>832554</v>
      </c>
      <c r="DG49" s="591">
        <v>135.17500000000001</v>
      </c>
      <c r="DH49" s="591">
        <v>0</v>
      </c>
      <c r="DI49" s="591">
        <v>0</v>
      </c>
      <c r="DJ49" s="591">
        <v>0</v>
      </c>
      <c r="DK49" s="591">
        <v>3441</v>
      </c>
      <c r="DL49" s="591">
        <v>0</v>
      </c>
      <c r="DM49" s="591">
        <v>2276373</v>
      </c>
      <c r="DN49" s="591">
        <v>5595</v>
      </c>
      <c r="DO49" s="591">
        <v>0</v>
      </c>
      <c r="DP49" s="591">
        <v>0</v>
      </c>
      <c r="DQ49" s="591">
        <v>0</v>
      </c>
      <c r="DR49" s="591">
        <v>0</v>
      </c>
      <c r="DS49" s="591">
        <v>0</v>
      </c>
      <c r="DT49" s="591">
        <v>0</v>
      </c>
      <c r="DU49" s="591">
        <v>0</v>
      </c>
      <c r="DV49" s="591">
        <v>0</v>
      </c>
      <c r="DW49" s="591">
        <v>0</v>
      </c>
      <c r="DX49" s="591">
        <v>0</v>
      </c>
      <c r="DY49" s="591">
        <v>0</v>
      </c>
      <c r="DZ49" s="591">
        <v>0</v>
      </c>
      <c r="EA49" s="591">
        <v>0</v>
      </c>
      <c r="EB49" s="591">
        <v>0</v>
      </c>
      <c r="EC49" s="591">
        <v>0.23500000000000001</v>
      </c>
      <c r="ED49" s="591">
        <v>1664</v>
      </c>
      <c r="EE49" s="591">
        <v>0</v>
      </c>
      <c r="EF49" s="591">
        <v>0</v>
      </c>
      <c r="EG49" s="591">
        <v>0</v>
      </c>
      <c r="EH49" s="591">
        <v>5765</v>
      </c>
      <c r="EI49" s="591">
        <v>1464679</v>
      </c>
      <c r="EJ49" s="591">
        <v>59.452000000000005</v>
      </c>
      <c r="EK49" s="591">
        <v>4.2000000000000003E-2</v>
      </c>
      <c r="EL49" s="591">
        <v>0</v>
      </c>
      <c r="EM49" s="591">
        <v>0</v>
      </c>
      <c r="EN49" s="591">
        <v>0.16200000000000001</v>
      </c>
      <c r="EO49" s="591">
        <v>0</v>
      </c>
      <c r="EP49" s="591">
        <v>0</v>
      </c>
      <c r="EQ49" s="591">
        <v>59.656000000000006</v>
      </c>
      <c r="ER49" s="591">
        <v>0</v>
      </c>
      <c r="ES49" s="591">
        <v>0.93600000000000005</v>
      </c>
      <c r="ET49" s="591">
        <v>0</v>
      </c>
      <c r="EU49" s="591">
        <v>0</v>
      </c>
      <c r="EV49" s="591">
        <v>0</v>
      </c>
      <c r="EW49" s="591">
        <v>0</v>
      </c>
      <c r="EX49" s="591">
        <v>0</v>
      </c>
      <c r="EY49" s="591">
        <v>0</v>
      </c>
      <c r="EZ49" s="591">
        <v>3971712</v>
      </c>
      <c r="FA49" s="591">
        <v>0</v>
      </c>
      <c r="FB49" s="591">
        <v>4077656</v>
      </c>
      <c r="FC49" s="591">
        <v>0</v>
      </c>
      <c r="FD49" s="591">
        <v>0</v>
      </c>
      <c r="FE49" s="591">
        <v>400578</v>
      </c>
      <c r="FF49" s="591">
        <v>81707</v>
      </c>
      <c r="FG49" s="591">
        <v>6.4728999999999995E-2</v>
      </c>
      <c r="FH49" s="591">
        <v>2.6405999999999999E-2</v>
      </c>
      <c r="FI49" s="591">
        <v>0</v>
      </c>
      <c r="FJ49" s="591">
        <v>0</v>
      </c>
      <c r="FK49" s="591">
        <v>627.89600000000007</v>
      </c>
      <c r="FL49" s="591">
        <v>4608702</v>
      </c>
      <c r="FM49" s="591">
        <v>0</v>
      </c>
      <c r="FN49" s="591">
        <v>0</v>
      </c>
      <c r="FO49" s="591">
        <v>84456</v>
      </c>
      <c r="FP49" s="591">
        <v>0</v>
      </c>
      <c r="FQ49" s="591">
        <v>84456</v>
      </c>
      <c r="FR49" s="591">
        <v>84456</v>
      </c>
      <c r="FS49" s="591">
        <v>0</v>
      </c>
      <c r="FT49" s="591">
        <v>0</v>
      </c>
      <c r="FU49" s="591">
        <v>0</v>
      </c>
      <c r="FV49" s="591">
        <v>0</v>
      </c>
      <c r="FW49" s="591">
        <v>0</v>
      </c>
      <c r="FX49" s="591">
        <v>0</v>
      </c>
      <c r="FY49" s="591">
        <v>0</v>
      </c>
      <c r="FZ49" s="591">
        <v>0</v>
      </c>
      <c r="GA49" s="591">
        <v>0</v>
      </c>
      <c r="GB49" s="591">
        <v>50654</v>
      </c>
      <c r="GC49" s="591">
        <v>50654</v>
      </c>
      <c r="GD49" s="591">
        <v>6.0920000000000005</v>
      </c>
      <c r="GE49" s="591">
        <v>0</v>
      </c>
      <c r="GF49" s="591">
        <v>0</v>
      </c>
      <c r="GG49" s="591">
        <v>0</v>
      </c>
      <c r="GH49" s="591">
        <v>0</v>
      </c>
      <c r="GI49" s="591">
        <v>0</v>
      </c>
      <c r="GJ49" s="591">
        <v>0</v>
      </c>
      <c r="GK49" s="591">
        <v>0</v>
      </c>
      <c r="GL49" s="591">
        <v>0</v>
      </c>
      <c r="GM49" s="591">
        <v>0</v>
      </c>
      <c r="GN49" s="591">
        <v>0</v>
      </c>
      <c r="GO49" s="591">
        <v>0</v>
      </c>
      <c r="GP49" s="591">
        <v>0</v>
      </c>
      <c r="GQ49" s="591">
        <v>0</v>
      </c>
      <c r="GR49" s="591">
        <v>0</v>
      </c>
      <c r="GS49" s="591">
        <v>0</v>
      </c>
      <c r="GT49" s="591">
        <v>0</v>
      </c>
      <c r="GU49" s="591">
        <v>0</v>
      </c>
      <c r="GV49" s="591">
        <v>0</v>
      </c>
      <c r="GW49" s="591">
        <v>0</v>
      </c>
      <c r="GX49" s="591">
        <v>0</v>
      </c>
      <c r="GY49" s="591">
        <v>0</v>
      </c>
      <c r="GZ49" s="591">
        <v>0</v>
      </c>
      <c r="HA49" s="591">
        <v>0</v>
      </c>
      <c r="HB49" s="591">
        <v>260009272</v>
      </c>
      <c r="HC49" s="591">
        <v>5.1774999999999995E-2</v>
      </c>
      <c r="HD49" s="591">
        <v>48761</v>
      </c>
      <c r="HE49" s="591">
        <v>0</v>
      </c>
      <c r="HF49" s="591">
        <v>223470</v>
      </c>
      <c r="HG49" s="591">
        <v>0</v>
      </c>
      <c r="HH49" s="591">
        <v>0</v>
      </c>
      <c r="HI49" s="591">
        <v>0</v>
      </c>
      <c r="HJ49" s="591">
        <v>2616</v>
      </c>
      <c r="HK49" s="591">
        <v>3509</v>
      </c>
      <c r="HL49" s="591">
        <v>514</v>
      </c>
      <c r="HM49" s="591">
        <v>0</v>
      </c>
      <c r="HN49" s="591">
        <v>0</v>
      </c>
      <c r="HO49" s="591">
        <v>0</v>
      </c>
      <c r="HP49" s="591">
        <v>127565</v>
      </c>
      <c r="HQ49" s="591">
        <v>0</v>
      </c>
      <c r="HR49" s="591">
        <v>0</v>
      </c>
      <c r="HS49" s="591">
        <v>3966058</v>
      </c>
      <c r="HT49" s="591">
        <v>0</v>
      </c>
      <c r="HU49" s="591">
        <v>0</v>
      </c>
      <c r="HV49" s="591">
        <v>0</v>
      </c>
      <c r="HW49" s="591">
        <v>0</v>
      </c>
      <c r="HX49" s="591">
        <v>2</v>
      </c>
      <c r="HY49" s="591">
        <v>1</v>
      </c>
      <c r="HZ49" s="591">
        <v>6</v>
      </c>
      <c r="IA49" s="591">
        <v>9</v>
      </c>
      <c r="IB49" s="591">
        <v>475</v>
      </c>
      <c r="IC49" s="591">
        <v>308</v>
      </c>
      <c r="ID49" s="591">
        <v>0</v>
      </c>
      <c r="IE49" s="591">
        <v>0</v>
      </c>
      <c r="IF49" s="591">
        <v>0</v>
      </c>
      <c r="IG49" s="591">
        <v>0</v>
      </c>
      <c r="IH49" s="591">
        <v>0</v>
      </c>
      <c r="II49" s="591">
        <v>463.87400000000002</v>
      </c>
      <c r="IJ49" s="591">
        <v>54.362000000000002</v>
      </c>
      <c r="IK49" s="591">
        <v>0</v>
      </c>
      <c r="IL49" s="591">
        <v>0</v>
      </c>
      <c r="IM49" s="591">
        <v>0</v>
      </c>
      <c r="IN49" s="591">
        <v>0</v>
      </c>
      <c r="IO49" s="591">
        <v>0</v>
      </c>
      <c r="IP49" s="591">
        <v>463.87400000000002</v>
      </c>
      <c r="IQ49" s="591">
        <v>54.362000000000002</v>
      </c>
      <c r="IR49" s="591">
        <v>33482</v>
      </c>
      <c r="IS49" s="591">
        <v>0</v>
      </c>
      <c r="IT49" s="591">
        <v>0</v>
      </c>
      <c r="IU49" s="591">
        <v>0</v>
      </c>
      <c r="IV49" s="591">
        <v>0</v>
      </c>
      <c r="IW49" s="591">
        <v>6159</v>
      </c>
      <c r="IX49" s="591">
        <v>0</v>
      </c>
      <c r="IY49" s="591">
        <v>0</v>
      </c>
      <c r="IZ49" s="591">
        <v>127565</v>
      </c>
      <c r="JA49" s="591">
        <v>0</v>
      </c>
      <c r="JB49" s="591">
        <v>0</v>
      </c>
      <c r="JC49" s="591">
        <v>0</v>
      </c>
      <c r="JD49" s="591">
        <v>0</v>
      </c>
      <c r="JE49" s="591">
        <v>0</v>
      </c>
      <c r="JF49" s="591">
        <v>0</v>
      </c>
      <c r="JG49" s="591">
        <v>0</v>
      </c>
      <c r="JH49" s="591">
        <v>0</v>
      </c>
      <c r="JI49" s="591">
        <v>0</v>
      </c>
      <c r="JJ49" s="591">
        <v>0</v>
      </c>
      <c r="JK49" s="591">
        <v>0</v>
      </c>
      <c r="JL49" s="591">
        <v>0</v>
      </c>
      <c r="JM49" s="591">
        <v>0</v>
      </c>
      <c r="JN49" s="591">
        <v>32469</v>
      </c>
    </row>
    <row r="50" spans="1:274" x14ac:dyDescent="0.25">
      <c r="A50" s="591">
        <v>32570</v>
      </c>
      <c r="B50" s="591">
        <v>57816</v>
      </c>
      <c r="C50" s="591">
        <v>9</v>
      </c>
      <c r="D50" s="591">
        <v>2022</v>
      </c>
      <c r="E50" s="591">
        <v>6159</v>
      </c>
      <c r="F50" s="591">
        <v>0</v>
      </c>
      <c r="G50" s="591">
        <v>1077.9570000000001</v>
      </c>
      <c r="H50" s="591">
        <v>1063.6310000000001</v>
      </c>
      <c r="I50" s="591">
        <v>1063.6310000000001</v>
      </c>
      <c r="J50" s="591">
        <v>1077.9570000000001</v>
      </c>
      <c r="K50" s="591">
        <v>0</v>
      </c>
      <c r="L50" s="591">
        <v>6159</v>
      </c>
      <c r="M50" s="591">
        <v>0</v>
      </c>
      <c r="N50" s="591">
        <v>0</v>
      </c>
      <c r="O50" s="591">
        <v>0</v>
      </c>
      <c r="P50" s="591">
        <v>1098.76</v>
      </c>
      <c r="Q50" s="591">
        <v>0</v>
      </c>
      <c r="R50" s="591">
        <v>442172</v>
      </c>
      <c r="S50" s="591">
        <v>402.428</v>
      </c>
      <c r="T50" s="591">
        <v>0</v>
      </c>
      <c r="U50" s="591">
        <v>0</v>
      </c>
      <c r="V50" s="591">
        <v>10.313000000000001</v>
      </c>
      <c r="W50" s="591">
        <v>6352</v>
      </c>
      <c r="X50" s="591">
        <v>6352</v>
      </c>
      <c r="Y50" s="591">
        <v>0</v>
      </c>
      <c r="Z50" s="591">
        <v>0</v>
      </c>
      <c r="AA50" s="591">
        <v>0</v>
      </c>
      <c r="AB50" s="591">
        <v>0</v>
      </c>
      <c r="AC50" s="591">
        <v>0</v>
      </c>
      <c r="AD50" s="591" t="s">
        <v>316</v>
      </c>
      <c r="AE50" s="591">
        <v>0</v>
      </c>
      <c r="AF50" s="591">
        <v>0</v>
      </c>
      <c r="AG50" s="591">
        <v>0</v>
      </c>
      <c r="AH50" s="591">
        <v>0</v>
      </c>
      <c r="AI50" s="591">
        <v>0</v>
      </c>
      <c r="AJ50" s="591">
        <v>6159</v>
      </c>
      <c r="AK50" s="591" t="s">
        <v>671</v>
      </c>
      <c r="AL50" s="591" t="s">
        <v>431</v>
      </c>
      <c r="AM50" s="591">
        <v>0</v>
      </c>
      <c r="AN50" s="591">
        <v>0</v>
      </c>
      <c r="AO50" s="591">
        <v>0</v>
      </c>
      <c r="AP50" s="591">
        <v>0</v>
      </c>
      <c r="AQ50" s="591">
        <v>0</v>
      </c>
      <c r="AR50" s="591">
        <v>0</v>
      </c>
      <c r="AS50" s="591">
        <v>0</v>
      </c>
      <c r="AT50" s="591">
        <v>0</v>
      </c>
      <c r="AU50" s="591">
        <v>0</v>
      </c>
      <c r="AV50" s="591">
        <v>0</v>
      </c>
      <c r="AW50" s="591">
        <v>11823661</v>
      </c>
      <c r="AX50" s="591">
        <v>11629949</v>
      </c>
      <c r="AY50" s="591">
        <v>0</v>
      </c>
      <c r="AZ50" s="591">
        <v>442172</v>
      </c>
      <c r="BA50" s="591">
        <v>0</v>
      </c>
      <c r="BB50" s="591">
        <v>0</v>
      </c>
      <c r="BC50" s="591">
        <v>0</v>
      </c>
      <c r="BD50" s="591">
        <v>0</v>
      </c>
      <c r="BE50" s="591">
        <v>154</v>
      </c>
      <c r="BF50" s="591">
        <v>10730121</v>
      </c>
      <c r="BG50" s="591">
        <v>0</v>
      </c>
      <c r="BH50" s="591">
        <v>0</v>
      </c>
      <c r="BI50" s="591">
        <v>0</v>
      </c>
      <c r="BJ50" s="591">
        <v>12</v>
      </c>
      <c r="BK50" s="591">
        <v>0</v>
      </c>
      <c r="BL50" s="591">
        <v>0</v>
      </c>
      <c r="BM50" s="591">
        <v>0</v>
      </c>
      <c r="BN50" s="591">
        <v>0</v>
      </c>
      <c r="BO50" s="591">
        <v>0</v>
      </c>
      <c r="BP50" s="591">
        <v>0</v>
      </c>
      <c r="BQ50" s="591">
        <v>606</v>
      </c>
      <c r="BR50" s="591">
        <v>0</v>
      </c>
      <c r="BS50" s="591">
        <v>0</v>
      </c>
      <c r="BT50" s="591">
        <v>0</v>
      </c>
      <c r="BU50" s="591">
        <v>0</v>
      </c>
      <c r="BV50" s="591">
        <v>0</v>
      </c>
      <c r="BW50" s="591">
        <v>0</v>
      </c>
      <c r="BX50" s="591">
        <v>0</v>
      </c>
      <c r="BY50" s="591">
        <v>0</v>
      </c>
      <c r="BZ50" s="591">
        <v>0</v>
      </c>
      <c r="CA50" s="591">
        <v>0</v>
      </c>
      <c r="CB50" s="591">
        <v>0</v>
      </c>
      <c r="CC50" s="591">
        <v>0</v>
      </c>
      <c r="CD50" s="591">
        <v>0</v>
      </c>
      <c r="CE50" s="591">
        <v>0</v>
      </c>
      <c r="CF50" s="591">
        <v>0</v>
      </c>
      <c r="CG50" s="591">
        <v>0</v>
      </c>
      <c r="CH50" s="591">
        <v>195337</v>
      </c>
      <c r="CI50" s="591">
        <v>0</v>
      </c>
      <c r="CJ50" s="591">
        <v>4</v>
      </c>
      <c r="CK50" s="591">
        <v>0</v>
      </c>
      <c r="CL50" s="591">
        <v>0</v>
      </c>
      <c r="CM50" s="591">
        <v>0</v>
      </c>
      <c r="CN50" s="591">
        <v>0</v>
      </c>
      <c r="CO50" s="591">
        <v>1</v>
      </c>
      <c r="CP50" s="591">
        <v>0</v>
      </c>
      <c r="CQ50" s="591">
        <v>0</v>
      </c>
      <c r="CR50" s="591">
        <v>1077.9570000000001</v>
      </c>
      <c r="CS50" s="591">
        <v>0</v>
      </c>
      <c r="CT50" s="591">
        <v>0</v>
      </c>
      <c r="CU50" s="591">
        <v>0</v>
      </c>
      <c r="CV50" s="591">
        <v>0</v>
      </c>
      <c r="CW50" s="591">
        <v>0</v>
      </c>
      <c r="CX50" s="591">
        <v>0</v>
      </c>
      <c r="CY50" s="591">
        <v>0</v>
      </c>
      <c r="CZ50" s="591">
        <v>0</v>
      </c>
      <c r="DA50" s="591">
        <v>0</v>
      </c>
      <c r="DB50" s="591">
        <v>6465511</v>
      </c>
      <c r="DC50" s="591">
        <v>0</v>
      </c>
      <c r="DD50" s="591">
        <v>0</v>
      </c>
      <c r="DE50" s="591">
        <v>2110795</v>
      </c>
      <c r="DF50" s="591">
        <v>2110795</v>
      </c>
      <c r="DG50" s="591">
        <v>342.71300000000002</v>
      </c>
      <c r="DH50" s="591">
        <v>0</v>
      </c>
      <c r="DI50" s="591">
        <v>0</v>
      </c>
      <c r="DJ50" s="591">
        <v>0</v>
      </c>
      <c r="DK50" s="591">
        <v>1321</v>
      </c>
      <c r="DL50" s="591">
        <v>0</v>
      </c>
      <c r="DM50" s="591">
        <v>470806</v>
      </c>
      <c r="DN50" s="591">
        <v>1470</v>
      </c>
      <c r="DO50" s="591">
        <v>0</v>
      </c>
      <c r="DP50" s="591">
        <v>0</v>
      </c>
      <c r="DQ50" s="591">
        <v>0</v>
      </c>
      <c r="DR50" s="591">
        <v>0</v>
      </c>
      <c r="DS50" s="591">
        <v>0</v>
      </c>
      <c r="DT50" s="591">
        <v>0</v>
      </c>
      <c r="DU50" s="591">
        <v>0</v>
      </c>
      <c r="DV50" s="591">
        <v>0</v>
      </c>
      <c r="DW50" s="591">
        <v>0</v>
      </c>
      <c r="DX50" s="591">
        <v>0</v>
      </c>
      <c r="DY50" s="591">
        <v>0</v>
      </c>
      <c r="DZ50" s="591">
        <v>0</v>
      </c>
      <c r="EA50" s="591">
        <v>0</v>
      </c>
      <c r="EB50" s="591">
        <v>0</v>
      </c>
      <c r="EC50" s="591">
        <v>14.06</v>
      </c>
      <c r="ED50" s="591">
        <v>99586</v>
      </c>
      <c r="EE50" s="591">
        <v>0</v>
      </c>
      <c r="EF50" s="591">
        <v>0</v>
      </c>
      <c r="EG50" s="591">
        <v>0</v>
      </c>
      <c r="EH50" s="591">
        <v>287210</v>
      </c>
      <c r="EI50" s="591">
        <v>0</v>
      </c>
      <c r="EJ50" s="591">
        <v>0</v>
      </c>
      <c r="EK50" s="591">
        <v>11.252000000000001</v>
      </c>
      <c r="EL50" s="591">
        <v>0</v>
      </c>
      <c r="EM50" s="591">
        <v>1.2470000000000001</v>
      </c>
      <c r="EN50" s="591">
        <v>1.8270000000000002</v>
      </c>
      <c r="EO50" s="591">
        <v>0</v>
      </c>
      <c r="EP50" s="591">
        <v>0</v>
      </c>
      <c r="EQ50" s="591">
        <v>14.326000000000001</v>
      </c>
      <c r="ER50" s="591">
        <v>0</v>
      </c>
      <c r="ES50" s="591">
        <v>46.632000000000005</v>
      </c>
      <c r="ET50" s="591">
        <v>0</v>
      </c>
      <c r="EU50" s="591">
        <v>0</v>
      </c>
      <c r="EV50" s="591">
        <v>0</v>
      </c>
      <c r="EW50" s="591">
        <v>0</v>
      </c>
      <c r="EX50" s="591">
        <v>0</v>
      </c>
      <c r="EY50" s="591">
        <v>0</v>
      </c>
      <c r="EZ50" s="591">
        <v>10291799</v>
      </c>
      <c r="FA50" s="591">
        <v>0</v>
      </c>
      <c r="FB50" s="591">
        <v>10732346</v>
      </c>
      <c r="FC50" s="591">
        <v>0</v>
      </c>
      <c r="FD50" s="591">
        <v>0</v>
      </c>
      <c r="FE50" s="591">
        <v>1111445</v>
      </c>
      <c r="FF50" s="591">
        <v>226705</v>
      </c>
      <c r="FG50" s="591">
        <v>6.4728999999999995E-2</v>
      </c>
      <c r="FH50" s="591">
        <v>2.6405999999999999E-2</v>
      </c>
      <c r="FI50" s="591">
        <v>0</v>
      </c>
      <c r="FJ50" s="591">
        <v>0</v>
      </c>
      <c r="FK50" s="591">
        <v>1742.162</v>
      </c>
      <c r="FL50" s="591">
        <v>12265833</v>
      </c>
      <c r="FM50" s="591">
        <v>0</v>
      </c>
      <c r="FN50" s="591">
        <v>0</v>
      </c>
      <c r="FO50" s="591">
        <v>3850</v>
      </c>
      <c r="FP50" s="591">
        <v>0</v>
      </c>
      <c r="FQ50" s="591">
        <v>3850</v>
      </c>
      <c r="FR50" s="591">
        <v>3850</v>
      </c>
      <c r="FS50" s="591">
        <v>0</v>
      </c>
      <c r="FT50" s="591">
        <v>0</v>
      </c>
      <c r="FU50" s="591">
        <v>0</v>
      </c>
      <c r="FV50" s="591">
        <v>0</v>
      </c>
      <c r="FW50" s="591">
        <v>0</v>
      </c>
      <c r="FX50" s="591">
        <v>0</v>
      </c>
      <c r="FY50" s="591">
        <v>0</v>
      </c>
      <c r="FZ50" s="591">
        <v>0</v>
      </c>
      <c r="GA50" s="591">
        <v>0</v>
      </c>
      <c r="GB50" s="591">
        <v>0</v>
      </c>
      <c r="GC50" s="591">
        <v>0</v>
      </c>
      <c r="GD50" s="591">
        <v>0</v>
      </c>
      <c r="GE50" s="591">
        <v>0</v>
      </c>
      <c r="GF50" s="591">
        <v>0</v>
      </c>
      <c r="GG50" s="591">
        <v>0</v>
      </c>
      <c r="GH50" s="591">
        <v>0</v>
      </c>
      <c r="GI50" s="591">
        <v>0</v>
      </c>
      <c r="GJ50" s="591">
        <v>0</v>
      </c>
      <c r="GK50" s="591">
        <v>0</v>
      </c>
      <c r="GL50" s="591">
        <v>0</v>
      </c>
      <c r="GM50" s="591">
        <v>0</v>
      </c>
      <c r="GN50" s="591">
        <v>0</v>
      </c>
      <c r="GO50" s="591">
        <v>0</v>
      </c>
      <c r="GP50" s="591">
        <v>0</v>
      </c>
      <c r="GQ50" s="591">
        <v>0</v>
      </c>
      <c r="GR50" s="591">
        <v>0</v>
      </c>
      <c r="GS50" s="591">
        <v>0</v>
      </c>
      <c r="GT50" s="591">
        <v>0</v>
      </c>
      <c r="GU50" s="591">
        <v>0</v>
      </c>
      <c r="GV50" s="591">
        <v>0</v>
      </c>
      <c r="GW50" s="591">
        <v>0</v>
      </c>
      <c r="GX50" s="591">
        <v>0</v>
      </c>
      <c r="GY50" s="591">
        <v>0</v>
      </c>
      <c r="GZ50" s="591">
        <v>0</v>
      </c>
      <c r="HA50" s="591">
        <v>0</v>
      </c>
      <c r="HB50" s="591">
        <v>260009272</v>
      </c>
      <c r="HC50" s="591">
        <v>5.1774999999999995E-2</v>
      </c>
      <c r="HD50" s="591">
        <v>195337</v>
      </c>
      <c r="HE50" s="591">
        <v>0</v>
      </c>
      <c r="HF50" s="591">
        <v>1168930</v>
      </c>
      <c r="HG50" s="591">
        <v>14755</v>
      </c>
      <c r="HH50" s="591">
        <v>481024</v>
      </c>
      <c r="HI50" s="591">
        <v>0</v>
      </c>
      <c r="HJ50" s="591">
        <v>10478</v>
      </c>
      <c r="HK50" s="591">
        <v>0</v>
      </c>
      <c r="HL50" s="591">
        <v>0</v>
      </c>
      <c r="HM50" s="591">
        <v>0</v>
      </c>
      <c r="HN50" s="591">
        <v>0</v>
      </c>
      <c r="HO50" s="591">
        <v>0</v>
      </c>
      <c r="HP50" s="591">
        <v>0</v>
      </c>
      <c r="HQ50" s="591">
        <v>0</v>
      </c>
      <c r="HR50" s="591">
        <v>0</v>
      </c>
      <c r="HS50" s="591">
        <v>10290174</v>
      </c>
      <c r="HT50" s="591">
        <v>0</v>
      </c>
      <c r="HU50" s="591">
        <v>0</v>
      </c>
      <c r="HV50" s="591">
        <v>0</v>
      </c>
      <c r="HW50" s="591">
        <v>0</v>
      </c>
      <c r="HX50" s="591">
        <v>126</v>
      </c>
      <c r="HY50" s="591">
        <v>168</v>
      </c>
      <c r="HZ50" s="591">
        <v>118</v>
      </c>
      <c r="IA50" s="591">
        <v>313</v>
      </c>
      <c r="IB50" s="591">
        <v>592</v>
      </c>
      <c r="IC50" s="591">
        <v>1317</v>
      </c>
      <c r="ID50" s="591">
        <v>0</v>
      </c>
      <c r="IE50" s="591">
        <v>0</v>
      </c>
      <c r="IF50" s="591">
        <v>0</v>
      </c>
      <c r="IG50" s="591">
        <v>23.957000000000001</v>
      </c>
      <c r="IH50" s="591">
        <v>781</v>
      </c>
      <c r="II50" s="591">
        <v>0</v>
      </c>
      <c r="IJ50" s="591">
        <v>10.313000000000001</v>
      </c>
      <c r="IK50" s="591">
        <v>0</v>
      </c>
      <c r="IL50" s="591">
        <v>0</v>
      </c>
      <c r="IM50" s="591">
        <v>0</v>
      </c>
      <c r="IN50" s="591">
        <v>0</v>
      </c>
      <c r="IO50" s="591">
        <v>0</v>
      </c>
      <c r="IP50" s="591">
        <v>0</v>
      </c>
      <c r="IQ50" s="591">
        <v>10.313000000000001</v>
      </c>
      <c r="IR50" s="591">
        <v>6352</v>
      </c>
      <c r="IS50" s="591">
        <v>0</v>
      </c>
      <c r="IT50" s="591">
        <v>0</v>
      </c>
      <c r="IU50" s="591">
        <v>0</v>
      </c>
      <c r="IV50" s="591">
        <v>0</v>
      </c>
      <c r="IW50" s="591">
        <v>6159</v>
      </c>
      <c r="IX50" s="591">
        <v>0</v>
      </c>
      <c r="IY50" s="591">
        <v>0</v>
      </c>
      <c r="IZ50" s="591">
        <v>0</v>
      </c>
      <c r="JA50" s="591">
        <v>0</v>
      </c>
      <c r="JB50" s="591">
        <v>0</v>
      </c>
      <c r="JC50" s="591">
        <v>0</v>
      </c>
      <c r="JD50" s="591">
        <v>0</v>
      </c>
      <c r="JE50" s="591">
        <v>0</v>
      </c>
      <c r="JF50" s="591">
        <v>0</v>
      </c>
      <c r="JG50" s="591">
        <v>0</v>
      </c>
      <c r="JH50" s="591">
        <v>0</v>
      </c>
      <c r="JI50" s="591">
        <v>0</v>
      </c>
      <c r="JJ50" s="591">
        <v>0</v>
      </c>
      <c r="JK50" s="591">
        <v>0</v>
      </c>
      <c r="JL50" s="591">
        <v>0</v>
      </c>
      <c r="JM50" s="591">
        <v>0</v>
      </c>
      <c r="JN50" s="591">
        <v>32469</v>
      </c>
    </row>
    <row r="51" spans="1:274" x14ac:dyDescent="0.25">
      <c r="A51" s="591">
        <v>32570</v>
      </c>
      <c r="B51" s="591">
        <v>57819</v>
      </c>
      <c r="C51" s="591">
        <v>9</v>
      </c>
      <c r="D51" s="591">
        <v>2022</v>
      </c>
      <c r="E51" s="591">
        <v>6159</v>
      </c>
      <c r="F51" s="591">
        <v>0</v>
      </c>
      <c r="G51" s="591">
        <v>182.125</v>
      </c>
      <c r="H51" s="591">
        <v>170.411</v>
      </c>
      <c r="I51" s="591">
        <v>170.411</v>
      </c>
      <c r="J51" s="591">
        <v>182.125</v>
      </c>
      <c r="K51" s="591">
        <v>0</v>
      </c>
      <c r="L51" s="591">
        <v>6159</v>
      </c>
      <c r="M51" s="591">
        <v>0</v>
      </c>
      <c r="N51" s="591">
        <v>0</v>
      </c>
      <c r="O51" s="591">
        <v>0</v>
      </c>
      <c r="P51" s="591">
        <v>174.79600000000002</v>
      </c>
      <c r="Q51" s="591">
        <v>0</v>
      </c>
      <c r="R51" s="591">
        <v>70343</v>
      </c>
      <c r="S51" s="591">
        <v>402.428</v>
      </c>
      <c r="T51" s="591">
        <v>0</v>
      </c>
      <c r="U51" s="591">
        <v>0</v>
      </c>
      <c r="V51" s="591">
        <v>83.66</v>
      </c>
      <c r="W51" s="591">
        <v>51527</v>
      </c>
      <c r="X51" s="591">
        <v>51527</v>
      </c>
      <c r="Y51" s="591">
        <v>0</v>
      </c>
      <c r="Z51" s="591">
        <v>0</v>
      </c>
      <c r="AA51" s="591">
        <v>0</v>
      </c>
      <c r="AB51" s="591">
        <v>0</v>
      </c>
      <c r="AC51" s="591">
        <v>0</v>
      </c>
      <c r="AD51" s="591" t="s">
        <v>316</v>
      </c>
      <c r="AE51" s="591">
        <v>0</v>
      </c>
      <c r="AF51" s="591">
        <v>0</v>
      </c>
      <c r="AG51" s="591">
        <v>0</v>
      </c>
      <c r="AH51" s="591">
        <v>0</v>
      </c>
      <c r="AI51" s="591">
        <v>0</v>
      </c>
      <c r="AJ51" s="591">
        <v>6159</v>
      </c>
      <c r="AK51" s="591" t="s">
        <v>671</v>
      </c>
      <c r="AL51" s="591" t="s">
        <v>44</v>
      </c>
      <c r="AM51" s="591">
        <v>0</v>
      </c>
      <c r="AN51" s="591">
        <v>0</v>
      </c>
      <c r="AO51" s="591">
        <v>0</v>
      </c>
      <c r="AP51" s="591">
        <v>0</v>
      </c>
      <c r="AQ51" s="591">
        <v>0</v>
      </c>
      <c r="AR51" s="591">
        <v>0</v>
      </c>
      <c r="AS51" s="591">
        <v>0</v>
      </c>
      <c r="AT51" s="591">
        <v>0</v>
      </c>
      <c r="AU51" s="591">
        <v>0</v>
      </c>
      <c r="AV51" s="591">
        <v>0</v>
      </c>
      <c r="AW51" s="591">
        <v>1982473</v>
      </c>
      <c r="AX51" s="591">
        <v>1949808</v>
      </c>
      <c r="AY51" s="591">
        <v>0</v>
      </c>
      <c r="AZ51" s="591">
        <v>70343</v>
      </c>
      <c r="BA51" s="591">
        <v>0</v>
      </c>
      <c r="BB51" s="591">
        <v>0</v>
      </c>
      <c r="BC51" s="591">
        <v>0</v>
      </c>
      <c r="BD51" s="591">
        <v>0</v>
      </c>
      <c r="BE51" s="591">
        <v>26</v>
      </c>
      <c r="BF51" s="591">
        <v>1748280</v>
      </c>
      <c r="BG51" s="591">
        <v>0</v>
      </c>
      <c r="BH51" s="591">
        <v>0</v>
      </c>
      <c r="BI51" s="591">
        <v>0</v>
      </c>
      <c r="BJ51" s="591">
        <v>12</v>
      </c>
      <c r="BK51" s="591">
        <v>0</v>
      </c>
      <c r="BL51" s="591">
        <v>0</v>
      </c>
      <c r="BM51" s="591">
        <v>0</v>
      </c>
      <c r="BN51" s="591">
        <v>0</v>
      </c>
      <c r="BO51" s="591">
        <v>0</v>
      </c>
      <c r="BP51" s="591">
        <v>0</v>
      </c>
      <c r="BQ51" s="591">
        <v>744</v>
      </c>
      <c r="BR51" s="591">
        <v>0</v>
      </c>
      <c r="BS51" s="591">
        <v>0</v>
      </c>
      <c r="BT51" s="591">
        <v>0</v>
      </c>
      <c r="BU51" s="591">
        <v>0</v>
      </c>
      <c r="BV51" s="591">
        <v>0</v>
      </c>
      <c r="BW51" s="591">
        <v>0</v>
      </c>
      <c r="BX51" s="591">
        <v>0</v>
      </c>
      <c r="BY51" s="591">
        <v>0</v>
      </c>
      <c r="BZ51" s="591">
        <v>0</v>
      </c>
      <c r="CA51" s="591">
        <v>0</v>
      </c>
      <c r="CB51" s="591">
        <v>0</v>
      </c>
      <c r="CC51" s="591">
        <v>0</v>
      </c>
      <c r="CD51" s="591">
        <v>0</v>
      </c>
      <c r="CE51" s="591">
        <v>0</v>
      </c>
      <c r="CF51" s="591">
        <v>0</v>
      </c>
      <c r="CG51" s="591">
        <v>0</v>
      </c>
      <c r="CH51" s="591">
        <v>33003</v>
      </c>
      <c r="CI51" s="591">
        <v>0</v>
      </c>
      <c r="CJ51" s="591">
        <v>4</v>
      </c>
      <c r="CK51" s="591">
        <v>0</v>
      </c>
      <c r="CL51" s="591">
        <v>0</v>
      </c>
      <c r="CM51" s="591">
        <v>0</v>
      </c>
      <c r="CN51" s="591">
        <v>0</v>
      </c>
      <c r="CO51" s="591">
        <v>1</v>
      </c>
      <c r="CP51" s="591">
        <v>0</v>
      </c>
      <c r="CQ51" s="591">
        <v>0</v>
      </c>
      <c r="CR51" s="591">
        <v>182.125</v>
      </c>
      <c r="CS51" s="591">
        <v>0</v>
      </c>
      <c r="CT51" s="591">
        <v>0</v>
      </c>
      <c r="CU51" s="591">
        <v>0</v>
      </c>
      <c r="CV51" s="591">
        <v>0</v>
      </c>
      <c r="CW51" s="591">
        <v>0</v>
      </c>
      <c r="CX51" s="591">
        <v>0</v>
      </c>
      <c r="CY51" s="591">
        <v>0</v>
      </c>
      <c r="CZ51" s="591">
        <v>0</v>
      </c>
      <c r="DA51" s="591">
        <v>0</v>
      </c>
      <c r="DB51" s="591">
        <v>1049575</v>
      </c>
      <c r="DC51" s="591">
        <v>0</v>
      </c>
      <c r="DD51" s="591">
        <v>0</v>
      </c>
      <c r="DE51" s="591">
        <v>226654</v>
      </c>
      <c r="DF51" s="591">
        <v>226654</v>
      </c>
      <c r="DG51" s="591">
        <v>36.800000000000004</v>
      </c>
      <c r="DH51" s="591">
        <v>0</v>
      </c>
      <c r="DI51" s="591">
        <v>0</v>
      </c>
      <c r="DJ51" s="591">
        <v>0</v>
      </c>
      <c r="DK51" s="591">
        <v>3522</v>
      </c>
      <c r="DL51" s="591">
        <v>0</v>
      </c>
      <c r="DM51" s="591">
        <v>81854</v>
      </c>
      <c r="DN51" s="591">
        <v>312</v>
      </c>
      <c r="DO51" s="591">
        <v>0</v>
      </c>
      <c r="DP51" s="591">
        <v>0</v>
      </c>
      <c r="DQ51" s="591">
        <v>0</v>
      </c>
      <c r="DR51" s="591">
        <v>0</v>
      </c>
      <c r="DS51" s="591">
        <v>0</v>
      </c>
      <c r="DT51" s="591">
        <v>0</v>
      </c>
      <c r="DU51" s="591">
        <v>0</v>
      </c>
      <c r="DV51" s="591">
        <v>0</v>
      </c>
      <c r="DW51" s="591">
        <v>0</v>
      </c>
      <c r="DX51" s="591">
        <v>0</v>
      </c>
      <c r="DY51" s="591">
        <v>0</v>
      </c>
      <c r="DZ51" s="591">
        <v>0</v>
      </c>
      <c r="EA51" s="591">
        <v>0</v>
      </c>
      <c r="EB51" s="591">
        <v>0</v>
      </c>
      <c r="EC51" s="591">
        <v>1.9180000000000001</v>
      </c>
      <c r="ED51" s="591">
        <v>13585</v>
      </c>
      <c r="EE51" s="591">
        <v>0</v>
      </c>
      <c r="EF51" s="591">
        <v>0</v>
      </c>
      <c r="EG51" s="591">
        <v>0</v>
      </c>
      <c r="EH51" s="591">
        <v>68581</v>
      </c>
      <c r="EI51" s="591">
        <v>0</v>
      </c>
      <c r="EJ51" s="591">
        <v>0</v>
      </c>
      <c r="EK51" s="591">
        <v>3.27</v>
      </c>
      <c r="EL51" s="591">
        <v>0</v>
      </c>
      <c r="EM51" s="591">
        <v>0</v>
      </c>
      <c r="EN51" s="591">
        <v>0.26500000000000001</v>
      </c>
      <c r="EO51" s="591">
        <v>0</v>
      </c>
      <c r="EP51" s="591">
        <v>0</v>
      </c>
      <c r="EQ51" s="591">
        <v>3.5350000000000001</v>
      </c>
      <c r="ER51" s="591">
        <v>0</v>
      </c>
      <c r="ES51" s="591">
        <v>11.135</v>
      </c>
      <c r="ET51" s="591">
        <v>0</v>
      </c>
      <c r="EU51" s="591">
        <v>0</v>
      </c>
      <c r="EV51" s="591">
        <v>0</v>
      </c>
      <c r="EW51" s="591">
        <v>0</v>
      </c>
      <c r="EX51" s="591">
        <v>0</v>
      </c>
      <c r="EY51" s="591">
        <v>0</v>
      </c>
      <c r="EZ51" s="591">
        <v>1731780</v>
      </c>
      <c r="FA51" s="591">
        <v>0</v>
      </c>
      <c r="FB51" s="591">
        <v>1801785</v>
      </c>
      <c r="FC51" s="591">
        <v>0</v>
      </c>
      <c r="FD51" s="591">
        <v>0</v>
      </c>
      <c r="FE51" s="591">
        <v>181090</v>
      </c>
      <c r="FF51" s="591">
        <v>36938</v>
      </c>
      <c r="FG51" s="591">
        <v>6.4728999999999995E-2</v>
      </c>
      <c r="FH51" s="591">
        <v>2.6405999999999999E-2</v>
      </c>
      <c r="FI51" s="591">
        <v>0</v>
      </c>
      <c r="FJ51" s="591">
        <v>0</v>
      </c>
      <c r="FK51" s="591">
        <v>283.85400000000004</v>
      </c>
      <c r="FL51" s="591">
        <v>2052816</v>
      </c>
      <c r="FM51" s="591">
        <v>0</v>
      </c>
      <c r="FN51" s="591">
        <v>0</v>
      </c>
      <c r="FO51" s="591">
        <v>53163</v>
      </c>
      <c r="FP51" s="591">
        <v>0</v>
      </c>
      <c r="FQ51" s="591">
        <v>53163</v>
      </c>
      <c r="FR51" s="591">
        <v>53163</v>
      </c>
      <c r="FS51" s="591">
        <v>0</v>
      </c>
      <c r="FT51" s="591">
        <v>0</v>
      </c>
      <c r="FU51" s="591">
        <v>0</v>
      </c>
      <c r="FV51" s="591">
        <v>0</v>
      </c>
      <c r="FW51" s="591">
        <v>0</v>
      </c>
      <c r="FX51" s="591">
        <v>0</v>
      </c>
      <c r="FY51" s="591">
        <v>0</v>
      </c>
      <c r="FZ51" s="591">
        <v>0</v>
      </c>
      <c r="GA51" s="591">
        <v>0</v>
      </c>
      <c r="GB51" s="591">
        <v>68006</v>
      </c>
      <c r="GC51" s="591">
        <v>68006</v>
      </c>
      <c r="GD51" s="591">
        <v>8.1790000000000003</v>
      </c>
      <c r="GE51" s="591">
        <v>0</v>
      </c>
      <c r="GF51" s="591">
        <v>0</v>
      </c>
      <c r="GG51" s="591">
        <v>0</v>
      </c>
      <c r="GH51" s="591">
        <v>0</v>
      </c>
      <c r="GI51" s="591">
        <v>0</v>
      </c>
      <c r="GJ51" s="591">
        <v>0</v>
      </c>
      <c r="GK51" s="591">
        <v>0</v>
      </c>
      <c r="GL51" s="591">
        <v>0</v>
      </c>
      <c r="GM51" s="591">
        <v>0</v>
      </c>
      <c r="GN51" s="591">
        <v>0</v>
      </c>
      <c r="GO51" s="591">
        <v>0</v>
      </c>
      <c r="GP51" s="591">
        <v>0</v>
      </c>
      <c r="GQ51" s="591">
        <v>0</v>
      </c>
      <c r="GR51" s="591">
        <v>0</v>
      </c>
      <c r="GS51" s="591">
        <v>0</v>
      </c>
      <c r="GT51" s="591">
        <v>0</v>
      </c>
      <c r="GU51" s="591">
        <v>0</v>
      </c>
      <c r="GV51" s="591">
        <v>0</v>
      </c>
      <c r="GW51" s="591">
        <v>0</v>
      </c>
      <c r="GX51" s="591">
        <v>0</v>
      </c>
      <c r="GY51" s="591">
        <v>0</v>
      </c>
      <c r="GZ51" s="591">
        <v>0</v>
      </c>
      <c r="HA51" s="591">
        <v>0</v>
      </c>
      <c r="HB51" s="591">
        <v>260009272</v>
      </c>
      <c r="HC51" s="591">
        <v>5.1774999999999995E-2</v>
      </c>
      <c r="HD51" s="591">
        <v>33003</v>
      </c>
      <c r="HE51" s="591">
        <v>0</v>
      </c>
      <c r="HF51" s="591">
        <v>187282</v>
      </c>
      <c r="HG51" s="591">
        <v>0</v>
      </c>
      <c r="HH51" s="591">
        <v>81300</v>
      </c>
      <c r="HI51" s="591">
        <v>0</v>
      </c>
      <c r="HJ51" s="591">
        <v>1770</v>
      </c>
      <c r="HK51" s="591">
        <v>438</v>
      </c>
      <c r="HL51" s="591">
        <v>242</v>
      </c>
      <c r="HM51" s="591">
        <v>0</v>
      </c>
      <c r="HN51" s="591">
        <v>0</v>
      </c>
      <c r="HO51" s="591">
        <v>0</v>
      </c>
      <c r="HP51" s="591">
        <v>0</v>
      </c>
      <c r="HQ51" s="591">
        <v>0</v>
      </c>
      <c r="HR51" s="591">
        <v>0</v>
      </c>
      <c r="HS51" s="591">
        <v>1731442</v>
      </c>
      <c r="HT51" s="591">
        <v>0</v>
      </c>
      <c r="HU51" s="591">
        <v>0</v>
      </c>
      <c r="HV51" s="591">
        <v>0</v>
      </c>
      <c r="HW51" s="591">
        <v>0</v>
      </c>
      <c r="HX51" s="591">
        <v>19</v>
      </c>
      <c r="HY51" s="591">
        <v>14</v>
      </c>
      <c r="HZ51" s="591">
        <v>10</v>
      </c>
      <c r="IA51" s="591">
        <v>42</v>
      </c>
      <c r="IB51" s="591">
        <v>57</v>
      </c>
      <c r="IC51" s="591">
        <v>141</v>
      </c>
      <c r="ID51" s="591">
        <v>0</v>
      </c>
      <c r="IE51" s="591">
        <v>0</v>
      </c>
      <c r="IF51" s="591">
        <v>0</v>
      </c>
      <c r="IG51" s="591">
        <v>0</v>
      </c>
      <c r="IH51" s="591">
        <v>132</v>
      </c>
      <c r="II51" s="591">
        <v>0</v>
      </c>
      <c r="IJ51" s="591">
        <v>83.66</v>
      </c>
      <c r="IK51" s="591">
        <v>0</v>
      </c>
      <c r="IL51" s="591">
        <v>0</v>
      </c>
      <c r="IM51" s="591">
        <v>0</v>
      </c>
      <c r="IN51" s="591">
        <v>0</v>
      </c>
      <c r="IO51" s="591">
        <v>0</v>
      </c>
      <c r="IP51" s="591">
        <v>0</v>
      </c>
      <c r="IQ51" s="591">
        <v>83.66</v>
      </c>
      <c r="IR51" s="591">
        <v>51527</v>
      </c>
      <c r="IS51" s="591">
        <v>0</v>
      </c>
      <c r="IT51" s="591">
        <v>0</v>
      </c>
      <c r="IU51" s="591">
        <v>0</v>
      </c>
      <c r="IV51" s="591">
        <v>0</v>
      </c>
      <c r="IW51" s="591">
        <v>6159</v>
      </c>
      <c r="IX51" s="591">
        <v>0</v>
      </c>
      <c r="IY51" s="591">
        <v>0</v>
      </c>
      <c r="IZ51" s="591">
        <v>0</v>
      </c>
      <c r="JA51" s="591">
        <v>0</v>
      </c>
      <c r="JB51" s="591">
        <v>0</v>
      </c>
      <c r="JC51" s="591">
        <v>0</v>
      </c>
      <c r="JD51" s="591">
        <v>0</v>
      </c>
      <c r="JE51" s="591">
        <v>0</v>
      </c>
      <c r="JF51" s="591">
        <v>0</v>
      </c>
      <c r="JG51" s="591">
        <v>0</v>
      </c>
      <c r="JH51" s="591">
        <v>0</v>
      </c>
      <c r="JI51" s="591">
        <v>0</v>
      </c>
      <c r="JJ51" s="591">
        <v>0</v>
      </c>
      <c r="JK51" s="591">
        <v>0</v>
      </c>
      <c r="JL51" s="591">
        <v>0</v>
      </c>
      <c r="JM51" s="591">
        <v>0</v>
      </c>
      <c r="JN51" s="591">
        <v>32469</v>
      </c>
    </row>
    <row r="52" spans="1:274" x14ac:dyDescent="0.25">
      <c r="A52" s="591">
        <v>32570</v>
      </c>
      <c r="B52" s="591">
        <v>57827</v>
      </c>
      <c r="C52" s="591">
        <v>9</v>
      </c>
      <c r="D52" s="591">
        <v>2022</v>
      </c>
      <c r="E52" s="591">
        <v>6159</v>
      </c>
      <c r="F52" s="591">
        <v>0</v>
      </c>
      <c r="G52" s="591">
        <v>532.79700000000003</v>
      </c>
      <c r="H52" s="591">
        <v>532.31400000000008</v>
      </c>
      <c r="I52" s="591">
        <v>532.31400000000008</v>
      </c>
      <c r="J52" s="591">
        <v>532.79700000000003</v>
      </c>
      <c r="K52" s="591">
        <v>0</v>
      </c>
      <c r="L52" s="591">
        <v>6159</v>
      </c>
      <c r="M52" s="591">
        <v>0</v>
      </c>
      <c r="N52" s="591">
        <v>0</v>
      </c>
      <c r="O52" s="591">
        <v>0</v>
      </c>
      <c r="P52" s="591">
        <v>524.59800000000007</v>
      </c>
      <c r="Q52" s="591">
        <v>0</v>
      </c>
      <c r="R52" s="591">
        <v>211113</v>
      </c>
      <c r="S52" s="591">
        <v>402.428</v>
      </c>
      <c r="T52" s="591">
        <v>0</v>
      </c>
      <c r="U52" s="591">
        <v>0</v>
      </c>
      <c r="V52" s="591">
        <v>147.714</v>
      </c>
      <c r="W52" s="591">
        <v>90978</v>
      </c>
      <c r="X52" s="591">
        <v>90978</v>
      </c>
      <c r="Y52" s="591">
        <v>0</v>
      </c>
      <c r="Z52" s="591">
        <v>0</v>
      </c>
      <c r="AA52" s="591">
        <v>0</v>
      </c>
      <c r="AB52" s="591">
        <v>0</v>
      </c>
      <c r="AC52" s="591">
        <v>0</v>
      </c>
      <c r="AD52" s="591" t="s">
        <v>316</v>
      </c>
      <c r="AE52" s="591">
        <v>0</v>
      </c>
      <c r="AF52" s="591">
        <v>0</v>
      </c>
      <c r="AG52" s="591">
        <v>0</v>
      </c>
      <c r="AH52" s="591">
        <v>0</v>
      </c>
      <c r="AI52" s="591">
        <v>0</v>
      </c>
      <c r="AJ52" s="591">
        <v>6159</v>
      </c>
      <c r="AK52" s="591" t="s">
        <v>671</v>
      </c>
      <c r="AL52" s="591" t="s">
        <v>463</v>
      </c>
      <c r="AM52" s="591">
        <v>0</v>
      </c>
      <c r="AN52" s="591">
        <v>0</v>
      </c>
      <c r="AO52" s="591">
        <v>0</v>
      </c>
      <c r="AP52" s="591">
        <v>0</v>
      </c>
      <c r="AQ52" s="591">
        <v>0</v>
      </c>
      <c r="AR52" s="591">
        <v>0</v>
      </c>
      <c r="AS52" s="591">
        <v>0</v>
      </c>
      <c r="AT52" s="591">
        <v>0</v>
      </c>
      <c r="AU52" s="591">
        <v>0</v>
      </c>
      <c r="AV52" s="591">
        <v>0</v>
      </c>
      <c r="AW52" s="591">
        <v>5781602</v>
      </c>
      <c r="AX52" s="591">
        <v>5685866</v>
      </c>
      <c r="AY52" s="591">
        <v>0</v>
      </c>
      <c r="AZ52" s="591">
        <v>211113</v>
      </c>
      <c r="BA52" s="591">
        <v>0</v>
      </c>
      <c r="BB52" s="591">
        <v>0</v>
      </c>
      <c r="BC52" s="591">
        <v>0</v>
      </c>
      <c r="BD52" s="591">
        <v>0</v>
      </c>
      <c r="BE52" s="591">
        <v>75</v>
      </c>
      <c r="BF52" s="591">
        <v>5243112</v>
      </c>
      <c r="BG52" s="591">
        <v>0</v>
      </c>
      <c r="BH52" s="591">
        <v>0</v>
      </c>
      <c r="BI52" s="591">
        <v>0</v>
      </c>
      <c r="BJ52" s="591">
        <v>12</v>
      </c>
      <c r="BK52" s="591">
        <v>0</v>
      </c>
      <c r="BL52" s="591">
        <v>0</v>
      </c>
      <c r="BM52" s="591">
        <v>0</v>
      </c>
      <c r="BN52" s="591">
        <v>0</v>
      </c>
      <c r="BO52" s="591">
        <v>0</v>
      </c>
      <c r="BP52" s="591">
        <v>0</v>
      </c>
      <c r="BQ52" s="591">
        <v>688</v>
      </c>
      <c r="BR52" s="591">
        <v>0</v>
      </c>
      <c r="BS52" s="591">
        <v>0</v>
      </c>
      <c r="BT52" s="591">
        <v>0</v>
      </c>
      <c r="BU52" s="591">
        <v>0</v>
      </c>
      <c r="BV52" s="591">
        <v>0</v>
      </c>
      <c r="BW52" s="591">
        <v>0</v>
      </c>
      <c r="BX52" s="591">
        <v>0</v>
      </c>
      <c r="BY52" s="591">
        <v>0</v>
      </c>
      <c r="BZ52" s="591">
        <v>0</v>
      </c>
      <c r="CA52" s="591">
        <v>0</v>
      </c>
      <c r="CB52" s="591">
        <v>0</v>
      </c>
      <c r="CC52" s="591">
        <v>0</v>
      </c>
      <c r="CD52" s="591">
        <v>0</v>
      </c>
      <c r="CE52" s="591">
        <v>0</v>
      </c>
      <c r="CF52" s="591">
        <v>0</v>
      </c>
      <c r="CG52" s="591">
        <v>0</v>
      </c>
      <c r="CH52" s="591">
        <v>96549</v>
      </c>
      <c r="CI52" s="591">
        <v>0</v>
      </c>
      <c r="CJ52" s="591">
        <v>4</v>
      </c>
      <c r="CK52" s="591">
        <v>0</v>
      </c>
      <c r="CL52" s="591">
        <v>0</v>
      </c>
      <c r="CM52" s="591">
        <v>0</v>
      </c>
      <c r="CN52" s="591">
        <v>0</v>
      </c>
      <c r="CO52" s="591">
        <v>1</v>
      </c>
      <c r="CP52" s="591">
        <v>0</v>
      </c>
      <c r="CQ52" s="591">
        <v>0</v>
      </c>
      <c r="CR52" s="591">
        <v>532.79700000000003</v>
      </c>
      <c r="CS52" s="591">
        <v>0</v>
      </c>
      <c r="CT52" s="591">
        <v>0</v>
      </c>
      <c r="CU52" s="591">
        <v>0</v>
      </c>
      <c r="CV52" s="591">
        <v>0</v>
      </c>
      <c r="CW52" s="591">
        <v>0</v>
      </c>
      <c r="CX52" s="591">
        <v>0</v>
      </c>
      <c r="CY52" s="591">
        <v>0</v>
      </c>
      <c r="CZ52" s="591">
        <v>0</v>
      </c>
      <c r="DA52" s="591">
        <v>0</v>
      </c>
      <c r="DB52" s="591">
        <v>3278566</v>
      </c>
      <c r="DC52" s="591">
        <v>0</v>
      </c>
      <c r="DD52" s="591">
        <v>0</v>
      </c>
      <c r="DE52" s="591">
        <v>929098</v>
      </c>
      <c r="DF52" s="591">
        <v>929098</v>
      </c>
      <c r="DG52" s="591">
        <v>150.85</v>
      </c>
      <c r="DH52" s="591">
        <v>0</v>
      </c>
      <c r="DI52" s="591">
        <v>0</v>
      </c>
      <c r="DJ52" s="591">
        <v>0</v>
      </c>
      <c r="DK52" s="591">
        <v>2630</v>
      </c>
      <c r="DL52" s="591">
        <v>0</v>
      </c>
      <c r="DM52" s="591">
        <v>193427</v>
      </c>
      <c r="DN52" s="591">
        <v>738</v>
      </c>
      <c r="DO52" s="591">
        <v>0</v>
      </c>
      <c r="DP52" s="591">
        <v>0</v>
      </c>
      <c r="DQ52" s="591">
        <v>0</v>
      </c>
      <c r="DR52" s="591">
        <v>0</v>
      </c>
      <c r="DS52" s="591">
        <v>0</v>
      </c>
      <c r="DT52" s="591">
        <v>0</v>
      </c>
      <c r="DU52" s="591">
        <v>0</v>
      </c>
      <c r="DV52" s="591">
        <v>0</v>
      </c>
      <c r="DW52" s="591">
        <v>0</v>
      </c>
      <c r="DX52" s="591">
        <v>0</v>
      </c>
      <c r="DY52" s="591">
        <v>0</v>
      </c>
      <c r="DZ52" s="591">
        <v>0</v>
      </c>
      <c r="EA52" s="591">
        <v>0</v>
      </c>
      <c r="EB52" s="591">
        <v>0</v>
      </c>
      <c r="EC52" s="591">
        <v>25.313000000000002</v>
      </c>
      <c r="ED52" s="591">
        <v>179291</v>
      </c>
      <c r="EE52" s="591">
        <v>0</v>
      </c>
      <c r="EF52" s="591">
        <v>0</v>
      </c>
      <c r="EG52" s="591">
        <v>0</v>
      </c>
      <c r="EH52" s="591">
        <v>14874</v>
      </c>
      <c r="EI52" s="591">
        <v>0</v>
      </c>
      <c r="EJ52" s="591">
        <v>0</v>
      </c>
      <c r="EK52" s="591">
        <v>0</v>
      </c>
      <c r="EL52" s="591">
        <v>0</v>
      </c>
      <c r="EM52" s="591">
        <v>0</v>
      </c>
      <c r="EN52" s="591">
        <v>0.48300000000000004</v>
      </c>
      <c r="EO52" s="591">
        <v>0</v>
      </c>
      <c r="EP52" s="591">
        <v>0</v>
      </c>
      <c r="EQ52" s="591">
        <v>0.48300000000000004</v>
      </c>
      <c r="ER52" s="591">
        <v>0</v>
      </c>
      <c r="ES52" s="591">
        <v>2.415</v>
      </c>
      <c r="ET52" s="591">
        <v>0</v>
      </c>
      <c r="EU52" s="591">
        <v>0</v>
      </c>
      <c r="EV52" s="591">
        <v>0</v>
      </c>
      <c r="EW52" s="591">
        <v>0</v>
      </c>
      <c r="EX52" s="591">
        <v>0</v>
      </c>
      <c r="EY52" s="591">
        <v>0</v>
      </c>
      <c r="EZ52" s="591">
        <v>5031999</v>
      </c>
      <c r="FA52" s="591">
        <v>0</v>
      </c>
      <c r="FB52" s="591">
        <v>5242299</v>
      </c>
      <c r="FC52" s="591">
        <v>0</v>
      </c>
      <c r="FD52" s="591">
        <v>0</v>
      </c>
      <c r="FE52" s="591">
        <v>543091</v>
      </c>
      <c r="FF52" s="591">
        <v>110776</v>
      </c>
      <c r="FG52" s="591">
        <v>6.4728999999999995E-2</v>
      </c>
      <c r="FH52" s="591">
        <v>2.6405999999999999E-2</v>
      </c>
      <c r="FI52" s="591">
        <v>0</v>
      </c>
      <c r="FJ52" s="591">
        <v>0</v>
      </c>
      <c r="FK52" s="591">
        <v>851.28100000000006</v>
      </c>
      <c r="FL52" s="591">
        <v>5992715</v>
      </c>
      <c r="FM52" s="591">
        <v>0</v>
      </c>
      <c r="FN52" s="591">
        <v>0</v>
      </c>
      <c r="FO52" s="591">
        <v>0</v>
      </c>
      <c r="FP52" s="591">
        <v>0</v>
      </c>
      <c r="FQ52" s="591">
        <v>0</v>
      </c>
      <c r="FR52" s="591">
        <v>0</v>
      </c>
      <c r="FS52" s="591">
        <v>0</v>
      </c>
      <c r="FT52" s="591">
        <v>0</v>
      </c>
      <c r="FU52" s="591">
        <v>0</v>
      </c>
      <c r="FV52" s="591">
        <v>0</v>
      </c>
      <c r="FW52" s="591">
        <v>0</v>
      </c>
      <c r="FX52" s="591">
        <v>0</v>
      </c>
      <c r="FY52" s="591">
        <v>0</v>
      </c>
      <c r="FZ52" s="591">
        <v>0</v>
      </c>
      <c r="GA52" s="591">
        <v>0</v>
      </c>
      <c r="GB52" s="591">
        <v>0</v>
      </c>
      <c r="GC52" s="591">
        <v>0</v>
      </c>
      <c r="GD52" s="591">
        <v>0</v>
      </c>
      <c r="GE52" s="591">
        <v>0</v>
      </c>
      <c r="GF52" s="591">
        <v>0</v>
      </c>
      <c r="GG52" s="591">
        <v>0</v>
      </c>
      <c r="GH52" s="591">
        <v>0</v>
      </c>
      <c r="GI52" s="591">
        <v>0</v>
      </c>
      <c r="GJ52" s="591">
        <v>0</v>
      </c>
      <c r="GK52" s="591">
        <v>0</v>
      </c>
      <c r="GL52" s="591">
        <v>0</v>
      </c>
      <c r="GM52" s="591">
        <v>0</v>
      </c>
      <c r="GN52" s="591">
        <v>0</v>
      </c>
      <c r="GO52" s="591">
        <v>0</v>
      </c>
      <c r="GP52" s="591">
        <v>0</v>
      </c>
      <c r="GQ52" s="591">
        <v>0</v>
      </c>
      <c r="GR52" s="591">
        <v>0</v>
      </c>
      <c r="GS52" s="591">
        <v>0</v>
      </c>
      <c r="GT52" s="591">
        <v>0</v>
      </c>
      <c r="GU52" s="591">
        <v>0</v>
      </c>
      <c r="GV52" s="591">
        <v>0</v>
      </c>
      <c r="GW52" s="591">
        <v>0</v>
      </c>
      <c r="GX52" s="591">
        <v>0</v>
      </c>
      <c r="GY52" s="591">
        <v>0</v>
      </c>
      <c r="GZ52" s="591">
        <v>0</v>
      </c>
      <c r="HA52" s="591">
        <v>0</v>
      </c>
      <c r="HB52" s="591">
        <v>260009272</v>
      </c>
      <c r="HC52" s="591">
        <v>5.1774999999999995E-2</v>
      </c>
      <c r="HD52" s="591">
        <v>96549</v>
      </c>
      <c r="HE52" s="591">
        <v>0</v>
      </c>
      <c r="HF52" s="591">
        <v>585013</v>
      </c>
      <c r="HG52" s="591">
        <v>1925</v>
      </c>
      <c r="HH52" s="591">
        <v>131188</v>
      </c>
      <c r="HI52" s="591">
        <v>0</v>
      </c>
      <c r="HJ52" s="591">
        <v>5179</v>
      </c>
      <c r="HK52" s="591">
        <v>0</v>
      </c>
      <c r="HL52" s="591">
        <v>0</v>
      </c>
      <c r="HM52" s="591">
        <v>0</v>
      </c>
      <c r="HN52" s="591">
        <v>0</v>
      </c>
      <c r="HO52" s="591">
        <v>27000</v>
      </c>
      <c r="HP52" s="591">
        <v>0</v>
      </c>
      <c r="HQ52" s="591">
        <v>0</v>
      </c>
      <c r="HR52" s="591">
        <v>0</v>
      </c>
      <c r="HS52" s="591">
        <v>5031186</v>
      </c>
      <c r="HT52" s="591">
        <v>0</v>
      </c>
      <c r="HU52" s="591">
        <v>0</v>
      </c>
      <c r="HV52" s="591">
        <v>0</v>
      </c>
      <c r="HW52" s="591">
        <v>0</v>
      </c>
      <c r="HX52" s="591">
        <v>38</v>
      </c>
      <c r="HY52" s="591">
        <v>74</v>
      </c>
      <c r="HZ52" s="591">
        <v>110</v>
      </c>
      <c r="IA52" s="591">
        <v>164</v>
      </c>
      <c r="IB52" s="591">
        <v>197</v>
      </c>
      <c r="IC52" s="591">
        <v>562</v>
      </c>
      <c r="ID52" s="591">
        <v>0</v>
      </c>
      <c r="IE52" s="591">
        <v>0</v>
      </c>
      <c r="IF52" s="591">
        <v>0</v>
      </c>
      <c r="IG52" s="591">
        <v>3.125</v>
      </c>
      <c r="IH52" s="591">
        <v>213</v>
      </c>
      <c r="II52" s="591">
        <v>0</v>
      </c>
      <c r="IJ52" s="591">
        <v>147.714</v>
      </c>
      <c r="IK52" s="591">
        <v>0</v>
      </c>
      <c r="IL52" s="591">
        <v>0</v>
      </c>
      <c r="IM52" s="591">
        <v>0</v>
      </c>
      <c r="IN52" s="591">
        <v>0</v>
      </c>
      <c r="IO52" s="591">
        <v>0</v>
      </c>
      <c r="IP52" s="591">
        <v>0</v>
      </c>
      <c r="IQ52" s="591">
        <v>147.714</v>
      </c>
      <c r="IR52" s="591">
        <v>90978</v>
      </c>
      <c r="IS52" s="591">
        <v>0</v>
      </c>
      <c r="IT52" s="591">
        <v>0</v>
      </c>
      <c r="IU52" s="591">
        <v>0</v>
      </c>
      <c r="IV52" s="591">
        <v>0</v>
      </c>
      <c r="IW52" s="591">
        <v>6159</v>
      </c>
      <c r="IX52" s="591">
        <v>0</v>
      </c>
      <c r="IY52" s="591">
        <v>0</v>
      </c>
      <c r="IZ52" s="591">
        <v>0</v>
      </c>
      <c r="JA52" s="591">
        <v>0</v>
      </c>
      <c r="JB52" s="591">
        <v>0</v>
      </c>
      <c r="JC52" s="591">
        <v>0</v>
      </c>
      <c r="JD52" s="591">
        <v>0</v>
      </c>
      <c r="JE52" s="591">
        <v>0</v>
      </c>
      <c r="JF52" s="591">
        <v>0</v>
      </c>
      <c r="JG52" s="591">
        <v>0</v>
      </c>
      <c r="JH52" s="591">
        <v>0</v>
      </c>
      <c r="JI52" s="591">
        <v>0</v>
      </c>
      <c r="JJ52" s="591">
        <v>0</v>
      </c>
      <c r="JK52" s="591">
        <v>0</v>
      </c>
      <c r="JL52" s="591">
        <v>0</v>
      </c>
      <c r="JM52" s="591">
        <v>0</v>
      </c>
      <c r="JN52" s="591">
        <v>32469</v>
      </c>
    </row>
    <row r="53" spans="1:274" x14ac:dyDescent="0.25">
      <c r="A53" s="591">
        <v>32570</v>
      </c>
      <c r="B53" s="591">
        <v>57828</v>
      </c>
      <c r="C53" s="591">
        <v>9</v>
      </c>
      <c r="D53" s="591">
        <v>2022</v>
      </c>
      <c r="E53" s="591">
        <v>6159</v>
      </c>
      <c r="F53" s="591">
        <v>0</v>
      </c>
      <c r="G53" s="591">
        <v>927.7</v>
      </c>
      <c r="H53" s="591">
        <v>805.77600000000007</v>
      </c>
      <c r="I53" s="591">
        <v>805.77600000000007</v>
      </c>
      <c r="J53" s="591">
        <v>927.7</v>
      </c>
      <c r="K53" s="591">
        <v>0</v>
      </c>
      <c r="L53" s="591">
        <v>6159</v>
      </c>
      <c r="M53" s="591">
        <v>0</v>
      </c>
      <c r="N53" s="591">
        <v>0</v>
      </c>
      <c r="O53" s="591">
        <v>0</v>
      </c>
      <c r="P53" s="591">
        <v>969.577</v>
      </c>
      <c r="Q53" s="591">
        <v>0</v>
      </c>
      <c r="R53" s="591">
        <v>390185</v>
      </c>
      <c r="S53" s="591">
        <v>402.428</v>
      </c>
      <c r="T53" s="591">
        <v>0</v>
      </c>
      <c r="U53" s="591">
        <v>0</v>
      </c>
      <c r="V53" s="591">
        <v>121.217</v>
      </c>
      <c r="W53" s="591">
        <v>74659</v>
      </c>
      <c r="X53" s="591">
        <v>74659</v>
      </c>
      <c r="Y53" s="591">
        <v>0</v>
      </c>
      <c r="Z53" s="591">
        <v>0</v>
      </c>
      <c r="AA53" s="591">
        <v>0</v>
      </c>
      <c r="AB53" s="591">
        <v>0</v>
      </c>
      <c r="AC53" s="591">
        <v>0</v>
      </c>
      <c r="AD53" s="591" t="s">
        <v>316</v>
      </c>
      <c r="AE53" s="591">
        <v>0</v>
      </c>
      <c r="AF53" s="591">
        <v>0</v>
      </c>
      <c r="AG53" s="591">
        <v>0</v>
      </c>
      <c r="AH53" s="591">
        <v>0</v>
      </c>
      <c r="AI53" s="591">
        <v>0</v>
      </c>
      <c r="AJ53" s="591">
        <v>6159</v>
      </c>
      <c r="AK53" s="591" t="s">
        <v>671</v>
      </c>
      <c r="AL53" s="591" t="s">
        <v>84</v>
      </c>
      <c r="AM53" s="591">
        <v>0</v>
      </c>
      <c r="AN53" s="591">
        <v>0</v>
      </c>
      <c r="AO53" s="591">
        <v>0</v>
      </c>
      <c r="AP53" s="591">
        <v>0</v>
      </c>
      <c r="AQ53" s="591">
        <v>0</v>
      </c>
      <c r="AR53" s="591">
        <v>0</v>
      </c>
      <c r="AS53" s="591">
        <v>0</v>
      </c>
      <c r="AT53" s="591">
        <v>0</v>
      </c>
      <c r="AU53" s="591">
        <v>0</v>
      </c>
      <c r="AV53" s="591">
        <v>0</v>
      </c>
      <c r="AW53" s="591">
        <v>9959177</v>
      </c>
      <c r="AX53" s="591">
        <v>9794770</v>
      </c>
      <c r="AY53" s="591">
        <v>0</v>
      </c>
      <c r="AZ53" s="591">
        <v>390185</v>
      </c>
      <c r="BA53" s="591">
        <v>0</v>
      </c>
      <c r="BB53" s="591">
        <v>0</v>
      </c>
      <c r="BC53" s="591">
        <v>0</v>
      </c>
      <c r="BD53" s="591">
        <v>0</v>
      </c>
      <c r="BE53" s="591">
        <v>131</v>
      </c>
      <c r="BF53" s="591">
        <v>8758180</v>
      </c>
      <c r="BG53" s="591">
        <v>0</v>
      </c>
      <c r="BH53" s="591">
        <v>0</v>
      </c>
      <c r="BI53" s="591">
        <v>0</v>
      </c>
      <c r="BJ53" s="591">
        <v>12</v>
      </c>
      <c r="BK53" s="591">
        <v>0</v>
      </c>
      <c r="BL53" s="591">
        <v>0</v>
      </c>
      <c r="BM53" s="591">
        <v>0</v>
      </c>
      <c r="BN53" s="591">
        <v>0</v>
      </c>
      <c r="BO53" s="591">
        <v>0</v>
      </c>
      <c r="BP53" s="591">
        <v>0</v>
      </c>
      <c r="BQ53" s="591">
        <v>646</v>
      </c>
      <c r="BR53" s="591">
        <v>0</v>
      </c>
      <c r="BS53" s="591">
        <v>0</v>
      </c>
      <c r="BT53" s="591">
        <v>0</v>
      </c>
      <c r="BU53" s="591">
        <v>0</v>
      </c>
      <c r="BV53" s="591">
        <v>0</v>
      </c>
      <c r="BW53" s="591">
        <v>0</v>
      </c>
      <c r="BX53" s="591">
        <v>0</v>
      </c>
      <c r="BY53" s="591">
        <v>0</v>
      </c>
      <c r="BZ53" s="591">
        <v>0</v>
      </c>
      <c r="CA53" s="591">
        <v>0</v>
      </c>
      <c r="CB53" s="591">
        <v>0</v>
      </c>
      <c r="CC53" s="591">
        <v>0</v>
      </c>
      <c r="CD53" s="591">
        <v>0</v>
      </c>
      <c r="CE53" s="591">
        <v>0</v>
      </c>
      <c r="CF53" s="591">
        <v>0</v>
      </c>
      <c r="CG53" s="591">
        <v>0</v>
      </c>
      <c r="CH53" s="591">
        <v>168109</v>
      </c>
      <c r="CI53" s="591">
        <v>0</v>
      </c>
      <c r="CJ53" s="591">
        <v>4</v>
      </c>
      <c r="CK53" s="591">
        <v>0</v>
      </c>
      <c r="CL53" s="591">
        <v>0</v>
      </c>
      <c r="CM53" s="591">
        <v>0</v>
      </c>
      <c r="CN53" s="591">
        <v>0</v>
      </c>
      <c r="CO53" s="591">
        <v>1</v>
      </c>
      <c r="CP53" s="591">
        <v>0.20300000000000001</v>
      </c>
      <c r="CQ53" s="591">
        <v>0</v>
      </c>
      <c r="CR53" s="591">
        <v>927.7</v>
      </c>
      <c r="CS53" s="591">
        <v>0</v>
      </c>
      <c r="CT53" s="591">
        <v>0</v>
      </c>
      <c r="CU53" s="591">
        <v>0</v>
      </c>
      <c r="CV53" s="591">
        <v>0</v>
      </c>
      <c r="CW53" s="591">
        <v>0</v>
      </c>
      <c r="CX53" s="591">
        <v>0</v>
      </c>
      <c r="CY53" s="591">
        <v>0</v>
      </c>
      <c r="CZ53" s="591">
        <v>0</v>
      </c>
      <c r="DA53" s="591">
        <v>0</v>
      </c>
      <c r="DB53" s="591">
        <v>4936253</v>
      </c>
      <c r="DC53" s="591">
        <v>0</v>
      </c>
      <c r="DD53" s="591">
        <v>0</v>
      </c>
      <c r="DE53" s="591">
        <v>1089927</v>
      </c>
      <c r="DF53" s="591">
        <v>1092940</v>
      </c>
      <c r="DG53" s="591">
        <v>176.96300000000002</v>
      </c>
      <c r="DH53" s="591">
        <v>0</v>
      </c>
      <c r="DI53" s="591">
        <v>3013</v>
      </c>
      <c r="DJ53" s="591">
        <v>0</v>
      </c>
      <c r="DK53" s="591">
        <v>1957</v>
      </c>
      <c r="DL53" s="591">
        <v>0</v>
      </c>
      <c r="DM53" s="591">
        <v>962613</v>
      </c>
      <c r="DN53" s="591">
        <v>3571</v>
      </c>
      <c r="DO53" s="591">
        <v>0</v>
      </c>
      <c r="DP53" s="591">
        <v>0</v>
      </c>
      <c r="DQ53" s="591">
        <v>0</v>
      </c>
      <c r="DR53" s="591">
        <v>0</v>
      </c>
      <c r="DS53" s="591">
        <v>0</v>
      </c>
      <c r="DT53" s="591">
        <v>0</v>
      </c>
      <c r="DU53" s="591">
        <v>0</v>
      </c>
      <c r="DV53" s="591">
        <v>0</v>
      </c>
      <c r="DW53" s="591">
        <v>0</v>
      </c>
      <c r="DX53" s="591">
        <v>0</v>
      </c>
      <c r="DY53" s="591">
        <v>0</v>
      </c>
      <c r="DZ53" s="591">
        <v>0</v>
      </c>
      <c r="EA53" s="591">
        <v>0</v>
      </c>
      <c r="EB53" s="591">
        <v>0</v>
      </c>
      <c r="EC53" s="591">
        <v>52.15</v>
      </c>
      <c r="ED53" s="591">
        <v>369376</v>
      </c>
      <c r="EE53" s="591">
        <v>0</v>
      </c>
      <c r="EF53" s="591">
        <v>0</v>
      </c>
      <c r="EG53" s="591">
        <v>0</v>
      </c>
      <c r="EH53" s="591">
        <v>567436</v>
      </c>
      <c r="EI53" s="591">
        <v>2784</v>
      </c>
      <c r="EJ53" s="591">
        <v>0.113</v>
      </c>
      <c r="EK53" s="591">
        <v>29.91</v>
      </c>
      <c r="EL53" s="591">
        <v>0</v>
      </c>
      <c r="EM53" s="591">
        <v>0</v>
      </c>
      <c r="EN53" s="591">
        <v>0.48</v>
      </c>
      <c r="EO53" s="591">
        <v>0</v>
      </c>
      <c r="EP53" s="591">
        <v>0</v>
      </c>
      <c r="EQ53" s="591">
        <v>30.503</v>
      </c>
      <c r="ER53" s="591">
        <v>0</v>
      </c>
      <c r="ES53" s="591">
        <v>92.13</v>
      </c>
      <c r="ET53" s="591">
        <v>0</v>
      </c>
      <c r="EU53" s="591">
        <v>0</v>
      </c>
      <c r="EV53" s="591">
        <v>0</v>
      </c>
      <c r="EW53" s="591">
        <v>0</v>
      </c>
      <c r="EX53" s="591">
        <v>0</v>
      </c>
      <c r="EY53" s="591">
        <v>0</v>
      </c>
      <c r="EZ53" s="591">
        <v>8702540</v>
      </c>
      <c r="FA53" s="591">
        <v>0</v>
      </c>
      <c r="FB53" s="591">
        <v>9089023</v>
      </c>
      <c r="FC53" s="591">
        <v>0</v>
      </c>
      <c r="FD53" s="591">
        <v>0</v>
      </c>
      <c r="FE53" s="591">
        <v>907188</v>
      </c>
      <c r="FF53" s="591">
        <v>185042</v>
      </c>
      <c r="FG53" s="591">
        <v>6.4728999999999995E-2</v>
      </c>
      <c r="FH53" s="591">
        <v>2.6405999999999999E-2</v>
      </c>
      <c r="FI53" s="591">
        <v>0</v>
      </c>
      <c r="FJ53" s="591">
        <v>0</v>
      </c>
      <c r="FK53" s="591">
        <v>1421.9940000000001</v>
      </c>
      <c r="FL53" s="591">
        <v>10349362</v>
      </c>
      <c r="FM53" s="591">
        <v>0</v>
      </c>
      <c r="FN53" s="591">
        <v>0</v>
      </c>
      <c r="FO53" s="591">
        <v>46806</v>
      </c>
      <c r="FP53" s="591">
        <v>0</v>
      </c>
      <c r="FQ53" s="591">
        <v>46806</v>
      </c>
      <c r="FR53" s="591">
        <v>46806</v>
      </c>
      <c r="FS53" s="591">
        <v>0</v>
      </c>
      <c r="FT53" s="591">
        <v>0</v>
      </c>
      <c r="FU53" s="591">
        <v>0</v>
      </c>
      <c r="FV53" s="591">
        <v>0</v>
      </c>
      <c r="FW53" s="591">
        <v>0</v>
      </c>
      <c r="FX53" s="591">
        <v>0</v>
      </c>
      <c r="FY53" s="591">
        <v>0</v>
      </c>
      <c r="FZ53" s="591">
        <v>0</v>
      </c>
      <c r="GA53" s="591">
        <v>0</v>
      </c>
      <c r="GB53" s="591">
        <v>760144</v>
      </c>
      <c r="GC53" s="591">
        <v>760144</v>
      </c>
      <c r="GD53" s="591">
        <v>91.421000000000006</v>
      </c>
      <c r="GE53" s="591">
        <v>0</v>
      </c>
      <c r="GF53" s="591">
        <v>0</v>
      </c>
      <c r="GG53" s="591">
        <v>0</v>
      </c>
      <c r="GH53" s="591">
        <v>0</v>
      </c>
      <c r="GI53" s="591">
        <v>0</v>
      </c>
      <c r="GJ53" s="591">
        <v>0</v>
      </c>
      <c r="GK53" s="591">
        <v>0</v>
      </c>
      <c r="GL53" s="591">
        <v>0</v>
      </c>
      <c r="GM53" s="591">
        <v>0</v>
      </c>
      <c r="GN53" s="591">
        <v>0</v>
      </c>
      <c r="GO53" s="591">
        <v>0</v>
      </c>
      <c r="GP53" s="591">
        <v>0</v>
      </c>
      <c r="GQ53" s="591">
        <v>0</v>
      </c>
      <c r="GR53" s="591">
        <v>0</v>
      </c>
      <c r="GS53" s="591">
        <v>0</v>
      </c>
      <c r="GT53" s="591">
        <v>0</v>
      </c>
      <c r="GU53" s="591">
        <v>0</v>
      </c>
      <c r="GV53" s="591">
        <v>0</v>
      </c>
      <c r="GW53" s="591">
        <v>0</v>
      </c>
      <c r="GX53" s="591">
        <v>0</v>
      </c>
      <c r="GY53" s="591">
        <v>0</v>
      </c>
      <c r="GZ53" s="591">
        <v>0</v>
      </c>
      <c r="HA53" s="591">
        <v>0</v>
      </c>
      <c r="HB53" s="591">
        <v>260009272</v>
      </c>
      <c r="HC53" s="591">
        <v>5.1774999999999995E-2</v>
      </c>
      <c r="HD53" s="591">
        <v>168109</v>
      </c>
      <c r="HE53" s="591">
        <v>0</v>
      </c>
      <c r="HF53" s="591">
        <v>885548</v>
      </c>
      <c r="HG53" s="591">
        <v>31435</v>
      </c>
      <c r="HH53" s="591">
        <v>0</v>
      </c>
      <c r="HI53" s="591">
        <v>0</v>
      </c>
      <c r="HJ53" s="591">
        <v>9017</v>
      </c>
      <c r="HK53" s="591">
        <v>13606</v>
      </c>
      <c r="HL53" s="591">
        <v>12489</v>
      </c>
      <c r="HM53" s="591">
        <v>2000</v>
      </c>
      <c r="HN53" s="591">
        <v>0</v>
      </c>
      <c r="HO53" s="591">
        <v>0</v>
      </c>
      <c r="HP53" s="591">
        <v>261644</v>
      </c>
      <c r="HQ53" s="591">
        <v>0</v>
      </c>
      <c r="HR53" s="591">
        <v>0</v>
      </c>
      <c r="HS53" s="591">
        <v>8698838</v>
      </c>
      <c r="HT53" s="591">
        <v>0</v>
      </c>
      <c r="HU53" s="591">
        <v>0</v>
      </c>
      <c r="HV53" s="591">
        <v>0</v>
      </c>
      <c r="HW53" s="591">
        <v>0</v>
      </c>
      <c r="HX53" s="591">
        <v>110</v>
      </c>
      <c r="HY53" s="591">
        <v>118</v>
      </c>
      <c r="HZ53" s="591">
        <v>152</v>
      </c>
      <c r="IA53" s="591">
        <v>167</v>
      </c>
      <c r="IB53" s="591">
        <v>154</v>
      </c>
      <c r="IC53" s="591">
        <v>583</v>
      </c>
      <c r="ID53" s="591">
        <v>0</v>
      </c>
      <c r="IE53" s="591">
        <v>0</v>
      </c>
      <c r="IF53" s="591">
        <v>0</v>
      </c>
      <c r="IG53" s="591">
        <v>51.038000000000004</v>
      </c>
      <c r="IH53" s="591">
        <v>0</v>
      </c>
      <c r="II53" s="591">
        <v>951.43299999999999</v>
      </c>
      <c r="IJ53" s="591">
        <v>121.217</v>
      </c>
      <c r="IK53" s="591">
        <v>0</v>
      </c>
      <c r="IL53" s="591">
        <v>0</v>
      </c>
      <c r="IM53" s="591">
        <v>0</v>
      </c>
      <c r="IN53" s="591">
        <v>1</v>
      </c>
      <c r="IO53" s="591">
        <v>1</v>
      </c>
      <c r="IP53" s="591">
        <v>951.43299999999999</v>
      </c>
      <c r="IQ53" s="591">
        <v>121.217</v>
      </c>
      <c r="IR53" s="591">
        <v>74659</v>
      </c>
      <c r="IS53" s="591">
        <v>0</v>
      </c>
      <c r="IT53" s="591">
        <v>0</v>
      </c>
      <c r="IU53" s="591">
        <v>0</v>
      </c>
      <c r="IV53" s="591">
        <v>2000</v>
      </c>
      <c r="IW53" s="591">
        <v>6159</v>
      </c>
      <c r="IX53" s="591">
        <v>0</v>
      </c>
      <c r="IY53" s="591">
        <v>0</v>
      </c>
      <c r="IZ53" s="591">
        <v>261644</v>
      </c>
      <c r="JA53" s="591">
        <v>0</v>
      </c>
      <c r="JB53" s="591">
        <v>0</v>
      </c>
      <c r="JC53" s="591">
        <v>0</v>
      </c>
      <c r="JD53" s="591">
        <v>0</v>
      </c>
      <c r="JE53" s="591">
        <v>0</v>
      </c>
      <c r="JF53" s="591">
        <v>0</v>
      </c>
      <c r="JG53" s="591">
        <v>0</v>
      </c>
      <c r="JH53" s="591">
        <v>0</v>
      </c>
      <c r="JI53" s="591">
        <v>0</v>
      </c>
      <c r="JJ53" s="591">
        <v>0</v>
      </c>
      <c r="JK53" s="591">
        <v>0</v>
      </c>
      <c r="JL53" s="591">
        <v>0</v>
      </c>
      <c r="JM53" s="591">
        <v>0</v>
      </c>
      <c r="JN53" s="591">
        <v>32469</v>
      </c>
    </row>
    <row r="54" spans="1:274" x14ac:dyDescent="0.25">
      <c r="A54" s="591">
        <v>32570</v>
      </c>
      <c r="B54" s="591">
        <v>57829</v>
      </c>
      <c r="C54" s="591">
        <v>9</v>
      </c>
      <c r="D54" s="591">
        <v>2022</v>
      </c>
      <c r="E54" s="591">
        <v>6159</v>
      </c>
      <c r="F54" s="591">
        <v>0</v>
      </c>
      <c r="G54" s="591">
        <v>1291.0430000000001</v>
      </c>
      <c r="H54" s="591">
        <v>1179.0240000000001</v>
      </c>
      <c r="I54" s="591">
        <v>1179.0240000000001</v>
      </c>
      <c r="J54" s="591">
        <v>1291.0430000000001</v>
      </c>
      <c r="K54" s="591">
        <v>0</v>
      </c>
      <c r="L54" s="591">
        <v>6159</v>
      </c>
      <c r="M54" s="591">
        <v>0</v>
      </c>
      <c r="N54" s="591">
        <v>0</v>
      </c>
      <c r="O54" s="591">
        <v>0</v>
      </c>
      <c r="P54" s="591">
        <v>1328.5420000000001</v>
      </c>
      <c r="Q54" s="591">
        <v>0</v>
      </c>
      <c r="R54" s="591">
        <v>534642</v>
      </c>
      <c r="S54" s="591">
        <v>402.428</v>
      </c>
      <c r="T54" s="591">
        <v>0</v>
      </c>
      <c r="U54" s="591">
        <v>0</v>
      </c>
      <c r="V54" s="591">
        <v>588.56299999999999</v>
      </c>
      <c r="W54" s="591">
        <v>362501</v>
      </c>
      <c r="X54" s="591">
        <v>362501</v>
      </c>
      <c r="Y54" s="591">
        <v>0</v>
      </c>
      <c r="Z54" s="591">
        <v>0</v>
      </c>
      <c r="AA54" s="591">
        <v>0</v>
      </c>
      <c r="AB54" s="591">
        <v>0</v>
      </c>
      <c r="AC54" s="591">
        <v>0</v>
      </c>
      <c r="AD54" s="591" t="s">
        <v>316</v>
      </c>
      <c r="AE54" s="591">
        <v>0</v>
      </c>
      <c r="AF54" s="591">
        <v>0</v>
      </c>
      <c r="AG54" s="591">
        <v>0</v>
      </c>
      <c r="AH54" s="591">
        <v>0</v>
      </c>
      <c r="AI54" s="591">
        <v>0</v>
      </c>
      <c r="AJ54" s="591">
        <v>6159</v>
      </c>
      <c r="AK54" s="591" t="s">
        <v>671</v>
      </c>
      <c r="AL54" s="591" t="s">
        <v>45</v>
      </c>
      <c r="AM54" s="591">
        <v>0</v>
      </c>
      <c r="AN54" s="591">
        <v>0</v>
      </c>
      <c r="AO54" s="591">
        <v>0</v>
      </c>
      <c r="AP54" s="591">
        <v>0</v>
      </c>
      <c r="AQ54" s="591">
        <v>0</v>
      </c>
      <c r="AR54" s="591">
        <v>0</v>
      </c>
      <c r="AS54" s="591">
        <v>0</v>
      </c>
      <c r="AT54" s="591">
        <v>0</v>
      </c>
      <c r="AU54" s="591">
        <v>0</v>
      </c>
      <c r="AV54" s="591">
        <v>0</v>
      </c>
      <c r="AW54" s="591">
        <v>14387674</v>
      </c>
      <c r="AX54" s="591">
        <v>14157602</v>
      </c>
      <c r="AY54" s="591">
        <v>0</v>
      </c>
      <c r="AZ54" s="591">
        <v>534642</v>
      </c>
      <c r="BA54" s="591">
        <v>0</v>
      </c>
      <c r="BB54" s="591">
        <v>0</v>
      </c>
      <c r="BC54" s="591">
        <v>0</v>
      </c>
      <c r="BD54" s="591">
        <v>7</v>
      </c>
      <c r="BE54" s="591">
        <v>188</v>
      </c>
      <c r="BF54" s="591">
        <v>13054696</v>
      </c>
      <c r="BG54" s="591">
        <v>0</v>
      </c>
      <c r="BH54" s="591">
        <v>0</v>
      </c>
      <c r="BI54" s="591">
        <v>0</v>
      </c>
      <c r="BJ54" s="591">
        <v>12</v>
      </c>
      <c r="BK54" s="591">
        <v>0</v>
      </c>
      <c r="BL54" s="591">
        <v>0</v>
      </c>
      <c r="BM54" s="591">
        <v>0</v>
      </c>
      <c r="BN54" s="591">
        <v>0</v>
      </c>
      <c r="BO54" s="591">
        <v>0</v>
      </c>
      <c r="BP54" s="591">
        <v>0</v>
      </c>
      <c r="BQ54" s="591">
        <v>588</v>
      </c>
      <c r="BR54" s="591">
        <v>0</v>
      </c>
      <c r="BS54" s="591">
        <v>0</v>
      </c>
      <c r="BT54" s="591">
        <v>0</v>
      </c>
      <c r="BU54" s="591">
        <v>0</v>
      </c>
      <c r="BV54" s="591">
        <v>0</v>
      </c>
      <c r="BW54" s="591">
        <v>0</v>
      </c>
      <c r="BX54" s="591">
        <v>0</v>
      </c>
      <c r="BY54" s="591">
        <v>0</v>
      </c>
      <c r="BZ54" s="591">
        <v>0</v>
      </c>
      <c r="CA54" s="591">
        <v>0</v>
      </c>
      <c r="CB54" s="591">
        <v>0</v>
      </c>
      <c r="CC54" s="591">
        <v>0</v>
      </c>
      <c r="CD54" s="591">
        <v>0</v>
      </c>
      <c r="CE54" s="591">
        <v>0</v>
      </c>
      <c r="CF54" s="591">
        <v>0</v>
      </c>
      <c r="CG54" s="591">
        <v>0</v>
      </c>
      <c r="CH54" s="591">
        <v>233951</v>
      </c>
      <c r="CI54" s="591">
        <v>0</v>
      </c>
      <c r="CJ54" s="591">
        <v>4</v>
      </c>
      <c r="CK54" s="591">
        <v>0</v>
      </c>
      <c r="CL54" s="591">
        <v>0</v>
      </c>
      <c r="CM54" s="591">
        <v>0</v>
      </c>
      <c r="CN54" s="591">
        <v>0</v>
      </c>
      <c r="CO54" s="591">
        <v>1</v>
      </c>
      <c r="CP54" s="591">
        <v>0</v>
      </c>
      <c r="CQ54" s="591">
        <v>0</v>
      </c>
      <c r="CR54" s="591">
        <v>1291.0430000000001</v>
      </c>
      <c r="CS54" s="591">
        <v>0</v>
      </c>
      <c r="CT54" s="591">
        <v>0</v>
      </c>
      <c r="CU54" s="591">
        <v>0</v>
      </c>
      <c r="CV54" s="591">
        <v>0</v>
      </c>
      <c r="CW54" s="591">
        <v>0</v>
      </c>
      <c r="CX54" s="591">
        <v>0</v>
      </c>
      <c r="CY54" s="591">
        <v>0</v>
      </c>
      <c r="CZ54" s="591">
        <v>0</v>
      </c>
      <c r="DA54" s="591">
        <v>0</v>
      </c>
      <c r="DB54" s="591">
        <v>7229931</v>
      </c>
      <c r="DC54" s="591">
        <v>0</v>
      </c>
      <c r="DD54" s="591">
        <v>0</v>
      </c>
      <c r="DE54" s="591">
        <v>2092625</v>
      </c>
      <c r="DF54" s="591">
        <v>2092625</v>
      </c>
      <c r="DG54" s="591">
        <v>339.76300000000003</v>
      </c>
      <c r="DH54" s="591">
        <v>0</v>
      </c>
      <c r="DI54" s="591">
        <v>0</v>
      </c>
      <c r="DJ54" s="591">
        <v>0</v>
      </c>
      <c r="DK54" s="591">
        <v>1037</v>
      </c>
      <c r="DL54" s="591">
        <v>0</v>
      </c>
      <c r="DM54" s="591">
        <v>999169</v>
      </c>
      <c r="DN54" s="591">
        <v>3691</v>
      </c>
      <c r="DO54" s="591">
        <v>0</v>
      </c>
      <c r="DP54" s="591">
        <v>0</v>
      </c>
      <c r="DQ54" s="591">
        <v>0</v>
      </c>
      <c r="DR54" s="591">
        <v>0</v>
      </c>
      <c r="DS54" s="591">
        <v>0</v>
      </c>
      <c r="DT54" s="591">
        <v>0</v>
      </c>
      <c r="DU54" s="591">
        <v>0</v>
      </c>
      <c r="DV54" s="591">
        <v>0</v>
      </c>
      <c r="DW54" s="591">
        <v>0</v>
      </c>
      <c r="DX54" s="591">
        <v>0</v>
      </c>
      <c r="DY54" s="591">
        <v>0</v>
      </c>
      <c r="DZ54" s="591">
        <v>0</v>
      </c>
      <c r="EA54" s="591">
        <v>0</v>
      </c>
      <c r="EB54" s="591">
        <v>0</v>
      </c>
      <c r="EC54" s="591">
        <v>42.995000000000005</v>
      </c>
      <c r="ED54" s="591">
        <v>304531</v>
      </c>
      <c r="EE54" s="591">
        <v>0</v>
      </c>
      <c r="EF54" s="591">
        <v>0</v>
      </c>
      <c r="EG54" s="591">
        <v>0</v>
      </c>
      <c r="EH54" s="591">
        <v>666554</v>
      </c>
      <c r="EI54" s="591">
        <v>0</v>
      </c>
      <c r="EJ54" s="591">
        <v>0</v>
      </c>
      <c r="EK54" s="591">
        <v>21.188000000000002</v>
      </c>
      <c r="EL54" s="591">
        <v>0</v>
      </c>
      <c r="EM54" s="591">
        <v>10.678000000000001</v>
      </c>
      <c r="EN54" s="591">
        <v>2.5249999999999999</v>
      </c>
      <c r="EO54" s="591">
        <v>0</v>
      </c>
      <c r="EP54" s="591">
        <v>0</v>
      </c>
      <c r="EQ54" s="591">
        <v>34.390999999999998</v>
      </c>
      <c r="ER54" s="591">
        <v>0</v>
      </c>
      <c r="ES54" s="591">
        <v>108.223</v>
      </c>
      <c r="ET54" s="591">
        <v>0</v>
      </c>
      <c r="EU54" s="591">
        <v>0</v>
      </c>
      <c r="EV54" s="591">
        <v>0</v>
      </c>
      <c r="EW54" s="591">
        <v>0</v>
      </c>
      <c r="EX54" s="591">
        <v>0</v>
      </c>
      <c r="EY54" s="591">
        <v>0</v>
      </c>
      <c r="EZ54" s="591">
        <v>12529553</v>
      </c>
      <c r="FA54" s="591">
        <v>0</v>
      </c>
      <c r="FB54" s="591">
        <v>13060316</v>
      </c>
      <c r="FC54" s="591">
        <v>0</v>
      </c>
      <c r="FD54" s="591">
        <v>0</v>
      </c>
      <c r="FE54" s="591">
        <v>1352230</v>
      </c>
      <c r="FF54" s="591">
        <v>275819</v>
      </c>
      <c r="FG54" s="591">
        <v>6.4728999999999995E-2</v>
      </c>
      <c r="FH54" s="591">
        <v>2.6405999999999999E-2</v>
      </c>
      <c r="FI54" s="591">
        <v>0</v>
      </c>
      <c r="FJ54" s="591">
        <v>0</v>
      </c>
      <c r="FK54" s="591">
        <v>2119.585</v>
      </c>
      <c r="FL54" s="591">
        <v>14922316</v>
      </c>
      <c r="FM54" s="591">
        <v>0</v>
      </c>
      <c r="FN54" s="591">
        <v>0</v>
      </c>
      <c r="FO54" s="591">
        <v>0</v>
      </c>
      <c r="FP54" s="591">
        <v>0</v>
      </c>
      <c r="FQ54" s="591">
        <v>0</v>
      </c>
      <c r="FR54" s="591">
        <v>0</v>
      </c>
      <c r="FS54" s="591">
        <v>0</v>
      </c>
      <c r="FT54" s="591">
        <v>0</v>
      </c>
      <c r="FU54" s="591">
        <v>0</v>
      </c>
      <c r="FV54" s="591">
        <v>0</v>
      </c>
      <c r="FW54" s="591">
        <v>0</v>
      </c>
      <c r="FX54" s="591">
        <v>0</v>
      </c>
      <c r="FY54" s="591">
        <v>0</v>
      </c>
      <c r="FZ54" s="591">
        <v>0</v>
      </c>
      <c r="GA54" s="591">
        <v>0</v>
      </c>
      <c r="GB54" s="591">
        <v>645458</v>
      </c>
      <c r="GC54" s="591">
        <v>645458</v>
      </c>
      <c r="GD54" s="591">
        <v>77.628</v>
      </c>
      <c r="GE54" s="591">
        <v>0</v>
      </c>
      <c r="GF54" s="591">
        <v>0</v>
      </c>
      <c r="GG54" s="591">
        <v>0</v>
      </c>
      <c r="GH54" s="591">
        <v>0</v>
      </c>
      <c r="GI54" s="591">
        <v>0</v>
      </c>
      <c r="GJ54" s="591">
        <v>0</v>
      </c>
      <c r="GK54" s="591">
        <v>0</v>
      </c>
      <c r="GL54" s="591">
        <v>0</v>
      </c>
      <c r="GM54" s="591">
        <v>0</v>
      </c>
      <c r="GN54" s="591">
        <v>0</v>
      </c>
      <c r="GO54" s="591">
        <v>0</v>
      </c>
      <c r="GP54" s="591">
        <v>0</v>
      </c>
      <c r="GQ54" s="591">
        <v>0</v>
      </c>
      <c r="GR54" s="591">
        <v>0</v>
      </c>
      <c r="GS54" s="591">
        <v>0</v>
      </c>
      <c r="GT54" s="591">
        <v>0</v>
      </c>
      <c r="GU54" s="591">
        <v>0</v>
      </c>
      <c r="GV54" s="591">
        <v>0</v>
      </c>
      <c r="GW54" s="591">
        <v>0</v>
      </c>
      <c r="GX54" s="591">
        <v>0</v>
      </c>
      <c r="GY54" s="591">
        <v>0</v>
      </c>
      <c r="GZ54" s="591">
        <v>0</v>
      </c>
      <c r="HA54" s="591">
        <v>0</v>
      </c>
      <c r="HB54" s="591">
        <v>260009272</v>
      </c>
      <c r="HC54" s="591">
        <v>5.1774999999999995E-2</v>
      </c>
      <c r="HD54" s="591">
        <v>233951</v>
      </c>
      <c r="HE54" s="591">
        <v>0</v>
      </c>
      <c r="HF54" s="591">
        <v>1295747</v>
      </c>
      <c r="HG54" s="591">
        <v>21812</v>
      </c>
      <c r="HH54" s="591">
        <v>341213</v>
      </c>
      <c r="HI54" s="591">
        <v>0</v>
      </c>
      <c r="HJ54" s="591">
        <v>12549</v>
      </c>
      <c r="HK54" s="591">
        <v>4620</v>
      </c>
      <c r="HL54" s="591">
        <v>4879</v>
      </c>
      <c r="HM54" s="591">
        <v>50000</v>
      </c>
      <c r="HN54" s="591">
        <v>0</v>
      </c>
      <c r="HO54" s="591">
        <v>0</v>
      </c>
      <c r="HP54" s="591">
        <v>0</v>
      </c>
      <c r="HQ54" s="591">
        <v>0</v>
      </c>
      <c r="HR54" s="591">
        <v>0</v>
      </c>
      <c r="HS54" s="591">
        <v>12525674</v>
      </c>
      <c r="HT54" s="591">
        <v>0</v>
      </c>
      <c r="HU54" s="591">
        <v>0</v>
      </c>
      <c r="HV54" s="591">
        <v>0</v>
      </c>
      <c r="HW54" s="591">
        <v>0</v>
      </c>
      <c r="HX54" s="591">
        <v>24</v>
      </c>
      <c r="HY54" s="591">
        <v>62</v>
      </c>
      <c r="HZ54" s="591">
        <v>380</v>
      </c>
      <c r="IA54" s="591">
        <v>553</v>
      </c>
      <c r="IB54" s="591">
        <v>289</v>
      </c>
      <c r="IC54" s="591">
        <v>1264</v>
      </c>
      <c r="ID54" s="591">
        <v>0</v>
      </c>
      <c r="IE54" s="591">
        <v>0</v>
      </c>
      <c r="IF54" s="591">
        <v>0</v>
      </c>
      <c r="IG54" s="591">
        <v>35.414000000000001</v>
      </c>
      <c r="IH54" s="591">
        <v>554</v>
      </c>
      <c r="II54" s="591">
        <v>0</v>
      </c>
      <c r="IJ54" s="591">
        <v>588.56299999999999</v>
      </c>
      <c r="IK54" s="591">
        <v>0</v>
      </c>
      <c r="IL54" s="591">
        <v>10</v>
      </c>
      <c r="IM54" s="591">
        <v>0</v>
      </c>
      <c r="IN54" s="591">
        <v>0</v>
      </c>
      <c r="IO54" s="591">
        <v>10</v>
      </c>
      <c r="IP54" s="591">
        <v>0</v>
      </c>
      <c r="IQ54" s="591">
        <v>588.56299999999999</v>
      </c>
      <c r="IR54" s="591">
        <v>362501</v>
      </c>
      <c r="IS54" s="591">
        <v>0</v>
      </c>
      <c r="IT54" s="591">
        <v>50000</v>
      </c>
      <c r="IU54" s="591">
        <v>0</v>
      </c>
      <c r="IV54" s="591">
        <v>0</v>
      </c>
      <c r="IW54" s="591">
        <v>6159</v>
      </c>
      <c r="IX54" s="591">
        <v>0</v>
      </c>
      <c r="IY54" s="591">
        <v>0</v>
      </c>
      <c r="IZ54" s="591">
        <v>0</v>
      </c>
      <c r="JA54" s="591">
        <v>0</v>
      </c>
      <c r="JB54" s="591">
        <v>0</v>
      </c>
      <c r="JC54" s="591">
        <v>0</v>
      </c>
      <c r="JD54" s="591">
        <v>0</v>
      </c>
      <c r="JE54" s="591">
        <v>0</v>
      </c>
      <c r="JF54" s="591">
        <v>0</v>
      </c>
      <c r="JG54" s="591">
        <v>0</v>
      </c>
      <c r="JH54" s="591">
        <v>0</v>
      </c>
      <c r="JI54" s="591">
        <v>0</v>
      </c>
      <c r="JJ54" s="591">
        <v>0</v>
      </c>
      <c r="JK54" s="591">
        <v>0</v>
      </c>
      <c r="JL54" s="591">
        <v>0</v>
      </c>
      <c r="JM54" s="591">
        <v>0</v>
      </c>
      <c r="JN54" s="591">
        <v>32469</v>
      </c>
    </row>
    <row r="55" spans="1:274" x14ac:dyDescent="0.25">
      <c r="A55" s="591">
        <v>32570</v>
      </c>
      <c r="B55" s="591">
        <v>57830</v>
      </c>
      <c r="C55" s="591">
        <v>9</v>
      </c>
      <c r="D55" s="591">
        <v>2022</v>
      </c>
      <c r="E55" s="591">
        <v>6159</v>
      </c>
      <c r="F55" s="591">
        <v>0</v>
      </c>
      <c r="G55" s="591">
        <v>1127.913</v>
      </c>
      <c r="H55" s="591">
        <v>1075.932</v>
      </c>
      <c r="I55" s="591">
        <v>1075.932</v>
      </c>
      <c r="J55" s="591">
        <v>1127.913</v>
      </c>
      <c r="K55" s="591">
        <v>0</v>
      </c>
      <c r="L55" s="591">
        <v>6159</v>
      </c>
      <c r="M55" s="591">
        <v>0</v>
      </c>
      <c r="N55" s="591">
        <v>0</v>
      </c>
      <c r="O55" s="591">
        <v>0</v>
      </c>
      <c r="P55" s="591">
        <v>1176.365</v>
      </c>
      <c r="Q55" s="591">
        <v>0</v>
      </c>
      <c r="R55" s="591">
        <v>473402</v>
      </c>
      <c r="S55" s="591">
        <v>402.428</v>
      </c>
      <c r="T55" s="591">
        <v>0</v>
      </c>
      <c r="U55" s="591">
        <v>0</v>
      </c>
      <c r="V55" s="591">
        <v>515.94000000000005</v>
      </c>
      <c r="W55" s="591">
        <v>317772</v>
      </c>
      <c r="X55" s="591">
        <v>317772</v>
      </c>
      <c r="Y55" s="591">
        <v>0</v>
      </c>
      <c r="Z55" s="591">
        <v>0</v>
      </c>
      <c r="AA55" s="591">
        <v>0</v>
      </c>
      <c r="AB55" s="591">
        <v>0</v>
      </c>
      <c r="AC55" s="591">
        <v>0</v>
      </c>
      <c r="AD55" s="591" t="s">
        <v>316</v>
      </c>
      <c r="AE55" s="591">
        <v>0</v>
      </c>
      <c r="AF55" s="591">
        <v>0</v>
      </c>
      <c r="AG55" s="591">
        <v>0</v>
      </c>
      <c r="AH55" s="591">
        <v>0</v>
      </c>
      <c r="AI55" s="591">
        <v>0</v>
      </c>
      <c r="AJ55" s="591">
        <v>6159</v>
      </c>
      <c r="AK55" s="591" t="s">
        <v>671</v>
      </c>
      <c r="AL55" s="591" t="s">
        <v>46</v>
      </c>
      <c r="AM55" s="591">
        <v>0</v>
      </c>
      <c r="AN55" s="591">
        <v>0</v>
      </c>
      <c r="AO55" s="591">
        <v>0</v>
      </c>
      <c r="AP55" s="591">
        <v>0</v>
      </c>
      <c r="AQ55" s="591">
        <v>0</v>
      </c>
      <c r="AR55" s="591">
        <v>0</v>
      </c>
      <c r="AS55" s="591">
        <v>0</v>
      </c>
      <c r="AT55" s="591">
        <v>0</v>
      </c>
      <c r="AU55" s="591">
        <v>0</v>
      </c>
      <c r="AV55" s="591">
        <v>0</v>
      </c>
      <c r="AW55" s="591">
        <v>12616801</v>
      </c>
      <c r="AX55" s="591">
        <v>12415319</v>
      </c>
      <c r="AY55" s="591">
        <v>0</v>
      </c>
      <c r="AZ55" s="591">
        <v>473402</v>
      </c>
      <c r="BA55" s="591">
        <v>0</v>
      </c>
      <c r="BB55" s="591">
        <v>0</v>
      </c>
      <c r="BC55" s="591">
        <v>0</v>
      </c>
      <c r="BD55" s="591">
        <v>3</v>
      </c>
      <c r="BE55" s="591">
        <v>165</v>
      </c>
      <c r="BF55" s="591">
        <v>11452101</v>
      </c>
      <c r="BG55" s="591">
        <v>0</v>
      </c>
      <c r="BH55" s="591">
        <v>0</v>
      </c>
      <c r="BI55" s="591">
        <v>0</v>
      </c>
      <c r="BJ55" s="591">
        <v>12</v>
      </c>
      <c r="BK55" s="591">
        <v>0</v>
      </c>
      <c r="BL55" s="591">
        <v>0</v>
      </c>
      <c r="BM55" s="591">
        <v>0</v>
      </c>
      <c r="BN55" s="591">
        <v>0</v>
      </c>
      <c r="BO55" s="591">
        <v>0</v>
      </c>
      <c r="BP55" s="591">
        <v>0</v>
      </c>
      <c r="BQ55" s="591">
        <v>604</v>
      </c>
      <c r="BR55" s="591">
        <v>0</v>
      </c>
      <c r="BS55" s="591">
        <v>0</v>
      </c>
      <c r="BT55" s="591">
        <v>0</v>
      </c>
      <c r="BU55" s="591">
        <v>0</v>
      </c>
      <c r="BV55" s="591">
        <v>0</v>
      </c>
      <c r="BW55" s="591">
        <v>0</v>
      </c>
      <c r="BX55" s="591">
        <v>0</v>
      </c>
      <c r="BY55" s="591">
        <v>0</v>
      </c>
      <c r="BZ55" s="591">
        <v>0</v>
      </c>
      <c r="CA55" s="591">
        <v>0</v>
      </c>
      <c r="CB55" s="591">
        <v>0</v>
      </c>
      <c r="CC55" s="591">
        <v>0</v>
      </c>
      <c r="CD55" s="591">
        <v>0</v>
      </c>
      <c r="CE55" s="591">
        <v>0</v>
      </c>
      <c r="CF55" s="591">
        <v>0</v>
      </c>
      <c r="CG55" s="591">
        <v>0</v>
      </c>
      <c r="CH55" s="591">
        <v>204390</v>
      </c>
      <c r="CI55" s="591">
        <v>0</v>
      </c>
      <c r="CJ55" s="591">
        <v>4</v>
      </c>
      <c r="CK55" s="591">
        <v>0</v>
      </c>
      <c r="CL55" s="591">
        <v>0</v>
      </c>
      <c r="CM55" s="591">
        <v>0</v>
      </c>
      <c r="CN55" s="591">
        <v>0</v>
      </c>
      <c r="CO55" s="591">
        <v>1</v>
      </c>
      <c r="CP55" s="591">
        <v>0</v>
      </c>
      <c r="CQ55" s="591">
        <v>0</v>
      </c>
      <c r="CR55" s="591">
        <v>1127.913</v>
      </c>
      <c r="CS55" s="591">
        <v>0</v>
      </c>
      <c r="CT55" s="591">
        <v>0</v>
      </c>
      <c r="CU55" s="591">
        <v>0</v>
      </c>
      <c r="CV55" s="591">
        <v>0</v>
      </c>
      <c r="CW55" s="591">
        <v>0</v>
      </c>
      <c r="CX55" s="591">
        <v>0</v>
      </c>
      <c r="CY55" s="591">
        <v>0</v>
      </c>
      <c r="CZ55" s="591">
        <v>0</v>
      </c>
      <c r="DA55" s="591">
        <v>0</v>
      </c>
      <c r="DB55" s="591">
        <v>6563744</v>
      </c>
      <c r="DC55" s="591">
        <v>0</v>
      </c>
      <c r="DD55" s="591">
        <v>0</v>
      </c>
      <c r="DE55" s="591">
        <v>1977681</v>
      </c>
      <c r="DF55" s="591">
        <v>1977681</v>
      </c>
      <c r="DG55" s="591">
        <v>321.10000000000002</v>
      </c>
      <c r="DH55" s="591">
        <v>0</v>
      </c>
      <c r="DI55" s="591">
        <v>0</v>
      </c>
      <c r="DJ55" s="591">
        <v>0</v>
      </c>
      <c r="DK55" s="591">
        <v>1291</v>
      </c>
      <c r="DL55" s="591">
        <v>0</v>
      </c>
      <c r="DM55" s="591">
        <v>781887</v>
      </c>
      <c r="DN55" s="591">
        <v>2743</v>
      </c>
      <c r="DO55" s="591">
        <v>0</v>
      </c>
      <c r="DP55" s="591">
        <v>0</v>
      </c>
      <c r="DQ55" s="591">
        <v>0</v>
      </c>
      <c r="DR55" s="591">
        <v>0</v>
      </c>
      <c r="DS55" s="591">
        <v>0</v>
      </c>
      <c r="DT55" s="591">
        <v>0</v>
      </c>
      <c r="DU55" s="591">
        <v>0</v>
      </c>
      <c r="DV55" s="591">
        <v>0</v>
      </c>
      <c r="DW55" s="591">
        <v>0</v>
      </c>
      <c r="DX55" s="591">
        <v>0</v>
      </c>
      <c r="DY55" s="591">
        <v>0</v>
      </c>
      <c r="DZ55" s="591">
        <v>0</v>
      </c>
      <c r="EA55" s="591">
        <v>0</v>
      </c>
      <c r="EB55" s="591">
        <v>0</v>
      </c>
      <c r="EC55" s="591">
        <v>44.53</v>
      </c>
      <c r="ED55" s="591">
        <v>315404</v>
      </c>
      <c r="EE55" s="591">
        <v>0</v>
      </c>
      <c r="EF55" s="591">
        <v>0</v>
      </c>
      <c r="EG55" s="591">
        <v>0</v>
      </c>
      <c r="EH55" s="591">
        <v>406216</v>
      </c>
      <c r="EI55" s="591">
        <v>0</v>
      </c>
      <c r="EJ55" s="591">
        <v>0</v>
      </c>
      <c r="EK55" s="591">
        <v>15.722000000000001</v>
      </c>
      <c r="EL55" s="591">
        <v>0</v>
      </c>
      <c r="EM55" s="591">
        <v>3.2560000000000002</v>
      </c>
      <c r="EN55" s="591">
        <v>1.804</v>
      </c>
      <c r="EO55" s="591">
        <v>0</v>
      </c>
      <c r="EP55" s="591">
        <v>0</v>
      </c>
      <c r="EQ55" s="591">
        <v>20.782</v>
      </c>
      <c r="ER55" s="591">
        <v>0</v>
      </c>
      <c r="ES55" s="591">
        <v>65.954000000000008</v>
      </c>
      <c r="ET55" s="591">
        <v>0</v>
      </c>
      <c r="EU55" s="591">
        <v>0</v>
      </c>
      <c r="EV55" s="591">
        <v>0</v>
      </c>
      <c r="EW55" s="591">
        <v>0</v>
      </c>
      <c r="EX55" s="591">
        <v>0</v>
      </c>
      <c r="EY55" s="591">
        <v>0</v>
      </c>
      <c r="EZ55" s="591">
        <v>10987131</v>
      </c>
      <c r="FA55" s="591">
        <v>0</v>
      </c>
      <c r="FB55" s="591">
        <v>11457625</v>
      </c>
      <c r="FC55" s="591">
        <v>0</v>
      </c>
      <c r="FD55" s="591">
        <v>0</v>
      </c>
      <c r="FE55" s="591">
        <v>1186229</v>
      </c>
      <c r="FF55" s="591">
        <v>241959</v>
      </c>
      <c r="FG55" s="591">
        <v>6.4728999999999995E-2</v>
      </c>
      <c r="FH55" s="591">
        <v>2.6405999999999999E-2</v>
      </c>
      <c r="FI55" s="591">
        <v>0</v>
      </c>
      <c r="FJ55" s="591">
        <v>0</v>
      </c>
      <c r="FK55" s="591">
        <v>1859.384</v>
      </c>
      <c r="FL55" s="591">
        <v>13090203</v>
      </c>
      <c r="FM55" s="591">
        <v>0</v>
      </c>
      <c r="FN55" s="591">
        <v>0</v>
      </c>
      <c r="FO55" s="591">
        <v>0</v>
      </c>
      <c r="FP55" s="591">
        <v>0</v>
      </c>
      <c r="FQ55" s="591">
        <v>0</v>
      </c>
      <c r="FR55" s="591">
        <v>0</v>
      </c>
      <c r="FS55" s="591">
        <v>0</v>
      </c>
      <c r="FT55" s="591">
        <v>0</v>
      </c>
      <c r="FU55" s="591">
        <v>0</v>
      </c>
      <c r="FV55" s="591">
        <v>0</v>
      </c>
      <c r="FW55" s="591">
        <v>0</v>
      </c>
      <c r="FX55" s="591">
        <v>0</v>
      </c>
      <c r="FY55" s="591">
        <v>0</v>
      </c>
      <c r="FZ55" s="591">
        <v>0</v>
      </c>
      <c r="GA55" s="591">
        <v>0</v>
      </c>
      <c r="GB55" s="591">
        <v>259412</v>
      </c>
      <c r="GC55" s="591">
        <v>259412</v>
      </c>
      <c r="GD55" s="591">
        <v>31.199000000000002</v>
      </c>
      <c r="GE55" s="591">
        <v>0</v>
      </c>
      <c r="GF55" s="591">
        <v>0</v>
      </c>
      <c r="GG55" s="591">
        <v>0</v>
      </c>
      <c r="GH55" s="591">
        <v>0</v>
      </c>
      <c r="GI55" s="591">
        <v>0</v>
      </c>
      <c r="GJ55" s="591">
        <v>0</v>
      </c>
      <c r="GK55" s="591">
        <v>0</v>
      </c>
      <c r="GL55" s="591">
        <v>0</v>
      </c>
      <c r="GM55" s="591">
        <v>0</v>
      </c>
      <c r="GN55" s="591">
        <v>0</v>
      </c>
      <c r="GO55" s="591">
        <v>0</v>
      </c>
      <c r="GP55" s="591">
        <v>0</v>
      </c>
      <c r="GQ55" s="591">
        <v>0</v>
      </c>
      <c r="GR55" s="591">
        <v>0</v>
      </c>
      <c r="GS55" s="591">
        <v>0</v>
      </c>
      <c r="GT55" s="591">
        <v>0</v>
      </c>
      <c r="GU55" s="591">
        <v>0</v>
      </c>
      <c r="GV55" s="591">
        <v>0</v>
      </c>
      <c r="GW55" s="591">
        <v>0</v>
      </c>
      <c r="GX55" s="591">
        <v>0</v>
      </c>
      <c r="GY55" s="591">
        <v>0</v>
      </c>
      <c r="GZ55" s="591">
        <v>0</v>
      </c>
      <c r="HA55" s="591">
        <v>0</v>
      </c>
      <c r="HB55" s="591">
        <v>260009272</v>
      </c>
      <c r="HC55" s="591">
        <v>5.1774999999999995E-2</v>
      </c>
      <c r="HD55" s="591">
        <v>204390</v>
      </c>
      <c r="HE55" s="591">
        <v>0</v>
      </c>
      <c r="HF55" s="591">
        <v>1182449</v>
      </c>
      <c r="HG55" s="591">
        <v>15396</v>
      </c>
      <c r="HH55" s="591">
        <v>335054</v>
      </c>
      <c r="HI55" s="591">
        <v>0</v>
      </c>
      <c r="HJ55" s="591">
        <v>10963</v>
      </c>
      <c r="HK55" s="591">
        <v>3946</v>
      </c>
      <c r="HL55" s="591">
        <v>4486</v>
      </c>
      <c r="HM55" s="591">
        <v>5000</v>
      </c>
      <c r="HN55" s="591">
        <v>0</v>
      </c>
      <c r="HO55" s="591">
        <v>0</v>
      </c>
      <c r="HP55" s="591">
        <v>0</v>
      </c>
      <c r="HQ55" s="591">
        <v>0</v>
      </c>
      <c r="HR55" s="591">
        <v>0</v>
      </c>
      <c r="HS55" s="591">
        <v>10984223</v>
      </c>
      <c r="HT55" s="591">
        <v>0</v>
      </c>
      <c r="HU55" s="591">
        <v>0</v>
      </c>
      <c r="HV55" s="591">
        <v>0</v>
      </c>
      <c r="HW55" s="591">
        <v>0</v>
      </c>
      <c r="HX55" s="591">
        <v>12</v>
      </c>
      <c r="HY55" s="591">
        <v>115</v>
      </c>
      <c r="HZ55" s="591">
        <v>263</v>
      </c>
      <c r="IA55" s="591">
        <v>607</v>
      </c>
      <c r="IB55" s="591">
        <v>240</v>
      </c>
      <c r="IC55" s="591">
        <v>1169</v>
      </c>
      <c r="ID55" s="591">
        <v>0</v>
      </c>
      <c r="IE55" s="591">
        <v>0</v>
      </c>
      <c r="IF55" s="591">
        <v>0</v>
      </c>
      <c r="IG55" s="591">
        <v>24.998000000000001</v>
      </c>
      <c r="IH55" s="591">
        <v>544</v>
      </c>
      <c r="II55" s="591">
        <v>0</v>
      </c>
      <c r="IJ55" s="591">
        <v>515.94000000000005</v>
      </c>
      <c r="IK55" s="591">
        <v>0</v>
      </c>
      <c r="IL55" s="591">
        <v>0</v>
      </c>
      <c r="IM55" s="591">
        <v>1</v>
      </c>
      <c r="IN55" s="591">
        <v>1</v>
      </c>
      <c r="IO55" s="591">
        <v>2</v>
      </c>
      <c r="IP55" s="591">
        <v>0</v>
      </c>
      <c r="IQ55" s="591">
        <v>515.94000000000005</v>
      </c>
      <c r="IR55" s="591">
        <v>317772</v>
      </c>
      <c r="IS55" s="591">
        <v>0</v>
      </c>
      <c r="IT55" s="591">
        <v>0</v>
      </c>
      <c r="IU55" s="591">
        <v>3000</v>
      </c>
      <c r="IV55" s="591">
        <v>2000</v>
      </c>
      <c r="IW55" s="591">
        <v>6159</v>
      </c>
      <c r="IX55" s="591">
        <v>0</v>
      </c>
      <c r="IY55" s="591">
        <v>0</v>
      </c>
      <c r="IZ55" s="591">
        <v>0</v>
      </c>
      <c r="JA55" s="591">
        <v>0</v>
      </c>
      <c r="JB55" s="591">
        <v>0</v>
      </c>
      <c r="JC55" s="591">
        <v>0</v>
      </c>
      <c r="JD55" s="591">
        <v>0</v>
      </c>
      <c r="JE55" s="591">
        <v>0</v>
      </c>
      <c r="JF55" s="591">
        <v>0</v>
      </c>
      <c r="JG55" s="591">
        <v>0</v>
      </c>
      <c r="JH55" s="591">
        <v>0</v>
      </c>
      <c r="JI55" s="591">
        <v>0</v>
      </c>
      <c r="JJ55" s="591">
        <v>0</v>
      </c>
      <c r="JK55" s="591">
        <v>0</v>
      </c>
      <c r="JL55" s="591">
        <v>0</v>
      </c>
      <c r="JM55" s="591">
        <v>0</v>
      </c>
      <c r="JN55" s="591">
        <v>32469</v>
      </c>
    </row>
    <row r="56" spans="1:274" x14ac:dyDescent="0.25">
      <c r="A56" s="591">
        <v>32570</v>
      </c>
      <c r="B56" s="591">
        <v>57831</v>
      </c>
      <c r="C56" s="591">
        <v>9</v>
      </c>
      <c r="D56" s="591">
        <v>2022</v>
      </c>
      <c r="E56" s="591">
        <v>6159</v>
      </c>
      <c r="F56" s="591">
        <v>0</v>
      </c>
      <c r="G56" s="591">
        <v>630.03700000000003</v>
      </c>
      <c r="H56" s="591">
        <v>589.96699999999998</v>
      </c>
      <c r="I56" s="591">
        <v>589.96699999999998</v>
      </c>
      <c r="J56" s="591">
        <v>630.03700000000003</v>
      </c>
      <c r="K56" s="591">
        <v>0</v>
      </c>
      <c r="L56" s="591">
        <v>6159</v>
      </c>
      <c r="M56" s="591">
        <v>0</v>
      </c>
      <c r="N56" s="591">
        <v>0</v>
      </c>
      <c r="O56" s="591">
        <v>0</v>
      </c>
      <c r="P56" s="591">
        <v>601.15700000000004</v>
      </c>
      <c r="Q56" s="591">
        <v>0</v>
      </c>
      <c r="R56" s="591">
        <v>241922</v>
      </c>
      <c r="S56" s="591">
        <v>402.428</v>
      </c>
      <c r="T56" s="591">
        <v>0</v>
      </c>
      <c r="U56" s="591">
        <v>0</v>
      </c>
      <c r="V56" s="591">
        <v>0</v>
      </c>
      <c r="W56" s="591">
        <v>0</v>
      </c>
      <c r="X56" s="591">
        <v>0</v>
      </c>
      <c r="Y56" s="591">
        <v>0</v>
      </c>
      <c r="Z56" s="591">
        <v>0</v>
      </c>
      <c r="AA56" s="591">
        <v>0</v>
      </c>
      <c r="AB56" s="591">
        <v>0</v>
      </c>
      <c r="AC56" s="591">
        <v>0</v>
      </c>
      <c r="AD56" s="591" t="s">
        <v>316</v>
      </c>
      <c r="AE56" s="591">
        <v>0</v>
      </c>
      <c r="AF56" s="591">
        <v>0</v>
      </c>
      <c r="AG56" s="591">
        <v>0</v>
      </c>
      <c r="AH56" s="591">
        <v>0</v>
      </c>
      <c r="AI56" s="591">
        <v>0</v>
      </c>
      <c r="AJ56" s="591">
        <v>6159</v>
      </c>
      <c r="AK56" s="591" t="s">
        <v>671</v>
      </c>
      <c r="AL56" s="591" t="s">
        <v>47</v>
      </c>
      <c r="AM56" s="591">
        <v>0</v>
      </c>
      <c r="AN56" s="591">
        <v>0</v>
      </c>
      <c r="AO56" s="591">
        <v>0</v>
      </c>
      <c r="AP56" s="591">
        <v>0</v>
      </c>
      <c r="AQ56" s="591">
        <v>0</v>
      </c>
      <c r="AR56" s="591">
        <v>0</v>
      </c>
      <c r="AS56" s="591">
        <v>0</v>
      </c>
      <c r="AT56" s="591">
        <v>0</v>
      </c>
      <c r="AU56" s="591">
        <v>0</v>
      </c>
      <c r="AV56" s="591">
        <v>0</v>
      </c>
      <c r="AW56" s="591">
        <v>6911345</v>
      </c>
      <c r="AX56" s="591">
        <v>6798208</v>
      </c>
      <c r="AY56" s="591">
        <v>0</v>
      </c>
      <c r="AZ56" s="591">
        <v>241922</v>
      </c>
      <c r="BA56" s="591">
        <v>0</v>
      </c>
      <c r="BB56" s="591">
        <v>0</v>
      </c>
      <c r="BC56" s="591">
        <v>0</v>
      </c>
      <c r="BD56" s="591">
        <v>0</v>
      </c>
      <c r="BE56" s="591">
        <v>90</v>
      </c>
      <c r="BF56" s="591">
        <v>6193395</v>
      </c>
      <c r="BG56" s="591">
        <v>0</v>
      </c>
      <c r="BH56" s="591">
        <v>0</v>
      </c>
      <c r="BI56" s="591">
        <v>0</v>
      </c>
      <c r="BJ56" s="591">
        <v>12</v>
      </c>
      <c r="BK56" s="591">
        <v>0</v>
      </c>
      <c r="BL56" s="591">
        <v>0</v>
      </c>
      <c r="BM56" s="591">
        <v>0</v>
      </c>
      <c r="BN56" s="591">
        <v>0</v>
      </c>
      <c r="BO56" s="591">
        <v>0</v>
      </c>
      <c r="BP56" s="591">
        <v>0</v>
      </c>
      <c r="BQ56" s="591">
        <v>679</v>
      </c>
      <c r="BR56" s="591">
        <v>0</v>
      </c>
      <c r="BS56" s="591">
        <v>0</v>
      </c>
      <c r="BT56" s="591">
        <v>0</v>
      </c>
      <c r="BU56" s="591">
        <v>0</v>
      </c>
      <c r="BV56" s="591">
        <v>0</v>
      </c>
      <c r="BW56" s="591">
        <v>0</v>
      </c>
      <c r="BX56" s="591">
        <v>0</v>
      </c>
      <c r="BY56" s="591">
        <v>0</v>
      </c>
      <c r="BZ56" s="591">
        <v>0</v>
      </c>
      <c r="CA56" s="591">
        <v>0</v>
      </c>
      <c r="CB56" s="591">
        <v>0</v>
      </c>
      <c r="CC56" s="591">
        <v>0</v>
      </c>
      <c r="CD56" s="591">
        <v>0</v>
      </c>
      <c r="CE56" s="591">
        <v>0</v>
      </c>
      <c r="CF56" s="591">
        <v>0</v>
      </c>
      <c r="CG56" s="591">
        <v>0</v>
      </c>
      <c r="CH56" s="591">
        <v>114170</v>
      </c>
      <c r="CI56" s="591">
        <v>0</v>
      </c>
      <c r="CJ56" s="591">
        <v>4</v>
      </c>
      <c r="CK56" s="591">
        <v>0</v>
      </c>
      <c r="CL56" s="591">
        <v>0</v>
      </c>
      <c r="CM56" s="591">
        <v>0</v>
      </c>
      <c r="CN56" s="591">
        <v>0</v>
      </c>
      <c r="CO56" s="591">
        <v>1</v>
      </c>
      <c r="CP56" s="591">
        <v>0</v>
      </c>
      <c r="CQ56" s="591">
        <v>0</v>
      </c>
      <c r="CR56" s="591">
        <v>630.03700000000003</v>
      </c>
      <c r="CS56" s="591">
        <v>0</v>
      </c>
      <c r="CT56" s="591">
        <v>0</v>
      </c>
      <c r="CU56" s="591">
        <v>0</v>
      </c>
      <c r="CV56" s="591">
        <v>0</v>
      </c>
      <c r="CW56" s="591">
        <v>0</v>
      </c>
      <c r="CX56" s="591">
        <v>0</v>
      </c>
      <c r="CY56" s="591">
        <v>0</v>
      </c>
      <c r="CZ56" s="591">
        <v>0</v>
      </c>
      <c r="DA56" s="591">
        <v>0</v>
      </c>
      <c r="DB56" s="591">
        <v>3633655</v>
      </c>
      <c r="DC56" s="591">
        <v>0</v>
      </c>
      <c r="DD56" s="591">
        <v>0</v>
      </c>
      <c r="DE56" s="591">
        <v>1222116</v>
      </c>
      <c r="DF56" s="591">
        <v>1222116</v>
      </c>
      <c r="DG56" s="591">
        <v>198.42500000000001</v>
      </c>
      <c r="DH56" s="591">
        <v>0</v>
      </c>
      <c r="DI56" s="591">
        <v>0</v>
      </c>
      <c r="DJ56" s="591">
        <v>0</v>
      </c>
      <c r="DK56" s="591">
        <v>2488</v>
      </c>
      <c r="DL56" s="591">
        <v>0</v>
      </c>
      <c r="DM56" s="591">
        <v>247158</v>
      </c>
      <c r="DN56" s="591">
        <v>943</v>
      </c>
      <c r="DO56" s="591">
        <v>0</v>
      </c>
      <c r="DP56" s="591">
        <v>0</v>
      </c>
      <c r="DQ56" s="591">
        <v>0</v>
      </c>
      <c r="DR56" s="591">
        <v>0</v>
      </c>
      <c r="DS56" s="591">
        <v>0</v>
      </c>
      <c r="DT56" s="591">
        <v>0</v>
      </c>
      <c r="DU56" s="591">
        <v>0</v>
      </c>
      <c r="DV56" s="591">
        <v>0</v>
      </c>
      <c r="DW56" s="591">
        <v>0</v>
      </c>
      <c r="DX56" s="591">
        <v>0</v>
      </c>
      <c r="DY56" s="591">
        <v>0</v>
      </c>
      <c r="DZ56" s="591">
        <v>0</v>
      </c>
      <c r="EA56" s="591">
        <v>0</v>
      </c>
      <c r="EB56" s="591">
        <v>0</v>
      </c>
      <c r="EC56" s="591">
        <v>32.841000000000001</v>
      </c>
      <c r="ED56" s="591">
        <v>232611</v>
      </c>
      <c r="EE56" s="591">
        <v>0</v>
      </c>
      <c r="EF56" s="591">
        <v>0</v>
      </c>
      <c r="EG56" s="591">
        <v>0</v>
      </c>
      <c r="EH56" s="591">
        <v>15490</v>
      </c>
      <c r="EI56" s="591">
        <v>0</v>
      </c>
      <c r="EJ56" s="591">
        <v>0</v>
      </c>
      <c r="EK56" s="591">
        <v>0</v>
      </c>
      <c r="EL56" s="591">
        <v>0</v>
      </c>
      <c r="EM56" s="591">
        <v>0</v>
      </c>
      <c r="EN56" s="591">
        <v>0.503</v>
      </c>
      <c r="EO56" s="591">
        <v>0</v>
      </c>
      <c r="EP56" s="591">
        <v>0</v>
      </c>
      <c r="EQ56" s="591">
        <v>0.503</v>
      </c>
      <c r="ER56" s="591">
        <v>0</v>
      </c>
      <c r="ES56" s="591">
        <v>2.5150000000000001</v>
      </c>
      <c r="ET56" s="591">
        <v>0</v>
      </c>
      <c r="EU56" s="591">
        <v>0</v>
      </c>
      <c r="EV56" s="591">
        <v>0</v>
      </c>
      <c r="EW56" s="591">
        <v>0</v>
      </c>
      <c r="EX56" s="591">
        <v>0</v>
      </c>
      <c r="EY56" s="591">
        <v>0</v>
      </c>
      <c r="EZ56" s="591">
        <v>6025831</v>
      </c>
      <c r="FA56" s="591">
        <v>0</v>
      </c>
      <c r="FB56" s="591">
        <v>6266720</v>
      </c>
      <c r="FC56" s="591">
        <v>0</v>
      </c>
      <c r="FD56" s="591">
        <v>0</v>
      </c>
      <c r="FE56" s="591">
        <v>641523</v>
      </c>
      <c r="FF56" s="591">
        <v>130854</v>
      </c>
      <c r="FG56" s="591">
        <v>6.4728999999999995E-2</v>
      </c>
      <c r="FH56" s="591">
        <v>2.6405999999999999E-2</v>
      </c>
      <c r="FI56" s="591">
        <v>0</v>
      </c>
      <c r="FJ56" s="591">
        <v>0</v>
      </c>
      <c r="FK56" s="591">
        <v>1005.571</v>
      </c>
      <c r="FL56" s="591">
        <v>7153267</v>
      </c>
      <c r="FM56" s="591">
        <v>0</v>
      </c>
      <c r="FN56" s="591">
        <v>0</v>
      </c>
      <c r="FO56" s="591">
        <v>71514</v>
      </c>
      <c r="FP56" s="591">
        <v>0</v>
      </c>
      <c r="FQ56" s="591">
        <v>71514</v>
      </c>
      <c r="FR56" s="591">
        <v>71514</v>
      </c>
      <c r="FS56" s="591">
        <v>0</v>
      </c>
      <c r="FT56" s="591">
        <v>0</v>
      </c>
      <c r="FU56" s="591">
        <v>0</v>
      </c>
      <c r="FV56" s="591">
        <v>0</v>
      </c>
      <c r="FW56" s="591">
        <v>0</v>
      </c>
      <c r="FX56" s="591">
        <v>0</v>
      </c>
      <c r="FY56" s="591">
        <v>0</v>
      </c>
      <c r="FZ56" s="591">
        <v>0</v>
      </c>
      <c r="GA56" s="591">
        <v>0</v>
      </c>
      <c r="GB56" s="591">
        <v>328990</v>
      </c>
      <c r="GC56" s="591">
        <v>328990</v>
      </c>
      <c r="GD56" s="591">
        <v>39.567</v>
      </c>
      <c r="GE56" s="591">
        <v>0</v>
      </c>
      <c r="GF56" s="591">
        <v>0</v>
      </c>
      <c r="GG56" s="591">
        <v>0</v>
      </c>
      <c r="GH56" s="591">
        <v>0</v>
      </c>
      <c r="GI56" s="591">
        <v>0</v>
      </c>
      <c r="GJ56" s="591">
        <v>0</v>
      </c>
      <c r="GK56" s="591">
        <v>0</v>
      </c>
      <c r="GL56" s="591">
        <v>0</v>
      </c>
      <c r="GM56" s="591">
        <v>0</v>
      </c>
      <c r="GN56" s="591">
        <v>0</v>
      </c>
      <c r="GO56" s="591">
        <v>0</v>
      </c>
      <c r="GP56" s="591">
        <v>0</v>
      </c>
      <c r="GQ56" s="591">
        <v>0</v>
      </c>
      <c r="GR56" s="591">
        <v>0</v>
      </c>
      <c r="GS56" s="591">
        <v>0</v>
      </c>
      <c r="GT56" s="591">
        <v>0</v>
      </c>
      <c r="GU56" s="591">
        <v>0</v>
      </c>
      <c r="GV56" s="591">
        <v>0</v>
      </c>
      <c r="GW56" s="591">
        <v>0</v>
      </c>
      <c r="GX56" s="591">
        <v>0</v>
      </c>
      <c r="GY56" s="591">
        <v>0</v>
      </c>
      <c r="GZ56" s="591">
        <v>0</v>
      </c>
      <c r="HA56" s="591">
        <v>0</v>
      </c>
      <c r="HB56" s="591">
        <v>260009272</v>
      </c>
      <c r="HC56" s="591">
        <v>5.1774999999999995E-2</v>
      </c>
      <c r="HD56" s="591">
        <v>114170</v>
      </c>
      <c r="HE56" s="591">
        <v>0</v>
      </c>
      <c r="HF56" s="591">
        <v>648374</v>
      </c>
      <c r="HG56" s="591">
        <v>642</v>
      </c>
      <c r="HH56" s="591">
        <v>100393</v>
      </c>
      <c r="HI56" s="591">
        <v>0</v>
      </c>
      <c r="HJ56" s="591">
        <v>6124</v>
      </c>
      <c r="HK56" s="591">
        <v>1453</v>
      </c>
      <c r="HL56" s="591">
        <v>1391</v>
      </c>
      <c r="HM56" s="591">
        <v>5000</v>
      </c>
      <c r="HN56" s="591">
        <v>0</v>
      </c>
      <c r="HO56" s="591">
        <v>0</v>
      </c>
      <c r="HP56" s="591">
        <v>0</v>
      </c>
      <c r="HQ56" s="591">
        <v>0</v>
      </c>
      <c r="HR56" s="591">
        <v>0</v>
      </c>
      <c r="HS56" s="591">
        <v>6024798</v>
      </c>
      <c r="HT56" s="591">
        <v>0</v>
      </c>
      <c r="HU56" s="591">
        <v>0</v>
      </c>
      <c r="HV56" s="591">
        <v>0</v>
      </c>
      <c r="HW56" s="591">
        <v>0</v>
      </c>
      <c r="HX56" s="591">
        <v>32</v>
      </c>
      <c r="HY56" s="591">
        <v>51</v>
      </c>
      <c r="HZ56" s="591">
        <v>54</v>
      </c>
      <c r="IA56" s="591">
        <v>237</v>
      </c>
      <c r="IB56" s="591">
        <v>376</v>
      </c>
      <c r="IC56" s="591">
        <v>686</v>
      </c>
      <c r="ID56" s="591">
        <v>0</v>
      </c>
      <c r="IE56" s="591">
        <v>0</v>
      </c>
      <c r="IF56" s="591">
        <v>0</v>
      </c>
      <c r="IG56" s="591">
        <v>1.042</v>
      </c>
      <c r="IH56" s="591">
        <v>163</v>
      </c>
      <c r="II56" s="591">
        <v>0</v>
      </c>
      <c r="IJ56" s="591">
        <v>0</v>
      </c>
      <c r="IK56" s="591">
        <v>0</v>
      </c>
      <c r="IL56" s="591">
        <v>1</v>
      </c>
      <c r="IM56" s="591">
        <v>0</v>
      </c>
      <c r="IN56" s="591">
        <v>0</v>
      </c>
      <c r="IO56" s="591">
        <v>1</v>
      </c>
      <c r="IP56" s="591">
        <v>0</v>
      </c>
      <c r="IQ56" s="591">
        <v>0</v>
      </c>
      <c r="IR56" s="591">
        <v>0</v>
      </c>
      <c r="IS56" s="591">
        <v>0</v>
      </c>
      <c r="IT56" s="591">
        <v>5000</v>
      </c>
      <c r="IU56" s="591">
        <v>0</v>
      </c>
      <c r="IV56" s="591">
        <v>0</v>
      </c>
      <c r="IW56" s="591">
        <v>6159</v>
      </c>
      <c r="IX56" s="591">
        <v>0</v>
      </c>
      <c r="IY56" s="591">
        <v>0</v>
      </c>
      <c r="IZ56" s="591">
        <v>0</v>
      </c>
      <c r="JA56" s="591">
        <v>0</v>
      </c>
      <c r="JB56" s="591">
        <v>0</v>
      </c>
      <c r="JC56" s="591">
        <v>0</v>
      </c>
      <c r="JD56" s="591">
        <v>0</v>
      </c>
      <c r="JE56" s="591">
        <v>0</v>
      </c>
      <c r="JF56" s="591">
        <v>0</v>
      </c>
      <c r="JG56" s="591">
        <v>0</v>
      </c>
      <c r="JH56" s="591">
        <v>0</v>
      </c>
      <c r="JI56" s="591">
        <v>0</v>
      </c>
      <c r="JJ56" s="591">
        <v>0</v>
      </c>
      <c r="JK56" s="591">
        <v>0</v>
      </c>
      <c r="JL56" s="591">
        <v>0</v>
      </c>
      <c r="JM56" s="591">
        <v>0</v>
      </c>
      <c r="JN56" s="591">
        <v>32469</v>
      </c>
    </row>
    <row r="57" spans="1:274" x14ac:dyDescent="0.25">
      <c r="A57" s="591">
        <v>32570</v>
      </c>
      <c r="B57" s="591">
        <v>57833</v>
      </c>
      <c r="C57" s="591">
        <v>9</v>
      </c>
      <c r="D57" s="591">
        <v>2022</v>
      </c>
      <c r="E57" s="591">
        <v>6159</v>
      </c>
      <c r="F57" s="591">
        <v>0</v>
      </c>
      <c r="G57" s="591">
        <v>493.25</v>
      </c>
      <c r="H57" s="591">
        <v>480.55</v>
      </c>
      <c r="I57" s="591">
        <v>480.55</v>
      </c>
      <c r="J57" s="591">
        <v>493.25</v>
      </c>
      <c r="K57" s="591">
        <v>0</v>
      </c>
      <c r="L57" s="591">
        <v>6159</v>
      </c>
      <c r="M57" s="591">
        <v>0</v>
      </c>
      <c r="N57" s="591">
        <v>0</v>
      </c>
      <c r="O57" s="591">
        <v>0</v>
      </c>
      <c r="P57" s="591">
        <v>489.44</v>
      </c>
      <c r="Q57" s="591">
        <v>0</v>
      </c>
      <c r="R57" s="591">
        <v>196964</v>
      </c>
      <c r="S57" s="591">
        <v>402.428</v>
      </c>
      <c r="T57" s="591">
        <v>0</v>
      </c>
      <c r="U57" s="591">
        <v>0</v>
      </c>
      <c r="V57" s="591">
        <v>29.533000000000001</v>
      </c>
      <c r="W57" s="591">
        <v>18190</v>
      </c>
      <c r="X57" s="591">
        <v>18190</v>
      </c>
      <c r="Y57" s="591">
        <v>0</v>
      </c>
      <c r="Z57" s="591">
        <v>0</v>
      </c>
      <c r="AA57" s="591">
        <v>0</v>
      </c>
      <c r="AB57" s="591">
        <v>0</v>
      </c>
      <c r="AC57" s="591">
        <v>0</v>
      </c>
      <c r="AD57" s="591" t="s">
        <v>316</v>
      </c>
      <c r="AE57" s="591">
        <v>0</v>
      </c>
      <c r="AF57" s="591">
        <v>0</v>
      </c>
      <c r="AG57" s="591">
        <v>0</v>
      </c>
      <c r="AH57" s="591">
        <v>0</v>
      </c>
      <c r="AI57" s="591">
        <v>0</v>
      </c>
      <c r="AJ57" s="591">
        <v>6159</v>
      </c>
      <c r="AK57" s="591" t="s">
        <v>671</v>
      </c>
      <c r="AL57" s="591" t="s">
        <v>48</v>
      </c>
      <c r="AM57" s="591">
        <v>0</v>
      </c>
      <c r="AN57" s="591">
        <v>0</v>
      </c>
      <c r="AO57" s="591">
        <v>0</v>
      </c>
      <c r="AP57" s="591">
        <v>0</v>
      </c>
      <c r="AQ57" s="591">
        <v>0</v>
      </c>
      <c r="AR57" s="591">
        <v>0</v>
      </c>
      <c r="AS57" s="591">
        <v>0</v>
      </c>
      <c r="AT57" s="591">
        <v>0</v>
      </c>
      <c r="AU57" s="591">
        <v>0</v>
      </c>
      <c r="AV57" s="591">
        <v>0</v>
      </c>
      <c r="AW57" s="591">
        <v>4820279</v>
      </c>
      <c r="AX57" s="591">
        <v>4732233</v>
      </c>
      <c r="AY57" s="591">
        <v>0</v>
      </c>
      <c r="AZ57" s="591">
        <v>196964</v>
      </c>
      <c r="BA57" s="591">
        <v>0</v>
      </c>
      <c r="BB57" s="591">
        <v>0</v>
      </c>
      <c r="BC57" s="591">
        <v>0</v>
      </c>
      <c r="BD57" s="591">
        <v>1.8330000000000002</v>
      </c>
      <c r="BE57" s="591">
        <v>63</v>
      </c>
      <c r="BF57" s="591">
        <v>4382639</v>
      </c>
      <c r="BG57" s="591">
        <v>0</v>
      </c>
      <c r="BH57" s="591">
        <v>0</v>
      </c>
      <c r="BI57" s="591">
        <v>0</v>
      </c>
      <c r="BJ57" s="591">
        <v>12</v>
      </c>
      <c r="BK57" s="591">
        <v>0</v>
      </c>
      <c r="BL57" s="591">
        <v>0</v>
      </c>
      <c r="BM57" s="591">
        <v>0</v>
      </c>
      <c r="BN57" s="591">
        <v>0</v>
      </c>
      <c r="BO57" s="591">
        <v>0</v>
      </c>
      <c r="BP57" s="591">
        <v>0</v>
      </c>
      <c r="BQ57" s="591">
        <v>696</v>
      </c>
      <c r="BR57" s="591">
        <v>0</v>
      </c>
      <c r="BS57" s="591">
        <v>0</v>
      </c>
      <c r="BT57" s="591">
        <v>0</v>
      </c>
      <c r="BU57" s="591">
        <v>0</v>
      </c>
      <c r="BV57" s="591">
        <v>0</v>
      </c>
      <c r="BW57" s="591">
        <v>0</v>
      </c>
      <c r="BX57" s="591">
        <v>0</v>
      </c>
      <c r="BY57" s="591">
        <v>0</v>
      </c>
      <c r="BZ57" s="591">
        <v>0</v>
      </c>
      <c r="CA57" s="591">
        <v>0</v>
      </c>
      <c r="CB57" s="591">
        <v>0</v>
      </c>
      <c r="CC57" s="591">
        <v>0</v>
      </c>
      <c r="CD57" s="591">
        <v>0</v>
      </c>
      <c r="CE57" s="591">
        <v>0</v>
      </c>
      <c r="CF57" s="591">
        <v>0</v>
      </c>
      <c r="CG57" s="591">
        <v>0</v>
      </c>
      <c r="CH57" s="591">
        <v>89382</v>
      </c>
      <c r="CI57" s="591">
        <v>0</v>
      </c>
      <c r="CJ57" s="591">
        <v>4</v>
      </c>
      <c r="CK57" s="591">
        <v>0</v>
      </c>
      <c r="CL57" s="591">
        <v>0</v>
      </c>
      <c r="CM57" s="591">
        <v>0</v>
      </c>
      <c r="CN57" s="591">
        <v>0</v>
      </c>
      <c r="CO57" s="591">
        <v>1</v>
      </c>
      <c r="CP57" s="591">
        <v>0</v>
      </c>
      <c r="CQ57" s="591">
        <v>0</v>
      </c>
      <c r="CR57" s="591">
        <v>493.25</v>
      </c>
      <c r="CS57" s="591">
        <v>0</v>
      </c>
      <c r="CT57" s="591">
        <v>0</v>
      </c>
      <c r="CU57" s="591">
        <v>0</v>
      </c>
      <c r="CV57" s="591">
        <v>0</v>
      </c>
      <c r="CW57" s="591">
        <v>0</v>
      </c>
      <c r="CX57" s="591">
        <v>0</v>
      </c>
      <c r="CY57" s="591">
        <v>0</v>
      </c>
      <c r="CZ57" s="591">
        <v>0</v>
      </c>
      <c r="DA57" s="591">
        <v>0</v>
      </c>
      <c r="DB57" s="591">
        <v>2879527</v>
      </c>
      <c r="DC57" s="591">
        <v>0</v>
      </c>
      <c r="DD57" s="591">
        <v>0</v>
      </c>
      <c r="DE57" s="591">
        <v>442222</v>
      </c>
      <c r="DF57" s="591">
        <v>442222</v>
      </c>
      <c r="DG57" s="591">
        <v>71.8</v>
      </c>
      <c r="DH57" s="591">
        <v>0</v>
      </c>
      <c r="DI57" s="591">
        <v>0</v>
      </c>
      <c r="DJ57" s="591">
        <v>0</v>
      </c>
      <c r="DK57" s="591">
        <v>2758</v>
      </c>
      <c r="DL57" s="591">
        <v>0</v>
      </c>
      <c r="DM57" s="591">
        <v>413969</v>
      </c>
      <c r="DN57" s="591">
        <v>1273</v>
      </c>
      <c r="DO57" s="591">
        <v>0</v>
      </c>
      <c r="DP57" s="591">
        <v>0</v>
      </c>
      <c r="DQ57" s="591">
        <v>0</v>
      </c>
      <c r="DR57" s="591">
        <v>0</v>
      </c>
      <c r="DS57" s="591">
        <v>0</v>
      </c>
      <c r="DT57" s="591">
        <v>0</v>
      </c>
      <c r="DU57" s="591">
        <v>0</v>
      </c>
      <c r="DV57" s="591">
        <v>0</v>
      </c>
      <c r="DW57" s="591">
        <v>0</v>
      </c>
      <c r="DX57" s="591">
        <v>0</v>
      </c>
      <c r="DY57" s="591">
        <v>0</v>
      </c>
      <c r="DZ57" s="591">
        <v>0</v>
      </c>
      <c r="EA57" s="591">
        <v>0</v>
      </c>
      <c r="EB57" s="591">
        <v>0</v>
      </c>
      <c r="EC57" s="591">
        <v>11.912000000000001</v>
      </c>
      <c r="ED57" s="591">
        <v>84372</v>
      </c>
      <c r="EE57" s="591">
        <v>0</v>
      </c>
      <c r="EF57" s="591">
        <v>0</v>
      </c>
      <c r="EG57" s="591">
        <v>0</v>
      </c>
      <c r="EH57" s="591">
        <v>250650</v>
      </c>
      <c r="EI57" s="591">
        <v>0</v>
      </c>
      <c r="EJ57" s="591">
        <v>0</v>
      </c>
      <c r="EK57" s="591">
        <v>11.402000000000001</v>
      </c>
      <c r="EL57" s="591">
        <v>0</v>
      </c>
      <c r="EM57" s="591">
        <v>0</v>
      </c>
      <c r="EN57" s="591">
        <v>1.298</v>
      </c>
      <c r="EO57" s="591">
        <v>0</v>
      </c>
      <c r="EP57" s="591">
        <v>0</v>
      </c>
      <c r="EQ57" s="591">
        <v>12.700000000000001</v>
      </c>
      <c r="ER57" s="591">
        <v>0</v>
      </c>
      <c r="ES57" s="591">
        <v>40.696000000000005</v>
      </c>
      <c r="ET57" s="591">
        <v>0</v>
      </c>
      <c r="EU57" s="591">
        <v>0</v>
      </c>
      <c r="EV57" s="591">
        <v>0</v>
      </c>
      <c r="EW57" s="591">
        <v>0</v>
      </c>
      <c r="EX57" s="591">
        <v>0</v>
      </c>
      <c r="EY57" s="591">
        <v>0</v>
      </c>
      <c r="EZ57" s="591">
        <v>4185675</v>
      </c>
      <c r="FA57" s="591">
        <v>0</v>
      </c>
      <c r="FB57" s="591">
        <v>4381303</v>
      </c>
      <c r="FC57" s="591">
        <v>0</v>
      </c>
      <c r="FD57" s="591">
        <v>0</v>
      </c>
      <c r="FE57" s="591">
        <v>453962</v>
      </c>
      <c r="FF57" s="591">
        <v>92596</v>
      </c>
      <c r="FG57" s="591">
        <v>6.4728999999999995E-2</v>
      </c>
      <c r="FH57" s="591">
        <v>2.6405999999999999E-2</v>
      </c>
      <c r="FI57" s="591">
        <v>0</v>
      </c>
      <c r="FJ57" s="591">
        <v>0</v>
      </c>
      <c r="FK57" s="591">
        <v>711.57299999999998</v>
      </c>
      <c r="FL57" s="591">
        <v>5017243</v>
      </c>
      <c r="FM57" s="591">
        <v>0</v>
      </c>
      <c r="FN57" s="591">
        <v>0</v>
      </c>
      <c r="FO57" s="591">
        <v>0</v>
      </c>
      <c r="FP57" s="591">
        <v>0</v>
      </c>
      <c r="FQ57" s="591">
        <v>0</v>
      </c>
      <c r="FR57" s="591">
        <v>0</v>
      </c>
      <c r="FS57" s="591">
        <v>0</v>
      </c>
      <c r="FT57" s="591">
        <v>0</v>
      </c>
      <c r="FU57" s="591">
        <v>0</v>
      </c>
      <c r="FV57" s="591">
        <v>0</v>
      </c>
      <c r="FW57" s="591">
        <v>0</v>
      </c>
      <c r="FX57" s="591">
        <v>0</v>
      </c>
      <c r="FY57" s="591">
        <v>0</v>
      </c>
      <c r="FZ57" s="591">
        <v>0</v>
      </c>
      <c r="GA57" s="591">
        <v>0</v>
      </c>
      <c r="GB57" s="591">
        <v>0</v>
      </c>
      <c r="GC57" s="591">
        <v>0</v>
      </c>
      <c r="GD57" s="591">
        <v>0</v>
      </c>
      <c r="GE57" s="591">
        <v>0</v>
      </c>
      <c r="GF57" s="591">
        <v>0</v>
      </c>
      <c r="GG57" s="591">
        <v>0</v>
      </c>
      <c r="GH57" s="591">
        <v>0</v>
      </c>
      <c r="GI57" s="591">
        <v>0</v>
      </c>
      <c r="GJ57" s="591">
        <v>0</v>
      </c>
      <c r="GK57" s="591">
        <v>0</v>
      </c>
      <c r="GL57" s="591">
        <v>0</v>
      </c>
      <c r="GM57" s="591">
        <v>0</v>
      </c>
      <c r="GN57" s="591">
        <v>0</v>
      </c>
      <c r="GO57" s="591">
        <v>0</v>
      </c>
      <c r="GP57" s="591">
        <v>0</v>
      </c>
      <c r="GQ57" s="591">
        <v>0</v>
      </c>
      <c r="GR57" s="591">
        <v>0</v>
      </c>
      <c r="GS57" s="591">
        <v>0</v>
      </c>
      <c r="GT57" s="591">
        <v>0</v>
      </c>
      <c r="GU57" s="591">
        <v>0</v>
      </c>
      <c r="GV57" s="591">
        <v>0</v>
      </c>
      <c r="GW57" s="591">
        <v>0</v>
      </c>
      <c r="GX57" s="591">
        <v>0</v>
      </c>
      <c r="GY57" s="591">
        <v>0</v>
      </c>
      <c r="GZ57" s="591">
        <v>0</v>
      </c>
      <c r="HA57" s="591">
        <v>0</v>
      </c>
      <c r="HB57" s="591">
        <v>260009272</v>
      </c>
      <c r="HC57" s="591">
        <v>5.1774999999999995E-2</v>
      </c>
      <c r="HD57" s="591">
        <v>89382</v>
      </c>
      <c r="HE57" s="591">
        <v>0</v>
      </c>
      <c r="HF57" s="591">
        <v>528124</v>
      </c>
      <c r="HG57" s="591">
        <v>23095</v>
      </c>
      <c r="HH57" s="591">
        <v>71445</v>
      </c>
      <c r="HI57" s="591">
        <v>0</v>
      </c>
      <c r="HJ57" s="591">
        <v>4794</v>
      </c>
      <c r="HK57" s="591">
        <v>0</v>
      </c>
      <c r="HL57" s="591">
        <v>0</v>
      </c>
      <c r="HM57" s="591">
        <v>0</v>
      </c>
      <c r="HN57" s="591">
        <v>0</v>
      </c>
      <c r="HO57" s="591">
        <v>0</v>
      </c>
      <c r="HP57" s="591">
        <v>0</v>
      </c>
      <c r="HQ57" s="591">
        <v>0</v>
      </c>
      <c r="HR57" s="591">
        <v>0</v>
      </c>
      <c r="HS57" s="591">
        <v>4184339</v>
      </c>
      <c r="HT57" s="591">
        <v>0</v>
      </c>
      <c r="HU57" s="591">
        <v>0</v>
      </c>
      <c r="HV57" s="591">
        <v>0</v>
      </c>
      <c r="HW57" s="591">
        <v>0</v>
      </c>
      <c r="HX57" s="591">
        <v>108</v>
      </c>
      <c r="HY57" s="591">
        <v>200</v>
      </c>
      <c r="HZ57" s="591">
        <v>0</v>
      </c>
      <c r="IA57" s="591">
        <v>0</v>
      </c>
      <c r="IB57" s="591">
        <v>0</v>
      </c>
      <c r="IC57" s="591">
        <v>271</v>
      </c>
      <c r="ID57" s="591">
        <v>0</v>
      </c>
      <c r="IE57" s="591">
        <v>0</v>
      </c>
      <c r="IF57" s="591">
        <v>0</v>
      </c>
      <c r="IG57" s="591">
        <v>37.498000000000005</v>
      </c>
      <c r="IH57" s="591">
        <v>116</v>
      </c>
      <c r="II57" s="591">
        <v>0</v>
      </c>
      <c r="IJ57" s="591">
        <v>29.533000000000001</v>
      </c>
      <c r="IK57" s="591">
        <v>0</v>
      </c>
      <c r="IL57" s="591">
        <v>0</v>
      </c>
      <c r="IM57" s="591">
        <v>0</v>
      </c>
      <c r="IN57" s="591">
        <v>0</v>
      </c>
      <c r="IO57" s="591">
        <v>0</v>
      </c>
      <c r="IP57" s="591">
        <v>0</v>
      </c>
      <c r="IQ57" s="591">
        <v>29.533000000000001</v>
      </c>
      <c r="IR57" s="591">
        <v>18190</v>
      </c>
      <c r="IS57" s="591">
        <v>0</v>
      </c>
      <c r="IT57" s="591">
        <v>0</v>
      </c>
      <c r="IU57" s="591">
        <v>0</v>
      </c>
      <c r="IV57" s="591">
        <v>0</v>
      </c>
      <c r="IW57" s="591">
        <v>6159</v>
      </c>
      <c r="IX57" s="591">
        <v>0</v>
      </c>
      <c r="IY57" s="591">
        <v>0</v>
      </c>
      <c r="IZ57" s="591">
        <v>0</v>
      </c>
      <c r="JA57" s="591">
        <v>0</v>
      </c>
      <c r="JB57" s="591">
        <v>0</v>
      </c>
      <c r="JC57" s="591">
        <v>0</v>
      </c>
      <c r="JD57" s="591">
        <v>0</v>
      </c>
      <c r="JE57" s="591">
        <v>0</v>
      </c>
      <c r="JF57" s="591">
        <v>0</v>
      </c>
      <c r="JG57" s="591">
        <v>0</v>
      </c>
      <c r="JH57" s="591">
        <v>0</v>
      </c>
      <c r="JI57" s="591">
        <v>0</v>
      </c>
      <c r="JJ57" s="591">
        <v>0</v>
      </c>
      <c r="JK57" s="591">
        <v>0</v>
      </c>
      <c r="JL57" s="591">
        <v>0</v>
      </c>
      <c r="JM57" s="591">
        <v>0</v>
      </c>
      <c r="JN57" s="591">
        <v>32469</v>
      </c>
    </row>
    <row r="58" spans="1:274" x14ac:dyDescent="0.25">
      <c r="A58" s="591">
        <v>32570</v>
      </c>
      <c r="B58" s="591">
        <v>57834</v>
      </c>
      <c r="C58" s="591">
        <v>9</v>
      </c>
      <c r="D58" s="591">
        <v>2022</v>
      </c>
      <c r="E58" s="591">
        <v>6159</v>
      </c>
      <c r="F58" s="591">
        <v>0</v>
      </c>
      <c r="G58" s="591">
        <v>538.69799999999998</v>
      </c>
      <c r="H58" s="591">
        <v>471.60500000000002</v>
      </c>
      <c r="I58" s="591">
        <v>471.60500000000002</v>
      </c>
      <c r="J58" s="591">
        <v>538.69799999999998</v>
      </c>
      <c r="K58" s="591">
        <v>0</v>
      </c>
      <c r="L58" s="591">
        <v>6159</v>
      </c>
      <c r="M58" s="591">
        <v>0</v>
      </c>
      <c r="N58" s="591">
        <v>0</v>
      </c>
      <c r="O58" s="591">
        <v>0</v>
      </c>
      <c r="P58" s="591">
        <v>388.267</v>
      </c>
      <c r="Q58" s="591">
        <v>0</v>
      </c>
      <c r="R58" s="591">
        <v>156250</v>
      </c>
      <c r="S58" s="591">
        <v>402.428</v>
      </c>
      <c r="T58" s="591">
        <v>0</v>
      </c>
      <c r="U58" s="591">
        <v>0</v>
      </c>
      <c r="V58" s="591">
        <v>40.146000000000001</v>
      </c>
      <c r="W58" s="591">
        <v>24726</v>
      </c>
      <c r="X58" s="591">
        <v>24726</v>
      </c>
      <c r="Y58" s="591">
        <v>0</v>
      </c>
      <c r="Z58" s="591">
        <v>0</v>
      </c>
      <c r="AA58" s="591">
        <v>0</v>
      </c>
      <c r="AB58" s="591">
        <v>0</v>
      </c>
      <c r="AC58" s="591">
        <v>0</v>
      </c>
      <c r="AD58" s="591" t="s">
        <v>316</v>
      </c>
      <c r="AE58" s="591">
        <v>0</v>
      </c>
      <c r="AF58" s="591">
        <v>0</v>
      </c>
      <c r="AG58" s="591">
        <v>0</v>
      </c>
      <c r="AH58" s="591">
        <v>0</v>
      </c>
      <c r="AI58" s="591">
        <v>0</v>
      </c>
      <c r="AJ58" s="591">
        <v>6159</v>
      </c>
      <c r="AK58" s="591" t="s">
        <v>671</v>
      </c>
      <c r="AL58" s="591" t="s">
        <v>329</v>
      </c>
      <c r="AM58" s="591">
        <v>0</v>
      </c>
      <c r="AN58" s="591">
        <v>0</v>
      </c>
      <c r="AO58" s="591">
        <v>0</v>
      </c>
      <c r="AP58" s="591">
        <v>0</v>
      </c>
      <c r="AQ58" s="591">
        <v>0</v>
      </c>
      <c r="AR58" s="591">
        <v>0</v>
      </c>
      <c r="AS58" s="591">
        <v>0</v>
      </c>
      <c r="AT58" s="591">
        <v>0</v>
      </c>
      <c r="AU58" s="591">
        <v>0</v>
      </c>
      <c r="AV58" s="591">
        <v>0</v>
      </c>
      <c r="AW58" s="591">
        <v>6228392</v>
      </c>
      <c r="AX58" s="591">
        <v>5961477</v>
      </c>
      <c r="AY58" s="591">
        <v>0</v>
      </c>
      <c r="AZ58" s="591">
        <v>156250</v>
      </c>
      <c r="BA58" s="591">
        <v>0</v>
      </c>
      <c r="BB58" s="591">
        <v>0</v>
      </c>
      <c r="BC58" s="591">
        <v>0</v>
      </c>
      <c r="BD58" s="591">
        <v>0</v>
      </c>
      <c r="BE58" s="591">
        <v>79</v>
      </c>
      <c r="BF58" s="591">
        <v>5216143</v>
      </c>
      <c r="BG58" s="591">
        <v>0</v>
      </c>
      <c r="BH58" s="591">
        <v>0</v>
      </c>
      <c r="BI58" s="591">
        <v>0</v>
      </c>
      <c r="BJ58" s="591">
        <v>12</v>
      </c>
      <c r="BK58" s="591">
        <v>0</v>
      </c>
      <c r="BL58" s="591">
        <v>0</v>
      </c>
      <c r="BM58" s="591">
        <v>0</v>
      </c>
      <c r="BN58" s="591">
        <v>0</v>
      </c>
      <c r="BO58" s="591">
        <v>0</v>
      </c>
      <c r="BP58" s="591">
        <v>0</v>
      </c>
      <c r="BQ58" s="591">
        <v>697</v>
      </c>
      <c r="BR58" s="591">
        <v>0</v>
      </c>
      <c r="BS58" s="591">
        <v>0</v>
      </c>
      <c r="BT58" s="591">
        <v>0</v>
      </c>
      <c r="BU58" s="591">
        <v>0</v>
      </c>
      <c r="BV58" s="591">
        <v>0</v>
      </c>
      <c r="BW58" s="591">
        <v>0</v>
      </c>
      <c r="BX58" s="591">
        <v>0</v>
      </c>
      <c r="BY58" s="591">
        <v>0</v>
      </c>
      <c r="BZ58" s="591">
        <v>0</v>
      </c>
      <c r="CA58" s="591">
        <v>0</v>
      </c>
      <c r="CB58" s="591">
        <v>0</v>
      </c>
      <c r="CC58" s="591">
        <v>0</v>
      </c>
      <c r="CD58" s="591">
        <v>0</v>
      </c>
      <c r="CE58" s="591">
        <v>0</v>
      </c>
      <c r="CF58" s="591">
        <v>0</v>
      </c>
      <c r="CG58" s="591">
        <v>0</v>
      </c>
      <c r="CH58" s="591">
        <v>268082</v>
      </c>
      <c r="CI58" s="591">
        <v>0</v>
      </c>
      <c r="CJ58" s="591">
        <v>4</v>
      </c>
      <c r="CK58" s="591">
        <v>0</v>
      </c>
      <c r="CL58" s="591">
        <v>0</v>
      </c>
      <c r="CM58" s="591">
        <v>0</v>
      </c>
      <c r="CN58" s="591">
        <v>0</v>
      </c>
      <c r="CO58" s="591">
        <v>1</v>
      </c>
      <c r="CP58" s="591">
        <v>1.8460000000000001</v>
      </c>
      <c r="CQ58" s="591">
        <v>0</v>
      </c>
      <c r="CR58" s="591">
        <v>538.69799999999998</v>
      </c>
      <c r="CS58" s="591">
        <v>0</v>
      </c>
      <c r="CT58" s="591">
        <v>0</v>
      </c>
      <c r="CU58" s="591">
        <v>0</v>
      </c>
      <c r="CV58" s="591">
        <v>0</v>
      </c>
      <c r="CW58" s="591">
        <v>0</v>
      </c>
      <c r="CX58" s="591">
        <v>0</v>
      </c>
      <c r="CY58" s="591">
        <v>0</v>
      </c>
      <c r="CZ58" s="591">
        <v>0</v>
      </c>
      <c r="DA58" s="591">
        <v>0</v>
      </c>
      <c r="DB58" s="591">
        <v>2904654</v>
      </c>
      <c r="DC58" s="591">
        <v>0</v>
      </c>
      <c r="DD58" s="591">
        <v>0</v>
      </c>
      <c r="DE58" s="591">
        <v>818927</v>
      </c>
      <c r="DF58" s="591">
        <v>846328</v>
      </c>
      <c r="DG58" s="591">
        <v>132.96299999999999</v>
      </c>
      <c r="DH58" s="591">
        <v>0</v>
      </c>
      <c r="DI58" s="591">
        <v>27401</v>
      </c>
      <c r="DJ58" s="591">
        <v>0</v>
      </c>
      <c r="DK58" s="591">
        <v>2780</v>
      </c>
      <c r="DL58" s="591">
        <v>0</v>
      </c>
      <c r="DM58" s="591">
        <v>285059</v>
      </c>
      <c r="DN58" s="591">
        <v>1088</v>
      </c>
      <c r="DO58" s="591">
        <v>0</v>
      </c>
      <c r="DP58" s="591">
        <v>0</v>
      </c>
      <c r="DQ58" s="591">
        <v>0</v>
      </c>
      <c r="DR58" s="591">
        <v>0</v>
      </c>
      <c r="DS58" s="591">
        <v>0</v>
      </c>
      <c r="DT58" s="591">
        <v>0</v>
      </c>
      <c r="DU58" s="591">
        <v>0</v>
      </c>
      <c r="DV58" s="591">
        <v>0</v>
      </c>
      <c r="DW58" s="591">
        <v>0</v>
      </c>
      <c r="DX58" s="591">
        <v>0</v>
      </c>
      <c r="DY58" s="591">
        <v>0</v>
      </c>
      <c r="DZ58" s="591">
        <v>0</v>
      </c>
      <c r="EA58" s="591">
        <v>0</v>
      </c>
      <c r="EB58" s="591">
        <v>0</v>
      </c>
      <c r="EC58" s="591">
        <v>28.716000000000001</v>
      </c>
      <c r="ED58" s="591">
        <v>203394</v>
      </c>
      <c r="EE58" s="591">
        <v>0</v>
      </c>
      <c r="EF58" s="591">
        <v>0</v>
      </c>
      <c r="EG58" s="591">
        <v>0</v>
      </c>
      <c r="EH58" s="591">
        <v>82753</v>
      </c>
      <c r="EI58" s="591">
        <v>0</v>
      </c>
      <c r="EJ58" s="591">
        <v>0</v>
      </c>
      <c r="EK58" s="591">
        <v>4.3620000000000001</v>
      </c>
      <c r="EL58" s="591">
        <v>0</v>
      </c>
      <c r="EM58" s="591">
        <v>0</v>
      </c>
      <c r="EN58" s="591">
        <v>7.0000000000000007E-2</v>
      </c>
      <c r="EO58" s="591">
        <v>0</v>
      </c>
      <c r="EP58" s="591">
        <v>0</v>
      </c>
      <c r="EQ58" s="591">
        <v>4.4320000000000004</v>
      </c>
      <c r="ER58" s="591">
        <v>0</v>
      </c>
      <c r="ES58" s="591">
        <v>13.436</v>
      </c>
      <c r="ET58" s="591">
        <v>0</v>
      </c>
      <c r="EU58" s="591">
        <v>0</v>
      </c>
      <c r="EV58" s="591">
        <v>0</v>
      </c>
      <c r="EW58" s="591">
        <v>0</v>
      </c>
      <c r="EX58" s="591">
        <v>0</v>
      </c>
      <c r="EY58" s="591">
        <v>0</v>
      </c>
      <c r="EZ58" s="591">
        <v>5310973</v>
      </c>
      <c r="FA58" s="591">
        <v>0</v>
      </c>
      <c r="FB58" s="591">
        <v>5466056</v>
      </c>
      <c r="FC58" s="591">
        <v>0</v>
      </c>
      <c r="FD58" s="591">
        <v>0</v>
      </c>
      <c r="FE58" s="591">
        <v>540298</v>
      </c>
      <c r="FF58" s="591">
        <v>110206</v>
      </c>
      <c r="FG58" s="591">
        <v>6.4728999999999995E-2</v>
      </c>
      <c r="FH58" s="591">
        <v>2.6405999999999999E-2</v>
      </c>
      <c r="FI58" s="591">
        <v>0</v>
      </c>
      <c r="FJ58" s="591">
        <v>0</v>
      </c>
      <c r="FK58" s="591">
        <v>846.90300000000002</v>
      </c>
      <c r="FL58" s="591">
        <v>6384642</v>
      </c>
      <c r="FM58" s="591">
        <v>0</v>
      </c>
      <c r="FN58" s="591">
        <v>0</v>
      </c>
      <c r="FO58" s="591">
        <v>101319</v>
      </c>
      <c r="FP58" s="591">
        <v>0</v>
      </c>
      <c r="FQ58" s="591">
        <v>101319</v>
      </c>
      <c r="FR58" s="591">
        <v>101319</v>
      </c>
      <c r="FS58" s="591">
        <v>0</v>
      </c>
      <c r="FT58" s="591">
        <v>0</v>
      </c>
      <c r="FU58" s="591">
        <v>0</v>
      </c>
      <c r="FV58" s="591">
        <v>0</v>
      </c>
      <c r="FW58" s="591">
        <v>0</v>
      </c>
      <c r="FX58" s="591">
        <v>0</v>
      </c>
      <c r="FY58" s="591">
        <v>0</v>
      </c>
      <c r="FZ58" s="591">
        <v>0</v>
      </c>
      <c r="GA58" s="591">
        <v>0</v>
      </c>
      <c r="GB58" s="591">
        <v>521011</v>
      </c>
      <c r="GC58" s="591">
        <v>521011</v>
      </c>
      <c r="GD58" s="591">
        <v>62.661000000000001</v>
      </c>
      <c r="GE58" s="591">
        <v>0</v>
      </c>
      <c r="GF58" s="591">
        <v>0</v>
      </c>
      <c r="GG58" s="591">
        <v>0</v>
      </c>
      <c r="GH58" s="591">
        <v>0</v>
      </c>
      <c r="GI58" s="591">
        <v>0</v>
      </c>
      <c r="GJ58" s="591">
        <v>0</v>
      </c>
      <c r="GK58" s="591">
        <v>0</v>
      </c>
      <c r="GL58" s="591">
        <v>0</v>
      </c>
      <c r="GM58" s="591">
        <v>0</v>
      </c>
      <c r="GN58" s="591">
        <v>0</v>
      </c>
      <c r="GO58" s="591">
        <v>0</v>
      </c>
      <c r="GP58" s="591">
        <v>0</v>
      </c>
      <c r="GQ58" s="591">
        <v>0</v>
      </c>
      <c r="GR58" s="591">
        <v>0</v>
      </c>
      <c r="GS58" s="591">
        <v>0</v>
      </c>
      <c r="GT58" s="591">
        <v>0</v>
      </c>
      <c r="GU58" s="591">
        <v>0</v>
      </c>
      <c r="GV58" s="591">
        <v>0</v>
      </c>
      <c r="GW58" s="591">
        <v>0</v>
      </c>
      <c r="GX58" s="591">
        <v>0</v>
      </c>
      <c r="GY58" s="591">
        <v>0</v>
      </c>
      <c r="GZ58" s="591">
        <v>0</v>
      </c>
      <c r="HA58" s="591">
        <v>0</v>
      </c>
      <c r="HB58" s="591">
        <v>260009272</v>
      </c>
      <c r="HC58" s="591">
        <v>5.1774999999999995E-2</v>
      </c>
      <c r="HD58" s="591">
        <v>97618</v>
      </c>
      <c r="HE58" s="591">
        <v>0</v>
      </c>
      <c r="HF58" s="591">
        <v>518294</v>
      </c>
      <c r="HG58" s="591">
        <v>642</v>
      </c>
      <c r="HH58" s="591">
        <v>0</v>
      </c>
      <c r="HI58" s="591">
        <v>0</v>
      </c>
      <c r="HJ58" s="591">
        <v>5236</v>
      </c>
      <c r="HK58" s="591">
        <v>8426</v>
      </c>
      <c r="HL58" s="591">
        <v>4375</v>
      </c>
      <c r="HM58" s="591">
        <v>0</v>
      </c>
      <c r="HN58" s="591">
        <v>91105</v>
      </c>
      <c r="HO58" s="591">
        <v>18000</v>
      </c>
      <c r="HP58" s="591">
        <v>136960</v>
      </c>
      <c r="HQ58" s="591">
        <v>0</v>
      </c>
      <c r="HR58" s="591">
        <v>0</v>
      </c>
      <c r="HS58" s="591">
        <v>5309806</v>
      </c>
      <c r="HT58" s="591">
        <v>0</v>
      </c>
      <c r="HU58" s="591">
        <v>170464</v>
      </c>
      <c r="HV58" s="591">
        <v>0</v>
      </c>
      <c r="HW58" s="591">
        <v>0</v>
      </c>
      <c r="HX58" s="591">
        <v>80</v>
      </c>
      <c r="HY58" s="591">
        <v>74</v>
      </c>
      <c r="HZ58" s="591">
        <v>94</v>
      </c>
      <c r="IA58" s="591">
        <v>95</v>
      </c>
      <c r="IB58" s="591">
        <v>178</v>
      </c>
      <c r="IC58" s="591">
        <v>443</v>
      </c>
      <c r="ID58" s="591">
        <v>0</v>
      </c>
      <c r="IE58" s="591">
        <v>0</v>
      </c>
      <c r="IF58" s="591">
        <v>0</v>
      </c>
      <c r="IG58" s="591">
        <v>1.042</v>
      </c>
      <c r="IH58" s="591">
        <v>0</v>
      </c>
      <c r="II58" s="591">
        <v>498.03500000000003</v>
      </c>
      <c r="IJ58" s="591">
        <v>40.146000000000001</v>
      </c>
      <c r="IK58" s="591">
        <v>0</v>
      </c>
      <c r="IL58" s="591">
        <v>0</v>
      </c>
      <c r="IM58" s="591">
        <v>0</v>
      </c>
      <c r="IN58" s="591">
        <v>0</v>
      </c>
      <c r="IO58" s="591">
        <v>0</v>
      </c>
      <c r="IP58" s="591">
        <v>498.03500000000003</v>
      </c>
      <c r="IQ58" s="591">
        <v>40.146000000000001</v>
      </c>
      <c r="IR58" s="591">
        <v>24726</v>
      </c>
      <c r="IS58" s="591">
        <v>0</v>
      </c>
      <c r="IT58" s="591">
        <v>0</v>
      </c>
      <c r="IU58" s="591">
        <v>0</v>
      </c>
      <c r="IV58" s="591">
        <v>0</v>
      </c>
      <c r="IW58" s="591">
        <v>6159</v>
      </c>
      <c r="IX58" s="591">
        <v>0</v>
      </c>
      <c r="IY58" s="591">
        <v>0</v>
      </c>
      <c r="IZ58" s="591">
        <v>136960</v>
      </c>
      <c r="JA58" s="591">
        <v>0</v>
      </c>
      <c r="JB58" s="591">
        <v>2</v>
      </c>
      <c r="JC58" s="591">
        <v>44840</v>
      </c>
      <c r="JD58" s="591">
        <v>3</v>
      </c>
      <c r="JE58" s="591">
        <v>32631</v>
      </c>
      <c r="JF58" s="591">
        <v>2</v>
      </c>
      <c r="JG58" s="591">
        <v>10134</v>
      </c>
      <c r="JH58" s="591">
        <v>3500</v>
      </c>
      <c r="JI58" s="591">
        <v>0</v>
      </c>
      <c r="JJ58" s="591">
        <v>0</v>
      </c>
      <c r="JK58" s="591">
        <v>0</v>
      </c>
      <c r="JL58" s="591">
        <v>0</v>
      </c>
      <c r="JM58" s="591">
        <v>0</v>
      </c>
      <c r="JN58" s="591">
        <v>32469</v>
      </c>
    </row>
    <row r="59" spans="1:274" x14ac:dyDescent="0.25">
      <c r="A59" s="591">
        <v>32570</v>
      </c>
      <c r="B59" s="591">
        <v>57835</v>
      </c>
      <c r="C59" s="591">
        <v>9</v>
      </c>
      <c r="D59" s="591">
        <v>2022</v>
      </c>
      <c r="E59" s="591">
        <v>6159</v>
      </c>
      <c r="F59" s="591">
        <v>0</v>
      </c>
      <c r="G59" s="591">
        <v>1359.3620000000001</v>
      </c>
      <c r="H59" s="591">
        <v>1293.597</v>
      </c>
      <c r="I59" s="591">
        <v>1293.597</v>
      </c>
      <c r="J59" s="591">
        <v>1359.3620000000001</v>
      </c>
      <c r="K59" s="591">
        <v>0</v>
      </c>
      <c r="L59" s="591">
        <v>6159</v>
      </c>
      <c r="M59" s="591">
        <v>0</v>
      </c>
      <c r="N59" s="591">
        <v>0</v>
      </c>
      <c r="O59" s="591">
        <v>0</v>
      </c>
      <c r="P59" s="591">
        <v>1316.3870000000002</v>
      </c>
      <c r="Q59" s="591">
        <v>0</v>
      </c>
      <c r="R59" s="591">
        <v>529751</v>
      </c>
      <c r="S59" s="591">
        <v>402.428</v>
      </c>
      <c r="T59" s="591">
        <v>0</v>
      </c>
      <c r="U59" s="591">
        <v>0</v>
      </c>
      <c r="V59" s="591">
        <v>648.74200000000008</v>
      </c>
      <c r="W59" s="591">
        <v>399566</v>
      </c>
      <c r="X59" s="591">
        <v>399566</v>
      </c>
      <c r="Y59" s="591">
        <v>0</v>
      </c>
      <c r="Z59" s="591">
        <v>0</v>
      </c>
      <c r="AA59" s="591">
        <v>0</v>
      </c>
      <c r="AB59" s="591">
        <v>0</v>
      </c>
      <c r="AC59" s="591">
        <v>0</v>
      </c>
      <c r="AD59" s="591" t="s">
        <v>316</v>
      </c>
      <c r="AE59" s="591">
        <v>0</v>
      </c>
      <c r="AF59" s="591">
        <v>0</v>
      </c>
      <c r="AG59" s="591">
        <v>0</v>
      </c>
      <c r="AH59" s="591">
        <v>0</v>
      </c>
      <c r="AI59" s="591">
        <v>0</v>
      </c>
      <c r="AJ59" s="591">
        <v>6159</v>
      </c>
      <c r="AK59" s="591" t="s">
        <v>671</v>
      </c>
      <c r="AL59" s="591" t="s">
        <v>49</v>
      </c>
      <c r="AM59" s="591">
        <v>0</v>
      </c>
      <c r="AN59" s="591">
        <v>0</v>
      </c>
      <c r="AO59" s="591">
        <v>0</v>
      </c>
      <c r="AP59" s="591">
        <v>0</v>
      </c>
      <c r="AQ59" s="591">
        <v>0</v>
      </c>
      <c r="AR59" s="591">
        <v>0</v>
      </c>
      <c r="AS59" s="591">
        <v>0</v>
      </c>
      <c r="AT59" s="591">
        <v>0</v>
      </c>
      <c r="AU59" s="591">
        <v>0</v>
      </c>
      <c r="AV59" s="591">
        <v>0</v>
      </c>
      <c r="AW59" s="591">
        <v>15475777</v>
      </c>
      <c r="AX59" s="591">
        <v>15232594</v>
      </c>
      <c r="AY59" s="591">
        <v>0</v>
      </c>
      <c r="AZ59" s="591">
        <v>529751</v>
      </c>
      <c r="BA59" s="591">
        <v>0</v>
      </c>
      <c r="BB59" s="591">
        <v>0</v>
      </c>
      <c r="BC59" s="591">
        <v>0</v>
      </c>
      <c r="BD59" s="591">
        <v>0</v>
      </c>
      <c r="BE59" s="591">
        <v>202</v>
      </c>
      <c r="BF59" s="591">
        <v>14013193</v>
      </c>
      <c r="BG59" s="591">
        <v>0</v>
      </c>
      <c r="BH59" s="591">
        <v>0</v>
      </c>
      <c r="BI59" s="591">
        <v>0</v>
      </c>
      <c r="BJ59" s="591">
        <v>12</v>
      </c>
      <c r="BK59" s="591">
        <v>0</v>
      </c>
      <c r="BL59" s="591">
        <v>0</v>
      </c>
      <c r="BM59" s="591">
        <v>0</v>
      </c>
      <c r="BN59" s="591">
        <v>0</v>
      </c>
      <c r="BO59" s="591">
        <v>0</v>
      </c>
      <c r="BP59" s="591">
        <v>0</v>
      </c>
      <c r="BQ59" s="591">
        <v>571</v>
      </c>
      <c r="BR59" s="591">
        <v>0</v>
      </c>
      <c r="BS59" s="591">
        <v>0</v>
      </c>
      <c r="BT59" s="591">
        <v>0</v>
      </c>
      <c r="BU59" s="591">
        <v>0</v>
      </c>
      <c r="BV59" s="591">
        <v>0</v>
      </c>
      <c r="BW59" s="591">
        <v>0</v>
      </c>
      <c r="BX59" s="591">
        <v>0</v>
      </c>
      <c r="BY59" s="591">
        <v>0</v>
      </c>
      <c r="BZ59" s="591">
        <v>0</v>
      </c>
      <c r="CA59" s="591">
        <v>0</v>
      </c>
      <c r="CB59" s="591">
        <v>0</v>
      </c>
      <c r="CC59" s="591">
        <v>0</v>
      </c>
      <c r="CD59" s="591">
        <v>0</v>
      </c>
      <c r="CE59" s="591">
        <v>0</v>
      </c>
      <c r="CF59" s="591">
        <v>0</v>
      </c>
      <c r="CG59" s="591">
        <v>0</v>
      </c>
      <c r="CH59" s="591">
        <v>246331</v>
      </c>
      <c r="CI59" s="591">
        <v>0</v>
      </c>
      <c r="CJ59" s="591">
        <v>4</v>
      </c>
      <c r="CK59" s="591">
        <v>0</v>
      </c>
      <c r="CL59" s="591">
        <v>0</v>
      </c>
      <c r="CM59" s="591">
        <v>0</v>
      </c>
      <c r="CN59" s="591">
        <v>0</v>
      </c>
      <c r="CO59" s="591">
        <v>1</v>
      </c>
      <c r="CP59" s="591">
        <v>0</v>
      </c>
      <c r="CQ59" s="591">
        <v>0</v>
      </c>
      <c r="CR59" s="591">
        <v>1359.3620000000001</v>
      </c>
      <c r="CS59" s="591">
        <v>0</v>
      </c>
      <c r="CT59" s="591">
        <v>0</v>
      </c>
      <c r="CU59" s="591">
        <v>0</v>
      </c>
      <c r="CV59" s="591">
        <v>0</v>
      </c>
      <c r="CW59" s="591">
        <v>0</v>
      </c>
      <c r="CX59" s="591">
        <v>0</v>
      </c>
      <c r="CY59" s="591">
        <v>0</v>
      </c>
      <c r="CZ59" s="591">
        <v>0</v>
      </c>
      <c r="DA59" s="591">
        <v>0</v>
      </c>
      <c r="DB59" s="591">
        <v>7967371</v>
      </c>
      <c r="DC59" s="591">
        <v>0</v>
      </c>
      <c r="DD59" s="591">
        <v>0</v>
      </c>
      <c r="DE59" s="591">
        <v>2511982</v>
      </c>
      <c r="DF59" s="591">
        <v>2511982</v>
      </c>
      <c r="DG59" s="591">
        <v>407.85</v>
      </c>
      <c r="DH59" s="591">
        <v>0</v>
      </c>
      <c r="DI59" s="591">
        <v>0</v>
      </c>
      <c r="DJ59" s="591">
        <v>0</v>
      </c>
      <c r="DK59" s="591">
        <v>755</v>
      </c>
      <c r="DL59" s="591">
        <v>0</v>
      </c>
      <c r="DM59" s="591">
        <v>772258</v>
      </c>
      <c r="DN59" s="591">
        <v>2946</v>
      </c>
      <c r="DO59" s="591">
        <v>0</v>
      </c>
      <c r="DP59" s="591">
        <v>0</v>
      </c>
      <c r="DQ59" s="591">
        <v>0</v>
      </c>
      <c r="DR59" s="591">
        <v>0</v>
      </c>
      <c r="DS59" s="591">
        <v>0</v>
      </c>
      <c r="DT59" s="591">
        <v>0</v>
      </c>
      <c r="DU59" s="591">
        <v>0</v>
      </c>
      <c r="DV59" s="591">
        <v>0</v>
      </c>
      <c r="DW59" s="591">
        <v>0</v>
      </c>
      <c r="DX59" s="591">
        <v>0</v>
      </c>
      <c r="DY59" s="591">
        <v>0</v>
      </c>
      <c r="DZ59" s="591">
        <v>0</v>
      </c>
      <c r="EA59" s="591">
        <v>0</v>
      </c>
      <c r="EB59" s="591">
        <v>0</v>
      </c>
      <c r="EC59" s="591">
        <v>17.317</v>
      </c>
      <c r="ED59" s="591">
        <v>122655</v>
      </c>
      <c r="EE59" s="591">
        <v>0</v>
      </c>
      <c r="EF59" s="591">
        <v>0</v>
      </c>
      <c r="EG59" s="591">
        <v>0</v>
      </c>
      <c r="EH59" s="591">
        <v>652549</v>
      </c>
      <c r="EI59" s="591">
        <v>0</v>
      </c>
      <c r="EJ59" s="591">
        <v>0</v>
      </c>
      <c r="EK59" s="591">
        <v>32.488</v>
      </c>
      <c r="EL59" s="591">
        <v>0</v>
      </c>
      <c r="EM59" s="591">
        <v>0</v>
      </c>
      <c r="EN59" s="591">
        <v>1.6970000000000001</v>
      </c>
      <c r="EO59" s="591">
        <v>0</v>
      </c>
      <c r="EP59" s="591">
        <v>0</v>
      </c>
      <c r="EQ59" s="591">
        <v>34.185000000000002</v>
      </c>
      <c r="ER59" s="591">
        <v>0</v>
      </c>
      <c r="ES59" s="591">
        <v>105.949</v>
      </c>
      <c r="ET59" s="591">
        <v>0</v>
      </c>
      <c r="EU59" s="591">
        <v>0</v>
      </c>
      <c r="EV59" s="591">
        <v>0</v>
      </c>
      <c r="EW59" s="591">
        <v>0</v>
      </c>
      <c r="EX59" s="591">
        <v>0</v>
      </c>
      <c r="EY59" s="591">
        <v>0</v>
      </c>
      <c r="EZ59" s="591">
        <v>13485012</v>
      </c>
      <c r="FA59" s="591">
        <v>0</v>
      </c>
      <c r="FB59" s="591">
        <v>14011615</v>
      </c>
      <c r="FC59" s="591">
        <v>0</v>
      </c>
      <c r="FD59" s="591">
        <v>0</v>
      </c>
      <c r="FE59" s="591">
        <v>1451512</v>
      </c>
      <c r="FF59" s="591">
        <v>296070</v>
      </c>
      <c r="FG59" s="591">
        <v>6.4728999999999995E-2</v>
      </c>
      <c r="FH59" s="591">
        <v>2.6405999999999999E-2</v>
      </c>
      <c r="FI59" s="591">
        <v>0</v>
      </c>
      <c r="FJ59" s="591">
        <v>0</v>
      </c>
      <c r="FK59" s="591">
        <v>2275.2080000000001</v>
      </c>
      <c r="FL59" s="591">
        <v>16005528</v>
      </c>
      <c r="FM59" s="591">
        <v>0</v>
      </c>
      <c r="FN59" s="591">
        <v>0</v>
      </c>
      <c r="FO59" s="591">
        <v>0</v>
      </c>
      <c r="FP59" s="591">
        <v>0</v>
      </c>
      <c r="FQ59" s="591">
        <v>0</v>
      </c>
      <c r="FR59" s="591">
        <v>0</v>
      </c>
      <c r="FS59" s="591">
        <v>0</v>
      </c>
      <c r="FT59" s="591">
        <v>0</v>
      </c>
      <c r="FU59" s="591">
        <v>0</v>
      </c>
      <c r="FV59" s="591">
        <v>0</v>
      </c>
      <c r="FW59" s="591">
        <v>0</v>
      </c>
      <c r="FX59" s="591">
        <v>0</v>
      </c>
      <c r="FY59" s="591">
        <v>0</v>
      </c>
      <c r="FZ59" s="591">
        <v>0</v>
      </c>
      <c r="GA59" s="591">
        <v>0</v>
      </c>
      <c r="GB59" s="591">
        <v>262580</v>
      </c>
      <c r="GC59" s="591">
        <v>262580</v>
      </c>
      <c r="GD59" s="591">
        <v>31.580000000000002</v>
      </c>
      <c r="GE59" s="591">
        <v>0</v>
      </c>
      <c r="GF59" s="591">
        <v>0</v>
      </c>
      <c r="GG59" s="591">
        <v>0</v>
      </c>
      <c r="GH59" s="591">
        <v>0</v>
      </c>
      <c r="GI59" s="591">
        <v>0</v>
      </c>
      <c r="GJ59" s="591">
        <v>0</v>
      </c>
      <c r="GK59" s="591">
        <v>0</v>
      </c>
      <c r="GL59" s="591">
        <v>0</v>
      </c>
      <c r="GM59" s="591">
        <v>0</v>
      </c>
      <c r="GN59" s="591">
        <v>0</v>
      </c>
      <c r="GO59" s="591">
        <v>0</v>
      </c>
      <c r="GP59" s="591">
        <v>0</v>
      </c>
      <c r="GQ59" s="591">
        <v>0</v>
      </c>
      <c r="GR59" s="591">
        <v>0</v>
      </c>
      <c r="GS59" s="591">
        <v>0</v>
      </c>
      <c r="GT59" s="591">
        <v>0</v>
      </c>
      <c r="GU59" s="591">
        <v>0</v>
      </c>
      <c r="GV59" s="591">
        <v>0</v>
      </c>
      <c r="GW59" s="591">
        <v>0</v>
      </c>
      <c r="GX59" s="591">
        <v>0</v>
      </c>
      <c r="GY59" s="591">
        <v>0</v>
      </c>
      <c r="GZ59" s="591">
        <v>0</v>
      </c>
      <c r="HA59" s="591">
        <v>0</v>
      </c>
      <c r="HB59" s="591">
        <v>260009272</v>
      </c>
      <c r="HC59" s="591">
        <v>5.1774999999999995E-2</v>
      </c>
      <c r="HD59" s="591">
        <v>246331</v>
      </c>
      <c r="HE59" s="591">
        <v>0</v>
      </c>
      <c r="HF59" s="591">
        <v>1421663</v>
      </c>
      <c r="HG59" s="591">
        <v>3208</v>
      </c>
      <c r="HH59" s="591">
        <v>658406</v>
      </c>
      <c r="HI59" s="591">
        <v>0</v>
      </c>
      <c r="HJ59" s="591">
        <v>13213</v>
      </c>
      <c r="HK59" s="591">
        <v>945</v>
      </c>
      <c r="HL59" s="591">
        <v>625</v>
      </c>
      <c r="HM59" s="591">
        <v>0</v>
      </c>
      <c r="HN59" s="591">
        <v>0</v>
      </c>
      <c r="HO59" s="591">
        <v>0</v>
      </c>
      <c r="HP59" s="591">
        <v>0</v>
      </c>
      <c r="HQ59" s="591">
        <v>0</v>
      </c>
      <c r="HR59" s="591">
        <v>0</v>
      </c>
      <c r="HS59" s="591">
        <v>13481864</v>
      </c>
      <c r="HT59" s="591">
        <v>0</v>
      </c>
      <c r="HU59" s="591">
        <v>0</v>
      </c>
      <c r="HV59" s="591">
        <v>0</v>
      </c>
      <c r="HW59" s="591">
        <v>0</v>
      </c>
      <c r="HX59" s="591">
        <v>114</v>
      </c>
      <c r="HY59" s="591">
        <v>129</v>
      </c>
      <c r="HZ59" s="591">
        <v>287</v>
      </c>
      <c r="IA59" s="591">
        <v>473</v>
      </c>
      <c r="IB59" s="591">
        <v>566</v>
      </c>
      <c r="IC59" s="591">
        <v>1552</v>
      </c>
      <c r="ID59" s="591">
        <v>0</v>
      </c>
      <c r="IE59" s="591">
        <v>0</v>
      </c>
      <c r="IF59" s="591">
        <v>0</v>
      </c>
      <c r="IG59" s="591">
        <v>5.2080000000000002</v>
      </c>
      <c r="IH59" s="591">
        <v>1069</v>
      </c>
      <c r="II59" s="591">
        <v>0</v>
      </c>
      <c r="IJ59" s="591">
        <v>648.74200000000008</v>
      </c>
      <c r="IK59" s="591">
        <v>0</v>
      </c>
      <c r="IL59" s="591">
        <v>0</v>
      </c>
      <c r="IM59" s="591">
        <v>0</v>
      </c>
      <c r="IN59" s="591">
        <v>0</v>
      </c>
      <c r="IO59" s="591">
        <v>0</v>
      </c>
      <c r="IP59" s="591">
        <v>0</v>
      </c>
      <c r="IQ59" s="591">
        <v>648.74200000000008</v>
      </c>
      <c r="IR59" s="591">
        <v>399566</v>
      </c>
      <c r="IS59" s="591">
        <v>0</v>
      </c>
      <c r="IT59" s="591">
        <v>0</v>
      </c>
      <c r="IU59" s="591">
        <v>0</v>
      </c>
      <c r="IV59" s="591">
        <v>0</v>
      </c>
      <c r="IW59" s="591">
        <v>6159</v>
      </c>
      <c r="IX59" s="591">
        <v>0</v>
      </c>
      <c r="IY59" s="591">
        <v>0</v>
      </c>
      <c r="IZ59" s="591">
        <v>0</v>
      </c>
      <c r="JA59" s="591">
        <v>0</v>
      </c>
      <c r="JB59" s="591">
        <v>0</v>
      </c>
      <c r="JC59" s="591">
        <v>0</v>
      </c>
      <c r="JD59" s="591">
        <v>0</v>
      </c>
      <c r="JE59" s="591">
        <v>0</v>
      </c>
      <c r="JF59" s="591">
        <v>0</v>
      </c>
      <c r="JG59" s="591">
        <v>0</v>
      </c>
      <c r="JH59" s="591">
        <v>0</v>
      </c>
      <c r="JI59" s="591">
        <v>0</v>
      </c>
      <c r="JJ59" s="591">
        <v>0</v>
      </c>
      <c r="JK59" s="591">
        <v>0</v>
      </c>
      <c r="JL59" s="591">
        <v>0</v>
      </c>
      <c r="JM59" s="591">
        <v>0</v>
      </c>
      <c r="JN59" s="591">
        <v>32469</v>
      </c>
    </row>
    <row r="60" spans="1:274" x14ac:dyDescent="0.25">
      <c r="A60" s="591">
        <v>32570</v>
      </c>
      <c r="B60" s="591">
        <v>57836</v>
      </c>
      <c r="C60" s="591">
        <v>9</v>
      </c>
      <c r="D60" s="591">
        <v>2022</v>
      </c>
      <c r="E60" s="591">
        <v>6159</v>
      </c>
      <c r="F60" s="591">
        <v>0</v>
      </c>
      <c r="G60" s="591">
        <v>310.74700000000001</v>
      </c>
      <c r="H60" s="591">
        <v>303.05500000000001</v>
      </c>
      <c r="I60" s="591">
        <v>303.05500000000001</v>
      </c>
      <c r="J60" s="591">
        <v>310.74700000000001</v>
      </c>
      <c r="K60" s="591">
        <v>0</v>
      </c>
      <c r="L60" s="591">
        <v>6159</v>
      </c>
      <c r="M60" s="591">
        <v>0</v>
      </c>
      <c r="N60" s="591">
        <v>0</v>
      </c>
      <c r="O60" s="591">
        <v>0</v>
      </c>
      <c r="P60" s="591">
        <v>304.83500000000004</v>
      </c>
      <c r="Q60" s="591">
        <v>0</v>
      </c>
      <c r="R60" s="591">
        <v>122674</v>
      </c>
      <c r="S60" s="591">
        <v>402.428</v>
      </c>
      <c r="T60" s="591">
        <v>0</v>
      </c>
      <c r="U60" s="591">
        <v>0</v>
      </c>
      <c r="V60" s="591">
        <v>0</v>
      </c>
      <c r="W60" s="591">
        <v>0</v>
      </c>
      <c r="X60" s="591">
        <v>0</v>
      </c>
      <c r="Y60" s="591">
        <v>0</v>
      </c>
      <c r="Z60" s="591">
        <v>0</v>
      </c>
      <c r="AA60" s="591">
        <v>0</v>
      </c>
      <c r="AB60" s="591">
        <v>0</v>
      </c>
      <c r="AC60" s="591">
        <v>0</v>
      </c>
      <c r="AD60" s="591" t="s">
        <v>316</v>
      </c>
      <c r="AE60" s="591">
        <v>0</v>
      </c>
      <c r="AF60" s="591">
        <v>0</v>
      </c>
      <c r="AG60" s="591">
        <v>0</v>
      </c>
      <c r="AH60" s="591">
        <v>0</v>
      </c>
      <c r="AI60" s="591">
        <v>0</v>
      </c>
      <c r="AJ60" s="591">
        <v>6159</v>
      </c>
      <c r="AK60" s="591" t="s">
        <v>671</v>
      </c>
      <c r="AL60" s="591" t="s">
        <v>24</v>
      </c>
      <c r="AM60" s="591">
        <v>0</v>
      </c>
      <c r="AN60" s="591">
        <v>0</v>
      </c>
      <c r="AO60" s="591">
        <v>0</v>
      </c>
      <c r="AP60" s="591">
        <v>0</v>
      </c>
      <c r="AQ60" s="591">
        <v>0</v>
      </c>
      <c r="AR60" s="591">
        <v>0</v>
      </c>
      <c r="AS60" s="591">
        <v>0</v>
      </c>
      <c r="AT60" s="591">
        <v>0</v>
      </c>
      <c r="AU60" s="591">
        <v>0</v>
      </c>
      <c r="AV60" s="591">
        <v>0</v>
      </c>
      <c r="AW60" s="591">
        <v>3284850</v>
      </c>
      <c r="AX60" s="591">
        <v>3229545</v>
      </c>
      <c r="AY60" s="591">
        <v>0</v>
      </c>
      <c r="AZ60" s="591">
        <v>122674</v>
      </c>
      <c r="BA60" s="591">
        <v>0</v>
      </c>
      <c r="BB60" s="591">
        <v>0</v>
      </c>
      <c r="BC60" s="591">
        <v>0</v>
      </c>
      <c r="BD60" s="591">
        <v>0</v>
      </c>
      <c r="BE60" s="591">
        <v>43</v>
      </c>
      <c r="BF60" s="591">
        <v>2980519</v>
      </c>
      <c r="BG60" s="591">
        <v>0</v>
      </c>
      <c r="BH60" s="591">
        <v>0</v>
      </c>
      <c r="BI60" s="591">
        <v>0</v>
      </c>
      <c r="BJ60" s="591">
        <v>12</v>
      </c>
      <c r="BK60" s="591">
        <v>0</v>
      </c>
      <c r="BL60" s="591">
        <v>0</v>
      </c>
      <c r="BM60" s="591">
        <v>0</v>
      </c>
      <c r="BN60" s="591">
        <v>0</v>
      </c>
      <c r="BO60" s="591">
        <v>0</v>
      </c>
      <c r="BP60" s="591">
        <v>0</v>
      </c>
      <c r="BQ60" s="591">
        <v>723</v>
      </c>
      <c r="BR60" s="591">
        <v>0</v>
      </c>
      <c r="BS60" s="591">
        <v>0</v>
      </c>
      <c r="BT60" s="591">
        <v>0</v>
      </c>
      <c r="BU60" s="591">
        <v>0</v>
      </c>
      <c r="BV60" s="591">
        <v>0</v>
      </c>
      <c r="BW60" s="591">
        <v>0</v>
      </c>
      <c r="BX60" s="591">
        <v>0</v>
      </c>
      <c r="BY60" s="591">
        <v>0</v>
      </c>
      <c r="BZ60" s="591">
        <v>0</v>
      </c>
      <c r="CA60" s="591">
        <v>0</v>
      </c>
      <c r="CB60" s="591">
        <v>0</v>
      </c>
      <c r="CC60" s="591">
        <v>0</v>
      </c>
      <c r="CD60" s="591">
        <v>0</v>
      </c>
      <c r="CE60" s="591">
        <v>0</v>
      </c>
      <c r="CF60" s="591">
        <v>0</v>
      </c>
      <c r="CG60" s="591">
        <v>0</v>
      </c>
      <c r="CH60" s="591">
        <v>56311</v>
      </c>
      <c r="CI60" s="591">
        <v>0</v>
      </c>
      <c r="CJ60" s="591">
        <v>4</v>
      </c>
      <c r="CK60" s="591">
        <v>0</v>
      </c>
      <c r="CL60" s="591">
        <v>0</v>
      </c>
      <c r="CM60" s="591">
        <v>0</v>
      </c>
      <c r="CN60" s="591">
        <v>0</v>
      </c>
      <c r="CO60" s="591">
        <v>1</v>
      </c>
      <c r="CP60" s="591">
        <v>0</v>
      </c>
      <c r="CQ60" s="591">
        <v>0</v>
      </c>
      <c r="CR60" s="591">
        <v>310.74700000000001</v>
      </c>
      <c r="CS60" s="591">
        <v>0</v>
      </c>
      <c r="CT60" s="591">
        <v>0</v>
      </c>
      <c r="CU60" s="591">
        <v>0</v>
      </c>
      <c r="CV60" s="591">
        <v>0</v>
      </c>
      <c r="CW60" s="591">
        <v>0</v>
      </c>
      <c r="CX60" s="591">
        <v>0</v>
      </c>
      <c r="CY60" s="591">
        <v>0</v>
      </c>
      <c r="CZ60" s="591">
        <v>0</v>
      </c>
      <c r="DA60" s="591">
        <v>0</v>
      </c>
      <c r="DB60" s="591">
        <v>1866541</v>
      </c>
      <c r="DC60" s="591">
        <v>0</v>
      </c>
      <c r="DD60" s="591">
        <v>0</v>
      </c>
      <c r="DE60" s="591">
        <v>438373</v>
      </c>
      <c r="DF60" s="591">
        <v>438373</v>
      </c>
      <c r="DG60" s="591">
        <v>71.174999999999997</v>
      </c>
      <c r="DH60" s="591">
        <v>0</v>
      </c>
      <c r="DI60" s="591">
        <v>0</v>
      </c>
      <c r="DJ60" s="591">
        <v>0</v>
      </c>
      <c r="DK60" s="591">
        <v>3195</v>
      </c>
      <c r="DL60" s="591">
        <v>0</v>
      </c>
      <c r="DM60" s="591">
        <v>252340</v>
      </c>
      <c r="DN60" s="591">
        <v>963</v>
      </c>
      <c r="DO60" s="591">
        <v>0</v>
      </c>
      <c r="DP60" s="591">
        <v>0</v>
      </c>
      <c r="DQ60" s="591">
        <v>0</v>
      </c>
      <c r="DR60" s="591">
        <v>0</v>
      </c>
      <c r="DS60" s="591">
        <v>0</v>
      </c>
      <c r="DT60" s="591">
        <v>0</v>
      </c>
      <c r="DU60" s="591">
        <v>0</v>
      </c>
      <c r="DV60" s="591">
        <v>0</v>
      </c>
      <c r="DW60" s="591">
        <v>0</v>
      </c>
      <c r="DX60" s="591">
        <v>0</v>
      </c>
      <c r="DY60" s="591">
        <v>0</v>
      </c>
      <c r="DZ60" s="591">
        <v>0</v>
      </c>
      <c r="EA60" s="591">
        <v>0</v>
      </c>
      <c r="EB60" s="591">
        <v>0</v>
      </c>
      <c r="EC60" s="591">
        <v>15.418000000000001</v>
      </c>
      <c r="ED60" s="591">
        <v>109205</v>
      </c>
      <c r="EE60" s="591">
        <v>0</v>
      </c>
      <c r="EF60" s="591">
        <v>0</v>
      </c>
      <c r="EG60" s="591">
        <v>0</v>
      </c>
      <c r="EH60" s="591">
        <v>144098</v>
      </c>
      <c r="EI60" s="591">
        <v>0</v>
      </c>
      <c r="EJ60" s="591">
        <v>0</v>
      </c>
      <c r="EK60" s="591">
        <v>6.9650000000000007</v>
      </c>
      <c r="EL60" s="591">
        <v>0</v>
      </c>
      <c r="EM60" s="591">
        <v>0.56700000000000006</v>
      </c>
      <c r="EN60" s="591">
        <v>0.16</v>
      </c>
      <c r="EO60" s="591">
        <v>0</v>
      </c>
      <c r="EP60" s="591">
        <v>0</v>
      </c>
      <c r="EQ60" s="591">
        <v>7.6920000000000002</v>
      </c>
      <c r="ER60" s="591">
        <v>0</v>
      </c>
      <c r="ES60" s="591">
        <v>23.396000000000001</v>
      </c>
      <c r="ET60" s="591">
        <v>0</v>
      </c>
      <c r="EU60" s="591">
        <v>0</v>
      </c>
      <c r="EV60" s="591">
        <v>0</v>
      </c>
      <c r="EW60" s="591">
        <v>0</v>
      </c>
      <c r="EX60" s="591">
        <v>0</v>
      </c>
      <c r="EY60" s="591">
        <v>0</v>
      </c>
      <c r="EZ60" s="591">
        <v>2857845</v>
      </c>
      <c r="FA60" s="591">
        <v>0</v>
      </c>
      <c r="FB60" s="591">
        <v>2979513</v>
      </c>
      <c r="FC60" s="591">
        <v>0</v>
      </c>
      <c r="FD60" s="591">
        <v>0</v>
      </c>
      <c r="FE60" s="591">
        <v>308728</v>
      </c>
      <c r="FF60" s="591">
        <v>62972</v>
      </c>
      <c r="FG60" s="591">
        <v>6.4728999999999995E-2</v>
      </c>
      <c r="FH60" s="591">
        <v>2.6405999999999999E-2</v>
      </c>
      <c r="FI60" s="591">
        <v>0</v>
      </c>
      <c r="FJ60" s="591">
        <v>0</v>
      </c>
      <c r="FK60" s="591">
        <v>483.923</v>
      </c>
      <c r="FL60" s="591">
        <v>3407524</v>
      </c>
      <c r="FM60" s="591">
        <v>0</v>
      </c>
      <c r="FN60" s="591">
        <v>0</v>
      </c>
      <c r="FO60" s="591">
        <v>0</v>
      </c>
      <c r="FP60" s="591">
        <v>0</v>
      </c>
      <c r="FQ60" s="591">
        <v>0</v>
      </c>
      <c r="FR60" s="591">
        <v>0</v>
      </c>
      <c r="FS60" s="591">
        <v>0</v>
      </c>
      <c r="FT60" s="591">
        <v>0</v>
      </c>
      <c r="FU60" s="591">
        <v>0</v>
      </c>
      <c r="FV60" s="591">
        <v>0</v>
      </c>
      <c r="FW60" s="591">
        <v>0</v>
      </c>
      <c r="FX60" s="591">
        <v>0</v>
      </c>
      <c r="FY60" s="591">
        <v>0</v>
      </c>
      <c r="FZ60" s="591">
        <v>0</v>
      </c>
      <c r="GA60" s="591">
        <v>0</v>
      </c>
      <c r="GB60" s="591">
        <v>0</v>
      </c>
      <c r="GC60" s="591">
        <v>0</v>
      </c>
      <c r="GD60" s="591">
        <v>0</v>
      </c>
      <c r="GE60" s="591">
        <v>0</v>
      </c>
      <c r="GF60" s="591">
        <v>0</v>
      </c>
      <c r="GG60" s="591">
        <v>0</v>
      </c>
      <c r="GH60" s="591">
        <v>0</v>
      </c>
      <c r="GI60" s="591">
        <v>0</v>
      </c>
      <c r="GJ60" s="591">
        <v>0</v>
      </c>
      <c r="GK60" s="591">
        <v>0</v>
      </c>
      <c r="GL60" s="591">
        <v>0</v>
      </c>
      <c r="GM60" s="591">
        <v>0</v>
      </c>
      <c r="GN60" s="591">
        <v>0</v>
      </c>
      <c r="GO60" s="591">
        <v>0</v>
      </c>
      <c r="GP60" s="591">
        <v>0</v>
      </c>
      <c r="GQ60" s="591">
        <v>0</v>
      </c>
      <c r="GR60" s="591">
        <v>0</v>
      </c>
      <c r="GS60" s="591">
        <v>0</v>
      </c>
      <c r="GT60" s="591">
        <v>0</v>
      </c>
      <c r="GU60" s="591">
        <v>0</v>
      </c>
      <c r="GV60" s="591">
        <v>0</v>
      </c>
      <c r="GW60" s="591">
        <v>0</v>
      </c>
      <c r="GX60" s="591">
        <v>0</v>
      </c>
      <c r="GY60" s="591">
        <v>0</v>
      </c>
      <c r="GZ60" s="591">
        <v>0</v>
      </c>
      <c r="HA60" s="591">
        <v>0</v>
      </c>
      <c r="HB60" s="591">
        <v>260009272</v>
      </c>
      <c r="HC60" s="591">
        <v>5.1774999999999995E-2</v>
      </c>
      <c r="HD60" s="591">
        <v>56311</v>
      </c>
      <c r="HE60" s="591">
        <v>0</v>
      </c>
      <c r="HF60" s="591">
        <v>333057</v>
      </c>
      <c r="HG60" s="591">
        <v>3695</v>
      </c>
      <c r="HH60" s="591">
        <v>82530</v>
      </c>
      <c r="HI60" s="591">
        <v>0</v>
      </c>
      <c r="HJ60" s="591">
        <v>3020</v>
      </c>
      <c r="HK60" s="591">
        <v>0</v>
      </c>
      <c r="HL60" s="591">
        <v>0</v>
      </c>
      <c r="HM60" s="591">
        <v>0</v>
      </c>
      <c r="HN60" s="591">
        <v>0</v>
      </c>
      <c r="HO60" s="591">
        <v>0</v>
      </c>
      <c r="HP60" s="591">
        <v>0</v>
      </c>
      <c r="HQ60" s="591">
        <v>0</v>
      </c>
      <c r="HR60" s="591">
        <v>0</v>
      </c>
      <c r="HS60" s="591">
        <v>2856839</v>
      </c>
      <c r="HT60" s="591">
        <v>0</v>
      </c>
      <c r="HU60" s="591">
        <v>0</v>
      </c>
      <c r="HV60" s="591">
        <v>0</v>
      </c>
      <c r="HW60" s="591">
        <v>0</v>
      </c>
      <c r="HX60" s="591">
        <v>41</v>
      </c>
      <c r="HY60" s="591">
        <v>28</v>
      </c>
      <c r="HZ60" s="591">
        <v>26</v>
      </c>
      <c r="IA60" s="591">
        <v>56</v>
      </c>
      <c r="IB60" s="591">
        <v>124</v>
      </c>
      <c r="IC60" s="591">
        <v>275</v>
      </c>
      <c r="ID60" s="591">
        <v>0</v>
      </c>
      <c r="IE60" s="591">
        <v>0</v>
      </c>
      <c r="IF60" s="591">
        <v>0</v>
      </c>
      <c r="IG60" s="591">
        <v>6</v>
      </c>
      <c r="IH60" s="591">
        <v>133.99700000000001</v>
      </c>
      <c r="II60" s="591">
        <v>0</v>
      </c>
      <c r="IJ60" s="591">
        <v>0</v>
      </c>
      <c r="IK60" s="591">
        <v>0</v>
      </c>
      <c r="IL60" s="591">
        <v>0</v>
      </c>
      <c r="IM60" s="591">
        <v>0</v>
      </c>
      <c r="IN60" s="591">
        <v>0</v>
      </c>
      <c r="IO60" s="591">
        <v>0</v>
      </c>
      <c r="IP60" s="591">
        <v>0</v>
      </c>
      <c r="IQ60" s="591">
        <v>0</v>
      </c>
      <c r="IR60" s="591">
        <v>0</v>
      </c>
      <c r="IS60" s="591">
        <v>0</v>
      </c>
      <c r="IT60" s="591">
        <v>0</v>
      </c>
      <c r="IU60" s="591">
        <v>0</v>
      </c>
      <c r="IV60" s="591">
        <v>0</v>
      </c>
      <c r="IW60" s="591">
        <v>6159</v>
      </c>
      <c r="IX60" s="591">
        <v>0</v>
      </c>
      <c r="IY60" s="591">
        <v>0</v>
      </c>
      <c r="IZ60" s="591">
        <v>0</v>
      </c>
      <c r="JA60" s="591">
        <v>0</v>
      </c>
      <c r="JB60" s="591">
        <v>0</v>
      </c>
      <c r="JC60" s="591">
        <v>0</v>
      </c>
      <c r="JD60" s="591">
        <v>0</v>
      </c>
      <c r="JE60" s="591">
        <v>0</v>
      </c>
      <c r="JF60" s="591">
        <v>0</v>
      </c>
      <c r="JG60" s="591">
        <v>0</v>
      </c>
      <c r="JH60" s="591">
        <v>0</v>
      </c>
      <c r="JI60" s="591">
        <v>0</v>
      </c>
      <c r="JJ60" s="591">
        <v>0</v>
      </c>
      <c r="JK60" s="591">
        <v>0</v>
      </c>
      <c r="JL60" s="591">
        <v>0</v>
      </c>
      <c r="JM60" s="591">
        <v>0</v>
      </c>
      <c r="JN60" s="591">
        <v>32469</v>
      </c>
    </row>
    <row r="61" spans="1:274" x14ac:dyDescent="0.25">
      <c r="A61" s="591">
        <v>32570</v>
      </c>
      <c r="B61" s="591">
        <v>57839</v>
      </c>
      <c r="C61" s="591">
        <v>9</v>
      </c>
      <c r="D61" s="591">
        <v>2022</v>
      </c>
      <c r="E61" s="591">
        <v>6159</v>
      </c>
      <c r="F61" s="591">
        <v>0</v>
      </c>
      <c r="G61" s="591">
        <v>881.20800000000008</v>
      </c>
      <c r="H61" s="591">
        <v>875.54600000000005</v>
      </c>
      <c r="I61" s="591">
        <v>875.54600000000005</v>
      </c>
      <c r="J61" s="591">
        <v>881.20800000000008</v>
      </c>
      <c r="K61" s="591">
        <v>0</v>
      </c>
      <c r="L61" s="591">
        <v>6159</v>
      </c>
      <c r="M61" s="591">
        <v>0</v>
      </c>
      <c r="N61" s="591">
        <v>0</v>
      </c>
      <c r="O61" s="591">
        <v>0</v>
      </c>
      <c r="P61" s="591">
        <v>859.19100000000003</v>
      </c>
      <c r="Q61" s="591">
        <v>0</v>
      </c>
      <c r="R61" s="591">
        <v>345763</v>
      </c>
      <c r="S61" s="591">
        <v>402.428</v>
      </c>
      <c r="T61" s="591">
        <v>0</v>
      </c>
      <c r="U61" s="591">
        <v>0</v>
      </c>
      <c r="V61" s="591">
        <v>589.01600000000008</v>
      </c>
      <c r="W61" s="591">
        <v>362780</v>
      </c>
      <c r="X61" s="591">
        <v>362780</v>
      </c>
      <c r="Y61" s="591">
        <v>0</v>
      </c>
      <c r="Z61" s="591">
        <v>0</v>
      </c>
      <c r="AA61" s="591">
        <v>0</v>
      </c>
      <c r="AB61" s="591">
        <v>0</v>
      </c>
      <c r="AC61" s="591">
        <v>0</v>
      </c>
      <c r="AD61" s="591" t="s">
        <v>316</v>
      </c>
      <c r="AE61" s="591">
        <v>0</v>
      </c>
      <c r="AF61" s="591">
        <v>0</v>
      </c>
      <c r="AG61" s="591">
        <v>0</v>
      </c>
      <c r="AH61" s="591">
        <v>0</v>
      </c>
      <c r="AI61" s="591">
        <v>0</v>
      </c>
      <c r="AJ61" s="591">
        <v>6159</v>
      </c>
      <c r="AK61" s="591" t="s">
        <v>671</v>
      </c>
      <c r="AL61" s="591" t="s">
        <v>59</v>
      </c>
      <c r="AM61" s="591">
        <v>0</v>
      </c>
      <c r="AN61" s="591">
        <v>0</v>
      </c>
      <c r="AO61" s="591">
        <v>0</v>
      </c>
      <c r="AP61" s="591">
        <v>0</v>
      </c>
      <c r="AQ61" s="591">
        <v>0</v>
      </c>
      <c r="AR61" s="591">
        <v>0</v>
      </c>
      <c r="AS61" s="591">
        <v>0</v>
      </c>
      <c r="AT61" s="591">
        <v>0</v>
      </c>
      <c r="AU61" s="591">
        <v>0</v>
      </c>
      <c r="AV61" s="591">
        <v>0</v>
      </c>
      <c r="AW61" s="591">
        <v>10365870</v>
      </c>
      <c r="AX61" s="591">
        <v>10208785</v>
      </c>
      <c r="AY61" s="591">
        <v>0</v>
      </c>
      <c r="AZ61" s="591">
        <v>345763</v>
      </c>
      <c r="BA61" s="591">
        <v>0</v>
      </c>
      <c r="BB61" s="591">
        <v>0</v>
      </c>
      <c r="BC61" s="591">
        <v>0</v>
      </c>
      <c r="BD61" s="591">
        <v>0.66700000000000004</v>
      </c>
      <c r="BE61" s="591">
        <v>135</v>
      </c>
      <c r="BF61" s="591">
        <v>9384241</v>
      </c>
      <c r="BG61" s="591">
        <v>0</v>
      </c>
      <c r="BH61" s="591">
        <v>0</v>
      </c>
      <c r="BI61" s="591">
        <v>0</v>
      </c>
      <c r="BJ61" s="591">
        <v>12</v>
      </c>
      <c r="BK61" s="591">
        <v>0</v>
      </c>
      <c r="BL61" s="591">
        <v>0</v>
      </c>
      <c r="BM61" s="591">
        <v>0</v>
      </c>
      <c r="BN61" s="591">
        <v>0</v>
      </c>
      <c r="BO61" s="591">
        <v>0</v>
      </c>
      <c r="BP61" s="591">
        <v>0</v>
      </c>
      <c r="BQ61" s="591">
        <v>635</v>
      </c>
      <c r="BR61" s="591">
        <v>0</v>
      </c>
      <c r="BS61" s="591">
        <v>0</v>
      </c>
      <c r="BT61" s="591">
        <v>0</v>
      </c>
      <c r="BU61" s="591">
        <v>0</v>
      </c>
      <c r="BV61" s="591">
        <v>0</v>
      </c>
      <c r="BW61" s="591">
        <v>0</v>
      </c>
      <c r="BX61" s="591">
        <v>0</v>
      </c>
      <c r="BY61" s="591">
        <v>0</v>
      </c>
      <c r="BZ61" s="591">
        <v>0</v>
      </c>
      <c r="CA61" s="591">
        <v>0</v>
      </c>
      <c r="CB61" s="591">
        <v>0</v>
      </c>
      <c r="CC61" s="591">
        <v>0</v>
      </c>
      <c r="CD61" s="591">
        <v>0</v>
      </c>
      <c r="CE61" s="591">
        <v>0</v>
      </c>
      <c r="CF61" s="591">
        <v>0</v>
      </c>
      <c r="CG61" s="591">
        <v>0</v>
      </c>
      <c r="CH61" s="591">
        <v>159684</v>
      </c>
      <c r="CI61" s="591">
        <v>0</v>
      </c>
      <c r="CJ61" s="591">
        <v>4</v>
      </c>
      <c r="CK61" s="591">
        <v>0</v>
      </c>
      <c r="CL61" s="591">
        <v>0</v>
      </c>
      <c r="CM61" s="591">
        <v>0</v>
      </c>
      <c r="CN61" s="591">
        <v>0</v>
      </c>
      <c r="CO61" s="591">
        <v>1</v>
      </c>
      <c r="CP61" s="591">
        <v>0</v>
      </c>
      <c r="CQ61" s="591">
        <v>0</v>
      </c>
      <c r="CR61" s="591">
        <v>881.20800000000008</v>
      </c>
      <c r="CS61" s="591">
        <v>0</v>
      </c>
      <c r="CT61" s="591">
        <v>0</v>
      </c>
      <c r="CU61" s="591">
        <v>0</v>
      </c>
      <c r="CV61" s="591">
        <v>0</v>
      </c>
      <c r="CW61" s="591">
        <v>0</v>
      </c>
      <c r="CX61" s="591">
        <v>0</v>
      </c>
      <c r="CY61" s="591">
        <v>0</v>
      </c>
      <c r="CZ61" s="591">
        <v>0</v>
      </c>
      <c r="DA61" s="591">
        <v>0</v>
      </c>
      <c r="DB61" s="591">
        <v>5386136</v>
      </c>
      <c r="DC61" s="591">
        <v>0</v>
      </c>
      <c r="DD61" s="591">
        <v>0</v>
      </c>
      <c r="DE61" s="591">
        <v>1572876</v>
      </c>
      <c r="DF61" s="591">
        <v>1572876</v>
      </c>
      <c r="DG61" s="591">
        <v>255.375</v>
      </c>
      <c r="DH61" s="591">
        <v>0</v>
      </c>
      <c r="DI61" s="591">
        <v>0</v>
      </c>
      <c r="DJ61" s="591">
        <v>0</v>
      </c>
      <c r="DK61" s="591">
        <v>1785</v>
      </c>
      <c r="DL61" s="591">
        <v>0</v>
      </c>
      <c r="DM61" s="591">
        <v>652336</v>
      </c>
      <c r="DN61" s="591">
        <v>2464</v>
      </c>
      <c r="DO61" s="591">
        <v>0</v>
      </c>
      <c r="DP61" s="591">
        <v>0</v>
      </c>
      <c r="DQ61" s="591">
        <v>0</v>
      </c>
      <c r="DR61" s="591">
        <v>0</v>
      </c>
      <c r="DS61" s="591">
        <v>0</v>
      </c>
      <c r="DT61" s="591">
        <v>0</v>
      </c>
      <c r="DU61" s="591">
        <v>0</v>
      </c>
      <c r="DV61" s="591">
        <v>0</v>
      </c>
      <c r="DW61" s="591">
        <v>0</v>
      </c>
      <c r="DX61" s="591">
        <v>0</v>
      </c>
      <c r="DY61" s="591">
        <v>0</v>
      </c>
      <c r="DZ61" s="591">
        <v>0</v>
      </c>
      <c r="EA61" s="591">
        <v>0</v>
      </c>
      <c r="EB61" s="591">
        <v>0</v>
      </c>
      <c r="EC61" s="591">
        <v>71.116</v>
      </c>
      <c r="ED61" s="591">
        <v>503711</v>
      </c>
      <c r="EE61" s="591">
        <v>0</v>
      </c>
      <c r="EF61" s="591">
        <v>0</v>
      </c>
      <c r="EG61" s="591">
        <v>0</v>
      </c>
      <c r="EH61" s="591">
        <v>144665</v>
      </c>
      <c r="EI61" s="591">
        <v>0</v>
      </c>
      <c r="EJ61" s="591">
        <v>0</v>
      </c>
      <c r="EK61" s="591">
        <v>2.411</v>
      </c>
      <c r="EL61" s="591">
        <v>0</v>
      </c>
      <c r="EM61" s="591">
        <v>0</v>
      </c>
      <c r="EN61" s="591">
        <v>3.2510000000000003</v>
      </c>
      <c r="EO61" s="591">
        <v>0</v>
      </c>
      <c r="EP61" s="591">
        <v>0</v>
      </c>
      <c r="EQ61" s="591">
        <v>5.6619999999999999</v>
      </c>
      <c r="ER61" s="591">
        <v>0</v>
      </c>
      <c r="ES61" s="591">
        <v>23.488</v>
      </c>
      <c r="ET61" s="591">
        <v>0</v>
      </c>
      <c r="EU61" s="591">
        <v>0</v>
      </c>
      <c r="EV61" s="591">
        <v>0</v>
      </c>
      <c r="EW61" s="591">
        <v>0</v>
      </c>
      <c r="EX61" s="591">
        <v>0</v>
      </c>
      <c r="EY61" s="591">
        <v>0</v>
      </c>
      <c r="EZ61" s="591">
        <v>9038478</v>
      </c>
      <c r="FA61" s="591">
        <v>0</v>
      </c>
      <c r="FB61" s="591">
        <v>9381642</v>
      </c>
      <c r="FC61" s="591">
        <v>0</v>
      </c>
      <c r="FD61" s="591">
        <v>0</v>
      </c>
      <c r="FE61" s="591">
        <v>972037</v>
      </c>
      <c r="FF61" s="591">
        <v>198270</v>
      </c>
      <c r="FG61" s="591">
        <v>6.4728999999999995E-2</v>
      </c>
      <c r="FH61" s="591">
        <v>2.6405999999999999E-2</v>
      </c>
      <c r="FI61" s="591">
        <v>0</v>
      </c>
      <c r="FJ61" s="591">
        <v>0</v>
      </c>
      <c r="FK61" s="591">
        <v>1523.643</v>
      </c>
      <c r="FL61" s="591">
        <v>10711633</v>
      </c>
      <c r="FM61" s="591">
        <v>0</v>
      </c>
      <c r="FN61" s="591">
        <v>0</v>
      </c>
      <c r="FO61" s="591">
        <v>0</v>
      </c>
      <c r="FP61" s="591">
        <v>0</v>
      </c>
      <c r="FQ61" s="591">
        <v>0</v>
      </c>
      <c r="FR61" s="591">
        <v>0</v>
      </c>
      <c r="FS61" s="591">
        <v>0</v>
      </c>
      <c r="FT61" s="591">
        <v>0</v>
      </c>
      <c r="FU61" s="591">
        <v>0</v>
      </c>
      <c r="FV61" s="591">
        <v>0</v>
      </c>
      <c r="FW61" s="591">
        <v>0</v>
      </c>
      <c r="FX61" s="591">
        <v>0</v>
      </c>
      <c r="FY61" s="591">
        <v>0</v>
      </c>
      <c r="FZ61" s="591">
        <v>0</v>
      </c>
      <c r="GA61" s="591">
        <v>0</v>
      </c>
      <c r="GB61" s="591">
        <v>0</v>
      </c>
      <c r="GC61" s="591">
        <v>0</v>
      </c>
      <c r="GD61" s="591">
        <v>0</v>
      </c>
      <c r="GE61" s="591">
        <v>0</v>
      </c>
      <c r="GF61" s="591">
        <v>0</v>
      </c>
      <c r="GG61" s="591">
        <v>0</v>
      </c>
      <c r="GH61" s="591">
        <v>0</v>
      </c>
      <c r="GI61" s="591">
        <v>0</v>
      </c>
      <c r="GJ61" s="591">
        <v>0</v>
      </c>
      <c r="GK61" s="591">
        <v>0</v>
      </c>
      <c r="GL61" s="591">
        <v>0</v>
      </c>
      <c r="GM61" s="591">
        <v>0</v>
      </c>
      <c r="GN61" s="591">
        <v>0</v>
      </c>
      <c r="GO61" s="591">
        <v>0</v>
      </c>
      <c r="GP61" s="591">
        <v>0</v>
      </c>
      <c r="GQ61" s="591">
        <v>0</v>
      </c>
      <c r="GR61" s="591">
        <v>0</v>
      </c>
      <c r="GS61" s="591">
        <v>0</v>
      </c>
      <c r="GT61" s="591">
        <v>0</v>
      </c>
      <c r="GU61" s="591">
        <v>0</v>
      </c>
      <c r="GV61" s="591">
        <v>0</v>
      </c>
      <c r="GW61" s="591">
        <v>0</v>
      </c>
      <c r="GX61" s="591">
        <v>0</v>
      </c>
      <c r="GY61" s="591">
        <v>0</v>
      </c>
      <c r="GZ61" s="591">
        <v>0</v>
      </c>
      <c r="HA61" s="591">
        <v>0</v>
      </c>
      <c r="HB61" s="591">
        <v>260009272</v>
      </c>
      <c r="HC61" s="591">
        <v>5.1774999999999995E-2</v>
      </c>
      <c r="HD61" s="591">
        <v>159684</v>
      </c>
      <c r="HE61" s="591">
        <v>0</v>
      </c>
      <c r="HF61" s="591">
        <v>962225</v>
      </c>
      <c r="HG61" s="591">
        <v>1283</v>
      </c>
      <c r="HH61" s="591">
        <v>355995</v>
      </c>
      <c r="HI61" s="591">
        <v>0</v>
      </c>
      <c r="HJ61" s="591">
        <v>8565</v>
      </c>
      <c r="HK61" s="591">
        <v>0</v>
      </c>
      <c r="HL61" s="591">
        <v>0</v>
      </c>
      <c r="HM61" s="591">
        <v>0</v>
      </c>
      <c r="HN61" s="591">
        <v>79581</v>
      </c>
      <c r="HO61" s="591">
        <v>0</v>
      </c>
      <c r="HP61" s="591">
        <v>0</v>
      </c>
      <c r="HQ61" s="591">
        <v>0</v>
      </c>
      <c r="HR61" s="591">
        <v>0</v>
      </c>
      <c r="HS61" s="591">
        <v>9035879</v>
      </c>
      <c r="HT61" s="591">
        <v>0</v>
      </c>
      <c r="HU61" s="591">
        <v>0</v>
      </c>
      <c r="HV61" s="591">
        <v>0</v>
      </c>
      <c r="HW61" s="591">
        <v>0</v>
      </c>
      <c r="HX61" s="591">
        <v>51</v>
      </c>
      <c r="HY61" s="591">
        <v>77</v>
      </c>
      <c r="HZ61" s="591">
        <v>155</v>
      </c>
      <c r="IA61" s="591">
        <v>341</v>
      </c>
      <c r="IB61" s="591">
        <v>354</v>
      </c>
      <c r="IC61" s="591">
        <v>889</v>
      </c>
      <c r="ID61" s="591">
        <v>0</v>
      </c>
      <c r="IE61" s="591">
        <v>0</v>
      </c>
      <c r="IF61" s="591">
        <v>0</v>
      </c>
      <c r="IG61" s="591">
        <v>2.0830000000000002</v>
      </c>
      <c r="IH61" s="591">
        <v>578</v>
      </c>
      <c r="II61" s="591">
        <v>0</v>
      </c>
      <c r="IJ61" s="591">
        <v>589.01600000000008</v>
      </c>
      <c r="IK61" s="591">
        <v>0</v>
      </c>
      <c r="IL61" s="591">
        <v>0</v>
      </c>
      <c r="IM61" s="591">
        <v>0</v>
      </c>
      <c r="IN61" s="591">
        <v>0</v>
      </c>
      <c r="IO61" s="591">
        <v>0</v>
      </c>
      <c r="IP61" s="591">
        <v>0</v>
      </c>
      <c r="IQ61" s="591">
        <v>589.01600000000008</v>
      </c>
      <c r="IR61" s="591">
        <v>362780</v>
      </c>
      <c r="IS61" s="591">
        <v>0</v>
      </c>
      <c r="IT61" s="591">
        <v>0</v>
      </c>
      <c r="IU61" s="591">
        <v>0</v>
      </c>
      <c r="IV61" s="591">
        <v>0</v>
      </c>
      <c r="IW61" s="591">
        <v>6159</v>
      </c>
      <c r="IX61" s="591">
        <v>0</v>
      </c>
      <c r="IY61" s="591">
        <v>0</v>
      </c>
      <c r="IZ61" s="591">
        <v>0</v>
      </c>
      <c r="JA61" s="591">
        <v>0</v>
      </c>
      <c r="JB61" s="591">
        <v>0</v>
      </c>
      <c r="JC61" s="591">
        <v>0</v>
      </c>
      <c r="JD61" s="591">
        <v>3</v>
      </c>
      <c r="JE61" s="591">
        <v>41226</v>
      </c>
      <c r="JF61" s="591">
        <v>5</v>
      </c>
      <c r="JG61" s="591">
        <v>34355</v>
      </c>
      <c r="JH61" s="591">
        <v>4000</v>
      </c>
      <c r="JI61" s="591">
        <v>0</v>
      </c>
      <c r="JJ61" s="591">
        <v>0</v>
      </c>
      <c r="JK61" s="591">
        <v>0</v>
      </c>
      <c r="JL61" s="591">
        <v>0</v>
      </c>
      <c r="JM61" s="591">
        <v>0</v>
      </c>
      <c r="JN61" s="591">
        <v>32469</v>
      </c>
    </row>
    <row r="62" spans="1:274" x14ac:dyDescent="0.25">
      <c r="A62" s="591">
        <v>32570</v>
      </c>
      <c r="B62" s="591">
        <v>57840</v>
      </c>
      <c r="C62" s="591">
        <v>9</v>
      </c>
      <c r="D62" s="591">
        <v>2022</v>
      </c>
      <c r="E62" s="591">
        <v>6159</v>
      </c>
      <c r="F62" s="591">
        <v>0</v>
      </c>
      <c r="G62" s="591">
        <v>457.21300000000002</v>
      </c>
      <c r="H62" s="591">
        <v>338.125</v>
      </c>
      <c r="I62" s="591">
        <v>338.125</v>
      </c>
      <c r="J62" s="591">
        <v>457.21300000000002</v>
      </c>
      <c r="K62" s="591">
        <v>0</v>
      </c>
      <c r="L62" s="591">
        <v>6159</v>
      </c>
      <c r="M62" s="591">
        <v>0</v>
      </c>
      <c r="N62" s="591">
        <v>0</v>
      </c>
      <c r="O62" s="591">
        <v>0</v>
      </c>
      <c r="P62" s="591">
        <v>480.851</v>
      </c>
      <c r="Q62" s="591">
        <v>0</v>
      </c>
      <c r="R62" s="591">
        <v>193508</v>
      </c>
      <c r="S62" s="591">
        <v>402.428</v>
      </c>
      <c r="T62" s="591">
        <v>0</v>
      </c>
      <c r="U62" s="591">
        <v>0</v>
      </c>
      <c r="V62" s="591">
        <v>32.812000000000005</v>
      </c>
      <c r="W62" s="591">
        <v>20209</v>
      </c>
      <c r="X62" s="591">
        <v>20209</v>
      </c>
      <c r="Y62" s="591">
        <v>0</v>
      </c>
      <c r="Z62" s="591">
        <v>0</v>
      </c>
      <c r="AA62" s="591">
        <v>0</v>
      </c>
      <c r="AB62" s="591">
        <v>0</v>
      </c>
      <c r="AC62" s="591">
        <v>0</v>
      </c>
      <c r="AD62" s="591" t="s">
        <v>316</v>
      </c>
      <c r="AE62" s="591">
        <v>0</v>
      </c>
      <c r="AF62" s="591">
        <v>0</v>
      </c>
      <c r="AG62" s="591">
        <v>0</v>
      </c>
      <c r="AH62" s="591">
        <v>0</v>
      </c>
      <c r="AI62" s="591">
        <v>0</v>
      </c>
      <c r="AJ62" s="591">
        <v>6159</v>
      </c>
      <c r="AK62" s="591" t="s">
        <v>671</v>
      </c>
      <c r="AL62" s="591" t="s">
        <v>330</v>
      </c>
      <c r="AM62" s="591">
        <v>0</v>
      </c>
      <c r="AN62" s="591">
        <v>0</v>
      </c>
      <c r="AO62" s="591">
        <v>0</v>
      </c>
      <c r="AP62" s="591">
        <v>0</v>
      </c>
      <c r="AQ62" s="591">
        <v>0</v>
      </c>
      <c r="AR62" s="591">
        <v>0</v>
      </c>
      <c r="AS62" s="591">
        <v>0</v>
      </c>
      <c r="AT62" s="591">
        <v>0</v>
      </c>
      <c r="AU62" s="591">
        <v>0</v>
      </c>
      <c r="AV62" s="591">
        <v>0</v>
      </c>
      <c r="AW62" s="591">
        <v>4605305</v>
      </c>
      <c r="AX62" s="591">
        <v>4522546</v>
      </c>
      <c r="AY62" s="591">
        <v>0</v>
      </c>
      <c r="AZ62" s="591">
        <v>193508</v>
      </c>
      <c r="BA62" s="591">
        <v>0</v>
      </c>
      <c r="BB62" s="591">
        <v>0</v>
      </c>
      <c r="BC62" s="591">
        <v>0</v>
      </c>
      <c r="BD62" s="591">
        <v>0</v>
      </c>
      <c r="BE62" s="591">
        <v>60</v>
      </c>
      <c r="BF62" s="591">
        <v>4189024</v>
      </c>
      <c r="BG62" s="591">
        <v>0</v>
      </c>
      <c r="BH62" s="591">
        <v>0</v>
      </c>
      <c r="BI62" s="591">
        <v>0</v>
      </c>
      <c r="BJ62" s="591">
        <v>12</v>
      </c>
      <c r="BK62" s="591">
        <v>0</v>
      </c>
      <c r="BL62" s="591">
        <v>0</v>
      </c>
      <c r="BM62" s="591">
        <v>0</v>
      </c>
      <c r="BN62" s="591">
        <v>0</v>
      </c>
      <c r="BO62" s="591">
        <v>0</v>
      </c>
      <c r="BP62" s="591">
        <v>0</v>
      </c>
      <c r="BQ62" s="591">
        <v>718</v>
      </c>
      <c r="BR62" s="591">
        <v>0</v>
      </c>
      <c r="BS62" s="591">
        <v>0</v>
      </c>
      <c r="BT62" s="591">
        <v>0</v>
      </c>
      <c r="BU62" s="591">
        <v>0</v>
      </c>
      <c r="BV62" s="591">
        <v>0</v>
      </c>
      <c r="BW62" s="591">
        <v>0</v>
      </c>
      <c r="BX62" s="591">
        <v>0</v>
      </c>
      <c r="BY62" s="591">
        <v>0</v>
      </c>
      <c r="BZ62" s="591">
        <v>0</v>
      </c>
      <c r="CA62" s="591">
        <v>0</v>
      </c>
      <c r="CB62" s="591">
        <v>0</v>
      </c>
      <c r="CC62" s="591">
        <v>0</v>
      </c>
      <c r="CD62" s="591">
        <v>0</v>
      </c>
      <c r="CE62" s="591">
        <v>0</v>
      </c>
      <c r="CF62" s="591">
        <v>0</v>
      </c>
      <c r="CG62" s="591">
        <v>0</v>
      </c>
      <c r="CH62" s="591">
        <v>82852</v>
      </c>
      <c r="CI62" s="591">
        <v>0</v>
      </c>
      <c r="CJ62" s="591">
        <v>4</v>
      </c>
      <c r="CK62" s="591">
        <v>0</v>
      </c>
      <c r="CL62" s="591">
        <v>0</v>
      </c>
      <c r="CM62" s="591">
        <v>0</v>
      </c>
      <c r="CN62" s="591">
        <v>0</v>
      </c>
      <c r="CO62" s="591">
        <v>1</v>
      </c>
      <c r="CP62" s="591">
        <v>0</v>
      </c>
      <c r="CQ62" s="591">
        <v>0</v>
      </c>
      <c r="CR62" s="591">
        <v>457.21300000000002</v>
      </c>
      <c r="CS62" s="591">
        <v>0</v>
      </c>
      <c r="CT62" s="591">
        <v>0</v>
      </c>
      <c r="CU62" s="591">
        <v>0</v>
      </c>
      <c r="CV62" s="591">
        <v>0</v>
      </c>
      <c r="CW62" s="591">
        <v>0</v>
      </c>
      <c r="CX62" s="591">
        <v>0</v>
      </c>
      <c r="CY62" s="591">
        <v>0</v>
      </c>
      <c r="CZ62" s="591">
        <v>0</v>
      </c>
      <c r="DA62" s="591">
        <v>0</v>
      </c>
      <c r="DB62" s="591">
        <v>2082540</v>
      </c>
      <c r="DC62" s="591">
        <v>0</v>
      </c>
      <c r="DD62" s="591">
        <v>0</v>
      </c>
      <c r="DE62" s="591">
        <v>129495</v>
      </c>
      <c r="DF62" s="591">
        <v>129495</v>
      </c>
      <c r="DG62" s="591">
        <v>21.025000000000002</v>
      </c>
      <c r="DH62" s="591">
        <v>0</v>
      </c>
      <c r="DI62" s="591">
        <v>0</v>
      </c>
      <c r="DJ62" s="591">
        <v>0</v>
      </c>
      <c r="DK62" s="591">
        <v>3109</v>
      </c>
      <c r="DL62" s="591">
        <v>0</v>
      </c>
      <c r="DM62" s="591">
        <v>8517</v>
      </c>
      <c r="DN62" s="591">
        <v>32</v>
      </c>
      <c r="DO62" s="591">
        <v>0</v>
      </c>
      <c r="DP62" s="591">
        <v>0</v>
      </c>
      <c r="DQ62" s="591">
        <v>0</v>
      </c>
      <c r="DR62" s="591">
        <v>0</v>
      </c>
      <c r="DS62" s="591">
        <v>0</v>
      </c>
      <c r="DT62" s="591">
        <v>0</v>
      </c>
      <c r="DU62" s="591">
        <v>0</v>
      </c>
      <c r="DV62" s="591">
        <v>0</v>
      </c>
      <c r="DW62" s="591">
        <v>0</v>
      </c>
      <c r="DX62" s="591">
        <v>0</v>
      </c>
      <c r="DY62" s="591">
        <v>0</v>
      </c>
      <c r="DZ62" s="591">
        <v>0</v>
      </c>
      <c r="EA62" s="591">
        <v>0</v>
      </c>
      <c r="EB62" s="591">
        <v>0</v>
      </c>
      <c r="EC62" s="591">
        <v>1.2070000000000001</v>
      </c>
      <c r="ED62" s="591">
        <v>8549</v>
      </c>
      <c r="EE62" s="591">
        <v>0</v>
      </c>
      <c r="EF62" s="591">
        <v>0</v>
      </c>
      <c r="EG62" s="591">
        <v>0</v>
      </c>
      <c r="EH62" s="591">
        <v>0</v>
      </c>
      <c r="EI62" s="591">
        <v>0</v>
      </c>
      <c r="EJ62" s="591">
        <v>0</v>
      </c>
      <c r="EK62" s="591">
        <v>0</v>
      </c>
      <c r="EL62" s="591">
        <v>0</v>
      </c>
      <c r="EM62" s="591">
        <v>0</v>
      </c>
      <c r="EN62" s="591">
        <v>0</v>
      </c>
      <c r="EO62" s="591">
        <v>0</v>
      </c>
      <c r="EP62" s="591">
        <v>0</v>
      </c>
      <c r="EQ62" s="591">
        <v>0</v>
      </c>
      <c r="ER62" s="591">
        <v>0</v>
      </c>
      <c r="ES62" s="591">
        <v>0</v>
      </c>
      <c r="ET62" s="591">
        <v>0</v>
      </c>
      <c r="EU62" s="591">
        <v>0</v>
      </c>
      <c r="EV62" s="591">
        <v>0</v>
      </c>
      <c r="EW62" s="591">
        <v>0</v>
      </c>
      <c r="EX62" s="591">
        <v>0</v>
      </c>
      <c r="EY62" s="591">
        <v>0</v>
      </c>
      <c r="EZ62" s="591">
        <v>4000133</v>
      </c>
      <c r="FA62" s="591">
        <v>0</v>
      </c>
      <c r="FB62" s="591">
        <v>4193548</v>
      </c>
      <c r="FC62" s="591">
        <v>0</v>
      </c>
      <c r="FD62" s="591">
        <v>0</v>
      </c>
      <c r="FE62" s="591">
        <v>433907</v>
      </c>
      <c r="FF62" s="591">
        <v>88506</v>
      </c>
      <c r="FG62" s="591">
        <v>6.4728999999999995E-2</v>
      </c>
      <c r="FH62" s="591">
        <v>2.6405999999999999E-2</v>
      </c>
      <c r="FI62" s="591">
        <v>0</v>
      </c>
      <c r="FJ62" s="591">
        <v>0</v>
      </c>
      <c r="FK62" s="591">
        <v>680.13800000000003</v>
      </c>
      <c r="FL62" s="591">
        <v>4798813</v>
      </c>
      <c r="FM62" s="591">
        <v>0</v>
      </c>
      <c r="FN62" s="591">
        <v>0</v>
      </c>
      <c r="FO62" s="591">
        <v>0</v>
      </c>
      <c r="FP62" s="591">
        <v>0</v>
      </c>
      <c r="FQ62" s="591">
        <v>0</v>
      </c>
      <c r="FR62" s="591">
        <v>0</v>
      </c>
      <c r="FS62" s="591">
        <v>0</v>
      </c>
      <c r="FT62" s="591">
        <v>0</v>
      </c>
      <c r="FU62" s="591">
        <v>0</v>
      </c>
      <c r="FV62" s="591">
        <v>0</v>
      </c>
      <c r="FW62" s="591">
        <v>0</v>
      </c>
      <c r="FX62" s="591">
        <v>0</v>
      </c>
      <c r="FY62" s="591">
        <v>0</v>
      </c>
      <c r="FZ62" s="591">
        <v>0</v>
      </c>
      <c r="GA62" s="591">
        <v>0</v>
      </c>
      <c r="GB62" s="591">
        <v>990188</v>
      </c>
      <c r="GC62" s="591">
        <v>990188</v>
      </c>
      <c r="GD62" s="591">
        <v>119.08800000000001</v>
      </c>
      <c r="GE62" s="591">
        <v>0</v>
      </c>
      <c r="GF62" s="591">
        <v>0</v>
      </c>
      <c r="GG62" s="591">
        <v>0</v>
      </c>
      <c r="GH62" s="591">
        <v>0</v>
      </c>
      <c r="GI62" s="591">
        <v>0</v>
      </c>
      <c r="GJ62" s="591">
        <v>0</v>
      </c>
      <c r="GK62" s="591">
        <v>0</v>
      </c>
      <c r="GL62" s="591">
        <v>0</v>
      </c>
      <c r="GM62" s="591">
        <v>0</v>
      </c>
      <c r="GN62" s="591">
        <v>0</v>
      </c>
      <c r="GO62" s="591">
        <v>0</v>
      </c>
      <c r="GP62" s="591">
        <v>0</v>
      </c>
      <c r="GQ62" s="591">
        <v>0</v>
      </c>
      <c r="GR62" s="591">
        <v>0</v>
      </c>
      <c r="GS62" s="591">
        <v>0</v>
      </c>
      <c r="GT62" s="591">
        <v>0</v>
      </c>
      <c r="GU62" s="591">
        <v>0</v>
      </c>
      <c r="GV62" s="591">
        <v>0</v>
      </c>
      <c r="GW62" s="591">
        <v>0</v>
      </c>
      <c r="GX62" s="591">
        <v>0</v>
      </c>
      <c r="GY62" s="591">
        <v>0</v>
      </c>
      <c r="GZ62" s="591">
        <v>0</v>
      </c>
      <c r="HA62" s="591">
        <v>0</v>
      </c>
      <c r="HB62" s="591">
        <v>260009272</v>
      </c>
      <c r="HC62" s="591">
        <v>5.1774999999999995E-2</v>
      </c>
      <c r="HD62" s="591">
        <v>82852</v>
      </c>
      <c r="HE62" s="591">
        <v>0</v>
      </c>
      <c r="HF62" s="591">
        <v>371599</v>
      </c>
      <c r="HG62" s="591">
        <v>0</v>
      </c>
      <c r="HH62" s="591">
        <v>0</v>
      </c>
      <c r="HI62" s="591">
        <v>0</v>
      </c>
      <c r="HJ62" s="591">
        <v>4444</v>
      </c>
      <c r="HK62" s="591">
        <v>0</v>
      </c>
      <c r="HL62" s="591">
        <v>4617</v>
      </c>
      <c r="HM62" s="591">
        <v>582000</v>
      </c>
      <c r="HN62" s="591">
        <v>0</v>
      </c>
      <c r="HO62" s="591">
        <v>0</v>
      </c>
      <c r="HP62" s="591">
        <v>0</v>
      </c>
      <c r="HQ62" s="591">
        <v>0</v>
      </c>
      <c r="HR62" s="591">
        <v>0</v>
      </c>
      <c r="HS62" s="591">
        <v>4000040</v>
      </c>
      <c r="HT62" s="591">
        <v>0</v>
      </c>
      <c r="HU62" s="591">
        <v>0</v>
      </c>
      <c r="HV62" s="591">
        <v>0</v>
      </c>
      <c r="HW62" s="591">
        <v>0</v>
      </c>
      <c r="HX62" s="591">
        <v>29</v>
      </c>
      <c r="HY62" s="591">
        <v>11</v>
      </c>
      <c r="HZ62" s="591">
        <v>13</v>
      </c>
      <c r="IA62" s="591">
        <v>13</v>
      </c>
      <c r="IB62" s="591">
        <v>19</v>
      </c>
      <c r="IC62" s="591">
        <v>57</v>
      </c>
      <c r="ID62" s="591">
        <v>0</v>
      </c>
      <c r="IE62" s="591">
        <v>0</v>
      </c>
      <c r="IF62" s="591">
        <v>0</v>
      </c>
      <c r="IG62" s="591">
        <v>0</v>
      </c>
      <c r="IH62" s="591">
        <v>0</v>
      </c>
      <c r="II62" s="591">
        <v>0</v>
      </c>
      <c r="IJ62" s="591">
        <v>32.812000000000005</v>
      </c>
      <c r="IK62" s="591">
        <v>0</v>
      </c>
      <c r="IL62" s="591">
        <v>44</v>
      </c>
      <c r="IM62" s="591">
        <v>120</v>
      </c>
      <c r="IN62" s="591">
        <v>1</v>
      </c>
      <c r="IO62" s="591">
        <v>165</v>
      </c>
      <c r="IP62" s="591">
        <v>0</v>
      </c>
      <c r="IQ62" s="591">
        <v>32.812000000000005</v>
      </c>
      <c r="IR62" s="591">
        <v>20209</v>
      </c>
      <c r="IS62" s="591">
        <v>0</v>
      </c>
      <c r="IT62" s="591">
        <v>220000</v>
      </c>
      <c r="IU62" s="591">
        <v>360000</v>
      </c>
      <c r="IV62" s="591">
        <v>2000</v>
      </c>
      <c r="IW62" s="591">
        <v>6159</v>
      </c>
      <c r="IX62" s="591">
        <v>0</v>
      </c>
      <c r="IY62" s="591">
        <v>0</v>
      </c>
      <c r="IZ62" s="591">
        <v>0</v>
      </c>
      <c r="JA62" s="591">
        <v>0</v>
      </c>
      <c r="JB62" s="591">
        <v>0</v>
      </c>
      <c r="JC62" s="591">
        <v>0</v>
      </c>
      <c r="JD62" s="591">
        <v>0</v>
      </c>
      <c r="JE62" s="591">
        <v>0</v>
      </c>
      <c r="JF62" s="591">
        <v>0</v>
      </c>
      <c r="JG62" s="591">
        <v>0</v>
      </c>
      <c r="JH62" s="591">
        <v>0</v>
      </c>
      <c r="JI62" s="591">
        <v>0</v>
      </c>
      <c r="JJ62" s="591">
        <v>0</v>
      </c>
      <c r="JK62" s="591">
        <v>0</v>
      </c>
      <c r="JL62" s="591">
        <v>0</v>
      </c>
      <c r="JM62" s="591">
        <v>0</v>
      </c>
      <c r="JN62" s="591">
        <v>32469</v>
      </c>
    </row>
    <row r="63" spans="1:274" x14ac:dyDescent="0.25">
      <c r="A63" s="591">
        <v>32570</v>
      </c>
      <c r="B63" s="591">
        <v>57841</v>
      </c>
      <c r="C63" s="591">
        <v>9</v>
      </c>
      <c r="D63" s="591">
        <v>2022</v>
      </c>
      <c r="E63" s="591">
        <v>6159</v>
      </c>
      <c r="F63" s="591">
        <v>0</v>
      </c>
      <c r="G63" s="591">
        <v>1000.183</v>
      </c>
      <c r="H63" s="591">
        <v>989.74200000000008</v>
      </c>
      <c r="I63" s="591">
        <v>989.74200000000008</v>
      </c>
      <c r="J63" s="591">
        <v>1000.183</v>
      </c>
      <c r="K63" s="591">
        <v>0</v>
      </c>
      <c r="L63" s="591">
        <v>6159</v>
      </c>
      <c r="M63" s="591">
        <v>0</v>
      </c>
      <c r="N63" s="591">
        <v>0</v>
      </c>
      <c r="O63" s="591">
        <v>0</v>
      </c>
      <c r="P63" s="591">
        <v>975.01600000000008</v>
      </c>
      <c r="Q63" s="591">
        <v>0</v>
      </c>
      <c r="R63" s="591">
        <v>392374</v>
      </c>
      <c r="S63" s="591">
        <v>402.428</v>
      </c>
      <c r="T63" s="591">
        <v>0</v>
      </c>
      <c r="U63" s="591">
        <v>0</v>
      </c>
      <c r="V63" s="591">
        <v>426.58300000000003</v>
      </c>
      <c r="W63" s="591">
        <v>451142</v>
      </c>
      <c r="X63" s="591">
        <v>451142</v>
      </c>
      <c r="Y63" s="591">
        <v>0</v>
      </c>
      <c r="Z63" s="591">
        <v>0</v>
      </c>
      <c r="AA63" s="591">
        <v>0</v>
      </c>
      <c r="AB63" s="591">
        <v>0</v>
      </c>
      <c r="AC63" s="591">
        <v>0</v>
      </c>
      <c r="AD63" s="591" t="s">
        <v>316</v>
      </c>
      <c r="AE63" s="591">
        <v>0</v>
      </c>
      <c r="AF63" s="591">
        <v>0</v>
      </c>
      <c r="AG63" s="591">
        <v>0</v>
      </c>
      <c r="AH63" s="591">
        <v>0</v>
      </c>
      <c r="AI63" s="591">
        <v>0</v>
      </c>
      <c r="AJ63" s="591">
        <v>6159</v>
      </c>
      <c r="AK63" s="591" t="s">
        <v>671</v>
      </c>
      <c r="AL63" s="591" t="s">
        <v>331</v>
      </c>
      <c r="AM63" s="591">
        <v>0</v>
      </c>
      <c r="AN63" s="591">
        <v>0</v>
      </c>
      <c r="AO63" s="591">
        <v>0</v>
      </c>
      <c r="AP63" s="591">
        <v>0</v>
      </c>
      <c r="AQ63" s="591">
        <v>0</v>
      </c>
      <c r="AR63" s="591">
        <v>0</v>
      </c>
      <c r="AS63" s="591">
        <v>0</v>
      </c>
      <c r="AT63" s="591">
        <v>0</v>
      </c>
      <c r="AU63" s="591">
        <v>0</v>
      </c>
      <c r="AV63" s="591">
        <v>0</v>
      </c>
      <c r="AW63" s="591">
        <v>11307563</v>
      </c>
      <c r="AX63" s="591">
        <v>11127920</v>
      </c>
      <c r="AY63" s="591">
        <v>0</v>
      </c>
      <c r="AZ63" s="591">
        <v>392374</v>
      </c>
      <c r="BA63" s="591">
        <v>0</v>
      </c>
      <c r="BB63" s="591">
        <v>0</v>
      </c>
      <c r="BC63" s="591">
        <v>0</v>
      </c>
      <c r="BD63" s="591">
        <v>0</v>
      </c>
      <c r="BE63" s="591">
        <v>147</v>
      </c>
      <c r="BF63" s="591">
        <v>10242903</v>
      </c>
      <c r="BG63" s="591">
        <v>0</v>
      </c>
      <c r="BH63" s="591">
        <v>0</v>
      </c>
      <c r="BI63" s="591">
        <v>0</v>
      </c>
      <c r="BJ63" s="591">
        <v>12</v>
      </c>
      <c r="BK63" s="591">
        <v>0</v>
      </c>
      <c r="BL63" s="591">
        <v>0</v>
      </c>
      <c r="BM63" s="591">
        <v>0</v>
      </c>
      <c r="BN63" s="591">
        <v>0</v>
      </c>
      <c r="BO63" s="591">
        <v>0</v>
      </c>
      <c r="BP63" s="591">
        <v>0</v>
      </c>
      <c r="BQ63" s="591">
        <v>617</v>
      </c>
      <c r="BR63" s="591">
        <v>0</v>
      </c>
      <c r="BS63" s="591">
        <v>0</v>
      </c>
      <c r="BT63" s="591">
        <v>0</v>
      </c>
      <c r="BU63" s="591">
        <v>0</v>
      </c>
      <c r="BV63" s="591">
        <v>0</v>
      </c>
      <c r="BW63" s="591">
        <v>0</v>
      </c>
      <c r="BX63" s="591">
        <v>0</v>
      </c>
      <c r="BY63" s="591">
        <v>0</v>
      </c>
      <c r="BZ63" s="591">
        <v>0</v>
      </c>
      <c r="CA63" s="591">
        <v>0</v>
      </c>
      <c r="CB63" s="591">
        <v>0</v>
      </c>
      <c r="CC63" s="591">
        <v>0</v>
      </c>
      <c r="CD63" s="591">
        <v>0</v>
      </c>
      <c r="CE63" s="591">
        <v>0</v>
      </c>
      <c r="CF63" s="591">
        <v>0</v>
      </c>
      <c r="CG63" s="591">
        <v>0</v>
      </c>
      <c r="CH63" s="591">
        <v>181244</v>
      </c>
      <c r="CI63" s="591">
        <v>0</v>
      </c>
      <c r="CJ63" s="591">
        <v>4</v>
      </c>
      <c r="CK63" s="591">
        <v>0</v>
      </c>
      <c r="CL63" s="591">
        <v>0</v>
      </c>
      <c r="CM63" s="591">
        <v>0</v>
      </c>
      <c r="CN63" s="591">
        <v>0</v>
      </c>
      <c r="CO63" s="591">
        <v>1</v>
      </c>
      <c r="CP63" s="591">
        <v>0</v>
      </c>
      <c r="CQ63" s="591">
        <v>0</v>
      </c>
      <c r="CR63" s="591">
        <v>1000.183</v>
      </c>
      <c r="CS63" s="591">
        <v>0</v>
      </c>
      <c r="CT63" s="591">
        <v>0</v>
      </c>
      <c r="CU63" s="591">
        <v>0</v>
      </c>
      <c r="CV63" s="591">
        <v>0</v>
      </c>
      <c r="CW63" s="591">
        <v>0</v>
      </c>
      <c r="CX63" s="591">
        <v>0</v>
      </c>
      <c r="CY63" s="591">
        <v>0</v>
      </c>
      <c r="CZ63" s="591">
        <v>0</v>
      </c>
      <c r="DA63" s="591">
        <v>0</v>
      </c>
      <c r="DB63" s="591">
        <v>6095903</v>
      </c>
      <c r="DC63" s="591">
        <v>0</v>
      </c>
      <c r="DD63" s="591">
        <v>0</v>
      </c>
      <c r="DE63" s="591">
        <v>1714920</v>
      </c>
      <c r="DF63" s="591">
        <v>1714920</v>
      </c>
      <c r="DG63" s="591">
        <v>278.43799999999999</v>
      </c>
      <c r="DH63" s="591">
        <v>0</v>
      </c>
      <c r="DI63" s="591">
        <v>0</v>
      </c>
      <c r="DJ63" s="591">
        <v>0</v>
      </c>
      <c r="DK63" s="591">
        <v>1503</v>
      </c>
      <c r="DL63" s="591">
        <v>0</v>
      </c>
      <c r="DM63" s="591">
        <v>381118</v>
      </c>
      <c r="DN63" s="591">
        <v>1454</v>
      </c>
      <c r="DO63" s="591">
        <v>0</v>
      </c>
      <c r="DP63" s="591">
        <v>0</v>
      </c>
      <c r="DQ63" s="591">
        <v>0</v>
      </c>
      <c r="DR63" s="591">
        <v>0</v>
      </c>
      <c r="DS63" s="591">
        <v>0</v>
      </c>
      <c r="DT63" s="591">
        <v>0</v>
      </c>
      <c r="DU63" s="591">
        <v>0</v>
      </c>
      <c r="DV63" s="591">
        <v>0</v>
      </c>
      <c r="DW63" s="591">
        <v>0</v>
      </c>
      <c r="DX63" s="591">
        <v>0</v>
      </c>
      <c r="DY63" s="591">
        <v>0</v>
      </c>
      <c r="DZ63" s="591">
        <v>0</v>
      </c>
      <c r="EA63" s="591">
        <v>0</v>
      </c>
      <c r="EB63" s="591">
        <v>0</v>
      </c>
      <c r="EC63" s="591">
        <v>24.167000000000002</v>
      </c>
      <c r="ED63" s="591">
        <v>171174</v>
      </c>
      <c r="EE63" s="591">
        <v>0</v>
      </c>
      <c r="EF63" s="591">
        <v>0</v>
      </c>
      <c r="EG63" s="591">
        <v>0</v>
      </c>
      <c r="EH63" s="591">
        <v>211398</v>
      </c>
      <c r="EI63" s="591">
        <v>0</v>
      </c>
      <c r="EJ63" s="591">
        <v>0</v>
      </c>
      <c r="EK63" s="591">
        <v>8.9410000000000007</v>
      </c>
      <c r="EL63" s="591">
        <v>0</v>
      </c>
      <c r="EM63" s="591">
        <v>0</v>
      </c>
      <c r="EN63" s="591">
        <v>1.5</v>
      </c>
      <c r="EO63" s="591">
        <v>0</v>
      </c>
      <c r="EP63" s="591">
        <v>0</v>
      </c>
      <c r="EQ63" s="591">
        <v>10.441000000000001</v>
      </c>
      <c r="ER63" s="591">
        <v>0</v>
      </c>
      <c r="ES63" s="591">
        <v>34.323</v>
      </c>
      <c r="ET63" s="591">
        <v>0</v>
      </c>
      <c r="EU63" s="591">
        <v>0</v>
      </c>
      <c r="EV63" s="591">
        <v>0</v>
      </c>
      <c r="EW63" s="591">
        <v>0</v>
      </c>
      <c r="EX63" s="591">
        <v>0</v>
      </c>
      <c r="EY63" s="591">
        <v>0</v>
      </c>
      <c r="EZ63" s="591">
        <v>9850529</v>
      </c>
      <c r="FA63" s="591">
        <v>0</v>
      </c>
      <c r="FB63" s="591">
        <v>10241302</v>
      </c>
      <c r="FC63" s="591">
        <v>0</v>
      </c>
      <c r="FD63" s="591">
        <v>0</v>
      </c>
      <c r="FE63" s="591">
        <v>1060979</v>
      </c>
      <c r="FF63" s="591">
        <v>216412</v>
      </c>
      <c r="FG63" s="591">
        <v>6.4728999999999995E-2</v>
      </c>
      <c r="FH63" s="591">
        <v>2.6405999999999999E-2</v>
      </c>
      <c r="FI63" s="591">
        <v>0</v>
      </c>
      <c r="FJ63" s="591">
        <v>0</v>
      </c>
      <c r="FK63" s="591">
        <v>1663.057</v>
      </c>
      <c r="FL63" s="591">
        <v>11699937</v>
      </c>
      <c r="FM63" s="591">
        <v>0</v>
      </c>
      <c r="FN63" s="591">
        <v>0</v>
      </c>
      <c r="FO63" s="591">
        <v>0</v>
      </c>
      <c r="FP63" s="591">
        <v>0</v>
      </c>
      <c r="FQ63" s="591">
        <v>0</v>
      </c>
      <c r="FR63" s="591">
        <v>0</v>
      </c>
      <c r="FS63" s="591">
        <v>0</v>
      </c>
      <c r="FT63" s="591">
        <v>0</v>
      </c>
      <c r="FU63" s="591">
        <v>0</v>
      </c>
      <c r="FV63" s="591">
        <v>0</v>
      </c>
      <c r="FW63" s="591">
        <v>0</v>
      </c>
      <c r="FX63" s="591">
        <v>0</v>
      </c>
      <c r="FY63" s="591">
        <v>0</v>
      </c>
      <c r="FZ63" s="591">
        <v>0</v>
      </c>
      <c r="GA63" s="591">
        <v>0</v>
      </c>
      <c r="GB63" s="591">
        <v>0</v>
      </c>
      <c r="GC63" s="591">
        <v>0</v>
      </c>
      <c r="GD63" s="591">
        <v>0</v>
      </c>
      <c r="GE63" s="591">
        <v>0</v>
      </c>
      <c r="GF63" s="591">
        <v>0</v>
      </c>
      <c r="GG63" s="591">
        <v>0</v>
      </c>
      <c r="GH63" s="591">
        <v>0</v>
      </c>
      <c r="GI63" s="591">
        <v>0</v>
      </c>
      <c r="GJ63" s="591">
        <v>0</v>
      </c>
      <c r="GK63" s="591">
        <v>0</v>
      </c>
      <c r="GL63" s="591">
        <v>0</v>
      </c>
      <c r="GM63" s="591">
        <v>0</v>
      </c>
      <c r="GN63" s="591">
        <v>0</v>
      </c>
      <c r="GO63" s="591">
        <v>0</v>
      </c>
      <c r="GP63" s="591">
        <v>0</v>
      </c>
      <c r="GQ63" s="591">
        <v>0</v>
      </c>
      <c r="GR63" s="591">
        <v>0</v>
      </c>
      <c r="GS63" s="591">
        <v>0</v>
      </c>
      <c r="GT63" s="591">
        <v>0</v>
      </c>
      <c r="GU63" s="591">
        <v>0</v>
      </c>
      <c r="GV63" s="591">
        <v>0</v>
      </c>
      <c r="GW63" s="591">
        <v>0</v>
      </c>
      <c r="GX63" s="591">
        <v>0</v>
      </c>
      <c r="GY63" s="591">
        <v>0</v>
      </c>
      <c r="GZ63" s="591">
        <v>0</v>
      </c>
      <c r="HA63" s="591">
        <v>0</v>
      </c>
      <c r="HB63" s="591">
        <v>260009272</v>
      </c>
      <c r="HC63" s="591">
        <v>5.1774999999999995E-2</v>
      </c>
      <c r="HD63" s="591">
        <v>181244</v>
      </c>
      <c r="HE63" s="591">
        <v>0</v>
      </c>
      <c r="HF63" s="591">
        <v>1087726</v>
      </c>
      <c r="HG63" s="591">
        <v>24636</v>
      </c>
      <c r="HH63" s="591">
        <v>476282</v>
      </c>
      <c r="HI63" s="591">
        <v>0</v>
      </c>
      <c r="HJ63" s="591">
        <v>9722</v>
      </c>
      <c r="HK63" s="591">
        <v>0</v>
      </c>
      <c r="HL63" s="591">
        <v>0</v>
      </c>
      <c r="HM63" s="591">
        <v>0</v>
      </c>
      <c r="HN63" s="591">
        <v>0</v>
      </c>
      <c r="HO63" s="591">
        <v>0</v>
      </c>
      <c r="HP63" s="591">
        <v>0</v>
      </c>
      <c r="HQ63" s="591">
        <v>0</v>
      </c>
      <c r="HR63" s="591">
        <v>0</v>
      </c>
      <c r="HS63" s="591">
        <v>9848928</v>
      </c>
      <c r="HT63" s="591">
        <v>0</v>
      </c>
      <c r="HU63" s="591">
        <v>0</v>
      </c>
      <c r="HV63" s="591">
        <v>0</v>
      </c>
      <c r="HW63" s="591">
        <v>0</v>
      </c>
      <c r="HX63" s="591">
        <v>108</v>
      </c>
      <c r="HY63" s="591">
        <v>126</v>
      </c>
      <c r="HZ63" s="591">
        <v>217</v>
      </c>
      <c r="IA63" s="591">
        <v>263</v>
      </c>
      <c r="IB63" s="591">
        <v>367</v>
      </c>
      <c r="IC63" s="591">
        <v>1081</v>
      </c>
      <c r="ID63" s="591">
        <v>0</v>
      </c>
      <c r="IE63" s="591">
        <v>174.8</v>
      </c>
      <c r="IF63" s="591">
        <v>87.4</v>
      </c>
      <c r="IG63" s="591">
        <v>40</v>
      </c>
      <c r="IH63" s="591">
        <v>773.30000000000007</v>
      </c>
      <c r="II63" s="591">
        <v>0</v>
      </c>
      <c r="IJ63" s="591">
        <v>688.78300000000002</v>
      </c>
      <c r="IK63" s="591">
        <v>0</v>
      </c>
      <c r="IL63" s="591">
        <v>0</v>
      </c>
      <c r="IM63" s="591">
        <v>0</v>
      </c>
      <c r="IN63" s="591">
        <v>0</v>
      </c>
      <c r="IO63" s="591">
        <v>0</v>
      </c>
      <c r="IP63" s="591">
        <v>0</v>
      </c>
      <c r="IQ63" s="591">
        <v>426.58300000000003</v>
      </c>
      <c r="IR63" s="591">
        <v>262736</v>
      </c>
      <c r="IS63" s="591">
        <v>0</v>
      </c>
      <c r="IT63" s="591">
        <v>0</v>
      </c>
      <c r="IU63" s="591">
        <v>0</v>
      </c>
      <c r="IV63" s="591">
        <v>0</v>
      </c>
      <c r="IW63" s="591">
        <v>6159</v>
      </c>
      <c r="IX63" s="591">
        <v>161491</v>
      </c>
      <c r="IY63" s="591">
        <v>26915</v>
      </c>
      <c r="IZ63" s="591">
        <v>0</v>
      </c>
      <c r="JA63" s="591">
        <v>0</v>
      </c>
      <c r="JB63" s="591">
        <v>0</v>
      </c>
      <c r="JC63" s="591">
        <v>0</v>
      </c>
      <c r="JD63" s="591">
        <v>0</v>
      </c>
      <c r="JE63" s="591">
        <v>0</v>
      </c>
      <c r="JF63" s="591">
        <v>0</v>
      </c>
      <c r="JG63" s="591">
        <v>0</v>
      </c>
      <c r="JH63" s="591">
        <v>0</v>
      </c>
      <c r="JI63" s="591">
        <v>0</v>
      </c>
      <c r="JJ63" s="591">
        <v>0</v>
      </c>
      <c r="JK63" s="591">
        <v>0</v>
      </c>
      <c r="JL63" s="591">
        <v>0</v>
      </c>
      <c r="JM63" s="591">
        <v>0</v>
      </c>
      <c r="JN63" s="591">
        <v>32469</v>
      </c>
    </row>
    <row r="64" spans="1:274" x14ac:dyDescent="0.25">
      <c r="A64" s="591">
        <v>32570</v>
      </c>
      <c r="B64" s="591">
        <v>57844</v>
      </c>
      <c r="C64" s="591">
        <v>9</v>
      </c>
      <c r="D64" s="591">
        <v>2022</v>
      </c>
      <c r="E64" s="591">
        <v>6159</v>
      </c>
      <c r="F64" s="591">
        <v>0</v>
      </c>
      <c r="G64" s="591">
        <v>598.26200000000006</v>
      </c>
      <c r="H64" s="591">
        <v>572.90300000000002</v>
      </c>
      <c r="I64" s="591">
        <v>572.90300000000002</v>
      </c>
      <c r="J64" s="591">
        <v>598.26200000000006</v>
      </c>
      <c r="K64" s="591">
        <v>0</v>
      </c>
      <c r="L64" s="591">
        <v>6159</v>
      </c>
      <c r="M64" s="591">
        <v>0</v>
      </c>
      <c r="N64" s="591">
        <v>0</v>
      </c>
      <c r="O64" s="591">
        <v>0</v>
      </c>
      <c r="P64" s="591">
        <v>594.53100000000006</v>
      </c>
      <c r="Q64" s="591">
        <v>0</v>
      </c>
      <c r="R64" s="591">
        <v>239256</v>
      </c>
      <c r="S64" s="591">
        <v>402.428</v>
      </c>
      <c r="T64" s="591">
        <v>0</v>
      </c>
      <c r="U64" s="591">
        <v>0</v>
      </c>
      <c r="V64" s="591">
        <v>221.90200000000002</v>
      </c>
      <c r="W64" s="591">
        <v>136671</v>
      </c>
      <c r="X64" s="591">
        <v>136671</v>
      </c>
      <c r="Y64" s="591">
        <v>0</v>
      </c>
      <c r="Z64" s="591">
        <v>0</v>
      </c>
      <c r="AA64" s="591">
        <v>0</v>
      </c>
      <c r="AB64" s="591">
        <v>0</v>
      </c>
      <c r="AC64" s="591">
        <v>0</v>
      </c>
      <c r="AD64" s="591" t="s">
        <v>316</v>
      </c>
      <c r="AE64" s="591">
        <v>0</v>
      </c>
      <c r="AF64" s="591">
        <v>0</v>
      </c>
      <c r="AG64" s="591">
        <v>0</v>
      </c>
      <c r="AH64" s="591">
        <v>0</v>
      </c>
      <c r="AI64" s="591">
        <v>0</v>
      </c>
      <c r="AJ64" s="591">
        <v>6159</v>
      </c>
      <c r="AK64" s="591" t="s">
        <v>671</v>
      </c>
      <c r="AL64" s="591" t="s">
        <v>332</v>
      </c>
      <c r="AM64" s="591">
        <v>0</v>
      </c>
      <c r="AN64" s="591">
        <v>0</v>
      </c>
      <c r="AO64" s="591">
        <v>0</v>
      </c>
      <c r="AP64" s="591">
        <v>0</v>
      </c>
      <c r="AQ64" s="591">
        <v>0</v>
      </c>
      <c r="AR64" s="591">
        <v>0</v>
      </c>
      <c r="AS64" s="591">
        <v>0</v>
      </c>
      <c r="AT64" s="591">
        <v>0</v>
      </c>
      <c r="AU64" s="591">
        <v>0</v>
      </c>
      <c r="AV64" s="591">
        <v>0</v>
      </c>
      <c r="AW64" s="591">
        <v>6228366</v>
      </c>
      <c r="AX64" s="591">
        <v>6121310</v>
      </c>
      <c r="AY64" s="591">
        <v>0</v>
      </c>
      <c r="AZ64" s="591">
        <v>239256</v>
      </c>
      <c r="BA64" s="591">
        <v>0</v>
      </c>
      <c r="BB64" s="591">
        <v>0</v>
      </c>
      <c r="BC64" s="591">
        <v>0</v>
      </c>
      <c r="BD64" s="591">
        <v>0</v>
      </c>
      <c r="BE64" s="591">
        <v>82</v>
      </c>
      <c r="BF64" s="591">
        <v>5567089</v>
      </c>
      <c r="BG64" s="591">
        <v>0</v>
      </c>
      <c r="BH64" s="591">
        <v>0</v>
      </c>
      <c r="BI64" s="591">
        <v>0</v>
      </c>
      <c r="BJ64" s="591">
        <v>12</v>
      </c>
      <c r="BK64" s="591">
        <v>0</v>
      </c>
      <c r="BL64" s="591">
        <v>0</v>
      </c>
      <c r="BM64" s="591">
        <v>0</v>
      </c>
      <c r="BN64" s="591">
        <v>0</v>
      </c>
      <c r="BO64" s="591">
        <v>0</v>
      </c>
      <c r="BP64" s="591">
        <v>0</v>
      </c>
      <c r="BQ64" s="591">
        <v>682</v>
      </c>
      <c r="BR64" s="591">
        <v>0</v>
      </c>
      <c r="BS64" s="591">
        <v>0</v>
      </c>
      <c r="BT64" s="591">
        <v>0</v>
      </c>
      <c r="BU64" s="591">
        <v>0</v>
      </c>
      <c r="BV64" s="591">
        <v>0</v>
      </c>
      <c r="BW64" s="591">
        <v>0</v>
      </c>
      <c r="BX64" s="591">
        <v>0</v>
      </c>
      <c r="BY64" s="591">
        <v>0</v>
      </c>
      <c r="BZ64" s="591">
        <v>0</v>
      </c>
      <c r="CA64" s="591">
        <v>0</v>
      </c>
      <c r="CB64" s="591">
        <v>0</v>
      </c>
      <c r="CC64" s="591">
        <v>0</v>
      </c>
      <c r="CD64" s="591">
        <v>0</v>
      </c>
      <c r="CE64" s="591">
        <v>0</v>
      </c>
      <c r="CF64" s="591">
        <v>0</v>
      </c>
      <c r="CG64" s="591">
        <v>0</v>
      </c>
      <c r="CH64" s="591">
        <v>108412</v>
      </c>
      <c r="CI64" s="591">
        <v>0</v>
      </c>
      <c r="CJ64" s="591">
        <v>4</v>
      </c>
      <c r="CK64" s="591">
        <v>0</v>
      </c>
      <c r="CL64" s="591">
        <v>0</v>
      </c>
      <c r="CM64" s="591">
        <v>0</v>
      </c>
      <c r="CN64" s="591">
        <v>0</v>
      </c>
      <c r="CO64" s="591">
        <v>1</v>
      </c>
      <c r="CP64" s="591">
        <v>0</v>
      </c>
      <c r="CQ64" s="591">
        <v>0</v>
      </c>
      <c r="CR64" s="591">
        <v>598.26200000000006</v>
      </c>
      <c r="CS64" s="591">
        <v>0</v>
      </c>
      <c r="CT64" s="591">
        <v>0</v>
      </c>
      <c r="CU64" s="591">
        <v>0</v>
      </c>
      <c r="CV64" s="591">
        <v>0</v>
      </c>
      <c r="CW64" s="591">
        <v>0</v>
      </c>
      <c r="CX64" s="591">
        <v>0</v>
      </c>
      <c r="CY64" s="591">
        <v>0</v>
      </c>
      <c r="CZ64" s="591">
        <v>0</v>
      </c>
      <c r="DA64" s="591">
        <v>0</v>
      </c>
      <c r="DB64" s="591">
        <v>3429299</v>
      </c>
      <c r="DC64" s="591">
        <v>0</v>
      </c>
      <c r="DD64" s="591">
        <v>0</v>
      </c>
      <c r="DE64" s="591">
        <v>663410</v>
      </c>
      <c r="DF64" s="591">
        <v>663410</v>
      </c>
      <c r="DG64" s="591">
        <v>107.71300000000001</v>
      </c>
      <c r="DH64" s="591">
        <v>0</v>
      </c>
      <c r="DI64" s="591">
        <v>0</v>
      </c>
      <c r="DJ64" s="591">
        <v>0</v>
      </c>
      <c r="DK64" s="591">
        <v>2530</v>
      </c>
      <c r="DL64" s="591">
        <v>0</v>
      </c>
      <c r="DM64" s="591">
        <v>433221</v>
      </c>
      <c r="DN64" s="591">
        <v>1274</v>
      </c>
      <c r="DO64" s="591">
        <v>0</v>
      </c>
      <c r="DP64" s="591">
        <v>0</v>
      </c>
      <c r="DQ64" s="591">
        <v>0</v>
      </c>
      <c r="DR64" s="591">
        <v>0</v>
      </c>
      <c r="DS64" s="591">
        <v>0</v>
      </c>
      <c r="DT64" s="591">
        <v>0</v>
      </c>
      <c r="DU64" s="591">
        <v>0</v>
      </c>
      <c r="DV64" s="591">
        <v>0</v>
      </c>
      <c r="DW64" s="591">
        <v>0</v>
      </c>
      <c r="DX64" s="591">
        <v>0</v>
      </c>
      <c r="DY64" s="591">
        <v>0</v>
      </c>
      <c r="DZ64" s="591">
        <v>0</v>
      </c>
      <c r="EA64" s="591">
        <v>0</v>
      </c>
      <c r="EB64" s="591">
        <v>0</v>
      </c>
      <c r="EC64" s="591">
        <v>1.8720000000000001</v>
      </c>
      <c r="ED64" s="591">
        <v>13259</v>
      </c>
      <c r="EE64" s="591">
        <v>0</v>
      </c>
      <c r="EF64" s="591">
        <v>0</v>
      </c>
      <c r="EG64" s="591">
        <v>0</v>
      </c>
      <c r="EH64" s="591">
        <v>321978</v>
      </c>
      <c r="EI64" s="591">
        <v>0</v>
      </c>
      <c r="EJ64" s="591">
        <v>0</v>
      </c>
      <c r="EK64" s="591">
        <v>12.585000000000001</v>
      </c>
      <c r="EL64" s="591">
        <v>0</v>
      </c>
      <c r="EM64" s="591">
        <v>3.6440000000000001</v>
      </c>
      <c r="EN64" s="591">
        <v>0.71800000000000008</v>
      </c>
      <c r="EO64" s="591">
        <v>0</v>
      </c>
      <c r="EP64" s="591">
        <v>0</v>
      </c>
      <c r="EQ64" s="591">
        <v>16.946999999999999</v>
      </c>
      <c r="ER64" s="591">
        <v>0</v>
      </c>
      <c r="ES64" s="591">
        <v>52.277000000000001</v>
      </c>
      <c r="ET64" s="591">
        <v>0</v>
      </c>
      <c r="EU64" s="591">
        <v>0</v>
      </c>
      <c r="EV64" s="591">
        <v>0</v>
      </c>
      <c r="EW64" s="591">
        <v>0</v>
      </c>
      <c r="EX64" s="591">
        <v>0</v>
      </c>
      <c r="EY64" s="591">
        <v>0</v>
      </c>
      <c r="EZ64" s="591">
        <v>5427040</v>
      </c>
      <c r="FA64" s="591">
        <v>0</v>
      </c>
      <c r="FB64" s="591">
        <v>5664940</v>
      </c>
      <c r="FC64" s="591">
        <v>0</v>
      </c>
      <c r="FD64" s="591">
        <v>0</v>
      </c>
      <c r="FE64" s="591">
        <v>576649</v>
      </c>
      <c r="FF64" s="591">
        <v>117621</v>
      </c>
      <c r="FG64" s="591">
        <v>6.4728999999999995E-2</v>
      </c>
      <c r="FH64" s="591">
        <v>2.6405999999999999E-2</v>
      </c>
      <c r="FI64" s="591">
        <v>0</v>
      </c>
      <c r="FJ64" s="591">
        <v>0</v>
      </c>
      <c r="FK64" s="591">
        <v>903.88300000000004</v>
      </c>
      <c r="FL64" s="591">
        <v>6467622</v>
      </c>
      <c r="FM64" s="591">
        <v>0</v>
      </c>
      <c r="FN64" s="591">
        <v>0</v>
      </c>
      <c r="FO64" s="591">
        <v>97893</v>
      </c>
      <c r="FP64" s="591">
        <v>0</v>
      </c>
      <c r="FQ64" s="591">
        <v>97893</v>
      </c>
      <c r="FR64" s="591">
        <v>97893</v>
      </c>
      <c r="FS64" s="591">
        <v>0</v>
      </c>
      <c r="FT64" s="591">
        <v>0</v>
      </c>
      <c r="FU64" s="591">
        <v>0</v>
      </c>
      <c r="FV64" s="591">
        <v>0</v>
      </c>
      <c r="FW64" s="591">
        <v>0</v>
      </c>
      <c r="FX64" s="591">
        <v>0</v>
      </c>
      <c r="FY64" s="591">
        <v>0</v>
      </c>
      <c r="FZ64" s="591">
        <v>0</v>
      </c>
      <c r="GA64" s="591">
        <v>0</v>
      </c>
      <c r="GB64" s="591">
        <v>69944</v>
      </c>
      <c r="GC64" s="591">
        <v>69944</v>
      </c>
      <c r="GD64" s="591">
        <v>8.4120000000000008</v>
      </c>
      <c r="GE64" s="591">
        <v>0</v>
      </c>
      <c r="GF64" s="591">
        <v>0</v>
      </c>
      <c r="GG64" s="591">
        <v>0</v>
      </c>
      <c r="GH64" s="591">
        <v>0</v>
      </c>
      <c r="GI64" s="591">
        <v>0</v>
      </c>
      <c r="GJ64" s="591">
        <v>0</v>
      </c>
      <c r="GK64" s="591">
        <v>0</v>
      </c>
      <c r="GL64" s="591">
        <v>0</v>
      </c>
      <c r="GM64" s="591">
        <v>0</v>
      </c>
      <c r="GN64" s="591">
        <v>0</v>
      </c>
      <c r="GO64" s="591">
        <v>0</v>
      </c>
      <c r="GP64" s="591">
        <v>0</v>
      </c>
      <c r="GQ64" s="591">
        <v>0</v>
      </c>
      <c r="GR64" s="591">
        <v>0</v>
      </c>
      <c r="GS64" s="591">
        <v>0</v>
      </c>
      <c r="GT64" s="591">
        <v>0</v>
      </c>
      <c r="GU64" s="591">
        <v>0</v>
      </c>
      <c r="GV64" s="591">
        <v>0</v>
      </c>
      <c r="GW64" s="591">
        <v>0</v>
      </c>
      <c r="GX64" s="591">
        <v>0</v>
      </c>
      <c r="GY64" s="591">
        <v>0</v>
      </c>
      <c r="GZ64" s="591">
        <v>0</v>
      </c>
      <c r="HA64" s="591">
        <v>0</v>
      </c>
      <c r="HB64" s="591">
        <v>260009272</v>
      </c>
      <c r="HC64" s="591">
        <v>5.1774999999999995E-2</v>
      </c>
      <c r="HD64" s="591">
        <v>108412</v>
      </c>
      <c r="HE64" s="591">
        <v>0</v>
      </c>
      <c r="HF64" s="591">
        <v>629620</v>
      </c>
      <c r="HG64" s="591">
        <v>3208</v>
      </c>
      <c r="HH64" s="591">
        <v>194627</v>
      </c>
      <c r="HI64" s="591">
        <v>0</v>
      </c>
      <c r="HJ64" s="591">
        <v>5815</v>
      </c>
      <c r="HK64" s="591">
        <v>1173</v>
      </c>
      <c r="HL64" s="591">
        <v>141</v>
      </c>
      <c r="HM64" s="591">
        <v>0</v>
      </c>
      <c r="HN64" s="591">
        <v>0</v>
      </c>
      <c r="HO64" s="591">
        <v>0</v>
      </c>
      <c r="HP64" s="591">
        <v>0</v>
      </c>
      <c r="HQ64" s="591">
        <v>0</v>
      </c>
      <c r="HR64" s="591">
        <v>0</v>
      </c>
      <c r="HS64" s="591">
        <v>5425684</v>
      </c>
      <c r="HT64" s="591">
        <v>0</v>
      </c>
      <c r="HU64" s="591">
        <v>0</v>
      </c>
      <c r="HV64" s="591">
        <v>0</v>
      </c>
      <c r="HW64" s="591">
        <v>0</v>
      </c>
      <c r="HX64" s="591">
        <v>114</v>
      </c>
      <c r="HY64" s="591">
        <v>80</v>
      </c>
      <c r="HZ64" s="591">
        <v>128</v>
      </c>
      <c r="IA64" s="591">
        <v>67</v>
      </c>
      <c r="IB64" s="591">
        <v>49</v>
      </c>
      <c r="IC64" s="591">
        <v>403</v>
      </c>
      <c r="ID64" s="591">
        <v>0</v>
      </c>
      <c r="IE64" s="591">
        <v>0</v>
      </c>
      <c r="IF64" s="591">
        <v>0</v>
      </c>
      <c r="IG64" s="591">
        <v>5.2080000000000002</v>
      </c>
      <c r="IH64" s="591">
        <v>316</v>
      </c>
      <c r="II64" s="591">
        <v>0</v>
      </c>
      <c r="IJ64" s="591">
        <v>221.90200000000002</v>
      </c>
      <c r="IK64" s="591">
        <v>0</v>
      </c>
      <c r="IL64" s="591">
        <v>0</v>
      </c>
      <c r="IM64" s="591">
        <v>0</v>
      </c>
      <c r="IN64" s="591">
        <v>0</v>
      </c>
      <c r="IO64" s="591">
        <v>0</v>
      </c>
      <c r="IP64" s="591">
        <v>0</v>
      </c>
      <c r="IQ64" s="591">
        <v>221.90200000000002</v>
      </c>
      <c r="IR64" s="591">
        <v>136671</v>
      </c>
      <c r="IS64" s="591">
        <v>0</v>
      </c>
      <c r="IT64" s="591">
        <v>0</v>
      </c>
      <c r="IU64" s="591">
        <v>0</v>
      </c>
      <c r="IV64" s="591">
        <v>0</v>
      </c>
      <c r="IW64" s="591">
        <v>6159</v>
      </c>
      <c r="IX64" s="591">
        <v>0</v>
      </c>
      <c r="IY64" s="591">
        <v>0</v>
      </c>
      <c r="IZ64" s="591">
        <v>0</v>
      </c>
      <c r="JA64" s="591">
        <v>0</v>
      </c>
      <c r="JB64" s="591">
        <v>0</v>
      </c>
      <c r="JC64" s="591">
        <v>0</v>
      </c>
      <c r="JD64" s="591">
        <v>0</v>
      </c>
      <c r="JE64" s="591">
        <v>0</v>
      </c>
      <c r="JF64" s="591">
        <v>0</v>
      </c>
      <c r="JG64" s="591">
        <v>0</v>
      </c>
      <c r="JH64" s="591">
        <v>0</v>
      </c>
      <c r="JI64" s="591">
        <v>0</v>
      </c>
      <c r="JJ64" s="591">
        <v>0</v>
      </c>
      <c r="JK64" s="591">
        <v>0</v>
      </c>
      <c r="JL64" s="591">
        <v>0</v>
      </c>
      <c r="JM64" s="591">
        <v>0</v>
      </c>
      <c r="JN64" s="591">
        <v>32469</v>
      </c>
    </row>
    <row r="65" spans="1:274" x14ac:dyDescent="0.25">
      <c r="A65" s="591">
        <v>32570</v>
      </c>
      <c r="B65" s="591">
        <v>57845</v>
      </c>
      <c r="C65" s="591">
        <v>9</v>
      </c>
      <c r="D65" s="591">
        <v>2022</v>
      </c>
      <c r="E65" s="591">
        <v>6159</v>
      </c>
      <c r="F65" s="591">
        <v>0</v>
      </c>
      <c r="G65" s="591">
        <v>1226.2</v>
      </c>
      <c r="H65" s="591">
        <v>1183.979</v>
      </c>
      <c r="I65" s="591">
        <v>1183.979</v>
      </c>
      <c r="J65" s="591">
        <v>1226.2</v>
      </c>
      <c r="K65" s="591">
        <v>0</v>
      </c>
      <c r="L65" s="591">
        <v>6159</v>
      </c>
      <c r="M65" s="591">
        <v>0</v>
      </c>
      <c r="N65" s="591">
        <v>0</v>
      </c>
      <c r="O65" s="591">
        <v>0</v>
      </c>
      <c r="P65" s="591">
        <v>1217.989</v>
      </c>
      <c r="Q65" s="591">
        <v>0</v>
      </c>
      <c r="R65" s="591">
        <v>490153</v>
      </c>
      <c r="S65" s="591">
        <v>402.428</v>
      </c>
      <c r="T65" s="591">
        <v>0</v>
      </c>
      <c r="U65" s="591">
        <v>0</v>
      </c>
      <c r="V65" s="591">
        <v>110.25</v>
      </c>
      <c r="W65" s="591">
        <v>67904</v>
      </c>
      <c r="X65" s="591">
        <v>67904</v>
      </c>
      <c r="Y65" s="591">
        <v>0</v>
      </c>
      <c r="Z65" s="591">
        <v>0</v>
      </c>
      <c r="AA65" s="591">
        <v>0</v>
      </c>
      <c r="AB65" s="591">
        <v>0</v>
      </c>
      <c r="AC65" s="591">
        <v>0</v>
      </c>
      <c r="AD65" s="591" t="s">
        <v>316</v>
      </c>
      <c r="AE65" s="591">
        <v>0</v>
      </c>
      <c r="AF65" s="591">
        <v>0</v>
      </c>
      <c r="AG65" s="591">
        <v>0</v>
      </c>
      <c r="AH65" s="591">
        <v>0</v>
      </c>
      <c r="AI65" s="591">
        <v>0</v>
      </c>
      <c r="AJ65" s="591">
        <v>6159</v>
      </c>
      <c r="AK65" s="591" t="s">
        <v>671</v>
      </c>
      <c r="AL65" s="591" t="s">
        <v>116</v>
      </c>
      <c r="AM65" s="591">
        <v>0</v>
      </c>
      <c r="AN65" s="591">
        <v>0</v>
      </c>
      <c r="AO65" s="591">
        <v>0</v>
      </c>
      <c r="AP65" s="591">
        <v>0</v>
      </c>
      <c r="AQ65" s="591">
        <v>0</v>
      </c>
      <c r="AR65" s="591">
        <v>0</v>
      </c>
      <c r="AS65" s="591">
        <v>0</v>
      </c>
      <c r="AT65" s="591">
        <v>0</v>
      </c>
      <c r="AU65" s="591">
        <v>0</v>
      </c>
      <c r="AV65" s="591">
        <v>0</v>
      </c>
      <c r="AW65" s="591">
        <v>11124355</v>
      </c>
      <c r="AX65" s="591">
        <v>10903720</v>
      </c>
      <c r="AY65" s="591">
        <v>0</v>
      </c>
      <c r="AZ65" s="591">
        <v>490153</v>
      </c>
      <c r="BA65" s="591">
        <v>0</v>
      </c>
      <c r="BB65" s="591">
        <v>0</v>
      </c>
      <c r="BC65" s="591">
        <v>0</v>
      </c>
      <c r="BD65" s="591">
        <v>0</v>
      </c>
      <c r="BE65" s="591">
        <v>146</v>
      </c>
      <c r="BF65" s="591">
        <v>10125593</v>
      </c>
      <c r="BG65" s="591">
        <v>0</v>
      </c>
      <c r="BH65" s="591">
        <v>0</v>
      </c>
      <c r="BI65" s="591">
        <v>0</v>
      </c>
      <c r="BJ65" s="591">
        <v>12</v>
      </c>
      <c r="BK65" s="591">
        <v>0</v>
      </c>
      <c r="BL65" s="591">
        <v>0</v>
      </c>
      <c r="BM65" s="591">
        <v>0</v>
      </c>
      <c r="BN65" s="591">
        <v>0</v>
      </c>
      <c r="BO65" s="591">
        <v>0</v>
      </c>
      <c r="BP65" s="591">
        <v>0</v>
      </c>
      <c r="BQ65" s="591">
        <v>588</v>
      </c>
      <c r="BR65" s="591">
        <v>0</v>
      </c>
      <c r="BS65" s="591">
        <v>0</v>
      </c>
      <c r="BT65" s="591">
        <v>0</v>
      </c>
      <c r="BU65" s="591">
        <v>0</v>
      </c>
      <c r="BV65" s="591">
        <v>0</v>
      </c>
      <c r="BW65" s="591">
        <v>0</v>
      </c>
      <c r="BX65" s="591">
        <v>0</v>
      </c>
      <c r="BY65" s="591">
        <v>0</v>
      </c>
      <c r="BZ65" s="591">
        <v>0</v>
      </c>
      <c r="CA65" s="591">
        <v>0</v>
      </c>
      <c r="CB65" s="591">
        <v>0</v>
      </c>
      <c r="CC65" s="591">
        <v>0</v>
      </c>
      <c r="CD65" s="591">
        <v>0</v>
      </c>
      <c r="CE65" s="591">
        <v>0</v>
      </c>
      <c r="CF65" s="591">
        <v>0</v>
      </c>
      <c r="CG65" s="591">
        <v>0</v>
      </c>
      <c r="CH65" s="591">
        <v>222201</v>
      </c>
      <c r="CI65" s="591">
        <v>0</v>
      </c>
      <c r="CJ65" s="591">
        <v>5</v>
      </c>
      <c r="CK65" s="591">
        <v>0</v>
      </c>
      <c r="CL65" s="591">
        <v>0</v>
      </c>
      <c r="CM65" s="591">
        <v>0</v>
      </c>
      <c r="CN65" s="591">
        <v>0</v>
      </c>
      <c r="CO65" s="591">
        <v>1</v>
      </c>
      <c r="CP65" s="591">
        <v>0</v>
      </c>
      <c r="CQ65" s="591">
        <v>0</v>
      </c>
      <c r="CR65" s="591">
        <v>1226.2</v>
      </c>
      <c r="CS65" s="591">
        <v>0</v>
      </c>
      <c r="CT65" s="591">
        <v>0</v>
      </c>
      <c r="CU65" s="591">
        <v>0</v>
      </c>
      <c r="CV65" s="591">
        <v>0</v>
      </c>
      <c r="CW65" s="591">
        <v>0</v>
      </c>
      <c r="CX65" s="591">
        <v>0</v>
      </c>
      <c r="CY65" s="591">
        <v>0</v>
      </c>
      <c r="CZ65" s="591">
        <v>0</v>
      </c>
      <c r="DA65" s="591">
        <v>0</v>
      </c>
      <c r="DB65" s="591">
        <v>7292224</v>
      </c>
      <c r="DC65" s="591">
        <v>0</v>
      </c>
      <c r="DD65" s="591">
        <v>0</v>
      </c>
      <c r="DE65" s="591">
        <v>761878</v>
      </c>
      <c r="DF65" s="591">
        <v>761878</v>
      </c>
      <c r="DG65" s="591">
        <v>123.7</v>
      </c>
      <c r="DH65" s="591">
        <v>0</v>
      </c>
      <c r="DI65" s="591">
        <v>0</v>
      </c>
      <c r="DJ65" s="591">
        <v>0</v>
      </c>
      <c r="DK65" s="591">
        <v>1025</v>
      </c>
      <c r="DL65" s="591">
        <v>0</v>
      </c>
      <c r="DM65" s="591">
        <v>372270</v>
      </c>
      <c r="DN65" s="591">
        <v>1420</v>
      </c>
      <c r="DO65" s="591">
        <v>0</v>
      </c>
      <c r="DP65" s="591">
        <v>0</v>
      </c>
      <c r="DQ65" s="591">
        <v>0</v>
      </c>
      <c r="DR65" s="591">
        <v>0</v>
      </c>
      <c r="DS65" s="591">
        <v>0</v>
      </c>
      <c r="DT65" s="591">
        <v>0</v>
      </c>
      <c r="DU65" s="591">
        <v>0</v>
      </c>
      <c r="DV65" s="591">
        <v>0</v>
      </c>
      <c r="DW65" s="591">
        <v>0</v>
      </c>
      <c r="DX65" s="591">
        <v>0</v>
      </c>
      <c r="DY65" s="591">
        <v>0</v>
      </c>
      <c r="DZ65" s="591">
        <v>0</v>
      </c>
      <c r="EA65" s="591">
        <v>0</v>
      </c>
      <c r="EB65" s="591">
        <v>0</v>
      </c>
      <c r="EC65" s="591">
        <v>2.9670000000000001</v>
      </c>
      <c r="ED65" s="591">
        <v>21015</v>
      </c>
      <c r="EE65" s="591">
        <v>0</v>
      </c>
      <c r="EF65" s="591">
        <v>0</v>
      </c>
      <c r="EG65" s="591">
        <v>0</v>
      </c>
      <c r="EH65" s="591">
        <v>352675</v>
      </c>
      <c r="EI65" s="591">
        <v>0</v>
      </c>
      <c r="EJ65" s="591">
        <v>0</v>
      </c>
      <c r="EK65" s="591">
        <v>15.862</v>
      </c>
      <c r="EL65" s="591">
        <v>0</v>
      </c>
      <c r="EM65" s="591">
        <v>0</v>
      </c>
      <c r="EN65" s="591">
        <v>1.9350000000000001</v>
      </c>
      <c r="EO65" s="591">
        <v>0</v>
      </c>
      <c r="EP65" s="591">
        <v>0</v>
      </c>
      <c r="EQ65" s="591">
        <v>17.797000000000001</v>
      </c>
      <c r="ER65" s="591">
        <v>0</v>
      </c>
      <c r="ES65" s="591">
        <v>57.261000000000003</v>
      </c>
      <c r="ET65" s="591">
        <v>0</v>
      </c>
      <c r="EU65" s="591">
        <v>0</v>
      </c>
      <c r="EV65" s="591">
        <v>0</v>
      </c>
      <c r="EW65" s="591">
        <v>0</v>
      </c>
      <c r="EX65" s="591">
        <v>0</v>
      </c>
      <c r="EY65" s="591">
        <v>0</v>
      </c>
      <c r="EZ65" s="591">
        <v>9640960</v>
      </c>
      <c r="FA65" s="591">
        <v>0</v>
      </c>
      <c r="FB65" s="591">
        <v>10129547</v>
      </c>
      <c r="FC65" s="591">
        <v>0</v>
      </c>
      <c r="FD65" s="591">
        <v>0</v>
      </c>
      <c r="FE65" s="591">
        <v>1048827</v>
      </c>
      <c r="FF65" s="591">
        <v>213933</v>
      </c>
      <c r="FG65" s="591">
        <v>6.4728999999999995E-2</v>
      </c>
      <c r="FH65" s="591">
        <v>2.6405999999999999E-2</v>
      </c>
      <c r="FI65" s="591">
        <v>0</v>
      </c>
      <c r="FJ65" s="591">
        <v>0</v>
      </c>
      <c r="FK65" s="591">
        <v>1644.01</v>
      </c>
      <c r="FL65" s="591">
        <v>11614508</v>
      </c>
      <c r="FM65" s="591">
        <v>0</v>
      </c>
      <c r="FN65" s="591">
        <v>0</v>
      </c>
      <c r="FO65" s="591">
        <v>0</v>
      </c>
      <c r="FP65" s="591">
        <v>0</v>
      </c>
      <c r="FQ65" s="591">
        <v>0</v>
      </c>
      <c r="FR65" s="591">
        <v>0</v>
      </c>
      <c r="FS65" s="591">
        <v>0</v>
      </c>
      <c r="FT65" s="591">
        <v>0</v>
      </c>
      <c r="FU65" s="591">
        <v>0</v>
      </c>
      <c r="FV65" s="591">
        <v>0</v>
      </c>
      <c r="FW65" s="591">
        <v>0</v>
      </c>
      <c r="FX65" s="591">
        <v>0</v>
      </c>
      <c r="FY65" s="591">
        <v>0</v>
      </c>
      <c r="FZ65" s="591">
        <v>0</v>
      </c>
      <c r="GA65" s="591">
        <v>0</v>
      </c>
      <c r="GB65" s="591">
        <v>203080</v>
      </c>
      <c r="GC65" s="591">
        <v>203080</v>
      </c>
      <c r="GD65" s="591">
        <v>24.423999999999999</v>
      </c>
      <c r="GE65" s="591">
        <v>0</v>
      </c>
      <c r="GF65" s="591">
        <v>0</v>
      </c>
      <c r="GG65" s="591">
        <v>0</v>
      </c>
      <c r="GH65" s="591">
        <v>0</v>
      </c>
      <c r="GI65" s="591">
        <v>0</v>
      </c>
      <c r="GJ65" s="591">
        <v>0</v>
      </c>
      <c r="GK65" s="591">
        <v>0</v>
      </c>
      <c r="GL65" s="591">
        <v>0</v>
      </c>
      <c r="GM65" s="591">
        <v>0</v>
      </c>
      <c r="GN65" s="591">
        <v>0</v>
      </c>
      <c r="GO65" s="591">
        <v>0</v>
      </c>
      <c r="GP65" s="591">
        <v>0</v>
      </c>
      <c r="GQ65" s="591">
        <v>0</v>
      </c>
      <c r="GR65" s="591">
        <v>0</v>
      </c>
      <c r="GS65" s="591">
        <v>0</v>
      </c>
      <c r="GT65" s="591">
        <v>0</v>
      </c>
      <c r="GU65" s="591">
        <v>0</v>
      </c>
      <c r="GV65" s="591">
        <v>0</v>
      </c>
      <c r="GW65" s="591">
        <v>0</v>
      </c>
      <c r="GX65" s="591">
        <v>0</v>
      </c>
      <c r="GY65" s="591">
        <v>0</v>
      </c>
      <c r="GZ65" s="591">
        <v>0</v>
      </c>
      <c r="HA65" s="591">
        <v>0</v>
      </c>
      <c r="HB65" s="591">
        <v>260009272</v>
      </c>
      <c r="HC65" s="591">
        <v>5.1774999999999995E-2</v>
      </c>
      <c r="HD65" s="591">
        <v>222201</v>
      </c>
      <c r="HE65" s="591">
        <v>0</v>
      </c>
      <c r="HF65" s="591">
        <v>1301193</v>
      </c>
      <c r="HG65" s="591">
        <v>28948</v>
      </c>
      <c r="HH65" s="591">
        <v>46757</v>
      </c>
      <c r="HI65" s="591">
        <v>0</v>
      </c>
      <c r="HJ65" s="591">
        <v>11919</v>
      </c>
      <c r="HK65" s="591">
        <v>3544</v>
      </c>
      <c r="HL65" s="591">
        <v>1976</v>
      </c>
      <c r="HM65" s="591">
        <v>38000</v>
      </c>
      <c r="HN65" s="591">
        <v>0</v>
      </c>
      <c r="HO65" s="591">
        <v>0</v>
      </c>
      <c r="HP65" s="591">
        <v>0</v>
      </c>
      <c r="HQ65" s="591">
        <v>0</v>
      </c>
      <c r="HR65" s="591">
        <v>0</v>
      </c>
      <c r="HS65" s="591">
        <v>9639394</v>
      </c>
      <c r="HT65" s="591">
        <v>0</v>
      </c>
      <c r="HU65" s="591">
        <v>0</v>
      </c>
      <c r="HV65" s="591">
        <v>0</v>
      </c>
      <c r="HW65" s="591">
        <v>0</v>
      </c>
      <c r="HX65" s="591">
        <v>97</v>
      </c>
      <c r="HY65" s="591">
        <v>73</v>
      </c>
      <c r="HZ65" s="591">
        <v>125</v>
      </c>
      <c r="IA65" s="591">
        <v>115</v>
      </c>
      <c r="IB65" s="591">
        <v>84</v>
      </c>
      <c r="IC65" s="591">
        <v>488</v>
      </c>
      <c r="ID65" s="591">
        <v>0</v>
      </c>
      <c r="IE65" s="591">
        <v>0</v>
      </c>
      <c r="IF65" s="591">
        <v>0</v>
      </c>
      <c r="IG65" s="591">
        <v>47</v>
      </c>
      <c r="IH65" s="591">
        <v>75.915999999999997</v>
      </c>
      <c r="II65" s="591">
        <v>0</v>
      </c>
      <c r="IJ65" s="591">
        <v>110.25</v>
      </c>
      <c r="IK65" s="591">
        <v>0</v>
      </c>
      <c r="IL65" s="591">
        <v>1</v>
      </c>
      <c r="IM65" s="591">
        <v>11</v>
      </c>
      <c r="IN65" s="591">
        <v>0</v>
      </c>
      <c r="IO65" s="591">
        <v>12</v>
      </c>
      <c r="IP65" s="591">
        <v>0</v>
      </c>
      <c r="IQ65" s="591">
        <v>110.25</v>
      </c>
      <c r="IR65" s="591">
        <v>67904</v>
      </c>
      <c r="IS65" s="591">
        <v>0</v>
      </c>
      <c r="IT65" s="591">
        <v>5000</v>
      </c>
      <c r="IU65" s="591">
        <v>33000</v>
      </c>
      <c r="IV65" s="591">
        <v>0</v>
      </c>
      <c r="IW65" s="591">
        <v>6159</v>
      </c>
      <c r="IX65" s="591">
        <v>0</v>
      </c>
      <c r="IY65" s="591">
        <v>0</v>
      </c>
      <c r="IZ65" s="591">
        <v>0</v>
      </c>
      <c r="JA65" s="591">
        <v>0</v>
      </c>
      <c r="JB65" s="591">
        <v>0</v>
      </c>
      <c r="JC65" s="591">
        <v>0</v>
      </c>
      <c r="JD65" s="591">
        <v>0</v>
      </c>
      <c r="JE65" s="591">
        <v>0</v>
      </c>
      <c r="JF65" s="591">
        <v>0</v>
      </c>
      <c r="JG65" s="591">
        <v>0</v>
      </c>
      <c r="JH65" s="591">
        <v>0</v>
      </c>
      <c r="JI65" s="591">
        <v>0</v>
      </c>
      <c r="JJ65" s="591">
        <v>0</v>
      </c>
      <c r="JK65" s="591">
        <v>0</v>
      </c>
      <c r="JL65" s="591">
        <v>0</v>
      </c>
      <c r="JM65" s="591">
        <v>0</v>
      </c>
      <c r="JN65" s="591">
        <v>32469</v>
      </c>
    </row>
    <row r="66" spans="1:274" x14ac:dyDescent="0.25">
      <c r="A66" s="591">
        <v>32570</v>
      </c>
      <c r="B66" s="591">
        <v>57846</v>
      </c>
      <c r="C66" s="591">
        <v>9</v>
      </c>
      <c r="D66" s="591">
        <v>2022</v>
      </c>
      <c r="E66" s="591">
        <v>6159</v>
      </c>
      <c r="F66" s="591">
        <v>0</v>
      </c>
      <c r="G66" s="591">
        <v>1477.5</v>
      </c>
      <c r="H66" s="591">
        <v>1364.3030000000001</v>
      </c>
      <c r="I66" s="591">
        <v>1364.3030000000001</v>
      </c>
      <c r="J66" s="591">
        <v>1477.5</v>
      </c>
      <c r="K66" s="591">
        <v>0</v>
      </c>
      <c r="L66" s="591">
        <v>6159</v>
      </c>
      <c r="M66" s="591">
        <v>0</v>
      </c>
      <c r="N66" s="591">
        <v>0</v>
      </c>
      <c r="O66" s="591">
        <v>0</v>
      </c>
      <c r="P66" s="591">
        <v>1445.412</v>
      </c>
      <c r="Q66" s="591">
        <v>0</v>
      </c>
      <c r="R66" s="591">
        <v>581674</v>
      </c>
      <c r="S66" s="591">
        <v>402.428</v>
      </c>
      <c r="T66" s="591">
        <v>0</v>
      </c>
      <c r="U66" s="591">
        <v>0</v>
      </c>
      <c r="V66" s="591">
        <v>559.70000000000005</v>
      </c>
      <c r="W66" s="591">
        <v>344724</v>
      </c>
      <c r="X66" s="591">
        <v>344724</v>
      </c>
      <c r="Y66" s="591">
        <v>0</v>
      </c>
      <c r="Z66" s="591">
        <v>0</v>
      </c>
      <c r="AA66" s="591">
        <v>0</v>
      </c>
      <c r="AB66" s="591">
        <v>0</v>
      </c>
      <c r="AC66" s="591">
        <v>0</v>
      </c>
      <c r="AD66" s="591" t="s">
        <v>316</v>
      </c>
      <c r="AE66" s="591">
        <v>0</v>
      </c>
      <c r="AF66" s="591">
        <v>0</v>
      </c>
      <c r="AG66" s="591">
        <v>0</v>
      </c>
      <c r="AH66" s="591">
        <v>0</v>
      </c>
      <c r="AI66" s="591">
        <v>0</v>
      </c>
      <c r="AJ66" s="591">
        <v>6159</v>
      </c>
      <c r="AK66" s="591" t="s">
        <v>671</v>
      </c>
      <c r="AL66" s="591" t="s">
        <v>117</v>
      </c>
      <c r="AM66" s="591">
        <v>0</v>
      </c>
      <c r="AN66" s="591">
        <v>0</v>
      </c>
      <c r="AO66" s="591">
        <v>0</v>
      </c>
      <c r="AP66" s="591">
        <v>0</v>
      </c>
      <c r="AQ66" s="591">
        <v>0</v>
      </c>
      <c r="AR66" s="591">
        <v>0</v>
      </c>
      <c r="AS66" s="591">
        <v>0</v>
      </c>
      <c r="AT66" s="591">
        <v>0</v>
      </c>
      <c r="AU66" s="591">
        <v>0</v>
      </c>
      <c r="AV66" s="591">
        <v>0</v>
      </c>
      <c r="AW66" s="591">
        <v>15754876</v>
      </c>
      <c r="AX66" s="591">
        <v>15490736</v>
      </c>
      <c r="AY66" s="591">
        <v>0</v>
      </c>
      <c r="AZ66" s="591">
        <v>581674</v>
      </c>
      <c r="BA66" s="591">
        <v>0</v>
      </c>
      <c r="BB66" s="591">
        <v>0</v>
      </c>
      <c r="BC66" s="591">
        <v>0</v>
      </c>
      <c r="BD66" s="591">
        <v>0</v>
      </c>
      <c r="BE66" s="591">
        <v>206</v>
      </c>
      <c r="BF66" s="591">
        <v>14281298</v>
      </c>
      <c r="BG66" s="591">
        <v>0</v>
      </c>
      <c r="BH66" s="591">
        <v>0</v>
      </c>
      <c r="BI66" s="591">
        <v>0</v>
      </c>
      <c r="BJ66" s="591">
        <v>12</v>
      </c>
      <c r="BK66" s="591">
        <v>0</v>
      </c>
      <c r="BL66" s="591">
        <v>0</v>
      </c>
      <c r="BM66" s="591">
        <v>0</v>
      </c>
      <c r="BN66" s="591">
        <v>0</v>
      </c>
      <c r="BO66" s="591">
        <v>0</v>
      </c>
      <c r="BP66" s="591">
        <v>0</v>
      </c>
      <c r="BQ66" s="591">
        <v>560</v>
      </c>
      <c r="BR66" s="591">
        <v>0</v>
      </c>
      <c r="BS66" s="591">
        <v>0</v>
      </c>
      <c r="BT66" s="591">
        <v>0</v>
      </c>
      <c r="BU66" s="591">
        <v>0</v>
      </c>
      <c r="BV66" s="591">
        <v>0</v>
      </c>
      <c r="BW66" s="591">
        <v>0</v>
      </c>
      <c r="BX66" s="591">
        <v>0</v>
      </c>
      <c r="BY66" s="591">
        <v>0</v>
      </c>
      <c r="BZ66" s="591">
        <v>0</v>
      </c>
      <c r="CA66" s="591">
        <v>0</v>
      </c>
      <c r="CB66" s="591">
        <v>0</v>
      </c>
      <c r="CC66" s="591">
        <v>0</v>
      </c>
      <c r="CD66" s="591">
        <v>0</v>
      </c>
      <c r="CE66" s="591">
        <v>0</v>
      </c>
      <c r="CF66" s="591">
        <v>0</v>
      </c>
      <c r="CG66" s="591">
        <v>0</v>
      </c>
      <c r="CH66" s="591">
        <v>267739</v>
      </c>
      <c r="CI66" s="591">
        <v>0</v>
      </c>
      <c r="CJ66" s="591">
        <v>4</v>
      </c>
      <c r="CK66" s="591">
        <v>0</v>
      </c>
      <c r="CL66" s="591">
        <v>0</v>
      </c>
      <c r="CM66" s="591">
        <v>0</v>
      </c>
      <c r="CN66" s="591">
        <v>0</v>
      </c>
      <c r="CO66" s="591">
        <v>1</v>
      </c>
      <c r="CP66" s="591">
        <v>0</v>
      </c>
      <c r="CQ66" s="591">
        <v>0</v>
      </c>
      <c r="CR66" s="591">
        <v>1477.5</v>
      </c>
      <c r="CS66" s="591">
        <v>0</v>
      </c>
      <c r="CT66" s="591">
        <v>0</v>
      </c>
      <c r="CU66" s="591">
        <v>0</v>
      </c>
      <c r="CV66" s="591">
        <v>0</v>
      </c>
      <c r="CW66" s="591">
        <v>0</v>
      </c>
      <c r="CX66" s="591">
        <v>0</v>
      </c>
      <c r="CY66" s="591">
        <v>0</v>
      </c>
      <c r="CZ66" s="591">
        <v>0</v>
      </c>
      <c r="DA66" s="591">
        <v>0</v>
      </c>
      <c r="DB66" s="591">
        <v>8402855</v>
      </c>
      <c r="DC66" s="591">
        <v>0</v>
      </c>
      <c r="DD66" s="591">
        <v>0</v>
      </c>
      <c r="DE66" s="591">
        <v>2062215</v>
      </c>
      <c r="DF66" s="591">
        <v>2062215</v>
      </c>
      <c r="DG66" s="591">
        <v>334.82499999999999</v>
      </c>
      <c r="DH66" s="591">
        <v>0</v>
      </c>
      <c r="DI66" s="591">
        <v>0</v>
      </c>
      <c r="DJ66" s="591">
        <v>0</v>
      </c>
      <c r="DK66" s="591">
        <v>581</v>
      </c>
      <c r="DL66" s="591">
        <v>0</v>
      </c>
      <c r="DM66" s="591">
        <v>889437</v>
      </c>
      <c r="DN66" s="591">
        <v>3393</v>
      </c>
      <c r="DO66" s="591">
        <v>0</v>
      </c>
      <c r="DP66" s="591">
        <v>0</v>
      </c>
      <c r="DQ66" s="591">
        <v>0</v>
      </c>
      <c r="DR66" s="591">
        <v>0</v>
      </c>
      <c r="DS66" s="591">
        <v>0</v>
      </c>
      <c r="DT66" s="591">
        <v>0</v>
      </c>
      <c r="DU66" s="591">
        <v>0</v>
      </c>
      <c r="DV66" s="591">
        <v>0</v>
      </c>
      <c r="DW66" s="591">
        <v>0</v>
      </c>
      <c r="DX66" s="591">
        <v>0</v>
      </c>
      <c r="DY66" s="591">
        <v>0</v>
      </c>
      <c r="DZ66" s="591">
        <v>0</v>
      </c>
      <c r="EA66" s="591">
        <v>0</v>
      </c>
      <c r="EB66" s="591">
        <v>0</v>
      </c>
      <c r="EC66" s="591">
        <v>54.817</v>
      </c>
      <c r="ED66" s="591">
        <v>388266</v>
      </c>
      <c r="EE66" s="591">
        <v>0</v>
      </c>
      <c r="EF66" s="591">
        <v>0</v>
      </c>
      <c r="EG66" s="591">
        <v>0</v>
      </c>
      <c r="EH66" s="591">
        <v>504564</v>
      </c>
      <c r="EI66" s="591">
        <v>0</v>
      </c>
      <c r="EJ66" s="591">
        <v>0</v>
      </c>
      <c r="EK66" s="591">
        <v>23.947000000000003</v>
      </c>
      <c r="EL66" s="591">
        <v>0</v>
      </c>
      <c r="EM66" s="591">
        <v>0.46200000000000002</v>
      </c>
      <c r="EN66" s="591">
        <v>1.7390000000000001</v>
      </c>
      <c r="EO66" s="591">
        <v>0</v>
      </c>
      <c r="EP66" s="591">
        <v>0</v>
      </c>
      <c r="EQ66" s="591">
        <v>26.148</v>
      </c>
      <c r="ER66" s="591">
        <v>0</v>
      </c>
      <c r="ES66" s="591">
        <v>81.921999999999997</v>
      </c>
      <c r="ET66" s="591">
        <v>0</v>
      </c>
      <c r="EU66" s="591">
        <v>0</v>
      </c>
      <c r="EV66" s="591">
        <v>0</v>
      </c>
      <c r="EW66" s="591">
        <v>0</v>
      </c>
      <c r="EX66" s="591">
        <v>0</v>
      </c>
      <c r="EY66" s="591">
        <v>0</v>
      </c>
      <c r="EZ66" s="591">
        <v>13709718</v>
      </c>
      <c r="FA66" s="591">
        <v>0</v>
      </c>
      <c r="FB66" s="591">
        <v>14287793</v>
      </c>
      <c r="FC66" s="591">
        <v>0</v>
      </c>
      <c r="FD66" s="591">
        <v>0</v>
      </c>
      <c r="FE66" s="591">
        <v>1479283</v>
      </c>
      <c r="FF66" s="591">
        <v>301735</v>
      </c>
      <c r="FG66" s="591">
        <v>6.4728999999999995E-2</v>
      </c>
      <c r="FH66" s="591">
        <v>2.6405999999999999E-2</v>
      </c>
      <c r="FI66" s="591">
        <v>0</v>
      </c>
      <c r="FJ66" s="591">
        <v>0</v>
      </c>
      <c r="FK66" s="591">
        <v>2318.7380000000003</v>
      </c>
      <c r="FL66" s="591">
        <v>16336550</v>
      </c>
      <c r="FM66" s="591">
        <v>0</v>
      </c>
      <c r="FN66" s="591">
        <v>0</v>
      </c>
      <c r="FO66" s="591">
        <v>0</v>
      </c>
      <c r="FP66" s="591">
        <v>0</v>
      </c>
      <c r="FQ66" s="591">
        <v>0</v>
      </c>
      <c r="FR66" s="591">
        <v>0</v>
      </c>
      <c r="FS66" s="591">
        <v>0</v>
      </c>
      <c r="FT66" s="591">
        <v>0</v>
      </c>
      <c r="FU66" s="591">
        <v>0</v>
      </c>
      <c r="FV66" s="591">
        <v>0</v>
      </c>
      <c r="FW66" s="591">
        <v>0</v>
      </c>
      <c r="FX66" s="591">
        <v>0</v>
      </c>
      <c r="FY66" s="591">
        <v>0</v>
      </c>
      <c r="FZ66" s="591">
        <v>0</v>
      </c>
      <c r="GA66" s="591">
        <v>0</v>
      </c>
      <c r="GB66" s="591">
        <v>723792</v>
      </c>
      <c r="GC66" s="591">
        <v>723792</v>
      </c>
      <c r="GD66" s="591">
        <v>87.049000000000007</v>
      </c>
      <c r="GE66" s="591">
        <v>0</v>
      </c>
      <c r="GF66" s="591">
        <v>0</v>
      </c>
      <c r="GG66" s="591">
        <v>0</v>
      </c>
      <c r="GH66" s="591">
        <v>0</v>
      </c>
      <c r="GI66" s="591">
        <v>0</v>
      </c>
      <c r="GJ66" s="591">
        <v>0</v>
      </c>
      <c r="GK66" s="591">
        <v>0</v>
      </c>
      <c r="GL66" s="591">
        <v>0</v>
      </c>
      <c r="GM66" s="591">
        <v>0</v>
      </c>
      <c r="GN66" s="591">
        <v>0</v>
      </c>
      <c r="GO66" s="591">
        <v>0</v>
      </c>
      <c r="GP66" s="591">
        <v>0</v>
      </c>
      <c r="GQ66" s="591">
        <v>0</v>
      </c>
      <c r="GR66" s="591">
        <v>0</v>
      </c>
      <c r="GS66" s="591">
        <v>0</v>
      </c>
      <c r="GT66" s="591">
        <v>0</v>
      </c>
      <c r="GU66" s="591">
        <v>0</v>
      </c>
      <c r="GV66" s="591">
        <v>0</v>
      </c>
      <c r="GW66" s="591">
        <v>0</v>
      </c>
      <c r="GX66" s="591">
        <v>0</v>
      </c>
      <c r="GY66" s="591">
        <v>0</v>
      </c>
      <c r="GZ66" s="591">
        <v>0</v>
      </c>
      <c r="HA66" s="591">
        <v>0</v>
      </c>
      <c r="HB66" s="591">
        <v>260009272</v>
      </c>
      <c r="HC66" s="591">
        <v>5.1774999999999995E-2</v>
      </c>
      <c r="HD66" s="591">
        <v>267739</v>
      </c>
      <c r="HE66" s="591">
        <v>0</v>
      </c>
      <c r="HF66" s="591">
        <v>1499369</v>
      </c>
      <c r="HG66" s="591">
        <v>27716</v>
      </c>
      <c r="HH66" s="591">
        <v>281470</v>
      </c>
      <c r="HI66" s="591">
        <v>0</v>
      </c>
      <c r="HJ66" s="591">
        <v>14361</v>
      </c>
      <c r="HK66" s="591">
        <v>3754</v>
      </c>
      <c r="HL66" s="591">
        <v>6340</v>
      </c>
      <c r="HM66" s="591">
        <v>20000</v>
      </c>
      <c r="HN66" s="591">
        <v>11966</v>
      </c>
      <c r="HO66" s="591">
        <v>0</v>
      </c>
      <c r="HP66" s="591">
        <v>0</v>
      </c>
      <c r="HQ66" s="591">
        <v>0</v>
      </c>
      <c r="HR66" s="591">
        <v>0</v>
      </c>
      <c r="HS66" s="591">
        <v>13706119</v>
      </c>
      <c r="HT66" s="591">
        <v>0</v>
      </c>
      <c r="HU66" s="591">
        <v>0</v>
      </c>
      <c r="HV66" s="591">
        <v>0</v>
      </c>
      <c r="HW66" s="591">
        <v>0</v>
      </c>
      <c r="HX66" s="591">
        <v>151</v>
      </c>
      <c r="HY66" s="591">
        <v>129</v>
      </c>
      <c r="HZ66" s="591">
        <v>303</v>
      </c>
      <c r="IA66" s="591">
        <v>349</v>
      </c>
      <c r="IB66" s="591">
        <v>374</v>
      </c>
      <c r="IC66" s="591">
        <v>1306</v>
      </c>
      <c r="ID66" s="591">
        <v>0</v>
      </c>
      <c r="IE66" s="591">
        <v>0</v>
      </c>
      <c r="IF66" s="591">
        <v>0</v>
      </c>
      <c r="IG66" s="591">
        <v>45</v>
      </c>
      <c r="IH66" s="591">
        <v>457</v>
      </c>
      <c r="II66" s="591">
        <v>0</v>
      </c>
      <c r="IJ66" s="591">
        <v>559.70000000000005</v>
      </c>
      <c r="IK66" s="591">
        <v>0</v>
      </c>
      <c r="IL66" s="591">
        <v>0</v>
      </c>
      <c r="IM66" s="591">
        <v>6</v>
      </c>
      <c r="IN66" s="591">
        <v>1</v>
      </c>
      <c r="IO66" s="591">
        <v>7</v>
      </c>
      <c r="IP66" s="591">
        <v>0</v>
      </c>
      <c r="IQ66" s="591">
        <v>559.70000000000005</v>
      </c>
      <c r="IR66" s="591">
        <v>344724</v>
      </c>
      <c r="IS66" s="591">
        <v>0</v>
      </c>
      <c r="IT66" s="591">
        <v>0</v>
      </c>
      <c r="IU66" s="591">
        <v>18000</v>
      </c>
      <c r="IV66" s="591">
        <v>2000</v>
      </c>
      <c r="IW66" s="591">
        <v>6159</v>
      </c>
      <c r="IX66" s="591">
        <v>0</v>
      </c>
      <c r="IY66" s="591">
        <v>0</v>
      </c>
      <c r="IZ66" s="591">
        <v>0</v>
      </c>
      <c r="JA66" s="591">
        <v>0</v>
      </c>
      <c r="JB66" s="591">
        <v>0</v>
      </c>
      <c r="JC66" s="591">
        <v>0</v>
      </c>
      <c r="JD66" s="591">
        <v>0</v>
      </c>
      <c r="JE66" s="591">
        <v>0</v>
      </c>
      <c r="JF66" s="591">
        <v>2</v>
      </c>
      <c r="JG66" s="591">
        <v>10966</v>
      </c>
      <c r="JH66" s="591">
        <v>1000</v>
      </c>
      <c r="JI66" s="591">
        <v>0</v>
      </c>
      <c r="JJ66" s="591">
        <v>0</v>
      </c>
      <c r="JK66" s="591">
        <v>0</v>
      </c>
      <c r="JL66" s="591">
        <v>0</v>
      </c>
      <c r="JM66" s="591">
        <v>0</v>
      </c>
      <c r="JN66" s="591">
        <v>32469</v>
      </c>
    </row>
    <row r="67" spans="1:274" x14ac:dyDescent="0.25">
      <c r="A67" s="591">
        <v>32570</v>
      </c>
      <c r="B67" s="591">
        <v>57847</v>
      </c>
      <c r="C67" s="591">
        <v>9</v>
      </c>
      <c r="D67" s="591">
        <v>2022</v>
      </c>
      <c r="E67" s="591">
        <v>6159</v>
      </c>
      <c r="F67" s="591">
        <v>0</v>
      </c>
      <c r="G67" s="591">
        <v>1118.278</v>
      </c>
      <c r="H67" s="591">
        <v>929.29700000000003</v>
      </c>
      <c r="I67" s="591">
        <v>929.29700000000003</v>
      </c>
      <c r="J67" s="591">
        <v>1118.278</v>
      </c>
      <c r="K67" s="591">
        <v>0</v>
      </c>
      <c r="L67" s="591">
        <v>6159</v>
      </c>
      <c r="M67" s="591">
        <v>0</v>
      </c>
      <c r="N67" s="591">
        <v>0</v>
      </c>
      <c r="O67" s="591">
        <v>0</v>
      </c>
      <c r="P67" s="591">
        <v>1096.5030000000002</v>
      </c>
      <c r="Q67" s="591">
        <v>0</v>
      </c>
      <c r="R67" s="591">
        <v>441264</v>
      </c>
      <c r="S67" s="591">
        <v>402.428</v>
      </c>
      <c r="T67" s="591">
        <v>0</v>
      </c>
      <c r="U67" s="591">
        <v>0</v>
      </c>
      <c r="V67" s="591">
        <v>31.95</v>
      </c>
      <c r="W67" s="591">
        <v>19678</v>
      </c>
      <c r="X67" s="591">
        <v>19678</v>
      </c>
      <c r="Y67" s="591">
        <v>0</v>
      </c>
      <c r="Z67" s="591">
        <v>0</v>
      </c>
      <c r="AA67" s="591">
        <v>0</v>
      </c>
      <c r="AB67" s="591">
        <v>0</v>
      </c>
      <c r="AC67" s="591">
        <v>0</v>
      </c>
      <c r="AD67" s="591" t="s">
        <v>316</v>
      </c>
      <c r="AE67" s="591">
        <v>0</v>
      </c>
      <c r="AF67" s="591">
        <v>0</v>
      </c>
      <c r="AG67" s="591">
        <v>0</v>
      </c>
      <c r="AH67" s="591">
        <v>0</v>
      </c>
      <c r="AI67" s="591">
        <v>0</v>
      </c>
      <c r="AJ67" s="591">
        <v>6159</v>
      </c>
      <c r="AK67" s="591" t="s">
        <v>671</v>
      </c>
      <c r="AL67" s="591" t="s">
        <v>333</v>
      </c>
      <c r="AM67" s="591">
        <v>0</v>
      </c>
      <c r="AN67" s="591">
        <v>0</v>
      </c>
      <c r="AO67" s="591">
        <v>0</v>
      </c>
      <c r="AP67" s="591">
        <v>0</v>
      </c>
      <c r="AQ67" s="591">
        <v>0</v>
      </c>
      <c r="AR67" s="591">
        <v>0</v>
      </c>
      <c r="AS67" s="591">
        <v>0</v>
      </c>
      <c r="AT67" s="591">
        <v>0</v>
      </c>
      <c r="AU67" s="591">
        <v>0</v>
      </c>
      <c r="AV67" s="591">
        <v>0</v>
      </c>
      <c r="AW67" s="591">
        <v>10798844</v>
      </c>
      <c r="AX67" s="591">
        <v>10598608</v>
      </c>
      <c r="AY67" s="591">
        <v>0</v>
      </c>
      <c r="AZ67" s="591">
        <v>441264</v>
      </c>
      <c r="BA67" s="591">
        <v>0</v>
      </c>
      <c r="BB67" s="591">
        <v>0</v>
      </c>
      <c r="BC67" s="591">
        <v>0</v>
      </c>
      <c r="BD67" s="591">
        <v>0</v>
      </c>
      <c r="BE67" s="591">
        <v>141</v>
      </c>
      <c r="BF67" s="591">
        <v>9810654</v>
      </c>
      <c r="BG67" s="591">
        <v>0</v>
      </c>
      <c r="BH67" s="591">
        <v>0</v>
      </c>
      <c r="BI67" s="591">
        <v>0</v>
      </c>
      <c r="BJ67" s="591">
        <v>12</v>
      </c>
      <c r="BK67" s="591">
        <v>0</v>
      </c>
      <c r="BL67" s="591">
        <v>0</v>
      </c>
      <c r="BM67" s="591">
        <v>0</v>
      </c>
      <c r="BN67" s="591">
        <v>0</v>
      </c>
      <c r="BO67" s="591">
        <v>0</v>
      </c>
      <c r="BP67" s="591">
        <v>0</v>
      </c>
      <c r="BQ67" s="591">
        <v>627</v>
      </c>
      <c r="BR67" s="591">
        <v>0</v>
      </c>
      <c r="BS67" s="591">
        <v>0</v>
      </c>
      <c r="BT67" s="591">
        <v>0</v>
      </c>
      <c r="BU67" s="591">
        <v>0</v>
      </c>
      <c r="BV67" s="591">
        <v>0</v>
      </c>
      <c r="BW67" s="591">
        <v>0</v>
      </c>
      <c r="BX67" s="591">
        <v>0</v>
      </c>
      <c r="BY67" s="591">
        <v>0</v>
      </c>
      <c r="BZ67" s="591">
        <v>0</v>
      </c>
      <c r="CA67" s="591">
        <v>0</v>
      </c>
      <c r="CB67" s="591">
        <v>0</v>
      </c>
      <c r="CC67" s="591">
        <v>0</v>
      </c>
      <c r="CD67" s="591">
        <v>0</v>
      </c>
      <c r="CE67" s="591">
        <v>0</v>
      </c>
      <c r="CF67" s="591">
        <v>0</v>
      </c>
      <c r="CG67" s="591">
        <v>0</v>
      </c>
      <c r="CH67" s="591">
        <v>202644</v>
      </c>
      <c r="CI67" s="591">
        <v>0</v>
      </c>
      <c r="CJ67" s="591">
        <v>4</v>
      </c>
      <c r="CK67" s="591">
        <v>0</v>
      </c>
      <c r="CL67" s="591">
        <v>0</v>
      </c>
      <c r="CM67" s="591">
        <v>0</v>
      </c>
      <c r="CN67" s="591">
        <v>0</v>
      </c>
      <c r="CO67" s="591">
        <v>1</v>
      </c>
      <c r="CP67" s="591">
        <v>0</v>
      </c>
      <c r="CQ67" s="591">
        <v>0</v>
      </c>
      <c r="CR67" s="591">
        <v>1118.278</v>
      </c>
      <c r="CS67" s="591">
        <v>0</v>
      </c>
      <c r="CT67" s="591">
        <v>0</v>
      </c>
      <c r="CU67" s="591">
        <v>0</v>
      </c>
      <c r="CV67" s="591">
        <v>0</v>
      </c>
      <c r="CW67" s="591">
        <v>0</v>
      </c>
      <c r="CX67" s="591">
        <v>0</v>
      </c>
      <c r="CY67" s="591">
        <v>0</v>
      </c>
      <c r="CZ67" s="591">
        <v>0</v>
      </c>
      <c r="DA67" s="591">
        <v>0</v>
      </c>
      <c r="DB67" s="591">
        <v>5723617</v>
      </c>
      <c r="DC67" s="591">
        <v>0</v>
      </c>
      <c r="DD67" s="591">
        <v>0</v>
      </c>
      <c r="DE67" s="591">
        <v>891681</v>
      </c>
      <c r="DF67" s="591">
        <v>891681</v>
      </c>
      <c r="DG67" s="591">
        <v>144.77500000000001</v>
      </c>
      <c r="DH67" s="591">
        <v>0</v>
      </c>
      <c r="DI67" s="591">
        <v>0</v>
      </c>
      <c r="DJ67" s="591">
        <v>0</v>
      </c>
      <c r="DK67" s="591">
        <v>1652</v>
      </c>
      <c r="DL67" s="591">
        <v>0</v>
      </c>
      <c r="DM67" s="591">
        <v>594034</v>
      </c>
      <c r="DN67" s="591">
        <v>2266</v>
      </c>
      <c r="DO67" s="591">
        <v>0</v>
      </c>
      <c r="DP67" s="591">
        <v>0</v>
      </c>
      <c r="DQ67" s="591">
        <v>0</v>
      </c>
      <c r="DR67" s="591">
        <v>0</v>
      </c>
      <c r="DS67" s="591">
        <v>0</v>
      </c>
      <c r="DT67" s="591">
        <v>0</v>
      </c>
      <c r="DU67" s="591">
        <v>0</v>
      </c>
      <c r="DV67" s="591">
        <v>0</v>
      </c>
      <c r="DW67" s="591">
        <v>0</v>
      </c>
      <c r="DX67" s="591">
        <v>0</v>
      </c>
      <c r="DY67" s="591">
        <v>0</v>
      </c>
      <c r="DZ67" s="591">
        <v>0</v>
      </c>
      <c r="EA67" s="591">
        <v>0</v>
      </c>
      <c r="EB67" s="591">
        <v>0</v>
      </c>
      <c r="EC67" s="591">
        <v>22.883000000000003</v>
      </c>
      <c r="ED67" s="591">
        <v>162079</v>
      </c>
      <c r="EE67" s="591">
        <v>0</v>
      </c>
      <c r="EF67" s="591">
        <v>0</v>
      </c>
      <c r="EG67" s="591">
        <v>0</v>
      </c>
      <c r="EH67" s="591">
        <v>434221</v>
      </c>
      <c r="EI67" s="591">
        <v>0</v>
      </c>
      <c r="EJ67" s="591">
        <v>0</v>
      </c>
      <c r="EK67" s="591">
        <v>17.648</v>
      </c>
      <c r="EL67" s="591">
        <v>0</v>
      </c>
      <c r="EM67" s="591">
        <v>2.1790000000000003</v>
      </c>
      <c r="EN67" s="591">
        <v>2.2040000000000002</v>
      </c>
      <c r="EO67" s="591">
        <v>0</v>
      </c>
      <c r="EP67" s="591">
        <v>0</v>
      </c>
      <c r="EQ67" s="591">
        <v>22.031000000000002</v>
      </c>
      <c r="ER67" s="591">
        <v>0</v>
      </c>
      <c r="ES67" s="591">
        <v>70.501000000000005</v>
      </c>
      <c r="ET67" s="591">
        <v>0</v>
      </c>
      <c r="EU67" s="591">
        <v>0</v>
      </c>
      <c r="EV67" s="591">
        <v>0</v>
      </c>
      <c r="EW67" s="591">
        <v>0</v>
      </c>
      <c r="EX67" s="591">
        <v>0</v>
      </c>
      <c r="EY67" s="591">
        <v>0</v>
      </c>
      <c r="EZ67" s="591">
        <v>9375123</v>
      </c>
      <c r="FA67" s="591">
        <v>0</v>
      </c>
      <c r="FB67" s="591">
        <v>9813979</v>
      </c>
      <c r="FC67" s="591">
        <v>0</v>
      </c>
      <c r="FD67" s="591">
        <v>0</v>
      </c>
      <c r="FE67" s="591">
        <v>1016206</v>
      </c>
      <c r="FF67" s="591">
        <v>207279</v>
      </c>
      <c r="FG67" s="591">
        <v>6.4728999999999995E-2</v>
      </c>
      <c r="FH67" s="591">
        <v>2.6405999999999999E-2</v>
      </c>
      <c r="FI67" s="591">
        <v>0</v>
      </c>
      <c r="FJ67" s="591">
        <v>0</v>
      </c>
      <c r="FK67" s="591">
        <v>1592.876</v>
      </c>
      <c r="FL67" s="591">
        <v>11240108</v>
      </c>
      <c r="FM67" s="591">
        <v>0</v>
      </c>
      <c r="FN67" s="591">
        <v>0</v>
      </c>
      <c r="FO67" s="591">
        <v>0</v>
      </c>
      <c r="FP67" s="591">
        <v>0</v>
      </c>
      <c r="FQ67" s="591">
        <v>0</v>
      </c>
      <c r="FR67" s="591">
        <v>0</v>
      </c>
      <c r="FS67" s="591">
        <v>0</v>
      </c>
      <c r="FT67" s="591">
        <v>0</v>
      </c>
      <c r="FU67" s="591">
        <v>0</v>
      </c>
      <c r="FV67" s="591">
        <v>0</v>
      </c>
      <c r="FW67" s="591">
        <v>0</v>
      </c>
      <c r="FX67" s="591">
        <v>0</v>
      </c>
      <c r="FY67" s="591">
        <v>0</v>
      </c>
      <c r="FZ67" s="591">
        <v>0</v>
      </c>
      <c r="GA67" s="591">
        <v>0</v>
      </c>
      <c r="GB67" s="591">
        <v>1388149</v>
      </c>
      <c r="GC67" s="591">
        <v>1388149</v>
      </c>
      <c r="GD67" s="591">
        <v>166.95000000000002</v>
      </c>
      <c r="GE67" s="591">
        <v>0</v>
      </c>
      <c r="GF67" s="591">
        <v>0</v>
      </c>
      <c r="GG67" s="591">
        <v>0</v>
      </c>
      <c r="GH67" s="591">
        <v>0</v>
      </c>
      <c r="GI67" s="591">
        <v>0</v>
      </c>
      <c r="GJ67" s="591">
        <v>0</v>
      </c>
      <c r="GK67" s="591">
        <v>0</v>
      </c>
      <c r="GL67" s="591">
        <v>0</v>
      </c>
      <c r="GM67" s="591">
        <v>0</v>
      </c>
      <c r="GN67" s="591">
        <v>0</v>
      </c>
      <c r="GO67" s="591">
        <v>0</v>
      </c>
      <c r="GP67" s="591">
        <v>0</v>
      </c>
      <c r="GQ67" s="591">
        <v>0</v>
      </c>
      <c r="GR67" s="591">
        <v>0</v>
      </c>
      <c r="GS67" s="591">
        <v>0</v>
      </c>
      <c r="GT67" s="591">
        <v>0</v>
      </c>
      <c r="GU67" s="591">
        <v>0</v>
      </c>
      <c r="GV67" s="591">
        <v>0</v>
      </c>
      <c r="GW67" s="591">
        <v>0</v>
      </c>
      <c r="GX67" s="591">
        <v>0</v>
      </c>
      <c r="GY67" s="591">
        <v>0</v>
      </c>
      <c r="GZ67" s="591">
        <v>0</v>
      </c>
      <c r="HA67" s="591">
        <v>0</v>
      </c>
      <c r="HB67" s="591">
        <v>260009272</v>
      </c>
      <c r="HC67" s="591">
        <v>5.1774999999999995E-2</v>
      </c>
      <c r="HD67" s="591">
        <v>202644</v>
      </c>
      <c r="HE67" s="591">
        <v>0</v>
      </c>
      <c r="HF67" s="591">
        <v>1021297</v>
      </c>
      <c r="HG67" s="591">
        <v>0</v>
      </c>
      <c r="HH67" s="591">
        <v>77062</v>
      </c>
      <c r="HI67" s="591">
        <v>0</v>
      </c>
      <c r="HJ67" s="591">
        <v>10870</v>
      </c>
      <c r="HK67" s="591">
        <v>3203</v>
      </c>
      <c r="HL67" s="591">
        <v>2530</v>
      </c>
      <c r="HM67" s="591">
        <v>55000</v>
      </c>
      <c r="HN67" s="591">
        <v>0</v>
      </c>
      <c r="HO67" s="591">
        <v>27000</v>
      </c>
      <c r="HP67" s="591">
        <v>0</v>
      </c>
      <c r="HQ67" s="591">
        <v>0</v>
      </c>
      <c r="HR67" s="591">
        <v>0</v>
      </c>
      <c r="HS67" s="591">
        <v>9372715</v>
      </c>
      <c r="HT67" s="591">
        <v>0</v>
      </c>
      <c r="HU67" s="591">
        <v>0</v>
      </c>
      <c r="HV67" s="591">
        <v>0</v>
      </c>
      <c r="HW67" s="591">
        <v>0</v>
      </c>
      <c r="HX67" s="591">
        <v>168</v>
      </c>
      <c r="HY67" s="591">
        <v>142</v>
      </c>
      <c r="HZ67" s="591">
        <v>99</v>
      </c>
      <c r="IA67" s="591">
        <v>146</v>
      </c>
      <c r="IB67" s="591">
        <v>37</v>
      </c>
      <c r="IC67" s="591">
        <v>592</v>
      </c>
      <c r="ID67" s="591">
        <v>0</v>
      </c>
      <c r="IE67" s="591">
        <v>0</v>
      </c>
      <c r="IF67" s="591">
        <v>0</v>
      </c>
      <c r="IG67" s="591">
        <v>0</v>
      </c>
      <c r="IH67" s="591">
        <v>125.12</v>
      </c>
      <c r="II67" s="591">
        <v>0</v>
      </c>
      <c r="IJ67" s="591">
        <v>31.95</v>
      </c>
      <c r="IK67" s="591">
        <v>0</v>
      </c>
      <c r="IL67" s="591">
        <v>2</v>
      </c>
      <c r="IM67" s="591">
        <v>15</v>
      </c>
      <c r="IN67" s="591">
        <v>0</v>
      </c>
      <c r="IO67" s="591">
        <v>17</v>
      </c>
      <c r="IP67" s="591">
        <v>0</v>
      </c>
      <c r="IQ67" s="591">
        <v>31.95</v>
      </c>
      <c r="IR67" s="591">
        <v>19678</v>
      </c>
      <c r="IS67" s="591">
        <v>0</v>
      </c>
      <c r="IT67" s="591">
        <v>10000</v>
      </c>
      <c r="IU67" s="591">
        <v>45000</v>
      </c>
      <c r="IV67" s="591">
        <v>0</v>
      </c>
      <c r="IW67" s="591">
        <v>6159</v>
      </c>
      <c r="IX67" s="591">
        <v>0</v>
      </c>
      <c r="IY67" s="591">
        <v>0</v>
      </c>
      <c r="IZ67" s="591">
        <v>0</v>
      </c>
      <c r="JA67" s="591">
        <v>0</v>
      </c>
      <c r="JB67" s="591">
        <v>0</v>
      </c>
      <c r="JC67" s="591">
        <v>0</v>
      </c>
      <c r="JD67" s="591">
        <v>0</v>
      </c>
      <c r="JE67" s="591">
        <v>0</v>
      </c>
      <c r="JF67" s="591">
        <v>0</v>
      </c>
      <c r="JG67" s="591">
        <v>0</v>
      </c>
      <c r="JH67" s="591">
        <v>0</v>
      </c>
      <c r="JI67" s="591">
        <v>0</v>
      </c>
      <c r="JJ67" s="591">
        <v>0</v>
      </c>
      <c r="JK67" s="591">
        <v>0</v>
      </c>
      <c r="JL67" s="591">
        <v>0</v>
      </c>
      <c r="JM67" s="591">
        <v>0</v>
      </c>
      <c r="JN67" s="591">
        <v>32469</v>
      </c>
    </row>
    <row r="68" spans="1:274" x14ac:dyDescent="0.25">
      <c r="A68" s="591">
        <v>32570</v>
      </c>
      <c r="B68" s="591">
        <v>57848</v>
      </c>
      <c r="C68" s="591">
        <v>9</v>
      </c>
      <c r="D68" s="591">
        <v>2022</v>
      </c>
      <c r="E68" s="591">
        <v>6159</v>
      </c>
      <c r="F68" s="591">
        <v>0</v>
      </c>
      <c r="G68" s="591">
        <v>19677</v>
      </c>
      <c r="H68" s="591">
        <v>18557.385000000002</v>
      </c>
      <c r="I68" s="591">
        <v>18557.385000000002</v>
      </c>
      <c r="J68" s="591">
        <v>19677</v>
      </c>
      <c r="K68" s="591">
        <v>0</v>
      </c>
      <c r="L68" s="591">
        <v>6159</v>
      </c>
      <c r="M68" s="591">
        <v>0</v>
      </c>
      <c r="N68" s="591">
        <v>0</v>
      </c>
      <c r="O68" s="591">
        <v>0</v>
      </c>
      <c r="P68" s="591">
        <v>19751.718000000001</v>
      </c>
      <c r="Q68" s="591">
        <v>0</v>
      </c>
      <c r="R68" s="591">
        <v>7948644</v>
      </c>
      <c r="S68" s="591">
        <v>402.428</v>
      </c>
      <c r="T68" s="591">
        <v>0</v>
      </c>
      <c r="U68" s="591">
        <v>0</v>
      </c>
      <c r="V68" s="591">
        <v>7491.4000000000005</v>
      </c>
      <c r="W68" s="591">
        <v>4614015</v>
      </c>
      <c r="X68" s="591">
        <v>4614015</v>
      </c>
      <c r="Y68" s="591">
        <v>0</v>
      </c>
      <c r="Z68" s="591">
        <v>0</v>
      </c>
      <c r="AA68" s="591">
        <v>0</v>
      </c>
      <c r="AB68" s="591">
        <v>0</v>
      </c>
      <c r="AC68" s="591">
        <v>0</v>
      </c>
      <c r="AD68" s="591" t="s">
        <v>316</v>
      </c>
      <c r="AE68" s="591">
        <v>0</v>
      </c>
      <c r="AF68" s="591">
        <v>0</v>
      </c>
      <c r="AG68" s="591">
        <v>0</v>
      </c>
      <c r="AH68" s="591">
        <v>0</v>
      </c>
      <c r="AI68" s="591">
        <v>0</v>
      </c>
      <c r="AJ68" s="591">
        <v>6159</v>
      </c>
      <c r="AK68" s="591" t="s">
        <v>671</v>
      </c>
      <c r="AL68" s="591" t="s">
        <v>464</v>
      </c>
      <c r="AM68" s="591">
        <v>0</v>
      </c>
      <c r="AN68" s="591">
        <v>0</v>
      </c>
      <c r="AO68" s="591">
        <v>0</v>
      </c>
      <c r="AP68" s="591">
        <v>0</v>
      </c>
      <c r="AQ68" s="591">
        <v>0</v>
      </c>
      <c r="AR68" s="591">
        <v>0</v>
      </c>
      <c r="AS68" s="591">
        <v>0</v>
      </c>
      <c r="AT68" s="591">
        <v>0</v>
      </c>
      <c r="AU68" s="591">
        <v>0</v>
      </c>
      <c r="AV68" s="591">
        <v>0</v>
      </c>
      <c r="AW68" s="591">
        <v>196825019</v>
      </c>
      <c r="AX68" s="591">
        <v>193291456</v>
      </c>
      <c r="AY68" s="591">
        <v>0</v>
      </c>
      <c r="AZ68" s="591">
        <v>7948644</v>
      </c>
      <c r="BA68" s="591">
        <v>0</v>
      </c>
      <c r="BB68" s="591">
        <v>0</v>
      </c>
      <c r="BC68" s="591">
        <v>0</v>
      </c>
      <c r="BD68" s="591">
        <v>162</v>
      </c>
      <c r="BE68" s="591">
        <v>2574</v>
      </c>
      <c r="BF68" s="591">
        <v>178854668</v>
      </c>
      <c r="BG68" s="591">
        <v>0</v>
      </c>
      <c r="BH68" s="591">
        <v>0</v>
      </c>
      <c r="BI68" s="591">
        <v>0</v>
      </c>
      <c r="BJ68" s="591">
        <v>12</v>
      </c>
      <c r="BK68" s="591">
        <v>0</v>
      </c>
      <c r="BL68" s="591">
        <v>0</v>
      </c>
      <c r="BM68" s="591">
        <v>0</v>
      </c>
      <c r="BN68" s="591">
        <v>0</v>
      </c>
      <c r="BO68" s="591">
        <v>0</v>
      </c>
      <c r="BP68" s="591">
        <v>0</v>
      </c>
      <c r="BQ68" s="591">
        <v>0</v>
      </c>
      <c r="BR68" s="591">
        <v>0</v>
      </c>
      <c r="BS68" s="591">
        <v>0</v>
      </c>
      <c r="BT68" s="591">
        <v>0</v>
      </c>
      <c r="BU68" s="591">
        <v>0</v>
      </c>
      <c r="BV68" s="591">
        <v>0</v>
      </c>
      <c r="BW68" s="591">
        <v>0</v>
      </c>
      <c r="BX68" s="591">
        <v>0</v>
      </c>
      <c r="BY68" s="591">
        <v>0</v>
      </c>
      <c r="BZ68" s="591">
        <v>0</v>
      </c>
      <c r="CA68" s="591">
        <v>0</v>
      </c>
      <c r="CB68" s="591">
        <v>0</v>
      </c>
      <c r="CC68" s="591">
        <v>0</v>
      </c>
      <c r="CD68" s="591">
        <v>0</v>
      </c>
      <c r="CE68" s="591">
        <v>0</v>
      </c>
      <c r="CF68" s="591">
        <v>0</v>
      </c>
      <c r="CG68" s="591">
        <v>0</v>
      </c>
      <c r="CH68" s="591">
        <v>3565685</v>
      </c>
      <c r="CI68" s="591">
        <v>0</v>
      </c>
      <c r="CJ68" s="591">
        <v>4</v>
      </c>
      <c r="CK68" s="591">
        <v>0</v>
      </c>
      <c r="CL68" s="591">
        <v>0</v>
      </c>
      <c r="CM68" s="591">
        <v>0</v>
      </c>
      <c r="CN68" s="591">
        <v>0</v>
      </c>
      <c r="CO68" s="591">
        <v>1</v>
      </c>
      <c r="CP68" s="591">
        <v>0.27400000000000002</v>
      </c>
      <c r="CQ68" s="591">
        <v>0</v>
      </c>
      <c r="CR68" s="591">
        <v>19677</v>
      </c>
      <c r="CS68" s="591">
        <v>0</v>
      </c>
      <c r="CT68" s="591">
        <v>0</v>
      </c>
      <c r="CU68" s="591">
        <v>0</v>
      </c>
      <c r="CV68" s="591">
        <v>0</v>
      </c>
      <c r="CW68" s="591">
        <v>0</v>
      </c>
      <c r="CX68" s="591">
        <v>0</v>
      </c>
      <c r="CY68" s="591">
        <v>0</v>
      </c>
      <c r="CZ68" s="591">
        <v>0</v>
      </c>
      <c r="DA68" s="591">
        <v>0</v>
      </c>
      <c r="DB68" s="591">
        <v>114296464</v>
      </c>
      <c r="DC68" s="591">
        <v>0</v>
      </c>
      <c r="DD68" s="591">
        <v>0</v>
      </c>
      <c r="DE68" s="591">
        <v>20329822</v>
      </c>
      <c r="DF68" s="591">
        <v>20333889</v>
      </c>
      <c r="DG68" s="591">
        <v>3300.788</v>
      </c>
      <c r="DH68" s="591">
        <v>0</v>
      </c>
      <c r="DI68" s="591">
        <v>4067</v>
      </c>
      <c r="DJ68" s="591">
        <v>0</v>
      </c>
      <c r="DK68" s="591">
        <v>0</v>
      </c>
      <c r="DL68" s="591">
        <v>0</v>
      </c>
      <c r="DM68" s="591">
        <v>7744508</v>
      </c>
      <c r="DN68" s="591">
        <v>29548</v>
      </c>
      <c r="DO68" s="591">
        <v>0</v>
      </c>
      <c r="DP68" s="591">
        <v>0</v>
      </c>
      <c r="DQ68" s="591">
        <v>0</v>
      </c>
      <c r="DR68" s="591">
        <v>0</v>
      </c>
      <c r="DS68" s="591">
        <v>0</v>
      </c>
      <c r="DT68" s="591">
        <v>0</v>
      </c>
      <c r="DU68" s="591">
        <v>0</v>
      </c>
      <c r="DV68" s="591">
        <v>0</v>
      </c>
      <c r="DW68" s="591">
        <v>0</v>
      </c>
      <c r="DX68" s="591">
        <v>0</v>
      </c>
      <c r="DY68" s="591">
        <v>0</v>
      </c>
      <c r="DZ68" s="591">
        <v>0</v>
      </c>
      <c r="EA68" s="591">
        <v>0</v>
      </c>
      <c r="EB68" s="591">
        <v>0</v>
      </c>
      <c r="EC68" s="591">
        <v>247.96700000000001</v>
      </c>
      <c r="ED68" s="591">
        <v>1756337</v>
      </c>
      <c r="EE68" s="591">
        <v>0</v>
      </c>
      <c r="EF68" s="591">
        <v>0</v>
      </c>
      <c r="EG68" s="591">
        <v>0</v>
      </c>
      <c r="EH68" s="591">
        <v>6010279</v>
      </c>
      <c r="EI68" s="591">
        <v>7440</v>
      </c>
      <c r="EJ68" s="591">
        <v>0.30199999999999999</v>
      </c>
      <c r="EK68" s="591">
        <v>240.62</v>
      </c>
      <c r="EL68" s="591">
        <v>0</v>
      </c>
      <c r="EM68" s="591">
        <v>42.480000000000004</v>
      </c>
      <c r="EN68" s="591">
        <v>25.308</v>
      </c>
      <c r="EO68" s="591">
        <v>0</v>
      </c>
      <c r="EP68" s="591">
        <v>0</v>
      </c>
      <c r="EQ68" s="591">
        <v>308.70999999999998</v>
      </c>
      <c r="ER68" s="591">
        <v>0</v>
      </c>
      <c r="ES68" s="591">
        <v>975.84</v>
      </c>
      <c r="ET68" s="591">
        <v>0</v>
      </c>
      <c r="EU68" s="591">
        <v>0</v>
      </c>
      <c r="EV68" s="591">
        <v>0</v>
      </c>
      <c r="EW68" s="591">
        <v>0</v>
      </c>
      <c r="EX68" s="591">
        <v>0</v>
      </c>
      <c r="EY68" s="591">
        <v>0</v>
      </c>
      <c r="EZ68" s="591">
        <v>170986531</v>
      </c>
      <c r="FA68" s="591">
        <v>0</v>
      </c>
      <c r="FB68" s="591">
        <v>178903053</v>
      </c>
      <c r="FC68" s="591">
        <v>0</v>
      </c>
      <c r="FD68" s="591">
        <v>0</v>
      </c>
      <c r="FE68" s="591">
        <v>18526093</v>
      </c>
      <c r="FF68" s="591">
        <v>3778832</v>
      </c>
      <c r="FG68" s="591">
        <v>6.4728999999999995E-2</v>
      </c>
      <c r="FH68" s="591">
        <v>2.6405999999999999E-2</v>
      </c>
      <c r="FI68" s="591">
        <v>0</v>
      </c>
      <c r="FJ68" s="591">
        <v>0</v>
      </c>
      <c r="FK68" s="591">
        <v>29039.173999999999</v>
      </c>
      <c r="FL68" s="591">
        <v>204773663</v>
      </c>
      <c r="FM68" s="591">
        <v>0</v>
      </c>
      <c r="FN68" s="591">
        <v>0</v>
      </c>
      <c r="FO68" s="591">
        <v>22392</v>
      </c>
      <c r="FP68" s="591">
        <v>0</v>
      </c>
      <c r="FQ68" s="591">
        <v>22392</v>
      </c>
      <c r="FR68" s="591">
        <v>22392</v>
      </c>
      <c r="FS68" s="591">
        <v>0</v>
      </c>
      <c r="FT68" s="591">
        <v>0</v>
      </c>
      <c r="FU68" s="591">
        <v>0</v>
      </c>
      <c r="FV68" s="591">
        <v>0</v>
      </c>
      <c r="FW68" s="591">
        <v>0</v>
      </c>
      <c r="FX68" s="591">
        <v>0</v>
      </c>
      <c r="FY68" s="591">
        <v>0</v>
      </c>
      <c r="FZ68" s="591">
        <v>0</v>
      </c>
      <c r="GA68" s="591">
        <v>0</v>
      </c>
      <c r="GB68" s="591">
        <v>6742481</v>
      </c>
      <c r="GC68" s="591">
        <v>6742481</v>
      </c>
      <c r="GD68" s="591">
        <v>810.90500000000009</v>
      </c>
      <c r="GE68" s="591">
        <v>0</v>
      </c>
      <c r="GF68" s="591">
        <v>0</v>
      </c>
      <c r="GG68" s="591">
        <v>0</v>
      </c>
      <c r="GH68" s="591">
        <v>0</v>
      </c>
      <c r="GI68" s="591">
        <v>0</v>
      </c>
      <c r="GJ68" s="591">
        <v>0</v>
      </c>
      <c r="GK68" s="591">
        <v>0</v>
      </c>
      <c r="GL68" s="591">
        <v>0</v>
      </c>
      <c r="GM68" s="591">
        <v>0</v>
      </c>
      <c r="GN68" s="591">
        <v>0</v>
      </c>
      <c r="GO68" s="591">
        <v>0</v>
      </c>
      <c r="GP68" s="591">
        <v>0</v>
      </c>
      <c r="GQ68" s="591">
        <v>0</v>
      </c>
      <c r="GR68" s="591">
        <v>0</v>
      </c>
      <c r="GS68" s="591">
        <v>0</v>
      </c>
      <c r="GT68" s="591">
        <v>0</v>
      </c>
      <c r="GU68" s="591">
        <v>0</v>
      </c>
      <c r="GV68" s="591">
        <v>0</v>
      </c>
      <c r="GW68" s="591">
        <v>0</v>
      </c>
      <c r="GX68" s="591">
        <v>0</v>
      </c>
      <c r="GY68" s="591">
        <v>0</v>
      </c>
      <c r="GZ68" s="591">
        <v>0</v>
      </c>
      <c r="HA68" s="591">
        <v>0</v>
      </c>
      <c r="HB68" s="591">
        <v>260009272</v>
      </c>
      <c r="HC68" s="591">
        <v>5.1774999999999995E-2</v>
      </c>
      <c r="HD68" s="591">
        <v>3565685</v>
      </c>
      <c r="HE68" s="591">
        <v>0</v>
      </c>
      <c r="HF68" s="591">
        <v>20394566</v>
      </c>
      <c r="HG68" s="591">
        <v>157673</v>
      </c>
      <c r="HH68" s="591">
        <v>3965068</v>
      </c>
      <c r="HI68" s="591">
        <v>0</v>
      </c>
      <c r="HJ68" s="591">
        <v>191260</v>
      </c>
      <c r="HK68" s="591">
        <v>30949</v>
      </c>
      <c r="HL68" s="591">
        <v>27166</v>
      </c>
      <c r="HM68" s="591">
        <v>69000</v>
      </c>
      <c r="HN68" s="591">
        <v>316196</v>
      </c>
      <c r="HO68" s="591">
        <v>0</v>
      </c>
      <c r="HP68" s="591">
        <v>0</v>
      </c>
      <c r="HQ68" s="591">
        <v>0</v>
      </c>
      <c r="HR68" s="591">
        <v>0</v>
      </c>
      <c r="HS68" s="591">
        <v>170954409</v>
      </c>
      <c r="HT68" s="591">
        <v>0</v>
      </c>
      <c r="HU68" s="591">
        <v>0</v>
      </c>
      <c r="HV68" s="591">
        <v>0</v>
      </c>
      <c r="HW68" s="591">
        <v>0</v>
      </c>
      <c r="HX68" s="591">
        <v>2870</v>
      </c>
      <c r="HY68" s="591">
        <v>2969</v>
      </c>
      <c r="HZ68" s="591">
        <v>2638</v>
      </c>
      <c r="IA68" s="591">
        <v>2434</v>
      </c>
      <c r="IB68" s="591">
        <v>2369</v>
      </c>
      <c r="IC68" s="591">
        <v>13280</v>
      </c>
      <c r="ID68" s="591">
        <v>0</v>
      </c>
      <c r="IE68" s="591">
        <v>0</v>
      </c>
      <c r="IF68" s="591">
        <v>0</v>
      </c>
      <c r="IG68" s="591">
        <v>256</v>
      </c>
      <c r="IH68" s="591">
        <v>6437.7580000000007</v>
      </c>
      <c r="II68" s="591">
        <v>0</v>
      </c>
      <c r="IJ68" s="591">
        <v>7491.4000000000005</v>
      </c>
      <c r="IK68" s="591">
        <v>0</v>
      </c>
      <c r="IL68" s="591">
        <v>11</v>
      </c>
      <c r="IM68" s="591">
        <v>4</v>
      </c>
      <c r="IN68" s="591">
        <v>1</v>
      </c>
      <c r="IO68" s="591">
        <v>16</v>
      </c>
      <c r="IP68" s="591">
        <v>0</v>
      </c>
      <c r="IQ68" s="591">
        <v>7491.4000000000005</v>
      </c>
      <c r="IR68" s="591">
        <v>4614015</v>
      </c>
      <c r="IS68" s="591">
        <v>0</v>
      </c>
      <c r="IT68" s="591">
        <v>55000</v>
      </c>
      <c r="IU68" s="591">
        <v>12000</v>
      </c>
      <c r="IV68" s="591">
        <v>2000</v>
      </c>
      <c r="IW68" s="591">
        <v>6159</v>
      </c>
      <c r="IX68" s="591">
        <v>0</v>
      </c>
      <c r="IY68" s="591">
        <v>0</v>
      </c>
      <c r="IZ68" s="591">
        <v>0</v>
      </c>
      <c r="JA68" s="591">
        <v>0</v>
      </c>
      <c r="JB68" s="591">
        <v>10</v>
      </c>
      <c r="JC68" s="591">
        <v>179756</v>
      </c>
      <c r="JD68" s="591">
        <v>9</v>
      </c>
      <c r="JE68" s="591">
        <v>83712</v>
      </c>
      <c r="JF68" s="591">
        <v>8</v>
      </c>
      <c r="JG68" s="591">
        <v>37728</v>
      </c>
      <c r="JH68" s="591">
        <v>15000</v>
      </c>
      <c r="JI68" s="591">
        <v>0</v>
      </c>
      <c r="JJ68" s="591">
        <v>0</v>
      </c>
      <c r="JK68" s="591">
        <v>0</v>
      </c>
      <c r="JL68" s="591">
        <v>0</v>
      </c>
      <c r="JM68" s="591">
        <v>0</v>
      </c>
      <c r="JN68" s="591">
        <v>32469</v>
      </c>
    </row>
    <row r="69" spans="1:274" x14ac:dyDescent="0.25">
      <c r="A69" s="591">
        <v>32570</v>
      </c>
      <c r="B69" s="591">
        <v>57850</v>
      </c>
      <c r="C69" s="591">
        <v>9</v>
      </c>
      <c r="D69" s="591">
        <v>2022</v>
      </c>
      <c r="E69" s="591">
        <v>6159</v>
      </c>
      <c r="F69" s="591">
        <v>0</v>
      </c>
      <c r="G69" s="591">
        <v>1685.7170000000001</v>
      </c>
      <c r="H69" s="591">
        <v>1531.3140000000001</v>
      </c>
      <c r="I69" s="591">
        <v>1531.3140000000001</v>
      </c>
      <c r="J69" s="591">
        <v>1685.7170000000001</v>
      </c>
      <c r="K69" s="591">
        <v>0</v>
      </c>
      <c r="L69" s="591">
        <v>6159</v>
      </c>
      <c r="M69" s="591">
        <v>0</v>
      </c>
      <c r="N69" s="591">
        <v>0</v>
      </c>
      <c r="O69" s="591">
        <v>0</v>
      </c>
      <c r="P69" s="591">
        <v>1621.403</v>
      </c>
      <c r="Q69" s="591">
        <v>0</v>
      </c>
      <c r="R69" s="591">
        <v>652498</v>
      </c>
      <c r="S69" s="591">
        <v>402.428</v>
      </c>
      <c r="T69" s="591">
        <v>0</v>
      </c>
      <c r="U69" s="591">
        <v>0</v>
      </c>
      <c r="V69" s="591">
        <v>326.60000000000002</v>
      </c>
      <c r="W69" s="591">
        <v>201156</v>
      </c>
      <c r="X69" s="591">
        <v>201156</v>
      </c>
      <c r="Y69" s="591">
        <v>0</v>
      </c>
      <c r="Z69" s="591">
        <v>0</v>
      </c>
      <c r="AA69" s="591">
        <v>0</v>
      </c>
      <c r="AB69" s="591">
        <v>0</v>
      </c>
      <c r="AC69" s="591">
        <v>0</v>
      </c>
      <c r="AD69" s="591" t="s">
        <v>316</v>
      </c>
      <c r="AE69" s="591">
        <v>0</v>
      </c>
      <c r="AF69" s="591">
        <v>0</v>
      </c>
      <c r="AG69" s="591">
        <v>0</v>
      </c>
      <c r="AH69" s="591">
        <v>0</v>
      </c>
      <c r="AI69" s="591">
        <v>0</v>
      </c>
      <c r="AJ69" s="591">
        <v>6159</v>
      </c>
      <c r="AK69" s="591" t="s">
        <v>671</v>
      </c>
      <c r="AL69" s="591" t="s">
        <v>388</v>
      </c>
      <c r="AM69" s="591">
        <v>0</v>
      </c>
      <c r="AN69" s="591">
        <v>0</v>
      </c>
      <c r="AO69" s="591">
        <v>0</v>
      </c>
      <c r="AP69" s="591">
        <v>0</v>
      </c>
      <c r="AQ69" s="591">
        <v>0</v>
      </c>
      <c r="AR69" s="591">
        <v>0</v>
      </c>
      <c r="AS69" s="591">
        <v>0</v>
      </c>
      <c r="AT69" s="591">
        <v>0</v>
      </c>
      <c r="AU69" s="591">
        <v>0</v>
      </c>
      <c r="AV69" s="591">
        <v>0</v>
      </c>
      <c r="AW69" s="591">
        <v>15526873</v>
      </c>
      <c r="AX69" s="591">
        <v>15223387</v>
      </c>
      <c r="AY69" s="591">
        <v>0</v>
      </c>
      <c r="AZ69" s="591">
        <v>652498</v>
      </c>
      <c r="BA69" s="591">
        <v>0</v>
      </c>
      <c r="BB69" s="591">
        <v>0</v>
      </c>
      <c r="BC69" s="591">
        <v>0</v>
      </c>
      <c r="BD69" s="591">
        <v>0</v>
      </c>
      <c r="BE69" s="591">
        <v>203</v>
      </c>
      <c r="BF69" s="591">
        <v>14108695</v>
      </c>
      <c r="BG69" s="591">
        <v>0</v>
      </c>
      <c r="BH69" s="591">
        <v>0</v>
      </c>
      <c r="BI69" s="591">
        <v>0</v>
      </c>
      <c r="BJ69" s="591">
        <v>12</v>
      </c>
      <c r="BK69" s="591">
        <v>0</v>
      </c>
      <c r="BL69" s="591">
        <v>0</v>
      </c>
      <c r="BM69" s="591">
        <v>0</v>
      </c>
      <c r="BN69" s="591">
        <v>0</v>
      </c>
      <c r="BO69" s="591">
        <v>0</v>
      </c>
      <c r="BP69" s="591">
        <v>0</v>
      </c>
      <c r="BQ69" s="591">
        <v>534</v>
      </c>
      <c r="BR69" s="591">
        <v>0</v>
      </c>
      <c r="BS69" s="591">
        <v>0</v>
      </c>
      <c r="BT69" s="591">
        <v>0</v>
      </c>
      <c r="BU69" s="591">
        <v>0</v>
      </c>
      <c r="BV69" s="591">
        <v>0</v>
      </c>
      <c r="BW69" s="591">
        <v>0</v>
      </c>
      <c r="BX69" s="591">
        <v>0</v>
      </c>
      <c r="BY69" s="591">
        <v>0</v>
      </c>
      <c r="BZ69" s="591">
        <v>0</v>
      </c>
      <c r="CA69" s="591">
        <v>0</v>
      </c>
      <c r="CB69" s="591">
        <v>0</v>
      </c>
      <c r="CC69" s="591">
        <v>0</v>
      </c>
      <c r="CD69" s="591">
        <v>0</v>
      </c>
      <c r="CE69" s="591">
        <v>0</v>
      </c>
      <c r="CF69" s="591">
        <v>0</v>
      </c>
      <c r="CG69" s="591">
        <v>0</v>
      </c>
      <c r="CH69" s="591">
        <v>305470</v>
      </c>
      <c r="CI69" s="591">
        <v>0</v>
      </c>
      <c r="CJ69" s="591">
        <v>4</v>
      </c>
      <c r="CK69" s="591">
        <v>0</v>
      </c>
      <c r="CL69" s="591">
        <v>0</v>
      </c>
      <c r="CM69" s="591">
        <v>0</v>
      </c>
      <c r="CN69" s="591">
        <v>0</v>
      </c>
      <c r="CO69" s="591">
        <v>1</v>
      </c>
      <c r="CP69" s="591">
        <v>0</v>
      </c>
      <c r="CQ69" s="591">
        <v>0</v>
      </c>
      <c r="CR69" s="591">
        <v>1685.7170000000001</v>
      </c>
      <c r="CS69" s="591">
        <v>0</v>
      </c>
      <c r="CT69" s="591">
        <v>0</v>
      </c>
      <c r="CU69" s="591">
        <v>0</v>
      </c>
      <c r="CV69" s="591">
        <v>0</v>
      </c>
      <c r="CW69" s="591">
        <v>0</v>
      </c>
      <c r="CX69" s="591">
        <v>0</v>
      </c>
      <c r="CY69" s="591">
        <v>0</v>
      </c>
      <c r="CZ69" s="591">
        <v>0</v>
      </c>
      <c r="DA69" s="591">
        <v>0</v>
      </c>
      <c r="DB69" s="591">
        <v>9431489</v>
      </c>
      <c r="DC69" s="591">
        <v>0</v>
      </c>
      <c r="DD69" s="591">
        <v>0</v>
      </c>
      <c r="DE69" s="591">
        <v>1053511</v>
      </c>
      <c r="DF69" s="591">
        <v>1053511</v>
      </c>
      <c r="DG69" s="591">
        <v>171.05</v>
      </c>
      <c r="DH69" s="591">
        <v>0</v>
      </c>
      <c r="DI69" s="591">
        <v>0</v>
      </c>
      <c r="DJ69" s="591">
        <v>0</v>
      </c>
      <c r="DK69" s="591">
        <v>169</v>
      </c>
      <c r="DL69" s="591">
        <v>0</v>
      </c>
      <c r="DM69" s="591">
        <v>466903</v>
      </c>
      <c r="DN69" s="591">
        <v>1781</v>
      </c>
      <c r="DO69" s="591">
        <v>0</v>
      </c>
      <c r="DP69" s="591">
        <v>0</v>
      </c>
      <c r="DQ69" s="591">
        <v>0</v>
      </c>
      <c r="DR69" s="591">
        <v>0</v>
      </c>
      <c r="DS69" s="591">
        <v>0</v>
      </c>
      <c r="DT69" s="591">
        <v>0</v>
      </c>
      <c r="DU69" s="591">
        <v>0</v>
      </c>
      <c r="DV69" s="591">
        <v>0</v>
      </c>
      <c r="DW69" s="591">
        <v>0</v>
      </c>
      <c r="DX69" s="591">
        <v>0</v>
      </c>
      <c r="DY69" s="591">
        <v>0</v>
      </c>
      <c r="DZ69" s="591">
        <v>0</v>
      </c>
      <c r="EA69" s="591">
        <v>0</v>
      </c>
      <c r="EB69" s="591">
        <v>0</v>
      </c>
      <c r="EC69" s="591">
        <v>54.583000000000006</v>
      </c>
      <c r="ED69" s="591">
        <v>386608</v>
      </c>
      <c r="EE69" s="591">
        <v>0</v>
      </c>
      <c r="EF69" s="591">
        <v>0</v>
      </c>
      <c r="EG69" s="591">
        <v>0</v>
      </c>
      <c r="EH69" s="591">
        <v>82076</v>
      </c>
      <c r="EI69" s="591">
        <v>0</v>
      </c>
      <c r="EJ69" s="591">
        <v>0</v>
      </c>
      <c r="EK69" s="591">
        <v>1.754</v>
      </c>
      <c r="EL69" s="591">
        <v>0</v>
      </c>
      <c r="EM69" s="591">
        <v>0.38300000000000001</v>
      </c>
      <c r="EN69" s="591">
        <v>1.383</v>
      </c>
      <c r="EO69" s="591">
        <v>0</v>
      </c>
      <c r="EP69" s="591">
        <v>0</v>
      </c>
      <c r="EQ69" s="591">
        <v>3.52</v>
      </c>
      <c r="ER69" s="591">
        <v>0</v>
      </c>
      <c r="ES69" s="591">
        <v>13.326000000000001</v>
      </c>
      <c r="ET69" s="591">
        <v>0</v>
      </c>
      <c r="EU69" s="591">
        <v>0</v>
      </c>
      <c r="EV69" s="591">
        <v>0</v>
      </c>
      <c r="EW69" s="591">
        <v>0</v>
      </c>
      <c r="EX69" s="591">
        <v>0</v>
      </c>
      <c r="EY69" s="591">
        <v>0</v>
      </c>
      <c r="EZ69" s="591">
        <v>13463894</v>
      </c>
      <c r="FA69" s="591">
        <v>0</v>
      </c>
      <c r="FB69" s="591">
        <v>14114408</v>
      </c>
      <c r="FC69" s="591">
        <v>0</v>
      </c>
      <c r="FD69" s="591">
        <v>0</v>
      </c>
      <c r="FE69" s="591">
        <v>1461405</v>
      </c>
      <c r="FF69" s="591">
        <v>298088</v>
      </c>
      <c r="FG69" s="591">
        <v>6.4728999999999995E-2</v>
      </c>
      <c r="FH69" s="591">
        <v>2.6405999999999999E-2</v>
      </c>
      <c r="FI69" s="591">
        <v>0</v>
      </c>
      <c r="FJ69" s="591">
        <v>0</v>
      </c>
      <c r="FK69" s="591">
        <v>2290.7139999999999</v>
      </c>
      <c r="FL69" s="591">
        <v>16179371</v>
      </c>
      <c r="FM69" s="591">
        <v>0</v>
      </c>
      <c r="FN69" s="591">
        <v>0</v>
      </c>
      <c r="FO69" s="591">
        <v>0</v>
      </c>
      <c r="FP69" s="591">
        <v>0</v>
      </c>
      <c r="FQ69" s="591">
        <v>0</v>
      </c>
      <c r="FR69" s="591">
        <v>0</v>
      </c>
      <c r="FS69" s="591">
        <v>0</v>
      </c>
      <c r="FT69" s="591">
        <v>0</v>
      </c>
      <c r="FU69" s="591">
        <v>0</v>
      </c>
      <c r="FV69" s="591">
        <v>0</v>
      </c>
      <c r="FW69" s="591">
        <v>0</v>
      </c>
      <c r="FX69" s="591">
        <v>0</v>
      </c>
      <c r="FY69" s="591">
        <v>0</v>
      </c>
      <c r="FZ69" s="591">
        <v>0</v>
      </c>
      <c r="GA69" s="591">
        <v>0</v>
      </c>
      <c r="GB69" s="591">
        <v>1254556</v>
      </c>
      <c r="GC69" s="591">
        <v>1254556</v>
      </c>
      <c r="GD69" s="591">
        <v>150.88300000000001</v>
      </c>
      <c r="GE69" s="591">
        <v>0</v>
      </c>
      <c r="GF69" s="591">
        <v>0</v>
      </c>
      <c r="GG69" s="591">
        <v>0</v>
      </c>
      <c r="GH69" s="591">
        <v>0</v>
      </c>
      <c r="GI69" s="591">
        <v>0</v>
      </c>
      <c r="GJ69" s="591">
        <v>0</v>
      </c>
      <c r="GK69" s="591">
        <v>0</v>
      </c>
      <c r="GL69" s="591">
        <v>0</v>
      </c>
      <c r="GM69" s="591">
        <v>0</v>
      </c>
      <c r="GN69" s="591">
        <v>0</v>
      </c>
      <c r="GO69" s="591">
        <v>0</v>
      </c>
      <c r="GP69" s="591">
        <v>0</v>
      </c>
      <c r="GQ69" s="591">
        <v>0</v>
      </c>
      <c r="GR69" s="591">
        <v>0</v>
      </c>
      <c r="GS69" s="591">
        <v>0</v>
      </c>
      <c r="GT69" s="591">
        <v>0</v>
      </c>
      <c r="GU69" s="591">
        <v>0</v>
      </c>
      <c r="GV69" s="591">
        <v>0</v>
      </c>
      <c r="GW69" s="591">
        <v>0</v>
      </c>
      <c r="GX69" s="591">
        <v>0</v>
      </c>
      <c r="GY69" s="591">
        <v>0</v>
      </c>
      <c r="GZ69" s="591">
        <v>0</v>
      </c>
      <c r="HA69" s="591">
        <v>0</v>
      </c>
      <c r="HB69" s="591">
        <v>260009272</v>
      </c>
      <c r="HC69" s="591">
        <v>5.1774999999999995E-2</v>
      </c>
      <c r="HD69" s="591">
        <v>305470</v>
      </c>
      <c r="HE69" s="591">
        <v>0</v>
      </c>
      <c r="HF69" s="591">
        <v>1682914</v>
      </c>
      <c r="HG69" s="591">
        <v>0</v>
      </c>
      <c r="HH69" s="591">
        <v>0</v>
      </c>
      <c r="HI69" s="591">
        <v>0</v>
      </c>
      <c r="HJ69" s="591">
        <v>16385</v>
      </c>
      <c r="HK69" s="591">
        <v>2546</v>
      </c>
      <c r="HL69" s="591">
        <v>5151</v>
      </c>
      <c r="HM69" s="591">
        <v>0</v>
      </c>
      <c r="HN69" s="591">
        <v>0</v>
      </c>
      <c r="HO69" s="591">
        <v>0</v>
      </c>
      <c r="HP69" s="591">
        <v>0</v>
      </c>
      <c r="HQ69" s="591">
        <v>0</v>
      </c>
      <c r="HR69" s="591">
        <v>0</v>
      </c>
      <c r="HS69" s="591">
        <v>13461910</v>
      </c>
      <c r="HT69" s="591">
        <v>0</v>
      </c>
      <c r="HU69" s="591">
        <v>0</v>
      </c>
      <c r="HV69" s="591">
        <v>0</v>
      </c>
      <c r="HW69" s="591">
        <v>0</v>
      </c>
      <c r="HX69" s="591">
        <v>196</v>
      </c>
      <c r="HY69" s="591">
        <v>90</v>
      </c>
      <c r="HZ69" s="591">
        <v>140</v>
      </c>
      <c r="IA69" s="591">
        <v>140</v>
      </c>
      <c r="IB69" s="591">
        <v>123</v>
      </c>
      <c r="IC69" s="591">
        <v>689</v>
      </c>
      <c r="ID69" s="591">
        <v>0</v>
      </c>
      <c r="IE69" s="591">
        <v>0</v>
      </c>
      <c r="IF69" s="591">
        <v>0</v>
      </c>
      <c r="IG69" s="591">
        <v>0</v>
      </c>
      <c r="IH69" s="591">
        <v>0</v>
      </c>
      <c r="II69" s="591">
        <v>0</v>
      </c>
      <c r="IJ69" s="591">
        <v>326.60000000000002</v>
      </c>
      <c r="IK69" s="591">
        <v>0</v>
      </c>
      <c r="IL69" s="591">
        <v>0</v>
      </c>
      <c r="IM69" s="591">
        <v>0</v>
      </c>
      <c r="IN69" s="591">
        <v>0</v>
      </c>
      <c r="IO69" s="591">
        <v>0</v>
      </c>
      <c r="IP69" s="591">
        <v>0</v>
      </c>
      <c r="IQ69" s="591">
        <v>326.60000000000002</v>
      </c>
      <c r="IR69" s="591">
        <v>201156</v>
      </c>
      <c r="IS69" s="591">
        <v>0</v>
      </c>
      <c r="IT69" s="591">
        <v>0</v>
      </c>
      <c r="IU69" s="591">
        <v>0</v>
      </c>
      <c r="IV69" s="591">
        <v>0</v>
      </c>
      <c r="IW69" s="591">
        <v>6159</v>
      </c>
      <c r="IX69" s="591">
        <v>0</v>
      </c>
      <c r="IY69" s="591">
        <v>0</v>
      </c>
      <c r="IZ69" s="591">
        <v>0</v>
      </c>
      <c r="JA69" s="591">
        <v>0</v>
      </c>
      <c r="JB69" s="591">
        <v>0</v>
      </c>
      <c r="JC69" s="591">
        <v>0</v>
      </c>
      <c r="JD69" s="591">
        <v>0</v>
      </c>
      <c r="JE69" s="591">
        <v>0</v>
      </c>
      <c r="JF69" s="591">
        <v>0</v>
      </c>
      <c r="JG69" s="591">
        <v>0</v>
      </c>
      <c r="JH69" s="591">
        <v>0</v>
      </c>
      <c r="JI69" s="591">
        <v>0</v>
      </c>
      <c r="JJ69" s="591">
        <v>0</v>
      </c>
      <c r="JK69" s="591">
        <v>0</v>
      </c>
      <c r="JL69" s="591">
        <v>0</v>
      </c>
      <c r="JM69" s="591">
        <v>0</v>
      </c>
      <c r="JN69" s="591">
        <v>32469</v>
      </c>
    </row>
    <row r="70" spans="1:274" x14ac:dyDescent="0.25">
      <c r="A70" s="591">
        <v>32570</v>
      </c>
      <c r="B70" s="591">
        <v>57851</v>
      </c>
      <c r="C70" s="591">
        <v>9</v>
      </c>
      <c r="D70" s="591">
        <v>2022</v>
      </c>
      <c r="E70" s="591">
        <v>6159</v>
      </c>
      <c r="F70" s="591">
        <v>0</v>
      </c>
      <c r="G70" s="591">
        <v>72.787000000000006</v>
      </c>
      <c r="H70" s="591">
        <v>67.62700000000001</v>
      </c>
      <c r="I70" s="591">
        <v>67.62700000000001</v>
      </c>
      <c r="J70" s="591">
        <v>72.787000000000006</v>
      </c>
      <c r="K70" s="591">
        <v>0</v>
      </c>
      <c r="L70" s="591">
        <v>6159</v>
      </c>
      <c r="M70" s="591">
        <v>0</v>
      </c>
      <c r="N70" s="591">
        <v>0</v>
      </c>
      <c r="O70" s="591">
        <v>0</v>
      </c>
      <c r="P70" s="591">
        <v>75.094000000000008</v>
      </c>
      <c r="Q70" s="591">
        <v>0</v>
      </c>
      <c r="R70" s="591">
        <v>30220</v>
      </c>
      <c r="S70" s="591">
        <v>402.428</v>
      </c>
      <c r="T70" s="591">
        <v>0</v>
      </c>
      <c r="U70" s="591">
        <v>0</v>
      </c>
      <c r="V70" s="591">
        <v>18.102</v>
      </c>
      <c r="W70" s="591">
        <v>11149</v>
      </c>
      <c r="X70" s="591">
        <v>11149</v>
      </c>
      <c r="Y70" s="591">
        <v>0</v>
      </c>
      <c r="Z70" s="591">
        <v>0</v>
      </c>
      <c r="AA70" s="591">
        <v>0</v>
      </c>
      <c r="AB70" s="591">
        <v>0</v>
      </c>
      <c r="AC70" s="591">
        <v>0</v>
      </c>
      <c r="AD70" s="591" t="s">
        <v>316</v>
      </c>
      <c r="AE70" s="591">
        <v>0</v>
      </c>
      <c r="AF70" s="591">
        <v>0</v>
      </c>
      <c r="AG70" s="591">
        <v>0</v>
      </c>
      <c r="AH70" s="591">
        <v>0</v>
      </c>
      <c r="AI70" s="591">
        <v>0</v>
      </c>
      <c r="AJ70" s="591">
        <v>6159</v>
      </c>
      <c r="AK70" s="591" t="s">
        <v>671</v>
      </c>
      <c r="AL70" s="591" t="s">
        <v>442</v>
      </c>
      <c r="AM70" s="591">
        <v>0</v>
      </c>
      <c r="AN70" s="591">
        <v>0</v>
      </c>
      <c r="AO70" s="591">
        <v>0</v>
      </c>
      <c r="AP70" s="591">
        <v>0</v>
      </c>
      <c r="AQ70" s="591">
        <v>0</v>
      </c>
      <c r="AR70" s="591">
        <v>0</v>
      </c>
      <c r="AS70" s="591">
        <v>0</v>
      </c>
      <c r="AT70" s="591">
        <v>0</v>
      </c>
      <c r="AU70" s="591">
        <v>0</v>
      </c>
      <c r="AV70" s="591">
        <v>0</v>
      </c>
      <c r="AW70" s="591">
        <v>754212</v>
      </c>
      <c r="AX70" s="591">
        <v>754630</v>
      </c>
      <c r="AY70" s="591">
        <v>0</v>
      </c>
      <c r="AZ70" s="591">
        <v>30220</v>
      </c>
      <c r="BA70" s="591">
        <v>0</v>
      </c>
      <c r="BB70" s="591">
        <v>0</v>
      </c>
      <c r="BC70" s="591">
        <v>0</v>
      </c>
      <c r="BD70" s="591">
        <v>0</v>
      </c>
      <c r="BE70" s="591">
        <v>10</v>
      </c>
      <c r="BF70" s="591">
        <v>697824</v>
      </c>
      <c r="BG70" s="591">
        <v>0</v>
      </c>
      <c r="BH70" s="591">
        <v>0</v>
      </c>
      <c r="BI70" s="591">
        <v>0</v>
      </c>
      <c r="BJ70" s="591">
        <v>12</v>
      </c>
      <c r="BK70" s="591">
        <v>0</v>
      </c>
      <c r="BL70" s="591">
        <v>0</v>
      </c>
      <c r="BM70" s="591">
        <v>0</v>
      </c>
      <c r="BN70" s="591">
        <v>0</v>
      </c>
      <c r="BO70" s="591">
        <v>0</v>
      </c>
      <c r="BP70" s="591">
        <v>0</v>
      </c>
      <c r="BQ70" s="591">
        <v>759</v>
      </c>
      <c r="BR70" s="591">
        <v>0</v>
      </c>
      <c r="BS70" s="591">
        <v>0</v>
      </c>
      <c r="BT70" s="591">
        <v>0</v>
      </c>
      <c r="BU70" s="591">
        <v>0</v>
      </c>
      <c r="BV70" s="591">
        <v>0</v>
      </c>
      <c r="BW70" s="591">
        <v>0</v>
      </c>
      <c r="BX70" s="591">
        <v>0</v>
      </c>
      <c r="BY70" s="591">
        <v>0</v>
      </c>
      <c r="BZ70" s="591">
        <v>0</v>
      </c>
      <c r="CA70" s="591">
        <v>0</v>
      </c>
      <c r="CB70" s="591">
        <v>0</v>
      </c>
      <c r="CC70" s="591">
        <v>0</v>
      </c>
      <c r="CD70" s="591">
        <v>0</v>
      </c>
      <c r="CE70" s="591">
        <v>0</v>
      </c>
      <c r="CF70" s="591">
        <v>0</v>
      </c>
      <c r="CG70" s="591">
        <v>0</v>
      </c>
      <c r="CH70" s="591">
        <v>0</v>
      </c>
      <c r="CI70" s="591">
        <v>0</v>
      </c>
      <c r="CJ70" s="591">
        <v>4</v>
      </c>
      <c r="CK70" s="591">
        <v>0</v>
      </c>
      <c r="CL70" s="591">
        <v>0</v>
      </c>
      <c r="CM70" s="591">
        <v>0</v>
      </c>
      <c r="CN70" s="591">
        <v>0</v>
      </c>
      <c r="CO70" s="591">
        <v>1</v>
      </c>
      <c r="CP70" s="591">
        <v>0</v>
      </c>
      <c r="CQ70" s="591">
        <v>0</v>
      </c>
      <c r="CR70" s="591">
        <v>72.787000000000006</v>
      </c>
      <c r="CS70" s="591">
        <v>0</v>
      </c>
      <c r="CT70" s="591">
        <v>0</v>
      </c>
      <c r="CU70" s="591">
        <v>0</v>
      </c>
      <c r="CV70" s="591">
        <v>0</v>
      </c>
      <c r="CW70" s="591">
        <v>0</v>
      </c>
      <c r="CX70" s="591">
        <v>0</v>
      </c>
      <c r="CY70" s="591">
        <v>0</v>
      </c>
      <c r="CZ70" s="591">
        <v>0</v>
      </c>
      <c r="DA70" s="591">
        <v>0</v>
      </c>
      <c r="DB70" s="591">
        <v>412795</v>
      </c>
      <c r="DC70" s="591">
        <v>0</v>
      </c>
      <c r="DD70" s="591">
        <v>0</v>
      </c>
      <c r="DE70" s="591">
        <v>67288</v>
      </c>
      <c r="DF70" s="591">
        <v>67288</v>
      </c>
      <c r="DG70" s="591">
        <v>10.925000000000001</v>
      </c>
      <c r="DH70" s="591">
        <v>0</v>
      </c>
      <c r="DI70" s="591">
        <v>0</v>
      </c>
      <c r="DJ70" s="591">
        <v>0</v>
      </c>
      <c r="DK70" s="591">
        <v>3775</v>
      </c>
      <c r="DL70" s="591">
        <v>0</v>
      </c>
      <c r="DM70" s="591">
        <v>110626</v>
      </c>
      <c r="DN70" s="591">
        <v>408</v>
      </c>
      <c r="DO70" s="591">
        <v>0</v>
      </c>
      <c r="DP70" s="591">
        <v>0</v>
      </c>
      <c r="DQ70" s="591">
        <v>0</v>
      </c>
      <c r="DR70" s="591">
        <v>0</v>
      </c>
      <c r="DS70" s="591">
        <v>0</v>
      </c>
      <c r="DT70" s="591">
        <v>0</v>
      </c>
      <c r="DU70" s="591">
        <v>0</v>
      </c>
      <c r="DV70" s="591">
        <v>0</v>
      </c>
      <c r="DW70" s="591">
        <v>0</v>
      </c>
      <c r="DX70" s="591">
        <v>0</v>
      </c>
      <c r="DY70" s="591">
        <v>0</v>
      </c>
      <c r="DZ70" s="591">
        <v>0</v>
      </c>
      <c r="EA70" s="591">
        <v>0</v>
      </c>
      <c r="EB70" s="591">
        <v>0</v>
      </c>
      <c r="EC70" s="591">
        <v>0.98</v>
      </c>
      <c r="ED70" s="591">
        <v>6941</v>
      </c>
      <c r="EE70" s="591">
        <v>0</v>
      </c>
      <c r="EF70" s="591">
        <v>0</v>
      </c>
      <c r="EG70" s="591">
        <v>0</v>
      </c>
      <c r="EH70" s="591">
        <v>100368</v>
      </c>
      <c r="EI70" s="591">
        <v>0</v>
      </c>
      <c r="EJ70" s="591">
        <v>0</v>
      </c>
      <c r="EK70" s="591">
        <v>4.7520000000000007</v>
      </c>
      <c r="EL70" s="591">
        <v>0</v>
      </c>
      <c r="EM70" s="591">
        <v>0</v>
      </c>
      <c r="EN70" s="591">
        <v>0.40800000000000003</v>
      </c>
      <c r="EO70" s="591">
        <v>0</v>
      </c>
      <c r="EP70" s="591">
        <v>0</v>
      </c>
      <c r="EQ70" s="591">
        <v>5.16</v>
      </c>
      <c r="ER70" s="591">
        <v>0</v>
      </c>
      <c r="ES70" s="591">
        <v>16.295999999999999</v>
      </c>
      <c r="ET70" s="591">
        <v>0</v>
      </c>
      <c r="EU70" s="591">
        <v>0</v>
      </c>
      <c r="EV70" s="591">
        <v>0</v>
      </c>
      <c r="EW70" s="591">
        <v>0</v>
      </c>
      <c r="EX70" s="591">
        <v>0</v>
      </c>
      <c r="EY70" s="591">
        <v>0</v>
      </c>
      <c r="EZ70" s="591">
        <v>667604</v>
      </c>
      <c r="FA70" s="591">
        <v>0</v>
      </c>
      <c r="FB70" s="591">
        <v>697406</v>
      </c>
      <c r="FC70" s="591">
        <v>0</v>
      </c>
      <c r="FD70" s="591">
        <v>0</v>
      </c>
      <c r="FE70" s="591">
        <v>72282</v>
      </c>
      <c r="FF70" s="591">
        <v>14744</v>
      </c>
      <c r="FG70" s="591">
        <v>6.4728999999999995E-2</v>
      </c>
      <c r="FH70" s="591">
        <v>2.6405999999999999E-2</v>
      </c>
      <c r="FI70" s="591">
        <v>0</v>
      </c>
      <c r="FJ70" s="591">
        <v>0</v>
      </c>
      <c r="FK70" s="591">
        <v>113.3</v>
      </c>
      <c r="FL70" s="591">
        <v>784432</v>
      </c>
      <c r="FM70" s="591">
        <v>0</v>
      </c>
      <c r="FN70" s="591">
        <v>0</v>
      </c>
      <c r="FO70" s="591">
        <v>0</v>
      </c>
      <c r="FP70" s="591">
        <v>0</v>
      </c>
      <c r="FQ70" s="591">
        <v>0</v>
      </c>
      <c r="FR70" s="591">
        <v>0</v>
      </c>
      <c r="FS70" s="591">
        <v>0</v>
      </c>
      <c r="FT70" s="591">
        <v>0</v>
      </c>
      <c r="FU70" s="591">
        <v>0</v>
      </c>
      <c r="FV70" s="591">
        <v>0</v>
      </c>
      <c r="FW70" s="591">
        <v>0</v>
      </c>
      <c r="FX70" s="591">
        <v>0</v>
      </c>
      <c r="FY70" s="591">
        <v>0</v>
      </c>
      <c r="FZ70" s="591">
        <v>0</v>
      </c>
      <c r="GA70" s="591">
        <v>0</v>
      </c>
      <c r="GB70" s="591">
        <v>0</v>
      </c>
      <c r="GC70" s="591">
        <v>0</v>
      </c>
      <c r="GD70" s="591">
        <v>0</v>
      </c>
      <c r="GE70" s="591">
        <v>0</v>
      </c>
      <c r="GF70" s="591">
        <v>0</v>
      </c>
      <c r="GG70" s="591">
        <v>0</v>
      </c>
      <c r="GH70" s="591">
        <v>0</v>
      </c>
      <c r="GI70" s="591">
        <v>0</v>
      </c>
      <c r="GJ70" s="591">
        <v>0</v>
      </c>
      <c r="GK70" s="591">
        <v>0</v>
      </c>
      <c r="GL70" s="591">
        <v>0</v>
      </c>
      <c r="GM70" s="591">
        <v>0</v>
      </c>
      <c r="GN70" s="591">
        <v>0</v>
      </c>
      <c r="GO70" s="591">
        <v>0</v>
      </c>
      <c r="GP70" s="591">
        <v>0</v>
      </c>
      <c r="GQ70" s="591">
        <v>0</v>
      </c>
      <c r="GR70" s="591">
        <v>0</v>
      </c>
      <c r="GS70" s="591">
        <v>0</v>
      </c>
      <c r="GT70" s="591">
        <v>0</v>
      </c>
      <c r="GU70" s="591">
        <v>0</v>
      </c>
      <c r="GV70" s="591">
        <v>0</v>
      </c>
      <c r="GW70" s="591">
        <v>0</v>
      </c>
      <c r="GX70" s="591">
        <v>0</v>
      </c>
      <c r="GY70" s="591">
        <v>0</v>
      </c>
      <c r="GZ70" s="591">
        <v>0</v>
      </c>
      <c r="HA70" s="591">
        <v>0</v>
      </c>
      <c r="HB70" s="591">
        <v>0</v>
      </c>
      <c r="HC70" s="591">
        <v>5.1774999999999995E-2</v>
      </c>
      <c r="HD70" s="591">
        <v>0</v>
      </c>
      <c r="HE70" s="591">
        <v>0</v>
      </c>
      <c r="HF70" s="591">
        <v>74322</v>
      </c>
      <c r="HG70" s="591">
        <v>3080</v>
      </c>
      <c r="HH70" s="591">
        <v>17449</v>
      </c>
      <c r="HI70" s="591">
        <v>0</v>
      </c>
      <c r="HJ70" s="591">
        <v>707</v>
      </c>
      <c r="HK70" s="591">
        <v>0</v>
      </c>
      <c r="HL70" s="591">
        <v>0</v>
      </c>
      <c r="HM70" s="591">
        <v>0</v>
      </c>
      <c r="HN70" s="591">
        <v>0</v>
      </c>
      <c r="HO70" s="591">
        <v>0</v>
      </c>
      <c r="HP70" s="591">
        <v>0</v>
      </c>
      <c r="HQ70" s="591">
        <v>0</v>
      </c>
      <c r="HR70" s="591">
        <v>0</v>
      </c>
      <c r="HS70" s="591">
        <v>667186</v>
      </c>
      <c r="HT70" s="591">
        <v>0</v>
      </c>
      <c r="HU70" s="591">
        <v>0</v>
      </c>
      <c r="HV70" s="591">
        <v>0</v>
      </c>
      <c r="HW70" s="591">
        <v>0</v>
      </c>
      <c r="HX70" s="591">
        <v>6</v>
      </c>
      <c r="HY70" s="591">
        <v>6</v>
      </c>
      <c r="HZ70" s="591">
        <v>2</v>
      </c>
      <c r="IA70" s="591">
        <v>4</v>
      </c>
      <c r="IB70" s="591">
        <v>24</v>
      </c>
      <c r="IC70" s="591">
        <v>40</v>
      </c>
      <c r="ID70" s="591">
        <v>0</v>
      </c>
      <c r="IE70" s="591">
        <v>0</v>
      </c>
      <c r="IF70" s="591">
        <v>0</v>
      </c>
      <c r="IG70" s="591">
        <v>5</v>
      </c>
      <c r="IH70" s="591">
        <v>28.331000000000003</v>
      </c>
      <c r="II70" s="591">
        <v>0</v>
      </c>
      <c r="IJ70" s="591">
        <v>18.102</v>
      </c>
      <c r="IK70" s="591">
        <v>0</v>
      </c>
      <c r="IL70" s="591">
        <v>0</v>
      </c>
      <c r="IM70" s="591">
        <v>0</v>
      </c>
      <c r="IN70" s="591">
        <v>0</v>
      </c>
      <c r="IO70" s="591">
        <v>0</v>
      </c>
      <c r="IP70" s="591">
        <v>0</v>
      </c>
      <c r="IQ70" s="591">
        <v>18.102</v>
      </c>
      <c r="IR70" s="591">
        <v>11149</v>
      </c>
      <c r="IS70" s="591">
        <v>0</v>
      </c>
      <c r="IT70" s="591">
        <v>0</v>
      </c>
      <c r="IU70" s="591">
        <v>0</v>
      </c>
      <c r="IV70" s="591">
        <v>0</v>
      </c>
      <c r="IW70" s="591">
        <v>6159</v>
      </c>
      <c r="IX70" s="591">
        <v>0</v>
      </c>
      <c r="IY70" s="591">
        <v>0</v>
      </c>
      <c r="IZ70" s="591">
        <v>0</v>
      </c>
      <c r="JA70" s="591">
        <v>0</v>
      </c>
      <c r="JB70" s="591">
        <v>0</v>
      </c>
      <c r="JC70" s="591">
        <v>0</v>
      </c>
      <c r="JD70" s="591">
        <v>0</v>
      </c>
      <c r="JE70" s="591">
        <v>0</v>
      </c>
      <c r="JF70" s="591">
        <v>0</v>
      </c>
      <c r="JG70" s="591">
        <v>0</v>
      </c>
      <c r="JH70" s="591">
        <v>0</v>
      </c>
      <c r="JI70" s="591">
        <v>0</v>
      </c>
      <c r="JJ70" s="591">
        <v>0</v>
      </c>
      <c r="JK70" s="591">
        <v>0</v>
      </c>
      <c r="JL70" s="591">
        <v>0</v>
      </c>
      <c r="JM70" s="591">
        <v>0</v>
      </c>
      <c r="JN70" s="591">
        <v>32469</v>
      </c>
    </row>
    <row r="71" spans="1:274" x14ac:dyDescent="0.25">
      <c r="A71" s="591">
        <v>32570</v>
      </c>
      <c r="B71" s="591">
        <v>61802</v>
      </c>
      <c r="C71" s="591">
        <v>9</v>
      </c>
      <c r="D71" s="591">
        <v>2022</v>
      </c>
      <c r="E71" s="591">
        <v>6159</v>
      </c>
      <c r="F71" s="591">
        <v>0</v>
      </c>
      <c r="G71" s="591">
        <v>553.94799999999998</v>
      </c>
      <c r="H71" s="591">
        <v>535.58299999999997</v>
      </c>
      <c r="I71" s="591">
        <v>535.58299999999997</v>
      </c>
      <c r="J71" s="591">
        <v>553.94799999999998</v>
      </c>
      <c r="K71" s="591">
        <v>0</v>
      </c>
      <c r="L71" s="591">
        <v>6159</v>
      </c>
      <c r="M71" s="591">
        <v>0</v>
      </c>
      <c r="N71" s="591">
        <v>0</v>
      </c>
      <c r="O71" s="591">
        <v>0</v>
      </c>
      <c r="P71" s="591">
        <v>532.375</v>
      </c>
      <c r="Q71" s="591">
        <v>0</v>
      </c>
      <c r="R71" s="591">
        <v>214243</v>
      </c>
      <c r="S71" s="591">
        <v>402.428</v>
      </c>
      <c r="T71" s="591">
        <v>0</v>
      </c>
      <c r="U71" s="591">
        <v>0</v>
      </c>
      <c r="V71" s="591">
        <v>219.65300000000002</v>
      </c>
      <c r="W71" s="591">
        <v>135286</v>
      </c>
      <c r="X71" s="591">
        <v>135286</v>
      </c>
      <c r="Y71" s="591">
        <v>0</v>
      </c>
      <c r="Z71" s="591">
        <v>0</v>
      </c>
      <c r="AA71" s="591">
        <v>0</v>
      </c>
      <c r="AB71" s="591">
        <v>0</v>
      </c>
      <c r="AC71" s="591">
        <v>0</v>
      </c>
      <c r="AD71" s="591" t="s">
        <v>316</v>
      </c>
      <c r="AE71" s="591">
        <v>0</v>
      </c>
      <c r="AF71" s="591">
        <v>0</v>
      </c>
      <c r="AG71" s="591">
        <v>0</v>
      </c>
      <c r="AH71" s="591">
        <v>0</v>
      </c>
      <c r="AI71" s="591">
        <v>0</v>
      </c>
      <c r="AJ71" s="591">
        <v>6159</v>
      </c>
      <c r="AK71" s="591" t="s">
        <v>671</v>
      </c>
      <c r="AL71" s="591" t="s">
        <v>335</v>
      </c>
      <c r="AM71" s="591">
        <v>0</v>
      </c>
      <c r="AN71" s="591">
        <v>0</v>
      </c>
      <c r="AO71" s="591">
        <v>0</v>
      </c>
      <c r="AP71" s="591">
        <v>0</v>
      </c>
      <c r="AQ71" s="591">
        <v>0</v>
      </c>
      <c r="AR71" s="591">
        <v>0</v>
      </c>
      <c r="AS71" s="591">
        <v>0</v>
      </c>
      <c r="AT71" s="591">
        <v>0</v>
      </c>
      <c r="AU71" s="591">
        <v>0</v>
      </c>
      <c r="AV71" s="591">
        <v>0</v>
      </c>
      <c r="AW71" s="591">
        <v>6050847</v>
      </c>
      <c r="AX71" s="591">
        <v>5952077</v>
      </c>
      <c r="AY71" s="591">
        <v>0</v>
      </c>
      <c r="AZ71" s="591">
        <v>214243</v>
      </c>
      <c r="BA71" s="591">
        <v>0</v>
      </c>
      <c r="BB71" s="591">
        <v>0</v>
      </c>
      <c r="BC71" s="591">
        <v>0</v>
      </c>
      <c r="BD71" s="591">
        <v>0</v>
      </c>
      <c r="BE71" s="591">
        <v>79</v>
      </c>
      <c r="BF71" s="591">
        <v>5431901</v>
      </c>
      <c r="BG71" s="591">
        <v>0</v>
      </c>
      <c r="BH71" s="591">
        <v>0</v>
      </c>
      <c r="BI71" s="591">
        <v>0</v>
      </c>
      <c r="BJ71" s="591">
        <v>12</v>
      </c>
      <c r="BK71" s="591">
        <v>0</v>
      </c>
      <c r="BL71" s="591">
        <v>0</v>
      </c>
      <c r="BM71" s="591">
        <v>0</v>
      </c>
      <c r="BN71" s="591">
        <v>0</v>
      </c>
      <c r="BO71" s="591">
        <v>0</v>
      </c>
      <c r="BP71" s="591">
        <v>0</v>
      </c>
      <c r="BQ71" s="591">
        <v>687</v>
      </c>
      <c r="BR71" s="591">
        <v>0</v>
      </c>
      <c r="BS71" s="591">
        <v>0</v>
      </c>
      <c r="BT71" s="591">
        <v>0</v>
      </c>
      <c r="BU71" s="591">
        <v>0</v>
      </c>
      <c r="BV71" s="591">
        <v>0</v>
      </c>
      <c r="BW71" s="591">
        <v>0</v>
      </c>
      <c r="BX71" s="591">
        <v>0</v>
      </c>
      <c r="BY71" s="591">
        <v>0</v>
      </c>
      <c r="BZ71" s="591">
        <v>0</v>
      </c>
      <c r="CA71" s="591">
        <v>0</v>
      </c>
      <c r="CB71" s="591">
        <v>0</v>
      </c>
      <c r="CC71" s="591">
        <v>0</v>
      </c>
      <c r="CD71" s="591">
        <v>0</v>
      </c>
      <c r="CE71" s="591">
        <v>0</v>
      </c>
      <c r="CF71" s="591">
        <v>0</v>
      </c>
      <c r="CG71" s="591">
        <v>0</v>
      </c>
      <c r="CH71" s="591">
        <v>100381</v>
      </c>
      <c r="CI71" s="591">
        <v>0</v>
      </c>
      <c r="CJ71" s="591">
        <v>4</v>
      </c>
      <c r="CK71" s="591">
        <v>0</v>
      </c>
      <c r="CL71" s="591">
        <v>0</v>
      </c>
      <c r="CM71" s="591">
        <v>0</v>
      </c>
      <c r="CN71" s="591">
        <v>0</v>
      </c>
      <c r="CO71" s="591">
        <v>1</v>
      </c>
      <c r="CP71" s="591">
        <v>0</v>
      </c>
      <c r="CQ71" s="591">
        <v>0</v>
      </c>
      <c r="CR71" s="591">
        <v>553.94799999999998</v>
      </c>
      <c r="CS71" s="591">
        <v>0</v>
      </c>
      <c r="CT71" s="591">
        <v>0</v>
      </c>
      <c r="CU71" s="591">
        <v>0</v>
      </c>
      <c r="CV71" s="591">
        <v>0</v>
      </c>
      <c r="CW71" s="591">
        <v>0</v>
      </c>
      <c r="CX71" s="591">
        <v>0</v>
      </c>
      <c r="CY71" s="591">
        <v>0</v>
      </c>
      <c r="CZ71" s="591">
        <v>0</v>
      </c>
      <c r="DA71" s="591">
        <v>0</v>
      </c>
      <c r="DB71" s="591">
        <v>3285361</v>
      </c>
      <c r="DC71" s="591">
        <v>0</v>
      </c>
      <c r="DD71" s="591">
        <v>0</v>
      </c>
      <c r="DE71" s="591">
        <v>843409</v>
      </c>
      <c r="DF71" s="591">
        <v>843409</v>
      </c>
      <c r="DG71" s="591">
        <v>136.93800000000002</v>
      </c>
      <c r="DH71" s="591">
        <v>0</v>
      </c>
      <c r="DI71" s="591">
        <v>0</v>
      </c>
      <c r="DJ71" s="591">
        <v>0</v>
      </c>
      <c r="DK71" s="591">
        <v>2622</v>
      </c>
      <c r="DL71" s="591">
        <v>0</v>
      </c>
      <c r="DM71" s="591">
        <v>414885</v>
      </c>
      <c r="DN71" s="591">
        <v>1532</v>
      </c>
      <c r="DO71" s="591">
        <v>0</v>
      </c>
      <c r="DP71" s="591">
        <v>0</v>
      </c>
      <c r="DQ71" s="591">
        <v>0</v>
      </c>
      <c r="DR71" s="591">
        <v>0</v>
      </c>
      <c r="DS71" s="591">
        <v>0</v>
      </c>
      <c r="DT71" s="591">
        <v>0</v>
      </c>
      <c r="DU71" s="591">
        <v>0</v>
      </c>
      <c r="DV71" s="591">
        <v>0</v>
      </c>
      <c r="DW71" s="591">
        <v>0</v>
      </c>
      <c r="DX71" s="591">
        <v>0</v>
      </c>
      <c r="DY71" s="591">
        <v>0</v>
      </c>
      <c r="DZ71" s="591">
        <v>0</v>
      </c>
      <c r="EA71" s="591">
        <v>0</v>
      </c>
      <c r="EB71" s="591">
        <v>0</v>
      </c>
      <c r="EC71" s="591">
        <v>6.2430000000000003</v>
      </c>
      <c r="ED71" s="591">
        <v>44219</v>
      </c>
      <c r="EE71" s="591">
        <v>0</v>
      </c>
      <c r="EF71" s="591">
        <v>0</v>
      </c>
      <c r="EG71" s="591">
        <v>0</v>
      </c>
      <c r="EH71" s="591">
        <v>358859</v>
      </c>
      <c r="EI71" s="591">
        <v>0</v>
      </c>
      <c r="EJ71" s="591">
        <v>0</v>
      </c>
      <c r="EK71" s="591">
        <v>16.498000000000001</v>
      </c>
      <c r="EL71" s="591">
        <v>0</v>
      </c>
      <c r="EM71" s="591">
        <v>0.28200000000000003</v>
      </c>
      <c r="EN71" s="591">
        <v>1.5850000000000002</v>
      </c>
      <c r="EO71" s="591">
        <v>0</v>
      </c>
      <c r="EP71" s="591">
        <v>0</v>
      </c>
      <c r="EQ71" s="591">
        <v>18.365000000000002</v>
      </c>
      <c r="ER71" s="591">
        <v>0</v>
      </c>
      <c r="ES71" s="591">
        <v>58.265000000000001</v>
      </c>
      <c r="ET71" s="591">
        <v>0</v>
      </c>
      <c r="EU71" s="591">
        <v>0</v>
      </c>
      <c r="EV71" s="591">
        <v>0</v>
      </c>
      <c r="EW71" s="591">
        <v>0</v>
      </c>
      <c r="EX71" s="591">
        <v>0</v>
      </c>
      <c r="EY71" s="591">
        <v>0</v>
      </c>
      <c r="EZ71" s="591">
        <v>5274666</v>
      </c>
      <c r="FA71" s="591">
        <v>0</v>
      </c>
      <c r="FB71" s="591">
        <v>5487298</v>
      </c>
      <c r="FC71" s="591">
        <v>0</v>
      </c>
      <c r="FD71" s="591">
        <v>0</v>
      </c>
      <c r="FE71" s="591">
        <v>562646</v>
      </c>
      <c r="FF71" s="591">
        <v>114765</v>
      </c>
      <c r="FG71" s="591">
        <v>6.4728999999999995E-2</v>
      </c>
      <c r="FH71" s="591">
        <v>2.6405999999999999E-2</v>
      </c>
      <c r="FI71" s="591">
        <v>0</v>
      </c>
      <c r="FJ71" s="591">
        <v>0</v>
      </c>
      <c r="FK71" s="591">
        <v>881.93299999999999</v>
      </c>
      <c r="FL71" s="591">
        <v>6265090</v>
      </c>
      <c r="FM71" s="591">
        <v>0</v>
      </c>
      <c r="FN71" s="591">
        <v>0</v>
      </c>
      <c r="FO71" s="591">
        <v>57008</v>
      </c>
      <c r="FP71" s="591">
        <v>0</v>
      </c>
      <c r="FQ71" s="591">
        <v>57008</v>
      </c>
      <c r="FR71" s="591">
        <v>57008</v>
      </c>
      <c r="FS71" s="591">
        <v>0</v>
      </c>
      <c r="FT71" s="591">
        <v>0</v>
      </c>
      <c r="FU71" s="591">
        <v>0</v>
      </c>
      <c r="FV71" s="591">
        <v>0</v>
      </c>
      <c r="FW71" s="591">
        <v>0</v>
      </c>
      <c r="FX71" s="591">
        <v>0</v>
      </c>
      <c r="FY71" s="591">
        <v>0</v>
      </c>
      <c r="FZ71" s="591">
        <v>0</v>
      </c>
      <c r="GA71" s="591">
        <v>0</v>
      </c>
      <c r="GB71" s="591">
        <v>0</v>
      </c>
      <c r="GC71" s="591">
        <v>0</v>
      </c>
      <c r="GD71" s="591">
        <v>0</v>
      </c>
      <c r="GE71" s="591">
        <v>0</v>
      </c>
      <c r="GF71" s="591">
        <v>0</v>
      </c>
      <c r="GG71" s="591">
        <v>0</v>
      </c>
      <c r="GH71" s="591">
        <v>0</v>
      </c>
      <c r="GI71" s="591">
        <v>0</v>
      </c>
      <c r="GJ71" s="591">
        <v>0</v>
      </c>
      <c r="GK71" s="591">
        <v>0</v>
      </c>
      <c r="GL71" s="591">
        <v>0</v>
      </c>
      <c r="GM71" s="591">
        <v>0</v>
      </c>
      <c r="GN71" s="591">
        <v>0</v>
      </c>
      <c r="GO71" s="591">
        <v>0</v>
      </c>
      <c r="GP71" s="591">
        <v>0</v>
      </c>
      <c r="GQ71" s="591">
        <v>0</v>
      </c>
      <c r="GR71" s="591">
        <v>0</v>
      </c>
      <c r="GS71" s="591">
        <v>0</v>
      </c>
      <c r="GT71" s="591">
        <v>0</v>
      </c>
      <c r="GU71" s="591">
        <v>0</v>
      </c>
      <c r="GV71" s="591">
        <v>0</v>
      </c>
      <c r="GW71" s="591">
        <v>0</v>
      </c>
      <c r="GX71" s="591">
        <v>0</v>
      </c>
      <c r="GY71" s="591">
        <v>0</v>
      </c>
      <c r="GZ71" s="591">
        <v>0</v>
      </c>
      <c r="HA71" s="591">
        <v>0</v>
      </c>
      <c r="HB71" s="591">
        <v>260009272</v>
      </c>
      <c r="HC71" s="591">
        <v>5.1774999999999995E-2</v>
      </c>
      <c r="HD71" s="591">
        <v>100381</v>
      </c>
      <c r="HE71" s="591">
        <v>0</v>
      </c>
      <c r="HF71" s="591">
        <v>588606</v>
      </c>
      <c r="HG71" s="591">
        <v>0</v>
      </c>
      <c r="HH71" s="591">
        <v>157438</v>
      </c>
      <c r="HI71" s="591">
        <v>0</v>
      </c>
      <c r="HJ71" s="591">
        <v>5384</v>
      </c>
      <c r="HK71" s="591">
        <v>0</v>
      </c>
      <c r="HL71" s="591">
        <v>0</v>
      </c>
      <c r="HM71" s="591">
        <v>0</v>
      </c>
      <c r="HN71" s="591">
        <v>0</v>
      </c>
      <c r="HO71" s="591">
        <v>0</v>
      </c>
      <c r="HP71" s="591">
        <v>0</v>
      </c>
      <c r="HQ71" s="591">
        <v>0</v>
      </c>
      <c r="HR71" s="591">
        <v>0</v>
      </c>
      <c r="HS71" s="591">
        <v>5273055</v>
      </c>
      <c r="HT71" s="591">
        <v>0</v>
      </c>
      <c r="HU71" s="591">
        <v>0</v>
      </c>
      <c r="HV71" s="591">
        <v>0</v>
      </c>
      <c r="HW71" s="591">
        <v>0</v>
      </c>
      <c r="HX71" s="591">
        <v>149</v>
      </c>
      <c r="HY71" s="591">
        <v>104</v>
      </c>
      <c r="HZ71" s="591">
        <v>73</v>
      </c>
      <c r="IA71" s="591">
        <v>135</v>
      </c>
      <c r="IB71" s="591">
        <v>91</v>
      </c>
      <c r="IC71" s="591">
        <v>552</v>
      </c>
      <c r="ID71" s="591">
        <v>0</v>
      </c>
      <c r="IE71" s="591">
        <v>0</v>
      </c>
      <c r="IF71" s="591">
        <v>0</v>
      </c>
      <c r="IG71" s="591">
        <v>0</v>
      </c>
      <c r="IH71" s="591">
        <v>255.62</v>
      </c>
      <c r="II71" s="591">
        <v>0</v>
      </c>
      <c r="IJ71" s="591">
        <v>219.65300000000002</v>
      </c>
      <c r="IK71" s="591">
        <v>0</v>
      </c>
      <c r="IL71" s="591">
        <v>0</v>
      </c>
      <c r="IM71" s="591">
        <v>0</v>
      </c>
      <c r="IN71" s="591">
        <v>0</v>
      </c>
      <c r="IO71" s="591">
        <v>0</v>
      </c>
      <c r="IP71" s="591">
        <v>0</v>
      </c>
      <c r="IQ71" s="591">
        <v>219.65300000000002</v>
      </c>
      <c r="IR71" s="591">
        <v>135286</v>
      </c>
      <c r="IS71" s="591">
        <v>0</v>
      </c>
      <c r="IT71" s="591">
        <v>0</v>
      </c>
      <c r="IU71" s="591">
        <v>0</v>
      </c>
      <c r="IV71" s="591">
        <v>0</v>
      </c>
      <c r="IW71" s="591">
        <v>6159</v>
      </c>
      <c r="IX71" s="591">
        <v>0</v>
      </c>
      <c r="IY71" s="591">
        <v>0</v>
      </c>
      <c r="IZ71" s="591">
        <v>0</v>
      </c>
      <c r="JA71" s="591">
        <v>0</v>
      </c>
      <c r="JB71" s="591">
        <v>0</v>
      </c>
      <c r="JC71" s="591">
        <v>0</v>
      </c>
      <c r="JD71" s="591">
        <v>0</v>
      </c>
      <c r="JE71" s="591">
        <v>0</v>
      </c>
      <c r="JF71" s="591">
        <v>0</v>
      </c>
      <c r="JG71" s="591">
        <v>0</v>
      </c>
      <c r="JH71" s="591">
        <v>0</v>
      </c>
      <c r="JI71" s="591">
        <v>0</v>
      </c>
      <c r="JJ71" s="591">
        <v>0</v>
      </c>
      <c r="JK71" s="591">
        <v>0</v>
      </c>
      <c r="JL71" s="591">
        <v>0</v>
      </c>
      <c r="JM71" s="591">
        <v>0</v>
      </c>
      <c r="JN71" s="591">
        <v>32469</v>
      </c>
    </row>
    <row r="72" spans="1:274" x14ac:dyDescent="0.25">
      <c r="A72" s="591">
        <v>32570</v>
      </c>
      <c r="B72" s="591">
        <v>61804</v>
      </c>
      <c r="C72" s="591">
        <v>9</v>
      </c>
      <c r="D72" s="591">
        <v>2022</v>
      </c>
      <c r="E72" s="591">
        <v>6159</v>
      </c>
      <c r="F72" s="591">
        <v>0</v>
      </c>
      <c r="G72" s="591">
        <v>1321.1280000000002</v>
      </c>
      <c r="H72" s="591">
        <v>1179.7660000000001</v>
      </c>
      <c r="I72" s="591">
        <v>1179.7660000000001</v>
      </c>
      <c r="J72" s="591">
        <v>1321.1280000000002</v>
      </c>
      <c r="K72" s="591">
        <v>0</v>
      </c>
      <c r="L72" s="591">
        <v>6159</v>
      </c>
      <c r="M72" s="591">
        <v>0</v>
      </c>
      <c r="N72" s="591">
        <v>0</v>
      </c>
      <c r="O72" s="591">
        <v>0</v>
      </c>
      <c r="P72" s="591">
        <v>1284.1290000000001</v>
      </c>
      <c r="Q72" s="591">
        <v>0</v>
      </c>
      <c r="R72" s="591">
        <v>516769</v>
      </c>
      <c r="S72" s="591">
        <v>402.428</v>
      </c>
      <c r="T72" s="591">
        <v>0</v>
      </c>
      <c r="U72" s="591">
        <v>0</v>
      </c>
      <c r="V72" s="591">
        <v>64.218000000000004</v>
      </c>
      <c r="W72" s="591">
        <v>39552</v>
      </c>
      <c r="X72" s="591">
        <v>39552</v>
      </c>
      <c r="Y72" s="591">
        <v>0</v>
      </c>
      <c r="Z72" s="591">
        <v>0</v>
      </c>
      <c r="AA72" s="591">
        <v>0</v>
      </c>
      <c r="AB72" s="591">
        <v>0</v>
      </c>
      <c r="AC72" s="591">
        <v>0</v>
      </c>
      <c r="AD72" s="591" t="s">
        <v>316</v>
      </c>
      <c r="AE72" s="591">
        <v>0</v>
      </c>
      <c r="AF72" s="591">
        <v>0</v>
      </c>
      <c r="AG72" s="591">
        <v>0</v>
      </c>
      <c r="AH72" s="591">
        <v>0</v>
      </c>
      <c r="AI72" s="591">
        <v>0</v>
      </c>
      <c r="AJ72" s="591">
        <v>6159</v>
      </c>
      <c r="AK72" s="591" t="s">
        <v>671</v>
      </c>
      <c r="AL72" s="591" t="s">
        <v>336</v>
      </c>
      <c r="AM72" s="591">
        <v>0</v>
      </c>
      <c r="AN72" s="591">
        <v>0</v>
      </c>
      <c r="AO72" s="591">
        <v>0</v>
      </c>
      <c r="AP72" s="591">
        <v>0</v>
      </c>
      <c r="AQ72" s="591">
        <v>0</v>
      </c>
      <c r="AR72" s="591">
        <v>0</v>
      </c>
      <c r="AS72" s="591">
        <v>0</v>
      </c>
      <c r="AT72" s="591">
        <v>0</v>
      </c>
      <c r="AU72" s="591">
        <v>0</v>
      </c>
      <c r="AV72" s="591">
        <v>0</v>
      </c>
      <c r="AW72" s="591">
        <v>11352025</v>
      </c>
      <c r="AX72" s="591">
        <v>11114889</v>
      </c>
      <c r="AY72" s="591">
        <v>0</v>
      </c>
      <c r="AZ72" s="591">
        <v>516769</v>
      </c>
      <c r="BA72" s="591">
        <v>0</v>
      </c>
      <c r="BB72" s="591">
        <v>0</v>
      </c>
      <c r="BC72" s="591">
        <v>0</v>
      </c>
      <c r="BD72" s="591">
        <v>10.935</v>
      </c>
      <c r="BE72" s="591">
        <v>149</v>
      </c>
      <c r="BF72" s="591">
        <v>10335225</v>
      </c>
      <c r="BG72" s="591">
        <v>0</v>
      </c>
      <c r="BH72" s="591">
        <v>0</v>
      </c>
      <c r="BI72" s="591">
        <v>0</v>
      </c>
      <c r="BJ72" s="591">
        <v>12</v>
      </c>
      <c r="BK72" s="591">
        <v>0</v>
      </c>
      <c r="BL72" s="591">
        <v>0</v>
      </c>
      <c r="BM72" s="591">
        <v>0</v>
      </c>
      <c r="BN72" s="591">
        <v>0</v>
      </c>
      <c r="BO72" s="591">
        <v>0</v>
      </c>
      <c r="BP72" s="591">
        <v>0</v>
      </c>
      <c r="BQ72" s="591">
        <v>588</v>
      </c>
      <c r="BR72" s="591">
        <v>0</v>
      </c>
      <c r="BS72" s="591">
        <v>0</v>
      </c>
      <c r="BT72" s="591">
        <v>0</v>
      </c>
      <c r="BU72" s="591">
        <v>0</v>
      </c>
      <c r="BV72" s="591">
        <v>0</v>
      </c>
      <c r="BW72" s="591">
        <v>0</v>
      </c>
      <c r="BX72" s="591">
        <v>0</v>
      </c>
      <c r="BY72" s="591">
        <v>0</v>
      </c>
      <c r="BZ72" s="591">
        <v>0</v>
      </c>
      <c r="CA72" s="591">
        <v>0</v>
      </c>
      <c r="CB72" s="591">
        <v>0</v>
      </c>
      <c r="CC72" s="591">
        <v>0</v>
      </c>
      <c r="CD72" s="591">
        <v>0</v>
      </c>
      <c r="CE72" s="591">
        <v>0</v>
      </c>
      <c r="CF72" s="591">
        <v>0</v>
      </c>
      <c r="CG72" s="591">
        <v>0</v>
      </c>
      <c r="CH72" s="591">
        <v>239403</v>
      </c>
      <c r="CI72" s="591">
        <v>0</v>
      </c>
      <c r="CJ72" s="591">
        <v>4</v>
      </c>
      <c r="CK72" s="591">
        <v>0</v>
      </c>
      <c r="CL72" s="591">
        <v>0</v>
      </c>
      <c r="CM72" s="591">
        <v>0</v>
      </c>
      <c r="CN72" s="591">
        <v>0</v>
      </c>
      <c r="CO72" s="591">
        <v>1</v>
      </c>
      <c r="CP72" s="591">
        <v>0</v>
      </c>
      <c r="CQ72" s="591">
        <v>0</v>
      </c>
      <c r="CR72" s="591">
        <v>1321.1280000000002</v>
      </c>
      <c r="CS72" s="591">
        <v>0</v>
      </c>
      <c r="CT72" s="591">
        <v>0</v>
      </c>
      <c r="CU72" s="591">
        <v>0</v>
      </c>
      <c r="CV72" s="591">
        <v>0</v>
      </c>
      <c r="CW72" s="591">
        <v>0</v>
      </c>
      <c r="CX72" s="591">
        <v>0</v>
      </c>
      <c r="CY72" s="591">
        <v>0</v>
      </c>
      <c r="CZ72" s="591">
        <v>0</v>
      </c>
      <c r="DA72" s="591">
        <v>0</v>
      </c>
      <c r="DB72" s="591">
        <v>7266276</v>
      </c>
      <c r="DC72" s="591">
        <v>0</v>
      </c>
      <c r="DD72" s="591">
        <v>0</v>
      </c>
      <c r="DE72" s="591">
        <v>68828</v>
      </c>
      <c r="DF72" s="591">
        <v>68828</v>
      </c>
      <c r="DG72" s="591">
        <v>11.175000000000001</v>
      </c>
      <c r="DH72" s="591">
        <v>0</v>
      </c>
      <c r="DI72" s="591">
        <v>0</v>
      </c>
      <c r="DJ72" s="591">
        <v>0</v>
      </c>
      <c r="DK72" s="591">
        <v>1035</v>
      </c>
      <c r="DL72" s="591">
        <v>0</v>
      </c>
      <c r="DM72" s="591">
        <v>555260</v>
      </c>
      <c r="DN72" s="591">
        <v>2119</v>
      </c>
      <c r="DO72" s="591">
        <v>0</v>
      </c>
      <c r="DP72" s="591">
        <v>0</v>
      </c>
      <c r="DQ72" s="591">
        <v>0</v>
      </c>
      <c r="DR72" s="591">
        <v>0</v>
      </c>
      <c r="DS72" s="591">
        <v>0</v>
      </c>
      <c r="DT72" s="591">
        <v>0</v>
      </c>
      <c r="DU72" s="591">
        <v>0</v>
      </c>
      <c r="DV72" s="591">
        <v>0</v>
      </c>
      <c r="DW72" s="591">
        <v>0</v>
      </c>
      <c r="DX72" s="591">
        <v>0</v>
      </c>
      <c r="DY72" s="591">
        <v>0</v>
      </c>
      <c r="DZ72" s="591">
        <v>0</v>
      </c>
      <c r="EA72" s="591">
        <v>0</v>
      </c>
      <c r="EB72" s="591">
        <v>0</v>
      </c>
      <c r="EC72" s="591">
        <v>36.6</v>
      </c>
      <c r="ED72" s="591">
        <v>259236</v>
      </c>
      <c r="EE72" s="591">
        <v>0</v>
      </c>
      <c r="EF72" s="591">
        <v>0</v>
      </c>
      <c r="EG72" s="591">
        <v>0</v>
      </c>
      <c r="EH72" s="591">
        <v>298143</v>
      </c>
      <c r="EI72" s="591">
        <v>0</v>
      </c>
      <c r="EJ72" s="591">
        <v>0</v>
      </c>
      <c r="EK72" s="591">
        <v>8.9730000000000008</v>
      </c>
      <c r="EL72" s="591">
        <v>0</v>
      </c>
      <c r="EM72" s="591">
        <v>2.6560000000000001</v>
      </c>
      <c r="EN72" s="591">
        <v>2.7040000000000002</v>
      </c>
      <c r="EO72" s="591">
        <v>0</v>
      </c>
      <c r="EP72" s="591">
        <v>0</v>
      </c>
      <c r="EQ72" s="591">
        <v>14.333</v>
      </c>
      <c r="ER72" s="591">
        <v>0</v>
      </c>
      <c r="ES72" s="591">
        <v>48.407000000000004</v>
      </c>
      <c r="ET72" s="591">
        <v>0</v>
      </c>
      <c r="EU72" s="591">
        <v>0</v>
      </c>
      <c r="EV72" s="591">
        <v>0</v>
      </c>
      <c r="EW72" s="591">
        <v>0</v>
      </c>
      <c r="EX72" s="591">
        <v>0</v>
      </c>
      <c r="EY72" s="591">
        <v>0</v>
      </c>
      <c r="EZ72" s="591">
        <v>9825986</v>
      </c>
      <c r="FA72" s="591">
        <v>0</v>
      </c>
      <c r="FB72" s="591">
        <v>10340488</v>
      </c>
      <c r="FC72" s="591">
        <v>0</v>
      </c>
      <c r="FD72" s="591">
        <v>0</v>
      </c>
      <c r="FE72" s="591">
        <v>1070541</v>
      </c>
      <c r="FF72" s="591">
        <v>218362</v>
      </c>
      <c r="FG72" s="591">
        <v>6.4728999999999995E-2</v>
      </c>
      <c r="FH72" s="591">
        <v>2.6405999999999999E-2</v>
      </c>
      <c r="FI72" s="591">
        <v>0</v>
      </c>
      <c r="FJ72" s="591">
        <v>0</v>
      </c>
      <c r="FK72" s="591">
        <v>1678.046</v>
      </c>
      <c r="FL72" s="591">
        <v>11868794</v>
      </c>
      <c r="FM72" s="591">
        <v>0</v>
      </c>
      <c r="FN72" s="591">
        <v>0</v>
      </c>
      <c r="FO72" s="591">
        <v>0</v>
      </c>
      <c r="FP72" s="591">
        <v>0</v>
      </c>
      <c r="FQ72" s="591">
        <v>0</v>
      </c>
      <c r="FR72" s="591">
        <v>0</v>
      </c>
      <c r="FS72" s="591">
        <v>0</v>
      </c>
      <c r="FT72" s="591">
        <v>0</v>
      </c>
      <c r="FU72" s="591">
        <v>0</v>
      </c>
      <c r="FV72" s="591">
        <v>0</v>
      </c>
      <c r="FW72" s="591">
        <v>0</v>
      </c>
      <c r="FX72" s="591">
        <v>0</v>
      </c>
      <c r="FY72" s="591">
        <v>0</v>
      </c>
      <c r="FZ72" s="591">
        <v>0</v>
      </c>
      <c r="GA72" s="591">
        <v>0</v>
      </c>
      <c r="GB72" s="591">
        <v>1056216</v>
      </c>
      <c r="GC72" s="591">
        <v>1056216</v>
      </c>
      <c r="GD72" s="591">
        <v>127.02900000000001</v>
      </c>
      <c r="GE72" s="591">
        <v>0</v>
      </c>
      <c r="GF72" s="591">
        <v>0</v>
      </c>
      <c r="GG72" s="591">
        <v>0</v>
      </c>
      <c r="GH72" s="591">
        <v>0</v>
      </c>
      <c r="GI72" s="591">
        <v>0</v>
      </c>
      <c r="GJ72" s="591">
        <v>0</v>
      </c>
      <c r="GK72" s="591">
        <v>0</v>
      </c>
      <c r="GL72" s="591">
        <v>0</v>
      </c>
      <c r="GM72" s="591">
        <v>0</v>
      </c>
      <c r="GN72" s="591">
        <v>0</v>
      </c>
      <c r="GO72" s="591">
        <v>0</v>
      </c>
      <c r="GP72" s="591">
        <v>0</v>
      </c>
      <c r="GQ72" s="591">
        <v>0</v>
      </c>
      <c r="GR72" s="591">
        <v>0</v>
      </c>
      <c r="GS72" s="591">
        <v>0</v>
      </c>
      <c r="GT72" s="591">
        <v>0</v>
      </c>
      <c r="GU72" s="591">
        <v>0</v>
      </c>
      <c r="GV72" s="591">
        <v>0</v>
      </c>
      <c r="GW72" s="591">
        <v>0</v>
      </c>
      <c r="GX72" s="591">
        <v>0</v>
      </c>
      <c r="GY72" s="591">
        <v>0</v>
      </c>
      <c r="GZ72" s="591">
        <v>0</v>
      </c>
      <c r="HA72" s="591">
        <v>0</v>
      </c>
      <c r="HB72" s="591">
        <v>260009272</v>
      </c>
      <c r="HC72" s="591">
        <v>5.1774999999999995E-2</v>
      </c>
      <c r="HD72" s="591">
        <v>239403</v>
      </c>
      <c r="HE72" s="591">
        <v>0</v>
      </c>
      <c r="HF72" s="591">
        <v>1296563</v>
      </c>
      <c r="HG72" s="591">
        <v>3695</v>
      </c>
      <c r="HH72" s="591">
        <v>33875</v>
      </c>
      <c r="HI72" s="591">
        <v>0</v>
      </c>
      <c r="HJ72" s="591">
        <v>12841</v>
      </c>
      <c r="HK72" s="591">
        <v>3579</v>
      </c>
      <c r="HL72" s="591">
        <v>3951</v>
      </c>
      <c r="HM72" s="591">
        <v>0</v>
      </c>
      <c r="HN72" s="591">
        <v>0</v>
      </c>
      <c r="HO72" s="591">
        <v>0</v>
      </c>
      <c r="HP72" s="591">
        <v>0</v>
      </c>
      <c r="HQ72" s="591">
        <v>0</v>
      </c>
      <c r="HR72" s="591">
        <v>0</v>
      </c>
      <c r="HS72" s="591">
        <v>9823719</v>
      </c>
      <c r="HT72" s="591">
        <v>0</v>
      </c>
      <c r="HU72" s="591">
        <v>0</v>
      </c>
      <c r="HV72" s="591">
        <v>0</v>
      </c>
      <c r="HW72" s="591">
        <v>0</v>
      </c>
      <c r="HX72" s="591">
        <v>41</v>
      </c>
      <c r="HY72" s="591">
        <v>5</v>
      </c>
      <c r="HZ72" s="591">
        <v>2</v>
      </c>
      <c r="IA72" s="591">
        <v>1</v>
      </c>
      <c r="IB72" s="591">
        <v>0</v>
      </c>
      <c r="IC72" s="591">
        <v>17</v>
      </c>
      <c r="ID72" s="591">
        <v>0</v>
      </c>
      <c r="IE72" s="591">
        <v>0</v>
      </c>
      <c r="IF72" s="591">
        <v>0</v>
      </c>
      <c r="IG72" s="591">
        <v>6</v>
      </c>
      <c r="IH72" s="591">
        <v>55</v>
      </c>
      <c r="II72" s="591">
        <v>0</v>
      </c>
      <c r="IJ72" s="591">
        <v>64.218000000000004</v>
      </c>
      <c r="IK72" s="591">
        <v>0</v>
      </c>
      <c r="IL72" s="591">
        <v>0</v>
      </c>
      <c r="IM72" s="591">
        <v>0</v>
      </c>
      <c r="IN72" s="591">
        <v>0</v>
      </c>
      <c r="IO72" s="591">
        <v>0</v>
      </c>
      <c r="IP72" s="591">
        <v>0</v>
      </c>
      <c r="IQ72" s="591">
        <v>64.218000000000004</v>
      </c>
      <c r="IR72" s="591">
        <v>39552</v>
      </c>
      <c r="IS72" s="591">
        <v>0</v>
      </c>
      <c r="IT72" s="591">
        <v>0</v>
      </c>
      <c r="IU72" s="591">
        <v>0</v>
      </c>
      <c r="IV72" s="591">
        <v>0</v>
      </c>
      <c r="IW72" s="591">
        <v>6159</v>
      </c>
      <c r="IX72" s="591">
        <v>0</v>
      </c>
      <c r="IY72" s="591">
        <v>0</v>
      </c>
      <c r="IZ72" s="591">
        <v>0</v>
      </c>
      <c r="JA72" s="591">
        <v>0</v>
      </c>
      <c r="JB72" s="591">
        <v>0</v>
      </c>
      <c r="JC72" s="591">
        <v>0</v>
      </c>
      <c r="JD72" s="591">
        <v>0</v>
      </c>
      <c r="JE72" s="591">
        <v>0</v>
      </c>
      <c r="JF72" s="591">
        <v>0</v>
      </c>
      <c r="JG72" s="591">
        <v>0</v>
      </c>
      <c r="JH72" s="591">
        <v>0</v>
      </c>
      <c r="JI72" s="591">
        <v>0</v>
      </c>
      <c r="JJ72" s="591">
        <v>0</v>
      </c>
      <c r="JK72" s="591">
        <v>0</v>
      </c>
      <c r="JL72" s="591">
        <v>0</v>
      </c>
      <c r="JM72" s="591">
        <v>0</v>
      </c>
      <c r="JN72" s="591">
        <v>32469</v>
      </c>
    </row>
    <row r="73" spans="1:274" x14ac:dyDescent="0.25">
      <c r="A73" s="591">
        <v>32570</v>
      </c>
      <c r="B73" s="591">
        <v>61805</v>
      </c>
      <c r="C73" s="591">
        <v>9</v>
      </c>
      <c r="D73" s="591">
        <v>2022</v>
      </c>
      <c r="E73" s="591">
        <v>6159</v>
      </c>
      <c r="F73" s="591">
        <v>0</v>
      </c>
      <c r="G73" s="591">
        <v>566.77499999999998</v>
      </c>
      <c r="H73" s="591">
        <v>547.82000000000005</v>
      </c>
      <c r="I73" s="591">
        <v>547.82000000000005</v>
      </c>
      <c r="J73" s="591">
        <v>566.77499999999998</v>
      </c>
      <c r="K73" s="591">
        <v>0</v>
      </c>
      <c r="L73" s="591">
        <v>6159</v>
      </c>
      <c r="M73" s="591">
        <v>0</v>
      </c>
      <c r="N73" s="591">
        <v>0</v>
      </c>
      <c r="O73" s="591">
        <v>0</v>
      </c>
      <c r="P73" s="591">
        <v>577.85900000000004</v>
      </c>
      <c r="Q73" s="591">
        <v>0</v>
      </c>
      <c r="R73" s="591">
        <v>232547</v>
      </c>
      <c r="S73" s="591">
        <v>402.428</v>
      </c>
      <c r="T73" s="591">
        <v>0</v>
      </c>
      <c r="U73" s="591">
        <v>0</v>
      </c>
      <c r="V73" s="591">
        <v>29.557000000000002</v>
      </c>
      <c r="W73" s="591">
        <v>18204</v>
      </c>
      <c r="X73" s="591">
        <v>18204</v>
      </c>
      <c r="Y73" s="591">
        <v>0</v>
      </c>
      <c r="Z73" s="591">
        <v>0</v>
      </c>
      <c r="AA73" s="591">
        <v>0</v>
      </c>
      <c r="AB73" s="591">
        <v>0</v>
      </c>
      <c r="AC73" s="591">
        <v>0</v>
      </c>
      <c r="AD73" s="591" t="s">
        <v>316</v>
      </c>
      <c r="AE73" s="591">
        <v>0</v>
      </c>
      <c r="AF73" s="591">
        <v>0</v>
      </c>
      <c r="AG73" s="591">
        <v>0</v>
      </c>
      <c r="AH73" s="591">
        <v>0</v>
      </c>
      <c r="AI73" s="591">
        <v>0</v>
      </c>
      <c r="AJ73" s="591">
        <v>6159</v>
      </c>
      <c r="AK73" s="591" t="s">
        <v>671</v>
      </c>
      <c r="AL73" s="591" t="s">
        <v>389</v>
      </c>
      <c r="AM73" s="591">
        <v>0</v>
      </c>
      <c r="AN73" s="591">
        <v>0</v>
      </c>
      <c r="AO73" s="591">
        <v>0</v>
      </c>
      <c r="AP73" s="591">
        <v>0</v>
      </c>
      <c r="AQ73" s="591">
        <v>0</v>
      </c>
      <c r="AR73" s="591">
        <v>0</v>
      </c>
      <c r="AS73" s="591">
        <v>0</v>
      </c>
      <c r="AT73" s="591">
        <v>0</v>
      </c>
      <c r="AU73" s="591">
        <v>0</v>
      </c>
      <c r="AV73" s="591">
        <v>0</v>
      </c>
      <c r="AW73" s="591">
        <v>4900903</v>
      </c>
      <c r="AX73" s="591">
        <v>4799757</v>
      </c>
      <c r="AY73" s="591">
        <v>0</v>
      </c>
      <c r="AZ73" s="591">
        <v>232547</v>
      </c>
      <c r="BA73" s="591">
        <v>0</v>
      </c>
      <c r="BB73" s="591">
        <v>0</v>
      </c>
      <c r="BC73" s="591">
        <v>0</v>
      </c>
      <c r="BD73" s="591">
        <v>0</v>
      </c>
      <c r="BE73" s="591">
        <v>64</v>
      </c>
      <c r="BF73" s="591">
        <v>4474313</v>
      </c>
      <c r="BG73" s="591">
        <v>0</v>
      </c>
      <c r="BH73" s="591">
        <v>0</v>
      </c>
      <c r="BI73" s="591">
        <v>0</v>
      </c>
      <c r="BJ73" s="591">
        <v>12</v>
      </c>
      <c r="BK73" s="591">
        <v>0</v>
      </c>
      <c r="BL73" s="591">
        <v>0</v>
      </c>
      <c r="BM73" s="591">
        <v>0</v>
      </c>
      <c r="BN73" s="591">
        <v>0</v>
      </c>
      <c r="BO73" s="591">
        <v>0</v>
      </c>
      <c r="BP73" s="591">
        <v>0</v>
      </c>
      <c r="BQ73" s="591">
        <v>686</v>
      </c>
      <c r="BR73" s="591">
        <v>0</v>
      </c>
      <c r="BS73" s="591">
        <v>0</v>
      </c>
      <c r="BT73" s="591">
        <v>0</v>
      </c>
      <c r="BU73" s="591">
        <v>0</v>
      </c>
      <c r="BV73" s="591">
        <v>0</v>
      </c>
      <c r="BW73" s="591">
        <v>0</v>
      </c>
      <c r="BX73" s="591">
        <v>0</v>
      </c>
      <c r="BY73" s="591">
        <v>0</v>
      </c>
      <c r="BZ73" s="591">
        <v>0</v>
      </c>
      <c r="CA73" s="591">
        <v>0</v>
      </c>
      <c r="CB73" s="591">
        <v>0</v>
      </c>
      <c r="CC73" s="591">
        <v>0</v>
      </c>
      <c r="CD73" s="591">
        <v>0</v>
      </c>
      <c r="CE73" s="591">
        <v>0</v>
      </c>
      <c r="CF73" s="591">
        <v>0</v>
      </c>
      <c r="CG73" s="591">
        <v>0</v>
      </c>
      <c r="CH73" s="591">
        <v>102706</v>
      </c>
      <c r="CI73" s="591">
        <v>0</v>
      </c>
      <c r="CJ73" s="591">
        <v>4</v>
      </c>
      <c r="CK73" s="591">
        <v>0</v>
      </c>
      <c r="CL73" s="591">
        <v>0</v>
      </c>
      <c r="CM73" s="591">
        <v>0</v>
      </c>
      <c r="CN73" s="591">
        <v>0</v>
      </c>
      <c r="CO73" s="591">
        <v>1</v>
      </c>
      <c r="CP73" s="591">
        <v>0</v>
      </c>
      <c r="CQ73" s="591">
        <v>0</v>
      </c>
      <c r="CR73" s="591">
        <v>566.77499999999998</v>
      </c>
      <c r="CS73" s="591">
        <v>0</v>
      </c>
      <c r="CT73" s="591">
        <v>0</v>
      </c>
      <c r="CU73" s="591">
        <v>0</v>
      </c>
      <c r="CV73" s="591">
        <v>0</v>
      </c>
      <c r="CW73" s="591">
        <v>0</v>
      </c>
      <c r="CX73" s="591">
        <v>0</v>
      </c>
      <c r="CY73" s="591">
        <v>0</v>
      </c>
      <c r="CZ73" s="591">
        <v>0</v>
      </c>
      <c r="DA73" s="591">
        <v>0</v>
      </c>
      <c r="DB73" s="591">
        <v>3374069</v>
      </c>
      <c r="DC73" s="591">
        <v>0</v>
      </c>
      <c r="DD73" s="591">
        <v>0</v>
      </c>
      <c r="DE73" s="591">
        <v>21480</v>
      </c>
      <c r="DF73" s="591">
        <v>21480</v>
      </c>
      <c r="DG73" s="591">
        <v>3.488</v>
      </c>
      <c r="DH73" s="591">
        <v>0</v>
      </c>
      <c r="DI73" s="591">
        <v>0</v>
      </c>
      <c r="DJ73" s="591">
        <v>0</v>
      </c>
      <c r="DK73" s="591">
        <v>2592</v>
      </c>
      <c r="DL73" s="591">
        <v>0</v>
      </c>
      <c r="DM73" s="591">
        <v>392094</v>
      </c>
      <c r="DN73" s="591">
        <v>1496</v>
      </c>
      <c r="DO73" s="591">
        <v>0</v>
      </c>
      <c r="DP73" s="591">
        <v>0</v>
      </c>
      <c r="DQ73" s="591">
        <v>0</v>
      </c>
      <c r="DR73" s="591">
        <v>0</v>
      </c>
      <c r="DS73" s="591">
        <v>0</v>
      </c>
      <c r="DT73" s="591">
        <v>0</v>
      </c>
      <c r="DU73" s="591">
        <v>0</v>
      </c>
      <c r="DV73" s="591">
        <v>0</v>
      </c>
      <c r="DW73" s="591">
        <v>0</v>
      </c>
      <c r="DX73" s="591">
        <v>0</v>
      </c>
      <c r="DY73" s="591">
        <v>0</v>
      </c>
      <c r="DZ73" s="591">
        <v>0</v>
      </c>
      <c r="EA73" s="591">
        <v>0</v>
      </c>
      <c r="EB73" s="591">
        <v>0</v>
      </c>
      <c r="EC73" s="591">
        <v>13.233000000000001</v>
      </c>
      <c r="ED73" s="591">
        <v>93729</v>
      </c>
      <c r="EE73" s="591">
        <v>0</v>
      </c>
      <c r="EF73" s="591">
        <v>0</v>
      </c>
      <c r="EG73" s="591">
        <v>0</v>
      </c>
      <c r="EH73" s="591">
        <v>299861</v>
      </c>
      <c r="EI73" s="591">
        <v>0</v>
      </c>
      <c r="EJ73" s="591">
        <v>0</v>
      </c>
      <c r="EK73" s="591">
        <v>15.212000000000002</v>
      </c>
      <c r="EL73" s="591">
        <v>0</v>
      </c>
      <c r="EM73" s="591">
        <v>0</v>
      </c>
      <c r="EN73" s="591">
        <v>0.61</v>
      </c>
      <c r="EO73" s="591">
        <v>0</v>
      </c>
      <c r="EP73" s="591">
        <v>0</v>
      </c>
      <c r="EQ73" s="591">
        <v>15.822000000000001</v>
      </c>
      <c r="ER73" s="591">
        <v>0</v>
      </c>
      <c r="ES73" s="591">
        <v>48.686</v>
      </c>
      <c r="ET73" s="591">
        <v>0</v>
      </c>
      <c r="EU73" s="591">
        <v>0</v>
      </c>
      <c r="EV73" s="591">
        <v>0</v>
      </c>
      <c r="EW73" s="591">
        <v>0</v>
      </c>
      <c r="EX73" s="591">
        <v>0</v>
      </c>
      <c r="EY73" s="591">
        <v>0</v>
      </c>
      <c r="EZ73" s="591">
        <v>4241766</v>
      </c>
      <c r="FA73" s="591">
        <v>0</v>
      </c>
      <c r="FB73" s="591">
        <v>4472753</v>
      </c>
      <c r="FC73" s="591">
        <v>0</v>
      </c>
      <c r="FD73" s="591">
        <v>0</v>
      </c>
      <c r="FE73" s="591">
        <v>463458</v>
      </c>
      <c r="FF73" s="591">
        <v>94533</v>
      </c>
      <c r="FG73" s="591">
        <v>6.4728999999999995E-2</v>
      </c>
      <c r="FH73" s="591">
        <v>2.6405999999999999E-2</v>
      </c>
      <c r="FI73" s="591">
        <v>0</v>
      </c>
      <c r="FJ73" s="591">
        <v>0</v>
      </c>
      <c r="FK73" s="591">
        <v>726.45800000000008</v>
      </c>
      <c r="FL73" s="591">
        <v>5133450</v>
      </c>
      <c r="FM73" s="591">
        <v>0</v>
      </c>
      <c r="FN73" s="591">
        <v>0</v>
      </c>
      <c r="FO73" s="591">
        <v>0</v>
      </c>
      <c r="FP73" s="591">
        <v>0</v>
      </c>
      <c r="FQ73" s="591">
        <v>0</v>
      </c>
      <c r="FR73" s="591">
        <v>0</v>
      </c>
      <c r="FS73" s="591">
        <v>0</v>
      </c>
      <c r="FT73" s="591">
        <v>0</v>
      </c>
      <c r="FU73" s="591">
        <v>0</v>
      </c>
      <c r="FV73" s="591">
        <v>0</v>
      </c>
      <c r="FW73" s="591">
        <v>0</v>
      </c>
      <c r="FX73" s="591">
        <v>0</v>
      </c>
      <c r="FY73" s="591">
        <v>0</v>
      </c>
      <c r="FZ73" s="591">
        <v>0</v>
      </c>
      <c r="GA73" s="591">
        <v>0</v>
      </c>
      <c r="GB73" s="591">
        <v>26050</v>
      </c>
      <c r="GC73" s="591">
        <v>26050</v>
      </c>
      <c r="GD73" s="591">
        <v>3.133</v>
      </c>
      <c r="GE73" s="591">
        <v>0</v>
      </c>
      <c r="GF73" s="591">
        <v>0</v>
      </c>
      <c r="GG73" s="591">
        <v>0</v>
      </c>
      <c r="GH73" s="591">
        <v>0</v>
      </c>
      <c r="GI73" s="591">
        <v>0</v>
      </c>
      <c r="GJ73" s="591">
        <v>0</v>
      </c>
      <c r="GK73" s="591">
        <v>0</v>
      </c>
      <c r="GL73" s="591">
        <v>0</v>
      </c>
      <c r="GM73" s="591">
        <v>0</v>
      </c>
      <c r="GN73" s="591">
        <v>0</v>
      </c>
      <c r="GO73" s="591">
        <v>0</v>
      </c>
      <c r="GP73" s="591">
        <v>0</v>
      </c>
      <c r="GQ73" s="591">
        <v>0</v>
      </c>
      <c r="GR73" s="591">
        <v>0</v>
      </c>
      <c r="GS73" s="591">
        <v>0</v>
      </c>
      <c r="GT73" s="591">
        <v>0</v>
      </c>
      <c r="GU73" s="591">
        <v>0</v>
      </c>
      <c r="GV73" s="591">
        <v>0</v>
      </c>
      <c r="GW73" s="591">
        <v>0</v>
      </c>
      <c r="GX73" s="591">
        <v>0</v>
      </c>
      <c r="GY73" s="591">
        <v>0</v>
      </c>
      <c r="GZ73" s="591">
        <v>0</v>
      </c>
      <c r="HA73" s="591">
        <v>0</v>
      </c>
      <c r="HB73" s="591">
        <v>260009272</v>
      </c>
      <c r="HC73" s="591">
        <v>5.1774999999999995E-2</v>
      </c>
      <c r="HD73" s="591">
        <v>102706</v>
      </c>
      <c r="HE73" s="591">
        <v>0</v>
      </c>
      <c r="HF73" s="591">
        <v>602054</v>
      </c>
      <c r="HG73" s="591">
        <v>19093</v>
      </c>
      <c r="HH73" s="591">
        <v>14264</v>
      </c>
      <c r="HI73" s="591">
        <v>0</v>
      </c>
      <c r="HJ73" s="591">
        <v>5509</v>
      </c>
      <c r="HK73" s="591">
        <v>0</v>
      </c>
      <c r="HL73" s="591">
        <v>0</v>
      </c>
      <c r="HM73" s="591">
        <v>0</v>
      </c>
      <c r="HN73" s="591">
        <v>0</v>
      </c>
      <c r="HO73" s="591">
        <v>0</v>
      </c>
      <c r="HP73" s="591">
        <v>0</v>
      </c>
      <c r="HQ73" s="591">
        <v>0</v>
      </c>
      <c r="HR73" s="591">
        <v>0</v>
      </c>
      <c r="HS73" s="591">
        <v>4240206</v>
      </c>
      <c r="HT73" s="591">
        <v>0</v>
      </c>
      <c r="HU73" s="591">
        <v>0</v>
      </c>
      <c r="HV73" s="591">
        <v>0</v>
      </c>
      <c r="HW73" s="591">
        <v>0</v>
      </c>
      <c r="HX73" s="591">
        <v>8</v>
      </c>
      <c r="HY73" s="591">
        <v>5</v>
      </c>
      <c r="HZ73" s="591">
        <v>2</v>
      </c>
      <c r="IA73" s="591">
        <v>0</v>
      </c>
      <c r="IB73" s="591">
        <v>0</v>
      </c>
      <c r="IC73" s="591">
        <v>11</v>
      </c>
      <c r="ID73" s="591">
        <v>0</v>
      </c>
      <c r="IE73" s="591">
        <v>0</v>
      </c>
      <c r="IF73" s="591">
        <v>0</v>
      </c>
      <c r="IG73" s="591">
        <v>31</v>
      </c>
      <c r="IH73" s="591">
        <v>23.16</v>
      </c>
      <c r="II73" s="591">
        <v>0</v>
      </c>
      <c r="IJ73" s="591">
        <v>29.557000000000002</v>
      </c>
      <c r="IK73" s="591">
        <v>0</v>
      </c>
      <c r="IL73" s="591">
        <v>0</v>
      </c>
      <c r="IM73" s="591">
        <v>0</v>
      </c>
      <c r="IN73" s="591">
        <v>0</v>
      </c>
      <c r="IO73" s="591">
        <v>0</v>
      </c>
      <c r="IP73" s="591">
        <v>0</v>
      </c>
      <c r="IQ73" s="591">
        <v>29.557000000000002</v>
      </c>
      <c r="IR73" s="591">
        <v>18204</v>
      </c>
      <c r="IS73" s="591">
        <v>0</v>
      </c>
      <c r="IT73" s="591">
        <v>0</v>
      </c>
      <c r="IU73" s="591">
        <v>0</v>
      </c>
      <c r="IV73" s="591">
        <v>0</v>
      </c>
      <c r="IW73" s="591">
        <v>6159</v>
      </c>
      <c r="IX73" s="591">
        <v>0</v>
      </c>
      <c r="IY73" s="591">
        <v>0</v>
      </c>
      <c r="IZ73" s="591">
        <v>0</v>
      </c>
      <c r="JA73" s="591">
        <v>0</v>
      </c>
      <c r="JB73" s="591">
        <v>0</v>
      </c>
      <c r="JC73" s="591">
        <v>0</v>
      </c>
      <c r="JD73" s="591">
        <v>0</v>
      </c>
      <c r="JE73" s="591">
        <v>0</v>
      </c>
      <c r="JF73" s="591">
        <v>0</v>
      </c>
      <c r="JG73" s="591">
        <v>0</v>
      </c>
      <c r="JH73" s="591">
        <v>0</v>
      </c>
      <c r="JI73" s="591">
        <v>0</v>
      </c>
      <c r="JJ73" s="591">
        <v>0</v>
      </c>
      <c r="JK73" s="591">
        <v>0</v>
      </c>
      <c r="JL73" s="591">
        <v>0</v>
      </c>
      <c r="JM73" s="591">
        <v>0</v>
      </c>
      <c r="JN73" s="591">
        <v>32469</v>
      </c>
    </row>
    <row r="74" spans="1:274" x14ac:dyDescent="0.25">
      <c r="A74" s="591">
        <v>32570</v>
      </c>
      <c r="B74" s="591">
        <v>68802</v>
      </c>
      <c r="C74" s="591">
        <v>9</v>
      </c>
      <c r="D74" s="591">
        <v>2022</v>
      </c>
      <c r="E74" s="591">
        <v>6159</v>
      </c>
      <c r="F74" s="591">
        <v>0</v>
      </c>
      <c r="G74" s="591">
        <v>1259.8330000000001</v>
      </c>
      <c r="H74" s="591">
        <v>1241.184</v>
      </c>
      <c r="I74" s="591">
        <v>1241.184</v>
      </c>
      <c r="J74" s="591">
        <v>1259.8330000000001</v>
      </c>
      <c r="K74" s="591">
        <v>0</v>
      </c>
      <c r="L74" s="591">
        <v>6159</v>
      </c>
      <c r="M74" s="591">
        <v>0</v>
      </c>
      <c r="N74" s="591">
        <v>0</v>
      </c>
      <c r="O74" s="591">
        <v>0</v>
      </c>
      <c r="P74" s="591">
        <v>1266.675</v>
      </c>
      <c r="Q74" s="591">
        <v>0</v>
      </c>
      <c r="R74" s="591">
        <v>509745</v>
      </c>
      <c r="S74" s="591">
        <v>402.428</v>
      </c>
      <c r="T74" s="591">
        <v>0</v>
      </c>
      <c r="U74" s="591">
        <v>0</v>
      </c>
      <c r="V74" s="591">
        <v>0</v>
      </c>
      <c r="W74" s="591">
        <v>0</v>
      </c>
      <c r="X74" s="591">
        <v>0</v>
      </c>
      <c r="Y74" s="591">
        <v>0</v>
      </c>
      <c r="Z74" s="591">
        <v>0</v>
      </c>
      <c r="AA74" s="591">
        <v>0</v>
      </c>
      <c r="AB74" s="591">
        <v>0</v>
      </c>
      <c r="AC74" s="591">
        <v>0</v>
      </c>
      <c r="AD74" s="591" t="s">
        <v>316</v>
      </c>
      <c r="AE74" s="591">
        <v>0</v>
      </c>
      <c r="AF74" s="591">
        <v>0</v>
      </c>
      <c r="AG74" s="591">
        <v>0</v>
      </c>
      <c r="AH74" s="591">
        <v>0</v>
      </c>
      <c r="AI74" s="591">
        <v>0</v>
      </c>
      <c r="AJ74" s="591">
        <v>6159</v>
      </c>
      <c r="AK74" s="591" t="s">
        <v>671</v>
      </c>
      <c r="AL74" s="591" t="s">
        <v>337</v>
      </c>
      <c r="AM74" s="591">
        <v>0</v>
      </c>
      <c r="AN74" s="591">
        <v>0</v>
      </c>
      <c r="AO74" s="591">
        <v>0</v>
      </c>
      <c r="AP74" s="591">
        <v>0</v>
      </c>
      <c r="AQ74" s="591">
        <v>0</v>
      </c>
      <c r="AR74" s="591">
        <v>0</v>
      </c>
      <c r="AS74" s="591">
        <v>0</v>
      </c>
      <c r="AT74" s="591">
        <v>0</v>
      </c>
      <c r="AU74" s="591">
        <v>0</v>
      </c>
      <c r="AV74" s="591">
        <v>0</v>
      </c>
      <c r="AW74" s="591">
        <v>10944922</v>
      </c>
      <c r="AX74" s="591">
        <v>10719435</v>
      </c>
      <c r="AY74" s="591">
        <v>0</v>
      </c>
      <c r="AZ74" s="591">
        <v>509745</v>
      </c>
      <c r="BA74" s="591">
        <v>0</v>
      </c>
      <c r="BB74" s="591">
        <v>0</v>
      </c>
      <c r="BC74" s="591">
        <v>0</v>
      </c>
      <c r="BD74" s="591">
        <v>1.8330000000000002</v>
      </c>
      <c r="BE74" s="591">
        <v>144</v>
      </c>
      <c r="BF74" s="591">
        <v>9981607</v>
      </c>
      <c r="BG74" s="591">
        <v>0</v>
      </c>
      <c r="BH74" s="591">
        <v>0</v>
      </c>
      <c r="BI74" s="591">
        <v>0</v>
      </c>
      <c r="BJ74" s="591">
        <v>12</v>
      </c>
      <c r="BK74" s="591">
        <v>0</v>
      </c>
      <c r="BL74" s="591">
        <v>0</v>
      </c>
      <c r="BM74" s="591">
        <v>0</v>
      </c>
      <c r="BN74" s="591">
        <v>0</v>
      </c>
      <c r="BO74" s="591">
        <v>0</v>
      </c>
      <c r="BP74" s="591">
        <v>0</v>
      </c>
      <c r="BQ74" s="591">
        <v>579</v>
      </c>
      <c r="BR74" s="591">
        <v>0</v>
      </c>
      <c r="BS74" s="591">
        <v>0</v>
      </c>
      <c r="BT74" s="591">
        <v>0</v>
      </c>
      <c r="BU74" s="591">
        <v>0</v>
      </c>
      <c r="BV74" s="591">
        <v>0</v>
      </c>
      <c r="BW74" s="591">
        <v>0</v>
      </c>
      <c r="BX74" s="591">
        <v>0</v>
      </c>
      <c r="BY74" s="591">
        <v>0</v>
      </c>
      <c r="BZ74" s="591">
        <v>0</v>
      </c>
      <c r="CA74" s="591">
        <v>0</v>
      </c>
      <c r="CB74" s="591">
        <v>0</v>
      </c>
      <c r="CC74" s="591">
        <v>0</v>
      </c>
      <c r="CD74" s="591">
        <v>0</v>
      </c>
      <c r="CE74" s="591">
        <v>0</v>
      </c>
      <c r="CF74" s="591">
        <v>0</v>
      </c>
      <c r="CG74" s="591">
        <v>0</v>
      </c>
      <c r="CH74" s="591">
        <v>228295</v>
      </c>
      <c r="CI74" s="591">
        <v>0</v>
      </c>
      <c r="CJ74" s="591">
        <v>5</v>
      </c>
      <c r="CK74" s="591">
        <v>0</v>
      </c>
      <c r="CL74" s="591">
        <v>0</v>
      </c>
      <c r="CM74" s="591">
        <v>0</v>
      </c>
      <c r="CN74" s="591">
        <v>0</v>
      </c>
      <c r="CO74" s="591">
        <v>1</v>
      </c>
      <c r="CP74" s="591">
        <v>0</v>
      </c>
      <c r="CQ74" s="591">
        <v>0</v>
      </c>
      <c r="CR74" s="591">
        <v>1259.8330000000001</v>
      </c>
      <c r="CS74" s="591">
        <v>0</v>
      </c>
      <c r="CT74" s="591">
        <v>0</v>
      </c>
      <c r="CU74" s="591">
        <v>0</v>
      </c>
      <c r="CV74" s="591">
        <v>0</v>
      </c>
      <c r="CW74" s="591">
        <v>0</v>
      </c>
      <c r="CX74" s="591">
        <v>0</v>
      </c>
      <c r="CY74" s="591">
        <v>0</v>
      </c>
      <c r="CZ74" s="591">
        <v>0</v>
      </c>
      <c r="DA74" s="591">
        <v>0</v>
      </c>
      <c r="DB74" s="591">
        <v>7644555</v>
      </c>
      <c r="DC74" s="591">
        <v>0</v>
      </c>
      <c r="DD74" s="591">
        <v>0</v>
      </c>
      <c r="DE74" s="591">
        <v>217339</v>
      </c>
      <c r="DF74" s="591">
        <v>217339</v>
      </c>
      <c r="DG74" s="591">
        <v>35.288000000000004</v>
      </c>
      <c r="DH74" s="591">
        <v>0</v>
      </c>
      <c r="DI74" s="591">
        <v>0</v>
      </c>
      <c r="DJ74" s="591">
        <v>0</v>
      </c>
      <c r="DK74" s="591">
        <v>884</v>
      </c>
      <c r="DL74" s="591">
        <v>0</v>
      </c>
      <c r="DM74" s="591">
        <v>698244</v>
      </c>
      <c r="DN74" s="591">
        <v>2664</v>
      </c>
      <c r="DO74" s="591">
        <v>0</v>
      </c>
      <c r="DP74" s="591">
        <v>0</v>
      </c>
      <c r="DQ74" s="591">
        <v>0</v>
      </c>
      <c r="DR74" s="591">
        <v>0</v>
      </c>
      <c r="DS74" s="591">
        <v>0</v>
      </c>
      <c r="DT74" s="591">
        <v>0</v>
      </c>
      <c r="DU74" s="591">
        <v>0</v>
      </c>
      <c r="DV74" s="591">
        <v>0</v>
      </c>
      <c r="DW74" s="591">
        <v>0</v>
      </c>
      <c r="DX74" s="591">
        <v>0</v>
      </c>
      <c r="DY74" s="591">
        <v>0</v>
      </c>
      <c r="DZ74" s="591">
        <v>0</v>
      </c>
      <c r="EA74" s="591">
        <v>0</v>
      </c>
      <c r="EB74" s="591">
        <v>0</v>
      </c>
      <c r="EC74" s="591">
        <v>46.405000000000001</v>
      </c>
      <c r="ED74" s="591">
        <v>328684</v>
      </c>
      <c r="EE74" s="591">
        <v>0</v>
      </c>
      <c r="EF74" s="591">
        <v>0</v>
      </c>
      <c r="EG74" s="591">
        <v>0</v>
      </c>
      <c r="EH74" s="591">
        <v>372224</v>
      </c>
      <c r="EI74" s="591">
        <v>0</v>
      </c>
      <c r="EJ74" s="591">
        <v>0</v>
      </c>
      <c r="EK74" s="591">
        <v>16.405000000000001</v>
      </c>
      <c r="EL74" s="591">
        <v>0</v>
      </c>
      <c r="EM74" s="591">
        <v>0</v>
      </c>
      <c r="EN74" s="591">
        <v>2.2440000000000002</v>
      </c>
      <c r="EO74" s="591">
        <v>0</v>
      </c>
      <c r="EP74" s="591">
        <v>0</v>
      </c>
      <c r="EQ74" s="591">
        <v>18.649000000000001</v>
      </c>
      <c r="ER74" s="591">
        <v>0</v>
      </c>
      <c r="ES74" s="591">
        <v>60.435000000000002</v>
      </c>
      <c r="ET74" s="591">
        <v>0</v>
      </c>
      <c r="EU74" s="591">
        <v>0</v>
      </c>
      <c r="EV74" s="591">
        <v>0</v>
      </c>
      <c r="EW74" s="591">
        <v>0</v>
      </c>
      <c r="EX74" s="591">
        <v>0</v>
      </c>
      <c r="EY74" s="591">
        <v>0</v>
      </c>
      <c r="EZ74" s="591">
        <v>9474631</v>
      </c>
      <c r="FA74" s="591">
        <v>0</v>
      </c>
      <c r="FB74" s="591">
        <v>9981568</v>
      </c>
      <c r="FC74" s="591">
        <v>0</v>
      </c>
      <c r="FD74" s="591">
        <v>0</v>
      </c>
      <c r="FE74" s="591">
        <v>1033913</v>
      </c>
      <c r="FF74" s="591">
        <v>210891</v>
      </c>
      <c r="FG74" s="591">
        <v>6.4728999999999995E-2</v>
      </c>
      <c r="FH74" s="591">
        <v>2.6405999999999999E-2</v>
      </c>
      <c r="FI74" s="591">
        <v>0</v>
      </c>
      <c r="FJ74" s="591">
        <v>0</v>
      </c>
      <c r="FK74" s="591">
        <v>1620.6320000000001</v>
      </c>
      <c r="FL74" s="591">
        <v>11454667</v>
      </c>
      <c r="FM74" s="591">
        <v>0</v>
      </c>
      <c r="FN74" s="591">
        <v>0</v>
      </c>
      <c r="FO74" s="591">
        <v>0</v>
      </c>
      <c r="FP74" s="591">
        <v>0</v>
      </c>
      <c r="FQ74" s="591">
        <v>0</v>
      </c>
      <c r="FR74" s="591">
        <v>0</v>
      </c>
      <c r="FS74" s="591">
        <v>0</v>
      </c>
      <c r="FT74" s="591">
        <v>0</v>
      </c>
      <c r="FU74" s="591">
        <v>0</v>
      </c>
      <c r="FV74" s="591">
        <v>0</v>
      </c>
      <c r="FW74" s="591">
        <v>0</v>
      </c>
      <c r="FX74" s="591">
        <v>0</v>
      </c>
      <c r="FY74" s="591">
        <v>0</v>
      </c>
      <c r="FZ74" s="591">
        <v>0</v>
      </c>
      <c r="GA74" s="591">
        <v>0</v>
      </c>
      <c r="GB74" s="591">
        <v>0</v>
      </c>
      <c r="GC74" s="591">
        <v>0</v>
      </c>
      <c r="GD74" s="591">
        <v>0</v>
      </c>
      <c r="GE74" s="591">
        <v>0</v>
      </c>
      <c r="GF74" s="591">
        <v>0</v>
      </c>
      <c r="GG74" s="591">
        <v>0</v>
      </c>
      <c r="GH74" s="591">
        <v>0</v>
      </c>
      <c r="GI74" s="591">
        <v>0</v>
      </c>
      <c r="GJ74" s="591">
        <v>0</v>
      </c>
      <c r="GK74" s="591">
        <v>0</v>
      </c>
      <c r="GL74" s="591">
        <v>0</v>
      </c>
      <c r="GM74" s="591">
        <v>0</v>
      </c>
      <c r="GN74" s="591">
        <v>0</v>
      </c>
      <c r="GO74" s="591">
        <v>0</v>
      </c>
      <c r="GP74" s="591">
        <v>0</v>
      </c>
      <c r="GQ74" s="591">
        <v>0</v>
      </c>
      <c r="GR74" s="591">
        <v>0</v>
      </c>
      <c r="GS74" s="591">
        <v>0</v>
      </c>
      <c r="GT74" s="591">
        <v>0</v>
      </c>
      <c r="GU74" s="591">
        <v>0</v>
      </c>
      <c r="GV74" s="591">
        <v>0</v>
      </c>
      <c r="GW74" s="591">
        <v>0</v>
      </c>
      <c r="GX74" s="591">
        <v>0</v>
      </c>
      <c r="GY74" s="591">
        <v>0</v>
      </c>
      <c r="GZ74" s="591">
        <v>0</v>
      </c>
      <c r="HA74" s="591">
        <v>0</v>
      </c>
      <c r="HB74" s="591">
        <v>260009272</v>
      </c>
      <c r="HC74" s="591">
        <v>5.1774999999999995E-2</v>
      </c>
      <c r="HD74" s="591">
        <v>228295</v>
      </c>
      <c r="HE74" s="591">
        <v>0</v>
      </c>
      <c r="HF74" s="591">
        <v>1364061</v>
      </c>
      <c r="HG74" s="591">
        <v>15398</v>
      </c>
      <c r="HH74" s="591">
        <v>27100</v>
      </c>
      <c r="HI74" s="591">
        <v>0</v>
      </c>
      <c r="HJ74" s="591">
        <v>12246</v>
      </c>
      <c r="HK74" s="591">
        <v>2275</v>
      </c>
      <c r="HL74" s="591">
        <v>494</v>
      </c>
      <c r="HM74" s="591">
        <v>0</v>
      </c>
      <c r="HN74" s="591">
        <v>0</v>
      </c>
      <c r="HO74" s="591">
        <v>0</v>
      </c>
      <c r="HP74" s="591">
        <v>0</v>
      </c>
      <c r="HQ74" s="591">
        <v>0</v>
      </c>
      <c r="HR74" s="591">
        <v>0</v>
      </c>
      <c r="HS74" s="591">
        <v>9471823</v>
      </c>
      <c r="HT74" s="591">
        <v>0</v>
      </c>
      <c r="HU74" s="591">
        <v>0</v>
      </c>
      <c r="HV74" s="591">
        <v>0</v>
      </c>
      <c r="HW74" s="591">
        <v>0</v>
      </c>
      <c r="HX74" s="591">
        <v>41</v>
      </c>
      <c r="HY74" s="591">
        <v>52</v>
      </c>
      <c r="HZ74" s="591">
        <v>22</v>
      </c>
      <c r="IA74" s="591">
        <v>25</v>
      </c>
      <c r="IB74" s="591">
        <v>6</v>
      </c>
      <c r="IC74" s="591">
        <v>136</v>
      </c>
      <c r="ID74" s="591">
        <v>0</v>
      </c>
      <c r="IE74" s="591">
        <v>0</v>
      </c>
      <c r="IF74" s="591">
        <v>0</v>
      </c>
      <c r="IG74" s="591">
        <v>25</v>
      </c>
      <c r="IH74" s="591">
        <v>44</v>
      </c>
      <c r="II74" s="591">
        <v>0</v>
      </c>
      <c r="IJ74" s="591">
        <v>0</v>
      </c>
      <c r="IK74" s="591">
        <v>0</v>
      </c>
      <c r="IL74" s="591">
        <v>0</v>
      </c>
      <c r="IM74" s="591">
        <v>0</v>
      </c>
      <c r="IN74" s="591">
        <v>0</v>
      </c>
      <c r="IO74" s="591">
        <v>0</v>
      </c>
      <c r="IP74" s="591">
        <v>0</v>
      </c>
      <c r="IQ74" s="591">
        <v>0</v>
      </c>
      <c r="IR74" s="591">
        <v>0</v>
      </c>
      <c r="IS74" s="591">
        <v>0</v>
      </c>
      <c r="IT74" s="591">
        <v>0</v>
      </c>
      <c r="IU74" s="591">
        <v>0</v>
      </c>
      <c r="IV74" s="591">
        <v>0</v>
      </c>
      <c r="IW74" s="591">
        <v>6159</v>
      </c>
      <c r="IX74" s="591">
        <v>0</v>
      </c>
      <c r="IY74" s="591">
        <v>0</v>
      </c>
      <c r="IZ74" s="591">
        <v>0</v>
      </c>
      <c r="JA74" s="591">
        <v>0</v>
      </c>
      <c r="JB74" s="591">
        <v>0</v>
      </c>
      <c r="JC74" s="591">
        <v>0</v>
      </c>
      <c r="JD74" s="591">
        <v>0</v>
      </c>
      <c r="JE74" s="591">
        <v>0</v>
      </c>
      <c r="JF74" s="591">
        <v>0</v>
      </c>
      <c r="JG74" s="591">
        <v>0</v>
      </c>
      <c r="JH74" s="591">
        <v>0</v>
      </c>
      <c r="JI74" s="591">
        <v>0</v>
      </c>
      <c r="JJ74" s="591">
        <v>0</v>
      </c>
      <c r="JK74" s="591">
        <v>0</v>
      </c>
      <c r="JL74" s="591">
        <v>0</v>
      </c>
      <c r="JM74" s="591">
        <v>0</v>
      </c>
      <c r="JN74" s="591">
        <v>32469</v>
      </c>
    </row>
    <row r="75" spans="1:274" x14ac:dyDescent="0.25">
      <c r="A75" s="591">
        <v>32570</v>
      </c>
      <c r="B75" s="591">
        <v>68803</v>
      </c>
      <c r="C75" s="591">
        <v>9</v>
      </c>
      <c r="D75" s="591">
        <v>2022</v>
      </c>
      <c r="E75" s="591">
        <v>6159</v>
      </c>
      <c r="F75" s="591">
        <v>0</v>
      </c>
      <c r="G75" s="591">
        <v>757.22700000000009</v>
      </c>
      <c r="H75" s="591">
        <v>680.54899999999998</v>
      </c>
      <c r="I75" s="591">
        <v>680.54899999999998</v>
      </c>
      <c r="J75" s="591">
        <v>757.22700000000009</v>
      </c>
      <c r="K75" s="591">
        <v>0</v>
      </c>
      <c r="L75" s="591">
        <v>6159</v>
      </c>
      <c r="M75" s="591">
        <v>0</v>
      </c>
      <c r="N75" s="591">
        <v>0</v>
      </c>
      <c r="O75" s="591">
        <v>0</v>
      </c>
      <c r="P75" s="591">
        <v>747.59500000000003</v>
      </c>
      <c r="Q75" s="591">
        <v>0</v>
      </c>
      <c r="R75" s="591">
        <v>300853</v>
      </c>
      <c r="S75" s="591">
        <v>402.428</v>
      </c>
      <c r="T75" s="591">
        <v>0</v>
      </c>
      <c r="U75" s="591">
        <v>0</v>
      </c>
      <c r="V75" s="591">
        <v>13.902000000000001</v>
      </c>
      <c r="W75" s="591">
        <v>8562</v>
      </c>
      <c r="X75" s="591">
        <v>8562</v>
      </c>
      <c r="Y75" s="591">
        <v>0</v>
      </c>
      <c r="Z75" s="591">
        <v>0</v>
      </c>
      <c r="AA75" s="591">
        <v>0</v>
      </c>
      <c r="AB75" s="591">
        <v>0</v>
      </c>
      <c r="AC75" s="591">
        <v>0</v>
      </c>
      <c r="AD75" s="591" t="s">
        <v>316</v>
      </c>
      <c r="AE75" s="591">
        <v>0</v>
      </c>
      <c r="AF75" s="591">
        <v>0</v>
      </c>
      <c r="AG75" s="591">
        <v>0</v>
      </c>
      <c r="AH75" s="591">
        <v>0</v>
      </c>
      <c r="AI75" s="591">
        <v>0</v>
      </c>
      <c r="AJ75" s="591">
        <v>6159</v>
      </c>
      <c r="AK75" s="591" t="s">
        <v>671</v>
      </c>
      <c r="AL75" s="591" t="s">
        <v>338</v>
      </c>
      <c r="AM75" s="591">
        <v>0</v>
      </c>
      <c r="AN75" s="591">
        <v>0</v>
      </c>
      <c r="AO75" s="591">
        <v>0</v>
      </c>
      <c r="AP75" s="591">
        <v>0</v>
      </c>
      <c r="AQ75" s="591">
        <v>0</v>
      </c>
      <c r="AR75" s="591">
        <v>0</v>
      </c>
      <c r="AS75" s="591">
        <v>0</v>
      </c>
      <c r="AT75" s="591">
        <v>0</v>
      </c>
      <c r="AU75" s="591">
        <v>0</v>
      </c>
      <c r="AV75" s="591">
        <v>0</v>
      </c>
      <c r="AW75" s="591">
        <v>6667428</v>
      </c>
      <c r="AX75" s="591">
        <v>6531114</v>
      </c>
      <c r="AY75" s="591">
        <v>0</v>
      </c>
      <c r="AZ75" s="591">
        <v>300853</v>
      </c>
      <c r="BA75" s="591">
        <v>0</v>
      </c>
      <c r="BB75" s="591">
        <v>0</v>
      </c>
      <c r="BC75" s="591">
        <v>0</v>
      </c>
      <c r="BD75" s="591">
        <v>6</v>
      </c>
      <c r="BE75" s="591">
        <v>87</v>
      </c>
      <c r="BF75" s="591">
        <v>6069070</v>
      </c>
      <c r="BG75" s="591">
        <v>0</v>
      </c>
      <c r="BH75" s="591">
        <v>0</v>
      </c>
      <c r="BI75" s="591">
        <v>0</v>
      </c>
      <c r="BJ75" s="591">
        <v>12</v>
      </c>
      <c r="BK75" s="591">
        <v>0</v>
      </c>
      <c r="BL75" s="591">
        <v>0</v>
      </c>
      <c r="BM75" s="591">
        <v>0</v>
      </c>
      <c r="BN75" s="591">
        <v>0</v>
      </c>
      <c r="BO75" s="591">
        <v>0</v>
      </c>
      <c r="BP75" s="591">
        <v>0</v>
      </c>
      <c r="BQ75" s="591">
        <v>665</v>
      </c>
      <c r="BR75" s="591">
        <v>0</v>
      </c>
      <c r="BS75" s="591">
        <v>0</v>
      </c>
      <c r="BT75" s="591">
        <v>0</v>
      </c>
      <c r="BU75" s="591">
        <v>0</v>
      </c>
      <c r="BV75" s="591">
        <v>0</v>
      </c>
      <c r="BW75" s="591">
        <v>0</v>
      </c>
      <c r="BX75" s="591">
        <v>0</v>
      </c>
      <c r="BY75" s="591">
        <v>0</v>
      </c>
      <c r="BZ75" s="591">
        <v>0</v>
      </c>
      <c r="CA75" s="591">
        <v>0</v>
      </c>
      <c r="CB75" s="591">
        <v>0</v>
      </c>
      <c r="CC75" s="591">
        <v>0</v>
      </c>
      <c r="CD75" s="591">
        <v>0</v>
      </c>
      <c r="CE75" s="591">
        <v>0</v>
      </c>
      <c r="CF75" s="591">
        <v>0</v>
      </c>
      <c r="CG75" s="591">
        <v>0</v>
      </c>
      <c r="CH75" s="591">
        <v>137218</v>
      </c>
      <c r="CI75" s="591">
        <v>0</v>
      </c>
      <c r="CJ75" s="591">
        <v>4</v>
      </c>
      <c r="CK75" s="591">
        <v>0</v>
      </c>
      <c r="CL75" s="591">
        <v>0</v>
      </c>
      <c r="CM75" s="591">
        <v>0</v>
      </c>
      <c r="CN75" s="591">
        <v>0</v>
      </c>
      <c r="CO75" s="591">
        <v>1</v>
      </c>
      <c r="CP75" s="591">
        <v>0</v>
      </c>
      <c r="CQ75" s="591">
        <v>0</v>
      </c>
      <c r="CR75" s="591">
        <v>757.22700000000009</v>
      </c>
      <c r="CS75" s="591">
        <v>0</v>
      </c>
      <c r="CT75" s="591">
        <v>0</v>
      </c>
      <c r="CU75" s="591">
        <v>0</v>
      </c>
      <c r="CV75" s="591">
        <v>0</v>
      </c>
      <c r="CW75" s="591">
        <v>0</v>
      </c>
      <c r="CX75" s="591">
        <v>0</v>
      </c>
      <c r="CY75" s="591">
        <v>0</v>
      </c>
      <c r="CZ75" s="591">
        <v>0</v>
      </c>
      <c r="DA75" s="591">
        <v>0</v>
      </c>
      <c r="DB75" s="591">
        <v>4191557</v>
      </c>
      <c r="DC75" s="591">
        <v>0</v>
      </c>
      <c r="DD75" s="591">
        <v>0</v>
      </c>
      <c r="DE75" s="591">
        <v>235431</v>
      </c>
      <c r="DF75" s="591">
        <v>235431</v>
      </c>
      <c r="DG75" s="591">
        <v>38.225000000000001</v>
      </c>
      <c r="DH75" s="591">
        <v>0</v>
      </c>
      <c r="DI75" s="591">
        <v>0</v>
      </c>
      <c r="DJ75" s="591">
        <v>0</v>
      </c>
      <c r="DK75" s="591">
        <v>2265</v>
      </c>
      <c r="DL75" s="591">
        <v>0</v>
      </c>
      <c r="DM75" s="591">
        <v>213985</v>
      </c>
      <c r="DN75" s="591">
        <v>816</v>
      </c>
      <c r="DO75" s="591">
        <v>0</v>
      </c>
      <c r="DP75" s="591">
        <v>0</v>
      </c>
      <c r="DQ75" s="591">
        <v>0</v>
      </c>
      <c r="DR75" s="591">
        <v>0</v>
      </c>
      <c r="DS75" s="591">
        <v>0</v>
      </c>
      <c r="DT75" s="591">
        <v>0</v>
      </c>
      <c r="DU75" s="591">
        <v>0</v>
      </c>
      <c r="DV75" s="591">
        <v>0</v>
      </c>
      <c r="DW75" s="591">
        <v>0</v>
      </c>
      <c r="DX75" s="591">
        <v>0</v>
      </c>
      <c r="DY75" s="591">
        <v>0</v>
      </c>
      <c r="DZ75" s="591">
        <v>0</v>
      </c>
      <c r="EA75" s="591">
        <v>0</v>
      </c>
      <c r="EB75" s="591">
        <v>0</v>
      </c>
      <c r="EC75" s="591">
        <v>25.983000000000001</v>
      </c>
      <c r="ED75" s="591">
        <v>184036</v>
      </c>
      <c r="EE75" s="591">
        <v>0</v>
      </c>
      <c r="EF75" s="591">
        <v>0</v>
      </c>
      <c r="EG75" s="591">
        <v>0</v>
      </c>
      <c r="EH75" s="591">
        <v>30765</v>
      </c>
      <c r="EI75" s="591">
        <v>0</v>
      </c>
      <c r="EJ75" s="591">
        <v>0</v>
      </c>
      <c r="EK75" s="591">
        <v>0</v>
      </c>
      <c r="EL75" s="591">
        <v>0</v>
      </c>
      <c r="EM75" s="591">
        <v>0</v>
      </c>
      <c r="EN75" s="591">
        <v>0.999</v>
      </c>
      <c r="EO75" s="591">
        <v>0</v>
      </c>
      <c r="EP75" s="591">
        <v>0</v>
      </c>
      <c r="EQ75" s="591">
        <v>0.999</v>
      </c>
      <c r="ER75" s="591">
        <v>0</v>
      </c>
      <c r="ES75" s="591">
        <v>4.9950000000000001</v>
      </c>
      <c r="ET75" s="591">
        <v>0</v>
      </c>
      <c r="EU75" s="591">
        <v>0</v>
      </c>
      <c r="EV75" s="591">
        <v>0</v>
      </c>
      <c r="EW75" s="591">
        <v>0</v>
      </c>
      <c r="EX75" s="591">
        <v>0</v>
      </c>
      <c r="EY75" s="591">
        <v>0</v>
      </c>
      <c r="EZ75" s="591">
        <v>5774242</v>
      </c>
      <c r="FA75" s="591">
        <v>0</v>
      </c>
      <c r="FB75" s="591">
        <v>6074191</v>
      </c>
      <c r="FC75" s="591">
        <v>0</v>
      </c>
      <c r="FD75" s="591">
        <v>0</v>
      </c>
      <c r="FE75" s="591">
        <v>628645</v>
      </c>
      <c r="FF75" s="591">
        <v>128227</v>
      </c>
      <c r="FG75" s="591">
        <v>6.4728999999999995E-2</v>
      </c>
      <c r="FH75" s="591">
        <v>2.6405999999999999E-2</v>
      </c>
      <c r="FI75" s="591">
        <v>0</v>
      </c>
      <c r="FJ75" s="591">
        <v>0</v>
      </c>
      <c r="FK75" s="591">
        <v>985.38499999999999</v>
      </c>
      <c r="FL75" s="591">
        <v>6968281</v>
      </c>
      <c r="FM75" s="591">
        <v>0</v>
      </c>
      <c r="FN75" s="591">
        <v>0</v>
      </c>
      <c r="FO75" s="591">
        <v>0</v>
      </c>
      <c r="FP75" s="591">
        <v>0</v>
      </c>
      <c r="FQ75" s="591">
        <v>0</v>
      </c>
      <c r="FR75" s="591">
        <v>0</v>
      </c>
      <c r="FS75" s="591">
        <v>0</v>
      </c>
      <c r="FT75" s="591">
        <v>0</v>
      </c>
      <c r="FU75" s="591">
        <v>0</v>
      </c>
      <c r="FV75" s="591">
        <v>0</v>
      </c>
      <c r="FW75" s="591">
        <v>0</v>
      </c>
      <c r="FX75" s="591">
        <v>0</v>
      </c>
      <c r="FY75" s="591">
        <v>0</v>
      </c>
      <c r="FZ75" s="591">
        <v>0</v>
      </c>
      <c r="GA75" s="591">
        <v>0</v>
      </c>
      <c r="GB75" s="591">
        <v>629253</v>
      </c>
      <c r="GC75" s="591">
        <v>629253</v>
      </c>
      <c r="GD75" s="591">
        <v>75.679000000000002</v>
      </c>
      <c r="GE75" s="591">
        <v>0</v>
      </c>
      <c r="GF75" s="591">
        <v>0</v>
      </c>
      <c r="GG75" s="591">
        <v>0</v>
      </c>
      <c r="GH75" s="591">
        <v>0</v>
      </c>
      <c r="GI75" s="591">
        <v>0</v>
      </c>
      <c r="GJ75" s="591">
        <v>0</v>
      </c>
      <c r="GK75" s="591">
        <v>0</v>
      </c>
      <c r="GL75" s="591">
        <v>0</v>
      </c>
      <c r="GM75" s="591">
        <v>0</v>
      </c>
      <c r="GN75" s="591">
        <v>0</v>
      </c>
      <c r="GO75" s="591">
        <v>0</v>
      </c>
      <c r="GP75" s="591">
        <v>0</v>
      </c>
      <c r="GQ75" s="591">
        <v>0</v>
      </c>
      <c r="GR75" s="591">
        <v>0</v>
      </c>
      <c r="GS75" s="591">
        <v>0</v>
      </c>
      <c r="GT75" s="591">
        <v>0</v>
      </c>
      <c r="GU75" s="591">
        <v>0</v>
      </c>
      <c r="GV75" s="591">
        <v>0</v>
      </c>
      <c r="GW75" s="591">
        <v>0</v>
      </c>
      <c r="GX75" s="591">
        <v>0</v>
      </c>
      <c r="GY75" s="591">
        <v>0</v>
      </c>
      <c r="GZ75" s="591">
        <v>0</v>
      </c>
      <c r="HA75" s="591">
        <v>0</v>
      </c>
      <c r="HB75" s="591">
        <v>260009272</v>
      </c>
      <c r="HC75" s="591">
        <v>5.1774999999999995E-2</v>
      </c>
      <c r="HD75" s="591">
        <v>137218</v>
      </c>
      <c r="HE75" s="591">
        <v>0</v>
      </c>
      <c r="HF75" s="591">
        <v>747923</v>
      </c>
      <c r="HG75" s="591">
        <v>11394</v>
      </c>
      <c r="HH75" s="591">
        <v>22789</v>
      </c>
      <c r="HI75" s="591">
        <v>0</v>
      </c>
      <c r="HJ75" s="591">
        <v>7360</v>
      </c>
      <c r="HK75" s="591">
        <v>2205</v>
      </c>
      <c r="HL75" s="591">
        <v>3820</v>
      </c>
      <c r="HM75" s="591">
        <v>0</v>
      </c>
      <c r="HN75" s="591">
        <v>0</v>
      </c>
      <c r="HO75" s="591">
        <v>0</v>
      </c>
      <c r="HP75" s="591">
        <v>0</v>
      </c>
      <c r="HQ75" s="591">
        <v>0</v>
      </c>
      <c r="HR75" s="591">
        <v>0</v>
      </c>
      <c r="HS75" s="591">
        <v>5773338</v>
      </c>
      <c r="HT75" s="591">
        <v>0</v>
      </c>
      <c r="HU75" s="591">
        <v>0</v>
      </c>
      <c r="HV75" s="591">
        <v>0</v>
      </c>
      <c r="HW75" s="591">
        <v>0</v>
      </c>
      <c r="HX75" s="591">
        <v>48</v>
      </c>
      <c r="HY75" s="591">
        <v>39</v>
      </c>
      <c r="HZ75" s="591">
        <v>46</v>
      </c>
      <c r="IA75" s="591">
        <v>17</v>
      </c>
      <c r="IB75" s="591">
        <v>8</v>
      </c>
      <c r="IC75" s="591">
        <v>158</v>
      </c>
      <c r="ID75" s="591">
        <v>0</v>
      </c>
      <c r="IE75" s="591">
        <v>0</v>
      </c>
      <c r="IF75" s="591">
        <v>0</v>
      </c>
      <c r="IG75" s="591">
        <v>18.5</v>
      </c>
      <c r="IH75" s="591">
        <v>37</v>
      </c>
      <c r="II75" s="591">
        <v>0</v>
      </c>
      <c r="IJ75" s="591">
        <v>13.902000000000001</v>
      </c>
      <c r="IK75" s="591">
        <v>0</v>
      </c>
      <c r="IL75" s="591">
        <v>0</v>
      </c>
      <c r="IM75" s="591">
        <v>0</v>
      </c>
      <c r="IN75" s="591">
        <v>0</v>
      </c>
      <c r="IO75" s="591">
        <v>0</v>
      </c>
      <c r="IP75" s="591">
        <v>0</v>
      </c>
      <c r="IQ75" s="591">
        <v>13.902000000000001</v>
      </c>
      <c r="IR75" s="591">
        <v>8562</v>
      </c>
      <c r="IS75" s="591">
        <v>0</v>
      </c>
      <c r="IT75" s="591">
        <v>0</v>
      </c>
      <c r="IU75" s="591">
        <v>0</v>
      </c>
      <c r="IV75" s="591">
        <v>0</v>
      </c>
      <c r="IW75" s="591">
        <v>6159</v>
      </c>
      <c r="IX75" s="591">
        <v>0</v>
      </c>
      <c r="IY75" s="591">
        <v>0</v>
      </c>
      <c r="IZ75" s="591">
        <v>0</v>
      </c>
      <c r="JA75" s="591">
        <v>0</v>
      </c>
      <c r="JB75" s="591">
        <v>0</v>
      </c>
      <c r="JC75" s="591">
        <v>0</v>
      </c>
      <c r="JD75" s="591">
        <v>0</v>
      </c>
      <c r="JE75" s="591">
        <v>0</v>
      </c>
      <c r="JF75" s="591">
        <v>0</v>
      </c>
      <c r="JG75" s="591">
        <v>0</v>
      </c>
      <c r="JH75" s="591">
        <v>0</v>
      </c>
      <c r="JI75" s="591">
        <v>0</v>
      </c>
      <c r="JJ75" s="591">
        <v>0</v>
      </c>
      <c r="JK75" s="591">
        <v>0</v>
      </c>
      <c r="JL75" s="591">
        <v>0</v>
      </c>
      <c r="JM75" s="591">
        <v>0</v>
      </c>
      <c r="JN75" s="591">
        <v>32469</v>
      </c>
    </row>
    <row r="76" spans="1:274" x14ac:dyDescent="0.25">
      <c r="A76" s="591">
        <v>32570</v>
      </c>
      <c r="B76" s="591">
        <v>70801</v>
      </c>
      <c r="C76" s="591">
        <v>9</v>
      </c>
      <c r="D76" s="591">
        <v>2022</v>
      </c>
      <c r="E76" s="591">
        <v>6159</v>
      </c>
      <c r="F76" s="591">
        <v>0</v>
      </c>
      <c r="G76" s="591">
        <v>2435.9949999999999</v>
      </c>
      <c r="H76" s="591">
        <v>2301.9570000000003</v>
      </c>
      <c r="I76" s="591">
        <v>2301.9570000000003</v>
      </c>
      <c r="J76" s="591">
        <v>2435.9949999999999</v>
      </c>
      <c r="K76" s="591">
        <v>0</v>
      </c>
      <c r="L76" s="591">
        <v>6159</v>
      </c>
      <c r="M76" s="591">
        <v>0</v>
      </c>
      <c r="N76" s="591">
        <v>0</v>
      </c>
      <c r="O76" s="591">
        <v>0</v>
      </c>
      <c r="P76" s="591">
        <v>2389.4</v>
      </c>
      <c r="Q76" s="591">
        <v>0</v>
      </c>
      <c r="R76" s="591">
        <v>961561</v>
      </c>
      <c r="S76" s="591">
        <v>402.428</v>
      </c>
      <c r="T76" s="591">
        <v>0</v>
      </c>
      <c r="U76" s="591">
        <v>0</v>
      </c>
      <c r="V76" s="591">
        <v>739.22199999999998</v>
      </c>
      <c r="W76" s="591">
        <v>993012</v>
      </c>
      <c r="X76" s="591">
        <v>993012</v>
      </c>
      <c r="Y76" s="591">
        <v>0</v>
      </c>
      <c r="Z76" s="591">
        <v>0</v>
      </c>
      <c r="AA76" s="591">
        <v>0</v>
      </c>
      <c r="AB76" s="591">
        <v>0</v>
      </c>
      <c r="AC76" s="591">
        <v>0</v>
      </c>
      <c r="AD76" s="591" t="s">
        <v>316</v>
      </c>
      <c r="AE76" s="591">
        <v>0</v>
      </c>
      <c r="AF76" s="591">
        <v>0</v>
      </c>
      <c r="AG76" s="591">
        <v>0</v>
      </c>
      <c r="AH76" s="591">
        <v>0</v>
      </c>
      <c r="AI76" s="591">
        <v>0</v>
      </c>
      <c r="AJ76" s="591">
        <v>6159</v>
      </c>
      <c r="AK76" s="591" t="s">
        <v>671</v>
      </c>
      <c r="AL76" s="591" t="s">
        <v>50</v>
      </c>
      <c r="AM76" s="591">
        <v>0</v>
      </c>
      <c r="AN76" s="591">
        <v>0</v>
      </c>
      <c r="AO76" s="591">
        <v>0</v>
      </c>
      <c r="AP76" s="591">
        <v>0</v>
      </c>
      <c r="AQ76" s="591">
        <v>0</v>
      </c>
      <c r="AR76" s="591">
        <v>0</v>
      </c>
      <c r="AS76" s="591">
        <v>0</v>
      </c>
      <c r="AT76" s="591">
        <v>0</v>
      </c>
      <c r="AU76" s="591">
        <v>0</v>
      </c>
      <c r="AV76" s="591">
        <v>0</v>
      </c>
      <c r="AW76" s="591">
        <v>27475327</v>
      </c>
      <c r="AX76" s="591">
        <v>27040741</v>
      </c>
      <c r="AY76" s="591">
        <v>0</v>
      </c>
      <c r="AZ76" s="591">
        <v>961561</v>
      </c>
      <c r="BA76" s="591">
        <v>0</v>
      </c>
      <c r="BB76" s="591">
        <v>0</v>
      </c>
      <c r="BC76" s="591">
        <v>0</v>
      </c>
      <c r="BD76" s="591">
        <v>12</v>
      </c>
      <c r="BE76" s="591">
        <v>358</v>
      </c>
      <c r="BF76" s="591">
        <v>24806742</v>
      </c>
      <c r="BG76" s="591">
        <v>0</v>
      </c>
      <c r="BH76" s="591">
        <v>0</v>
      </c>
      <c r="BI76" s="591">
        <v>0</v>
      </c>
      <c r="BJ76" s="591">
        <v>12</v>
      </c>
      <c r="BK76" s="591">
        <v>0</v>
      </c>
      <c r="BL76" s="591">
        <v>0</v>
      </c>
      <c r="BM76" s="591">
        <v>0</v>
      </c>
      <c r="BN76" s="591">
        <v>0</v>
      </c>
      <c r="BO76" s="591">
        <v>0</v>
      </c>
      <c r="BP76" s="591">
        <v>0</v>
      </c>
      <c r="BQ76" s="591">
        <v>415</v>
      </c>
      <c r="BR76" s="591">
        <v>0</v>
      </c>
      <c r="BS76" s="591">
        <v>0</v>
      </c>
      <c r="BT76" s="591">
        <v>0</v>
      </c>
      <c r="BU76" s="591">
        <v>0</v>
      </c>
      <c r="BV76" s="591">
        <v>0</v>
      </c>
      <c r="BW76" s="591">
        <v>0</v>
      </c>
      <c r="BX76" s="591">
        <v>0</v>
      </c>
      <c r="BY76" s="591">
        <v>0</v>
      </c>
      <c r="BZ76" s="591">
        <v>0</v>
      </c>
      <c r="CA76" s="591">
        <v>0</v>
      </c>
      <c r="CB76" s="591">
        <v>0</v>
      </c>
      <c r="CC76" s="591">
        <v>0</v>
      </c>
      <c r="CD76" s="591">
        <v>0</v>
      </c>
      <c r="CE76" s="591">
        <v>0</v>
      </c>
      <c r="CF76" s="591">
        <v>0</v>
      </c>
      <c r="CG76" s="591">
        <v>0</v>
      </c>
      <c r="CH76" s="591">
        <v>441429</v>
      </c>
      <c r="CI76" s="591">
        <v>0</v>
      </c>
      <c r="CJ76" s="591">
        <v>4</v>
      </c>
      <c r="CK76" s="591">
        <v>0</v>
      </c>
      <c r="CL76" s="591">
        <v>0</v>
      </c>
      <c r="CM76" s="591">
        <v>0</v>
      </c>
      <c r="CN76" s="591">
        <v>0</v>
      </c>
      <c r="CO76" s="591">
        <v>1</v>
      </c>
      <c r="CP76" s="591">
        <v>0</v>
      </c>
      <c r="CQ76" s="591">
        <v>0</v>
      </c>
      <c r="CR76" s="591">
        <v>2435.9949999999999</v>
      </c>
      <c r="CS76" s="591">
        <v>0</v>
      </c>
      <c r="CT76" s="591">
        <v>0</v>
      </c>
      <c r="CU76" s="591">
        <v>0</v>
      </c>
      <c r="CV76" s="591">
        <v>0</v>
      </c>
      <c r="CW76" s="591">
        <v>0</v>
      </c>
      <c r="CX76" s="591">
        <v>0</v>
      </c>
      <c r="CY76" s="591">
        <v>0</v>
      </c>
      <c r="CZ76" s="591">
        <v>0</v>
      </c>
      <c r="DA76" s="591">
        <v>0</v>
      </c>
      <c r="DB76" s="591">
        <v>14177943</v>
      </c>
      <c r="DC76" s="591">
        <v>0</v>
      </c>
      <c r="DD76" s="591">
        <v>0</v>
      </c>
      <c r="DE76" s="591">
        <v>4276944</v>
      </c>
      <c r="DF76" s="591">
        <v>4276944</v>
      </c>
      <c r="DG76" s="591">
        <v>694.41300000000001</v>
      </c>
      <c r="DH76" s="591">
        <v>0</v>
      </c>
      <c r="DI76" s="591">
        <v>0</v>
      </c>
      <c r="DJ76" s="591">
        <v>0</v>
      </c>
      <c r="DK76" s="591">
        <v>0</v>
      </c>
      <c r="DL76" s="591">
        <v>0</v>
      </c>
      <c r="DM76" s="591">
        <v>1699675</v>
      </c>
      <c r="DN76" s="591">
        <v>6485</v>
      </c>
      <c r="DO76" s="591">
        <v>0</v>
      </c>
      <c r="DP76" s="591">
        <v>0</v>
      </c>
      <c r="DQ76" s="591">
        <v>0</v>
      </c>
      <c r="DR76" s="591">
        <v>0</v>
      </c>
      <c r="DS76" s="591">
        <v>0</v>
      </c>
      <c r="DT76" s="591">
        <v>0</v>
      </c>
      <c r="DU76" s="591">
        <v>0</v>
      </c>
      <c r="DV76" s="591">
        <v>0</v>
      </c>
      <c r="DW76" s="591">
        <v>0</v>
      </c>
      <c r="DX76" s="591">
        <v>0</v>
      </c>
      <c r="DY76" s="591">
        <v>0</v>
      </c>
      <c r="DZ76" s="591">
        <v>0</v>
      </c>
      <c r="EA76" s="591">
        <v>0</v>
      </c>
      <c r="EB76" s="591">
        <v>0</v>
      </c>
      <c r="EC76" s="591">
        <v>67.841999999999999</v>
      </c>
      <c r="ED76" s="591">
        <v>480521</v>
      </c>
      <c r="EE76" s="591">
        <v>0</v>
      </c>
      <c r="EF76" s="591">
        <v>0</v>
      </c>
      <c r="EG76" s="591">
        <v>0</v>
      </c>
      <c r="EH76" s="591">
        <v>1225639</v>
      </c>
      <c r="EI76" s="591">
        <v>0</v>
      </c>
      <c r="EJ76" s="591">
        <v>0</v>
      </c>
      <c r="EK76" s="591">
        <v>60.927</v>
      </c>
      <c r="EL76" s="591">
        <v>0</v>
      </c>
      <c r="EM76" s="591">
        <v>0.40700000000000003</v>
      </c>
      <c r="EN76" s="591">
        <v>2.9990000000000001</v>
      </c>
      <c r="EO76" s="591">
        <v>0</v>
      </c>
      <c r="EP76" s="591">
        <v>0</v>
      </c>
      <c r="EQ76" s="591">
        <v>64.332999999999998</v>
      </c>
      <c r="ER76" s="591">
        <v>0</v>
      </c>
      <c r="ES76" s="591">
        <v>198.99700000000001</v>
      </c>
      <c r="ET76" s="591">
        <v>0</v>
      </c>
      <c r="EU76" s="591">
        <v>0</v>
      </c>
      <c r="EV76" s="591">
        <v>0</v>
      </c>
      <c r="EW76" s="591">
        <v>0</v>
      </c>
      <c r="EX76" s="591">
        <v>0</v>
      </c>
      <c r="EY76" s="591">
        <v>0</v>
      </c>
      <c r="EZ76" s="591">
        <v>23947099</v>
      </c>
      <c r="FA76" s="591">
        <v>0</v>
      </c>
      <c r="FB76" s="591">
        <v>24901817</v>
      </c>
      <c r="FC76" s="591">
        <v>0</v>
      </c>
      <c r="FD76" s="591">
        <v>0</v>
      </c>
      <c r="FE76" s="591">
        <v>2569527</v>
      </c>
      <c r="FF76" s="591">
        <v>524115</v>
      </c>
      <c r="FG76" s="591">
        <v>6.4728999999999995E-2</v>
      </c>
      <c r="FH76" s="591">
        <v>2.6405999999999999E-2</v>
      </c>
      <c r="FI76" s="591">
        <v>0</v>
      </c>
      <c r="FJ76" s="591">
        <v>0</v>
      </c>
      <c r="FK76" s="591">
        <v>4027.6680000000001</v>
      </c>
      <c r="FL76" s="591">
        <v>28436888</v>
      </c>
      <c r="FM76" s="591">
        <v>0</v>
      </c>
      <c r="FN76" s="591">
        <v>0</v>
      </c>
      <c r="FO76" s="591">
        <v>60195</v>
      </c>
      <c r="FP76" s="591">
        <v>0</v>
      </c>
      <c r="FQ76" s="591">
        <v>89532</v>
      </c>
      <c r="FR76" s="591">
        <v>60195</v>
      </c>
      <c r="FS76" s="591">
        <v>29337</v>
      </c>
      <c r="FT76" s="591">
        <v>0</v>
      </c>
      <c r="FU76" s="591">
        <v>0</v>
      </c>
      <c r="FV76" s="591">
        <v>0</v>
      </c>
      <c r="FW76" s="591">
        <v>0</v>
      </c>
      <c r="FX76" s="591">
        <v>0</v>
      </c>
      <c r="FY76" s="591">
        <v>0</v>
      </c>
      <c r="FZ76" s="591">
        <v>0</v>
      </c>
      <c r="GA76" s="591">
        <v>0</v>
      </c>
      <c r="GB76" s="591">
        <v>579580</v>
      </c>
      <c r="GC76" s="591">
        <v>579580</v>
      </c>
      <c r="GD76" s="591">
        <v>69.704999999999998</v>
      </c>
      <c r="GE76" s="591">
        <v>0</v>
      </c>
      <c r="GF76" s="591">
        <v>0</v>
      </c>
      <c r="GG76" s="591">
        <v>0</v>
      </c>
      <c r="GH76" s="591">
        <v>0</v>
      </c>
      <c r="GI76" s="591">
        <v>0</v>
      </c>
      <c r="GJ76" s="591">
        <v>0</v>
      </c>
      <c r="GK76" s="591">
        <v>0</v>
      </c>
      <c r="GL76" s="591">
        <v>0</v>
      </c>
      <c r="GM76" s="591">
        <v>0</v>
      </c>
      <c r="GN76" s="591">
        <v>0</v>
      </c>
      <c r="GO76" s="591">
        <v>0</v>
      </c>
      <c r="GP76" s="591">
        <v>0</v>
      </c>
      <c r="GQ76" s="591">
        <v>0</v>
      </c>
      <c r="GR76" s="591">
        <v>0</v>
      </c>
      <c r="GS76" s="591">
        <v>0</v>
      </c>
      <c r="GT76" s="591">
        <v>0</v>
      </c>
      <c r="GU76" s="591">
        <v>0</v>
      </c>
      <c r="GV76" s="591">
        <v>0</v>
      </c>
      <c r="GW76" s="591">
        <v>0</v>
      </c>
      <c r="GX76" s="591">
        <v>0</v>
      </c>
      <c r="GY76" s="591">
        <v>0</v>
      </c>
      <c r="GZ76" s="591">
        <v>0</v>
      </c>
      <c r="HA76" s="591">
        <v>0</v>
      </c>
      <c r="HB76" s="591">
        <v>260009272</v>
      </c>
      <c r="HC76" s="591">
        <v>5.1774999999999995E-2</v>
      </c>
      <c r="HD76" s="591">
        <v>441429</v>
      </c>
      <c r="HE76" s="591">
        <v>0</v>
      </c>
      <c r="HF76" s="591">
        <v>2529851</v>
      </c>
      <c r="HG76" s="591">
        <v>15398</v>
      </c>
      <c r="HH76" s="591">
        <v>496176</v>
      </c>
      <c r="HI76" s="591">
        <v>0</v>
      </c>
      <c r="HJ76" s="591">
        <v>23678</v>
      </c>
      <c r="HK76" s="591">
        <v>7044</v>
      </c>
      <c r="HL76" s="591">
        <v>5342</v>
      </c>
      <c r="HM76" s="591">
        <v>8000</v>
      </c>
      <c r="HN76" s="591">
        <v>0</v>
      </c>
      <c r="HO76" s="591">
        <v>0</v>
      </c>
      <c r="HP76" s="591">
        <v>0</v>
      </c>
      <c r="HQ76" s="591">
        <v>0</v>
      </c>
      <c r="HR76" s="591">
        <v>0</v>
      </c>
      <c r="HS76" s="591">
        <v>23940256</v>
      </c>
      <c r="HT76" s="591">
        <v>0</v>
      </c>
      <c r="HU76" s="591">
        <v>0</v>
      </c>
      <c r="HV76" s="591">
        <v>0</v>
      </c>
      <c r="HW76" s="591">
        <v>0</v>
      </c>
      <c r="HX76" s="591">
        <v>246</v>
      </c>
      <c r="HY76" s="591">
        <v>212</v>
      </c>
      <c r="HZ76" s="591">
        <v>302</v>
      </c>
      <c r="IA76" s="591">
        <v>699</v>
      </c>
      <c r="IB76" s="591">
        <v>1199</v>
      </c>
      <c r="IC76" s="591">
        <v>2658</v>
      </c>
      <c r="ID76" s="591">
        <v>0</v>
      </c>
      <c r="IE76" s="591">
        <v>500.65000000000003</v>
      </c>
      <c r="IF76" s="591">
        <v>244.15</v>
      </c>
      <c r="IG76" s="591">
        <v>25</v>
      </c>
      <c r="IH76" s="591">
        <v>805.6</v>
      </c>
      <c r="II76" s="591">
        <v>0</v>
      </c>
      <c r="IJ76" s="591">
        <v>1484.0220000000002</v>
      </c>
      <c r="IK76" s="591">
        <v>0</v>
      </c>
      <c r="IL76" s="591">
        <v>0</v>
      </c>
      <c r="IM76" s="591">
        <v>2</v>
      </c>
      <c r="IN76" s="591">
        <v>1</v>
      </c>
      <c r="IO76" s="591">
        <v>3</v>
      </c>
      <c r="IP76" s="591">
        <v>0</v>
      </c>
      <c r="IQ76" s="591">
        <v>739.22199999999998</v>
      </c>
      <c r="IR76" s="591">
        <v>455293</v>
      </c>
      <c r="IS76" s="591">
        <v>0</v>
      </c>
      <c r="IT76" s="591">
        <v>0</v>
      </c>
      <c r="IU76" s="591">
        <v>6000</v>
      </c>
      <c r="IV76" s="591">
        <v>2000</v>
      </c>
      <c r="IW76" s="591">
        <v>6159</v>
      </c>
      <c r="IX76" s="591">
        <v>462532</v>
      </c>
      <c r="IY76" s="591">
        <v>75187</v>
      </c>
      <c r="IZ76" s="591">
        <v>0</v>
      </c>
      <c r="JA76" s="591">
        <v>0</v>
      </c>
      <c r="JB76" s="591">
        <v>0</v>
      </c>
      <c r="JC76" s="591">
        <v>0</v>
      </c>
      <c r="JD76" s="591">
        <v>0</v>
      </c>
      <c r="JE76" s="591">
        <v>0</v>
      </c>
      <c r="JF76" s="591">
        <v>0</v>
      </c>
      <c r="JG76" s="591">
        <v>0</v>
      </c>
      <c r="JH76" s="591">
        <v>0</v>
      </c>
      <c r="JI76" s="591">
        <v>0</v>
      </c>
      <c r="JJ76" s="591">
        <v>0</v>
      </c>
      <c r="JK76" s="591">
        <v>0</v>
      </c>
      <c r="JL76" s="591">
        <v>0</v>
      </c>
      <c r="JM76" s="591">
        <v>0</v>
      </c>
      <c r="JN76" s="591">
        <v>32469</v>
      </c>
    </row>
    <row r="77" spans="1:274" x14ac:dyDescent="0.25">
      <c r="A77" s="591">
        <v>32570</v>
      </c>
      <c r="B77" s="591">
        <v>71801</v>
      </c>
      <c r="C77" s="591">
        <v>9</v>
      </c>
      <c r="D77" s="591">
        <v>2022</v>
      </c>
      <c r="E77" s="591">
        <v>6159</v>
      </c>
      <c r="F77" s="591">
        <v>0</v>
      </c>
      <c r="G77" s="591">
        <v>1133.252</v>
      </c>
      <c r="H77" s="591">
        <v>1077.6280000000002</v>
      </c>
      <c r="I77" s="591">
        <v>1077.6280000000002</v>
      </c>
      <c r="J77" s="591">
        <v>1133.252</v>
      </c>
      <c r="K77" s="591">
        <v>0</v>
      </c>
      <c r="L77" s="591">
        <v>6159</v>
      </c>
      <c r="M77" s="591">
        <v>0</v>
      </c>
      <c r="N77" s="591">
        <v>0</v>
      </c>
      <c r="O77" s="591">
        <v>0</v>
      </c>
      <c r="P77" s="591">
        <v>1149.5050000000001</v>
      </c>
      <c r="Q77" s="591">
        <v>0</v>
      </c>
      <c r="R77" s="591">
        <v>462593</v>
      </c>
      <c r="S77" s="591">
        <v>402.428</v>
      </c>
      <c r="T77" s="591">
        <v>0</v>
      </c>
      <c r="U77" s="591">
        <v>0</v>
      </c>
      <c r="V77" s="591">
        <v>361.79300000000001</v>
      </c>
      <c r="W77" s="591">
        <v>222831</v>
      </c>
      <c r="X77" s="591">
        <v>222831</v>
      </c>
      <c r="Y77" s="591">
        <v>0</v>
      </c>
      <c r="Z77" s="591">
        <v>0</v>
      </c>
      <c r="AA77" s="591">
        <v>0</v>
      </c>
      <c r="AB77" s="591">
        <v>0</v>
      </c>
      <c r="AC77" s="591">
        <v>0</v>
      </c>
      <c r="AD77" s="591" t="s">
        <v>316</v>
      </c>
      <c r="AE77" s="591">
        <v>0</v>
      </c>
      <c r="AF77" s="591">
        <v>0</v>
      </c>
      <c r="AG77" s="591">
        <v>0</v>
      </c>
      <c r="AH77" s="591">
        <v>0</v>
      </c>
      <c r="AI77" s="591">
        <v>0</v>
      </c>
      <c r="AJ77" s="591">
        <v>6159</v>
      </c>
      <c r="AK77" s="591" t="s">
        <v>671</v>
      </c>
      <c r="AL77" s="591" t="s">
        <v>85</v>
      </c>
      <c r="AM77" s="591">
        <v>0</v>
      </c>
      <c r="AN77" s="591">
        <v>0</v>
      </c>
      <c r="AO77" s="591">
        <v>0</v>
      </c>
      <c r="AP77" s="591">
        <v>0</v>
      </c>
      <c r="AQ77" s="591">
        <v>0</v>
      </c>
      <c r="AR77" s="591">
        <v>0</v>
      </c>
      <c r="AS77" s="591">
        <v>0</v>
      </c>
      <c r="AT77" s="591">
        <v>0</v>
      </c>
      <c r="AU77" s="591">
        <v>0</v>
      </c>
      <c r="AV77" s="591">
        <v>0</v>
      </c>
      <c r="AW77" s="591">
        <v>10866665</v>
      </c>
      <c r="AX77" s="591">
        <v>10662531</v>
      </c>
      <c r="AY77" s="591">
        <v>0</v>
      </c>
      <c r="AZ77" s="591">
        <v>462593</v>
      </c>
      <c r="BA77" s="591">
        <v>0</v>
      </c>
      <c r="BB77" s="591">
        <v>0</v>
      </c>
      <c r="BC77" s="591">
        <v>0</v>
      </c>
      <c r="BD77" s="591">
        <v>0</v>
      </c>
      <c r="BE77" s="591">
        <v>142</v>
      </c>
      <c r="BF77" s="591">
        <v>9887100</v>
      </c>
      <c r="BG77" s="591">
        <v>0</v>
      </c>
      <c r="BH77" s="591">
        <v>0</v>
      </c>
      <c r="BI77" s="591">
        <v>0</v>
      </c>
      <c r="BJ77" s="591">
        <v>12</v>
      </c>
      <c r="BK77" s="591">
        <v>0</v>
      </c>
      <c r="BL77" s="591">
        <v>0</v>
      </c>
      <c r="BM77" s="591">
        <v>0</v>
      </c>
      <c r="BN77" s="591">
        <v>0</v>
      </c>
      <c r="BO77" s="591">
        <v>0</v>
      </c>
      <c r="BP77" s="591">
        <v>0</v>
      </c>
      <c r="BQ77" s="591">
        <v>604</v>
      </c>
      <c r="BR77" s="591">
        <v>0</v>
      </c>
      <c r="BS77" s="591">
        <v>0</v>
      </c>
      <c r="BT77" s="591">
        <v>0</v>
      </c>
      <c r="BU77" s="591">
        <v>0</v>
      </c>
      <c r="BV77" s="591">
        <v>0</v>
      </c>
      <c r="BW77" s="591">
        <v>0</v>
      </c>
      <c r="BX77" s="591">
        <v>0</v>
      </c>
      <c r="BY77" s="591">
        <v>0</v>
      </c>
      <c r="BZ77" s="591">
        <v>0</v>
      </c>
      <c r="CA77" s="591">
        <v>0</v>
      </c>
      <c r="CB77" s="591">
        <v>0</v>
      </c>
      <c r="CC77" s="591">
        <v>0</v>
      </c>
      <c r="CD77" s="591">
        <v>0</v>
      </c>
      <c r="CE77" s="591">
        <v>0</v>
      </c>
      <c r="CF77" s="591">
        <v>0</v>
      </c>
      <c r="CG77" s="591">
        <v>0</v>
      </c>
      <c r="CH77" s="591">
        <v>205357</v>
      </c>
      <c r="CI77" s="591">
        <v>0</v>
      </c>
      <c r="CJ77" s="591">
        <v>4</v>
      </c>
      <c r="CK77" s="591">
        <v>0</v>
      </c>
      <c r="CL77" s="591">
        <v>0</v>
      </c>
      <c r="CM77" s="591">
        <v>0</v>
      </c>
      <c r="CN77" s="591">
        <v>0</v>
      </c>
      <c r="CO77" s="591">
        <v>1</v>
      </c>
      <c r="CP77" s="591">
        <v>0</v>
      </c>
      <c r="CQ77" s="591">
        <v>0</v>
      </c>
      <c r="CR77" s="591">
        <v>1133.252</v>
      </c>
      <c r="CS77" s="591">
        <v>0</v>
      </c>
      <c r="CT77" s="591">
        <v>0</v>
      </c>
      <c r="CU77" s="591">
        <v>0</v>
      </c>
      <c r="CV77" s="591">
        <v>0</v>
      </c>
      <c r="CW77" s="591">
        <v>0</v>
      </c>
      <c r="CX77" s="591">
        <v>0</v>
      </c>
      <c r="CY77" s="591">
        <v>0</v>
      </c>
      <c r="CZ77" s="591">
        <v>0</v>
      </c>
      <c r="DA77" s="591">
        <v>0</v>
      </c>
      <c r="DB77" s="591">
        <v>6589277</v>
      </c>
      <c r="DC77" s="591">
        <v>0</v>
      </c>
      <c r="DD77" s="591">
        <v>0</v>
      </c>
      <c r="DE77" s="591">
        <v>891681</v>
      </c>
      <c r="DF77" s="591">
        <v>891681</v>
      </c>
      <c r="DG77" s="591">
        <v>144.77500000000001</v>
      </c>
      <c r="DH77" s="591">
        <v>0</v>
      </c>
      <c r="DI77" s="591">
        <v>0</v>
      </c>
      <c r="DJ77" s="591">
        <v>0</v>
      </c>
      <c r="DK77" s="591">
        <v>1287</v>
      </c>
      <c r="DL77" s="591">
        <v>0</v>
      </c>
      <c r="DM77" s="591">
        <v>331133</v>
      </c>
      <c r="DN77" s="591">
        <v>1081</v>
      </c>
      <c r="DO77" s="591">
        <v>0</v>
      </c>
      <c r="DP77" s="591">
        <v>0</v>
      </c>
      <c r="DQ77" s="591">
        <v>0</v>
      </c>
      <c r="DR77" s="591">
        <v>0</v>
      </c>
      <c r="DS77" s="591">
        <v>0</v>
      </c>
      <c r="DT77" s="591">
        <v>0</v>
      </c>
      <c r="DU77" s="591">
        <v>0</v>
      </c>
      <c r="DV77" s="591">
        <v>0</v>
      </c>
      <c r="DW77" s="591">
        <v>0</v>
      </c>
      <c r="DX77" s="591">
        <v>0</v>
      </c>
      <c r="DY77" s="591">
        <v>0</v>
      </c>
      <c r="DZ77" s="591">
        <v>0</v>
      </c>
      <c r="EA77" s="591">
        <v>0</v>
      </c>
      <c r="EB77" s="591">
        <v>0</v>
      </c>
      <c r="EC77" s="591">
        <v>32.82</v>
      </c>
      <c r="ED77" s="591">
        <v>232462</v>
      </c>
      <c r="EE77" s="591">
        <v>0</v>
      </c>
      <c r="EF77" s="591">
        <v>0</v>
      </c>
      <c r="EG77" s="591">
        <v>0</v>
      </c>
      <c r="EH77" s="591">
        <v>51829</v>
      </c>
      <c r="EI77" s="591">
        <v>0</v>
      </c>
      <c r="EJ77" s="591">
        <v>0</v>
      </c>
      <c r="EK77" s="591">
        <v>1.2550000000000001</v>
      </c>
      <c r="EL77" s="591">
        <v>0</v>
      </c>
      <c r="EM77" s="591">
        <v>0</v>
      </c>
      <c r="EN77" s="591">
        <v>0.93</v>
      </c>
      <c r="EO77" s="591">
        <v>0</v>
      </c>
      <c r="EP77" s="591">
        <v>0</v>
      </c>
      <c r="EQ77" s="591">
        <v>2.1850000000000001</v>
      </c>
      <c r="ER77" s="591">
        <v>0</v>
      </c>
      <c r="ES77" s="591">
        <v>8.4150000000000009</v>
      </c>
      <c r="ET77" s="591">
        <v>0</v>
      </c>
      <c r="EU77" s="591">
        <v>0</v>
      </c>
      <c r="EV77" s="591">
        <v>0</v>
      </c>
      <c r="EW77" s="591">
        <v>0</v>
      </c>
      <c r="EX77" s="591">
        <v>0</v>
      </c>
      <c r="EY77" s="591">
        <v>0</v>
      </c>
      <c r="EZ77" s="591">
        <v>9429513</v>
      </c>
      <c r="FA77" s="591">
        <v>0</v>
      </c>
      <c r="FB77" s="591">
        <v>9890883</v>
      </c>
      <c r="FC77" s="591">
        <v>0</v>
      </c>
      <c r="FD77" s="591">
        <v>0</v>
      </c>
      <c r="FE77" s="591">
        <v>1024124</v>
      </c>
      <c r="FF77" s="591">
        <v>208894</v>
      </c>
      <c r="FG77" s="591">
        <v>6.4728999999999995E-2</v>
      </c>
      <c r="FH77" s="591">
        <v>2.6405999999999999E-2</v>
      </c>
      <c r="FI77" s="591">
        <v>0</v>
      </c>
      <c r="FJ77" s="591">
        <v>0</v>
      </c>
      <c r="FK77" s="591">
        <v>1605.288</v>
      </c>
      <c r="FL77" s="591">
        <v>11329258</v>
      </c>
      <c r="FM77" s="591">
        <v>0</v>
      </c>
      <c r="FN77" s="591">
        <v>0</v>
      </c>
      <c r="FO77" s="591">
        <v>0</v>
      </c>
      <c r="FP77" s="591">
        <v>0</v>
      </c>
      <c r="FQ77" s="591">
        <v>0</v>
      </c>
      <c r="FR77" s="591">
        <v>0</v>
      </c>
      <c r="FS77" s="591">
        <v>0</v>
      </c>
      <c r="FT77" s="591">
        <v>0</v>
      </c>
      <c r="FU77" s="591">
        <v>0</v>
      </c>
      <c r="FV77" s="591">
        <v>0</v>
      </c>
      <c r="FW77" s="591">
        <v>0</v>
      </c>
      <c r="FX77" s="591">
        <v>0</v>
      </c>
      <c r="FY77" s="591">
        <v>0</v>
      </c>
      <c r="FZ77" s="591">
        <v>0</v>
      </c>
      <c r="GA77" s="591">
        <v>0</v>
      </c>
      <c r="GB77" s="591">
        <v>444333</v>
      </c>
      <c r="GC77" s="591">
        <v>444333</v>
      </c>
      <c r="GD77" s="591">
        <v>53.439</v>
      </c>
      <c r="GE77" s="591">
        <v>0</v>
      </c>
      <c r="GF77" s="591">
        <v>0</v>
      </c>
      <c r="GG77" s="591">
        <v>0</v>
      </c>
      <c r="GH77" s="591">
        <v>0</v>
      </c>
      <c r="GI77" s="591">
        <v>0</v>
      </c>
      <c r="GJ77" s="591">
        <v>0</v>
      </c>
      <c r="GK77" s="591">
        <v>0</v>
      </c>
      <c r="GL77" s="591">
        <v>0</v>
      </c>
      <c r="GM77" s="591">
        <v>0</v>
      </c>
      <c r="GN77" s="591">
        <v>0</v>
      </c>
      <c r="GO77" s="591">
        <v>0</v>
      </c>
      <c r="GP77" s="591">
        <v>0</v>
      </c>
      <c r="GQ77" s="591">
        <v>0</v>
      </c>
      <c r="GR77" s="591">
        <v>0</v>
      </c>
      <c r="GS77" s="591">
        <v>0</v>
      </c>
      <c r="GT77" s="591">
        <v>0</v>
      </c>
      <c r="GU77" s="591">
        <v>0</v>
      </c>
      <c r="GV77" s="591">
        <v>0</v>
      </c>
      <c r="GW77" s="591">
        <v>0</v>
      </c>
      <c r="GX77" s="591">
        <v>0</v>
      </c>
      <c r="GY77" s="591">
        <v>0</v>
      </c>
      <c r="GZ77" s="591">
        <v>0</v>
      </c>
      <c r="HA77" s="591">
        <v>0</v>
      </c>
      <c r="HB77" s="591">
        <v>260009272</v>
      </c>
      <c r="HC77" s="591">
        <v>5.1774999999999995E-2</v>
      </c>
      <c r="HD77" s="591">
        <v>205357</v>
      </c>
      <c r="HE77" s="591">
        <v>0</v>
      </c>
      <c r="HF77" s="591">
        <v>1184313</v>
      </c>
      <c r="HG77" s="591">
        <v>2464</v>
      </c>
      <c r="HH77" s="591">
        <v>115972</v>
      </c>
      <c r="HI77" s="591">
        <v>0</v>
      </c>
      <c r="HJ77" s="591">
        <v>11015</v>
      </c>
      <c r="HK77" s="591">
        <v>2476</v>
      </c>
      <c r="HL77" s="591">
        <v>2530</v>
      </c>
      <c r="HM77" s="591">
        <v>39000</v>
      </c>
      <c r="HN77" s="591">
        <v>0</v>
      </c>
      <c r="HO77" s="591">
        <v>54000</v>
      </c>
      <c r="HP77" s="591">
        <v>0</v>
      </c>
      <c r="HQ77" s="591">
        <v>0</v>
      </c>
      <c r="HR77" s="591">
        <v>0</v>
      </c>
      <c r="HS77" s="591">
        <v>9428290</v>
      </c>
      <c r="HT77" s="591">
        <v>0</v>
      </c>
      <c r="HU77" s="591">
        <v>0</v>
      </c>
      <c r="HV77" s="591">
        <v>0</v>
      </c>
      <c r="HW77" s="591">
        <v>0</v>
      </c>
      <c r="HX77" s="591">
        <v>210</v>
      </c>
      <c r="HY77" s="591">
        <v>122</v>
      </c>
      <c r="HZ77" s="591">
        <v>122</v>
      </c>
      <c r="IA77" s="591">
        <v>58</v>
      </c>
      <c r="IB77" s="591">
        <v>83</v>
      </c>
      <c r="IC77" s="591">
        <v>439</v>
      </c>
      <c r="ID77" s="591">
        <v>0</v>
      </c>
      <c r="IE77" s="591">
        <v>0</v>
      </c>
      <c r="IF77" s="591">
        <v>0</v>
      </c>
      <c r="IG77" s="591">
        <v>4</v>
      </c>
      <c r="IH77" s="591">
        <v>188.29500000000002</v>
      </c>
      <c r="II77" s="591">
        <v>0</v>
      </c>
      <c r="IJ77" s="591">
        <v>361.79300000000001</v>
      </c>
      <c r="IK77" s="591">
        <v>0</v>
      </c>
      <c r="IL77" s="591">
        <v>5</v>
      </c>
      <c r="IM77" s="591">
        <v>4</v>
      </c>
      <c r="IN77" s="591">
        <v>1</v>
      </c>
      <c r="IO77" s="591">
        <v>10</v>
      </c>
      <c r="IP77" s="591">
        <v>0</v>
      </c>
      <c r="IQ77" s="591">
        <v>361.79300000000001</v>
      </c>
      <c r="IR77" s="591">
        <v>222831</v>
      </c>
      <c r="IS77" s="591">
        <v>0</v>
      </c>
      <c r="IT77" s="591">
        <v>25000</v>
      </c>
      <c r="IU77" s="591">
        <v>12000</v>
      </c>
      <c r="IV77" s="591">
        <v>2000</v>
      </c>
      <c r="IW77" s="591">
        <v>6159</v>
      </c>
      <c r="IX77" s="591">
        <v>0</v>
      </c>
      <c r="IY77" s="591">
        <v>0</v>
      </c>
      <c r="IZ77" s="591">
        <v>0</v>
      </c>
      <c r="JA77" s="591">
        <v>0</v>
      </c>
      <c r="JB77" s="591">
        <v>0</v>
      </c>
      <c r="JC77" s="591">
        <v>0</v>
      </c>
      <c r="JD77" s="591">
        <v>0</v>
      </c>
      <c r="JE77" s="591">
        <v>0</v>
      </c>
      <c r="JF77" s="591">
        <v>0</v>
      </c>
      <c r="JG77" s="591">
        <v>0</v>
      </c>
      <c r="JH77" s="591">
        <v>0</v>
      </c>
      <c r="JI77" s="591">
        <v>0</v>
      </c>
      <c r="JJ77" s="591">
        <v>0</v>
      </c>
      <c r="JK77" s="591">
        <v>0</v>
      </c>
      <c r="JL77" s="591">
        <v>0</v>
      </c>
      <c r="JM77" s="591">
        <v>0</v>
      </c>
      <c r="JN77" s="591">
        <v>32469</v>
      </c>
    </row>
    <row r="78" spans="1:274" x14ac:dyDescent="0.25">
      <c r="A78" s="591">
        <v>32570</v>
      </c>
      <c r="B78" s="591">
        <v>71803</v>
      </c>
      <c r="C78" s="591">
        <v>9</v>
      </c>
      <c r="D78" s="591">
        <v>2022</v>
      </c>
      <c r="E78" s="591">
        <v>6159</v>
      </c>
      <c r="F78" s="591">
        <v>0</v>
      </c>
      <c r="G78" s="591">
        <v>164.417</v>
      </c>
      <c r="H78" s="591">
        <v>158.62200000000001</v>
      </c>
      <c r="I78" s="591">
        <v>158.62200000000001</v>
      </c>
      <c r="J78" s="591">
        <v>164.417</v>
      </c>
      <c r="K78" s="591">
        <v>0</v>
      </c>
      <c r="L78" s="591">
        <v>6159</v>
      </c>
      <c r="M78" s="591">
        <v>0</v>
      </c>
      <c r="N78" s="591">
        <v>0</v>
      </c>
      <c r="O78" s="591">
        <v>0</v>
      </c>
      <c r="P78" s="591">
        <v>161.56400000000002</v>
      </c>
      <c r="Q78" s="591">
        <v>0</v>
      </c>
      <c r="R78" s="591">
        <v>65018</v>
      </c>
      <c r="S78" s="591">
        <v>402.428</v>
      </c>
      <c r="T78" s="591">
        <v>0</v>
      </c>
      <c r="U78" s="591">
        <v>0</v>
      </c>
      <c r="V78" s="591">
        <v>37.392000000000003</v>
      </c>
      <c r="W78" s="591">
        <v>23030</v>
      </c>
      <c r="X78" s="591">
        <v>23030</v>
      </c>
      <c r="Y78" s="591">
        <v>0</v>
      </c>
      <c r="Z78" s="591">
        <v>0</v>
      </c>
      <c r="AA78" s="591">
        <v>0</v>
      </c>
      <c r="AB78" s="591">
        <v>0</v>
      </c>
      <c r="AC78" s="591">
        <v>0</v>
      </c>
      <c r="AD78" s="591" t="s">
        <v>316</v>
      </c>
      <c r="AE78" s="591">
        <v>0</v>
      </c>
      <c r="AF78" s="591">
        <v>0</v>
      </c>
      <c r="AG78" s="591">
        <v>0</v>
      </c>
      <c r="AH78" s="591">
        <v>0</v>
      </c>
      <c r="AI78" s="591">
        <v>0</v>
      </c>
      <c r="AJ78" s="591">
        <v>6159</v>
      </c>
      <c r="AK78" s="591" t="s">
        <v>671</v>
      </c>
      <c r="AL78" s="591" t="s">
        <v>472</v>
      </c>
      <c r="AM78" s="591">
        <v>0</v>
      </c>
      <c r="AN78" s="591">
        <v>0</v>
      </c>
      <c r="AO78" s="591">
        <v>0</v>
      </c>
      <c r="AP78" s="591">
        <v>0</v>
      </c>
      <c r="AQ78" s="591">
        <v>0</v>
      </c>
      <c r="AR78" s="591">
        <v>0</v>
      </c>
      <c r="AS78" s="591">
        <v>0</v>
      </c>
      <c r="AT78" s="591">
        <v>0</v>
      </c>
      <c r="AU78" s="591">
        <v>0</v>
      </c>
      <c r="AV78" s="591">
        <v>0</v>
      </c>
      <c r="AW78" s="591">
        <v>1822494</v>
      </c>
      <c r="AX78" s="591">
        <v>1791952</v>
      </c>
      <c r="AY78" s="591">
        <v>0</v>
      </c>
      <c r="AZ78" s="591">
        <v>65018</v>
      </c>
      <c r="BA78" s="591">
        <v>0</v>
      </c>
      <c r="BB78" s="591">
        <v>0</v>
      </c>
      <c r="BC78" s="591">
        <v>0</v>
      </c>
      <c r="BD78" s="591">
        <v>0</v>
      </c>
      <c r="BE78" s="591">
        <v>24</v>
      </c>
      <c r="BF78" s="591">
        <v>1600218</v>
      </c>
      <c r="BG78" s="591">
        <v>0</v>
      </c>
      <c r="BH78" s="591">
        <v>0</v>
      </c>
      <c r="BI78" s="591">
        <v>0</v>
      </c>
      <c r="BJ78" s="591">
        <v>12</v>
      </c>
      <c r="BK78" s="591">
        <v>0</v>
      </c>
      <c r="BL78" s="591">
        <v>0</v>
      </c>
      <c r="BM78" s="591">
        <v>0</v>
      </c>
      <c r="BN78" s="591">
        <v>0</v>
      </c>
      <c r="BO78" s="591">
        <v>0</v>
      </c>
      <c r="BP78" s="591">
        <v>0</v>
      </c>
      <c r="BQ78" s="591">
        <v>745</v>
      </c>
      <c r="BR78" s="591">
        <v>0</v>
      </c>
      <c r="BS78" s="591">
        <v>0</v>
      </c>
      <c r="BT78" s="591">
        <v>0</v>
      </c>
      <c r="BU78" s="591">
        <v>0</v>
      </c>
      <c r="BV78" s="591">
        <v>0</v>
      </c>
      <c r="BW78" s="591">
        <v>0</v>
      </c>
      <c r="BX78" s="591">
        <v>0</v>
      </c>
      <c r="BY78" s="591">
        <v>0</v>
      </c>
      <c r="BZ78" s="591">
        <v>0</v>
      </c>
      <c r="CA78" s="591">
        <v>0</v>
      </c>
      <c r="CB78" s="591">
        <v>0</v>
      </c>
      <c r="CC78" s="591">
        <v>0</v>
      </c>
      <c r="CD78" s="591">
        <v>0</v>
      </c>
      <c r="CE78" s="591">
        <v>0</v>
      </c>
      <c r="CF78" s="591">
        <v>0</v>
      </c>
      <c r="CG78" s="591">
        <v>0</v>
      </c>
      <c r="CH78" s="591">
        <v>30907</v>
      </c>
      <c r="CI78" s="591">
        <v>0</v>
      </c>
      <c r="CJ78" s="591">
        <v>4</v>
      </c>
      <c r="CK78" s="591">
        <v>0</v>
      </c>
      <c r="CL78" s="591">
        <v>0</v>
      </c>
      <c r="CM78" s="591">
        <v>0</v>
      </c>
      <c r="CN78" s="591">
        <v>0</v>
      </c>
      <c r="CO78" s="591">
        <v>1</v>
      </c>
      <c r="CP78" s="591">
        <v>0.42900000000000005</v>
      </c>
      <c r="CQ78" s="591">
        <v>0</v>
      </c>
      <c r="CR78" s="591">
        <v>164.417</v>
      </c>
      <c r="CS78" s="591">
        <v>0</v>
      </c>
      <c r="CT78" s="591">
        <v>0</v>
      </c>
      <c r="CU78" s="591">
        <v>0</v>
      </c>
      <c r="CV78" s="591">
        <v>0</v>
      </c>
      <c r="CW78" s="591">
        <v>0</v>
      </c>
      <c r="CX78" s="591">
        <v>0</v>
      </c>
      <c r="CY78" s="591">
        <v>0</v>
      </c>
      <c r="CZ78" s="591">
        <v>0</v>
      </c>
      <c r="DA78" s="591">
        <v>0</v>
      </c>
      <c r="DB78" s="591">
        <v>945281</v>
      </c>
      <c r="DC78" s="591">
        <v>0</v>
      </c>
      <c r="DD78" s="591">
        <v>0</v>
      </c>
      <c r="DE78" s="591">
        <v>280392</v>
      </c>
      <c r="DF78" s="591">
        <v>286760</v>
      </c>
      <c r="DG78" s="591">
        <v>45.525000000000006</v>
      </c>
      <c r="DH78" s="591">
        <v>0</v>
      </c>
      <c r="DI78" s="591">
        <v>6368</v>
      </c>
      <c r="DJ78" s="591">
        <v>0</v>
      </c>
      <c r="DK78" s="591">
        <v>3551</v>
      </c>
      <c r="DL78" s="591">
        <v>0</v>
      </c>
      <c r="DM78" s="591">
        <v>121006</v>
      </c>
      <c r="DN78" s="591">
        <v>341</v>
      </c>
      <c r="DO78" s="591">
        <v>0</v>
      </c>
      <c r="DP78" s="591">
        <v>0</v>
      </c>
      <c r="DQ78" s="591">
        <v>0</v>
      </c>
      <c r="DR78" s="591">
        <v>0</v>
      </c>
      <c r="DS78" s="591">
        <v>0</v>
      </c>
      <c r="DT78" s="591">
        <v>0</v>
      </c>
      <c r="DU78" s="591">
        <v>0</v>
      </c>
      <c r="DV78" s="591">
        <v>0</v>
      </c>
      <c r="DW78" s="591">
        <v>0</v>
      </c>
      <c r="DX78" s="591">
        <v>0</v>
      </c>
      <c r="DY78" s="591">
        <v>0</v>
      </c>
      <c r="DZ78" s="591">
        <v>0</v>
      </c>
      <c r="EA78" s="591">
        <v>0</v>
      </c>
      <c r="EB78" s="591">
        <v>0</v>
      </c>
      <c r="EC78" s="591">
        <v>12.498000000000001</v>
      </c>
      <c r="ED78" s="591">
        <v>88523</v>
      </c>
      <c r="EE78" s="591">
        <v>0</v>
      </c>
      <c r="EF78" s="591">
        <v>0</v>
      </c>
      <c r="EG78" s="591">
        <v>0</v>
      </c>
      <c r="EH78" s="591">
        <v>1139</v>
      </c>
      <c r="EI78" s="591">
        <v>0</v>
      </c>
      <c r="EJ78" s="591">
        <v>0</v>
      </c>
      <c r="EK78" s="591">
        <v>0</v>
      </c>
      <c r="EL78" s="591">
        <v>0</v>
      </c>
      <c r="EM78" s="591">
        <v>0</v>
      </c>
      <c r="EN78" s="591">
        <v>3.7000000000000005E-2</v>
      </c>
      <c r="EO78" s="591">
        <v>0</v>
      </c>
      <c r="EP78" s="591">
        <v>0</v>
      </c>
      <c r="EQ78" s="591">
        <v>3.7000000000000005E-2</v>
      </c>
      <c r="ER78" s="591">
        <v>0</v>
      </c>
      <c r="ES78" s="591">
        <v>0.185</v>
      </c>
      <c r="ET78" s="591">
        <v>0</v>
      </c>
      <c r="EU78" s="591">
        <v>0</v>
      </c>
      <c r="EV78" s="591">
        <v>0</v>
      </c>
      <c r="EW78" s="591">
        <v>0</v>
      </c>
      <c r="EX78" s="591">
        <v>0</v>
      </c>
      <c r="EY78" s="591">
        <v>0</v>
      </c>
      <c r="EZ78" s="591">
        <v>1592390</v>
      </c>
      <c r="FA78" s="591">
        <v>0</v>
      </c>
      <c r="FB78" s="591">
        <v>1657043</v>
      </c>
      <c r="FC78" s="591">
        <v>0</v>
      </c>
      <c r="FD78" s="591">
        <v>0</v>
      </c>
      <c r="FE78" s="591">
        <v>165753</v>
      </c>
      <c r="FF78" s="591">
        <v>33809</v>
      </c>
      <c r="FG78" s="591">
        <v>6.4728999999999995E-2</v>
      </c>
      <c r="FH78" s="591">
        <v>2.6405999999999999E-2</v>
      </c>
      <c r="FI78" s="591">
        <v>0</v>
      </c>
      <c r="FJ78" s="591">
        <v>0</v>
      </c>
      <c r="FK78" s="591">
        <v>259.81400000000002</v>
      </c>
      <c r="FL78" s="591">
        <v>1887512</v>
      </c>
      <c r="FM78" s="591">
        <v>0</v>
      </c>
      <c r="FN78" s="591">
        <v>0</v>
      </c>
      <c r="FO78" s="591">
        <v>0</v>
      </c>
      <c r="FP78" s="591">
        <v>0</v>
      </c>
      <c r="FQ78" s="591">
        <v>0</v>
      </c>
      <c r="FR78" s="591">
        <v>0</v>
      </c>
      <c r="FS78" s="591">
        <v>0</v>
      </c>
      <c r="FT78" s="591">
        <v>0</v>
      </c>
      <c r="FU78" s="591">
        <v>0</v>
      </c>
      <c r="FV78" s="591">
        <v>0</v>
      </c>
      <c r="FW78" s="591">
        <v>0</v>
      </c>
      <c r="FX78" s="591">
        <v>0</v>
      </c>
      <c r="FY78" s="591">
        <v>0</v>
      </c>
      <c r="FZ78" s="591">
        <v>0</v>
      </c>
      <c r="GA78" s="591">
        <v>0</v>
      </c>
      <c r="GB78" s="591">
        <v>47876</v>
      </c>
      <c r="GC78" s="591">
        <v>47876</v>
      </c>
      <c r="GD78" s="591">
        <v>5.758</v>
      </c>
      <c r="GE78" s="591">
        <v>0</v>
      </c>
      <c r="GF78" s="591">
        <v>0</v>
      </c>
      <c r="GG78" s="591">
        <v>0</v>
      </c>
      <c r="GH78" s="591">
        <v>0</v>
      </c>
      <c r="GI78" s="591">
        <v>0</v>
      </c>
      <c r="GJ78" s="591">
        <v>0</v>
      </c>
      <c r="GK78" s="591">
        <v>0</v>
      </c>
      <c r="GL78" s="591">
        <v>0</v>
      </c>
      <c r="GM78" s="591">
        <v>0</v>
      </c>
      <c r="GN78" s="591">
        <v>0</v>
      </c>
      <c r="GO78" s="591">
        <v>0</v>
      </c>
      <c r="GP78" s="591">
        <v>0</v>
      </c>
      <c r="GQ78" s="591">
        <v>0</v>
      </c>
      <c r="GR78" s="591">
        <v>0</v>
      </c>
      <c r="GS78" s="591">
        <v>0</v>
      </c>
      <c r="GT78" s="591">
        <v>0</v>
      </c>
      <c r="GU78" s="591">
        <v>0</v>
      </c>
      <c r="GV78" s="591">
        <v>0</v>
      </c>
      <c r="GW78" s="591">
        <v>0</v>
      </c>
      <c r="GX78" s="591">
        <v>0</v>
      </c>
      <c r="GY78" s="591">
        <v>0</v>
      </c>
      <c r="GZ78" s="591">
        <v>0</v>
      </c>
      <c r="HA78" s="591">
        <v>0</v>
      </c>
      <c r="HB78" s="591">
        <v>260009272</v>
      </c>
      <c r="HC78" s="591">
        <v>5.1774999999999995E-2</v>
      </c>
      <c r="HD78" s="591">
        <v>29794</v>
      </c>
      <c r="HE78" s="591">
        <v>0</v>
      </c>
      <c r="HF78" s="591">
        <v>174326</v>
      </c>
      <c r="HG78" s="591">
        <v>0</v>
      </c>
      <c r="HH78" s="591">
        <v>0</v>
      </c>
      <c r="HI78" s="591">
        <v>0</v>
      </c>
      <c r="HJ78" s="591">
        <v>1598</v>
      </c>
      <c r="HK78" s="591">
        <v>2538</v>
      </c>
      <c r="HL78" s="591">
        <v>393</v>
      </c>
      <c r="HM78" s="591">
        <v>0</v>
      </c>
      <c r="HN78" s="591">
        <v>0</v>
      </c>
      <c r="HO78" s="591">
        <v>0</v>
      </c>
      <c r="HP78" s="591">
        <v>54259</v>
      </c>
      <c r="HQ78" s="591">
        <v>0</v>
      </c>
      <c r="HR78" s="591">
        <v>0</v>
      </c>
      <c r="HS78" s="591">
        <v>1592025</v>
      </c>
      <c r="HT78" s="591">
        <v>0</v>
      </c>
      <c r="HU78" s="591">
        <v>1113</v>
      </c>
      <c r="HV78" s="591">
        <v>0</v>
      </c>
      <c r="HW78" s="591">
        <v>0</v>
      </c>
      <c r="HX78" s="591">
        <v>16</v>
      </c>
      <c r="HY78" s="591">
        <v>35</v>
      </c>
      <c r="HZ78" s="591">
        <v>47</v>
      </c>
      <c r="IA78" s="591">
        <v>33</v>
      </c>
      <c r="IB78" s="591">
        <v>48</v>
      </c>
      <c r="IC78" s="591">
        <v>150</v>
      </c>
      <c r="ID78" s="591">
        <v>0</v>
      </c>
      <c r="IE78" s="591">
        <v>0</v>
      </c>
      <c r="IF78" s="591">
        <v>0</v>
      </c>
      <c r="IG78" s="591">
        <v>0</v>
      </c>
      <c r="IH78" s="591">
        <v>0</v>
      </c>
      <c r="II78" s="591">
        <v>197.304</v>
      </c>
      <c r="IJ78" s="591">
        <v>37.392000000000003</v>
      </c>
      <c r="IK78" s="591">
        <v>0</v>
      </c>
      <c r="IL78" s="591">
        <v>0</v>
      </c>
      <c r="IM78" s="591">
        <v>0</v>
      </c>
      <c r="IN78" s="591">
        <v>0</v>
      </c>
      <c r="IO78" s="591">
        <v>0</v>
      </c>
      <c r="IP78" s="591">
        <v>197.304</v>
      </c>
      <c r="IQ78" s="591">
        <v>37.392000000000003</v>
      </c>
      <c r="IR78" s="591">
        <v>23030</v>
      </c>
      <c r="IS78" s="591">
        <v>0</v>
      </c>
      <c r="IT78" s="591">
        <v>0</v>
      </c>
      <c r="IU78" s="591">
        <v>0</v>
      </c>
      <c r="IV78" s="591">
        <v>0</v>
      </c>
      <c r="IW78" s="591">
        <v>6159</v>
      </c>
      <c r="IX78" s="591">
        <v>0</v>
      </c>
      <c r="IY78" s="591">
        <v>0</v>
      </c>
      <c r="IZ78" s="591">
        <v>54259</v>
      </c>
      <c r="JA78" s="591">
        <v>0</v>
      </c>
      <c r="JB78" s="591">
        <v>0</v>
      </c>
      <c r="JC78" s="591">
        <v>0</v>
      </c>
      <c r="JD78" s="591">
        <v>0</v>
      </c>
      <c r="JE78" s="591">
        <v>0</v>
      </c>
      <c r="JF78" s="591">
        <v>0</v>
      </c>
      <c r="JG78" s="591">
        <v>0</v>
      </c>
      <c r="JH78" s="591">
        <v>0</v>
      </c>
      <c r="JI78" s="591">
        <v>0</v>
      </c>
      <c r="JJ78" s="591">
        <v>0</v>
      </c>
      <c r="JK78" s="591">
        <v>0</v>
      </c>
      <c r="JL78" s="591">
        <v>0</v>
      </c>
      <c r="JM78" s="591">
        <v>0</v>
      </c>
      <c r="JN78" s="591">
        <v>32469</v>
      </c>
    </row>
    <row r="79" spans="1:274" x14ac:dyDescent="0.25">
      <c r="A79" s="591">
        <v>32570</v>
      </c>
      <c r="B79" s="591">
        <v>71804</v>
      </c>
      <c r="C79" s="591">
        <v>9</v>
      </c>
      <c r="D79" s="591">
        <v>2022</v>
      </c>
      <c r="E79" s="591">
        <v>6159</v>
      </c>
      <c r="F79" s="591">
        <v>0</v>
      </c>
      <c r="G79" s="591">
        <v>244.17000000000002</v>
      </c>
      <c r="H79" s="591">
        <v>233.90300000000002</v>
      </c>
      <c r="I79" s="591">
        <v>233.90300000000002</v>
      </c>
      <c r="J79" s="591">
        <v>244.17000000000002</v>
      </c>
      <c r="K79" s="591">
        <v>0</v>
      </c>
      <c r="L79" s="591">
        <v>6159</v>
      </c>
      <c r="M79" s="591">
        <v>0</v>
      </c>
      <c r="N79" s="591">
        <v>0</v>
      </c>
      <c r="O79" s="591">
        <v>0</v>
      </c>
      <c r="P79" s="591">
        <v>254.96800000000002</v>
      </c>
      <c r="Q79" s="591">
        <v>0</v>
      </c>
      <c r="R79" s="591">
        <v>102606</v>
      </c>
      <c r="S79" s="591">
        <v>402.428</v>
      </c>
      <c r="T79" s="591">
        <v>0</v>
      </c>
      <c r="U79" s="591">
        <v>0</v>
      </c>
      <c r="V79" s="591">
        <v>26.333000000000002</v>
      </c>
      <c r="W79" s="591">
        <v>16219</v>
      </c>
      <c r="X79" s="591">
        <v>16219</v>
      </c>
      <c r="Y79" s="591">
        <v>0</v>
      </c>
      <c r="Z79" s="591">
        <v>0</v>
      </c>
      <c r="AA79" s="591">
        <v>0</v>
      </c>
      <c r="AB79" s="591">
        <v>0</v>
      </c>
      <c r="AC79" s="591">
        <v>0</v>
      </c>
      <c r="AD79" s="591" t="s">
        <v>316</v>
      </c>
      <c r="AE79" s="591">
        <v>0</v>
      </c>
      <c r="AF79" s="591">
        <v>0</v>
      </c>
      <c r="AG79" s="591">
        <v>0</v>
      </c>
      <c r="AH79" s="591">
        <v>0</v>
      </c>
      <c r="AI79" s="591">
        <v>0</v>
      </c>
      <c r="AJ79" s="591">
        <v>6159</v>
      </c>
      <c r="AK79" s="591" t="s">
        <v>671</v>
      </c>
      <c r="AL79" s="591" t="s">
        <v>25</v>
      </c>
      <c r="AM79" s="591">
        <v>0</v>
      </c>
      <c r="AN79" s="591">
        <v>0</v>
      </c>
      <c r="AO79" s="591">
        <v>0</v>
      </c>
      <c r="AP79" s="591">
        <v>0</v>
      </c>
      <c r="AQ79" s="591">
        <v>0</v>
      </c>
      <c r="AR79" s="591">
        <v>0</v>
      </c>
      <c r="AS79" s="591">
        <v>0</v>
      </c>
      <c r="AT79" s="591">
        <v>0</v>
      </c>
      <c r="AU79" s="591">
        <v>0</v>
      </c>
      <c r="AV79" s="591">
        <v>0</v>
      </c>
      <c r="AW79" s="591">
        <v>2701336</v>
      </c>
      <c r="AX79" s="591">
        <v>2657822</v>
      </c>
      <c r="AY79" s="591">
        <v>0</v>
      </c>
      <c r="AZ79" s="591">
        <v>102606</v>
      </c>
      <c r="BA79" s="591">
        <v>0</v>
      </c>
      <c r="BB79" s="591">
        <v>0</v>
      </c>
      <c r="BC79" s="591">
        <v>0</v>
      </c>
      <c r="BD79" s="591">
        <v>0</v>
      </c>
      <c r="BE79" s="591">
        <v>35</v>
      </c>
      <c r="BF79" s="591">
        <v>2379476</v>
      </c>
      <c r="BG79" s="591">
        <v>0</v>
      </c>
      <c r="BH79" s="591">
        <v>0</v>
      </c>
      <c r="BI79" s="591">
        <v>0</v>
      </c>
      <c r="BJ79" s="591">
        <v>12</v>
      </c>
      <c r="BK79" s="591">
        <v>0</v>
      </c>
      <c r="BL79" s="591">
        <v>0</v>
      </c>
      <c r="BM79" s="591">
        <v>0</v>
      </c>
      <c r="BN79" s="591">
        <v>0</v>
      </c>
      <c r="BO79" s="591">
        <v>0</v>
      </c>
      <c r="BP79" s="591">
        <v>0</v>
      </c>
      <c r="BQ79" s="591">
        <v>734</v>
      </c>
      <c r="BR79" s="591">
        <v>0</v>
      </c>
      <c r="BS79" s="591">
        <v>0</v>
      </c>
      <c r="BT79" s="591">
        <v>0</v>
      </c>
      <c r="BU79" s="591">
        <v>0</v>
      </c>
      <c r="BV79" s="591">
        <v>0</v>
      </c>
      <c r="BW79" s="591">
        <v>0</v>
      </c>
      <c r="BX79" s="591">
        <v>0</v>
      </c>
      <c r="BY79" s="591">
        <v>0</v>
      </c>
      <c r="BZ79" s="591">
        <v>0</v>
      </c>
      <c r="CA79" s="591">
        <v>0</v>
      </c>
      <c r="CB79" s="591">
        <v>0</v>
      </c>
      <c r="CC79" s="591">
        <v>0</v>
      </c>
      <c r="CD79" s="591">
        <v>0</v>
      </c>
      <c r="CE79" s="591">
        <v>0</v>
      </c>
      <c r="CF79" s="591">
        <v>0</v>
      </c>
      <c r="CG79" s="591">
        <v>0</v>
      </c>
      <c r="CH79" s="591">
        <v>44246</v>
      </c>
      <c r="CI79" s="591">
        <v>0</v>
      </c>
      <c r="CJ79" s="591">
        <v>4</v>
      </c>
      <c r="CK79" s="591">
        <v>0</v>
      </c>
      <c r="CL79" s="591">
        <v>0</v>
      </c>
      <c r="CM79" s="591">
        <v>0</v>
      </c>
      <c r="CN79" s="591">
        <v>0</v>
      </c>
      <c r="CO79" s="591">
        <v>1</v>
      </c>
      <c r="CP79" s="591">
        <v>0.38200000000000001</v>
      </c>
      <c r="CQ79" s="591">
        <v>0</v>
      </c>
      <c r="CR79" s="591">
        <v>244.17000000000002</v>
      </c>
      <c r="CS79" s="591">
        <v>0</v>
      </c>
      <c r="CT79" s="591">
        <v>0</v>
      </c>
      <c r="CU79" s="591">
        <v>0</v>
      </c>
      <c r="CV79" s="591">
        <v>0</v>
      </c>
      <c r="CW79" s="591">
        <v>0</v>
      </c>
      <c r="CX79" s="591">
        <v>0</v>
      </c>
      <c r="CY79" s="591">
        <v>0</v>
      </c>
      <c r="CZ79" s="591">
        <v>0</v>
      </c>
      <c r="DA79" s="591">
        <v>0</v>
      </c>
      <c r="DB79" s="591">
        <v>1440628</v>
      </c>
      <c r="DC79" s="591">
        <v>0</v>
      </c>
      <c r="DD79" s="591">
        <v>0</v>
      </c>
      <c r="DE79" s="591">
        <v>413043</v>
      </c>
      <c r="DF79" s="591">
        <v>418713</v>
      </c>
      <c r="DG79" s="591">
        <v>67.063000000000002</v>
      </c>
      <c r="DH79" s="591">
        <v>0</v>
      </c>
      <c r="DI79" s="591">
        <v>5670</v>
      </c>
      <c r="DJ79" s="591">
        <v>0</v>
      </c>
      <c r="DK79" s="591">
        <v>3366</v>
      </c>
      <c r="DL79" s="591">
        <v>0</v>
      </c>
      <c r="DM79" s="591">
        <v>182468</v>
      </c>
      <c r="DN79" s="591">
        <v>696</v>
      </c>
      <c r="DO79" s="591">
        <v>0</v>
      </c>
      <c r="DP79" s="591">
        <v>0</v>
      </c>
      <c r="DQ79" s="591">
        <v>0</v>
      </c>
      <c r="DR79" s="591">
        <v>0</v>
      </c>
      <c r="DS79" s="591">
        <v>0</v>
      </c>
      <c r="DT79" s="591">
        <v>0</v>
      </c>
      <c r="DU79" s="591">
        <v>0</v>
      </c>
      <c r="DV79" s="591">
        <v>0</v>
      </c>
      <c r="DW79" s="591">
        <v>0</v>
      </c>
      <c r="DX79" s="591">
        <v>0</v>
      </c>
      <c r="DY79" s="591">
        <v>0</v>
      </c>
      <c r="DZ79" s="591">
        <v>0</v>
      </c>
      <c r="EA79" s="591">
        <v>0.13900000000000001</v>
      </c>
      <c r="EB79" s="591">
        <v>0</v>
      </c>
      <c r="EC79" s="591">
        <v>16.891999999999999</v>
      </c>
      <c r="ED79" s="591">
        <v>119645</v>
      </c>
      <c r="EE79" s="591">
        <v>0</v>
      </c>
      <c r="EF79" s="591">
        <v>0</v>
      </c>
      <c r="EG79" s="591">
        <v>0</v>
      </c>
      <c r="EH79" s="591">
        <v>63519</v>
      </c>
      <c r="EI79" s="591">
        <v>0</v>
      </c>
      <c r="EJ79" s="591">
        <v>0</v>
      </c>
      <c r="EK79" s="591">
        <v>3.0609999999999999</v>
      </c>
      <c r="EL79" s="591">
        <v>0</v>
      </c>
      <c r="EM79" s="591">
        <v>0</v>
      </c>
      <c r="EN79" s="591">
        <v>8.7000000000000008E-2</v>
      </c>
      <c r="EO79" s="591">
        <v>0</v>
      </c>
      <c r="EP79" s="591">
        <v>0</v>
      </c>
      <c r="EQ79" s="591">
        <v>3.2870000000000004</v>
      </c>
      <c r="ER79" s="591">
        <v>0</v>
      </c>
      <c r="ES79" s="591">
        <v>10.313000000000001</v>
      </c>
      <c r="ET79" s="591">
        <v>0</v>
      </c>
      <c r="EU79" s="591">
        <v>0</v>
      </c>
      <c r="EV79" s="591">
        <v>0</v>
      </c>
      <c r="EW79" s="591">
        <v>0</v>
      </c>
      <c r="EX79" s="591">
        <v>0</v>
      </c>
      <c r="EY79" s="591">
        <v>0</v>
      </c>
      <c r="EZ79" s="591">
        <v>2361079</v>
      </c>
      <c r="FA79" s="591">
        <v>0</v>
      </c>
      <c r="FB79" s="591">
        <v>2462953</v>
      </c>
      <c r="FC79" s="591">
        <v>0</v>
      </c>
      <c r="FD79" s="591">
        <v>0</v>
      </c>
      <c r="FE79" s="591">
        <v>246470</v>
      </c>
      <c r="FF79" s="591">
        <v>50273</v>
      </c>
      <c r="FG79" s="591">
        <v>6.4728999999999995E-2</v>
      </c>
      <c r="FH79" s="591">
        <v>2.6405999999999999E-2</v>
      </c>
      <c r="FI79" s="591">
        <v>0</v>
      </c>
      <c r="FJ79" s="591">
        <v>0</v>
      </c>
      <c r="FK79" s="591">
        <v>386.33600000000001</v>
      </c>
      <c r="FL79" s="591">
        <v>2803942</v>
      </c>
      <c r="FM79" s="591">
        <v>0</v>
      </c>
      <c r="FN79" s="591">
        <v>0</v>
      </c>
      <c r="FO79" s="591">
        <v>0</v>
      </c>
      <c r="FP79" s="591">
        <v>0</v>
      </c>
      <c r="FQ79" s="591">
        <v>0</v>
      </c>
      <c r="FR79" s="591">
        <v>0</v>
      </c>
      <c r="FS79" s="591">
        <v>0</v>
      </c>
      <c r="FT79" s="591">
        <v>0</v>
      </c>
      <c r="FU79" s="591">
        <v>0</v>
      </c>
      <c r="FV79" s="591">
        <v>0</v>
      </c>
      <c r="FW79" s="591">
        <v>0</v>
      </c>
      <c r="FX79" s="591">
        <v>0</v>
      </c>
      <c r="FY79" s="591">
        <v>0</v>
      </c>
      <c r="FZ79" s="591">
        <v>0</v>
      </c>
      <c r="GA79" s="591">
        <v>0</v>
      </c>
      <c r="GB79" s="591">
        <v>58037</v>
      </c>
      <c r="GC79" s="591">
        <v>58037</v>
      </c>
      <c r="GD79" s="591">
        <v>6.98</v>
      </c>
      <c r="GE79" s="591">
        <v>0</v>
      </c>
      <c r="GF79" s="591">
        <v>0</v>
      </c>
      <c r="GG79" s="591">
        <v>0</v>
      </c>
      <c r="GH79" s="591">
        <v>0</v>
      </c>
      <c r="GI79" s="591">
        <v>0</v>
      </c>
      <c r="GJ79" s="591">
        <v>0</v>
      </c>
      <c r="GK79" s="591">
        <v>0</v>
      </c>
      <c r="GL79" s="591">
        <v>0</v>
      </c>
      <c r="GM79" s="591">
        <v>0</v>
      </c>
      <c r="GN79" s="591">
        <v>0</v>
      </c>
      <c r="GO79" s="591">
        <v>0</v>
      </c>
      <c r="GP79" s="591">
        <v>0</v>
      </c>
      <c r="GQ79" s="591">
        <v>0</v>
      </c>
      <c r="GR79" s="591">
        <v>0</v>
      </c>
      <c r="GS79" s="591">
        <v>0</v>
      </c>
      <c r="GT79" s="591">
        <v>0</v>
      </c>
      <c r="GU79" s="591">
        <v>0</v>
      </c>
      <c r="GV79" s="591">
        <v>0</v>
      </c>
      <c r="GW79" s="591">
        <v>0</v>
      </c>
      <c r="GX79" s="591">
        <v>0</v>
      </c>
      <c r="GY79" s="591">
        <v>0</v>
      </c>
      <c r="GZ79" s="591">
        <v>0</v>
      </c>
      <c r="HA79" s="591">
        <v>0</v>
      </c>
      <c r="HB79" s="591">
        <v>260009272</v>
      </c>
      <c r="HC79" s="591">
        <v>5.1774999999999995E-2</v>
      </c>
      <c r="HD79" s="591">
        <v>44246</v>
      </c>
      <c r="HE79" s="591">
        <v>0</v>
      </c>
      <c r="HF79" s="591">
        <v>257059</v>
      </c>
      <c r="HG79" s="591">
        <v>1283</v>
      </c>
      <c r="HH79" s="591">
        <v>0</v>
      </c>
      <c r="HI79" s="591">
        <v>0</v>
      </c>
      <c r="HJ79" s="591">
        <v>2373</v>
      </c>
      <c r="HK79" s="591">
        <v>4463</v>
      </c>
      <c r="HL79" s="591">
        <v>1089</v>
      </c>
      <c r="HM79" s="591">
        <v>2000</v>
      </c>
      <c r="HN79" s="591">
        <v>0</v>
      </c>
      <c r="HO79" s="591">
        <v>0</v>
      </c>
      <c r="HP79" s="591">
        <v>78657</v>
      </c>
      <c r="HQ79" s="591">
        <v>0</v>
      </c>
      <c r="HR79" s="591">
        <v>0</v>
      </c>
      <c r="HS79" s="591">
        <v>2360347</v>
      </c>
      <c r="HT79" s="591">
        <v>0</v>
      </c>
      <c r="HU79" s="591">
        <v>0</v>
      </c>
      <c r="HV79" s="591">
        <v>0</v>
      </c>
      <c r="HW79" s="591">
        <v>0</v>
      </c>
      <c r="HX79" s="591">
        <v>47</v>
      </c>
      <c r="HY79" s="591">
        <v>39</v>
      </c>
      <c r="HZ79" s="591">
        <v>55</v>
      </c>
      <c r="IA79" s="591">
        <v>50</v>
      </c>
      <c r="IB79" s="591">
        <v>74</v>
      </c>
      <c r="IC79" s="591">
        <v>239</v>
      </c>
      <c r="ID79" s="591">
        <v>0</v>
      </c>
      <c r="IE79" s="591">
        <v>0</v>
      </c>
      <c r="IF79" s="591">
        <v>0</v>
      </c>
      <c r="IG79" s="591">
        <v>2.0830000000000002</v>
      </c>
      <c r="IH79" s="591">
        <v>0</v>
      </c>
      <c r="II79" s="591">
        <v>286.024</v>
      </c>
      <c r="IJ79" s="591">
        <v>26.333000000000002</v>
      </c>
      <c r="IK79" s="591">
        <v>0</v>
      </c>
      <c r="IL79" s="591">
        <v>0</v>
      </c>
      <c r="IM79" s="591">
        <v>0</v>
      </c>
      <c r="IN79" s="591">
        <v>1</v>
      </c>
      <c r="IO79" s="591">
        <v>1</v>
      </c>
      <c r="IP79" s="591">
        <v>286.024</v>
      </c>
      <c r="IQ79" s="591">
        <v>26.333000000000002</v>
      </c>
      <c r="IR79" s="591">
        <v>16219</v>
      </c>
      <c r="IS79" s="591">
        <v>0</v>
      </c>
      <c r="IT79" s="591">
        <v>0</v>
      </c>
      <c r="IU79" s="591">
        <v>0</v>
      </c>
      <c r="IV79" s="591">
        <v>2000</v>
      </c>
      <c r="IW79" s="591">
        <v>6159</v>
      </c>
      <c r="IX79" s="591">
        <v>0</v>
      </c>
      <c r="IY79" s="591">
        <v>0</v>
      </c>
      <c r="IZ79" s="591">
        <v>78657</v>
      </c>
      <c r="JA79" s="591">
        <v>0</v>
      </c>
      <c r="JB79" s="591">
        <v>0</v>
      </c>
      <c r="JC79" s="591">
        <v>0</v>
      </c>
      <c r="JD79" s="591">
        <v>0</v>
      </c>
      <c r="JE79" s="591">
        <v>0</v>
      </c>
      <c r="JF79" s="591">
        <v>0</v>
      </c>
      <c r="JG79" s="591">
        <v>0</v>
      </c>
      <c r="JH79" s="591">
        <v>0</v>
      </c>
      <c r="JI79" s="591">
        <v>0</v>
      </c>
      <c r="JJ79" s="591">
        <v>0</v>
      </c>
      <c r="JK79" s="591">
        <v>0</v>
      </c>
      <c r="JL79" s="591">
        <v>0</v>
      </c>
      <c r="JM79" s="591">
        <v>0</v>
      </c>
      <c r="JN79" s="591">
        <v>32469</v>
      </c>
    </row>
    <row r="80" spans="1:274" x14ac:dyDescent="0.25">
      <c r="A80" s="591">
        <v>32570</v>
      </c>
      <c r="B80" s="591">
        <v>71806</v>
      </c>
      <c r="C80" s="591">
        <v>9</v>
      </c>
      <c r="D80" s="591">
        <v>2022</v>
      </c>
      <c r="E80" s="591">
        <v>6159</v>
      </c>
      <c r="F80" s="591">
        <v>0</v>
      </c>
      <c r="G80" s="591">
        <v>3980.4</v>
      </c>
      <c r="H80" s="591">
        <v>3727.1220000000003</v>
      </c>
      <c r="I80" s="591">
        <v>3727.1220000000003</v>
      </c>
      <c r="J80" s="591">
        <v>3980.4</v>
      </c>
      <c r="K80" s="591">
        <v>0</v>
      </c>
      <c r="L80" s="591">
        <v>6159</v>
      </c>
      <c r="M80" s="591">
        <v>0</v>
      </c>
      <c r="N80" s="591">
        <v>0</v>
      </c>
      <c r="O80" s="591">
        <v>0</v>
      </c>
      <c r="P80" s="591">
        <v>3872.0680000000002</v>
      </c>
      <c r="Q80" s="591">
        <v>0</v>
      </c>
      <c r="R80" s="591">
        <v>1558229</v>
      </c>
      <c r="S80" s="591">
        <v>402.428</v>
      </c>
      <c r="T80" s="591">
        <v>0</v>
      </c>
      <c r="U80" s="591">
        <v>0</v>
      </c>
      <c r="V80" s="591">
        <v>965.54300000000001</v>
      </c>
      <c r="W80" s="591">
        <v>594686</v>
      </c>
      <c r="X80" s="591">
        <v>594686</v>
      </c>
      <c r="Y80" s="591">
        <v>0</v>
      </c>
      <c r="Z80" s="591">
        <v>0</v>
      </c>
      <c r="AA80" s="591">
        <v>0</v>
      </c>
      <c r="AB80" s="591">
        <v>0</v>
      </c>
      <c r="AC80" s="591">
        <v>0</v>
      </c>
      <c r="AD80" s="591" t="s">
        <v>316</v>
      </c>
      <c r="AE80" s="591">
        <v>0</v>
      </c>
      <c r="AF80" s="591">
        <v>0</v>
      </c>
      <c r="AG80" s="591">
        <v>0</v>
      </c>
      <c r="AH80" s="591">
        <v>0</v>
      </c>
      <c r="AI80" s="591">
        <v>0</v>
      </c>
      <c r="AJ80" s="591">
        <v>6159</v>
      </c>
      <c r="AK80" s="591" t="s">
        <v>671</v>
      </c>
      <c r="AL80" s="591" t="s">
        <v>26</v>
      </c>
      <c r="AM80" s="591">
        <v>0</v>
      </c>
      <c r="AN80" s="591">
        <v>0</v>
      </c>
      <c r="AO80" s="591">
        <v>0</v>
      </c>
      <c r="AP80" s="591">
        <v>0</v>
      </c>
      <c r="AQ80" s="591">
        <v>0</v>
      </c>
      <c r="AR80" s="591">
        <v>0</v>
      </c>
      <c r="AS80" s="591">
        <v>0</v>
      </c>
      <c r="AT80" s="591">
        <v>0</v>
      </c>
      <c r="AU80" s="591">
        <v>0</v>
      </c>
      <c r="AV80" s="591">
        <v>0</v>
      </c>
      <c r="AW80" s="591">
        <v>40962032</v>
      </c>
      <c r="AX80" s="591">
        <v>40250636</v>
      </c>
      <c r="AY80" s="591">
        <v>0</v>
      </c>
      <c r="AZ80" s="591">
        <v>1558229</v>
      </c>
      <c r="BA80" s="591">
        <v>0</v>
      </c>
      <c r="BB80" s="591">
        <v>0</v>
      </c>
      <c r="BC80" s="591">
        <v>0</v>
      </c>
      <c r="BD80" s="591">
        <v>33</v>
      </c>
      <c r="BE80" s="591">
        <v>535</v>
      </c>
      <c r="BF80" s="591">
        <v>37158231</v>
      </c>
      <c r="BG80" s="591">
        <v>0</v>
      </c>
      <c r="BH80" s="591">
        <v>0</v>
      </c>
      <c r="BI80" s="591">
        <v>0</v>
      </c>
      <c r="BJ80" s="591">
        <v>12</v>
      </c>
      <c r="BK80" s="591">
        <v>0</v>
      </c>
      <c r="BL80" s="591">
        <v>0</v>
      </c>
      <c r="BM80" s="591">
        <v>0</v>
      </c>
      <c r="BN80" s="591">
        <v>0</v>
      </c>
      <c r="BO80" s="591">
        <v>0</v>
      </c>
      <c r="BP80" s="591">
        <v>0</v>
      </c>
      <c r="BQ80" s="591">
        <v>196</v>
      </c>
      <c r="BR80" s="591">
        <v>0</v>
      </c>
      <c r="BS80" s="591">
        <v>0</v>
      </c>
      <c r="BT80" s="591">
        <v>0</v>
      </c>
      <c r="BU80" s="591">
        <v>0</v>
      </c>
      <c r="BV80" s="591">
        <v>0</v>
      </c>
      <c r="BW80" s="591">
        <v>0</v>
      </c>
      <c r="BX80" s="591">
        <v>0</v>
      </c>
      <c r="BY80" s="591">
        <v>0</v>
      </c>
      <c r="BZ80" s="591">
        <v>0</v>
      </c>
      <c r="CA80" s="591">
        <v>0</v>
      </c>
      <c r="CB80" s="591">
        <v>0</v>
      </c>
      <c r="CC80" s="591">
        <v>0</v>
      </c>
      <c r="CD80" s="591">
        <v>0</v>
      </c>
      <c r="CE80" s="591">
        <v>0</v>
      </c>
      <c r="CF80" s="591">
        <v>0</v>
      </c>
      <c r="CG80" s="591">
        <v>0</v>
      </c>
      <c r="CH80" s="591">
        <v>721291</v>
      </c>
      <c r="CI80" s="591">
        <v>0</v>
      </c>
      <c r="CJ80" s="591">
        <v>4</v>
      </c>
      <c r="CK80" s="591">
        <v>0</v>
      </c>
      <c r="CL80" s="591">
        <v>0</v>
      </c>
      <c r="CM80" s="591">
        <v>0</v>
      </c>
      <c r="CN80" s="591">
        <v>0</v>
      </c>
      <c r="CO80" s="591">
        <v>1</v>
      </c>
      <c r="CP80" s="591">
        <v>0</v>
      </c>
      <c r="CQ80" s="591">
        <v>0</v>
      </c>
      <c r="CR80" s="591">
        <v>3980.4</v>
      </c>
      <c r="CS80" s="591">
        <v>0</v>
      </c>
      <c r="CT80" s="591">
        <v>0</v>
      </c>
      <c r="CU80" s="591">
        <v>0</v>
      </c>
      <c r="CV80" s="591">
        <v>0</v>
      </c>
      <c r="CW80" s="591">
        <v>0</v>
      </c>
      <c r="CX80" s="591">
        <v>0</v>
      </c>
      <c r="CY80" s="591">
        <v>0</v>
      </c>
      <c r="CZ80" s="591">
        <v>0</v>
      </c>
      <c r="DA80" s="591">
        <v>0</v>
      </c>
      <c r="DB80" s="591">
        <v>22905494</v>
      </c>
      <c r="DC80" s="591">
        <v>0</v>
      </c>
      <c r="DD80" s="591">
        <v>0</v>
      </c>
      <c r="DE80" s="591">
        <v>4627858</v>
      </c>
      <c r="DF80" s="591">
        <v>4627858</v>
      </c>
      <c r="DG80" s="591">
        <v>751.38800000000003</v>
      </c>
      <c r="DH80" s="591">
        <v>0</v>
      </c>
      <c r="DI80" s="591">
        <v>0</v>
      </c>
      <c r="DJ80" s="591">
        <v>0</v>
      </c>
      <c r="DK80" s="591">
        <v>0</v>
      </c>
      <c r="DL80" s="591">
        <v>0</v>
      </c>
      <c r="DM80" s="591">
        <v>2503367</v>
      </c>
      <c r="DN80" s="591">
        <v>9360</v>
      </c>
      <c r="DO80" s="591">
        <v>0</v>
      </c>
      <c r="DP80" s="591">
        <v>0</v>
      </c>
      <c r="DQ80" s="591">
        <v>0</v>
      </c>
      <c r="DR80" s="591">
        <v>0</v>
      </c>
      <c r="DS80" s="591">
        <v>0</v>
      </c>
      <c r="DT80" s="591">
        <v>0</v>
      </c>
      <c r="DU80" s="591">
        <v>0</v>
      </c>
      <c r="DV80" s="591">
        <v>0</v>
      </c>
      <c r="DW80" s="591">
        <v>0</v>
      </c>
      <c r="DX80" s="591">
        <v>0</v>
      </c>
      <c r="DY80" s="591">
        <v>0</v>
      </c>
      <c r="DZ80" s="591">
        <v>0</v>
      </c>
      <c r="EA80" s="591">
        <v>0</v>
      </c>
      <c r="EB80" s="591">
        <v>0</v>
      </c>
      <c r="EC80" s="591">
        <v>79.021000000000001</v>
      </c>
      <c r="ED80" s="591">
        <v>559701</v>
      </c>
      <c r="EE80" s="591">
        <v>0</v>
      </c>
      <c r="EF80" s="591">
        <v>0</v>
      </c>
      <c r="EG80" s="591">
        <v>0</v>
      </c>
      <c r="EH80" s="591">
        <v>1902868</v>
      </c>
      <c r="EI80" s="591">
        <v>0</v>
      </c>
      <c r="EJ80" s="591">
        <v>0</v>
      </c>
      <c r="EK80" s="591">
        <v>74.063000000000002</v>
      </c>
      <c r="EL80" s="591">
        <v>0</v>
      </c>
      <c r="EM80" s="591">
        <v>15.763</v>
      </c>
      <c r="EN80" s="591">
        <v>7.7630000000000008</v>
      </c>
      <c r="EO80" s="591">
        <v>0</v>
      </c>
      <c r="EP80" s="591">
        <v>0</v>
      </c>
      <c r="EQ80" s="591">
        <v>97.876000000000005</v>
      </c>
      <c r="ER80" s="591">
        <v>0.28700000000000003</v>
      </c>
      <c r="ES80" s="591">
        <v>308.95300000000003</v>
      </c>
      <c r="ET80" s="591">
        <v>0</v>
      </c>
      <c r="EU80" s="591">
        <v>0</v>
      </c>
      <c r="EV80" s="591">
        <v>0</v>
      </c>
      <c r="EW80" s="591">
        <v>0</v>
      </c>
      <c r="EX80" s="591">
        <v>0</v>
      </c>
      <c r="EY80" s="591">
        <v>0</v>
      </c>
      <c r="EZ80" s="591">
        <v>35616641</v>
      </c>
      <c r="FA80" s="591">
        <v>0</v>
      </c>
      <c r="FB80" s="591">
        <v>37164975</v>
      </c>
      <c r="FC80" s="591">
        <v>0</v>
      </c>
      <c r="FD80" s="591">
        <v>0</v>
      </c>
      <c r="FE80" s="591">
        <v>3848918</v>
      </c>
      <c r="FF80" s="591">
        <v>785077</v>
      </c>
      <c r="FG80" s="591">
        <v>6.4728999999999995E-2</v>
      </c>
      <c r="FH80" s="591">
        <v>2.6405999999999999E-2</v>
      </c>
      <c r="FI80" s="591">
        <v>0</v>
      </c>
      <c r="FJ80" s="591">
        <v>0</v>
      </c>
      <c r="FK80" s="591">
        <v>6033.0790000000006</v>
      </c>
      <c r="FL80" s="591">
        <v>42520261</v>
      </c>
      <c r="FM80" s="591">
        <v>0</v>
      </c>
      <c r="FN80" s="591">
        <v>0</v>
      </c>
      <c r="FO80" s="591">
        <v>0</v>
      </c>
      <c r="FP80" s="591">
        <v>0</v>
      </c>
      <c r="FQ80" s="591">
        <v>0</v>
      </c>
      <c r="FR80" s="591">
        <v>0</v>
      </c>
      <c r="FS80" s="591">
        <v>0</v>
      </c>
      <c r="FT80" s="591">
        <v>0</v>
      </c>
      <c r="FU80" s="591">
        <v>0</v>
      </c>
      <c r="FV80" s="591">
        <v>0</v>
      </c>
      <c r="FW80" s="591">
        <v>0</v>
      </c>
      <c r="FX80" s="591">
        <v>0</v>
      </c>
      <c r="FY80" s="591">
        <v>0</v>
      </c>
      <c r="FZ80" s="591">
        <v>0</v>
      </c>
      <c r="GA80" s="591">
        <v>0</v>
      </c>
      <c r="GB80" s="591">
        <v>1292131</v>
      </c>
      <c r="GC80" s="591">
        <v>1292131</v>
      </c>
      <c r="GD80" s="591">
        <v>155.40200000000002</v>
      </c>
      <c r="GE80" s="591">
        <v>0</v>
      </c>
      <c r="GF80" s="591">
        <v>0</v>
      </c>
      <c r="GG80" s="591">
        <v>0</v>
      </c>
      <c r="GH80" s="591">
        <v>0</v>
      </c>
      <c r="GI80" s="591">
        <v>0</v>
      </c>
      <c r="GJ80" s="591">
        <v>0</v>
      </c>
      <c r="GK80" s="591">
        <v>0</v>
      </c>
      <c r="GL80" s="591">
        <v>0</v>
      </c>
      <c r="GM80" s="591">
        <v>0</v>
      </c>
      <c r="GN80" s="591">
        <v>0</v>
      </c>
      <c r="GO80" s="591">
        <v>0</v>
      </c>
      <c r="GP80" s="591">
        <v>0</v>
      </c>
      <c r="GQ80" s="591">
        <v>0</v>
      </c>
      <c r="GR80" s="591">
        <v>0</v>
      </c>
      <c r="GS80" s="591">
        <v>0</v>
      </c>
      <c r="GT80" s="591">
        <v>0</v>
      </c>
      <c r="GU80" s="591">
        <v>0</v>
      </c>
      <c r="GV80" s="591">
        <v>0</v>
      </c>
      <c r="GW80" s="591">
        <v>0</v>
      </c>
      <c r="GX80" s="591">
        <v>0</v>
      </c>
      <c r="GY80" s="591">
        <v>0</v>
      </c>
      <c r="GZ80" s="591">
        <v>0</v>
      </c>
      <c r="HA80" s="591">
        <v>0</v>
      </c>
      <c r="HB80" s="591">
        <v>260009272</v>
      </c>
      <c r="HC80" s="591">
        <v>5.1774999999999995E-2</v>
      </c>
      <c r="HD80" s="591">
        <v>721291</v>
      </c>
      <c r="HE80" s="591">
        <v>0</v>
      </c>
      <c r="HF80" s="591">
        <v>4096107</v>
      </c>
      <c r="HG80" s="591">
        <v>45577</v>
      </c>
      <c r="HH80" s="591">
        <v>756962</v>
      </c>
      <c r="HI80" s="591">
        <v>0</v>
      </c>
      <c r="HJ80" s="591">
        <v>38689</v>
      </c>
      <c r="HK80" s="591">
        <v>6519</v>
      </c>
      <c r="HL80" s="591">
        <v>10120</v>
      </c>
      <c r="HM80" s="591">
        <v>189000</v>
      </c>
      <c r="HN80" s="591">
        <v>0</v>
      </c>
      <c r="HO80" s="591">
        <v>99000</v>
      </c>
      <c r="HP80" s="591">
        <v>0</v>
      </c>
      <c r="HQ80" s="591">
        <v>0</v>
      </c>
      <c r="HR80" s="591">
        <v>0</v>
      </c>
      <c r="HS80" s="591">
        <v>35606746</v>
      </c>
      <c r="HT80" s="591">
        <v>0</v>
      </c>
      <c r="HU80" s="591">
        <v>0</v>
      </c>
      <c r="HV80" s="591">
        <v>0</v>
      </c>
      <c r="HW80" s="591">
        <v>0</v>
      </c>
      <c r="HX80" s="591">
        <v>528</v>
      </c>
      <c r="HY80" s="591">
        <v>635</v>
      </c>
      <c r="HZ80" s="591">
        <v>661</v>
      </c>
      <c r="IA80" s="591">
        <v>704</v>
      </c>
      <c r="IB80" s="591">
        <v>479</v>
      </c>
      <c r="IC80" s="591">
        <v>3007</v>
      </c>
      <c r="ID80" s="591">
        <v>0</v>
      </c>
      <c r="IE80" s="591">
        <v>0</v>
      </c>
      <c r="IF80" s="591">
        <v>0</v>
      </c>
      <c r="IG80" s="591">
        <v>74</v>
      </c>
      <c r="IH80" s="591">
        <v>1229.0170000000001</v>
      </c>
      <c r="II80" s="591">
        <v>0</v>
      </c>
      <c r="IJ80" s="591">
        <v>965.54300000000001</v>
      </c>
      <c r="IK80" s="591">
        <v>0</v>
      </c>
      <c r="IL80" s="591">
        <v>29</v>
      </c>
      <c r="IM80" s="591">
        <v>14</v>
      </c>
      <c r="IN80" s="591">
        <v>1</v>
      </c>
      <c r="IO80" s="591">
        <v>44</v>
      </c>
      <c r="IP80" s="591">
        <v>0</v>
      </c>
      <c r="IQ80" s="591">
        <v>965.54300000000001</v>
      </c>
      <c r="IR80" s="591">
        <v>594686</v>
      </c>
      <c r="IS80" s="591">
        <v>0</v>
      </c>
      <c r="IT80" s="591">
        <v>145000</v>
      </c>
      <c r="IU80" s="591">
        <v>42000</v>
      </c>
      <c r="IV80" s="591">
        <v>2000</v>
      </c>
      <c r="IW80" s="591">
        <v>6159</v>
      </c>
      <c r="IX80" s="591">
        <v>0</v>
      </c>
      <c r="IY80" s="591">
        <v>0</v>
      </c>
      <c r="IZ80" s="591">
        <v>0</v>
      </c>
      <c r="JA80" s="591">
        <v>0</v>
      </c>
      <c r="JB80" s="591">
        <v>0</v>
      </c>
      <c r="JC80" s="591">
        <v>0</v>
      </c>
      <c r="JD80" s="591">
        <v>0</v>
      </c>
      <c r="JE80" s="591">
        <v>0</v>
      </c>
      <c r="JF80" s="591">
        <v>0</v>
      </c>
      <c r="JG80" s="591">
        <v>0</v>
      </c>
      <c r="JH80" s="591">
        <v>0</v>
      </c>
      <c r="JI80" s="591">
        <v>0</v>
      </c>
      <c r="JJ80" s="591">
        <v>0</v>
      </c>
      <c r="JK80" s="591">
        <v>0</v>
      </c>
      <c r="JL80" s="591">
        <v>0</v>
      </c>
      <c r="JM80" s="591">
        <v>0</v>
      </c>
      <c r="JN80" s="591">
        <v>32469</v>
      </c>
    </row>
    <row r="81" spans="1:274" x14ac:dyDescent="0.25">
      <c r="A81" s="591">
        <v>32570</v>
      </c>
      <c r="B81" s="591">
        <v>71807</v>
      </c>
      <c r="C81" s="591">
        <v>9</v>
      </c>
      <c r="D81" s="591">
        <v>2022</v>
      </c>
      <c r="E81" s="591">
        <v>6159</v>
      </c>
      <c r="F81" s="591">
        <v>0</v>
      </c>
      <c r="G81" s="591">
        <v>153.05700000000002</v>
      </c>
      <c r="H81" s="591">
        <v>151.655</v>
      </c>
      <c r="I81" s="591">
        <v>151.655</v>
      </c>
      <c r="J81" s="591">
        <v>153.05700000000002</v>
      </c>
      <c r="K81" s="591">
        <v>0</v>
      </c>
      <c r="L81" s="591">
        <v>6159</v>
      </c>
      <c r="M81" s="591">
        <v>0</v>
      </c>
      <c r="N81" s="591">
        <v>0</v>
      </c>
      <c r="O81" s="591">
        <v>0</v>
      </c>
      <c r="P81" s="591">
        <v>157.751</v>
      </c>
      <c r="Q81" s="591">
        <v>0</v>
      </c>
      <c r="R81" s="591">
        <v>63483</v>
      </c>
      <c r="S81" s="591">
        <v>402.428</v>
      </c>
      <c r="T81" s="591">
        <v>0</v>
      </c>
      <c r="U81" s="591">
        <v>0</v>
      </c>
      <c r="V81" s="591">
        <v>127.10300000000001</v>
      </c>
      <c r="W81" s="591">
        <v>78284</v>
      </c>
      <c r="X81" s="591">
        <v>78284</v>
      </c>
      <c r="Y81" s="591">
        <v>0</v>
      </c>
      <c r="Z81" s="591">
        <v>0</v>
      </c>
      <c r="AA81" s="591">
        <v>0</v>
      </c>
      <c r="AB81" s="591">
        <v>0</v>
      </c>
      <c r="AC81" s="591">
        <v>0</v>
      </c>
      <c r="AD81" s="591" t="s">
        <v>316</v>
      </c>
      <c r="AE81" s="591">
        <v>0</v>
      </c>
      <c r="AF81" s="591">
        <v>0</v>
      </c>
      <c r="AG81" s="591">
        <v>0</v>
      </c>
      <c r="AH81" s="591">
        <v>0</v>
      </c>
      <c r="AI81" s="591">
        <v>0</v>
      </c>
      <c r="AJ81" s="591">
        <v>6159</v>
      </c>
      <c r="AK81" s="591" t="s">
        <v>671</v>
      </c>
      <c r="AL81" s="591" t="s">
        <v>64</v>
      </c>
      <c r="AM81" s="591">
        <v>0</v>
      </c>
      <c r="AN81" s="591">
        <v>0</v>
      </c>
      <c r="AO81" s="591">
        <v>0</v>
      </c>
      <c r="AP81" s="591">
        <v>0</v>
      </c>
      <c r="AQ81" s="591">
        <v>0</v>
      </c>
      <c r="AR81" s="591">
        <v>0</v>
      </c>
      <c r="AS81" s="591">
        <v>0</v>
      </c>
      <c r="AT81" s="591">
        <v>0</v>
      </c>
      <c r="AU81" s="591">
        <v>0</v>
      </c>
      <c r="AV81" s="591">
        <v>0</v>
      </c>
      <c r="AW81" s="591">
        <v>1815401</v>
      </c>
      <c r="AX81" s="591">
        <v>1815533</v>
      </c>
      <c r="AY81" s="591">
        <v>0</v>
      </c>
      <c r="AZ81" s="591">
        <v>63483</v>
      </c>
      <c r="BA81" s="591">
        <v>0</v>
      </c>
      <c r="BB81" s="591">
        <v>0</v>
      </c>
      <c r="BC81" s="591">
        <v>0</v>
      </c>
      <c r="BD81" s="591">
        <v>0</v>
      </c>
      <c r="BE81" s="591">
        <v>24</v>
      </c>
      <c r="BF81" s="591">
        <v>1670667</v>
      </c>
      <c r="BG81" s="591">
        <v>0</v>
      </c>
      <c r="BH81" s="591">
        <v>0</v>
      </c>
      <c r="BI81" s="591">
        <v>0</v>
      </c>
      <c r="BJ81" s="591">
        <v>12</v>
      </c>
      <c r="BK81" s="591">
        <v>0</v>
      </c>
      <c r="BL81" s="591">
        <v>0</v>
      </c>
      <c r="BM81" s="591">
        <v>0</v>
      </c>
      <c r="BN81" s="591">
        <v>0</v>
      </c>
      <c r="BO81" s="591">
        <v>0</v>
      </c>
      <c r="BP81" s="591">
        <v>0</v>
      </c>
      <c r="BQ81" s="591">
        <v>747</v>
      </c>
      <c r="BR81" s="591">
        <v>0</v>
      </c>
      <c r="BS81" s="591">
        <v>0</v>
      </c>
      <c r="BT81" s="591">
        <v>0</v>
      </c>
      <c r="BU81" s="591">
        <v>0</v>
      </c>
      <c r="BV81" s="591">
        <v>0</v>
      </c>
      <c r="BW81" s="591">
        <v>0</v>
      </c>
      <c r="BX81" s="591">
        <v>0</v>
      </c>
      <c r="BY81" s="591">
        <v>0</v>
      </c>
      <c r="BZ81" s="591">
        <v>0</v>
      </c>
      <c r="CA81" s="591">
        <v>0</v>
      </c>
      <c r="CB81" s="591">
        <v>0</v>
      </c>
      <c r="CC81" s="591">
        <v>0</v>
      </c>
      <c r="CD81" s="591">
        <v>0</v>
      </c>
      <c r="CE81" s="591">
        <v>0</v>
      </c>
      <c r="CF81" s="591">
        <v>0</v>
      </c>
      <c r="CG81" s="591">
        <v>0</v>
      </c>
      <c r="CH81" s="591">
        <v>0</v>
      </c>
      <c r="CI81" s="591">
        <v>0</v>
      </c>
      <c r="CJ81" s="591">
        <v>4</v>
      </c>
      <c r="CK81" s="591">
        <v>0</v>
      </c>
      <c r="CL81" s="591">
        <v>0</v>
      </c>
      <c r="CM81" s="591">
        <v>0</v>
      </c>
      <c r="CN81" s="591">
        <v>0</v>
      </c>
      <c r="CO81" s="591">
        <v>1</v>
      </c>
      <c r="CP81" s="591">
        <v>0</v>
      </c>
      <c r="CQ81" s="591">
        <v>0</v>
      </c>
      <c r="CR81" s="591">
        <v>153.05700000000002</v>
      </c>
      <c r="CS81" s="591">
        <v>0</v>
      </c>
      <c r="CT81" s="591">
        <v>0</v>
      </c>
      <c r="CU81" s="591">
        <v>0</v>
      </c>
      <c r="CV81" s="591">
        <v>0</v>
      </c>
      <c r="CW81" s="591">
        <v>0</v>
      </c>
      <c r="CX81" s="591">
        <v>0</v>
      </c>
      <c r="CY81" s="591">
        <v>0</v>
      </c>
      <c r="CZ81" s="591">
        <v>0</v>
      </c>
      <c r="DA81" s="591">
        <v>0</v>
      </c>
      <c r="DB81" s="591">
        <v>934056</v>
      </c>
      <c r="DC81" s="591">
        <v>0</v>
      </c>
      <c r="DD81" s="591">
        <v>0</v>
      </c>
      <c r="DE81" s="591">
        <v>347834</v>
      </c>
      <c r="DF81" s="591">
        <v>347834</v>
      </c>
      <c r="DG81" s="591">
        <v>56.475000000000001</v>
      </c>
      <c r="DH81" s="591">
        <v>0</v>
      </c>
      <c r="DI81" s="591">
        <v>0</v>
      </c>
      <c r="DJ81" s="591">
        <v>0</v>
      </c>
      <c r="DK81" s="591">
        <v>3568</v>
      </c>
      <c r="DL81" s="591">
        <v>0</v>
      </c>
      <c r="DM81" s="591">
        <v>28285</v>
      </c>
      <c r="DN81" s="591">
        <v>108</v>
      </c>
      <c r="DO81" s="591">
        <v>0</v>
      </c>
      <c r="DP81" s="591">
        <v>0</v>
      </c>
      <c r="DQ81" s="591">
        <v>0</v>
      </c>
      <c r="DR81" s="591">
        <v>0</v>
      </c>
      <c r="DS81" s="591">
        <v>0</v>
      </c>
      <c r="DT81" s="591">
        <v>0</v>
      </c>
      <c r="DU81" s="591">
        <v>0</v>
      </c>
      <c r="DV81" s="591">
        <v>0</v>
      </c>
      <c r="DW81" s="591">
        <v>0</v>
      </c>
      <c r="DX81" s="591">
        <v>0</v>
      </c>
      <c r="DY81" s="591">
        <v>0</v>
      </c>
      <c r="DZ81" s="591">
        <v>0</v>
      </c>
      <c r="EA81" s="591">
        <v>0</v>
      </c>
      <c r="EB81" s="591">
        <v>0</v>
      </c>
      <c r="EC81" s="591">
        <v>0</v>
      </c>
      <c r="ED81" s="591">
        <v>0</v>
      </c>
      <c r="EE81" s="591">
        <v>0</v>
      </c>
      <c r="EF81" s="591">
        <v>0</v>
      </c>
      <c r="EG81" s="591">
        <v>0</v>
      </c>
      <c r="EH81" s="591">
        <v>28393</v>
      </c>
      <c r="EI81" s="591">
        <v>0</v>
      </c>
      <c r="EJ81" s="591">
        <v>0</v>
      </c>
      <c r="EK81" s="591">
        <v>1.2</v>
      </c>
      <c r="EL81" s="591">
        <v>0</v>
      </c>
      <c r="EM81" s="591">
        <v>0</v>
      </c>
      <c r="EN81" s="591">
        <v>0.20200000000000001</v>
      </c>
      <c r="EO81" s="591">
        <v>0</v>
      </c>
      <c r="EP81" s="591">
        <v>0</v>
      </c>
      <c r="EQ81" s="591">
        <v>1.4020000000000001</v>
      </c>
      <c r="ER81" s="591">
        <v>0</v>
      </c>
      <c r="ES81" s="591">
        <v>4.6100000000000003</v>
      </c>
      <c r="ET81" s="591">
        <v>0</v>
      </c>
      <c r="EU81" s="591">
        <v>0</v>
      </c>
      <c r="EV81" s="591">
        <v>0</v>
      </c>
      <c r="EW81" s="591">
        <v>0</v>
      </c>
      <c r="EX81" s="591">
        <v>0</v>
      </c>
      <c r="EY81" s="591">
        <v>0</v>
      </c>
      <c r="EZ81" s="591">
        <v>1607184</v>
      </c>
      <c r="FA81" s="591">
        <v>0</v>
      </c>
      <c r="FB81" s="591">
        <v>1670535</v>
      </c>
      <c r="FC81" s="591">
        <v>0</v>
      </c>
      <c r="FD81" s="591">
        <v>0</v>
      </c>
      <c r="FE81" s="591">
        <v>173051</v>
      </c>
      <c r="FF81" s="591">
        <v>35298</v>
      </c>
      <c r="FG81" s="591">
        <v>6.4728999999999995E-2</v>
      </c>
      <c r="FH81" s="591">
        <v>2.6405999999999999E-2</v>
      </c>
      <c r="FI81" s="591">
        <v>0</v>
      </c>
      <c r="FJ81" s="591">
        <v>0</v>
      </c>
      <c r="FK81" s="591">
        <v>271.25299999999999</v>
      </c>
      <c r="FL81" s="591">
        <v>1878884</v>
      </c>
      <c r="FM81" s="591">
        <v>0</v>
      </c>
      <c r="FN81" s="591">
        <v>0</v>
      </c>
      <c r="FO81" s="591">
        <v>0</v>
      </c>
      <c r="FP81" s="591">
        <v>0</v>
      </c>
      <c r="FQ81" s="591">
        <v>0</v>
      </c>
      <c r="FR81" s="591">
        <v>0</v>
      </c>
      <c r="FS81" s="591">
        <v>0</v>
      </c>
      <c r="FT81" s="591">
        <v>0</v>
      </c>
      <c r="FU81" s="591">
        <v>0</v>
      </c>
      <c r="FV81" s="591">
        <v>0</v>
      </c>
      <c r="FW81" s="591">
        <v>0</v>
      </c>
      <c r="FX81" s="591">
        <v>0</v>
      </c>
      <c r="FY81" s="591">
        <v>0</v>
      </c>
      <c r="FZ81" s="591">
        <v>0</v>
      </c>
      <c r="GA81" s="591">
        <v>0</v>
      </c>
      <c r="GB81" s="591">
        <v>0</v>
      </c>
      <c r="GC81" s="591">
        <v>0</v>
      </c>
      <c r="GD81" s="591">
        <v>0</v>
      </c>
      <c r="GE81" s="591">
        <v>0</v>
      </c>
      <c r="GF81" s="591">
        <v>0</v>
      </c>
      <c r="GG81" s="591">
        <v>0</v>
      </c>
      <c r="GH81" s="591">
        <v>0</v>
      </c>
      <c r="GI81" s="591">
        <v>0</v>
      </c>
      <c r="GJ81" s="591">
        <v>0</v>
      </c>
      <c r="GK81" s="591">
        <v>0</v>
      </c>
      <c r="GL81" s="591">
        <v>0</v>
      </c>
      <c r="GM81" s="591">
        <v>0</v>
      </c>
      <c r="GN81" s="591">
        <v>0</v>
      </c>
      <c r="GO81" s="591">
        <v>0</v>
      </c>
      <c r="GP81" s="591">
        <v>0</v>
      </c>
      <c r="GQ81" s="591">
        <v>0</v>
      </c>
      <c r="GR81" s="591">
        <v>0</v>
      </c>
      <c r="GS81" s="591">
        <v>0</v>
      </c>
      <c r="GT81" s="591">
        <v>0</v>
      </c>
      <c r="GU81" s="591">
        <v>0</v>
      </c>
      <c r="GV81" s="591">
        <v>0</v>
      </c>
      <c r="GW81" s="591">
        <v>0</v>
      </c>
      <c r="GX81" s="591">
        <v>0</v>
      </c>
      <c r="GY81" s="591">
        <v>0</v>
      </c>
      <c r="GZ81" s="591">
        <v>0</v>
      </c>
      <c r="HA81" s="591">
        <v>0</v>
      </c>
      <c r="HB81" s="591">
        <v>0</v>
      </c>
      <c r="HC81" s="591">
        <v>5.1774999999999995E-2</v>
      </c>
      <c r="HD81" s="591">
        <v>0</v>
      </c>
      <c r="HE81" s="591">
        <v>0</v>
      </c>
      <c r="HF81" s="591">
        <v>166669</v>
      </c>
      <c r="HG81" s="591">
        <v>0</v>
      </c>
      <c r="HH81" s="591">
        <v>113943</v>
      </c>
      <c r="HI81" s="591">
        <v>0</v>
      </c>
      <c r="HJ81" s="591">
        <v>1488</v>
      </c>
      <c r="HK81" s="591">
        <v>0</v>
      </c>
      <c r="HL81" s="591">
        <v>0</v>
      </c>
      <c r="HM81" s="591">
        <v>0</v>
      </c>
      <c r="HN81" s="591">
        <v>0</v>
      </c>
      <c r="HO81" s="591">
        <v>0</v>
      </c>
      <c r="HP81" s="591">
        <v>0</v>
      </c>
      <c r="HQ81" s="591">
        <v>0</v>
      </c>
      <c r="HR81" s="591">
        <v>0</v>
      </c>
      <c r="HS81" s="591">
        <v>1607052</v>
      </c>
      <c r="HT81" s="591">
        <v>0</v>
      </c>
      <c r="HU81" s="591">
        <v>0</v>
      </c>
      <c r="HV81" s="591">
        <v>0</v>
      </c>
      <c r="HW81" s="591">
        <v>0</v>
      </c>
      <c r="HX81" s="591">
        <v>8</v>
      </c>
      <c r="HY81" s="591">
        <v>10</v>
      </c>
      <c r="HZ81" s="591">
        <v>13</v>
      </c>
      <c r="IA81" s="591">
        <v>36</v>
      </c>
      <c r="IB81" s="591">
        <v>144</v>
      </c>
      <c r="IC81" s="591">
        <v>177</v>
      </c>
      <c r="ID81" s="591">
        <v>0</v>
      </c>
      <c r="IE81" s="591">
        <v>0</v>
      </c>
      <c r="IF81" s="591">
        <v>0</v>
      </c>
      <c r="IG81" s="591">
        <v>0</v>
      </c>
      <c r="IH81" s="591">
        <v>185</v>
      </c>
      <c r="II81" s="591">
        <v>0</v>
      </c>
      <c r="IJ81" s="591">
        <v>127.10300000000001</v>
      </c>
      <c r="IK81" s="591">
        <v>0</v>
      </c>
      <c r="IL81" s="591">
        <v>0</v>
      </c>
      <c r="IM81" s="591">
        <v>0</v>
      </c>
      <c r="IN81" s="591">
        <v>0</v>
      </c>
      <c r="IO81" s="591">
        <v>0</v>
      </c>
      <c r="IP81" s="591">
        <v>0</v>
      </c>
      <c r="IQ81" s="591">
        <v>127.10300000000001</v>
      </c>
      <c r="IR81" s="591">
        <v>78284</v>
      </c>
      <c r="IS81" s="591">
        <v>0</v>
      </c>
      <c r="IT81" s="591">
        <v>0</v>
      </c>
      <c r="IU81" s="591">
        <v>0</v>
      </c>
      <c r="IV81" s="591">
        <v>0</v>
      </c>
      <c r="IW81" s="591">
        <v>6159</v>
      </c>
      <c r="IX81" s="591">
        <v>0</v>
      </c>
      <c r="IY81" s="591">
        <v>0</v>
      </c>
      <c r="IZ81" s="591">
        <v>0</v>
      </c>
      <c r="JA81" s="591">
        <v>0</v>
      </c>
      <c r="JB81" s="591">
        <v>0</v>
      </c>
      <c r="JC81" s="591">
        <v>0</v>
      </c>
      <c r="JD81" s="591">
        <v>0</v>
      </c>
      <c r="JE81" s="591">
        <v>0</v>
      </c>
      <c r="JF81" s="591">
        <v>0</v>
      </c>
      <c r="JG81" s="591">
        <v>0</v>
      </c>
      <c r="JH81" s="591">
        <v>0</v>
      </c>
      <c r="JI81" s="591">
        <v>0</v>
      </c>
      <c r="JJ81" s="591">
        <v>0</v>
      </c>
      <c r="JK81" s="591">
        <v>0</v>
      </c>
      <c r="JL81" s="591">
        <v>0</v>
      </c>
      <c r="JM81" s="591">
        <v>0</v>
      </c>
      <c r="JN81" s="591">
        <v>32469</v>
      </c>
    </row>
    <row r="82" spans="1:274" x14ac:dyDescent="0.25">
      <c r="A82" s="591">
        <v>32570</v>
      </c>
      <c r="B82" s="591">
        <v>71809</v>
      </c>
      <c r="C82" s="591">
        <v>9</v>
      </c>
      <c r="D82" s="591">
        <v>2022</v>
      </c>
      <c r="E82" s="591">
        <v>6159</v>
      </c>
      <c r="F82" s="591">
        <v>0</v>
      </c>
      <c r="G82" s="591">
        <v>235.863</v>
      </c>
      <c r="H82" s="591">
        <v>234.89500000000001</v>
      </c>
      <c r="I82" s="591">
        <v>234.89500000000001</v>
      </c>
      <c r="J82" s="591">
        <v>235.863</v>
      </c>
      <c r="K82" s="591">
        <v>0</v>
      </c>
      <c r="L82" s="591">
        <v>6159</v>
      </c>
      <c r="M82" s="591">
        <v>0</v>
      </c>
      <c r="N82" s="591">
        <v>0</v>
      </c>
      <c r="O82" s="591">
        <v>0</v>
      </c>
      <c r="P82" s="591">
        <v>227.08700000000002</v>
      </c>
      <c r="Q82" s="591">
        <v>0</v>
      </c>
      <c r="R82" s="591">
        <v>91386</v>
      </c>
      <c r="S82" s="591">
        <v>402.428</v>
      </c>
      <c r="T82" s="591">
        <v>0</v>
      </c>
      <c r="U82" s="591">
        <v>0</v>
      </c>
      <c r="V82" s="591">
        <v>76.66</v>
      </c>
      <c r="W82" s="591">
        <v>47216</v>
      </c>
      <c r="X82" s="591">
        <v>47216</v>
      </c>
      <c r="Y82" s="591">
        <v>0</v>
      </c>
      <c r="Z82" s="591">
        <v>0</v>
      </c>
      <c r="AA82" s="591">
        <v>0</v>
      </c>
      <c r="AB82" s="591">
        <v>0</v>
      </c>
      <c r="AC82" s="591">
        <v>0</v>
      </c>
      <c r="AD82" s="591" t="s">
        <v>316</v>
      </c>
      <c r="AE82" s="591">
        <v>0</v>
      </c>
      <c r="AF82" s="591">
        <v>0</v>
      </c>
      <c r="AG82" s="591">
        <v>0</v>
      </c>
      <c r="AH82" s="591">
        <v>0</v>
      </c>
      <c r="AI82" s="591">
        <v>0</v>
      </c>
      <c r="AJ82" s="591">
        <v>6159</v>
      </c>
      <c r="AK82" s="591" t="s">
        <v>671</v>
      </c>
      <c r="AL82" s="591" t="s">
        <v>340</v>
      </c>
      <c r="AM82" s="591">
        <v>0</v>
      </c>
      <c r="AN82" s="591">
        <v>0</v>
      </c>
      <c r="AO82" s="591">
        <v>0</v>
      </c>
      <c r="AP82" s="591">
        <v>0</v>
      </c>
      <c r="AQ82" s="591">
        <v>0</v>
      </c>
      <c r="AR82" s="591">
        <v>0</v>
      </c>
      <c r="AS82" s="591">
        <v>0</v>
      </c>
      <c r="AT82" s="591">
        <v>0</v>
      </c>
      <c r="AU82" s="591">
        <v>0</v>
      </c>
      <c r="AV82" s="591">
        <v>0</v>
      </c>
      <c r="AW82" s="591">
        <v>2388779</v>
      </c>
      <c r="AX82" s="591">
        <v>2346283</v>
      </c>
      <c r="AY82" s="591">
        <v>0</v>
      </c>
      <c r="AZ82" s="591">
        <v>91386</v>
      </c>
      <c r="BA82" s="591">
        <v>0</v>
      </c>
      <c r="BB82" s="591">
        <v>0</v>
      </c>
      <c r="BC82" s="591">
        <v>0</v>
      </c>
      <c r="BD82" s="591">
        <v>0</v>
      </c>
      <c r="BE82" s="591">
        <v>31</v>
      </c>
      <c r="BF82" s="591">
        <v>2167376</v>
      </c>
      <c r="BG82" s="591">
        <v>0</v>
      </c>
      <c r="BH82" s="591">
        <v>0</v>
      </c>
      <c r="BI82" s="591">
        <v>0</v>
      </c>
      <c r="BJ82" s="591">
        <v>12</v>
      </c>
      <c r="BK82" s="591">
        <v>0</v>
      </c>
      <c r="BL82" s="591">
        <v>0</v>
      </c>
      <c r="BM82" s="591">
        <v>0</v>
      </c>
      <c r="BN82" s="591">
        <v>0</v>
      </c>
      <c r="BO82" s="591">
        <v>0</v>
      </c>
      <c r="BP82" s="591">
        <v>0</v>
      </c>
      <c r="BQ82" s="591">
        <v>734</v>
      </c>
      <c r="BR82" s="591">
        <v>0</v>
      </c>
      <c r="BS82" s="591">
        <v>0</v>
      </c>
      <c r="BT82" s="591">
        <v>0</v>
      </c>
      <c r="BU82" s="591">
        <v>0</v>
      </c>
      <c r="BV82" s="591">
        <v>0</v>
      </c>
      <c r="BW82" s="591">
        <v>0</v>
      </c>
      <c r="BX82" s="591">
        <v>0</v>
      </c>
      <c r="BY82" s="591">
        <v>0</v>
      </c>
      <c r="BZ82" s="591">
        <v>0</v>
      </c>
      <c r="CA82" s="591">
        <v>0</v>
      </c>
      <c r="CB82" s="591">
        <v>0</v>
      </c>
      <c r="CC82" s="591">
        <v>0</v>
      </c>
      <c r="CD82" s="591">
        <v>0</v>
      </c>
      <c r="CE82" s="591">
        <v>0</v>
      </c>
      <c r="CF82" s="591">
        <v>0</v>
      </c>
      <c r="CG82" s="591">
        <v>0</v>
      </c>
      <c r="CH82" s="591">
        <v>42741</v>
      </c>
      <c r="CI82" s="591">
        <v>0</v>
      </c>
      <c r="CJ82" s="591">
        <v>4</v>
      </c>
      <c r="CK82" s="591">
        <v>0</v>
      </c>
      <c r="CL82" s="591">
        <v>0</v>
      </c>
      <c r="CM82" s="591">
        <v>0</v>
      </c>
      <c r="CN82" s="591">
        <v>0</v>
      </c>
      <c r="CO82" s="591">
        <v>1</v>
      </c>
      <c r="CP82" s="591">
        <v>0</v>
      </c>
      <c r="CQ82" s="591">
        <v>0</v>
      </c>
      <c r="CR82" s="591">
        <v>235.863</v>
      </c>
      <c r="CS82" s="591">
        <v>0</v>
      </c>
      <c r="CT82" s="591">
        <v>0</v>
      </c>
      <c r="CU82" s="591">
        <v>0</v>
      </c>
      <c r="CV82" s="591">
        <v>0</v>
      </c>
      <c r="CW82" s="591">
        <v>0</v>
      </c>
      <c r="CX82" s="591">
        <v>0</v>
      </c>
      <c r="CY82" s="591">
        <v>0</v>
      </c>
      <c r="CZ82" s="591">
        <v>0</v>
      </c>
      <c r="DA82" s="591">
        <v>0</v>
      </c>
      <c r="DB82" s="591">
        <v>1441677</v>
      </c>
      <c r="DC82" s="591">
        <v>0</v>
      </c>
      <c r="DD82" s="591">
        <v>0</v>
      </c>
      <c r="DE82" s="591">
        <v>287398</v>
      </c>
      <c r="DF82" s="591">
        <v>287398</v>
      </c>
      <c r="DG82" s="591">
        <v>46.663000000000004</v>
      </c>
      <c r="DH82" s="591">
        <v>0</v>
      </c>
      <c r="DI82" s="591">
        <v>0</v>
      </c>
      <c r="DJ82" s="591">
        <v>0</v>
      </c>
      <c r="DK82" s="591">
        <v>3363</v>
      </c>
      <c r="DL82" s="591">
        <v>0</v>
      </c>
      <c r="DM82" s="591">
        <v>61029</v>
      </c>
      <c r="DN82" s="591">
        <v>214</v>
      </c>
      <c r="DO82" s="591">
        <v>0</v>
      </c>
      <c r="DP82" s="591">
        <v>0</v>
      </c>
      <c r="DQ82" s="591">
        <v>0</v>
      </c>
      <c r="DR82" s="591">
        <v>0</v>
      </c>
      <c r="DS82" s="591">
        <v>0</v>
      </c>
      <c r="DT82" s="591">
        <v>0</v>
      </c>
      <c r="DU82" s="591">
        <v>0</v>
      </c>
      <c r="DV82" s="591">
        <v>0</v>
      </c>
      <c r="DW82" s="591">
        <v>0</v>
      </c>
      <c r="DX82" s="591">
        <v>0</v>
      </c>
      <c r="DY82" s="591">
        <v>0</v>
      </c>
      <c r="DZ82" s="591">
        <v>0</v>
      </c>
      <c r="EA82" s="591">
        <v>0</v>
      </c>
      <c r="EB82" s="591">
        <v>0</v>
      </c>
      <c r="EC82" s="591">
        <v>4.492</v>
      </c>
      <c r="ED82" s="591">
        <v>31817</v>
      </c>
      <c r="EE82" s="591">
        <v>0</v>
      </c>
      <c r="EF82" s="591">
        <v>0</v>
      </c>
      <c r="EG82" s="591">
        <v>0</v>
      </c>
      <c r="EH82" s="591">
        <v>24365</v>
      </c>
      <c r="EI82" s="591">
        <v>0</v>
      </c>
      <c r="EJ82" s="591">
        <v>0</v>
      </c>
      <c r="EK82" s="591">
        <v>0.442</v>
      </c>
      <c r="EL82" s="591">
        <v>0</v>
      </c>
      <c r="EM82" s="591">
        <v>0</v>
      </c>
      <c r="EN82" s="591">
        <v>0.52600000000000002</v>
      </c>
      <c r="EO82" s="591">
        <v>0</v>
      </c>
      <c r="EP82" s="591">
        <v>0</v>
      </c>
      <c r="EQ82" s="591">
        <v>0.96800000000000008</v>
      </c>
      <c r="ER82" s="591">
        <v>0</v>
      </c>
      <c r="ES82" s="591">
        <v>3.9560000000000004</v>
      </c>
      <c r="ET82" s="591">
        <v>0</v>
      </c>
      <c r="EU82" s="591">
        <v>0</v>
      </c>
      <c r="EV82" s="591">
        <v>0</v>
      </c>
      <c r="EW82" s="591">
        <v>0</v>
      </c>
      <c r="EX82" s="591">
        <v>0</v>
      </c>
      <c r="EY82" s="591">
        <v>0</v>
      </c>
      <c r="EZ82" s="591">
        <v>2075990</v>
      </c>
      <c r="FA82" s="591">
        <v>0</v>
      </c>
      <c r="FB82" s="591">
        <v>2167131</v>
      </c>
      <c r="FC82" s="591">
        <v>0</v>
      </c>
      <c r="FD82" s="591">
        <v>0</v>
      </c>
      <c r="FE82" s="591">
        <v>224501</v>
      </c>
      <c r="FF82" s="591">
        <v>45792</v>
      </c>
      <c r="FG82" s="591">
        <v>6.4728999999999995E-2</v>
      </c>
      <c r="FH82" s="591">
        <v>2.6405999999999999E-2</v>
      </c>
      <c r="FI82" s="591">
        <v>0</v>
      </c>
      <c r="FJ82" s="591">
        <v>0</v>
      </c>
      <c r="FK82" s="591">
        <v>351.899</v>
      </c>
      <c r="FL82" s="591">
        <v>2480165</v>
      </c>
      <c r="FM82" s="591">
        <v>0</v>
      </c>
      <c r="FN82" s="591">
        <v>0</v>
      </c>
      <c r="FO82" s="591">
        <v>0</v>
      </c>
      <c r="FP82" s="591">
        <v>0</v>
      </c>
      <c r="FQ82" s="591">
        <v>0</v>
      </c>
      <c r="FR82" s="591">
        <v>0</v>
      </c>
      <c r="FS82" s="591">
        <v>0</v>
      </c>
      <c r="FT82" s="591">
        <v>0</v>
      </c>
      <c r="FU82" s="591">
        <v>0</v>
      </c>
      <c r="FV82" s="591">
        <v>0</v>
      </c>
      <c r="FW82" s="591">
        <v>0</v>
      </c>
      <c r="FX82" s="591">
        <v>0</v>
      </c>
      <c r="FY82" s="591">
        <v>0</v>
      </c>
      <c r="FZ82" s="591">
        <v>0</v>
      </c>
      <c r="GA82" s="591">
        <v>0</v>
      </c>
      <c r="GB82" s="591">
        <v>0</v>
      </c>
      <c r="GC82" s="591">
        <v>0</v>
      </c>
      <c r="GD82" s="591">
        <v>0</v>
      </c>
      <c r="GE82" s="591">
        <v>0</v>
      </c>
      <c r="GF82" s="591">
        <v>0</v>
      </c>
      <c r="GG82" s="591">
        <v>0</v>
      </c>
      <c r="GH82" s="591">
        <v>0</v>
      </c>
      <c r="GI82" s="591">
        <v>0</v>
      </c>
      <c r="GJ82" s="591">
        <v>0</v>
      </c>
      <c r="GK82" s="591">
        <v>0</v>
      </c>
      <c r="GL82" s="591">
        <v>0</v>
      </c>
      <c r="GM82" s="591">
        <v>0</v>
      </c>
      <c r="GN82" s="591">
        <v>0</v>
      </c>
      <c r="GO82" s="591">
        <v>0</v>
      </c>
      <c r="GP82" s="591">
        <v>0</v>
      </c>
      <c r="GQ82" s="591">
        <v>0</v>
      </c>
      <c r="GR82" s="591">
        <v>0</v>
      </c>
      <c r="GS82" s="591">
        <v>0</v>
      </c>
      <c r="GT82" s="591">
        <v>0</v>
      </c>
      <c r="GU82" s="591">
        <v>0</v>
      </c>
      <c r="GV82" s="591">
        <v>0</v>
      </c>
      <c r="GW82" s="591">
        <v>0</v>
      </c>
      <c r="GX82" s="591">
        <v>0</v>
      </c>
      <c r="GY82" s="591">
        <v>0</v>
      </c>
      <c r="GZ82" s="591">
        <v>0</v>
      </c>
      <c r="HA82" s="591">
        <v>0</v>
      </c>
      <c r="HB82" s="591">
        <v>260009272</v>
      </c>
      <c r="HC82" s="591">
        <v>5.1774999999999995E-2</v>
      </c>
      <c r="HD82" s="591">
        <v>42741</v>
      </c>
      <c r="HE82" s="591">
        <v>0</v>
      </c>
      <c r="HF82" s="591">
        <v>258150</v>
      </c>
      <c r="HG82" s="591">
        <v>1232</v>
      </c>
      <c r="HH82" s="591">
        <v>59167</v>
      </c>
      <c r="HI82" s="591">
        <v>0</v>
      </c>
      <c r="HJ82" s="591">
        <v>2293</v>
      </c>
      <c r="HK82" s="591">
        <v>0</v>
      </c>
      <c r="HL82" s="591">
        <v>0</v>
      </c>
      <c r="HM82" s="591">
        <v>0</v>
      </c>
      <c r="HN82" s="591">
        <v>0</v>
      </c>
      <c r="HO82" s="591">
        <v>9000</v>
      </c>
      <c r="HP82" s="591">
        <v>0</v>
      </c>
      <c r="HQ82" s="591">
        <v>0</v>
      </c>
      <c r="HR82" s="591">
        <v>0</v>
      </c>
      <c r="HS82" s="591">
        <v>2075745</v>
      </c>
      <c r="HT82" s="591">
        <v>0</v>
      </c>
      <c r="HU82" s="591">
        <v>0</v>
      </c>
      <c r="HV82" s="591">
        <v>0</v>
      </c>
      <c r="HW82" s="591">
        <v>0</v>
      </c>
      <c r="HX82" s="591">
        <v>59</v>
      </c>
      <c r="HY82" s="591">
        <v>58</v>
      </c>
      <c r="HZ82" s="591">
        <v>57</v>
      </c>
      <c r="IA82" s="591">
        <v>11</v>
      </c>
      <c r="IB82" s="591">
        <v>9</v>
      </c>
      <c r="IC82" s="591">
        <v>131</v>
      </c>
      <c r="ID82" s="591">
        <v>0</v>
      </c>
      <c r="IE82" s="591">
        <v>0</v>
      </c>
      <c r="IF82" s="591">
        <v>0</v>
      </c>
      <c r="IG82" s="591">
        <v>2</v>
      </c>
      <c r="IH82" s="591">
        <v>96.064000000000007</v>
      </c>
      <c r="II82" s="591">
        <v>0</v>
      </c>
      <c r="IJ82" s="591">
        <v>76.66</v>
      </c>
      <c r="IK82" s="591">
        <v>0</v>
      </c>
      <c r="IL82" s="591">
        <v>0</v>
      </c>
      <c r="IM82" s="591">
        <v>0</v>
      </c>
      <c r="IN82" s="591">
        <v>0</v>
      </c>
      <c r="IO82" s="591">
        <v>0</v>
      </c>
      <c r="IP82" s="591">
        <v>0</v>
      </c>
      <c r="IQ82" s="591">
        <v>76.66</v>
      </c>
      <c r="IR82" s="591">
        <v>47216</v>
      </c>
      <c r="IS82" s="591">
        <v>0</v>
      </c>
      <c r="IT82" s="591">
        <v>0</v>
      </c>
      <c r="IU82" s="591">
        <v>0</v>
      </c>
      <c r="IV82" s="591">
        <v>0</v>
      </c>
      <c r="IW82" s="591">
        <v>6159</v>
      </c>
      <c r="IX82" s="591">
        <v>0</v>
      </c>
      <c r="IY82" s="591">
        <v>0</v>
      </c>
      <c r="IZ82" s="591">
        <v>0</v>
      </c>
      <c r="JA82" s="591">
        <v>0</v>
      </c>
      <c r="JB82" s="591">
        <v>0</v>
      </c>
      <c r="JC82" s="591">
        <v>0</v>
      </c>
      <c r="JD82" s="591">
        <v>0</v>
      </c>
      <c r="JE82" s="591">
        <v>0</v>
      </c>
      <c r="JF82" s="591">
        <v>0</v>
      </c>
      <c r="JG82" s="591">
        <v>0</v>
      </c>
      <c r="JH82" s="591">
        <v>0</v>
      </c>
      <c r="JI82" s="591">
        <v>0</v>
      </c>
      <c r="JJ82" s="591">
        <v>0</v>
      </c>
      <c r="JK82" s="591">
        <v>0</v>
      </c>
      <c r="JL82" s="591">
        <v>0</v>
      </c>
      <c r="JM82" s="591">
        <v>0</v>
      </c>
      <c r="JN82" s="591">
        <v>32469</v>
      </c>
    </row>
    <row r="83" spans="1:274" x14ac:dyDescent="0.25">
      <c r="A83" s="591">
        <v>32570</v>
      </c>
      <c r="B83" s="591">
        <v>71810</v>
      </c>
      <c r="C83" s="591">
        <v>9</v>
      </c>
      <c r="D83" s="591">
        <v>2022</v>
      </c>
      <c r="E83" s="591">
        <v>6159</v>
      </c>
      <c r="F83" s="591">
        <v>0</v>
      </c>
      <c r="G83" s="591">
        <v>198.14000000000001</v>
      </c>
      <c r="H83" s="591">
        <v>197.434</v>
      </c>
      <c r="I83" s="591">
        <v>197.434</v>
      </c>
      <c r="J83" s="591">
        <v>198.14000000000001</v>
      </c>
      <c r="K83" s="591">
        <v>0</v>
      </c>
      <c r="L83" s="591">
        <v>6159</v>
      </c>
      <c r="M83" s="591">
        <v>0</v>
      </c>
      <c r="N83" s="591">
        <v>0</v>
      </c>
      <c r="O83" s="591">
        <v>0</v>
      </c>
      <c r="P83" s="591">
        <v>199.155</v>
      </c>
      <c r="Q83" s="591">
        <v>0</v>
      </c>
      <c r="R83" s="591">
        <v>80146</v>
      </c>
      <c r="S83" s="591">
        <v>402.428</v>
      </c>
      <c r="T83" s="591">
        <v>0</v>
      </c>
      <c r="U83" s="591">
        <v>0</v>
      </c>
      <c r="V83" s="591">
        <v>115.21300000000001</v>
      </c>
      <c r="W83" s="591">
        <v>70961</v>
      </c>
      <c r="X83" s="591">
        <v>70961</v>
      </c>
      <c r="Y83" s="591">
        <v>0</v>
      </c>
      <c r="Z83" s="591">
        <v>0</v>
      </c>
      <c r="AA83" s="591">
        <v>0</v>
      </c>
      <c r="AB83" s="591">
        <v>0</v>
      </c>
      <c r="AC83" s="591">
        <v>0</v>
      </c>
      <c r="AD83" s="591" t="s">
        <v>316</v>
      </c>
      <c r="AE83" s="591">
        <v>0</v>
      </c>
      <c r="AF83" s="591">
        <v>0</v>
      </c>
      <c r="AG83" s="591">
        <v>0</v>
      </c>
      <c r="AH83" s="591">
        <v>0</v>
      </c>
      <c r="AI83" s="591">
        <v>0</v>
      </c>
      <c r="AJ83" s="591">
        <v>6159</v>
      </c>
      <c r="AK83" s="591" t="s">
        <v>671</v>
      </c>
      <c r="AL83" s="591" t="s">
        <v>341</v>
      </c>
      <c r="AM83" s="591">
        <v>0</v>
      </c>
      <c r="AN83" s="591">
        <v>0</v>
      </c>
      <c r="AO83" s="591">
        <v>0</v>
      </c>
      <c r="AP83" s="591">
        <v>0</v>
      </c>
      <c r="AQ83" s="591">
        <v>0</v>
      </c>
      <c r="AR83" s="591">
        <v>0</v>
      </c>
      <c r="AS83" s="591">
        <v>0</v>
      </c>
      <c r="AT83" s="591">
        <v>0</v>
      </c>
      <c r="AU83" s="591">
        <v>0</v>
      </c>
      <c r="AV83" s="591">
        <v>0</v>
      </c>
      <c r="AW83" s="591">
        <v>2158742</v>
      </c>
      <c r="AX83" s="591">
        <v>2123261</v>
      </c>
      <c r="AY83" s="591">
        <v>0</v>
      </c>
      <c r="AZ83" s="591">
        <v>80146</v>
      </c>
      <c r="BA83" s="591">
        <v>0</v>
      </c>
      <c r="BB83" s="591">
        <v>0</v>
      </c>
      <c r="BC83" s="591">
        <v>0</v>
      </c>
      <c r="BD83" s="591">
        <v>1</v>
      </c>
      <c r="BE83" s="591">
        <v>28</v>
      </c>
      <c r="BF83" s="591">
        <v>1951690</v>
      </c>
      <c r="BG83" s="591">
        <v>0</v>
      </c>
      <c r="BH83" s="591">
        <v>0</v>
      </c>
      <c r="BI83" s="591">
        <v>0</v>
      </c>
      <c r="BJ83" s="591">
        <v>12</v>
      </c>
      <c r="BK83" s="591">
        <v>0</v>
      </c>
      <c r="BL83" s="591">
        <v>0</v>
      </c>
      <c r="BM83" s="591">
        <v>0</v>
      </c>
      <c r="BN83" s="591">
        <v>0</v>
      </c>
      <c r="BO83" s="591">
        <v>0</v>
      </c>
      <c r="BP83" s="591">
        <v>0</v>
      </c>
      <c r="BQ83" s="591">
        <v>739</v>
      </c>
      <c r="BR83" s="591">
        <v>0</v>
      </c>
      <c r="BS83" s="591">
        <v>0</v>
      </c>
      <c r="BT83" s="591">
        <v>0</v>
      </c>
      <c r="BU83" s="591">
        <v>0</v>
      </c>
      <c r="BV83" s="591">
        <v>0</v>
      </c>
      <c r="BW83" s="591">
        <v>0</v>
      </c>
      <c r="BX83" s="591">
        <v>0</v>
      </c>
      <c r="BY83" s="591">
        <v>0</v>
      </c>
      <c r="BZ83" s="591">
        <v>0</v>
      </c>
      <c r="CA83" s="591">
        <v>0</v>
      </c>
      <c r="CB83" s="591">
        <v>0</v>
      </c>
      <c r="CC83" s="591">
        <v>0</v>
      </c>
      <c r="CD83" s="591">
        <v>0</v>
      </c>
      <c r="CE83" s="591">
        <v>0</v>
      </c>
      <c r="CF83" s="591">
        <v>0</v>
      </c>
      <c r="CG83" s="591">
        <v>0</v>
      </c>
      <c r="CH83" s="591">
        <v>35905</v>
      </c>
      <c r="CI83" s="591">
        <v>0</v>
      </c>
      <c r="CJ83" s="591">
        <v>4</v>
      </c>
      <c r="CK83" s="591">
        <v>0</v>
      </c>
      <c r="CL83" s="591">
        <v>0</v>
      </c>
      <c r="CM83" s="591">
        <v>0</v>
      </c>
      <c r="CN83" s="591">
        <v>0</v>
      </c>
      <c r="CO83" s="591">
        <v>1</v>
      </c>
      <c r="CP83" s="591">
        <v>0</v>
      </c>
      <c r="CQ83" s="591">
        <v>0</v>
      </c>
      <c r="CR83" s="591">
        <v>198.14000000000001</v>
      </c>
      <c r="CS83" s="591">
        <v>0</v>
      </c>
      <c r="CT83" s="591">
        <v>0</v>
      </c>
      <c r="CU83" s="591">
        <v>0</v>
      </c>
      <c r="CV83" s="591">
        <v>0</v>
      </c>
      <c r="CW83" s="591">
        <v>0</v>
      </c>
      <c r="CX83" s="591">
        <v>0</v>
      </c>
      <c r="CY83" s="591">
        <v>0</v>
      </c>
      <c r="CZ83" s="591">
        <v>0</v>
      </c>
      <c r="DA83" s="591">
        <v>0</v>
      </c>
      <c r="DB83" s="591">
        <v>1203941</v>
      </c>
      <c r="DC83" s="591">
        <v>0</v>
      </c>
      <c r="DD83" s="591">
        <v>0</v>
      </c>
      <c r="DE83" s="591">
        <v>326046</v>
      </c>
      <c r="DF83" s="591">
        <v>326046</v>
      </c>
      <c r="DG83" s="591">
        <v>52.938000000000002</v>
      </c>
      <c r="DH83" s="591">
        <v>0</v>
      </c>
      <c r="DI83" s="591">
        <v>0</v>
      </c>
      <c r="DJ83" s="591">
        <v>0</v>
      </c>
      <c r="DK83" s="591">
        <v>3455</v>
      </c>
      <c r="DL83" s="591">
        <v>0</v>
      </c>
      <c r="DM83" s="591">
        <v>115714</v>
      </c>
      <c r="DN83" s="591">
        <v>395</v>
      </c>
      <c r="DO83" s="591">
        <v>0</v>
      </c>
      <c r="DP83" s="591">
        <v>0</v>
      </c>
      <c r="DQ83" s="591">
        <v>0</v>
      </c>
      <c r="DR83" s="591">
        <v>0</v>
      </c>
      <c r="DS83" s="591">
        <v>0</v>
      </c>
      <c r="DT83" s="591">
        <v>0</v>
      </c>
      <c r="DU83" s="591">
        <v>0</v>
      </c>
      <c r="DV83" s="591">
        <v>0</v>
      </c>
      <c r="DW83" s="591">
        <v>0</v>
      </c>
      <c r="DX83" s="591">
        <v>0</v>
      </c>
      <c r="DY83" s="591">
        <v>0</v>
      </c>
      <c r="DZ83" s="591">
        <v>0</v>
      </c>
      <c r="EA83" s="591">
        <v>0</v>
      </c>
      <c r="EB83" s="591">
        <v>0</v>
      </c>
      <c r="EC83" s="591">
        <v>12.438000000000001</v>
      </c>
      <c r="ED83" s="591">
        <v>88098</v>
      </c>
      <c r="EE83" s="591">
        <v>0</v>
      </c>
      <c r="EF83" s="591">
        <v>0</v>
      </c>
      <c r="EG83" s="591">
        <v>0</v>
      </c>
      <c r="EH83" s="591">
        <v>15940</v>
      </c>
      <c r="EI83" s="591">
        <v>0</v>
      </c>
      <c r="EJ83" s="591">
        <v>0</v>
      </c>
      <c r="EK83" s="591">
        <v>0</v>
      </c>
      <c r="EL83" s="591">
        <v>0</v>
      </c>
      <c r="EM83" s="591">
        <v>0.47100000000000003</v>
      </c>
      <c r="EN83" s="591">
        <v>0.23500000000000001</v>
      </c>
      <c r="EO83" s="591">
        <v>0</v>
      </c>
      <c r="EP83" s="591">
        <v>0</v>
      </c>
      <c r="EQ83" s="591">
        <v>0.70600000000000007</v>
      </c>
      <c r="ER83" s="591">
        <v>0</v>
      </c>
      <c r="ES83" s="591">
        <v>2.5880000000000001</v>
      </c>
      <c r="ET83" s="591">
        <v>0</v>
      </c>
      <c r="EU83" s="591">
        <v>0</v>
      </c>
      <c r="EV83" s="591">
        <v>0</v>
      </c>
      <c r="EW83" s="591">
        <v>0</v>
      </c>
      <c r="EX83" s="591">
        <v>0</v>
      </c>
      <c r="EY83" s="591">
        <v>0</v>
      </c>
      <c r="EZ83" s="591">
        <v>1879866</v>
      </c>
      <c r="FA83" s="591">
        <v>0</v>
      </c>
      <c r="FB83" s="591">
        <v>1959588</v>
      </c>
      <c r="FC83" s="591">
        <v>0</v>
      </c>
      <c r="FD83" s="591">
        <v>0</v>
      </c>
      <c r="FE83" s="591">
        <v>202160</v>
      </c>
      <c r="FF83" s="591">
        <v>41235</v>
      </c>
      <c r="FG83" s="591">
        <v>6.4728999999999995E-2</v>
      </c>
      <c r="FH83" s="591">
        <v>2.6405999999999999E-2</v>
      </c>
      <c r="FI83" s="591">
        <v>0</v>
      </c>
      <c r="FJ83" s="591">
        <v>0</v>
      </c>
      <c r="FK83" s="591">
        <v>316.88</v>
      </c>
      <c r="FL83" s="591">
        <v>2238888</v>
      </c>
      <c r="FM83" s="591">
        <v>0</v>
      </c>
      <c r="FN83" s="591">
        <v>0</v>
      </c>
      <c r="FO83" s="591">
        <v>8322</v>
      </c>
      <c r="FP83" s="591">
        <v>0</v>
      </c>
      <c r="FQ83" s="591">
        <v>8322</v>
      </c>
      <c r="FR83" s="591">
        <v>8322</v>
      </c>
      <c r="FS83" s="591">
        <v>0</v>
      </c>
      <c r="FT83" s="591">
        <v>0</v>
      </c>
      <c r="FU83" s="591">
        <v>0</v>
      </c>
      <c r="FV83" s="591">
        <v>0</v>
      </c>
      <c r="FW83" s="591">
        <v>0</v>
      </c>
      <c r="FX83" s="591">
        <v>0</v>
      </c>
      <c r="FY83" s="591">
        <v>0</v>
      </c>
      <c r="FZ83" s="591">
        <v>0</v>
      </c>
      <c r="GA83" s="591">
        <v>0</v>
      </c>
      <c r="GB83" s="591">
        <v>0</v>
      </c>
      <c r="GC83" s="591">
        <v>0</v>
      </c>
      <c r="GD83" s="591">
        <v>0</v>
      </c>
      <c r="GE83" s="591">
        <v>0</v>
      </c>
      <c r="GF83" s="591">
        <v>0</v>
      </c>
      <c r="GG83" s="591">
        <v>0</v>
      </c>
      <c r="GH83" s="591">
        <v>0</v>
      </c>
      <c r="GI83" s="591">
        <v>0</v>
      </c>
      <c r="GJ83" s="591">
        <v>0</v>
      </c>
      <c r="GK83" s="591">
        <v>0</v>
      </c>
      <c r="GL83" s="591">
        <v>0</v>
      </c>
      <c r="GM83" s="591">
        <v>0</v>
      </c>
      <c r="GN83" s="591">
        <v>0</v>
      </c>
      <c r="GO83" s="591">
        <v>0</v>
      </c>
      <c r="GP83" s="591">
        <v>0</v>
      </c>
      <c r="GQ83" s="591">
        <v>0</v>
      </c>
      <c r="GR83" s="591">
        <v>0</v>
      </c>
      <c r="GS83" s="591">
        <v>0</v>
      </c>
      <c r="GT83" s="591">
        <v>0</v>
      </c>
      <c r="GU83" s="591">
        <v>0</v>
      </c>
      <c r="GV83" s="591">
        <v>0</v>
      </c>
      <c r="GW83" s="591">
        <v>0</v>
      </c>
      <c r="GX83" s="591">
        <v>0</v>
      </c>
      <c r="GY83" s="591">
        <v>0</v>
      </c>
      <c r="GZ83" s="591">
        <v>0</v>
      </c>
      <c r="HA83" s="591">
        <v>0</v>
      </c>
      <c r="HB83" s="591">
        <v>260009272</v>
      </c>
      <c r="HC83" s="591">
        <v>5.1774999999999995E-2</v>
      </c>
      <c r="HD83" s="591">
        <v>35905</v>
      </c>
      <c r="HE83" s="591">
        <v>0</v>
      </c>
      <c r="HF83" s="591">
        <v>216980</v>
      </c>
      <c r="HG83" s="591">
        <v>4927</v>
      </c>
      <c r="HH83" s="591">
        <v>0</v>
      </c>
      <c r="HI83" s="591">
        <v>0</v>
      </c>
      <c r="HJ83" s="591">
        <v>1926</v>
      </c>
      <c r="HK83" s="591">
        <v>0</v>
      </c>
      <c r="HL83" s="591">
        <v>0</v>
      </c>
      <c r="HM83" s="591">
        <v>0</v>
      </c>
      <c r="HN83" s="591">
        <v>0</v>
      </c>
      <c r="HO83" s="591">
        <v>10800</v>
      </c>
      <c r="HP83" s="591">
        <v>0</v>
      </c>
      <c r="HQ83" s="591">
        <v>0</v>
      </c>
      <c r="HR83" s="591">
        <v>0</v>
      </c>
      <c r="HS83" s="591">
        <v>1879442</v>
      </c>
      <c r="HT83" s="591">
        <v>0</v>
      </c>
      <c r="HU83" s="591">
        <v>0</v>
      </c>
      <c r="HV83" s="591">
        <v>0</v>
      </c>
      <c r="HW83" s="591">
        <v>0</v>
      </c>
      <c r="HX83" s="591">
        <v>8</v>
      </c>
      <c r="HY83" s="591">
        <v>14</v>
      </c>
      <c r="HZ83" s="591">
        <v>19</v>
      </c>
      <c r="IA83" s="591">
        <v>31</v>
      </c>
      <c r="IB83" s="591">
        <v>127</v>
      </c>
      <c r="IC83" s="591">
        <v>187</v>
      </c>
      <c r="ID83" s="591">
        <v>0</v>
      </c>
      <c r="IE83" s="591">
        <v>0</v>
      </c>
      <c r="IF83" s="591">
        <v>0</v>
      </c>
      <c r="IG83" s="591">
        <v>8</v>
      </c>
      <c r="IH83" s="591">
        <v>0</v>
      </c>
      <c r="II83" s="591">
        <v>0</v>
      </c>
      <c r="IJ83" s="591">
        <v>115.21300000000001</v>
      </c>
      <c r="IK83" s="591">
        <v>0</v>
      </c>
      <c r="IL83" s="591">
        <v>0</v>
      </c>
      <c r="IM83" s="591">
        <v>0</v>
      </c>
      <c r="IN83" s="591">
        <v>0</v>
      </c>
      <c r="IO83" s="591">
        <v>0</v>
      </c>
      <c r="IP83" s="591">
        <v>0</v>
      </c>
      <c r="IQ83" s="591">
        <v>115.21300000000001</v>
      </c>
      <c r="IR83" s="591">
        <v>70961</v>
      </c>
      <c r="IS83" s="591">
        <v>0</v>
      </c>
      <c r="IT83" s="591">
        <v>0</v>
      </c>
      <c r="IU83" s="591">
        <v>0</v>
      </c>
      <c r="IV83" s="591">
        <v>0</v>
      </c>
      <c r="IW83" s="591">
        <v>6159</v>
      </c>
      <c r="IX83" s="591">
        <v>0</v>
      </c>
      <c r="IY83" s="591">
        <v>0</v>
      </c>
      <c r="IZ83" s="591">
        <v>0</v>
      </c>
      <c r="JA83" s="591">
        <v>0</v>
      </c>
      <c r="JB83" s="591">
        <v>0</v>
      </c>
      <c r="JC83" s="591">
        <v>0</v>
      </c>
      <c r="JD83" s="591">
        <v>0</v>
      </c>
      <c r="JE83" s="591">
        <v>0</v>
      </c>
      <c r="JF83" s="591">
        <v>0</v>
      </c>
      <c r="JG83" s="591">
        <v>0</v>
      </c>
      <c r="JH83" s="591">
        <v>0</v>
      </c>
      <c r="JI83" s="591">
        <v>0</v>
      </c>
      <c r="JJ83" s="591">
        <v>0</v>
      </c>
      <c r="JK83" s="591">
        <v>0</v>
      </c>
      <c r="JL83" s="591">
        <v>0</v>
      </c>
      <c r="JM83" s="591">
        <v>0</v>
      </c>
      <c r="JN83" s="591">
        <v>32469</v>
      </c>
    </row>
    <row r="84" spans="1:274" x14ac:dyDescent="0.25">
      <c r="A84" s="591">
        <v>32570</v>
      </c>
      <c r="B84" s="591">
        <v>72801</v>
      </c>
      <c r="C84" s="591">
        <v>9</v>
      </c>
      <c r="D84" s="591">
        <v>2022</v>
      </c>
      <c r="E84" s="591">
        <v>6159</v>
      </c>
      <c r="F84" s="591">
        <v>0</v>
      </c>
      <c r="G84" s="591">
        <v>5115.4830000000002</v>
      </c>
      <c r="H84" s="591">
        <v>4712.5610000000006</v>
      </c>
      <c r="I84" s="591">
        <v>4712.5610000000006</v>
      </c>
      <c r="J84" s="591">
        <v>5115.4830000000002</v>
      </c>
      <c r="K84" s="591">
        <v>0</v>
      </c>
      <c r="L84" s="591">
        <v>6159</v>
      </c>
      <c r="M84" s="591">
        <v>0</v>
      </c>
      <c r="N84" s="591">
        <v>0</v>
      </c>
      <c r="O84" s="591">
        <v>0</v>
      </c>
      <c r="P84" s="591">
        <v>5570.098</v>
      </c>
      <c r="Q84" s="591">
        <v>0</v>
      </c>
      <c r="R84" s="591">
        <v>2241563</v>
      </c>
      <c r="S84" s="591">
        <v>402.428</v>
      </c>
      <c r="T84" s="591">
        <v>0</v>
      </c>
      <c r="U84" s="591">
        <v>0</v>
      </c>
      <c r="V84" s="591">
        <v>540.51700000000005</v>
      </c>
      <c r="W84" s="591">
        <v>332909</v>
      </c>
      <c r="X84" s="591">
        <v>332909</v>
      </c>
      <c r="Y84" s="591">
        <v>0</v>
      </c>
      <c r="Z84" s="591">
        <v>0</v>
      </c>
      <c r="AA84" s="591">
        <v>0</v>
      </c>
      <c r="AB84" s="591">
        <v>0</v>
      </c>
      <c r="AC84" s="591">
        <v>0</v>
      </c>
      <c r="AD84" s="591" t="s">
        <v>316</v>
      </c>
      <c r="AE84" s="591">
        <v>0</v>
      </c>
      <c r="AF84" s="591">
        <v>0</v>
      </c>
      <c r="AG84" s="591">
        <v>0</v>
      </c>
      <c r="AH84" s="591">
        <v>0</v>
      </c>
      <c r="AI84" s="591">
        <v>0</v>
      </c>
      <c r="AJ84" s="591">
        <v>6159</v>
      </c>
      <c r="AK84" s="591" t="s">
        <v>671</v>
      </c>
      <c r="AL84" s="591" t="s">
        <v>98</v>
      </c>
      <c r="AM84" s="591">
        <v>0</v>
      </c>
      <c r="AN84" s="591">
        <v>0</v>
      </c>
      <c r="AO84" s="591">
        <v>0</v>
      </c>
      <c r="AP84" s="591">
        <v>0</v>
      </c>
      <c r="AQ84" s="591">
        <v>0</v>
      </c>
      <c r="AR84" s="591">
        <v>0</v>
      </c>
      <c r="AS84" s="591">
        <v>0</v>
      </c>
      <c r="AT84" s="591">
        <v>0</v>
      </c>
      <c r="AU84" s="591">
        <v>0</v>
      </c>
      <c r="AV84" s="591">
        <v>0</v>
      </c>
      <c r="AW84" s="591">
        <v>54606931</v>
      </c>
      <c r="AX84" s="591">
        <v>53704204</v>
      </c>
      <c r="AY84" s="591">
        <v>0</v>
      </c>
      <c r="AZ84" s="591">
        <v>2241563</v>
      </c>
      <c r="BA84" s="591">
        <v>0</v>
      </c>
      <c r="BB84" s="591">
        <v>0</v>
      </c>
      <c r="BC84" s="591">
        <v>0</v>
      </c>
      <c r="BD84" s="591">
        <v>0</v>
      </c>
      <c r="BE84" s="591">
        <v>717</v>
      </c>
      <c r="BF84" s="591">
        <v>48643235</v>
      </c>
      <c r="BG84" s="591">
        <v>0</v>
      </c>
      <c r="BH84" s="591">
        <v>0</v>
      </c>
      <c r="BI84" s="591">
        <v>0</v>
      </c>
      <c r="BJ84" s="591">
        <v>12</v>
      </c>
      <c r="BK84" s="591">
        <v>0</v>
      </c>
      <c r="BL84" s="591">
        <v>0</v>
      </c>
      <c r="BM84" s="591">
        <v>0</v>
      </c>
      <c r="BN84" s="591">
        <v>0</v>
      </c>
      <c r="BO84" s="591">
        <v>0</v>
      </c>
      <c r="BP84" s="591">
        <v>0</v>
      </c>
      <c r="BQ84" s="591">
        <v>44</v>
      </c>
      <c r="BR84" s="591">
        <v>0</v>
      </c>
      <c r="BS84" s="591">
        <v>0</v>
      </c>
      <c r="BT84" s="591">
        <v>0</v>
      </c>
      <c r="BU84" s="591">
        <v>0</v>
      </c>
      <c r="BV84" s="591">
        <v>0</v>
      </c>
      <c r="BW84" s="591">
        <v>0</v>
      </c>
      <c r="BX84" s="591">
        <v>0</v>
      </c>
      <c r="BY84" s="591">
        <v>0</v>
      </c>
      <c r="BZ84" s="591">
        <v>0</v>
      </c>
      <c r="CA84" s="591">
        <v>0</v>
      </c>
      <c r="CB84" s="591">
        <v>0</v>
      </c>
      <c r="CC84" s="591">
        <v>0</v>
      </c>
      <c r="CD84" s="591">
        <v>0</v>
      </c>
      <c r="CE84" s="591">
        <v>0</v>
      </c>
      <c r="CF84" s="591">
        <v>0</v>
      </c>
      <c r="CG84" s="591">
        <v>0</v>
      </c>
      <c r="CH84" s="591">
        <v>926981</v>
      </c>
      <c r="CI84" s="591">
        <v>0</v>
      </c>
      <c r="CJ84" s="591">
        <v>4</v>
      </c>
      <c r="CK84" s="591">
        <v>0</v>
      </c>
      <c r="CL84" s="591">
        <v>0</v>
      </c>
      <c r="CM84" s="591">
        <v>0</v>
      </c>
      <c r="CN84" s="591">
        <v>0</v>
      </c>
      <c r="CO84" s="591">
        <v>1</v>
      </c>
      <c r="CP84" s="591">
        <v>0</v>
      </c>
      <c r="CQ84" s="591">
        <v>0</v>
      </c>
      <c r="CR84" s="591">
        <v>5115.4830000000002</v>
      </c>
      <c r="CS84" s="591">
        <v>0</v>
      </c>
      <c r="CT84" s="591">
        <v>0</v>
      </c>
      <c r="CU84" s="591">
        <v>0</v>
      </c>
      <c r="CV84" s="591">
        <v>0</v>
      </c>
      <c r="CW84" s="591">
        <v>0</v>
      </c>
      <c r="CX84" s="591">
        <v>0</v>
      </c>
      <c r="CY84" s="591">
        <v>0</v>
      </c>
      <c r="CZ84" s="591">
        <v>0</v>
      </c>
      <c r="DA84" s="591">
        <v>0</v>
      </c>
      <c r="DB84" s="591">
        <v>29025052</v>
      </c>
      <c r="DC84" s="591">
        <v>0</v>
      </c>
      <c r="DD84" s="591">
        <v>0</v>
      </c>
      <c r="DE84" s="591">
        <v>5921419</v>
      </c>
      <c r="DF84" s="591">
        <v>5921419</v>
      </c>
      <c r="DG84" s="591">
        <v>961.41300000000001</v>
      </c>
      <c r="DH84" s="591">
        <v>0</v>
      </c>
      <c r="DI84" s="591">
        <v>0</v>
      </c>
      <c r="DJ84" s="591">
        <v>0</v>
      </c>
      <c r="DK84" s="591">
        <v>0</v>
      </c>
      <c r="DL84" s="591">
        <v>0</v>
      </c>
      <c r="DM84" s="591">
        <v>6168854</v>
      </c>
      <c r="DN84" s="591">
        <v>23536</v>
      </c>
      <c r="DO84" s="591">
        <v>0</v>
      </c>
      <c r="DP84" s="591">
        <v>0</v>
      </c>
      <c r="DQ84" s="591">
        <v>0</v>
      </c>
      <c r="DR84" s="591">
        <v>0</v>
      </c>
      <c r="DS84" s="591">
        <v>0</v>
      </c>
      <c r="DT84" s="591">
        <v>0</v>
      </c>
      <c r="DU84" s="591">
        <v>0</v>
      </c>
      <c r="DV84" s="591">
        <v>0</v>
      </c>
      <c r="DW84" s="591">
        <v>0</v>
      </c>
      <c r="DX84" s="591">
        <v>0</v>
      </c>
      <c r="DY84" s="591">
        <v>0</v>
      </c>
      <c r="DZ84" s="591">
        <v>0</v>
      </c>
      <c r="EA84" s="591">
        <v>0</v>
      </c>
      <c r="EB84" s="591">
        <v>1.3320000000000001</v>
      </c>
      <c r="EC84" s="591">
        <v>395.40000000000003</v>
      </c>
      <c r="ED84" s="591">
        <v>2800596</v>
      </c>
      <c r="EE84" s="591">
        <v>0</v>
      </c>
      <c r="EF84" s="591">
        <v>0</v>
      </c>
      <c r="EG84" s="591">
        <v>0</v>
      </c>
      <c r="EH84" s="591">
        <v>3339762</v>
      </c>
      <c r="EI84" s="591">
        <v>52032</v>
      </c>
      <c r="EJ84" s="591">
        <v>2.1120000000000001</v>
      </c>
      <c r="EK84" s="591">
        <v>155.029</v>
      </c>
      <c r="EL84" s="591">
        <v>7.58</v>
      </c>
      <c r="EM84" s="591">
        <v>24.224</v>
      </c>
      <c r="EN84" s="591">
        <v>9.9000000000000005E-2</v>
      </c>
      <c r="EO84" s="591">
        <v>0</v>
      </c>
      <c r="EP84" s="591">
        <v>0</v>
      </c>
      <c r="EQ84" s="591">
        <v>182.79600000000002</v>
      </c>
      <c r="ER84" s="591">
        <v>0</v>
      </c>
      <c r="ES84" s="591">
        <v>542.25</v>
      </c>
      <c r="ET84" s="591">
        <v>0</v>
      </c>
      <c r="EU84" s="591">
        <v>0</v>
      </c>
      <c r="EV84" s="591">
        <v>0</v>
      </c>
      <c r="EW84" s="591">
        <v>0</v>
      </c>
      <c r="EX84" s="591">
        <v>0</v>
      </c>
      <c r="EY84" s="591">
        <v>0</v>
      </c>
      <c r="EZ84" s="591">
        <v>47637916</v>
      </c>
      <c r="FA84" s="591">
        <v>0</v>
      </c>
      <c r="FB84" s="591">
        <v>49855225</v>
      </c>
      <c r="FC84" s="591">
        <v>0</v>
      </c>
      <c r="FD84" s="591">
        <v>0</v>
      </c>
      <c r="FE84" s="591">
        <v>5038556</v>
      </c>
      <c r="FF84" s="591">
        <v>1027732</v>
      </c>
      <c r="FG84" s="591">
        <v>6.4728999999999995E-2</v>
      </c>
      <c r="FH84" s="591">
        <v>2.6405999999999999E-2</v>
      </c>
      <c r="FI84" s="591">
        <v>0</v>
      </c>
      <c r="FJ84" s="591">
        <v>0</v>
      </c>
      <c r="FK84" s="591">
        <v>7897.8060000000005</v>
      </c>
      <c r="FL84" s="591">
        <v>56848494</v>
      </c>
      <c r="FM84" s="591">
        <v>0</v>
      </c>
      <c r="FN84" s="591">
        <v>0</v>
      </c>
      <c r="FO84" s="591">
        <v>44196</v>
      </c>
      <c r="FP84" s="591">
        <v>0</v>
      </c>
      <c r="FQ84" s="591">
        <v>44196</v>
      </c>
      <c r="FR84" s="591">
        <v>44196</v>
      </c>
      <c r="FS84" s="591">
        <v>0</v>
      </c>
      <c r="FT84" s="591">
        <v>0</v>
      </c>
      <c r="FU84" s="591">
        <v>1</v>
      </c>
      <c r="FV84" s="591">
        <v>0</v>
      </c>
      <c r="FW84" s="591">
        <v>0</v>
      </c>
      <c r="FX84" s="591">
        <v>0</v>
      </c>
      <c r="FY84" s="591">
        <v>0</v>
      </c>
      <c r="FZ84" s="591">
        <v>0</v>
      </c>
      <c r="GA84" s="591">
        <v>0</v>
      </c>
      <c r="GB84" s="591">
        <v>1830295</v>
      </c>
      <c r="GC84" s="591">
        <v>1830295</v>
      </c>
      <c r="GD84" s="591">
        <v>220.126</v>
      </c>
      <c r="GE84" s="591">
        <v>0</v>
      </c>
      <c r="GF84" s="591">
        <v>0</v>
      </c>
      <c r="GG84" s="591">
        <v>0</v>
      </c>
      <c r="GH84" s="591">
        <v>0</v>
      </c>
      <c r="GI84" s="591">
        <v>0</v>
      </c>
      <c r="GJ84" s="591">
        <v>0</v>
      </c>
      <c r="GK84" s="591">
        <v>0</v>
      </c>
      <c r="GL84" s="591">
        <v>0</v>
      </c>
      <c r="GM84" s="591">
        <v>0</v>
      </c>
      <c r="GN84" s="591">
        <v>0</v>
      </c>
      <c r="GO84" s="591">
        <v>0</v>
      </c>
      <c r="GP84" s="591">
        <v>0</v>
      </c>
      <c r="GQ84" s="591">
        <v>0</v>
      </c>
      <c r="GR84" s="591">
        <v>0</v>
      </c>
      <c r="GS84" s="591">
        <v>0</v>
      </c>
      <c r="GT84" s="591">
        <v>0</v>
      </c>
      <c r="GU84" s="591">
        <v>0</v>
      </c>
      <c r="GV84" s="591">
        <v>0</v>
      </c>
      <c r="GW84" s="591">
        <v>0</v>
      </c>
      <c r="GX84" s="591">
        <v>0</v>
      </c>
      <c r="GY84" s="591">
        <v>0</v>
      </c>
      <c r="GZ84" s="591">
        <v>0</v>
      </c>
      <c r="HA84" s="591">
        <v>0</v>
      </c>
      <c r="HB84" s="591">
        <v>260009272</v>
      </c>
      <c r="HC84" s="591">
        <v>5.1774999999999995E-2</v>
      </c>
      <c r="HD84" s="591">
        <v>926981</v>
      </c>
      <c r="HE84" s="591">
        <v>0</v>
      </c>
      <c r="HF84" s="591">
        <v>5179105</v>
      </c>
      <c r="HG84" s="591">
        <v>110343</v>
      </c>
      <c r="HH84" s="591">
        <v>0</v>
      </c>
      <c r="HI84" s="591">
        <v>0</v>
      </c>
      <c r="HJ84" s="591">
        <v>49722</v>
      </c>
      <c r="HK84" s="591">
        <v>60751</v>
      </c>
      <c r="HL84" s="591">
        <v>16037</v>
      </c>
      <c r="HM84" s="591">
        <v>2000</v>
      </c>
      <c r="HN84" s="591">
        <v>0</v>
      </c>
      <c r="HO84" s="591">
        <v>0</v>
      </c>
      <c r="HP84" s="591">
        <v>1115260</v>
      </c>
      <c r="HQ84" s="591">
        <v>0</v>
      </c>
      <c r="HR84" s="591">
        <v>0</v>
      </c>
      <c r="HS84" s="591">
        <v>47613662</v>
      </c>
      <c r="HT84" s="591">
        <v>0</v>
      </c>
      <c r="HU84" s="591">
        <v>0</v>
      </c>
      <c r="HV84" s="591">
        <v>0</v>
      </c>
      <c r="HW84" s="591">
        <v>0</v>
      </c>
      <c r="HX84" s="591">
        <v>629</v>
      </c>
      <c r="HY84" s="591">
        <v>730</v>
      </c>
      <c r="HZ84" s="591">
        <v>813</v>
      </c>
      <c r="IA84" s="591">
        <v>817</v>
      </c>
      <c r="IB84" s="591">
        <v>832</v>
      </c>
      <c r="IC84" s="591">
        <v>3821</v>
      </c>
      <c r="ID84" s="591">
        <v>0</v>
      </c>
      <c r="IE84" s="591">
        <v>0</v>
      </c>
      <c r="IF84" s="591">
        <v>0</v>
      </c>
      <c r="IG84" s="591">
        <v>179.155</v>
      </c>
      <c r="IH84" s="591">
        <v>0</v>
      </c>
      <c r="II84" s="591">
        <v>4055.4900000000002</v>
      </c>
      <c r="IJ84" s="591">
        <v>540.51700000000005</v>
      </c>
      <c r="IK84" s="591">
        <v>0</v>
      </c>
      <c r="IL84" s="591">
        <v>0</v>
      </c>
      <c r="IM84" s="591">
        <v>0</v>
      </c>
      <c r="IN84" s="591">
        <v>1</v>
      </c>
      <c r="IO84" s="591">
        <v>1</v>
      </c>
      <c r="IP84" s="591">
        <v>4055.4900000000002</v>
      </c>
      <c r="IQ84" s="591">
        <v>540.51700000000005</v>
      </c>
      <c r="IR84" s="591">
        <v>332909</v>
      </c>
      <c r="IS84" s="591">
        <v>0</v>
      </c>
      <c r="IT84" s="591">
        <v>0</v>
      </c>
      <c r="IU84" s="591">
        <v>0</v>
      </c>
      <c r="IV84" s="591">
        <v>2000</v>
      </c>
      <c r="IW84" s="591">
        <v>6159</v>
      </c>
      <c r="IX84" s="591">
        <v>0</v>
      </c>
      <c r="IY84" s="591">
        <v>0</v>
      </c>
      <c r="IZ84" s="591">
        <v>1115260</v>
      </c>
      <c r="JA84" s="591">
        <v>0</v>
      </c>
      <c r="JB84" s="591">
        <v>0</v>
      </c>
      <c r="JC84" s="591">
        <v>0</v>
      </c>
      <c r="JD84" s="591">
        <v>0</v>
      </c>
      <c r="JE84" s="591">
        <v>0</v>
      </c>
      <c r="JF84" s="591">
        <v>0</v>
      </c>
      <c r="JG84" s="591">
        <v>0</v>
      </c>
      <c r="JH84" s="591">
        <v>0</v>
      </c>
      <c r="JI84" s="591">
        <v>0</v>
      </c>
      <c r="JJ84" s="591">
        <v>0</v>
      </c>
      <c r="JK84" s="591">
        <v>0</v>
      </c>
      <c r="JL84" s="591">
        <v>0</v>
      </c>
      <c r="JM84" s="591">
        <v>0</v>
      </c>
      <c r="JN84" s="591">
        <v>32469</v>
      </c>
    </row>
    <row r="85" spans="1:274" x14ac:dyDescent="0.25">
      <c r="A85" s="591">
        <v>32570</v>
      </c>
      <c r="B85" s="591">
        <v>72802</v>
      </c>
      <c r="C85" s="591">
        <v>9</v>
      </c>
      <c r="D85" s="591">
        <v>2022</v>
      </c>
      <c r="E85" s="591">
        <v>6159</v>
      </c>
      <c r="F85" s="591">
        <v>0</v>
      </c>
      <c r="G85" s="591">
        <v>108.2</v>
      </c>
      <c r="H85" s="591">
        <v>93.796000000000006</v>
      </c>
      <c r="I85" s="591">
        <v>93.796000000000006</v>
      </c>
      <c r="J85" s="591">
        <v>108.2</v>
      </c>
      <c r="K85" s="591">
        <v>0</v>
      </c>
      <c r="L85" s="591">
        <v>6159</v>
      </c>
      <c r="M85" s="591">
        <v>0</v>
      </c>
      <c r="N85" s="591">
        <v>0</v>
      </c>
      <c r="O85" s="591">
        <v>0</v>
      </c>
      <c r="P85" s="591">
        <v>105.447</v>
      </c>
      <c r="Q85" s="591">
        <v>0</v>
      </c>
      <c r="R85" s="591">
        <v>42435</v>
      </c>
      <c r="S85" s="591">
        <v>402.428</v>
      </c>
      <c r="T85" s="591">
        <v>0</v>
      </c>
      <c r="U85" s="591">
        <v>0</v>
      </c>
      <c r="V85" s="591">
        <v>3.5</v>
      </c>
      <c r="W85" s="591">
        <v>2156</v>
      </c>
      <c r="X85" s="591">
        <v>2156</v>
      </c>
      <c r="Y85" s="591">
        <v>0</v>
      </c>
      <c r="Z85" s="591">
        <v>0</v>
      </c>
      <c r="AA85" s="591">
        <v>0</v>
      </c>
      <c r="AB85" s="591">
        <v>0</v>
      </c>
      <c r="AC85" s="591">
        <v>0</v>
      </c>
      <c r="AD85" s="591" t="s">
        <v>316</v>
      </c>
      <c r="AE85" s="591">
        <v>0</v>
      </c>
      <c r="AF85" s="591">
        <v>0</v>
      </c>
      <c r="AG85" s="591">
        <v>0</v>
      </c>
      <c r="AH85" s="591">
        <v>0</v>
      </c>
      <c r="AI85" s="591">
        <v>0</v>
      </c>
      <c r="AJ85" s="591">
        <v>6159</v>
      </c>
      <c r="AK85" s="591" t="s">
        <v>671</v>
      </c>
      <c r="AL85" s="591" t="s">
        <v>342</v>
      </c>
      <c r="AM85" s="591">
        <v>0</v>
      </c>
      <c r="AN85" s="591">
        <v>0</v>
      </c>
      <c r="AO85" s="591">
        <v>0</v>
      </c>
      <c r="AP85" s="591">
        <v>0</v>
      </c>
      <c r="AQ85" s="591">
        <v>0</v>
      </c>
      <c r="AR85" s="591">
        <v>0</v>
      </c>
      <c r="AS85" s="591">
        <v>0</v>
      </c>
      <c r="AT85" s="591">
        <v>0</v>
      </c>
      <c r="AU85" s="591">
        <v>0</v>
      </c>
      <c r="AV85" s="591">
        <v>0</v>
      </c>
      <c r="AW85" s="591">
        <v>1190147</v>
      </c>
      <c r="AX85" s="591">
        <v>1170926</v>
      </c>
      <c r="AY85" s="591">
        <v>0</v>
      </c>
      <c r="AZ85" s="591">
        <v>42435</v>
      </c>
      <c r="BA85" s="591">
        <v>0</v>
      </c>
      <c r="BB85" s="591">
        <v>0</v>
      </c>
      <c r="BC85" s="591">
        <v>0</v>
      </c>
      <c r="BD85" s="591">
        <v>0</v>
      </c>
      <c r="BE85" s="591">
        <v>16</v>
      </c>
      <c r="BF85" s="591">
        <v>1065837</v>
      </c>
      <c r="BG85" s="591">
        <v>0</v>
      </c>
      <c r="BH85" s="591">
        <v>0</v>
      </c>
      <c r="BI85" s="591">
        <v>0</v>
      </c>
      <c r="BJ85" s="591">
        <v>12</v>
      </c>
      <c r="BK85" s="591">
        <v>0</v>
      </c>
      <c r="BL85" s="591">
        <v>0</v>
      </c>
      <c r="BM85" s="591">
        <v>0</v>
      </c>
      <c r="BN85" s="591">
        <v>0</v>
      </c>
      <c r="BO85" s="591">
        <v>0</v>
      </c>
      <c r="BP85" s="591">
        <v>0</v>
      </c>
      <c r="BQ85" s="591">
        <v>755</v>
      </c>
      <c r="BR85" s="591">
        <v>0</v>
      </c>
      <c r="BS85" s="591">
        <v>0</v>
      </c>
      <c r="BT85" s="591">
        <v>0</v>
      </c>
      <c r="BU85" s="591">
        <v>0</v>
      </c>
      <c r="BV85" s="591">
        <v>0</v>
      </c>
      <c r="BW85" s="591">
        <v>0</v>
      </c>
      <c r="BX85" s="591">
        <v>0</v>
      </c>
      <c r="BY85" s="591">
        <v>0</v>
      </c>
      <c r="BZ85" s="591">
        <v>0</v>
      </c>
      <c r="CA85" s="591">
        <v>0</v>
      </c>
      <c r="CB85" s="591">
        <v>0</v>
      </c>
      <c r="CC85" s="591">
        <v>0</v>
      </c>
      <c r="CD85" s="591">
        <v>0</v>
      </c>
      <c r="CE85" s="591">
        <v>0</v>
      </c>
      <c r="CF85" s="591">
        <v>0</v>
      </c>
      <c r="CG85" s="591">
        <v>0</v>
      </c>
      <c r="CH85" s="591">
        <v>19607</v>
      </c>
      <c r="CI85" s="591">
        <v>0</v>
      </c>
      <c r="CJ85" s="591">
        <v>4</v>
      </c>
      <c r="CK85" s="591">
        <v>0</v>
      </c>
      <c r="CL85" s="591">
        <v>0</v>
      </c>
      <c r="CM85" s="591">
        <v>0</v>
      </c>
      <c r="CN85" s="591">
        <v>0</v>
      </c>
      <c r="CO85" s="591">
        <v>1</v>
      </c>
      <c r="CP85" s="591">
        <v>0.21300000000000002</v>
      </c>
      <c r="CQ85" s="591">
        <v>0</v>
      </c>
      <c r="CR85" s="591">
        <v>108.2</v>
      </c>
      <c r="CS85" s="591">
        <v>0</v>
      </c>
      <c r="CT85" s="591">
        <v>0</v>
      </c>
      <c r="CU85" s="591">
        <v>0</v>
      </c>
      <c r="CV85" s="591">
        <v>0</v>
      </c>
      <c r="CW85" s="591">
        <v>0</v>
      </c>
      <c r="CX85" s="591">
        <v>0</v>
      </c>
      <c r="CY85" s="591">
        <v>0</v>
      </c>
      <c r="CZ85" s="591">
        <v>0</v>
      </c>
      <c r="DA85" s="591">
        <v>0</v>
      </c>
      <c r="DB85" s="591">
        <v>577697</v>
      </c>
      <c r="DC85" s="591">
        <v>0</v>
      </c>
      <c r="DD85" s="591">
        <v>0</v>
      </c>
      <c r="DE85" s="591">
        <v>190393</v>
      </c>
      <c r="DF85" s="591">
        <v>193555</v>
      </c>
      <c r="DG85" s="591">
        <v>30.913</v>
      </c>
      <c r="DH85" s="591">
        <v>0</v>
      </c>
      <c r="DI85" s="591">
        <v>3162</v>
      </c>
      <c r="DJ85" s="591">
        <v>0</v>
      </c>
      <c r="DK85" s="591">
        <v>3711</v>
      </c>
      <c r="DL85" s="591">
        <v>0</v>
      </c>
      <c r="DM85" s="591">
        <v>97159</v>
      </c>
      <c r="DN85" s="591">
        <v>371</v>
      </c>
      <c r="DO85" s="591">
        <v>0</v>
      </c>
      <c r="DP85" s="591">
        <v>0</v>
      </c>
      <c r="DQ85" s="591">
        <v>0</v>
      </c>
      <c r="DR85" s="591">
        <v>0</v>
      </c>
      <c r="DS85" s="591">
        <v>0</v>
      </c>
      <c r="DT85" s="591">
        <v>0</v>
      </c>
      <c r="DU85" s="591">
        <v>0</v>
      </c>
      <c r="DV85" s="591">
        <v>0</v>
      </c>
      <c r="DW85" s="591">
        <v>0</v>
      </c>
      <c r="DX85" s="591">
        <v>0</v>
      </c>
      <c r="DY85" s="591">
        <v>0</v>
      </c>
      <c r="DZ85" s="591">
        <v>0</v>
      </c>
      <c r="EA85" s="591">
        <v>0</v>
      </c>
      <c r="EB85" s="591">
        <v>0</v>
      </c>
      <c r="EC85" s="591">
        <v>0.56700000000000006</v>
      </c>
      <c r="ED85" s="591">
        <v>4016</v>
      </c>
      <c r="EE85" s="591">
        <v>0</v>
      </c>
      <c r="EF85" s="591">
        <v>0</v>
      </c>
      <c r="EG85" s="591">
        <v>0</v>
      </c>
      <c r="EH85" s="591">
        <v>34017</v>
      </c>
      <c r="EI85" s="591">
        <v>59497</v>
      </c>
      <c r="EJ85" s="591">
        <v>2.415</v>
      </c>
      <c r="EK85" s="591">
        <v>1.4790000000000001</v>
      </c>
      <c r="EL85" s="591">
        <v>0</v>
      </c>
      <c r="EM85" s="591">
        <v>0.36200000000000004</v>
      </c>
      <c r="EN85" s="591">
        <v>0</v>
      </c>
      <c r="EO85" s="591">
        <v>0</v>
      </c>
      <c r="EP85" s="591">
        <v>0</v>
      </c>
      <c r="EQ85" s="591">
        <v>4.2560000000000002</v>
      </c>
      <c r="ER85" s="591">
        <v>0</v>
      </c>
      <c r="ES85" s="591">
        <v>5.5230000000000006</v>
      </c>
      <c r="ET85" s="591">
        <v>0</v>
      </c>
      <c r="EU85" s="591">
        <v>0</v>
      </c>
      <c r="EV85" s="591">
        <v>0</v>
      </c>
      <c r="EW85" s="591">
        <v>0</v>
      </c>
      <c r="EX85" s="591">
        <v>0</v>
      </c>
      <c r="EY85" s="591">
        <v>0</v>
      </c>
      <c r="EZ85" s="591">
        <v>1038006</v>
      </c>
      <c r="FA85" s="591">
        <v>0</v>
      </c>
      <c r="FB85" s="591">
        <v>1080055</v>
      </c>
      <c r="FC85" s="591">
        <v>0</v>
      </c>
      <c r="FD85" s="591">
        <v>0</v>
      </c>
      <c r="FE85" s="591">
        <v>110401</v>
      </c>
      <c r="FF85" s="591">
        <v>22519</v>
      </c>
      <c r="FG85" s="591">
        <v>6.4728999999999995E-2</v>
      </c>
      <c r="FH85" s="591">
        <v>2.6405999999999999E-2</v>
      </c>
      <c r="FI85" s="591">
        <v>0</v>
      </c>
      <c r="FJ85" s="591">
        <v>0</v>
      </c>
      <c r="FK85" s="591">
        <v>173.05100000000002</v>
      </c>
      <c r="FL85" s="591">
        <v>1232582</v>
      </c>
      <c r="FM85" s="591">
        <v>0</v>
      </c>
      <c r="FN85" s="591">
        <v>0</v>
      </c>
      <c r="FO85" s="591">
        <v>0</v>
      </c>
      <c r="FP85" s="591">
        <v>0</v>
      </c>
      <c r="FQ85" s="591">
        <v>0</v>
      </c>
      <c r="FR85" s="591">
        <v>0</v>
      </c>
      <c r="FS85" s="591">
        <v>0</v>
      </c>
      <c r="FT85" s="591">
        <v>0</v>
      </c>
      <c r="FU85" s="591">
        <v>0</v>
      </c>
      <c r="FV85" s="591">
        <v>0</v>
      </c>
      <c r="FW85" s="591">
        <v>0</v>
      </c>
      <c r="FX85" s="591">
        <v>0</v>
      </c>
      <c r="FY85" s="591">
        <v>0</v>
      </c>
      <c r="FZ85" s="591">
        <v>0</v>
      </c>
      <c r="GA85" s="591">
        <v>0</v>
      </c>
      <c r="GB85" s="591">
        <v>84378</v>
      </c>
      <c r="GC85" s="591">
        <v>84378</v>
      </c>
      <c r="GD85" s="591">
        <v>10.148</v>
      </c>
      <c r="GE85" s="591">
        <v>0</v>
      </c>
      <c r="GF85" s="591">
        <v>0</v>
      </c>
      <c r="GG85" s="591">
        <v>0</v>
      </c>
      <c r="GH85" s="591">
        <v>0</v>
      </c>
      <c r="GI85" s="591">
        <v>0</v>
      </c>
      <c r="GJ85" s="591">
        <v>0</v>
      </c>
      <c r="GK85" s="591">
        <v>0</v>
      </c>
      <c r="GL85" s="591">
        <v>0</v>
      </c>
      <c r="GM85" s="591">
        <v>0</v>
      </c>
      <c r="GN85" s="591">
        <v>0</v>
      </c>
      <c r="GO85" s="591">
        <v>0</v>
      </c>
      <c r="GP85" s="591">
        <v>0</v>
      </c>
      <c r="GQ85" s="591">
        <v>0</v>
      </c>
      <c r="GR85" s="591">
        <v>0</v>
      </c>
      <c r="GS85" s="591">
        <v>0</v>
      </c>
      <c r="GT85" s="591">
        <v>0</v>
      </c>
      <c r="GU85" s="591">
        <v>0</v>
      </c>
      <c r="GV85" s="591">
        <v>0</v>
      </c>
      <c r="GW85" s="591">
        <v>0</v>
      </c>
      <c r="GX85" s="591">
        <v>0</v>
      </c>
      <c r="GY85" s="591">
        <v>0</v>
      </c>
      <c r="GZ85" s="591">
        <v>0</v>
      </c>
      <c r="HA85" s="591">
        <v>0</v>
      </c>
      <c r="HB85" s="591">
        <v>260009272</v>
      </c>
      <c r="HC85" s="591">
        <v>5.1774999999999995E-2</v>
      </c>
      <c r="HD85" s="591">
        <v>19607</v>
      </c>
      <c r="HE85" s="591">
        <v>0</v>
      </c>
      <c r="HF85" s="591">
        <v>103082</v>
      </c>
      <c r="HG85" s="591">
        <v>3387</v>
      </c>
      <c r="HH85" s="591">
        <v>0</v>
      </c>
      <c r="HI85" s="591">
        <v>0</v>
      </c>
      <c r="HJ85" s="591">
        <v>1052</v>
      </c>
      <c r="HK85" s="591">
        <v>1173</v>
      </c>
      <c r="HL85" s="591">
        <v>675</v>
      </c>
      <c r="HM85" s="591">
        <v>3000</v>
      </c>
      <c r="HN85" s="591">
        <v>0</v>
      </c>
      <c r="HO85" s="591">
        <v>0</v>
      </c>
      <c r="HP85" s="591">
        <v>12756</v>
      </c>
      <c r="HQ85" s="591">
        <v>0</v>
      </c>
      <c r="HR85" s="591">
        <v>0</v>
      </c>
      <c r="HS85" s="591">
        <v>1037620</v>
      </c>
      <c r="HT85" s="591">
        <v>0</v>
      </c>
      <c r="HU85" s="591">
        <v>0</v>
      </c>
      <c r="HV85" s="591">
        <v>0</v>
      </c>
      <c r="HW85" s="591">
        <v>0</v>
      </c>
      <c r="HX85" s="591">
        <v>30</v>
      </c>
      <c r="HY85" s="591">
        <v>21</v>
      </c>
      <c r="HZ85" s="591">
        <v>20</v>
      </c>
      <c r="IA85" s="591">
        <v>10</v>
      </c>
      <c r="IB85" s="591">
        <v>42</v>
      </c>
      <c r="IC85" s="591">
        <v>123</v>
      </c>
      <c r="ID85" s="591">
        <v>0</v>
      </c>
      <c r="IE85" s="591">
        <v>0</v>
      </c>
      <c r="IF85" s="591">
        <v>0</v>
      </c>
      <c r="IG85" s="591">
        <v>5.5</v>
      </c>
      <c r="IH85" s="591">
        <v>0</v>
      </c>
      <c r="II85" s="591">
        <v>46.385000000000005</v>
      </c>
      <c r="IJ85" s="591">
        <v>3.5</v>
      </c>
      <c r="IK85" s="591">
        <v>0</v>
      </c>
      <c r="IL85" s="591">
        <v>0</v>
      </c>
      <c r="IM85" s="591">
        <v>1</v>
      </c>
      <c r="IN85" s="591">
        <v>0</v>
      </c>
      <c r="IO85" s="591">
        <v>1</v>
      </c>
      <c r="IP85" s="591">
        <v>46.385000000000005</v>
      </c>
      <c r="IQ85" s="591">
        <v>3.5</v>
      </c>
      <c r="IR85" s="591">
        <v>2156</v>
      </c>
      <c r="IS85" s="591">
        <v>0</v>
      </c>
      <c r="IT85" s="591">
        <v>0</v>
      </c>
      <c r="IU85" s="591">
        <v>3000</v>
      </c>
      <c r="IV85" s="591">
        <v>0</v>
      </c>
      <c r="IW85" s="591">
        <v>6159</v>
      </c>
      <c r="IX85" s="591">
        <v>0</v>
      </c>
      <c r="IY85" s="591">
        <v>0</v>
      </c>
      <c r="IZ85" s="591">
        <v>12756</v>
      </c>
      <c r="JA85" s="591">
        <v>0</v>
      </c>
      <c r="JB85" s="591">
        <v>0</v>
      </c>
      <c r="JC85" s="591">
        <v>0</v>
      </c>
      <c r="JD85" s="591">
        <v>0</v>
      </c>
      <c r="JE85" s="591">
        <v>0</v>
      </c>
      <c r="JF85" s="591">
        <v>0</v>
      </c>
      <c r="JG85" s="591">
        <v>0</v>
      </c>
      <c r="JH85" s="591">
        <v>0</v>
      </c>
      <c r="JI85" s="591">
        <v>0</v>
      </c>
      <c r="JJ85" s="591">
        <v>0</v>
      </c>
      <c r="JK85" s="591">
        <v>0</v>
      </c>
      <c r="JL85" s="591">
        <v>0</v>
      </c>
      <c r="JM85" s="591">
        <v>0</v>
      </c>
      <c r="JN85" s="591">
        <v>32469</v>
      </c>
    </row>
    <row r="86" spans="1:274" x14ac:dyDescent="0.25">
      <c r="A86" s="591">
        <v>32570</v>
      </c>
      <c r="B86" s="591">
        <v>84802</v>
      </c>
      <c r="C86" s="591">
        <v>9</v>
      </c>
      <c r="D86" s="591">
        <v>2022</v>
      </c>
      <c r="E86" s="591">
        <v>6159</v>
      </c>
      <c r="F86" s="591">
        <v>0</v>
      </c>
      <c r="G86" s="591">
        <v>1212.873</v>
      </c>
      <c r="H86" s="591">
        <v>1160.0710000000001</v>
      </c>
      <c r="I86" s="591">
        <v>1160.0710000000001</v>
      </c>
      <c r="J86" s="591">
        <v>1212.873</v>
      </c>
      <c r="K86" s="591">
        <v>0</v>
      </c>
      <c r="L86" s="591">
        <v>6159</v>
      </c>
      <c r="M86" s="591">
        <v>0</v>
      </c>
      <c r="N86" s="591">
        <v>0</v>
      </c>
      <c r="O86" s="591">
        <v>0</v>
      </c>
      <c r="P86" s="591">
        <v>1198.9580000000001</v>
      </c>
      <c r="Q86" s="591">
        <v>0</v>
      </c>
      <c r="R86" s="591">
        <v>482494</v>
      </c>
      <c r="S86" s="591">
        <v>402.428</v>
      </c>
      <c r="T86" s="591">
        <v>0</v>
      </c>
      <c r="U86" s="591">
        <v>0</v>
      </c>
      <c r="V86" s="591">
        <v>217.38200000000001</v>
      </c>
      <c r="W86" s="591">
        <v>133887</v>
      </c>
      <c r="X86" s="591">
        <v>133887</v>
      </c>
      <c r="Y86" s="591">
        <v>0</v>
      </c>
      <c r="Z86" s="591">
        <v>0</v>
      </c>
      <c r="AA86" s="591">
        <v>0</v>
      </c>
      <c r="AB86" s="591">
        <v>0</v>
      </c>
      <c r="AC86" s="591">
        <v>0</v>
      </c>
      <c r="AD86" s="591" t="s">
        <v>316</v>
      </c>
      <c r="AE86" s="591">
        <v>0</v>
      </c>
      <c r="AF86" s="591">
        <v>0</v>
      </c>
      <c r="AG86" s="591">
        <v>0</v>
      </c>
      <c r="AH86" s="591">
        <v>0</v>
      </c>
      <c r="AI86" s="591">
        <v>0</v>
      </c>
      <c r="AJ86" s="591">
        <v>6159</v>
      </c>
      <c r="AK86" s="591" t="s">
        <v>671</v>
      </c>
      <c r="AL86" s="591" t="s">
        <v>343</v>
      </c>
      <c r="AM86" s="591">
        <v>0</v>
      </c>
      <c r="AN86" s="591">
        <v>0</v>
      </c>
      <c r="AO86" s="591">
        <v>0</v>
      </c>
      <c r="AP86" s="591">
        <v>0</v>
      </c>
      <c r="AQ86" s="591">
        <v>0</v>
      </c>
      <c r="AR86" s="591">
        <v>0</v>
      </c>
      <c r="AS86" s="591">
        <v>0</v>
      </c>
      <c r="AT86" s="591">
        <v>0</v>
      </c>
      <c r="AU86" s="591">
        <v>0</v>
      </c>
      <c r="AV86" s="591">
        <v>0</v>
      </c>
      <c r="AW86" s="591">
        <v>12744437</v>
      </c>
      <c r="AX86" s="591">
        <v>12528152</v>
      </c>
      <c r="AY86" s="591">
        <v>0</v>
      </c>
      <c r="AZ86" s="591">
        <v>482494</v>
      </c>
      <c r="BA86" s="591">
        <v>0</v>
      </c>
      <c r="BB86" s="591">
        <v>0</v>
      </c>
      <c r="BC86" s="591">
        <v>0</v>
      </c>
      <c r="BD86" s="591">
        <v>9</v>
      </c>
      <c r="BE86" s="591">
        <v>166</v>
      </c>
      <c r="BF86" s="591">
        <v>11563366</v>
      </c>
      <c r="BG86" s="591">
        <v>0</v>
      </c>
      <c r="BH86" s="591">
        <v>0</v>
      </c>
      <c r="BI86" s="591">
        <v>0</v>
      </c>
      <c r="BJ86" s="591">
        <v>12</v>
      </c>
      <c r="BK86" s="591">
        <v>0</v>
      </c>
      <c r="BL86" s="591">
        <v>0</v>
      </c>
      <c r="BM86" s="591">
        <v>0</v>
      </c>
      <c r="BN86" s="591">
        <v>0</v>
      </c>
      <c r="BO86" s="591">
        <v>0</v>
      </c>
      <c r="BP86" s="591">
        <v>0</v>
      </c>
      <c r="BQ86" s="591">
        <v>591</v>
      </c>
      <c r="BR86" s="591">
        <v>0</v>
      </c>
      <c r="BS86" s="591">
        <v>0</v>
      </c>
      <c r="BT86" s="591">
        <v>0</v>
      </c>
      <c r="BU86" s="591">
        <v>0</v>
      </c>
      <c r="BV86" s="591">
        <v>0</v>
      </c>
      <c r="BW86" s="591">
        <v>0</v>
      </c>
      <c r="BX86" s="591">
        <v>0</v>
      </c>
      <c r="BY86" s="591">
        <v>0</v>
      </c>
      <c r="BZ86" s="591">
        <v>0</v>
      </c>
      <c r="CA86" s="591">
        <v>0</v>
      </c>
      <c r="CB86" s="591">
        <v>0</v>
      </c>
      <c r="CC86" s="591">
        <v>0</v>
      </c>
      <c r="CD86" s="591">
        <v>0</v>
      </c>
      <c r="CE86" s="591">
        <v>0</v>
      </c>
      <c r="CF86" s="591">
        <v>0</v>
      </c>
      <c r="CG86" s="591">
        <v>0</v>
      </c>
      <c r="CH86" s="591">
        <v>219786</v>
      </c>
      <c r="CI86" s="591">
        <v>0</v>
      </c>
      <c r="CJ86" s="591">
        <v>4</v>
      </c>
      <c r="CK86" s="591">
        <v>0</v>
      </c>
      <c r="CL86" s="591">
        <v>0</v>
      </c>
      <c r="CM86" s="591">
        <v>0</v>
      </c>
      <c r="CN86" s="591">
        <v>0</v>
      </c>
      <c r="CO86" s="591">
        <v>1</v>
      </c>
      <c r="CP86" s="591">
        <v>0</v>
      </c>
      <c r="CQ86" s="591">
        <v>0</v>
      </c>
      <c r="CR86" s="591">
        <v>1212.873</v>
      </c>
      <c r="CS86" s="591">
        <v>0</v>
      </c>
      <c r="CT86" s="591">
        <v>0</v>
      </c>
      <c r="CU86" s="591">
        <v>0</v>
      </c>
      <c r="CV86" s="591">
        <v>0</v>
      </c>
      <c r="CW86" s="591">
        <v>0</v>
      </c>
      <c r="CX86" s="591">
        <v>0</v>
      </c>
      <c r="CY86" s="591">
        <v>0</v>
      </c>
      <c r="CZ86" s="591">
        <v>0</v>
      </c>
      <c r="DA86" s="591">
        <v>0</v>
      </c>
      <c r="DB86" s="591">
        <v>7144973</v>
      </c>
      <c r="DC86" s="591">
        <v>0</v>
      </c>
      <c r="DD86" s="591">
        <v>0</v>
      </c>
      <c r="DE86" s="591">
        <v>1560865</v>
      </c>
      <c r="DF86" s="591">
        <v>1560865</v>
      </c>
      <c r="DG86" s="591">
        <v>253.42500000000001</v>
      </c>
      <c r="DH86" s="591">
        <v>0</v>
      </c>
      <c r="DI86" s="591">
        <v>0</v>
      </c>
      <c r="DJ86" s="591">
        <v>0</v>
      </c>
      <c r="DK86" s="591">
        <v>1084</v>
      </c>
      <c r="DL86" s="591">
        <v>0</v>
      </c>
      <c r="DM86" s="591">
        <v>874077</v>
      </c>
      <c r="DN86" s="591">
        <v>3335</v>
      </c>
      <c r="DO86" s="591">
        <v>0</v>
      </c>
      <c r="DP86" s="591">
        <v>0</v>
      </c>
      <c r="DQ86" s="591">
        <v>0</v>
      </c>
      <c r="DR86" s="591">
        <v>0</v>
      </c>
      <c r="DS86" s="591">
        <v>0</v>
      </c>
      <c r="DT86" s="591">
        <v>0</v>
      </c>
      <c r="DU86" s="591">
        <v>0</v>
      </c>
      <c r="DV86" s="591">
        <v>0</v>
      </c>
      <c r="DW86" s="591">
        <v>0</v>
      </c>
      <c r="DX86" s="591">
        <v>0</v>
      </c>
      <c r="DY86" s="591">
        <v>0</v>
      </c>
      <c r="DZ86" s="591">
        <v>0</v>
      </c>
      <c r="EA86" s="591">
        <v>0</v>
      </c>
      <c r="EB86" s="591">
        <v>0</v>
      </c>
      <c r="EC86" s="591">
        <v>60.442</v>
      </c>
      <c r="ED86" s="591">
        <v>428107</v>
      </c>
      <c r="EE86" s="591">
        <v>0</v>
      </c>
      <c r="EF86" s="591">
        <v>0</v>
      </c>
      <c r="EG86" s="591">
        <v>0</v>
      </c>
      <c r="EH86" s="591">
        <v>449305</v>
      </c>
      <c r="EI86" s="591">
        <v>0</v>
      </c>
      <c r="EJ86" s="591">
        <v>0</v>
      </c>
      <c r="EK86" s="591">
        <v>21.66</v>
      </c>
      <c r="EL86" s="591">
        <v>0</v>
      </c>
      <c r="EM86" s="591">
        <v>0</v>
      </c>
      <c r="EN86" s="591">
        <v>1.5940000000000001</v>
      </c>
      <c r="EO86" s="591">
        <v>0</v>
      </c>
      <c r="EP86" s="591">
        <v>0</v>
      </c>
      <c r="EQ86" s="591">
        <v>23.254000000000001</v>
      </c>
      <c r="ER86" s="591">
        <v>0</v>
      </c>
      <c r="ES86" s="591">
        <v>72.95</v>
      </c>
      <c r="ET86" s="591">
        <v>0</v>
      </c>
      <c r="EU86" s="591">
        <v>0</v>
      </c>
      <c r="EV86" s="591">
        <v>0</v>
      </c>
      <c r="EW86" s="591">
        <v>0</v>
      </c>
      <c r="EX86" s="591">
        <v>0</v>
      </c>
      <c r="EY86" s="591">
        <v>0</v>
      </c>
      <c r="EZ86" s="591">
        <v>11086088</v>
      </c>
      <c r="FA86" s="591">
        <v>0</v>
      </c>
      <c r="FB86" s="591">
        <v>11565081</v>
      </c>
      <c r="FC86" s="591">
        <v>0</v>
      </c>
      <c r="FD86" s="591">
        <v>0</v>
      </c>
      <c r="FE86" s="591">
        <v>1197754</v>
      </c>
      <c r="FF86" s="591">
        <v>244310</v>
      </c>
      <c r="FG86" s="591">
        <v>6.4728999999999995E-2</v>
      </c>
      <c r="FH86" s="591">
        <v>2.6405999999999999E-2</v>
      </c>
      <c r="FI86" s="591">
        <v>0</v>
      </c>
      <c r="FJ86" s="591">
        <v>0</v>
      </c>
      <c r="FK86" s="591">
        <v>1877.4490000000001</v>
      </c>
      <c r="FL86" s="591">
        <v>13226931</v>
      </c>
      <c r="FM86" s="591">
        <v>0</v>
      </c>
      <c r="FN86" s="591">
        <v>0</v>
      </c>
      <c r="FO86" s="591">
        <v>0</v>
      </c>
      <c r="FP86" s="591">
        <v>0</v>
      </c>
      <c r="FQ86" s="591">
        <v>0</v>
      </c>
      <c r="FR86" s="591">
        <v>0</v>
      </c>
      <c r="FS86" s="591">
        <v>0</v>
      </c>
      <c r="FT86" s="591">
        <v>0</v>
      </c>
      <c r="FU86" s="591">
        <v>0</v>
      </c>
      <c r="FV86" s="591">
        <v>0</v>
      </c>
      <c r="FW86" s="591">
        <v>0</v>
      </c>
      <c r="FX86" s="591">
        <v>0</v>
      </c>
      <c r="FY86" s="591">
        <v>0</v>
      </c>
      <c r="FZ86" s="591">
        <v>0</v>
      </c>
      <c r="GA86" s="591">
        <v>0</v>
      </c>
      <c r="GB86" s="591">
        <v>245685</v>
      </c>
      <c r="GC86" s="591">
        <v>245685</v>
      </c>
      <c r="GD86" s="591">
        <v>29.548000000000002</v>
      </c>
      <c r="GE86" s="591">
        <v>0</v>
      </c>
      <c r="GF86" s="591">
        <v>0</v>
      </c>
      <c r="GG86" s="591">
        <v>0</v>
      </c>
      <c r="GH86" s="591">
        <v>0</v>
      </c>
      <c r="GI86" s="591">
        <v>0</v>
      </c>
      <c r="GJ86" s="591">
        <v>0</v>
      </c>
      <c r="GK86" s="591">
        <v>0</v>
      </c>
      <c r="GL86" s="591">
        <v>0</v>
      </c>
      <c r="GM86" s="591">
        <v>0</v>
      </c>
      <c r="GN86" s="591">
        <v>0</v>
      </c>
      <c r="GO86" s="591">
        <v>0</v>
      </c>
      <c r="GP86" s="591">
        <v>0</v>
      </c>
      <c r="GQ86" s="591">
        <v>0</v>
      </c>
      <c r="GR86" s="591">
        <v>0</v>
      </c>
      <c r="GS86" s="591">
        <v>0</v>
      </c>
      <c r="GT86" s="591">
        <v>0</v>
      </c>
      <c r="GU86" s="591">
        <v>0</v>
      </c>
      <c r="GV86" s="591">
        <v>0</v>
      </c>
      <c r="GW86" s="591">
        <v>0</v>
      </c>
      <c r="GX86" s="591">
        <v>0</v>
      </c>
      <c r="GY86" s="591">
        <v>0</v>
      </c>
      <c r="GZ86" s="591">
        <v>0</v>
      </c>
      <c r="HA86" s="591">
        <v>0</v>
      </c>
      <c r="HB86" s="591">
        <v>260009272</v>
      </c>
      <c r="HC86" s="591">
        <v>5.1774999999999995E-2</v>
      </c>
      <c r="HD86" s="591">
        <v>219786</v>
      </c>
      <c r="HE86" s="591">
        <v>0</v>
      </c>
      <c r="HF86" s="591">
        <v>1274918</v>
      </c>
      <c r="HG86" s="591">
        <v>24328</v>
      </c>
      <c r="HH86" s="591">
        <v>236509</v>
      </c>
      <c r="HI86" s="591">
        <v>0</v>
      </c>
      <c r="HJ86" s="591">
        <v>11789</v>
      </c>
      <c r="HK86" s="591">
        <v>1295</v>
      </c>
      <c r="HL86" s="591">
        <v>3921</v>
      </c>
      <c r="HM86" s="591">
        <v>44000</v>
      </c>
      <c r="HN86" s="591">
        <v>0</v>
      </c>
      <c r="HO86" s="591">
        <v>9000</v>
      </c>
      <c r="HP86" s="591">
        <v>0</v>
      </c>
      <c r="HQ86" s="591">
        <v>0</v>
      </c>
      <c r="HR86" s="591">
        <v>0</v>
      </c>
      <c r="HS86" s="591">
        <v>11082587</v>
      </c>
      <c r="HT86" s="591">
        <v>0</v>
      </c>
      <c r="HU86" s="591">
        <v>0</v>
      </c>
      <c r="HV86" s="591">
        <v>0</v>
      </c>
      <c r="HW86" s="591">
        <v>0</v>
      </c>
      <c r="HX86" s="591">
        <v>188</v>
      </c>
      <c r="HY86" s="591">
        <v>175</v>
      </c>
      <c r="HZ86" s="591">
        <v>243</v>
      </c>
      <c r="IA86" s="591">
        <v>271</v>
      </c>
      <c r="IB86" s="591">
        <v>137</v>
      </c>
      <c r="IC86" s="591">
        <v>1014</v>
      </c>
      <c r="ID86" s="591">
        <v>0</v>
      </c>
      <c r="IE86" s="591">
        <v>0</v>
      </c>
      <c r="IF86" s="591">
        <v>0</v>
      </c>
      <c r="IG86" s="591">
        <v>39.5</v>
      </c>
      <c r="IH86" s="591">
        <v>384</v>
      </c>
      <c r="II86" s="591">
        <v>0</v>
      </c>
      <c r="IJ86" s="591">
        <v>217.38200000000001</v>
      </c>
      <c r="IK86" s="591">
        <v>0</v>
      </c>
      <c r="IL86" s="591">
        <v>4</v>
      </c>
      <c r="IM86" s="591">
        <v>8</v>
      </c>
      <c r="IN86" s="591">
        <v>0</v>
      </c>
      <c r="IO86" s="591">
        <v>12</v>
      </c>
      <c r="IP86" s="591">
        <v>0</v>
      </c>
      <c r="IQ86" s="591">
        <v>217.38200000000001</v>
      </c>
      <c r="IR86" s="591">
        <v>133887</v>
      </c>
      <c r="IS86" s="591">
        <v>0</v>
      </c>
      <c r="IT86" s="591">
        <v>20000</v>
      </c>
      <c r="IU86" s="591">
        <v>24000</v>
      </c>
      <c r="IV86" s="591">
        <v>0</v>
      </c>
      <c r="IW86" s="591">
        <v>6159</v>
      </c>
      <c r="IX86" s="591">
        <v>0</v>
      </c>
      <c r="IY86" s="591">
        <v>0</v>
      </c>
      <c r="IZ86" s="591">
        <v>0</v>
      </c>
      <c r="JA86" s="591">
        <v>0</v>
      </c>
      <c r="JB86" s="591">
        <v>0</v>
      </c>
      <c r="JC86" s="591">
        <v>0</v>
      </c>
      <c r="JD86" s="591">
        <v>0</v>
      </c>
      <c r="JE86" s="591">
        <v>0</v>
      </c>
      <c r="JF86" s="591">
        <v>0</v>
      </c>
      <c r="JG86" s="591">
        <v>0</v>
      </c>
      <c r="JH86" s="591">
        <v>0</v>
      </c>
      <c r="JI86" s="591">
        <v>0</v>
      </c>
      <c r="JJ86" s="591">
        <v>0</v>
      </c>
      <c r="JK86" s="591">
        <v>0</v>
      </c>
      <c r="JL86" s="591">
        <v>0</v>
      </c>
      <c r="JM86" s="591">
        <v>0</v>
      </c>
      <c r="JN86" s="591">
        <v>32469</v>
      </c>
    </row>
    <row r="87" spans="1:274" x14ac:dyDescent="0.25">
      <c r="A87" s="591">
        <v>32570</v>
      </c>
      <c r="B87" s="591">
        <v>84804</v>
      </c>
      <c r="C87" s="591">
        <v>9</v>
      </c>
      <c r="D87" s="591">
        <v>2022</v>
      </c>
      <c r="E87" s="591">
        <v>6159</v>
      </c>
      <c r="F87" s="591">
        <v>0</v>
      </c>
      <c r="G87" s="591">
        <v>216.328</v>
      </c>
      <c r="H87" s="591">
        <v>212.72800000000001</v>
      </c>
      <c r="I87" s="591">
        <v>212.72800000000001</v>
      </c>
      <c r="J87" s="591">
        <v>216.328</v>
      </c>
      <c r="K87" s="591">
        <v>0</v>
      </c>
      <c r="L87" s="591">
        <v>6159</v>
      </c>
      <c r="M87" s="591">
        <v>0</v>
      </c>
      <c r="N87" s="591">
        <v>0</v>
      </c>
      <c r="O87" s="591">
        <v>0</v>
      </c>
      <c r="P87" s="591">
        <v>207.84200000000001</v>
      </c>
      <c r="Q87" s="591">
        <v>0</v>
      </c>
      <c r="R87" s="591">
        <v>83641</v>
      </c>
      <c r="S87" s="591">
        <v>402.428</v>
      </c>
      <c r="T87" s="591">
        <v>0</v>
      </c>
      <c r="U87" s="591">
        <v>0</v>
      </c>
      <c r="V87" s="591">
        <v>0</v>
      </c>
      <c r="W87" s="591">
        <v>0</v>
      </c>
      <c r="X87" s="591">
        <v>0</v>
      </c>
      <c r="Y87" s="591">
        <v>0</v>
      </c>
      <c r="Z87" s="591">
        <v>0</v>
      </c>
      <c r="AA87" s="591">
        <v>0</v>
      </c>
      <c r="AB87" s="591">
        <v>0</v>
      </c>
      <c r="AC87" s="591">
        <v>0</v>
      </c>
      <c r="AD87" s="591" t="s">
        <v>316</v>
      </c>
      <c r="AE87" s="591">
        <v>0</v>
      </c>
      <c r="AF87" s="591">
        <v>0</v>
      </c>
      <c r="AG87" s="591">
        <v>0</v>
      </c>
      <c r="AH87" s="591">
        <v>0</v>
      </c>
      <c r="AI87" s="591">
        <v>0</v>
      </c>
      <c r="AJ87" s="591">
        <v>6159</v>
      </c>
      <c r="AK87" s="591" t="s">
        <v>671</v>
      </c>
      <c r="AL87" s="591" t="s">
        <v>65</v>
      </c>
      <c r="AM87" s="591">
        <v>0</v>
      </c>
      <c r="AN87" s="591">
        <v>0</v>
      </c>
      <c r="AO87" s="591">
        <v>0</v>
      </c>
      <c r="AP87" s="591">
        <v>0</v>
      </c>
      <c r="AQ87" s="591">
        <v>0</v>
      </c>
      <c r="AR87" s="591">
        <v>0</v>
      </c>
      <c r="AS87" s="591">
        <v>0</v>
      </c>
      <c r="AT87" s="591">
        <v>0</v>
      </c>
      <c r="AU87" s="591">
        <v>0</v>
      </c>
      <c r="AV87" s="591">
        <v>0</v>
      </c>
      <c r="AW87" s="591">
        <v>2300146</v>
      </c>
      <c r="AX87" s="591">
        <v>2261239</v>
      </c>
      <c r="AY87" s="591">
        <v>0</v>
      </c>
      <c r="AZ87" s="591">
        <v>83641</v>
      </c>
      <c r="BA87" s="591">
        <v>0</v>
      </c>
      <c r="BB87" s="591">
        <v>0</v>
      </c>
      <c r="BC87" s="591">
        <v>0</v>
      </c>
      <c r="BD87" s="591">
        <v>1.851</v>
      </c>
      <c r="BE87" s="591">
        <v>30</v>
      </c>
      <c r="BF87" s="591">
        <v>2084876</v>
      </c>
      <c r="BG87" s="591">
        <v>0</v>
      </c>
      <c r="BH87" s="591">
        <v>0</v>
      </c>
      <c r="BI87" s="591">
        <v>0</v>
      </c>
      <c r="BJ87" s="591">
        <v>12</v>
      </c>
      <c r="BK87" s="591">
        <v>0</v>
      </c>
      <c r="BL87" s="591">
        <v>0</v>
      </c>
      <c r="BM87" s="591">
        <v>0</v>
      </c>
      <c r="BN87" s="591">
        <v>0</v>
      </c>
      <c r="BO87" s="591">
        <v>0</v>
      </c>
      <c r="BP87" s="591">
        <v>0</v>
      </c>
      <c r="BQ87" s="591">
        <v>737</v>
      </c>
      <c r="BR87" s="591">
        <v>0</v>
      </c>
      <c r="BS87" s="591">
        <v>0</v>
      </c>
      <c r="BT87" s="591">
        <v>0</v>
      </c>
      <c r="BU87" s="591">
        <v>0</v>
      </c>
      <c r="BV87" s="591">
        <v>0</v>
      </c>
      <c r="BW87" s="591">
        <v>0</v>
      </c>
      <c r="BX87" s="591">
        <v>0</v>
      </c>
      <c r="BY87" s="591">
        <v>0</v>
      </c>
      <c r="BZ87" s="591">
        <v>0</v>
      </c>
      <c r="CA87" s="591">
        <v>0</v>
      </c>
      <c r="CB87" s="591">
        <v>0</v>
      </c>
      <c r="CC87" s="591">
        <v>0</v>
      </c>
      <c r="CD87" s="591">
        <v>0</v>
      </c>
      <c r="CE87" s="591">
        <v>0</v>
      </c>
      <c r="CF87" s="591">
        <v>0</v>
      </c>
      <c r="CG87" s="591">
        <v>0</v>
      </c>
      <c r="CH87" s="591">
        <v>39201</v>
      </c>
      <c r="CI87" s="591">
        <v>0</v>
      </c>
      <c r="CJ87" s="591">
        <v>4</v>
      </c>
      <c r="CK87" s="591">
        <v>0</v>
      </c>
      <c r="CL87" s="591">
        <v>0</v>
      </c>
      <c r="CM87" s="591">
        <v>0</v>
      </c>
      <c r="CN87" s="591">
        <v>0</v>
      </c>
      <c r="CO87" s="591">
        <v>1</v>
      </c>
      <c r="CP87" s="591">
        <v>0</v>
      </c>
      <c r="CQ87" s="591">
        <v>0</v>
      </c>
      <c r="CR87" s="591">
        <v>216.328</v>
      </c>
      <c r="CS87" s="591">
        <v>0</v>
      </c>
      <c r="CT87" s="591">
        <v>0</v>
      </c>
      <c r="CU87" s="591">
        <v>0</v>
      </c>
      <c r="CV87" s="591">
        <v>0</v>
      </c>
      <c r="CW87" s="591">
        <v>0</v>
      </c>
      <c r="CX87" s="591">
        <v>0</v>
      </c>
      <c r="CY87" s="591">
        <v>0</v>
      </c>
      <c r="CZ87" s="591">
        <v>0</v>
      </c>
      <c r="DA87" s="591">
        <v>0</v>
      </c>
      <c r="DB87" s="591">
        <v>1310209</v>
      </c>
      <c r="DC87" s="591">
        <v>0</v>
      </c>
      <c r="DD87" s="591">
        <v>0</v>
      </c>
      <c r="DE87" s="591">
        <v>387560</v>
      </c>
      <c r="DF87" s="591">
        <v>387560</v>
      </c>
      <c r="DG87" s="591">
        <v>62.925000000000004</v>
      </c>
      <c r="DH87" s="591">
        <v>0</v>
      </c>
      <c r="DI87" s="591">
        <v>0</v>
      </c>
      <c r="DJ87" s="591">
        <v>0</v>
      </c>
      <c r="DK87" s="591">
        <v>3418</v>
      </c>
      <c r="DL87" s="591">
        <v>0</v>
      </c>
      <c r="DM87" s="591">
        <v>69198</v>
      </c>
      <c r="DN87" s="591">
        <v>264</v>
      </c>
      <c r="DO87" s="591">
        <v>0</v>
      </c>
      <c r="DP87" s="591">
        <v>0</v>
      </c>
      <c r="DQ87" s="591">
        <v>0</v>
      </c>
      <c r="DR87" s="591">
        <v>0</v>
      </c>
      <c r="DS87" s="591">
        <v>0</v>
      </c>
      <c r="DT87" s="591">
        <v>0</v>
      </c>
      <c r="DU87" s="591">
        <v>0</v>
      </c>
      <c r="DV87" s="591">
        <v>0</v>
      </c>
      <c r="DW87" s="591">
        <v>0</v>
      </c>
      <c r="DX87" s="591">
        <v>0</v>
      </c>
      <c r="DY87" s="591">
        <v>0</v>
      </c>
      <c r="DZ87" s="591">
        <v>0</v>
      </c>
      <c r="EA87" s="591">
        <v>0</v>
      </c>
      <c r="EB87" s="591">
        <v>0</v>
      </c>
      <c r="EC87" s="591">
        <v>0</v>
      </c>
      <c r="ED87" s="591">
        <v>0</v>
      </c>
      <c r="EE87" s="591">
        <v>0</v>
      </c>
      <c r="EF87" s="591">
        <v>0</v>
      </c>
      <c r="EG87" s="591">
        <v>0</v>
      </c>
      <c r="EH87" s="591">
        <v>69462</v>
      </c>
      <c r="EI87" s="591">
        <v>0</v>
      </c>
      <c r="EJ87" s="591">
        <v>0</v>
      </c>
      <c r="EK87" s="591">
        <v>3.3610000000000002</v>
      </c>
      <c r="EL87" s="591">
        <v>0</v>
      </c>
      <c r="EM87" s="591">
        <v>0</v>
      </c>
      <c r="EN87" s="591">
        <v>0.23900000000000002</v>
      </c>
      <c r="EO87" s="591">
        <v>0</v>
      </c>
      <c r="EP87" s="591">
        <v>0</v>
      </c>
      <c r="EQ87" s="591">
        <v>3.6</v>
      </c>
      <c r="ER87" s="591">
        <v>0</v>
      </c>
      <c r="ES87" s="591">
        <v>11.278</v>
      </c>
      <c r="ET87" s="591">
        <v>0</v>
      </c>
      <c r="EU87" s="591">
        <v>0</v>
      </c>
      <c r="EV87" s="591">
        <v>0</v>
      </c>
      <c r="EW87" s="591">
        <v>0</v>
      </c>
      <c r="EX87" s="591">
        <v>0</v>
      </c>
      <c r="EY87" s="591">
        <v>0</v>
      </c>
      <c r="EZ87" s="591">
        <v>2001235</v>
      </c>
      <c r="FA87" s="591">
        <v>0</v>
      </c>
      <c r="FB87" s="591">
        <v>2084582</v>
      </c>
      <c r="FC87" s="591">
        <v>0</v>
      </c>
      <c r="FD87" s="591">
        <v>0</v>
      </c>
      <c r="FE87" s="591">
        <v>215955</v>
      </c>
      <c r="FF87" s="591">
        <v>44049</v>
      </c>
      <c r="FG87" s="591">
        <v>6.4728999999999995E-2</v>
      </c>
      <c r="FH87" s="591">
        <v>2.6405999999999999E-2</v>
      </c>
      <c r="FI87" s="591">
        <v>0</v>
      </c>
      <c r="FJ87" s="591">
        <v>0</v>
      </c>
      <c r="FK87" s="591">
        <v>338.50400000000002</v>
      </c>
      <c r="FL87" s="591">
        <v>2383787</v>
      </c>
      <c r="FM87" s="591">
        <v>0</v>
      </c>
      <c r="FN87" s="591">
        <v>0</v>
      </c>
      <c r="FO87" s="591">
        <v>0</v>
      </c>
      <c r="FP87" s="591">
        <v>0</v>
      </c>
      <c r="FQ87" s="591">
        <v>0</v>
      </c>
      <c r="FR87" s="591">
        <v>0</v>
      </c>
      <c r="FS87" s="591">
        <v>0</v>
      </c>
      <c r="FT87" s="591">
        <v>0</v>
      </c>
      <c r="FU87" s="591">
        <v>0</v>
      </c>
      <c r="FV87" s="591">
        <v>0</v>
      </c>
      <c r="FW87" s="591">
        <v>0</v>
      </c>
      <c r="FX87" s="591">
        <v>0</v>
      </c>
      <c r="FY87" s="591">
        <v>0</v>
      </c>
      <c r="FZ87" s="591">
        <v>0</v>
      </c>
      <c r="GA87" s="591">
        <v>0</v>
      </c>
      <c r="GB87" s="591">
        <v>0</v>
      </c>
      <c r="GC87" s="591">
        <v>0</v>
      </c>
      <c r="GD87" s="591">
        <v>0</v>
      </c>
      <c r="GE87" s="591">
        <v>0</v>
      </c>
      <c r="GF87" s="591">
        <v>0</v>
      </c>
      <c r="GG87" s="591">
        <v>0</v>
      </c>
      <c r="GH87" s="591">
        <v>0</v>
      </c>
      <c r="GI87" s="591">
        <v>0</v>
      </c>
      <c r="GJ87" s="591">
        <v>0</v>
      </c>
      <c r="GK87" s="591">
        <v>0</v>
      </c>
      <c r="GL87" s="591">
        <v>0</v>
      </c>
      <c r="GM87" s="591">
        <v>0</v>
      </c>
      <c r="GN87" s="591">
        <v>0</v>
      </c>
      <c r="GO87" s="591">
        <v>0</v>
      </c>
      <c r="GP87" s="591">
        <v>0</v>
      </c>
      <c r="GQ87" s="591">
        <v>0</v>
      </c>
      <c r="GR87" s="591">
        <v>0</v>
      </c>
      <c r="GS87" s="591">
        <v>0</v>
      </c>
      <c r="GT87" s="591">
        <v>0</v>
      </c>
      <c r="GU87" s="591">
        <v>0</v>
      </c>
      <c r="GV87" s="591">
        <v>0</v>
      </c>
      <c r="GW87" s="591">
        <v>0</v>
      </c>
      <c r="GX87" s="591">
        <v>0</v>
      </c>
      <c r="GY87" s="591">
        <v>0</v>
      </c>
      <c r="GZ87" s="591">
        <v>0</v>
      </c>
      <c r="HA87" s="591">
        <v>0</v>
      </c>
      <c r="HB87" s="591">
        <v>260009272</v>
      </c>
      <c r="HC87" s="591">
        <v>5.1774999999999995E-2</v>
      </c>
      <c r="HD87" s="591">
        <v>39201</v>
      </c>
      <c r="HE87" s="591">
        <v>0</v>
      </c>
      <c r="HF87" s="591">
        <v>233788</v>
      </c>
      <c r="HG87" s="591">
        <v>1925</v>
      </c>
      <c r="HH87" s="591">
        <v>70829</v>
      </c>
      <c r="HI87" s="591">
        <v>0</v>
      </c>
      <c r="HJ87" s="591">
        <v>2103</v>
      </c>
      <c r="HK87" s="591">
        <v>0</v>
      </c>
      <c r="HL87" s="591">
        <v>0</v>
      </c>
      <c r="HM87" s="591">
        <v>0</v>
      </c>
      <c r="HN87" s="591">
        <v>0</v>
      </c>
      <c r="HO87" s="591">
        <v>9000</v>
      </c>
      <c r="HP87" s="591">
        <v>0</v>
      </c>
      <c r="HQ87" s="591">
        <v>0</v>
      </c>
      <c r="HR87" s="591">
        <v>0</v>
      </c>
      <c r="HS87" s="591">
        <v>2000941</v>
      </c>
      <c r="HT87" s="591">
        <v>0</v>
      </c>
      <c r="HU87" s="591">
        <v>0</v>
      </c>
      <c r="HV87" s="591">
        <v>0</v>
      </c>
      <c r="HW87" s="591">
        <v>0</v>
      </c>
      <c r="HX87" s="591">
        <v>17</v>
      </c>
      <c r="HY87" s="591">
        <v>30</v>
      </c>
      <c r="HZ87" s="591">
        <v>61</v>
      </c>
      <c r="IA87" s="591">
        <v>98</v>
      </c>
      <c r="IB87" s="591">
        <v>40</v>
      </c>
      <c r="IC87" s="591">
        <v>246</v>
      </c>
      <c r="ID87" s="591">
        <v>0</v>
      </c>
      <c r="IE87" s="591">
        <v>0</v>
      </c>
      <c r="IF87" s="591">
        <v>0</v>
      </c>
      <c r="IG87" s="591">
        <v>3.125</v>
      </c>
      <c r="IH87" s="591">
        <v>115</v>
      </c>
      <c r="II87" s="591">
        <v>0</v>
      </c>
      <c r="IJ87" s="591">
        <v>0</v>
      </c>
      <c r="IK87" s="591">
        <v>0</v>
      </c>
      <c r="IL87" s="591">
        <v>0</v>
      </c>
      <c r="IM87" s="591">
        <v>0</v>
      </c>
      <c r="IN87" s="591">
        <v>0</v>
      </c>
      <c r="IO87" s="591">
        <v>0</v>
      </c>
      <c r="IP87" s="591">
        <v>0</v>
      </c>
      <c r="IQ87" s="591">
        <v>0</v>
      </c>
      <c r="IR87" s="591">
        <v>0</v>
      </c>
      <c r="IS87" s="591">
        <v>0</v>
      </c>
      <c r="IT87" s="591">
        <v>0</v>
      </c>
      <c r="IU87" s="591">
        <v>0</v>
      </c>
      <c r="IV87" s="591">
        <v>0</v>
      </c>
      <c r="IW87" s="591">
        <v>6159</v>
      </c>
      <c r="IX87" s="591">
        <v>0</v>
      </c>
      <c r="IY87" s="591">
        <v>0</v>
      </c>
      <c r="IZ87" s="591">
        <v>0</v>
      </c>
      <c r="JA87" s="591">
        <v>0</v>
      </c>
      <c r="JB87" s="591">
        <v>0</v>
      </c>
      <c r="JC87" s="591">
        <v>0</v>
      </c>
      <c r="JD87" s="591">
        <v>0</v>
      </c>
      <c r="JE87" s="591">
        <v>0</v>
      </c>
      <c r="JF87" s="591">
        <v>0</v>
      </c>
      <c r="JG87" s="591">
        <v>0</v>
      </c>
      <c r="JH87" s="591">
        <v>0</v>
      </c>
      <c r="JI87" s="591">
        <v>0</v>
      </c>
      <c r="JJ87" s="591">
        <v>0</v>
      </c>
      <c r="JK87" s="591">
        <v>0</v>
      </c>
      <c r="JL87" s="591">
        <v>0</v>
      </c>
      <c r="JM87" s="591">
        <v>0</v>
      </c>
      <c r="JN87" s="591">
        <v>32469</v>
      </c>
    </row>
    <row r="88" spans="1:274" x14ac:dyDescent="0.25">
      <c r="A88" s="591">
        <v>32570</v>
      </c>
      <c r="B88" s="591">
        <v>92801</v>
      </c>
      <c r="C88" s="591">
        <v>9</v>
      </c>
      <c r="D88" s="591">
        <v>2022</v>
      </c>
      <c r="E88" s="591">
        <v>6159</v>
      </c>
      <c r="F88" s="591">
        <v>0</v>
      </c>
      <c r="G88" s="591">
        <v>128.22300000000001</v>
      </c>
      <c r="H88" s="591">
        <v>97.364000000000004</v>
      </c>
      <c r="I88" s="591">
        <v>97.364000000000004</v>
      </c>
      <c r="J88" s="591">
        <v>128.22300000000001</v>
      </c>
      <c r="K88" s="591">
        <v>0</v>
      </c>
      <c r="L88" s="591">
        <v>6159</v>
      </c>
      <c r="M88" s="591">
        <v>0</v>
      </c>
      <c r="N88" s="591">
        <v>0</v>
      </c>
      <c r="O88" s="591">
        <v>0</v>
      </c>
      <c r="P88" s="591">
        <v>125.072</v>
      </c>
      <c r="Q88" s="591">
        <v>0</v>
      </c>
      <c r="R88" s="591">
        <v>50332</v>
      </c>
      <c r="S88" s="591">
        <v>402.428</v>
      </c>
      <c r="T88" s="591">
        <v>0</v>
      </c>
      <c r="U88" s="591">
        <v>0</v>
      </c>
      <c r="V88" s="591">
        <v>0</v>
      </c>
      <c r="W88" s="591">
        <v>0</v>
      </c>
      <c r="X88" s="591">
        <v>0</v>
      </c>
      <c r="Y88" s="591">
        <v>0</v>
      </c>
      <c r="Z88" s="591">
        <v>0</v>
      </c>
      <c r="AA88" s="591">
        <v>0</v>
      </c>
      <c r="AB88" s="591">
        <v>0</v>
      </c>
      <c r="AC88" s="591">
        <v>0</v>
      </c>
      <c r="AD88" s="591" t="s">
        <v>316</v>
      </c>
      <c r="AE88" s="591">
        <v>0</v>
      </c>
      <c r="AF88" s="591">
        <v>0</v>
      </c>
      <c r="AG88" s="591">
        <v>0</v>
      </c>
      <c r="AH88" s="591">
        <v>0</v>
      </c>
      <c r="AI88" s="591">
        <v>0</v>
      </c>
      <c r="AJ88" s="591">
        <v>6159</v>
      </c>
      <c r="AK88" s="591" t="s">
        <v>671</v>
      </c>
      <c r="AL88" s="591" t="s">
        <v>28</v>
      </c>
      <c r="AM88" s="591">
        <v>0</v>
      </c>
      <c r="AN88" s="591">
        <v>0</v>
      </c>
      <c r="AO88" s="591">
        <v>0</v>
      </c>
      <c r="AP88" s="591">
        <v>0</v>
      </c>
      <c r="AQ88" s="591">
        <v>0</v>
      </c>
      <c r="AR88" s="591">
        <v>0</v>
      </c>
      <c r="AS88" s="591">
        <v>0</v>
      </c>
      <c r="AT88" s="591">
        <v>0</v>
      </c>
      <c r="AU88" s="591">
        <v>0</v>
      </c>
      <c r="AV88" s="591">
        <v>0</v>
      </c>
      <c r="AW88" s="591">
        <v>1299708</v>
      </c>
      <c r="AX88" s="591">
        <v>1193977</v>
      </c>
      <c r="AY88" s="591">
        <v>0</v>
      </c>
      <c r="AZ88" s="591">
        <v>50332</v>
      </c>
      <c r="BA88" s="591">
        <v>0</v>
      </c>
      <c r="BB88" s="591">
        <v>0</v>
      </c>
      <c r="BC88" s="591">
        <v>0</v>
      </c>
      <c r="BD88" s="591">
        <v>0</v>
      </c>
      <c r="BE88" s="591">
        <v>16</v>
      </c>
      <c r="BF88" s="591">
        <v>1104112</v>
      </c>
      <c r="BG88" s="591">
        <v>0</v>
      </c>
      <c r="BH88" s="591">
        <v>0</v>
      </c>
      <c r="BI88" s="591">
        <v>0</v>
      </c>
      <c r="BJ88" s="591">
        <v>12</v>
      </c>
      <c r="BK88" s="591">
        <v>0</v>
      </c>
      <c r="BL88" s="591">
        <v>0</v>
      </c>
      <c r="BM88" s="591">
        <v>0</v>
      </c>
      <c r="BN88" s="591">
        <v>0</v>
      </c>
      <c r="BO88" s="591">
        <v>0</v>
      </c>
      <c r="BP88" s="591">
        <v>0</v>
      </c>
      <c r="BQ88" s="591">
        <v>755</v>
      </c>
      <c r="BR88" s="591">
        <v>0</v>
      </c>
      <c r="BS88" s="591">
        <v>0</v>
      </c>
      <c r="BT88" s="591">
        <v>0</v>
      </c>
      <c r="BU88" s="591">
        <v>0</v>
      </c>
      <c r="BV88" s="591">
        <v>0</v>
      </c>
      <c r="BW88" s="591">
        <v>0</v>
      </c>
      <c r="BX88" s="591">
        <v>0</v>
      </c>
      <c r="BY88" s="591">
        <v>0</v>
      </c>
      <c r="BZ88" s="591">
        <v>0</v>
      </c>
      <c r="CA88" s="591">
        <v>0</v>
      </c>
      <c r="CB88" s="591">
        <v>0</v>
      </c>
      <c r="CC88" s="591">
        <v>0</v>
      </c>
      <c r="CD88" s="591">
        <v>0</v>
      </c>
      <c r="CE88" s="591">
        <v>0</v>
      </c>
      <c r="CF88" s="591">
        <v>0</v>
      </c>
      <c r="CG88" s="591">
        <v>0</v>
      </c>
      <c r="CH88" s="591">
        <v>105978</v>
      </c>
      <c r="CI88" s="591">
        <v>0</v>
      </c>
      <c r="CJ88" s="591">
        <v>4</v>
      </c>
      <c r="CK88" s="591">
        <v>0</v>
      </c>
      <c r="CL88" s="591">
        <v>0</v>
      </c>
      <c r="CM88" s="591">
        <v>0</v>
      </c>
      <c r="CN88" s="591">
        <v>0</v>
      </c>
      <c r="CO88" s="591">
        <v>1</v>
      </c>
      <c r="CP88" s="591">
        <v>0</v>
      </c>
      <c r="CQ88" s="591">
        <v>0</v>
      </c>
      <c r="CR88" s="591">
        <v>128.22300000000001</v>
      </c>
      <c r="CS88" s="591">
        <v>0</v>
      </c>
      <c r="CT88" s="591">
        <v>0</v>
      </c>
      <c r="CU88" s="591">
        <v>0</v>
      </c>
      <c r="CV88" s="591">
        <v>0</v>
      </c>
      <c r="CW88" s="591">
        <v>0</v>
      </c>
      <c r="CX88" s="591">
        <v>0</v>
      </c>
      <c r="CY88" s="591">
        <v>0</v>
      </c>
      <c r="CZ88" s="591">
        <v>0</v>
      </c>
      <c r="DA88" s="591">
        <v>0</v>
      </c>
      <c r="DB88" s="591">
        <v>581758</v>
      </c>
      <c r="DC88" s="591">
        <v>0</v>
      </c>
      <c r="DD88" s="591">
        <v>0</v>
      </c>
      <c r="DE88" s="591">
        <v>71291</v>
      </c>
      <c r="DF88" s="591">
        <v>71291</v>
      </c>
      <c r="DG88" s="591">
        <v>11.575000000000001</v>
      </c>
      <c r="DH88" s="591">
        <v>0</v>
      </c>
      <c r="DI88" s="591">
        <v>0</v>
      </c>
      <c r="DJ88" s="591">
        <v>0</v>
      </c>
      <c r="DK88" s="591">
        <v>3702</v>
      </c>
      <c r="DL88" s="591">
        <v>0</v>
      </c>
      <c r="DM88" s="591">
        <v>78301</v>
      </c>
      <c r="DN88" s="591">
        <v>230</v>
      </c>
      <c r="DO88" s="591">
        <v>0</v>
      </c>
      <c r="DP88" s="591">
        <v>0</v>
      </c>
      <c r="DQ88" s="591">
        <v>0</v>
      </c>
      <c r="DR88" s="591">
        <v>0</v>
      </c>
      <c r="DS88" s="591">
        <v>0</v>
      </c>
      <c r="DT88" s="591">
        <v>0</v>
      </c>
      <c r="DU88" s="591">
        <v>0</v>
      </c>
      <c r="DV88" s="591">
        <v>0</v>
      </c>
      <c r="DW88" s="591">
        <v>0</v>
      </c>
      <c r="DX88" s="591">
        <v>0</v>
      </c>
      <c r="DY88" s="591">
        <v>0</v>
      </c>
      <c r="DZ88" s="591">
        <v>0</v>
      </c>
      <c r="EA88" s="591">
        <v>0</v>
      </c>
      <c r="EB88" s="591">
        <v>0</v>
      </c>
      <c r="EC88" s="591">
        <v>8.5579999999999998</v>
      </c>
      <c r="ED88" s="591">
        <v>60616</v>
      </c>
      <c r="EE88" s="591">
        <v>0</v>
      </c>
      <c r="EF88" s="591">
        <v>0</v>
      </c>
      <c r="EG88" s="591">
        <v>0</v>
      </c>
      <c r="EH88" s="591">
        <v>0</v>
      </c>
      <c r="EI88" s="591">
        <v>0</v>
      </c>
      <c r="EJ88" s="591">
        <v>0</v>
      </c>
      <c r="EK88" s="591">
        <v>0</v>
      </c>
      <c r="EL88" s="591">
        <v>0</v>
      </c>
      <c r="EM88" s="591">
        <v>0</v>
      </c>
      <c r="EN88" s="591">
        <v>0</v>
      </c>
      <c r="EO88" s="591">
        <v>0</v>
      </c>
      <c r="EP88" s="591">
        <v>0</v>
      </c>
      <c r="EQ88" s="591">
        <v>0</v>
      </c>
      <c r="ER88" s="591">
        <v>0</v>
      </c>
      <c r="ES88" s="591">
        <v>0</v>
      </c>
      <c r="ET88" s="591">
        <v>0</v>
      </c>
      <c r="EU88" s="591">
        <v>0</v>
      </c>
      <c r="EV88" s="591">
        <v>0</v>
      </c>
      <c r="EW88" s="591">
        <v>0</v>
      </c>
      <c r="EX88" s="591">
        <v>0</v>
      </c>
      <c r="EY88" s="591">
        <v>0</v>
      </c>
      <c r="EZ88" s="591">
        <v>1056283</v>
      </c>
      <c r="FA88" s="591">
        <v>0</v>
      </c>
      <c r="FB88" s="591">
        <v>1106369</v>
      </c>
      <c r="FC88" s="591">
        <v>0</v>
      </c>
      <c r="FD88" s="591">
        <v>0</v>
      </c>
      <c r="FE88" s="591">
        <v>114366</v>
      </c>
      <c r="FF88" s="591">
        <v>23328</v>
      </c>
      <c r="FG88" s="591">
        <v>6.4728999999999995E-2</v>
      </c>
      <c r="FH88" s="591">
        <v>2.6405999999999999E-2</v>
      </c>
      <c r="FI88" s="591">
        <v>0</v>
      </c>
      <c r="FJ88" s="591">
        <v>0</v>
      </c>
      <c r="FK88" s="591">
        <v>179.26600000000002</v>
      </c>
      <c r="FL88" s="591">
        <v>1350040</v>
      </c>
      <c r="FM88" s="591">
        <v>0</v>
      </c>
      <c r="FN88" s="591">
        <v>0</v>
      </c>
      <c r="FO88" s="591">
        <v>0</v>
      </c>
      <c r="FP88" s="591">
        <v>0</v>
      </c>
      <c r="FQ88" s="591">
        <v>0</v>
      </c>
      <c r="FR88" s="591">
        <v>0</v>
      </c>
      <c r="FS88" s="591">
        <v>0</v>
      </c>
      <c r="FT88" s="591">
        <v>0</v>
      </c>
      <c r="FU88" s="591">
        <v>0</v>
      </c>
      <c r="FV88" s="591">
        <v>0</v>
      </c>
      <c r="FW88" s="591">
        <v>0</v>
      </c>
      <c r="FX88" s="591">
        <v>0</v>
      </c>
      <c r="FY88" s="591">
        <v>0</v>
      </c>
      <c r="FZ88" s="591">
        <v>0</v>
      </c>
      <c r="GA88" s="591">
        <v>0</v>
      </c>
      <c r="GB88" s="591">
        <v>256585</v>
      </c>
      <c r="GC88" s="591">
        <v>256585</v>
      </c>
      <c r="GD88" s="591">
        <v>30.859000000000002</v>
      </c>
      <c r="GE88" s="591">
        <v>0</v>
      </c>
      <c r="GF88" s="591">
        <v>0</v>
      </c>
      <c r="GG88" s="591">
        <v>0</v>
      </c>
      <c r="GH88" s="591">
        <v>0</v>
      </c>
      <c r="GI88" s="591">
        <v>0</v>
      </c>
      <c r="GJ88" s="591">
        <v>0</v>
      </c>
      <c r="GK88" s="591">
        <v>0</v>
      </c>
      <c r="GL88" s="591">
        <v>0</v>
      </c>
      <c r="GM88" s="591">
        <v>0</v>
      </c>
      <c r="GN88" s="591">
        <v>0</v>
      </c>
      <c r="GO88" s="591">
        <v>0</v>
      </c>
      <c r="GP88" s="591">
        <v>0</v>
      </c>
      <c r="GQ88" s="591">
        <v>0</v>
      </c>
      <c r="GR88" s="591">
        <v>0</v>
      </c>
      <c r="GS88" s="591">
        <v>0</v>
      </c>
      <c r="GT88" s="591">
        <v>0</v>
      </c>
      <c r="GU88" s="591">
        <v>0</v>
      </c>
      <c r="GV88" s="591">
        <v>0</v>
      </c>
      <c r="GW88" s="591">
        <v>0</v>
      </c>
      <c r="GX88" s="591">
        <v>0</v>
      </c>
      <c r="GY88" s="591">
        <v>0</v>
      </c>
      <c r="GZ88" s="591">
        <v>0</v>
      </c>
      <c r="HA88" s="591">
        <v>0</v>
      </c>
      <c r="HB88" s="591">
        <v>260009272</v>
      </c>
      <c r="HC88" s="591">
        <v>5.1774999999999995E-2</v>
      </c>
      <c r="HD88" s="591">
        <v>23235</v>
      </c>
      <c r="HE88" s="591">
        <v>0</v>
      </c>
      <c r="HF88" s="591">
        <v>107003</v>
      </c>
      <c r="HG88" s="591">
        <v>7698</v>
      </c>
      <c r="HH88" s="591">
        <v>0</v>
      </c>
      <c r="HI88" s="591">
        <v>0</v>
      </c>
      <c r="HJ88" s="591">
        <v>1246</v>
      </c>
      <c r="HK88" s="591">
        <v>1435</v>
      </c>
      <c r="HL88" s="591">
        <v>1068</v>
      </c>
      <c r="HM88" s="591">
        <v>0</v>
      </c>
      <c r="HN88" s="591">
        <v>0</v>
      </c>
      <c r="HO88" s="591">
        <v>0</v>
      </c>
      <c r="HP88" s="591">
        <v>0</v>
      </c>
      <c r="HQ88" s="591">
        <v>0</v>
      </c>
      <c r="HR88" s="591">
        <v>0</v>
      </c>
      <c r="HS88" s="591">
        <v>1056037</v>
      </c>
      <c r="HT88" s="591">
        <v>0</v>
      </c>
      <c r="HU88" s="591">
        <v>82743</v>
      </c>
      <c r="HV88" s="591">
        <v>0</v>
      </c>
      <c r="HW88" s="591">
        <v>0</v>
      </c>
      <c r="HX88" s="591">
        <v>11</v>
      </c>
      <c r="HY88" s="591">
        <v>14</v>
      </c>
      <c r="HZ88" s="591">
        <v>7</v>
      </c>
      <c r="IA88" s="591">
        <v>8</v>
      </c>
      <c r="IB88" s="591">
        <v>7</v>
      </c>
      <c r="IC88" s="591">
        <v>44</v>
      </c>
      <c r="ID88" s="591">
        <v>0</v>
      </c>
      <c r="IE88" s="591">
        <v>0</v>
      </c>
      <c r="IF88" s="591">
        <v>0</v>
      </c>
      <c r="IG88" s="591">
        <v>12.499000000000001</v>
      </c>
      <c r="IH88" s="591">
        <v>0</v>
      </c>
      <c r="II88" s="591">
        <v>0</v>
      </c>
      <c r="IJ88" s="591">
        <v>0</v>
      </c>
      <c r="IK88" s="591">
        <v>0</v>
      </c>
      <c r="IL88" s="591">
        <v>0</v>
      </c>
      <c r="IM88" s="591">
        <v>0</v>
      </c>
      <c r="IN88" s="591">
        <v>0</v>
      </c>
      <c r="IO88" s="591">
        <v>0</v>
      </c>
      <c r="IP88" s="591">
        <v>0</v>
      </c>
      <c r="IQ88" s="591">
        <v>0</v>
      </c>
      <c r="IR88" s="591">
        <v>0</v>
      </c>
      <c r="IS88" s="591">
        <v>0</v>
      </c>
      <c r="IT88" s="591">
        <v>0</v>
      </c>
      <c r="IU88" s="591">
        <v>0</v>
      </c>
      <c r="IV88" s="591">
        <v>0</v>
      </c>
      <c r="IW88" s="591">
        <v>6159</v>
      </c>
      <c r="IX88" s="591">
        <v>0</v>
      </c>
      <c r="IY88" s="591">
        <v>0</v>
      </c>
      <c r="IZ88" s="591">
        <v>0</v>
      </c>
      <c r="JA88" s="591">
        <v>0</v>
      </c>
      <c r="JB88" s="591">
        <v>0</v>
      </c>
      <c r="JC88" s="591">
        <v>0</v>
      </c>
      <c r="JD88" s="591">
        <v>0</v>
      </c>
      <c r="JE88" s="591">
        <v>0</v>
      </c>
      <c r="JF88" s="591">
        <v>0</v>
      </c>
      <c r="JG88" s="591">
        <v>0</v>
      </c>
      <c r="JH88" s="591">
        <v>0</v>
      </c>
      <c r="JI88" s="591">
        <v>0</v>
      </c>
      <c r="JJ88" s="591">
        <v>0</v>
      </c>
      <c r="JK88" s="591">
        <v>0</v>
      </c>
      <c r="JL88" s="591">
        <v>0</v>
      </c>
      <c r="JM88" s="591">
        <v>0</v>
      </c>
      <c r="JN88" s="591">
        <v>32469</v>
      </c>
    </row>
    <row r="89" spans="1:274" x14ac:dyDescent="0.25">
      <c r="A89" s="591">
        <v>32570</v>
      </c>
      <c r="B89" s="591">
        <v>101802</v>
      </c>
      <c r="C89" s="591">
        <v>9</v>
      </c>
      <c r="D89" s="591">
        <v>2022</v>
      </c>
      <c r="E89" s="591">
        <v>6159</v>
      </c>
      <c r="F89" s="591">
        <v>0</v>
      </c>
      <c r="G89" s="591">
        <v>965.53</v>
      </c>
      <c r="H89" s="591">
        <v>953.12</v>
      </c>
      <c r="I89" s="591">
        <v>953.12</v>
      </c>
      <c r="J89" s="591">
        <v>965.53</v>
      </c>
      <c r="K89" s="591">
        <v>0</v>
      </c>
      <c r="L89" s="591">
        <v>6159</v>
      </c>
      <c r="M89" s="591">
        <v>0</v>
      </c>
      <c r="N89" s="591">
        <v>0</v>
      </c>
      <c r="O89" s="591">
        <v>0</v>
      </c>
      <c r="P89" s="591">
        <v>964.62900000000002</v>
      </c>
      <c r="Q89" s="591">
        <v>0</v>
      </c>
      <c r="R89" s="591">
        <v>388194</v>
      </c>
      <c r="S89" s="591">
        <v>402.428</v>
      </c>
      <c r="T89" s="591">
        <v>0</v>
      </c>
      <c r="U89" s="591">
        <v>0</v>
      </c>
      <c r="V89" s="591">
        <v>926.57500000000005</v>
      </c>
      <c r="W89" s="591">
        <v>570685</v>
      </c>
      <c r="X89" s="591">
        <v>570685</v>
      </c>
      <c r="Y89" s="591">
        <v>0</v>
      </c>
      <c r="Z89" s="591">
        <v>0</v>
      </c>
      <c r="AA89" s="591">
        <v>0</v>
      </c>
      <c r="AB89" s="591">
        <v>0</v>
      </c>
      <c r="AC89" s="591">
        <v>0</v>
      </c>
      <c r="AD89" s="591" t="s">
        <v>316</v>
      </c>
      <c r="AE89" s="591">
        <v>0</v>
      </c>
      <c r="AF89" s="591">
        <v>0</v>
      </c>
      <c r="AG89" s="591">
        <v>0</v>
      </c>
      <c r="AH89" s="591">
        <v>0</v>
      </c>
      <c r="AI89" s="591">
        <v>0</v>
      </c>
      <c r="AJ89" s="591">
        <v>6159</v>
      </c>
      <c r="AK89" s="591" t="s">
        <v>671</v>
      </c>
      <c r="AL89" s="591" t="s">
        <v>51</v>
      </c>
      <c r="AM89" s="591">
        <v>0</v>
      </c>
      <c r="AN89" s="591">
        <v>0</v>
      </c>
      <c r="AO89" s="591">
        <v>0</v>
      </c>
      <c r="AP89" s="591">
        <v>0</v>
      </c>
      <c r="AQ89" s="591">
        <v>0</v>
      </c>
      <c r="AR89" s="591">
        <v>0</v>
      </c>
      <c r="AS89" s="591">
        <v>0</v>
      </c>
      <c r="AT89" s="591">
        <v>0</v>
      </c>
      <c r="AU89" s="591">
        <v>0</v>
      </c>
      <c r="AV89" s="591">
        <v>0</v>
      </c>
      <c r="AW89" s="591">
        <v>11240871</v>
      </c>
      <c r="AX89" s="591">
        <v>11067147</v>
      </c>
      <c r="AY89" s="591">
        <v>0</v>
      </c>
      <c r="AZ89" s="591">
        <v>388194</v>
      </c>
      <c r="BA89" s="591">
        <v>0</v>
      </c>
      <c r="BB89" s="591">
        <v>0</v>
      </c>
      <c r="BC89" s="591">
        <v>0</v>
      </c>
      <c r="BD89" s="591">
        <v>0</v>
      </c>
      <c r="BE89" s="591">
        <v>147</v>
      </c>
      <c r="BF89" s="591">
        <v>10185153</v>
      </c>
      <c r="BG89" s="591">
        <v>0</v>
      </c>
      <c r="BH89" s="591">
        <v>0</v>
      </c>
      <c r="BI89" s="591">
        <v>0</v>
      </c>
      <c r="BJ89" s="591">
        <v>12</v>
      </c>
      <c r="BK89" s="591">
        <v>0</v>
      </c>
      <c r="BL89" s="591">
        <v>0</v>
      </c>
      <c r="BM89" s="591">
        <v>0</v>
      </c>
      <c r="BN89" s="591">
        <v>0</v>
      </c>
      <c r="BO89" s="591">
        <v>0</v>
      </c>
      <c r="BP89" s="591">
        <v>0</v>
      </c>
      <c r="BQ89" s="591">
        <v>623</v>
      </c>
      <c r="BR89" s="591">
        <v>0</v>
      </c>
      <c r="BS89" s="591">
        <v>0</v>
      </c>
      <c r="BT89" s="591">
        <v>0</v>
      </c>
      <c r="BU89" s="591">
        <v>0</v>
      </c>
      <c r="BV89" s="591">
        <v>0</v>
      </c>
      <c r="BW89" s="591">
        <v>0</v>
      </c>
      <c r="BX89" s="591">
        <v>0</v>
      </c>
      <c r="BY89" s="591">
        <v>0</v>
      </c>
      <c r="BZ89" s="591">
        <v>0</v>
      </c>
      <c r="CA89" s="591">
        <v>0</v>
      </c>
      <c r="CB89" s="591">
        <v>0</v>
      </c>
      <c r="CC89" s="591">
        <v>0</v>
      </c>
      <c r="CD89" s="591">
        <v>0</v>
      </c>
      <c r="CE89" s="591">
        <v>0</v>
      </c>
      <c r="CF89" s="591">
        <v>0</v>
      </c>
      <c r="CG89" s="591">
        <v>0</v>
      </c>
      <c r="CH89" s="591">
        <v>174964</v>
      </c>
      <c r="CI89" s="591">
        <v>0</v>
      </c>
      <c r="CJ89" s="591">
        <v>4</v>
      </c>
      <c r="CK89" s="591">
        <v>0</v>
      </c>
      <c r="CL89" s="591">
        <v>0</v>
      </c>
      <c r="CM89" s="591">
        <v>0</v>
      </c>
      <c r="CN89" s="591">
        <v>0</v>
      </c>
      <c r="CO89" s="591">
        <v>1</v>
      </c>
      <c r="CP89" s="591">
        <v>0</v>
      </c>
      <c r="CQ89" s="591">
        <v>0</v>
      </c>
      <c r="CR89" s="591">
        <v>965.53</v>
      </c>
      <c r="CS89" s="591">
        <v>0</v>
      </c>
      <c r="CT89" s="591">
        <v>0</v>
      </c>
      <c r="CU89" s="591">
        <v>0</v>
      </c>
      <c r="CV89" s="591">
        <v>0</v>
      </c>
      <c r="CW89" s="591">
        <v>0</v>
      </c>
      <c r="CX89" s="591">
        <v>0</v>
      </c>
      <c r="CY89" s="591">
        <v>0</v>
      </c>
      <c r="CZ89" s="591">
        <v>0</v>
      </c>
      <c r="DA89" s="591">
        <v>0</v>
      </c>
      <c r="DB89" s="591">
        <v>5842161</v>
      </c>
      <c r="DC89" s="591">
        <v>0</v>
      </c>
      <c r="DD89" s="591">
        <v>0</v>
      </c>
      <c r="DE89" s="591">
        <v>1810770</v>
      </c>
      <c r="DF89" s="591">
        <v>1810770</v>
      </c>
      <c r="DG89" s="591">
        <v>294</v>
      </c>
      <c r="DH89" s="591">
        <v>0</v>
      </c>
      <c r="DI89" s="591">
        <v>0</v>
      </c>
      <c r="DJ89" s="591">
        <v>0</v>
      </c>
      <c r="DK89" s="591">
        <v>1594</v>
      </c>
      <c r="DL89" s="591">
        <v>0</v>
      </c>
      <c r="DM89" s="591">
        <v>314746</v>
      </c>
      <c r="DN89" s="591">
        <v>1093</v>
      </c>
      <c r="DO89" s="591">
        <v>0</v>
      </c>
      <c r="DP89" s="591">
        <v>0</v>
      </c>
      <c r="DQ89" s="591">
        <v>0</v>
      </c>
      <c r="DR89" s="591">
        <v>0</v>
      </c>
      <c r="DS89" s="591">
        <v>0</v>
      </c>
      <c r="DT89" s="591">
        <v>0</v>
      </c>
      <c r="DU89" s="591">
        <v>0</v>
      </c>
      <c r="DV89" s="591">
        <v>0</v>
      </c>
      <c r="DW89" s="591">
        <v>0</v>
      </c>
      <c r="DX89" s="591">
        <v>0</v>
      </c>
      <c r="DY89" s="591">
        <v>0</v>
      </c>
      <c r="DZ89" s="591">
        <v>0</v>
      </c>
      <c r="EA89" s="591">
        <v>0</v>
      </c>
      <c r="EB89" s="591">
        <v>0</v>
      </c>
      <c r="EC89" s="591">
        <v>4.2869999999999999</v>
      </c>
      <c r="ED89" s="591">
        <v>30365</v>
      </c>
      <c r="EE89" s="591">
        <v>0</v>
      </c>
      <c r="EF89" s="591">
        <v>0</v>
      </c>
      <c r="EG89" s="591">
        <v>0</v>
      </c>
      <c r="EH89" s="591">
        <v>257290</v>
      </c>
      <c r="EI89" s="591">
        <v>0</v>
      </c>
      <c r="EJ89" s="591">
        <v>0</v>
      </c>
      <c r="EK89" s="591">
        <v>10.138</v>
      </c>
      <c r="EL89" s="591">
        <v>0</v>
      </c>
      <c r="EM89" s="591">
        <v>0</v>
      </c>
      <c r="EN89" s="591">
        <v>2.2720000000000002</v>
      </c>
      <c r="EO89" s="591">
        <v>0</v>
      </c>
      <c r="EP89" s="591">
        <v>0</v>
      </c>
      <c r="EQ89" s="591">
        <v>12.41</v>
      </c>
      <c r="ER89" s="591">
        <v>0</v>
      </c>
      <c r="ES89" s="591">
        <v>41.774000000000001</v>
      </c>
      <c r="ET89" s="591">
        <v>0</v>
      </c>
      <c r="EU89" s="591">
        <v>0</v>
      </c>
      <c r="EV89" s="591">
        <v>0</v>
      </c>
      <c r="EW89" s="591">
        <v>0</v>
      </c>
      <c r="EX89" s="591">
        <v>0</v>
      </c>
      <c r="EY89" s="591">
        <v>0</v>
      </c>
      <c r="EZ89" s="591">
        <v>9796959</v>
      </c>
      <c r="FA89" s="591">
        <v>0</v>
      </c>
      <c r="FB89" s="591">
        <v>10183913</v>
      </c>
      <c r="FC89" s="591">
        <v>0</v>
      </c>
      <c r="FD89" s="591">
        <v>0</v>
      </c>
      <c r="FE89" s="591">
        <v>1054997</v>
      </c>
      <c r="FF89" s="591">
        <v>215191</v>
      </c>
      <c r="FG89" s="591">
        <v>6.4728999999999995E-2</v>
      </c>
      <c r="FH89" s="591">
        <v>2.6405999999999999E-2</v>
      </c>
      <c r="FI89" s="591">
        <v>0</v>
      </c>
      <c r="FJ89" s="591">
        <v>0</v>
      </c>
      <c r="FK89" s="591">
        <v>1653.68</v>
      </c>
      <c r="FL89" s="591">
        <v>11629065</v>
      </c>
      <c r="FM89" s="591">
        <v>0</v>
      </c>
      <c r="FN89" s="591">
        <v>0</v>
      </c>
      <c r="FO89" s="591">
        <v>0</v>
      </c>
      <c r="FP89" s="591">
        <v>0</v>
      </c>
      <c r="FQ89" s="591">
        <v>0</v>
      </c>
      <c r="FR89" s="591">
        <v>0</v>
      </c>
      <c r="FS89" s="591">
        <v>0</v>
      </c>
      <c r="FT89" s="591">
        <v>0</v>
      </c>
      <c r="FU89" s="591">
        <v>0</v>
      </c>
      <c r="FV89" s="591">
        <v>0</v>
      </c>
      <c r="FW89" s="591">
        <v>0</v>
      </c>
      <c r="FX89" s="591">
        <v>0</v>
      </c>
      <c r="FY89" s="591">
        <v>0</v>
      </c>
      <c r="FZ89" s="591">
        <v>0</v>
      </c>
      <c r="GA89" s="591">
        <v>0</v>
      </c>
      <c r="GB89" s="591">
        <v>0</v>
      </c>
      <c r="GC89" s="591">
        <v>0</v>
      </c>
      <c r="GD89" s="591">
        <v>0</v>
      </c>
      <c r="GE89" s="591">
        <v>0</v>
      </c>
      <c r="GF89" s="591">
        <v>0</v>
      </c>
      <c r="GG89" s="591">
        <v>0</v>
      </c>
      <c r="GH89" s="591">
        <v>0</v>
      </c>
      <c r="GI89" s="591">
        <v>0</v>
      </c>
      <c r="GJ89" s="591">
        <v>0</v>
      </c>
      <c r="GK89" s="591">
        <v>0</v>
      </c>
      <c r="GL89" s="591">
        <v>0</v>
      </c>
      <c r="GM89" s="591">
        <v>0</v>
      </c>
      <c r="GN89" s="591">
        <v>0</v>
      </c>
      <c r="GO89" s="591">
        <v>0</v>
      </c>
      <c r="GP89" s="591">
        <v>0</v>
      </c>
      <c r="GQ89" s="591">
        <v>0</v>
      </c>
      <c r="GR89" s="591">
        <v>0</v>
      </c>
      <c r="GS89" s="591">
        <v>0</v>
      </c>
      <c r="GT89" s="591">
        <v>0</v>
      </c>
      <c r="GU89" s="591">
        <v>0</v>
      </c>
      <c r="GV89" s="591">
        <v>0</v>
      </c>
      <c r="GW89" s="591">
        <v>0</v>
      </c>
      <c r="GX89" s="591">
        <v>0</v>
      </c>
      <c r="GY89" s="591">
        <v>0</v>
      </c>
      <c r="GZ89" s="591">
        <v>0</v>
      </c>
      <c r="HA89" s="591">
        <v>0</v>
      </c>
      <c r="HB89" s="591">
        <v>260009272</v>
      </c>
      <c r="HC89" s="591">
        <v>5.1774999999999995E-2</v>
      </c>
      <c r="HD89" s="591">
        <v>174964</v>
      </c>
      <c r="HE89" s="591">
        <v>0</v>
      </c>
      <c r="HF89" s="591">
        <v>1047479</v>
      </c>
      <c r="HG89" s="591">
        <v>642</v>
      </c>
      <c r="HH89" s="591">
        <v>588192</v>
      </c>
      <c r="HI89" s="591">
        <v>0</v>
      </c>
      <c r="HJ89" s="591">
        <v>9385</v>
      </c>
      <c r="HK89" s="591">
        <v>0</v>
      </c>
      <c r="HL89" s="591">
        <v>0</v>
      </c>
      <c r="HM89" s="591">
        <v>0</v>
      </c>
      <c r="HN89" s="591">
        <v>0</v>
      </c>
      <c r="HO89" s="591">
        <v>0</v>
      </c>
      <c r="HP89" s="591">
        <v>0</v>
      </c>
      <c r="HQ89" s="591">
        <v>0</v>
      </c>
      <c r="HR89" s="591">
        <v>0</v>
      </c>
      <c r="HS89" s="591">
        <v>9795719</v>
      </c>
      <c r="HT89" s="591">
        <v>0</v>
      </c>
      <c r="HU89" s="591">
        <v>0</v>
      </c>
      <c r="HV89" s="591">
        <v>0</v>
      </c>
      <c r="HW89" s="591">
        <v>0</v>
      </c>
      <c r="HX89" s="591">
        <v>31</v>
      </c>
      <c r="HY89" s="591">
        <v>69</v>
      </c>
      <c r="HZ89" s="591">
        <v>96</v>
      </c>
      <c r="IA89" s="591">
        <v>179</v>
      </c>
      <c r="IB89" s="591">
        <v>726</v>
      </c>
      <c r="IC89" s="591">
        <v>1059</v>
      </c>
      <c r="ID89" s="591">
        <v>0</v>
      </c>
      <c r="IE89" s="591">
        <v>0</v>
      </c>
      <c r="IF89" s="591">
        <v>0</v>
      </c>
      <c r="IG89" s="591">
        <v>1.042</v>
      </c>
      <c r="IH89" s="591">
        <v>955</v>
      </c>
      <c r="II89" s="591">
        <v>0</v>
      </c>
      <c r="IJ89" s="591">
        <v>926.57500000000005</v>
      </c>
      <c r="IK89" s="591">
        <v>0</v>
      </c>
      <c r="IL89" s="591">
        <v>0</v>
      </c>
      <c r="IM89" s="591">
        <v>0</v>
      </c>
      <c r="IN89" s="591">
        <v>0</v>
      </c>
      <c r="IO89" s="591">
        <v>0</v>
      </c>
      <c r="IP89" s="591">
        <v>0</v>
      </c>
      <c r="IQ89" s="591">
        <v>926.57500000000005</v>
      </c>
      <c r="IR89" s="591">
        <v>570685</v>
      </c>
      <c r="IS89" s="591">
        <v>0</v>
      </c>
      <c r="IT89" s="591">
        <v>0</v>
      </c>
      <c r="IU89" s="591">
        <v>0</v>
      </c>
      <c r="IV89" s="591">
        <v>0</v>
      </c>
      <c r="IW89" s="591">
        <v>6159</v>
      </c>
      <c r="IX89" s="591">
        <v>0</v>
      </c>
      <c r="IY89" s="591">
        <v>0</v>
      </c>
      <c r="IZ89" s="591">
        <v>0</v>
      </c>
      <c r="JA89" s="591">
        <v>0</v>
      </c>
      <c r="JB89" s="591">
        <v>0</v>
      </c>
      <c r="JC89" s="591">
        <v>0</v>
      </c>
      <c r="JD89" s="591">
        <v>0</v>
      </c>
      <c r="JE89" s="591">
        <v>0</v>
      </c>
      <c r="JF89" s="591">
        <v>0</v>
      </c>
      <c r="JG89" s="591">
        <v>0</v>
      </c>
      <c r="JH89" s="591">
        <v>0</v>
      </c>
      <c r="JI89" s="591">
        <v>0</v>
      </c>
      <c r="JJ89" s="591">
        <v>0</v>
      </c>
      <c r="JK89" s="591">
        <v>0</v>
      </c>
      <c r="JL89" s="591">
        <v>0</v>
      </c>
      <c r="JM89" s="591">
        <v>0</v>
      </c>
      <c r="JN89" s="591">
        <v>32469</v>
      </c>
    </row>
    <row r="90" spans="1:274" x14ac:dyDescent="0.25">
      <c r="A90" s="591">
        <v>32570</v>
      </c>
      <c r="B90" s="591">
        <v>101803</v>
      </c>
      <c r="C90" s="591">
        <v>9</v>
      </c>
      <c r="D90" s="591">
        <v>2022</v>
      </c>
      <c r="E90" s="591">
        <v>6159</v>
      </c>
      <c r="F90" s="591">
        <v>0</v>
      </c>
      <c r="G90" s="591">
        <v>1056.1300000000001</v>
      </c>
      <c r="H90" s="591">
        <v>1034.164</v>
      </c>
      <c r="I90" s="591">
        <v>1034.164</v>
      </c>
      <c r="J90" s="591">
        <v>1056.1300000000001</v>
      </c>
      <c r="K90" s="591">
        <v>0</v>
      </c>
      <c r="L90" s="591">
        <v>6159</v>
      </c>
      <c r="M90" s="591">
        <v>0</v>
      </c>
      <c r="N90" s="591">
        <v>0</v>
      </c>
      <c r="O90" s="591">
        <v>0</v>
      </c>
      <c r="P90" s="591">
        <v>1026.797</v>
      </c>
      <c r="Q90" s="591">
        <v>0</v>
      </c>
      <c r="R90" s="591">
        <v>413212</v>
      </c>
      <c r="S90" s="591">
        <v>402.428</v>
      </c>
      <c r="T90" s="591">
        <v>0</v>
      </c>
      <c r="U90" s="591">
        <v>0</v>
      </c>
      <c r="V90" s="591">
        <v>14.75</v>
      </c>
      <c r="W90" s="591">
        <v>9085</v>
      </c>
      <c r="X90" s="591">
        <v>9085</v>
      </c>
      <c r="Y90" s="591">
        <v>0</v>
      </c>
      <c r="Z90" s="591">
        <v>0</v>
      </c>
      <c r="AA90" s="591">
        <v>0</v>
      </c>
      <c r="AB90" s="591">
        <v>0</v>
      </c>
      <c r="AC90" s="591">
        <v>0</v>
      </c>
      <c r="AD90" s="591" t="s">
        <v>316</v>
      </c>
      <c r="AE90" s="591">
        <v>0</v>
      </c>
      <c r="AF90" s="591">
        <v>0</v>
      </c>
      <c r="AG90" s="591">
        <v>0</v>
      </c>
      <c r="AH90" s="591">
        <v>0</v>
      </c>
      <c r="AI90" s="591">
        <v>0</v>
      </c>
      <c r="AJ90" s="591">
        <v>6159</v>
      </c>
      <c r="AK90" s="591" t="s">
        <v>671</v>
      </c>
      <c r="AL90" s="591" t="s">
        <v>92</v>
      </c>
      <c r="AM90" s="591">
        <v>0</v>
      </c>
      <c r="AN90" s="591">
        <v>0</v>
      </c>
      <c r="AO90" s="591">
        <v>0</v>
      </c>
      <c r="AP90" s="591">
        <v>0</v>
      </c>
      <c r="AQ90" s="591">
        <v>0</v>
      </c>
      <c r="AR90" s="591">
        <v>0</v>
      </c>
      <c r="AS90" s="591">
        <v>0</v>
      </c>
      <c r="AT90" s="591">
        <v>0</v>
      </c>
      <c r="AU90" s="591">
        <v>0</v>
      </c>
      <c r="AV90" s="591">
        <v>0</v>
      </c>
      <c r="AW90" s="591">
        <v>9631729</v>
      </c>
      <c r="AX90" s="591">
        <v>9443298</v>
      </c>
      <c r="AY90" s="591">
        <v>0</v>
      </c>
      <c r="AZ90" s="591">
        <v>413212</v>
      </c>
      <c r="BA90" s="591">
        <v>0</v>
      </c>
      <c r="BB90" s="591">
        <v>0</v>
      </c>
      <c r="BC90" s="591">
        <v>0</v>
      </c>
      <c r="BD90" s="591">
        <v>0</v>
      </c>
      <c r="BE90" s="591">
        <v>126</v>
      </c>
      <c r="BF90" s="591">
        <v>8761716</v>
      </c>
      <c r="BG90" s="591">
        <v>0</v>
      </c>
      <c r="BH90" s="591">
        <v>0</v>
      </c>
      <c r="BI90" s="591">
        <v>0</v>
      </c>
      <c r="BJ90" s="591">
        <v>12</v>
      </c>
      <c r="BK90" s="591">
        <v>0</v>
      </c>
      <c r="BL90" s="591">
        <v>0</v>
      </c>
      <c r="BM90" s="591">
        <v>0</v>
      </c>
      <c r="BN90" s="591">
        <v>0</v>
      </c>
      <c r="BO90" s="591">
        <v>0</v>
      </c>
      <c r="BP90" s="591">
        <v>0</v>
      </c>
      <c r="BQ90" s="591">
        <v>611</v>
      </c>
      <c r="BR90" s="591">
        <v>0</v>
      </c>
      <c r="BS90" s="591">
        <v>0</v>
      </c>
      <c r="BT90" s="591">
        <v>0</v>
      </c>
      <c r="BU90" s="591">
        <v>0</v>
      </c>
      <c r="BV90" s="591">
        <v>0</v>
      </c>
      <c r="BW90" s="591">
        <v>0</v>
      </c>
      <c r="BX90" s="591">
        <v>0</v>
      </c>
      <c r="BY90" s="591">
        <v>0</v>
      </c>
      <c r="BZ90" s="591">
        <v>0</v>
      </c>
      <c r="CA90" s="591">
        <v>0</v>
      </c>
      <c r="CB90" s="591">
        <v>0</v>
      </c>
      <c r="CC90" s="591">
        <v>0</v>
      </c>
      <c r="CD90" s="591">
        <v>0</v>
      </c>
      <c r="CE90" s="591">
        <v>0</v>
      </c>
      <c r="CF90" s="591">
        <v>0</v>
      </c>
      <c r="CG90" s="591">
        <v>0</v>
      </c>
      <c r="CH90" s="591">
        <v>191382</v>
      </c>
      <c r="CI90" s="591">
        <v>0</v>
      </c>
      <c r="CJ90" s="591">
        <v>5</v>
      </c>
      <c r="CK90" s="591">
        <v>0</v>
      </c>
      <c r="CL90" s="591">
        <v>0</v>
      </c>
      <c r="CM90" s="591">
        <v>0</v>
      </c>
      <c r="CN90" s="591">
        <v>0</v>
      </c>
      <c r="CO90" s="591">
        <v>1</v>
      </c>
      <c r="CP90" s="591">
        <v>0</v>
      </c>
      <c r="CQ90" s="591">
        <v>0</v>
      </c>
      <c r="CR90" s="591">
        <v>1056.1300000000001</v>
      </c>
      <c r="CS90" s="591">
        <v>0</v>
      </c>
      <c r="CT90" s="591">
        <v>0</v>
      </c>
      <c r="CU90" s="591">
        <v>0</v>
      </c>
      <c r="CV90" s="591">
        <v>0</v>
      </c>
      <c r="CW90" s="591">
        <v>0</v>
      </c>
      <c r="CX90" s="591">
        <v>0</v>
      </c>
      <c r="CY90" s="591">
        <v>0</v>
      </c>
      <c r="CZ90" s="591">
        <v>0</v>
      </c>
      <c r="DA90" s="591">
        <v>0</v>
      </c>
      <c r="DB90" s="591">
        <v>6369501</v>
      </c>
      <c r="DC90" s="591">
        <v>0</v>
      </c>
      <c r="DD90" s="591">
        <v>0</v>
      </c>
      <c r="DE90" s="591">
        <v>364618</v>
      </c>
      <c r="DF90" s="591">
        <v>364618</v>
      </c>
      <c r="DG90" s="591">
        <v>59.2</v>
      </c>
      <c r="DH90" s="591">
        <v>0</v>
      </c>
      <c r="DI90" s="591">
        <v>0</v>
      </c>
      <c r="DJ90" s="591">
        <v>0</v>
      </c>
      <c r="DK90" s="591">
        <v>1394</v>
      </c>
      <c r="DL90" s="591">
        <v>0</v>
      </c>
      <c r="DM90" s="591">
        <v>740435</v>
      </c>
      <c r="DN90" s="591">
        <v>2825</v>
      </c>
      <c r="DO90" s="591">
        <v>0</v>
      </c>
      <c r="DP90" s="591">
        <v>0</v>
      </c>
      <c r="DQ90" s="591">
        <v>0</v>
      </c>
      <c r="DR90" s="591">
        <v>0</v>
      </c>
      <c r="DS90" s="591">
        <v>0</v>
      </c>
      <c r="DT90" s="591">
        <v>0</v>
      </c>
      <c r="DU90" s="591">
        <v>0</v>
      </c>
      <c r="DV90" s="591">
        <v>0</v>
      </c>
      <c r="DW90" s="591">
        <v>0</v>
      </c>
      <c r="DX90" s="591">
        <v>0</v>
      </c>
      <c r="DY90" s="591">
        <v>0</v>
      </c>
      <c r="DZ90" s="591">
        <v>0</v>
      </c>
      <c r="EA90" s="591">
        <v>0</v>
      </c>
      <c r="EB90" s="591">
        <v>0</v>
      </c>
      <c r="EC90" s="591">
        <v>56.387</v>
      </c>
      <c r="ED90" s="591">
        <v>399386</v>
      </c>
      <c r="EE90" s="591">
        <v>0</v>
      </c>
      <c r="EF90" s="591">
        <v>0</v>
      </c>
      <c r="EG90" s="591">
        <v>0</v>
      </c>
      <c r="EH90" s="591">
        <v>343874</v>
      </c>
      <c r="EI90" s="591">
        <v>0</v>
      </c>
      <c r="EJ90" s="591">
        <v>0</v>
      </c>
      <c r="EK90" s="591">
        <v>13.911000000000001</v>
      </c>
      <c r="EL90" s="591">
        <v>0</v>
      </c>
      <c r="EM90" s="591">
        <v>0.94800000000000006</v>
      </c>
      <c r="EN90" s="591">
        <v>2.2509999999999999</v>
      </c>
      <c r="EO90" s="591">
        <v>0</v>
      </c>
      <c r="EP90" s="591">
        <v>0</v>
      </c>
      <c r="EQ90" s="591">
        <v>17.11</v>
      </c>
      <c r="ER90" s="591">
        <v>0</v>
      </c>
      <c r="ES90" s="591">
        <v>55.832000000000001</v>
      </c>
      <c r="ET90" s="591">
        <v>0</v>
      </c>
      <c r="EU90" s="591">
        <v>0</v>
      </c>
      <c r="EV90" s="591">
        <v>0</v>
      </c>
      <c r="EW90" s="591">
        <v>0</v>
      </c>
      <c r="EX90" s="591">
        <v>0</v>
      </c>
      <c r="EY90" s="591">
        <v>0</v>
      </c>
      <c r="EZ90" s="591">
        <v>8350627</v>
      </c>
      <c r="FA90" s="591">
        <v>0</v>
      </c>
      <c r="FB90" s="591">
        <v>8760888</v>
      </c>
      <c r="FC90" s="591">
        <v>0</v>
      </c>
      <c r="FD90" s="591">
        <v>0</v>
      </c>
      <c r="FE90" s="591">
        <v>907554</v>
      </c>
      <c r="FF90" s="591">
        <v>185117</v>
      </c>
      <c r="FG90" s="591">
        <v>6.4728999999999995E-2</v>
      </c>
      <c r="FH90" s="591">
        <v>2.6405999999999999E-2</v>
      </c>
      <c r="FI90" s="591">
        <v>0</v>
      </c>
      <c r="FJ90" s="591">
        <v>0</v>
      </c>
      <c r="FK90" s="591">
        <v>1422.568</v>
      </c>
      <c r="FL90" s="591">
        <v>10044941</v>
      </c>
      <c r="FM90" s="591">
        <v>0</v>
      </c>
      <c r="FN90" s="591">
        <v>0</v>
      </c>
      <c r="FO90" s="591">
        <v>0</v>
      </c>
      <c r="FP90" s="591">
        <v>0</v>
      </c>
      <c r="FQ90" s="591">
        <v>0</v>
      </c>
      <c r="FR90" s="591">
        <v>0</v>
      </c>
      <c r="FS90" s="591">
        <v>0</v>
      </c>
      <c r="FT90" s="591">
        <v>0</v>
      </c>
      <c r="FU90" s="591">
        <v>0</v>
      </c>
      <c r="FV90" s="591">
        <v>0</v>
      </c>
      <c r="FW90" s="591">
        <v>0</v>
      </c>
      <c r="FX90" s="591">
        <v>0</v>
      </c>
      <c r="FY90" s="591">
        <v>0</v>
      </c>
      <c r="FZ90" s="591">
        <v>0</v>
      </c>
      <c r="GA90" s="591">
        <v>0</v>
      </c>
      <c r="GB90" s="591">
        <v>40376</v>
      </c>
      <c r="GC90" s="591">
        <v>40376</v>
      </c>
      <c r="GD90" s="591">
        <v>4.8559999999999999</v>
      </c>
      <c r="GE90" s="591">
        <v>0</v>
      </c>
      <c r="GF90" s="591">
        <v>0</v>
      </c>
      <c r="GG90" s="591">
        <v>0</v>
      </c>
      <c r="GH90" s="591">
        <v>0</v>
      </c>
      <c r="GI90" s="591">
        <v>0</v>
      </c>
      <c r="GJ90" s="591">
        <v>0</v>
      </c>
      <c r="GK90" s="591">
        <v>0</v>
      </c>
      <c r="GL90" s="591">
        <v>0</v>
      </c>
      <c r="GM90" s="591">
        <v>0</v>
      </c>
      <c r="GN90" s="591">
        <v>0</v>
      </c>
      <c r="GO90" s="591">
        <v>0</v>
      </c>
      <c r="GP90" s="591">
        <v>0</v>
      </c>
      <c r="GQ90" s="591">
        <v>0</v>
      </c>
      <c r="GR90" s="591">
        <v>0</v>
      </c>
      <c r="GS90" s="591">
        <v>0</v>
      </c>
      <c r="GT90" s="591">
        <v>0</v>
      </c>
      <c r="GU90" s="591">
        <v>0</v>
      </c>
      <c r="GV90" s="591">
        <v>0</v>
      </c>
      <c r="GW90" s="591">
        <v>0</v>
      </c>
      <c r="GX90" s="591">
        <v>0</v>
      </c>
      <c r="GY90" s="591">
        <v>0</v>
      </c>
      <c r="GZ90" s="591">
        <v>0</v>
      </c>
      <c r="HA90" s="591">
        <v>0</v>
      </c>
      <c r="HB90" s="591">
        <v>260009272</v>
      </c>
      <c r="HC90" s="591">
        <v>5.1774999999999995E-2</v>
      </c>
      <c r="HD90" s="591">
        <v>191382</v>
      </c>
      <c r="HE90" s="591">
        <v>0</v>
      </c>
      <c r="HF90" s="591">
        <v>1136546</v>
      </c>
      <c r="HG90" s="591">
        <v>17245</v>
      </c>
      <c r="HH90" s="591">
        <v>68819</v>
      </c>
      <c r="HI90" s="591">
        <v>0</v>
      </c>
      <c r="HJ90" s="591">
        <v>10266</v>
      </c>
      <c r="HK90" s="591">
        <v>1750</v>
      </c>
      <c r="HL90" s="591">
        <v>373</v>
      </c>
      <c r="HM90" s="591">
        <v>2000</v>
      </c>
      <c r="HN90" s="591">
        <v>0</v>
      </c>
      <c r="HO90" s="591">
        <v>0</v>
      </c>
      <c r="HP90" s="591">
        <v>0</v>
      </c>
      <c r="HQ90" s="591">
        <v>0</v>
      </c>
      <c r="HR90" s="591">
        <v>0</v>
      </c>
      <c r="HS90" s="591">
        <v>8347676</v>
      </c>
      <c r="HT90" s="591">
        <v>0</v>
      </c>
      <c r="HU90" s="591">
        <v>0</v>
      </c>
      <c r="HV90" s="591">
        <v>0</v>
      </c>
      <c r="HW90" s="591">
        <v>0</v>
      </c>
      <c r="HX90" s="591">
        <v>136</v>
      </c>
      <c r="HY90" s="591">
        <v>89</v>
      </c>
      <c r="HZ90" s="591">
        <v>12</v>
      </c>
      <c r="IA90" s="591">
        <v>17</v>
      </c>
      <c r="IB90" s="591">
        <v>0</v>
      </c>
      <c r="IC90" s="591">
        <v>254</v>
      </c>
      <c r="ID90" s="591">
        <v>0</v>
      </c>
      <c r="IE90" s="591">
        <v>0</v>
      </c>
      <c r="IF90" s="591">
        <v>0</v>
      </c>
      <c r="IG90" s="591">
        <v>28</v>
      </c>
      <c r="IH90" s="591">
        <v>111.735</v>
      </c>
      <c r="II90" s="591">
        <v>0</v>
      </c>
      <c r="IJ90" s="591">
        <v>14.75</v>
      </c>
      <c r="IK90" s="591">
        <v>0</v>
      </c>
      <c r="IL90" s="591">
        <v>0</v>
      </c>
      <c r="IM90" s="591">
        <v>0</v>
      </c>
      <c r="IN90" s="591">
        <v>1</v>
      </c>
      <c r="IO90" s="591">
        <v>1</v>
      </c>
      <c r="IP90" s="591">
        <v>0</v>
      </c>
      <c r="IQ90" s="591">
        <v>14.75</v>
      </c>
      <c r="IR90" s="591">
        <v>9085</v>
      </c>
      <c r="IS90" s="591">
        <v>0</v>
      </c>
      <c r="IT90" s="591">
        <v>0</v>
      </c>
      <c r="IU90" s="591">
        <v>0</v>
      </c>
      <c r="IV90" s="591">
        <v>2000</v>
      </c>
      <c r="IW90" s="591">
        <v>6159</v>
      </c>
      <c r="IX90" s="591">
        <v>0</v>
      </c>
      <c r="IY90" s="591">
        <v>0</v>
      </c>
      <c r="IZ90" s="591">
        <v>0</v>
      </c>
      <c r="JA90" s="591">
        <v>0</v>
      </c>
      <c r="JB90" s="591">
        <v>0</v>
      </c>
      <c r="JC90" s="591">
        <v>0</v>
      </c>
      <c r="JD90" s="591">
        <v>0</v>
      </c>
      <c r="JE90" s="591">
        <v>0</v>
      </c>
      <c r="JF90" s="591">
        <v>0</v>
      </c>
      <c r="JG90" s="591">
        <v>0</v>
      </c>
      <c r="JH90" s="591">
        <v>0</v>
      </c>
      <c r="JI90" s="591">
        <v>0</v>
      </c>
      <c r="JJ90" s="591">
        <v>0</v>
      </c>
      <c r="JK90" s="591">
        <v>0</v>
      </c>
      <c r="JL90" s="591">
        <v>0</v>
      </c>
      <c r="JM90" s="591">
        <v>0</v>
      </c>
      <c r="JN90" s="591">
        <v>32469</v>
      </c>
    </row>
    <row r="91" spans="1:274" x14ac:dyDescent="0.25">
      <c r="A91" s="591">
        <v>32570</v>
      </c>
      <c r="B91" s="591">
        <v>101804</v>
      </c>
      <c r="C91" s="591">
        <v>9</v>
      </c>
      <c r="D91" s="591">
        <v>2022</v>
      </c>
      <c r="E91" s="591">
        <v>6159</v>
      </c>
      <c r="F91" s="591">
        <v>0</v>
      </c>
      <c r="G91" s="591">
        <v>931.47800000000007</v>
      </c>
      <c r="H91" s="591">
        <v>784.59</v>
      </c>
      <c r="I91" s="591">
        <v>784.59</v>
      </c>
      <c r="J91" s="591">
        <v>931.47800000000007</v>
      </c>
      <c r="K91" s="591">
        <v>0</v>
      </c>
      <c r="L91" s="591">
        <v>6159</v>
      </c>
      <c r="M91" s="591">
        <v>0</v>
      </c>
      <c r="N91" s="591">
        <v>0</v>
      </c>
      <c r="O91" s="591">
        <v>0</v>
      </c>
      <c r="P91" s="591">
        <v>861.63499999999999</v>
      </c>
      <c r="Q91" s="591">
        <v>0</v>
      </c>
      <c r="R91" s="591">
        <v>346746</v>
      </c>
      <c r="S91" s="591">
        <v>402.428</v>
      </c>
      <c r="T91" s="591">
        <v>0</v>
      </c>
      <c r="U91" s="591">
        <v>0</v>
      </c>
      <c r="V91" s="591">
        <v>415.04700000000003</v>
      </c>
      <c r="W91" s="591">
        <v>255631</v>
      </c>
      <c r="X91" s="591">
        <v>255631</v>
      </c>
      <c r="Y91" s="591">
        <v>0</v>
      </c>
      <c r="Z91" s="591">
        <v>0</v>
      </c>
      <c r="AA91" s="591">
        <v>0</v>
      </c>
      <c r="AB91" s="591">
        <v>0</v>
      </c>
      <c r="AC91" s="591">
        <v>0</v>
      </c>
      <c r="AD91" s="591" t="s">
        <v>316</v>
      </c>
      <c r="AE91" s="591">
        <v>0</v>
      </c>
      <c r="AF91" s="591">
        <v>0</v>
      </c>
      <c r="AG91" s="591">
        <v>0</v>
      </c>
      <c r="AH91" s="591">
        <v>0</v>
      </c>
      <c r="AI91" s="591">
        <v>0</v>
      </c>
      <c r="AJ91" s="591">
        <v>6159</v>
      </c>
      <c r="AK91" s="591" t="s">
        <v>671</v>
      </c>
      <c r="AL91" s="591" t="s">
        <v>7</v>
      </c>
      <c r="AM91" s="591">
        <v>0</v>
      </c>
      <c r="AN91" s="591">
        <v>0</v>
      </c>
      <c r="AO91" s="591">
        <v>0</v>
      </c>
      <c r="AP91" s="591">
        <v>0</v>
      </c>
      <c r="AQ91" s="591">
        <v>0</v>
      </c>
      <c r="AR91" s="591">
        <v>0</v>
      </c>
      <c r="AS91" s="591">
        <v>0</v>
      </c>
      <c r="AT91" s="591">
        <v>0</v>
      </c>
      <c r="AU91" s="591">
        <v>0</v>
      </c>
      <c r="AV91" s="591">
        <v>0</v>
      </c>
      <c r="AW91" s="591">
        <v>10274173</v>
      </c>
      <c r="AX91" s="591">
        <v>10030251</v>
      </c>
      <c r="AY91" s="591">
        <v>0</v>
      </c>
      <c r="AZ91" s="591">
        <v>346746</v>
      </c>
      <c r="BA91" s="591">
        <v>0</v>
      </c>
      <c r="BB91" s="591">
        <v>0</v>
      </c>
      <c r="BC91" s="591">
        <v>0</v>
      </c>
      <c r="BD91" s="591">
        <v>0</v>
      </c>
      <c r="BE91" s="591">
        <v>133</v>
      </c>
      <c r="BF91" s="591">
        <v>9177656</v>
      </c>
      <c r="BG91" s="591">
        <v>0</v>
      </c>
      <c r="BH91" s="591">
        <v>0</v>
      </c>
      <c r="BI91" s="591">
        <v>0</v>
      </c>
      <c r="BJ91" s="591">
        <v>12</v>
      </c>
      <c r="BK91" s="591">
        <v>0</v>
      </c>
      <c r="BL91" s="591">
        <v>0</v>
      </c>
      <c r="BM91" s="591">
        <v>0</v>
      </c>
      <c r="BN91" s="591">
        <v>0</v>
      </c>
      <c r="BO91" s="591">
        <v>0</v>
      </c>
      <c r="BP91" s="591">
        <v>0</v>
      </c>
      <c r="BQ91" s="591">
        <v>649</v>
      </c>
      <c r="BR91" s="591">
        <v>0</v>
      </c>
      <c r="BS91" s="591">
        <v>0</v>
      </c>
      <c r="BT91" s="591">
        <v>0</v>
      </c>
      <c r="BU91" s="591">
        <v>0</v>
      </c>
      <c r="BV91" s="591">
        <v>0</v>
      </c>
      <c r="BW91" s="591">
        <v>0</v>
      </c>
      <c r="BX91" s="591">
        <v>0</v>
      </c>
      <c r="BY91" s="591">
        <v>0</v>
      </c>
      <c r="BZ91" s="591">
        <v>0</v>
      </c>
      <c r="CA91" s="591">
        <v>0</v>
      </c>
      <c r="CB91" s="591">
        <v>0</v>
      </c>
      <c r="CC91" s="591">
        <v>0</v>
      </c>
      <c r="CD91" s="591">
        <v>0</v>
      </c>
      <c r="CE91" s="591">
        <v>0</v>
      </c>
      <c r="CF91" s="591">
        <v>0</v>
      </c>
      <c r="CG91" s="591">
        <v>0</v>
      </c>
      <c r="CH91" s="591">
        <v>246302</v>
      </c>
      <c r="CI91" s="591">
        <v>0</v>
      </c>
      <c r="CJ91" s="591">
        <v>4</v>
      </c>
      <c r="CK91" s="591">
        <v>0</v>
      </c>
      <c r="CL91" s="591">
        <v>0</v>
      </c>
      <c r="CM91" s="591">
        <v>0</v>
      </c>
      <c r="CN91" s="591">
        <v>0</v>
      </c>
      <c r="CO91" s="591">
        <v>1</v>
      </c>
      <c r="CP91" s="591">
        <v>0.83700000000000008</v>
      </c>
      <c r="CQ91" s="591">
        <v>0</v>
      </c>
      <c r="CR91" s="591">
        <v>931.47800000000007</v>
      </c>
      <c r="CS91" s="591">
        <v>0</v>
      </c>
      <c r="CT91" s="591">
        <v>0</v>
      </c>
      <c r="CU91" s="591">
        <v>0</v>
      </c>
      <c r="CV91" s="591">
        <v>0</v>
      </c>
      <c r="CW91" s="591">
        <v>0</v>
      </c>
      <c r="CX91" s="591">
        <v>0</v>
      </c>
      <c r="CY91" s="591">
        <v>0</v>
      </c>
      <c r="CZ91" s="591">
        <v>0</v>
      </c>
      <c r="DA91" s="591">
        <v>0</v>
      </c>
      <c r="DB91" s="591">
        <v>4832354</v>
      </c>
      <c r="DC91" s="591">
        <v>0</v>
      </c>
      <c r="DD91" s="591">
        <v>0</v>
      </c>
      <c r="DE91" s="591">
        <v>1557632</v>
      </c>
      <c r="DF91" s="591">
        <v>1570056</v>
      </c>
      <c r="DG91" s="591">
        <v>252.9</v>
      </c>
      <c r="DH91" s="591">
        <v>0</v>
      </c>
      <c r="DI91" s="591">
        <v>12424</v>
      </c>
      <c r="DJ91" s="591">
        <v>0</v>
      </c>
      <c r="DK91" s="591">
        <v>2009</v>
      </c>
      <c r="DL91" s="591">
        <v>0</v>
      </c>
      <c r="DM91" s="591">
        <v>588870</v>
      </c>
      <c r="DN91" s="591">
        <v>2247</v>
      </c>
      <c r="DO91" s="591">
        <v>0</v>
      </c>
      <c r="DP91" s="591">
        <v>0</v>
      </c>
      <c r="DQ91" s="591">
        <v>0</v>
      </c>
      <c r="DR91" s="591">
        <v>0</v>
      </c>
      <c r="DS91" s="591">
        <v>0</v>
      </c>
      <c r="DT91" s="591">
        <v>0</v>
      </c>
      <c r="DU91" s="591">
        <v>0</v>
      </c>
      <c r="DV91" s="591">
        <v>0</v>
      </c>
      <c r="DW91" s="591">
        <v>0</v>
      </c>
      <c r="DX91" s="591">
        <v>0</v>
      </c>
      <c r="DY91" s="591">
        <v>0</v>
      </c>
      <c r="DZ91" s="591">
        <v>0</v>
      </c>
      <c r="EA91" s="591">
        <v>0</v>
      </c>
      <c r="EB91" s="591">
        <v>0</v>
      </c>
      <c r="EC91" s="591">
        <v>31.452000000000002</v>
      </c>
      <c r="ED91" s="591">
        <v>222773</v>
      </c>
      <c r="EE91" s="591">
        <v>0</v>
      </c>
      <c r="EF91" s="591">
        <v>0</v>
      </c>
      <c r="EG91" s="591">
        <v>0</v>
      </c>
      <c r="EH91" s="591">
        <v>368344</v>
      </c>
      <c r="EI91" s="591">
        <v>0</v>
      </c>
      <c r="EJ91" s="591">
        <v>0</v>
      </c>
      <c r="EK91" s="591">
        <v>15.485000000000001</v>
      </c>
      <c r="EL91" s="591">
        <v>0</v>
      </c>
      <c r="EM91" s="591">
        <v>3.97</v>
      </c>
      <c r="EN91" s="591">
        <v>0.28800000000000003</v>
      </c>
      <c r="EO91" s="591">
        <v>0</v>
      </c>
      <c r="EP91" s="591">
        <v>0</v>
      </c>
      <c r="EQ91" s="591">
        <v>19.743000000000002</v>
      </c>
      <c r="ER91" s="591">
        <v>0</v>
      </c>
      <c r="ES91" s="591">
        <v>59.805</v>
      </c>
      <c r="ET91" s="591">
        <v>0</v>
      </c>
      <c r="EU91" s="591">
        <v>0</v>
      </c>
      <c r="EV91" s="591">
        <v>0</v>
      </c>
      <c r="EW91" s="591">
        <v>0</v>
      </c>
      <c r="EX91" s="591">
        <v>0</v>
      </c>
      <c r="EY91" s="591">
        <v>0</v>
      </c>
      <c r="EZ91" s="591">
        <v>8885708</v>
      </c>
      <c r="FA91" s="591">
        <v>0</v>
      </c>
      <c r="FB91" s="591">
        <v>9230074</v>
      </c>
      <c r="FC91" s="591">
        <v>0</v>
      </c>
      <c r="FD91" s="591">
        <v>0</v>
      </c>
      <c r="FE91" s="591">
        <v>950638</v>
      </c>
      <c r="FF91" s="591">
        <v>193905</v>
      </c>
      <c r="FG91" s="591">
        <v>6.4728999999999995E-2</v>
      </c>
      <c r="FH91" s="591">
        <v>2.6405999999999999E-2</v>
      </c>
      <c r="FI91" s="591">
        <v>0</v>
      </c>
      <c r="FJ91" s="591">
        <v>0</v>
      </c>
      <c r="FK91" s="591">
        <v>1490.1010000000001</v>
      </c>
      <c r="FL91" s="591">
        <v>10620919</v>
      </c>
      <c r="FM91" s="591">
        <v>0</v>
      </c>
      <c r="FN91" s="591">
        <v>0</v>
      </c>
      <c r="FO91" s="591">
        <v>44376</v>
      </c>
      <c r="FP91" s="591">
        <v>0</v>
      </c>
      <c r="FQ91" s="591">
        <v>44376</v>
      </c>
      <c r="FR91" s="591">
        <v>44376</v>
      </c>
      <c r="FS91" s="591">
        <v>0</v>
      </c>
      <c r="FT91" s="591">
        <v>0</v>
      </c>
      <c r="FU91" s="591">
        <v>0</v>
      </c>
      <c r="FV91" s="591">
        <v>0</v>
      </c>
      <c r="FW91" s="591">
        <v>0</v>
      </c>
      <c r="FX91" s="591">
        <v>0</v>
      </c>
      <c r="FY91" s="591">
        <v>0</v>
      </c>
      <c r="FZ91" s="591">
        <v>0</v>
      </c>
      <c r="GA91" s="591">
        <v>0</v>
      </c>
      <c r="GB91" s="591">
        <v>1057180</v>
      </c>
      <c r="GC91" s="591">
        <v>1057180</v>
      </c>
      <c r="GD91" s="591">
        <v>127.14500000000001</v>
      </c>
      <c r="GE91" s="591">
        <v>0</v>
      </c>
      <c r="GF91" s="591">
        <v>0</v>
      </c>
      <c r="GG91" s="591">
        <v>0</v>
      </c>
      <c r="GH91" s="591">
        <v>0</v>
      </c>
      <c r="GI91" s="591">
        <v>0</v>
      </c>
      <c r="GJ91" s="591">
        <v>0</v>
      </c>
      <c r="GK91" s="591">
        <v>0</v>
      </c>
      <c r="GL91" s="591">
        <v>0</v>
      </c>
      <c r="GM91" s="591">
        <v>0</v>
      </c>
      <c r="GN91" s="591">
        <v>0</v>
      </c>
      <c r="GO91" s="591">
        <v>0</v>
      </c>
      <c r="GP91" s="591">
        <v>0</v>
      </c>
      <c r="GQ91" s="591">
        <v>0</v>
      </c>
      <c r="GR91" s="591">
        <v>0</v>
      </c>
      <c r="GS91" s="591">
        <v>0</v>
      </c>
      <c r="GT91" s="591">
        <v>0</v>
      </c>
      <c r="GU91" s="591">
        <v>0</v>
      </c>
      <c r="GV91" s="591">
        <v>0</v>
      </c>
      <c r="GW91" s="591">
        <v>0</v>
      </c>
      <c r="GX91" s="591">
        <v>0</v>
      </c>
      <c r="GY91" s="591">
        <v>0</v>
      </c>
      <c r="GZ91" s="591">
        <v>0</v>
      </c>
      <c r="HA91" s="591">
        <v>0</v>
      </c>
      <c r="HB91" s="591">
        <v>260009272</v>
      </c>
      <c r="HC91" s="591">
        <v>5.1774999999999995E-2</v>
      </c>
      <c r="HD91" s="591">
        <v>168794</v>
      </c>
      <c r="HE91" s="591">
        <v>0</v>
      </c>
      <c r="HF91" s="591">
        <v>862264</v>
      </c>
      <c r="HG91" s="591">
        <v>0</v>
      </c>
      <c r="HH91" s="591">
        <v>0</v>
      </c>
      <c r="HI91" s="591">
        <v>0</v>
      </c>
      <c r="HJ91" s="591">
        <v>9054</v>
      </c>
      <c r="HK91" s="591">
        <v>5574</v>
      </c>
      <c r="HL91" s="591">
        <v>4848</v>
      </c>
      <c r="HM91" s="591">
        <v>0</v>
      </c>
      <c r="HN91" s="591">
        <v>0</v>
      </c>
      <c r="HO91" s="591">
        <v>0</v>
      </c>
      <c r="HP91" s="591">
        <v>0</v>
      </c>
      <c r="HQ91" s="591">
        <v>0</v>
      </c>
      <c r="HR91" s="591">
        <v>0</v>
      </c>
      <c r="HS91" s="591">
        <v>8883328</v>
      </c>
      <c r="HT91" s="591">
        <v>0</v>
      </c>
      <c r="HU91" s="591">
        <v>77508</v>
      </c>
      <c r="HV91" s="591">
        <v>0</v>
      </c>
      <c r="HW91" s="591">
        <v>0</v>
      </c>
      <c r="HX91" s="591">
        <v>38</v>
      </c>
      <c r="HY91" s="591">
        <v>22</v>
      </c>
      <c r="HZ91" s="591">
        <v>165</v>
      </c>
      <c r="IA91" s="591">
        <v>274</v>
      </c>
      <c r="IB91" s="591">
        <v>458</v>
      </c>
      <c r="IC91" s="591">
        <v>957</v>
      </c>
      <c r="ID91" s="591">
        <v>0</v>
      </c>
      <c r="IE91" s="591">
        <v>0</v>
      </c>
      <c r="IF91" s="591">
        <v>0</v>
      </c>
      <c r="IG91" s="591">
        <v>0</v>
      </c>
      <c r="IH91" s="591">
        <v>0</v>
      </c>
      <c r="II91" s="591">
        <v>0</v>
      </c>
      <c r="IJ91" s="591">
        <v>415.04700000000003</v>
      </c>
      <c r="IK91" s="591">
        <v>0</v>
      </c>
      <c r="IL91" s="591">
        <v>0</v>
      </c>
      <c r="IM91" s="591">
        <v>0</v>
      </c>
      <c r="IN91" s="591">
        <v>0</v>
      </c>
      <c r="IO91" s="591">
        <v>0</v>
      </c>
      <c r="IP91" s="591">
        <v>0</v>
      </c>
      <c r="IQ91" s="591">
        <v>415.04700000000003</v>
      </c>
      <c r="IR91" s="591">
        <v>255631</v>
      </c>
      <c r="IS91" s="591">
        <v>0</v>
      </c>
      <c r="IT91" s="591">
        <v>0</v>
      </c>
      <c r="IU91" s="591">
        <v>0</v>
      </c>
      <c r="IV91" s="591">
        <v>0</v>
      </c>
      <c r="IW91" s="591">
        <v>6159</v>
      </c>
      <c r="IX91" s="591">
        <v>0</v>
      </c>
      <c r="IY91" s="591">
        <v>0</v>
      </c>
      <c r="IZ91" s="591">
        <v>0</v>
      </c>
      <c r="JA91" s="591">
        <v>0</v>
      </c>
      <c r="JB91" s="591">
        <v>0</v>
      </c>
      <c r="JC91" s="591">
        <v>0</v>
      </c>
      <c r="JD91" s="591">
        <v>0</v>
      </c>
      <c r="JE91" s="591">
        <v>0</v>
      </c>
      <c r="JF91" s="591">
        <v>0</v>
      </c>
      <c r="JG91" s="591">
        <v>0</v>
      </c>
      <c r="JH91" s="591">
        <v>0</v>
      </c>
      <c r="JI91" s="591">
        <v>0</v>
      </c>
      <c r="JJ91" s="591">
        <v>0</v>
      </c>
      <c r="JK91" s="591">
        <v>0</v>
      </c>
      <c r="JL91" s="591">
        <v>0</v>
      </c>
      <c r="JM91" s="591">
        <v>0</v>
      </c>
      <c r="JN91" s="591">
        <v>32469</v>
      </c>
    </row>
    <row r="92" spans="1:274" x14ac:dyDescent="0.25">
      <c r="A92" s="591">
        <v>32570</v>
      </c>
      <c r="B92" s="591">
        <v>101806</v>
      </c>
      <c r="C92" s="591">
        <v>9</v>
      </c>
      <c r="D92" s="591">
        <v>2022</v>
      </c>
      <c r="E92" s="591">
        <v>6159</v>
      </c>
      <c r="F92" s="591">
        <v>0</v>
      </c>
      <c r="G92" s="591">
        <v>1253.5320000000002</v>
      </c>
      <c r="H92" s="591">
        <v>1185.83</v>
      </c>
      <c r="I92" s="591">
        <v>1185.83</v>
      </c>
      <c r="J92" s="591">
        <v>1253.5320000000002</v>
      </c>
      <c r="K92" s="591">
        <v>0</v>
      </c>
      <c r="L92" s="591">
        <v>6159</v>
      </c>
      <c r="M92" s="591">
        <v>0</v>
      </c>
      <c r="N92" s="591">
        <v>0</v>
      </c>
      <c r="O92" s="591">
        <v>0</v>
      </c>
      <c r="P92" s="591">
        <v>1255.23</v>
      </c>
      <c r="Q92" s="591">
        <v>0</v>
      </c>
      <c r="R92" s="591">
        <v>505140</v>
      </c>
      <c r="S92" s="591">
        <v>402.428</v>
      </c>
      <c r="T92" s="591">
        <v>0</v>
      </c>
      <c r="U92" s="591">
        <v>0</v>
      </c>
      <c r="V92" s="591">
        <v>708.69299999999998</v>
      </c>
      <c r="W92" s="591">
        <v>436490</v>
      </c>
      <c r="X92" s="591">
        <v>436490</v>
      </c>
      <c r="Y92" s="591">
        <v>0</v>
      </c>
      <c r="Z92" s="591">
        <v>0</v>
      </c>
      <c r="AA92" s="591">
        <v>0</v>
      </c>
      <c r="AB92" s="591">
        <v>0</v>
      </c>
      <c r="AC92" s="591">
        <v>0</v>
      </c>
      <c r="AD92" s="591" t="s">
        <v>316</v>
      </c>
      <c r="AE92" s="591">
        <v>0</v>
      </c>
      <c r="AF92" s="591">
        <v>0</v>
      </c>
      <c r="AG92" s="591">
        <v>0</v>
      </c>
      <c r="AH92" s="591">
        <v>0</v>
      </c>
      <c r="AI92" s="591">
        <v>0</v>
      </c>
      <c r="AJ92" s="591">
        <v>6159</v>
      </c>
      <c r="AK92" s="591" t="s">
        <v>671</v>
      </c>
      <c r="AL92" s="591" t="s">
        <v>450</v>
      </c>
      <c r="AM92" s="591">
        <v>0</v>
      </c>
      <c r="AN92" s="591">
        <v>0</v>
      </c>
      <c r="AO92" s="591">
        <v>0</v>
      </c>
      <c r="AP92" s="591">
        <v>0</v>
      </c>
      <c r="AQ92" s="591">
        <v>0</v>
      </c>
      <c r="AR92" s="591">
        <v>0</v>
      </c>
      <c r="AS92" s="591">
        <v>0</v>
      </c>
      <c r="AT92" s="591">
        <v>0</v>
      </c>
      <c r="AU92" s="591">
        <v>0</v>
      </c>
      <c r="AV92" s="591">
        <v>0</v>
      </c>
      <c r="AW92" s="591">
        <v>13937633</v>
      </c>
      <c r="AX92" s="591">
        <v>13713086</v>
      </c>
      <c r="AY92" s="591">
        <v>0</v>
      </c>
      <c r="AZ92" s="591">
        <v>505140</v>
      </c>
      <c r="BA92" s="591">
        <v>0</v>
      </c>
      <c r="BB92" s="591">
        <v>0</v>
      </c>
      <c r="BC92" s="591">
        <v>0</v>
      </c>
      <c r="BD92" s="591">
        <v>5.8330000000000002</v>
      </c>
      <c r="BE92" s="591">
        <v>182</v>
      </c>
      <c r="BF92" s="591">
        <v>12592026</v>
      </c>
      <c r="BG92" s="591">
        <v>0</v>
      </c>
      <c r="BH92" s="591">
        <v>0</v>
      </c>
      <c r="BI92" s="591">
        <v>0</v>
      </c>
      <c r="BJ92" s="591">
        <v>12</v>
      </c>
      <c r="BK92" s="591">
        <v>0</v>
      </c>
      <c r="BL92" s="591">
        <v>0</v>
      </c>
      <c r="BM92" s="591">
        <v>0</v>
      </c>
      <c r="BN92" s="591">
        <v>0</v>
      </c>
      <c r="BO92" s="591">
        <v>0</v>
      </c>
      <c r="BP92" s="591">
        <v>0</v>
      </c>
      <c r="BQ92" s="591">
        <v>587</v>
      </c>
      <c r="BR92" s="591">
        <v>0</v>
      </c>
      <c r="BS92" s="591">
        <v>0</v>
      </c>
      <c r="BT92" s="591">
        <v>0</v>
      </c>
      <c r="BU92" s="591">
        <v>0</v>
      </c>
      <c r="BV92" s="591">
        <v>0</v>
      </c>
      <c r="BW92" s="591">
        <v>0</v>
      </c>
      <c r="BX92" s="591">
        <v>0</v>
      </c>
      <c r="BY92" s="591">
        <v>0</v>
      </c>
      <c r="BZ92" s="591">
        <v>0</v>
      </c>
      <c r="CA92" s="591">
        <v>0</v>
      </c>
      <c r="CB92" s="591">
        <v>0</v>
      </c>
      <c r="CC92" s="591">
        <v>0</v>
      </c>
      <c r="CD92" s="591">
        <v>0</v>
      </c>
      <c r="CE92" s="591">
        <v>0</v>
      </c>
      <c r="CF92" s="591">
        <v>0</v>
      </c>
      <c r="CG92" s="591">
        <v>0</v>
      </c>
      <c r="CH92" s="591">
        <v>227154</v>
      </c>
      <c r="CI92" s="591">
        <v>0</v>
      </c>
      <c r="CJ92" s="591">
        <v>4</v>
      </c>
      <c r="CK92" s="591">
        <v>0</v>
      </c>
      <c r="CL92" s="591">
        <v>0</v>
      </c>
      <c r="CM92" s="591">
        <v>0</v>
      </c>
      <c r="CN92" s="591">
        <v>0</v>
      </c>
      <c r="CO92" s="591">
        <v>1</v>
      </c>
      <c r="CP92" s="591">
        <v>0</v>
      </c>
      <c r="CQ92" s="591">
        <v>0</v>
      </c>
      <c r="CR92" s="591">
        <v>1253.5320000000002</v>
      </c>
      <c r="CS92" s="591">
        <v>0</v>
      </c>
      <c r="CT92" s="591">
        <v>0</v>
      </c>
      <c r="CU92" s="591">
        <v>0</v>
      </c>
      <c r="CV92" s="591">
        <v>0</v>
      </c>
      <c r="CW92" s="591">
        <v>0</v>
      </c>
      <c r="CX92" s="591">
        <v>0</v>
      </c>
      <c r="CY92" s="591">
        <v>0</v>
      </c>
      <c r="CZ92" s="591">
        <v>0</v>
      </c>
      <c r="DA92" s="591">
        <v>0</v>
      </c>
      <c r="DB92" s="591">
        <v>7303625</v>
      </c>
      <c r="DC92" s="591">
        <v>0</v>
      </c>
      <c r="DD92" s="591">
        <v>0</v>
      </c>
      <c r="DE92" s="591">
        <v>2131658</v>
      </c>
      <c r="DF92" s="591">
        <v>2131658</v>
      </c>
      <c r="DG92" s="591">
        <v>346.1</v>
      </c>
      <c r="DH92" s="591">
        <v>0</v>
      </c>
      <c r="DI92" s="591">
        <v>0</v>
      </c>
      <c r="DJ92" s="591">
        <v>0</v>
      </c>
      <c r="DK92" s="591">
        <v>1020</v>
      </c>
      <c r="DL92" s="591">
        <v>0</v>
      </c>
      <c r="DM92" s="591">
        <v>635723</v>
      </c>
      <c r="DN92" s="591">
        <v>2425</v>
      </c>
      <c r="DO92" s="591">
        <v>0</v>
      </c>
      <c r="DP92" s="591">
        <v>0</v>
      </c>
      <c r="DQ92" s="591">
        <v>0</v>
      </c>
      <c r="DR92" s="591">
        <v>0</v>
      </c>
      <c r="DS92" s="591">
        <v>0</v>
      </c>
      <c r="DT92" s="591">
        <v>0</v>
      </c>
      <c r="DU92" s="591">
        <v>0</v>
      </c>
      <c r="DV92" s="591">
        <v>0</v>
      </c>
      <c r="DW92" s="591">
        <v>0</v>
      </c>
      <c r="DX92" s="591">
        <v>0</v>
      </c>
      <c r="DY92" s="591">
        <v>0</v>
      </c>
      <c r="DZ92" s="591">
        <v>0</v>
      </c>
      <c r="EA92" s="591">
        <v>0</v>
      </c>
      <c r="EB92" s="591">
        <v>0</v>
      </c>
      <c r="EC92" s="591">
        <v>19.292999999999999</v>
      </c>
      <c r="ED92" s="591">
        <v>136651</v>
      </c>
      <c r="EE92" s="591">
        <v>0</v>
      </c>
      <c r="EF92" s="591">
        <v>0</v>
      </c>
      <c r="EG92" s="591">
        <v>0</v>
      </c>
      <c r="EH92" s="591">
        <v>501497</v>
      </c>
      <c r="EI92" s="591">
        <v>0</v>
      </c>
      <c r="EJ92" s="591">
        <v>0</v>
      </c>
      <c r="EK92" s="591">
        <v>20.209</v>
      </c>
      <c r="EL92" s="591">
        <v>0</v>
      </c>
      <c r="EM92" s="591">
        <v>3.5790000000000002</v>
      </c>
      <c r="EN92" s="591">
        <v>2.012</v>
      </c>
      <c r="EO92" s="591">
        <v>0</v>
      </c>
      <c r="EP92" s="591">
        <v>0</v>
      </c>
      <c r="EQ92" s="591">
        <v>25.8</v>
      </c>
      <c r="ER92" s="591">
        <v>0</v>
      </c>
      <c r="ES92" s="591">
        <v>81.424000000000007</v>
      </c>
      <c r="ET92" s="591">
        <v>0</v>
      </c>
      <c r="EU92" s="591">
        <v>0</v>
      </c>
      <c r="EV92" s="591">
        <v>0</v>
      </c>
      <c r="EW92" s="591">
        <v>0</v>
      </c>
      <c r="EX92" s="591">
        <v>0</v>
      </c>
      <c r="EY92" s="591">
        <v>0</v>
      </c>
      <c r="EZ92" s="591">
        <v>12142737</v>
      </c>
      <c r="FA92" s="591">
        <v>0</v>
      </c>
      <c r="FB92" s="591">
        <v>12645270</v>
      </c>
      <c r="FC92" s="591">
        <v>0</v>
      </c>
      <c r="FD92" s="591">
        <v>0</v>
      </c>
      <c r="FE92" s="591">
        <v>1304305</v>
      </c>
      <c r="FF92" s="591">
        <v>266044</v>
      </c>
      <c r="FG92" s="591">
        <v>6.4728999999999995E-2</v>
      </c>
      <c r="FH92" s="591">
        <v>2.6405999999999999E-2</v>
      </c>
      <c r="FI92" s="591">
        <v>0</v>
      </c>
      <c r="FJ92" s="591">
        <v>0</v>
      </c>
      <c r="FK92" s="591">
        <v>2044.4650000000001</v>
      </c>
      <c r="FL92" s="591">
        <v>14442773</v>
      </c>
      <c r="FM92" s="591">
        <v>0</v>
      </c>
      <c r="FN92" s="591">
        <v>0</v>
      </c>
      <c r="FO92" s="591">
        <v>49566</v>
      </c>
      <c r="FP92" s="591">
        <v>0</v>
      </c>
      <c r="FQ92" s="591">
        <v>49566</v>
      </c>
      <c r="FR92" s="591">
        <v>49566</v>
      </c>
      <c r="FS92" s="591">
        <v>0</v>
      </c>
      <c r="FT92" s="591">
        <v>0</v>
      </c>
      <c r="FU92" s="591">
        <v>0</v>
      </c>
      <c r="FV92" s="591">
        <v>0</v>
      </c>
      <c r="FW92" s="591">
        <v>0</v>
      </c>
      <c r="FX92" s="591">
        <v>0</v>
      </c>
      <c r="FY92" s="591">
        <v>0</v>
      </c>
      <c r="FZ92" s="591">
        <v>0</v>
      </c>
      <c r="GA92" s="591">
        <v>0</v>
      </c>
      <c r="GB92" s="591">
        <v>348405</v>
      </c>
      <c r="GC92" s="591">
        <v>348405</v>
      </c>
      <c r="GD92" s="591">
        <v>41.902000000000001</v>
      </c>
      <c r="GE92" s="591">
        <v>0</v>
      </c>
      <c r="GF92" s="591">
        <v>0</v>
      </c>
      <c r="GG92" s="591">
        <v>0</v>
      </c>
      <c r="GH92" s="591">
        <v>0</v>
      </c>
      <c r="GI92" s="591">
        <v>0</v>
      </c>
      <c r="GJ92" s="591">
        <v>0</v>
      </c>
      <c r="GK92" s="591">
        <v>0</v>
      </c>
      <c r="GL92" s="591">
        <v>0</v>
      </c>
      <c r="GM92" s="591">
        <v>0</v>
      </c>
      <c r="GN92" s="591">
        <v>0</v>
      </c>
      <c r="GO92" s="591">
        <v>0</v>
      </c>
      <c r="GP92" s="591">
        <v>0</v>
      </c>
      <c r="GQ92" s="591">
        <v>0</v>
      </c>
      <c r="GR92" s="591">
        <v>0</v>
      </c>
      <c r="GS92" s="591">
        <v>0</v>
      </c>
      <c r="GT92" s="591">
        <v>0</v>
      </c>
      <c r="GU92" s="591">
        <v>0</v>
      </c>
      <c r="GV92" s="591">
        <v>0</v>
      </c>
      <c r="GW92" s="591">
        <v>0</v>
      </c>
      <c r="GX92" s="591">
        <v>0</v>
      </c>
      <c r="GY92" s="591">
        <v>0</v>
      </c>
      <c r="GZ92" s="591">
        <v>0</v>
      </c>
      <c r="HA92" s="591">
        <v>0</v>
      </c>
      <c r="HB92" s="591">
        <v>260009272</v>
      </c>
      <c r="HC92" s="591">
        <v>5.1774999999999995E-2</v>
      </c>
      <c r="HD92" s="591">
        <v>227154</v>
      </c>
      <c r="HE92" s="591">
        <v>0</v>
      </c>
      <c r="HF92" s="591">
        <v>1303227</v>
      </c>
      <c r="HG92" s="591">
        <v>1848</v>
      </c>
      <c r="HH92" s="591">
        <v>406441</v>
      </c>
      <c r="HI92" s="591">
        <v>0</v>
      </c>
      <c r="HJ92" s="591">
        <v>12184</v>
      </c>
      <c r="HK92" s="591">
        <v>2888</v>
      </c>
      <c r="HL92" s="591">
        <v>3397</v>
      </c>
      <c r="HM92" s="591">
        <v>10000</v>
      </c>
      <c r="HN92" s="591">
        <v>0</v>
      </c>
      <c r="HO92" s="591">
        <v>0</v>
      </c>
      <c r="HP92" s="591">
        <v>0</v>
      </c>
      <c r="HQ92" s="591">
        <v>0</v>
      </c>
      <c r="HR92" s="591">
        <v>0</v>
      </c>
      <c r="HS92" s="591">
        <v>12140130</v>
      </c>
      <c r="HT92" s="591">
        <v>0</v>
      </c>
      <c r="HU92" s="591">
        <v>0</v>
      </c>
      <c r="HV92" s="591">
        <v>0</v>
      </c>
      <c r="HW92" s="591">
        <v>0</v>
      </c>
      <c r="HX92" s="591">
        <v>20</v>
      </c>
      <c r="HY92" s="591">
        <v>62</v>
      </c>
      <c r="HZ92" s="591">
        <v>178</v>
      </c>
      <c r="IA92" s="591">
        <v>400</v>
      </c>
      <c r="IB92" s="591">
        <v>645</v>
      </c>
      <c r="IC92" s="591">
        <v>1263</v>
      </c>
      <c r="ID92" s="591">
        <v>0</v>
      </c>
      <c r="IE92" s="591">
        <v>0</v>
      </c>
      <c r="IF92" s="591">
        <v>0</v>
      </c>
      <c r="IG92" s="591">
        <v>3</v>
      </c>
      <c r="IH92" s="591">
        <v>659.90500000000009</v>
      </c>
      <c r="II92" s="591">
        <v>0</v>
      </c>
      <c r="IJ92" s="591">
        <v>708.69299999999998</v>
      </c>
      <c r="IK92" s="591">
        <v>0</v>
      </c>
      <c r="IL92" s="591">
        <v>2</v>
      </c>
      <c r="IM92" s="591">
        <v>0</v>
      </c>
      <c r="IN92" s="591">
        <v>0</v>
      </c>
      <c r="IO92" s="591">
        <v>2</v>
      </c>
      <c r="IP92" s="591">
        <v>0</v>
      </c>
      <c r="IQ92" s="591">
        <v>708.69299999999998</v>
      </c>
      <c r="IR92" s="591">
        <v>436490</v>
      </c>
      <c r="IS92" s="591">
        <v>0</v>
      </c>
      <c r="IT92" s="591">
        <v>10000</v>
      </c>
      <c r="IU92" s="591">
        <v>0</v>
      </c>
      <c r="IV92" s="591">
        <v>0</v>
      </c>
      <c r="IW92" s="591">
        <v>6159</v>
      </c>
      <c r="IX92" s="591">
        <v>0</v>
      </c>
      <c r="IY92" s="591">
        <v>0</v>
      </c>
      <c r="IZ92" s="591">
        <v>0</v>
      </c>
      <c r="JA92" s="591">
        <v>0</v>
      </c>
      <c r="JB92" s="591">
        <v>0</v>
      </c>
      <c r="JC92" s="591">
        <v>0</v>
      </c>
      <c r="JD92" s="591">
        <v>0</v>
      </c>
      <c r="JE92" s="591">
        <v>0</v>
      </c>
      <c r="JF92" s="591">
        <v>0</v>
      </c>
      <c r="JG92" s="591">
        <v>0</v>
      </c>
      <c r="JH92" s="591">
        <v>0</v>
      </c>
      <c r="JI92" s="591">
        <v>0</v>
      </c>
      <c r="JJ92" s="591">
        <v>0</v>
      </c>
      <c r="JK92" s="591">
        <v>0</v>
      </c>
      <c r="JL92" s="591">
        <v>0</v>
      </c>
      <c r="JM92" s="591">
        <v>0</v>
      </c>
      <c r="JN92" s="591">
        <v>32469</v>
      </c>
    </row>
    <row r="93" spans="1:274" x14ac:dyDescent="0.25">
      <c r="A93" s="591">
        <v>32570</v>
      </c>
      <c r="B93" s="591">
        <v>101810</v>
      </c>
      <c r="C93" s="591">
        <v>9</v>
      </c>
      <c r="D93" s="591">
        <v>2022</v>
      </c>
      <c r="E93" s="591">
        <v>6159</v>
      </c>
      <c r="F93" s="591">
        <v>0</v>
      </c>
      <c r="G93" s="591">
        <v>771.76100000000008</v>
      </c>
      <c r="H93" s="591">
        <v>771.01100000000008</v>
      </c>
      <c r="I93" s="591">
        <v>771.01100000000008</v>
      </c>
      <c r="J93" s="591">
        <v>771.76100000000008</v>
      </c>
      <c r="K93" s="591">
        <v>0</v>
      </c>
      <c r="L93" s="591">
        <v>6159</v>
      </c>
      <c r="M93" s="591">
        <v>0</v>
      </c>
      <c r="N93" s="591">
        <v>0</v>
      </c>
      <c r="O93" s="591">
        <v>0</v>
      </c>
      <c r="P93" s="591">
        <v>754.99599999999998</v>
      </c>
      <c r="Q93" s="591">
        <v>0</v>
      </c>
      <c r="R93" s="591">
        <v>303832</v>
      </c>
      <c r="S93" s="591">
        <v>402.428</v>
      </c>
      <c r="T93" s="591">
        <v>0</v>
      </c>
      <c r="U93" s="591">
        <v>0</v>
      </c>
      <c r="V93" s="591">
        <v>426.83800000000002</v>
      </c>
      <c r="W93" s="591">
        <v>262893</v>
      </c>
      <c r="X93" s="591">
        <v>262893</v>
      </c>
      <c r="Y93" s="591">
        <v>0</v>
      </c>
      <c r="Z93" s="591">
        <v>0</v>
      </c>
      <c r="AA93" s="591">
        <v>0</v>
      </c>
      <c r="AB93" s="591">
        <v>0</v>
      </c>
      <c r="AC93" s="591">
        <v>0</v>
      </c>
      <c r="AD93" s="591" t="s">
        <v>316</v>
      </c>
      <c r="AE93" s="591">
        <v>0</v>
      </c>
      <c r="AF93" s="591">
        <v>0</v>
      </c>
      <c r="AG93" s="591">
        <v>0</v>
      </c>
      <c r="AH93" s="591">
        <v>0</v>
      </c>
      <c r="AI93" s="591">
        <v>0</v>
      </c>
      <c r="AJ93" s="591">
        <v>6159</v>
      </c>
      <c r="AK93" s="591" t="s">
        <v>671</v>
      </c>
      <c r="AL93" s="591" t="s">
        <v>344</v>
      </c>
      <c r="AM93" s="591">
        <v>0</v>
      </c>
      <c r="AN93" s="591">
        <v>0</v>
      </c>
      <c r="AO93" s="591">
        <v>0</v>
      </c>
      <c r="AP93" s="591">
        <v>0</v>
      </c>
      <c r="AQ93" s="591">
        <v>0</v>
      </c>
      <c r="AR93" s="591">
        <v>0</v>
      </c>
      <c r="AS93" s="591">
        <v>0</v>
      </c>
      <c r="AT93" s="591">
        <v>0</v>
      </c>
      <c r="AU93" s="591">
        <v>0</v>
      </c>
      <c r="AV93" s="591">
        <v>0</v>
      </c>
      <c r="AW93" s="591">
        <v>8506984</v>
      </c>
      <c r="AX93" s="591">
        <v>8367594</v>
      </c>
      <c r="AY93" s="591">
        <v>0</v>
      </c>
      <c r="AZ93" s="591">
        <v>303832</v>
      </c>
      <c r="BA93" s="591">
        <v>0</v>
      </c>
      <c r="BB93" s="591">
        <v>0</v>
      </c>
      <c r="BC93" s="591">
        <v>0</v>
      </c>
      <c r="BD93" s="591">
        <v>0</v>
      </c>
      <c r="BE93" s="591">
        <v>111</v>
      </c>
      <c r="BF93" s="591">
        <v>7709923</v>
      </c>
      <c r="BG93" s="591">
        <v>0</v>
      </c>
      <c r="BH93" s="591">
        <v>0</v>
      </c>
      <c r="BI93" s="591">
        <v>0</v>
      </c>
      <c r="BJ93" s="591">
        <v>12</v>
      </c>
      <c r="BK93" s="591">
        <v>0</v>
      </c>
      <c r="BL93" s="591">
        <v>0</v>
      </c>
      <c r="BM93" s="591">
        <v>0</v>
      </c>
      <c r="BN93" s="591">
        <v>0</v>
      </c>
      <c r="BO93" s="591">
        <v>0</v>
      </c>
      <c r="BP93" s="591">
        <v>0</v>
      </c>
      <c r="BQ93" s="591">
        <v>651</v>
      </c>
      <c r="BR93" s="591">
        <v>0</v>
      </c>
      <c r="BS93" s="591">
        <v>0</v>
      </c>
      <c r="BT93" s="591">
        <v>0</v>
      </c>
      <c r="BU93" s="591">
        <v>0</v>
      </c>
      <c r="BV93" s="591">
        <v>0</v>
      </c>
      <c r="BW93" s="591">
        <v>0</v>
      </c>
      <c r="BX93" s="591">
        <v>0</v>
      </c>
      <c r="BY93" s="591">
        <v>0</v>
      </c>
      <c r="BZ93" s="591">
        <v>0</v>
      </c>
      <c r="CA93" s="591">
        <v>0</v>
      </c>
      <c r="CB93" s="591">
        <v>0</v>
      </c>
      <c r="CC93" s="591">
        <v>0</v>
      </c>
      <c r="CD93" s="591">
        <v>0</v>
      </c>
      <c r="CE93" s="591">
        <v>0</v>
      </c>
      <c r="CF93" s="591">
        <v>0</v>
      </c>
      <c r="CG93" s="591">
        <v>0</v>
      </c>
      <c r="CH93" s="591">
        <v>139851</v>
      </c>
      <c r="CI93" s="591">
        <v>0</v>
      </c>
      <c r="CJ93" s="591">
        <v>4</v>
      </c>
      <c r="CK93" s="591">
        <v>0</v>
      </c>
      <c r="CL93" s="591">
        <v>0</v>
      </c>
      <c r="CM93" s="591">
        <v>0</v>
      </c>
      <c r="CN93" s="591">
        <v>0</v>
      </c>
      <c r="CO93" s="591">
        <v>1</v>
      </c>
      <c r="CP93" s="591">
        <v>0</v>
      </c>
      <c r="CQ93" s="591">
        <v>0</v>
      </c>
      <c r="CR93" s="591">
        <v>771.76100000000008</v>
      </c>
      <c r="CS93" s="591">
        <v>0</v>
      </c>
      <c r="CT93" s="591">
        <v>0</v>
      </c>
      <c r="CU93" s="591">
        <v>0</v>
      </c>
      <c r="CV93" s="591">
        <v>0</v>
      </c>
      <c r="CW93" s="591">
        <v>0</v>
      </c>
      <c r="CX93" s="591">
        <v>0</v>
      </c>
      <c r="CY93" s="591">
        <v>0</v>
      </c>
      <c r="CZ93" s="591">
        <v>0</v>
      </c>
      <c r="DA93" s="591">
        <v>0</v>
      </c>
      <c r="DB93" s="591">
        <v>4742514</v>
      </c>
      <c r="DC93" s="591">
        <v>0</v>
      </c>
      <c r="DD93" s="591">
        <v>0</v>
      </c>
      <c r="DE93" s="591">
        <v>1345606</v>
      </c>
      <c r="DF93" s="591">
        <v>1345606</v>
      </c>
      <c r="DG93" s="591">
        <v>218.47500000000002</v>
      </c>
      <c r="DH93" s="591">
        <v>0</v>
      </c>
      <c r="DI93" s="591">
        <v>0</v>
      </c>
      <c r="DJ93" s="591">
        <v>0</v>
      </c>
      <c r="DK93" s="591">
        <v>2042</v>
      </c>
      <c r="DL93" s="591">
        <v>0</v>
      </c>
      <c r="DM93" s="591">
        <v>97833</v>
      </c>
      <c r="DN93" s="591">
        <v>350</v>
      </c>
      <c r="DO93" s="591">
        <v>0</v>
      </c>
      <c r="DP93" s="591">
        <v>0</v>
      </c>
      <c r="DQ93" s="591">
        <v>0</v>
      </c>
      <c r="DR93" s="591">
        <v>0</v>
      </c>
      <c r="DS93" s="591">
        <v>0</v>
      </c>
      <c r="DT93" s="591">
        <v>0</v>
      </c>
      <c r="DU93" s="591">
        <v>0</v>
      </c>
      <c r="DV93" s="591">
        <v>0</v>
      </c>
      <c r="DW93" s="591">
        <v>0</v>
      </c>
      <c r="DX93" s="591">
        <v>0</v>
      </c>
      <c r="DY93" s="591">
        <v>0</v>
      </c>
      <c r="DZ93" s="591">
        <v>0</v>
      </c>
      <c r="EA93" s="591">
        <v>0</v>
      </c>
      <c r="EB93" s="591">
        <v>0</v>
      </c>
      <c r="EC93" s="591">
        <v>10.417</v>
      </c>
      <c r="ED93" s="591">
        <v>73783</v>
      </c>
      <c r="EE93" s="591">
        <v>0</v>
      </c>
      <c r="EF93" s="591">
        <v>0</v>
      </c>
      <c r="EG93" s="591">
        <v>0</v>
      </c>
      <c r="EH93" s="591">
        <v>18194</v>
      </c>
      <c r="EI93" s="591">
        <v>0</v>
      </c>
      <c r="EJ93" s="591">
        <v>0</v>
      </c>
      <c r="EK93" s="591">
        <v>0.39800000000000002</v>
      </c>
      <c r="EL93" s="591">
        <v>0</v>
      </c>
      <c r="EM93" s="591">
        <v>0</v>
      </c>
      <c r="EN93" s="591">
        <v>0.35200000000000004</v>
      </c>
      <c r="EO93" s="591">
        <v>0</v>
      </c>
      <c r="EP93" s="591">
        <v>0</v>
      </c>
      <c r="EQ93" s="591">
        <v>0.75</v>
      </c>
      <c r="ER93" s="591">
        <v>0</v>
      </c>
      <c r="ES93" s="591">
        <v>2.9540000000000002</v>
      </c>
      <c r="ET93" s="591">
        <v>0</v>
      </c>
      <c r="EU93" s="591">
        <v>0</v>
      </c>
      <c r="EV93" s="591">
        <v>0</v>
      </c>
      <c r="EW93" s="591">
        <v>0</v>
      </c>
      <c r="EX93" s="591">
        <v>0</v>
      </c>
      <c r="EY93" s="591">
        <v>0</v>
      </c>
      <c r="EZ93" s="591">
        <v>7406091</v>
      </c>
      <c r="FA93" s="591">
        <v>0</v>
      </c>
      <c r="FB93" s="591">
        <v>7709462</v>
      </c>
      <c r="FC93" s="591">
        <v>0</v>
      </c>
      <c r="FD93" s="591">
        <v>0</v>
      </c>
      <c r="FE93" s="591">
        <v>798608</v>
      </c>
      <c r="FF93" s="591">
        <v>162895</v>
      </c>
      <c r="FG93" s="591">
        <v>6.4728999999999995E-2</v>
      </c>
      <c r="FH93" s="591">
        <v>2.6405999999999999E-2</v>
      </c>
      <c r="FI93" s="591">
        <v>0</v>
      </c>
      <c r="FJ93" s="591">
        <v>0</v>
      </c>
      <c r="FK93" s="591">
        <v>1251.797</v>
      </c>
      <c r="FL93" s="591">
        <v>8810816</v>
      </c>
      <c r="FM93" s="591">
        <v>0</v>
      </c>
      <c r="FN93" s="591">
        <v>0</v>
      </c>
      <c r="FO93" s="591">
        <v>0</v>
      </c>
      <c r="FP93" s="591">
        <v>0</v>
      </c>
      <c r="FQ93" s="591">
        <v>0</v>
      </c>
      <c r="FR93" s="591">
        <v>0</v>
      </c>
      <c r="FS93" s="591">
        <v>0</v>
      </c>
      <c r="FT93" s="591">
        <v>0</v>
      </c>
      <c r="FU93" s="591">
        <v>0</v>
      </c>
      <c r="FV93" s="591">
        <v>0</v>
      </c>
      <c r="FW93" s="591">
        <v>0</v>
      </c>
      <c r="FX93" s="591">
        <v>0</v>
      </c>
      <c r="FY93" s="591">
        <v>0</v>
      </c>
      <c r="FZ93" s="591">
        <v>0</v>
      </c>
      <c r="GA93" s="591">
        <v>0</v>
      </c>
      <c r="GB93" s="591">
        <v>0</v>
      </c>
      <c r="GC93" s="591">
        <v>0</v>
      </c>
      <c r="GD93" s="591">
        <v>0</v>
      </c>
      <c r="GE93" s="591">
        <v>0</v>
      </c>
      <c r="GF93" s="591">
        <v>0</v>
      </c>
      <c r="GG93" s="591">
        <v>0</v>
      </c>
      <c r="GH93" s="591">
        <v>0</v>
      </c>
      <c r="GI93" s="591">
        <v>0</v>
      </c>
      <c r="GJ93" s="591">
        <v>0</v>
      </c>
      <c r="GK93" s="591">
        <v>0</v>
      </c>
      <c r="GL93" s="591">
        <v>0</v>
      </c>
      <c r="GM93" s="591">
        <v>0</v>
      </c>
      <c r="GN93" s="591">
        <v>0</v>
      </c>
      <c r="GO93" s="591">
        <v>0</v>
      </c>
      <c r="GP93" s="591">
        <v>0</v>
      </c>
      <c r="GQ93" s="591">
        <v>0</v>
      </c>
      <c r="GR93" s="591">
        <v>0</v>
      </c>
      <c r="GS93" s="591">
        <v>0</v>
      </c>
      <c r="GT93" s="591">
        <v>0</v>
      </c>
      <c r="GU93" s="591">
        <v>0</v>
      </c>
      <c r="GV93" s="591">
        <v>0</v>
      </c>
      <c r="GW93" s="591">
        <v>0</v>
      </c>
      <c r="GX93" s="591">
        <v>0</v>
      </c>
      <c r="GY93" s="591">
        <v>0</v>
      </c>
      <c r="GZ93" s="591">
        <v>0</v>
      </c>
      <c r="HA93" s="591">
        <v>0</v>
      </c>
      <c r="HB93" s="591">
        <v>260009272</v>
      </c>
      <c r="HC93" s="591">
        <v>5.1774999999999995E-2</v>
      </c>
      <c r="HD93" s="591">
        <v>139851</v>
      </c>
      <c r="HE93" s="591">
        <v>0</v>
      </c>
      <c r="HF93" s="591">
        <v>847341</v>
      </c>
      <c r="HG93" s="591">
        <v>0</v>
      </c>
      <c r="HH93" s="591">
        <v>405884</v>
      </c>
      <c r="HI93" s="591">
        <v>0</v>
      </c>
      <c r="HJ93" s="591">
        <v>7502</v>
      </c>
      <c r="HK93" s="591">
        <v>0</v>
      </c>
      <c r="HL93" s="591">
        <v>0</v>
      </c>
      <c r="HM93" s="591">
        <v>0</v>
      </c>
      <c r="HN93" s="591">
        <v>0</v>
      </c>
      <c r="HO93" s="591">
        <v>0</v>
      </c>
      <c r="HP93" s="591">
        <v>0</v>
      </c>
      <c r="HQ93" s="591">
        <v>0</v>
      </c>
      <c r="HR93" s="591">
        <v>0</v>
      </c>
      <c r="HS93" s="591">
        <v>7405630</v>
      </c>
      <c r="HT93" s="591">
        <v>0</v>
      </c>
      <c r="HU93" s="591">
        <v>0</v>
      </c>
      <c r="HV93" s="591">
        <v>0</v>
      </c>
      <c r="HW93" s="591">
        <v>0</v>
      </c>
      <c r="HX93" s="591">
        <v>39</v>
      </c>
      <c r="HY93" s="591">
        <v>35</v>
      </c>
      <c r="HZ93" s="591">
        <v>80</v>
      </c>
      <c r="IA93" s="591">
        <v>207</v>
      </c>
      <c r="IB93" s="591">
        <v>462</v>
      </c>
      <c r="IC93" s="591">
        <v>823</v>
      </c>
      <c r="ID93" s="591">
        <v>0</v>
      </c>
      <c r="IE93" s="591">
        <v>0</v>
      </c>
      <c r="IF93" s="591">
        <v>0</v>
      </c>
      <c r="IG93" s="591">
        <v>0</v>
      </c>
      <c r="IH93" s="591">
        <v>659</v>
      </c>
      <c r="II93" s="591">
        <v>0</v>
      </c>
      <c r="IJ93" s="591">
        <v>426.83800000000002</v>
      </c>
      <c r="IK93" s="591">
        <v>0</v>
      </c>
      <c r="IL93" s="591">
        <v>0</v>
      </c>
      <c r="IM93" s="591">
        <v>0</v>
      </c>
      <c r="IN93" s="591">
        <v>0</v>
      </c>
      <c r="IO93" s="591">
        <v>0</v>
      </c>
      <c r="IP93" s="591">
        <v>0</v>
      </c>
      <c r="IQ93" s="591">
        <v>426.83800000000002</v>
      </c>
      <c r="IR93" s="591">
        <v>262893</v>
      </c>
      <c r="IS93" s="591">
        <v>0</v>
      </c>
      <c r="IT93" s="591">
        <v>0</v>
      </c>
      <c r="IU93" s="591">
        <v>0</v>
      </c>
      <c r="IV93" s="591">
        <v>0</v>
      </c>
      <c r="IW93" s="591">
        <v>6159</v>
      </c>
      <c r="IX93" s="591">
        <v>0</v>
      </c>
      <c r="IY93" s="591">
        <v>0</v>
      </c>
      <c r="IZ93" s="591">
        <v>0</v>
      </c>
      <c r="JA93" s="591">
        <v>0</v>
      </c>
      <c r="JB93" s="591">
        <v>0</v>
      </c>
      <c r="JC93" s="591">
        <v>0</v>
      </c>
      <c r="JD93" s="591">
        <v>0</v>
      </c>
      <c r="JE93" s="591">
        <v>0</v>
      </c>
      <c r="JF93" s="591">
        <v>0</v>
      </c>
      <c r="JG93" s="591">
        <v>0</v>
      </c>
      <c r="JH93" s="591">
        <v>0</v>
      </c>
      <c r="JI93" s="591">
        <v>0</v>
      </c>
      <c r="JJ93" s="591">
        <v>0</v>
      </c>
      <c r="JK93" s="591">
        <v>0</v>
      </c>
      <c r="JL93" s="591">
        <v>0</v>
      </c>
      <c r="JM93" s="591">
        <v>0</v>
      </c>
      <c r="JN93" s="591">
        <v>32469</v>
      </c>
    </row>
    <row r="94" spans="1:274" x14ac:dyDescent="0.25">
      <c r="A94" s="591">
        <v>32570</v>
      </c>
      <c r="B94" s="591">
        <v>101811</v>
      </c>
      <c r="C94" s="591">
        <v>9</v>
      </c>
      <c r="D94" s="591">
        <v>2022</v>
      </c>
      <c r="E94" s="591">
        <v>6159</v>
      </c>
      <c r="F94" s="591">
        <v>0</v>
      </c>
      <c r="G94" s="591">
        <v>163.69300000000001</v>
      </c>
      <c r="H94" s="591">
        <v>133.80600000000001</v>
      </c>
      <c r="I94" s="591">
        <v>133.80600000000001</v>
      </c>
      <c r="J94" s="591">
        <v>163.69300000000001</v>
      </c>
      <c r="K94" s="591">
        <v>0</v>
      </c>
      <c r="L94" s="591">
        <v>6159</v>
      </c>
      <c r="M94" s="591">
        <v>0</v>
      </c>
      <c r="N94" s="591">
        <v>0</v>
      </c>
      <c r="O94" s="591">
        <v>0</v>
      </c>
      <c r="P94" s="591">
        <v>176.00300000000001</v>
      </c>
      <c r="Q94" s="591">
        <v>0</v>
      </c>
      <c r="R94" s="591">
        <v>70829</v>
      </c>
      <c r="S94" s="591">
        <v>402.428</v>
      </c>
      <c r="T94" s="591">
        <v>0</v>
      </c>
      <c r="U94" s="591">
        <v>0</v>
      </c>
      <c r="V94" s="591">
        <v>26.702000000000002</v>
      </c>
      <c r="W94" s="591">
        <v>16446</v>
      </c>
      <c r="X94" s="591">
        <v>16446</v>
      </c>
      <c r="Y94" s="591">
        <v>0</v>
      </c>
      <c r="Z94" s="591">
        <v>0</v>
      </c>
      <c r="AA94" s="591">
        <v>0</v>
      </c>
      <c r="AB94" s="591">
        <v>0</v>
      </c>
      <c r="AC94" s="591">
        <v>0</v>
      </c>
      <c r="AD94" s="591" t="s">
        <v>316</v>
      </c>
      <c r="AE94" s="591">
        <v>0</v>
      </c>
      <c r="AF94" s="591">
        <v>0</v>
      </c>
      <c r="AG94" s="591">
        <v>0</v>
      </c>
      <c r="AH94" s="591">
        <v>0</v>
      </c>
      <c r="AI94" s="591">
        <v>0</v>
      </c>
      <c r="AJ94" s="591">
        <v>6159</v>
      </c>
      <c r="AK94" s="591" t="s">
        <v>671</v>
      </c>
      <c r="AL94" s="591" t="s">
        <v>345</v>
      </c>
      <c r="AM94" s="591">
        <v>0</v>
      </c>
      <c r="AN94" s="591">
        <v>0</v>
      </c>
      <c r="AO94" s="591">
        <v>0</v>
      </c>
      <c r="AP94" s="591">
        <v>0</v>
      </c>
      <c r="AQ94" s="591">
        <v>0</v>
      </c>
      <c r="AR94" s="591">
        <v>0</v>
      </c>
      <c r="AS94" s="591">
        <v>0</v>
      </c>
      <c r="AT94" s="591">
        <v>0</v>
      </c>
      <c r="AU94" s="591">
        <v>0</v>
      </c>
      <c r="AV94" s="591">
        <v>0</v>
      </c>
      <c r="AW94" s="591">
        <v>2534511</v>
      </c>
      <c r="AX94" s="591">
        <v>2507723</v>
      </c>
      <c r="AY94" s="591">
        <v>0</v>
      </c>
      <c r="AZ94" s="591">
        <v>70829</v>
      </c>
      <c r="BA94" s="591">
        <v>0</v>
      </c>
      <c r="BB94" s="591">
        <v>0</v>
      </c>
      <c r="BC94" s="591">
        <v>0</v>
      </c>
      <c r="BD94" s="591">
        <v>0</v>
      </c>
      <c r="BE94" s="591">
        <v>33</v>
      </c>
      <c r="BF94" s="591">
        <v>2241785</v>
      </c>
      <c r="BG94" s="591">
        <v>0</v>
      </c>
      <c r="BH94" s="591">
        <v>0</v>
      </c>
      <c r="BI94" s="591">
        <v>0</v>
      </c>
      <c r="BJ94" s="591">
        <v>12</v>
      </c>
      <c r="BK94" s="591">
        <v>0</v>
      </c>
      <c r="BL94" s="591">
        <v>0</v>
      </c>
      <c r="BM94" s="591">
        <v>0</v>
      </c>
      <c r="BN94" s="591">
        <v>0</v>
      </c>
      <c r="BO94" s="591">
        <v>0</v>
      </c>
      <c r="BP94" s="591">
        <v>0</v>
      </c>
      <c r="BQ94" s="591">
        <v>749</v>
      </c>
      <c r="BR94" s="591">
        <v>0</v>
      </c>
      <c r="BS94" s="591">
        <v>0</v>
      </c>
      <c r="BT94" s="591">
        <v>0</v>
      </c>
      <c r="BU94" s="591">
        <v>0</v>
      </c>
      <c r="BV94" s="591">
        <v>0</v>
      </c>
      <c r="BW94" s="591">
        <v>0</v>
      </c>
      <c r="BX94" s="591">
        <v>0</v>
      </c>
      <c r="BY94" s="591">
        <v>0</v>
      </c>
      <c r="BZ94" s="591">
        <v>0</v>
      </c>
      <c r="CA94" s="591">
        <v>0</v>
      </c>
      <c r="CB94" s="591">
        <v>0</v>
      </c>
      <c r="CC94" s="591">
        <v>0</v>
      </c>
      <c r="CD94" s="591">
        <v>0</v>
      </c>
      <c r="CE94" s="591">
        <v>0</v>
      </c>
      <c r="CF94" s="591">
        <v>0</v>
      </c>
      <c r="CG94" s="591">
        <v>0</v>
      </c>
      <c r="CH94" s="591">
        <v>29663</v>
      </c>
      <c r="CI94" s="591">
        <v>0</v>
      </c>
      <c r="CJ94" s="591">
        <v>4</v>
      </c>
      <c r="CK94" s="591">
        <v>0</v>
      </c>
      <c r="CL94" s="591">
        <v>0</v>
      </c>
      <c r="CM94" s="591">
        <v>0</v>
      </c>
      <c r="CN94" s="591">
        <v>0</v>
      </c>
      <c r="CO94" s="591">
        <v>1</v>
      </c>
      <c r="CP94" s="591">
        <v>0</v>
      </c>
      <c r="CQ94" s="591">
        <v>0</v>
      </c>
      <c r="CR94" s="591">
        <v>163.69300000000001</v>
      </c>
      <c r="CS94" s="591">
        <v>0</v>
      </c>
      <c r="CT94" s="591">
        <v>0</v>
      </c>
      <c r="CU94" s="591">
        <v>0</v>
      </c>
      <c r="CV94" s="591">
        <v>0</v>
      </c>
      <c r="CW94" s="591">
        <v>0</v>
      </c>
      <c r="CX94" s="591">
        <v>0</v>
      </c>
      <c r="CY94" s="591">
        <v>0</v>
      </c>
      <c r="CZ94" s="591">
        <v>0</v>
      </c>
      <c r="DA94" s="591">
        <v>0</v>
      </c>
      <c r="DB94" s="591">
        <v>552356</v>
      </c>
      <c r="DC94" s="591">
        <v>0</v>
      </c>
      <c r="DD94" s="591">
        <v>0</v>
      </c>
      <c r="DE94" s="591">
        <v>503428</v>
      </c>
      <c r="DF94" s="591">
        <v>503428</v>
      </c>
      <c r="DG94" s="591">
        <v>81.738</v>
      </c>
      <c r="DH94" s="591">
        <v>0</v>
      </c>
      <c r="DI94" s="591">
        <v>0</v>
      </c>
      <c r="DJ94" s="591">
        <v>0</v>
      </c>
      <c r="DK94" s="591">
        <v>3612</v>
      </c>
      <c r="DL94" s="591">
        <v>0</v>
      </c>
      <c r="DM94" s="591">
        <v>1016529</v>
      </c>
      <c r="DN94" s="591">
        <v>2842</v>
      </c>
      <c r="DO94" s="591">
        <v>0</v>
      </c>
      <c r="DP94" s="591">
        <v>0</v>
      </c>
      <c r="DQ94" s="591">
        <v>0</v>
      </c>
      <c r="DR94" s="591">
        <v>0</v>
      </c>
      <c r="DS94" s="591">
        <v>0</v>
      </c>
      <c r="DT94" s="591">
        <v>0</v>
      </c>
      <c r="DU94" s="591">
        <v>0</v>
      </c>
      <c r="DV94" s="591">
        <v>0</v>
      </c>
      <c r="DW94" s="591">
        <v>0</v>
      </c>
      <c r="DX94" s="591">
        <v>0</v>
      </c>
      <c r="DY94" s="591">
        <v>0</v>
      </c>
      <c r="DZ94" s="591">
        <v>0</v>
      </c>
      <c r="EA94" s="591">
        <v>0</v>
      </c>
      <c r="EB94" s="591">
        <v>0</v>
      </c>
      <c r="EC94" s="591">
        <v>3.2770000000000001</v>
      </c>
      <c r="ED94" s="591">
        <v>23211</v>
      </c>
      <c r="EE94" s="591">
        <v>0</v>
      </c>
      <c r="EF94" s="591">
        <v>0</v>
      </c>
      <c r="EG94" s="591">
        <v>0.217</v>
      </c>
      <c r="EH94" s="591">
        <v>34133</v>
      </c>
      <c r="EI94" s="591">
        <v>690261</v>
      </c>
      <c r="EJ94" s="591">
        <v>28.018000000000001</v>
      </c>
      <c r="EK94" s="591">
        <v>0.94200000000000006</v>
      </c>
      <c r="EL94" s="591">
        <v>0</v>
      </c>
      <c r="EM94" s="591">
        <v>0.71</v>
      </c>
      <c r="EN94" s="591">
        <v>0</v>
      </c>
      <c r="EO94" s="591">
        <v>0</v>
      </c>
      <c r="EP94" s="591">
        <v>0</v>
      </c>
      <c r="EQ94" s="591">
        <v>29.887</v>
      </c>
      <c r="ER94" s="591">
        <v>0</v>
      </c>
      <c r="ES94" s="591">
        <v>5.5420000000000007</v>
      </c>
      <c r="ET94" s="591">
        <v>0</v>
      </c>
      <c r="EU94" s="591">
        <v>0</v>
      </c>
      <c r="EV94" s="591">
        <v>0</v>
      </c>
      <c r="EW94" s="591">
        <v>0</v>
      </c>
      <c r="EX94" s="591">
        <v>0</v>
      </c>
      <c r="EY94" s="591">
        <v>0</v>
      </c>
      <c r="EZ94" s="591">
        <v>2228151</v>
      </c>
      <c r="FA94" s="591">
        <v>0</v>
      </c>
      <c r="FB94" s="591">
        <v>2296105</v>
      </c>
      <c r="FC94" s="591">
        <v>0</v>
      </c>
      <c r="FD94" s="591">
        <v>0</v>
      </c>
      <c r="FE94" s="591">
        <v>232208</v>
      </c>
      <c r="FF94" s="591">
        <v>47364</v>
      </c>
      <c r="FG94" s="591">
        <v>6.4728999999999995E-2</v>
      </c>
      <c r="FH94" s="591">
        <v>2.6405999999999999E-2</v>
      </c>
      <c r="FI94" s="591">
        <v>0</v>
      </c>
      <c r="FJ94" s="591">
        <v>0</v>
      </c>
      <c r="FK94" s="591">
        <v>363.98</v>
      </c>
      <c r="FL94" s="591">
        <v>2605340</v>
      </c>
      <c r="FM94" s="591">
        <v>0</v>
      </c>
      <c r="FN94" s="591">
        <v>0</v>
      </c>
      <c r="FO94" s="591">
        <v>0</v>
      </c>
      <c r="FP94" s="591">
        <v>0</v>
      </c>
      <c r="FQ94" s="591">
        <v>0</v>
      </c>
      <c r="FR94" s="591">
        <v>0</v>
      </c>
      <c r="FS94" s="591">
        <v>0</v>
      </c>
      <c r="FT94" s="591">
        <v>0</v>
      </c>
      <c r="FU94" s="591">
        <v>0</v>
      </c>
      <c r="FV94" s="591">
        <v>0</v>
      </c>
      <c r="FW94" s="591">
        <v>0</v>
      </c>
      <c r="FX94" s="591">
        <v>0</v>
      </c>
      <c r="FY94" s="591">
        <v>0</v>
      </c>
      <c r="FZ94" s="591">
        <v>0</v>
      </c>
      <c r="GA94" s="591">
        <v>0</v>
      </c>
      <c r="GB94" s="591">
        <v>0</v>
      </c>
      <c r="GC94" s="591">
        <v>0</v>
      </c>
      <c r="GD94" s="591">
        <v>0</v>
      </c>
      <c r="GE94" s="591">
        <v>0</v>
      </c>
      <c r="GF94" s="591">
        <v>0</v>
      </c>
      <c r="GG94" s="591">
        <v>0</v>
      </c>
      <c r="GH94" s="591">
        <v>0</v>
      </c>
      <c r="GI94" s="591">
        <v>0</v>
      </c>
      <c r="GJ94" s="591">
        <v>0</v>
      </c>
      <c r="GK94" s="591">
        <v>0</v>
      </c>
      <c r="GL94" s="591">
        <v>0</v>
      </c>
      <c r="GM94" s="591">
        <v>0</v>
      </c>
      <c r="GN94" s="591">
        <v>0</v>
      </c>
      <c r="GO94" s="591">
        <v>0</v>
      </c>
      <c r="GP94" s="591">
        <v>0</v>
      </c>
      <c r="GQ94" s="591">
        <v>0</v>
      </c>
      <c r="GR94" s="591">
        <v>0</v>
      </c>
      <c r="GS94" s="591">
        <v>0</v>
      </c>
      <c r="GT94" s="591">
        <v>0</v>
      </c>
      <c r="GU94" s="591">
        <v>0</v>
      </c>
      <c r="GV94" s="591">
        <v>0</v>
      </c>
      <c r="GW94" s="591">
        <v>0</v>
      </c>
      <c r="GX94" s="591">
        <v>0</v>
      </c>
      <c r="GY94" s="591">
        <v>0</v>
      </c>
      <c r="GZ94" s="591">
        <v>0</v>
      </c>
      <c r="HA94" s="591">
        <v>0</v>
      </c>
      <c r="HB94" s="591">
        <v>260009272</v>
      </c>
      <c r="HC94" s="591">
        <v>5.1774999999999995E-2</v>
      </c>
      <c r="HD94" s="591">
        <v>29663</v>
      </c>
      <c r="HE94" s="591">
        <v>0</v>
      </c>
      <c r="HF94" s="591">
        <v>147053</v>
      </c>
      <c r="HG94" s="591">
        <v>1540</v>
      </c>
      <c r="HH94" s="591">
        <v>0</v>
      </c>
      <c r="HI94" s="591">
        <v>0</v>
      </c>
      <c r="HJ94" s="591">
        <v>1591</v>
      </c>
      <c r="HK94" s="591">
        <v>2415</v>
      </c>
      <c r="HL94" s="591">
        <v>0</v>
      </c>
      <c r="HM94" s="591">
        <v>0</v>
      </c>
      <c r="HN94" s="591">
        <v>0</v>
      </c>
      <c r="HO94" s="591">
        <v>0</v>
      </c>
      <c r="HP94" s="591">
        <v>54780</v>
      </c>
      <c r="HQ94" s="591">
        <v>0</v>
      </c>
      <c r="HR94" s="591">
        <v>0</v>
      </c>
      <c r="HS94" s="591">
        <v>2225276</v>
      </c>
      <c r="HT94" s="591">
        <v>0</v>
      </c>
      <c r="HU94" s="591">
        <v>0</v>
      </c>
      <c r="HV94" s="591">
        <v>0</v>
      </c>
      <c r="HW94" s="591">
        <v>0</v>
      </c>
      <c r="HX94" s="591">
        <v>29</v>
      </c>
      <c r="HY94" s="591">
        <v>50</v>
      </c>
      <c r="HZ94" s="591">
        <v>50</v>
      </c>
      <c r="IA94" s="591">
        <v>69</v>
      </c>
      <c r="IB94" s="591">
        <v>119</v>
      </c>
      <c r="IC94" s="591">
        <v>206</v>
      </c>
      <c r="ID94" s="591">
        <v>0</v>
      </c>
      <c r="IE94" s="591">
        <v>0</v>
      </c>
      <c r="IF94" s="591">
        <v>0</v>
      </c>
      <c r="IG94" s="591">
        <v>2.5</v>
      </c>
      <c r="IH94" s="591">
        <v>0</v>
      </c>
      <c r="II94" s="591">
        <v>199.20000000000002</v>
      </c>
      <c r="IJ94" s="591">
        <v>26.702000000000002</v>
      </c>
      <c r="IK94" s="591">
        <v>0</v>
      </c>
      <c r="IL94" s="591">
        <v>0</v>
      </c>
      <c r="IM94" s="591">
        <v>0</v>
      </c>
      <c r="IN94" s="591">
        <v>0</v>
      </c>
      <c r="IO94" s="591">
        <v>0</v>
      </c>
      <c r="IP94" s="591">
        <v>199.20000000000002</v>
      </c>
      <c r="IQ94" s="591">
        <v>26.702000000000002</v>
      </c>
      <c r="IR94" s="591">
        <v>16446</v>
      </c>
      <c r="IS94" s="591">
        <v>0</v>
      </c>
      <c r="IT94" s="591">
        <v>0</v>
      </c>
      <c r="IU94" s="591">
        <v>0</v>
      </c>
      <c r="IV94" s="591">
        <v>0</v>
      </c>
      <c r="IW94" s="591">
        <v>6159</v>
      </c>
      <c r="IX94" s="591">
        <v>0</v>
      </c>
      <c r="IY94" s="591">
        <v>0</v>
      </c>
      <c r="IZ94" s="591">
        <v>54780</v>
      </c>
      <c r="JA94" s="591">
        <v>0</v>
      </c>
      <c r="JB94" s="591">
        <v>0</v>
      </c>
      <c r="JC94" s="591">
        <v>0</v>
      </c>
      <c r="JD94" s="591">
        <v>0</v>
      </c>
      <c r="JE94" s="591">
        <v>0</v>
      </c>
      <c r="JF94" s="591">
        <v>0</v>
      </c>
      <c r="JG94" s="591">
        <v>0</v>
      </c>
      <c r="JH94" s="591">
        <v>0</v>
      </c>
      <c r="JI94" s="591">
        <v>0</v>
      </c>
      <c r="JJ94" s="591">
        <v>0</v>
      </c>
      <c r="JK94" s="591">
        <v>0</v>
      </c>
      <c r="JL94" s="591">
        <v>0</v>
      </c>
      <c r="JM94" s="591">
        <v>0</v>
      </c>
      <c r="JN94" s="591">
        <v>32469</v>
      </c>
    </row>
    <row r="95" spans="1:274" x14ac:dyDescent="0.25">
      <c r="A95" s="591">
        <v>32570</v>
      </c>
      <c r="B95" s="591">
        <v>101814</v>
      </c>
      <c r="C95" s="591">
        <v>9</v>
      </c>
      <c r="D95" s="591">
        <v>2022</v>
      </c>
      <c r="E95" s="591">
        <v>6159</v>
      </c>
      <c r="F95" s="591">
        <v>0</v>
      </c>
      <c r="G95" s="591">
        <v>1181.4100000000001</v>
      </c>
      <c r="H95" s="591">
        <v>1172.57</v>
      </c>
      <c r="I95" s="591">
        <v>1172.57</v>
      </c>
      <c r="J95" s="591">
        <v>1181.4100000000001</v>
      </c>
      <c r="K95" s="591">
        <v>0</v>
      </c>
      <c r="L95" s="591">
        <v>6159</v>
      </c>
      <c r="M95" s="591">
        <v>0</v>
      </c>
      <c r="N95" s="591">
        <v>0</v>
      </c>
      <c r="O95" s="591">
        <v>0</v>
      </c>
      <c r="P95" s="591">
        <v>1185.624</v>
      </c>
      <c r="Q95" s="591">
        <v>0</v>
      </c>
      <c r="R95" s="591">
        <v>477128</v>
      </c>
      <c r="S95" s="591">
        <v>402.428</v>
      </c>
      <c r="T95" s="591">
        <v>0</v>
      </c>
      <c r="U95" s="591">
        <v>0</v>
      </c>
      <c r="V95" s="591">
        <v>549.58000000000004</v>
      </c>
      <c r="W95" s="591">
        <v>338491</v>
      </c>
      <c r="X95" s="591">
        <v>338491</v>
      </c>
      <c r="Y95" s="591">
        <v>0</v>
      </c>
      <c r="Z95" s="591">
        <v>0</v>
      </c>
      <c r="AA95" s="591">
        <v>0</v>
      </c>
      <c r="AB95" s="591">
        <v>0</v>
      </c>
      <c r="AC95" s="591">
        <v>0</v>
      </c>
      <c r="AD95" s="591" t="s">
        <v>316</v>
      </c>
      <c r="AE95" s="591">
        <v>0</v>
      </c>
      <c r="AF95" s="591">
        <v>0</v>
      </c>
      <c r="AG95" s="591">
        <v>0</v>
      </c>
      <c r="AH95" s="591">
        <v>0</v>
      </c>
      <c r="AI95" s="591">
        <v>0</v>
      </c>
      <c r="AJ95" s="591">
        <v>6159</v>
      </c>
      <c r="AK95" s="591" t="s">
        <v>671</v>
      </c>
      <c r="AL95" s="591" t="s">
        <v>346</v>
      </c>
      <c r="AM95" s="591">
        <v>0</v>
      </c>
      <c r="AN95" s="591">
        <v>0</v>
      </c>
      <c r="AO95" s="591">
        <v>0</v>
      </c>
      <c r="AP95" s="591">
        <v>0</v>
      </c>
      <c r="AQ95" s="591">
        <v>0</v>
      </c>
      <c r="AR95" s="591">
        <v>0</v>
      </c>
      <c r="AS95" s="591">
        <v>0</v>
      </c>
      <c r="AT95" s="591">
        <v>0</v>
      </c>
      <c r="AU95" s="591">
        <v>0</v>
      </c>
      <c r="AV95" s="591">
        <v>0</v>
      </c>
      <c r="AW95" s="591">
        <v>13530553</v>
      </c>
      <c r="AX95" s="591">
        <v>13532308</v>
      </c>
      <c r="AY95" s="591">
        <v>0</v>
      </c>
      <c r="AZ95" s="591">
        <v>477128</v>
      </c>
      <c r="BA95" s="591">
        <v>0</v>
      </c>
      <c r="BB95" s="591">
        <v>0</v>
      </c>
      <c r="BC95" s="591">
        <v>0</v>
      </c>
      <c r="BD95" s="591">
        <v>0</v>
      </c>
      <c r="BE95" s="591">
        <v>179</v>
      </c>
      <c r="BF95" s="591">
        <v>12370936</v>
      </c>
      <c r="BG95" s="591">
        <v>0</v>
      </c>
      <c r="BH95" s="591">
        <v>0</v>
      </c>
      <c r="BI95" s="591">
        <v>0</v>
      </c>
      <c r="BJ95" s="591">
        <v>12</v>
      </c>
      <c r="BK95" s="591">
        <v>0</v>
      </c>
      <c r="BL95" s="591">
        <v>0</v>
      </c>
      <c r="BM95" s="591">
        <v>0</v>
      </c>
      <c r="BN95" s="591">
        <v>0</v>
      </c>
      <c r="BO95" s="591">
        <v>0</v>
      </c>
      <c r="BP95" s="591">
        <v>0</v>
      </c>
      <c r="BQ95" s="591">
        <v>589</v>
      </c>
      <c r="BR95" s="591">
        <v>0</v>
      </c>
      <c r="BS95" s="591">
        <v>0</v>
      </c>
      <c r="BT95" s="591">
        <v>0</v>
      </c>
      <c r="BU95" s="591">
        <v>0</v>
      </c>
      <c r="BV95" s="591">
        <v>0</v>
      </c>
      <c r="BW95" s="591">
        <v>0</v>
      </c>
      <c r="BX95" s="591">
        <v>0</v>
      </c>
      <c r="BY95" s="591">
        <v>0</v>
      </c>
      <c r="BZ95" s="591">
        <v>0</v>
      </c>
      <c r="CA95" s="591">
        <v>0</v>
      </c>
      <c r="CB95" s="591">
        <v>0</v>
      </c>
      <c r="CC95" s="591">
        <v>0</v>
      </c>
      <c r="CD95" s="591">
        <v>0</v>
      </c>
      <c r="CE95" s="591">
        <v>0</v>
      </c>
      <c r="CF95" s="591">
        <v>0</v>
      </c>
      <c r="CG95" s="591">
        <v>0</v>
      </c>
      <c r="CH95" s="591">
        <v>0</v>
      </c>
      <c r="CI95" s="591">
        <v>0</v>
      </c>
      <c r="CJ95" s="591">
        <v>4</v>
      </c>
      <c r="CK95" s="591">
        <v>0</v>
      </c>
      <c r="CL95" s="591">
        <v>0</v>
      </c>
      <c r="CM95" s="591">
        <v>0</v>
      </c>
      <c r="CN95" s="591">
        <v>0</v>
      </c>
      <c r="CO95" s="591">
        <v>1</v>
      </c>
      <c r="CP95" s="591">
        <v>0</v>
      </c>
      <c r="CQ95" s="591">
        <v>0</v>
      </c>
      <c r="CR95" s="591">
        <v>1181.4100000000001</v>
      </c>
      <c r="CS95" s="591">
        <v>0</v>
      </c>
      <c r="CT95" s="591">
        <v>0</v>
      </c>
      <c r="CU95" s="591">
        <v>0</v>
      </c>
      <c r="CV95" s="591">
        <v>0</v>
      </c>
      <c r="CW95" s="591">
        <v>0</v>
      </c>
      <c r="CX95" s="591">
        <v>0</v>
      </c>
      <c r="CY95" s="591">
        <v>0</v>
      </c>
      <c r="CZ95" s="591">
        <v>0</v>
      </c>
      <c r="DA95" s="591">
        <v>0</v>
      </c>
      <c r="DB95" s="591">
        <v>7198397</v>
      </c>
      <c r="DC95" s="591">
        <v>0</v>
      </c>
      <c r="DD95" s="591">
        <v>0</v>
      </c>
      <c r="DE95" s="591">
        <v>2340066</v>
      </c>
      <c r="DF95" s="591">
        <v>2340066</v>
      </c>
      <c r="DG95" s="591">
        <v>379.93800000000005</v>
      </c>
      <c r="DH95" s="591">
        <v>0</v>
      </c>
      <c r="DI95" s="591">
        <v>0</v>
      </c>
      <c r="DJ95" s="591">
        <v>0</v>
      </c>
      <c r="DK95" s="591">
        <v>1053</v>
      </c>
      <c r="DL95" s="591">
        <v>0</v>
      </c>
      <c r="DM95" s="591">
        <v>436549</v>
      </c>
      <c r="DN95" s="591">
        <v>1576</v>
      </c>
      <c r="DO95" s="591">
        <v>0</v>
      </c>
      <c r="DP95" s="591">
        <v>0</v>
      </c>
      <c r="DQ95" s="591">
        <v>0</v>
      </c>
      <c r="DR95" s="591">
        <v>0</v>
      </c>
      <c r="DS95" s="591">
        <v>0</v>
      </c>
      <c r="DT95" s="591">
        <v>0</v>
      </c>
      <c r="DU95" s="591">
        <v>0</v>
      </c>
      <c r="DV95" s="591">
        <v>0</v>
      </c>
      <c r="DW95" s="591">
        <v>0</v>
      </c>
      <c r="DX95" s="591">
        <v>0</v>
      </c>
      <c r="DY95" s="591">
        <v>0</v>
      </c>
      <c r="DZ95" s="591">
        <v>0</v>
      </c>
      <c r="EA95" s="591">
        <v>0</v>
      </c>
      <c r="EB95" s="591">
        <v>0</v>
      </c>
      <c r="EC95" s="591">
        <v>33.953000000000003</v>
      </c>
      <c r="ED95" s="591">
        <v>240487</v>
      </c>
      <c r="EE95" s="591">
        <v>0</v>
      </c>
      <c r="EF95" s="591">
        <v>0</v>
      </c>
      <c r="EG95" s="591">
        <v>0</v>
      </c>
      <c r="EH95" s="591">
        <v>174080</v>
      </c>
      <c r="EI95" s="591">
        <v>0</v>
      </c>
      <c r="EJ95" s="591">
        <v>0</v>
      </c>
      <c r="EK95" s="591">
        <v>7.968</v>
      </c>
      <c r="EL95" s="591">
        <v>0</v>
      </c>
      <c r="EM95" s="591">
        <v>0</v>
      </c>
      <c r="EN95" s="591">
        <v>0.872</v>
      </c>
      <c r="EO95" s="591">
        <v>0</v>
      </c>
      <c r="EP95" s="591">
        <v>0</v>
      </c>
      <c r="EQ95" s="591">
        <v>8.84</v>
      </c>
      <c r="ER95" s="591">
        <v>0</v>
      </c>
      <c r="ES95" s="591">
        <v>28.264000000000003</v>
      </c>
      <c r="ET95" s="591">
        <v>0</v>
      </c>
      <c r="EU95" s="591">
        <v>0</v>
      </c>
      <c r="EV95" s="591">
        <v>0</v>
      </c>
      <c r="EW95" s="591">
        <v>0</v>
      </c>
      <c r="EX95" s="591">
        <v>0</v>
      </c>
      <c r="EY95" s="591">
        <v>0</v>
      </c>
      <c r="EZ95" s="591">
        <v>11989532</v>
      </c>
      <c r="FA95" s="591">
        <v>0</v>
      </c>
      <c r="FB95" s="591">
        <v>12464905</v>
      </c>
      <c r="FC95" s="591">
        <v>0</v>
      </c>
      <c r="FD95" s="591">
        <v>0</v>
      </c>
      <c r="FE95" s="591">
        <v>1281404</v>
      </c>
      <c r="FF95" s="591">
        <v>261372</v>
      </c>
      <c r="FG95" s="591">
        <v>6.4728999999999995E-2</v>
      </c>
      <c r="FH95" s="591">
        <v>2.6405999999999999E-2</v>
      </c>
      <c r="FI95" s="591">
        <v>0</v>
      </c>
      <c r="FJ95" s="591">
        <v>0</v>
      </c>
      <c r="FK95" s="591">
        <v>2008.568</v>
      </c>
      <c r="FL95" s="591">
        <v>14007681</v>
      </c>
      <c r="FM95" s="591">
        <v>0</v>
      </c>
      <c r="FN95" s="591">
        <v>0</v>
      </c>
      <c r="FO95" s="591">
        <v>95724</v>
      </c>
      <c r="FP95" s="591">
        <v>0</v>
      </c>
      <c r="FQ95" s="591">
        <v>95724</v>
      </c>
      <c r="FR95" s="591">
        <v>95724</v>
      </c>
      <c r="FS95" s="591">
        <v>0</v>
      </c>
      <c r="FT95" s="591">
        <v>0</v>
      </c>
      <c r="FU95" s="591">
        <v>0</v>
      </c>
      <c r="FV95" s="591">
        <v>0</v>
      </c>
      <c r="FW95" s="591">
        <v>0</v>
      </c>
      <c r="FX95" s="591">
        <v>0</v>
      </c>
      <c r="FY95" s="591">
        <v>0</v>
      </c>
      <c r="FZ95" s="591">
        <v>0</v>
      </c>
      <c r="GA95" s="591">
        <v>0</v>
      </c>
      <c r="GB95" s="591">
        <v>0</v>
      </c>
      <c r="GC95" s="591">
        <v>0</v>
      </c>
      <c r="GD95" s="591">
        <v>0</v>
      </c>
      <c r="GE95" s="591">
        <v>0</v>
      </c>
      <c r="GF95" s="591">
        <v>0</v>
      </c>
      <c r="GG95" s="591">
        <v>0</v>
      </c>
      <c r="GH95" s="591">
        <v>0</v>
      </c>
      <c r="GI95" s="591">
        <v>0</v>
      </c>
      <c r="GJ95" s="591">
        <v>0</v>
      </c>
      <c r="GK95" s="591">
        <v>0</v>
      </c>
      <c r="GL95" s="591">
        <v>0</v>
      </c>
      <c r="GM95" s="591">
        <v>0</v>
      </c>
      <c r="GN95" s="591">
        <v>0</v>
      </c>
      <c r="GO95" s="591">
        <v>0</v>
      </c>
      <c r="GP95" s="591">
        <v>0</v>
      </c>
      <c r="GQ95" s="591">
        <v>0</v>
      </c>
      <c r="GR95" s="591">
        <v>0</v>
      </c>
      <c r="GS95" s="591">
        <v>0</v>
      </c>
      <c r="GT95" s="591">
        <v>0</v>
      </c>
      <c r="GU95" s="591">
        <v>0</v>
      </c>
      <c r="GV95" s="591">
        <v>0</v>
      </c>
      <c r="GW95" s="591">
        <v>0</v>
      </c>
      <c r="GX95" s="591">
        <v>0</v>
      </c>
      <c r="GY95" s="591">
        <v>0</v>
      </c>
      <c r="GZ95" s="591">
        <v>0</v>
      </c>
      <c r="HA95" s="591">
        <v>0</v>
      </c>
      <c r="HB95" s="591">
        <v>0</v>
      </c>
      <c r="HC95" s="591">
        <v>5.1774999999999995E-2</v>
      </c>
      <c r="HD95" s="591">
        <v>0</v>
      </c>
      <c r="HE95" s="591">
        <v>0</v>
      </c>
      <c r="HF95" s="591">
        <v>1288654</v>
      </c>
      <c r="HG95" s="591">
        <v>616</v>
      </c>
      <c r="HH95" s="591">
        <v>755104</v>
      </c>
      <c r="HI95" s="591">
        <v>0</v>
      </c>
      <c r="HJ95" s="591">
        <v>11483</v>
      </c>
      <c r="HK95" s="591">
        <v>0</v>
      </c>
      <c r="HL95" s="591">
        <v>0</v>
      </c>
      <c r="HM95" s="591">
        <v>0</v>
      </c>
      <c r="HN95" s="591">
        <v>0</v>
      </c>
      <c r="HO95" s="591">
        <v>0</v>
      </c>
      <c r="HP95" s="591">
        <v>0</v>
      </c>
      <c r="HQ95" s="591">
        <v>0</v>
      </c>
      <c r="HR95" s="591">
        <v>0</v>
      </c>
      <c r="HS95" s="591">
        <v>11987777</v>
      </c>
      <c r="HT95" s="591">
        <v>0</v>
      </c>
      <c r="HU95" s="591">
        <v>0</v>
      </c>
      <c r="HV95" s="591">
        <v>0</v>
      </c>
      <c r="HW95" s="591">
        <v>0</v>
      </c>
      <c r="HX95" s="591">
        <v>75</v>
      </c>
      <c r="HY95" s="591">
        <v>112</v>
      </c>
      <c r="HZ95" s="591">
        <v>264</v>
      </c>
      <c r="IA95" s="591">
        <v>385</v>
      </c>
      <c r="IB95" s="591">
        <v>616</v>
      </c>
      <c r="IC95" s="591">
        <v>1308</v>
      </c>
      <c r="ID95" s="591">
        <v>0</v>
      </c>
      <c r="IE95" s="591">
        <v>0</v>
      </c>
      <c r="IF95" s="591">
        <v>0</v>
      </c>
      <c r="IG95" s="591">
        <v>1</v>
      </c>
      <c r="IH95" s="591">
        <v>1226</v>
      </c>
      <c r="II95" s="591">
        <v>0</v>
      </c>
      <c r="IJ95" s="591">
        <v>549.58000000000004</v>
      </c>
      <c r="IK95" s="591">
        <v>0</v>
      </c>
      <c r="IL95" s="591">
        <v>0</v>
      </c>
      <c r="IM95" s="591">
        <v>0</v>
      </c>
      <c r="IN95" s="591">
        <v>0</v>
      </c>
      <c r="IO95" s="591">
        <v>0</v>
      </c>
      <c r="IP95" s="591">
        <v>0</v>
      </c>
      <c r="IQ95" s="591">
        <v>549.58000000000004</v>
      </c>
      <c r="IR95" s="591">
        <v>338491</v>
      </c>
      <c r="IS95" s="591">
        <v>0</v>
      </c>
      <c r="IT95" s="591">
        <v>0</v>
      </c>
      <c r="IU95" s="591">
        <v>0</v>
      </c>
      <c r="IV95" s="591">
        <v>0</v>
      </c>
      <c r="IW95" s="591">
        <v>6159</v>
      </c>
      <c r="IX95" s="591">
        <v>0</v>
      </c>
      <c r="IY95" s="591">
        <v>0</v>
      </c>
      <c r="IZ95" s="591">
        <v>0</v>
      </c>
      <c r="JA95" s="591">
        <v>0</v>
      </c>
      <c r="JB95" s="591">
        <v>0</v>
      </c>
      <c r="JC95" s="591">
        <v>0</v>
      </c>
      <c r="JD95" s="591">
        <v>0</v>
      </c>
      <c r="JE95" s="591">
        <v>0</v>
      </c>
      <c r="JF95" s="591">
        <v>0</v>
      </c>
      <c r="JG95" s="591">
        <v>0</v>
      </c>
      <c r="JH95" s="591">
        <v>0</v>
      </c>
      <c r="JI95" s="591">
        <v>0</v>
      </c>
      <c r="JJ95" s="591">
        <v>0</v>
      </c>
      <c r="JK95" s="591">
        <v>0</v>
      </c>
      <c r="JL95" s="591">
        <v>0</v>
      </c>
      <c r="JM95" s="591">
        <v>0</v>
      </c>
      <c r="JN95" s="591">
        <v>32469</v>
      </c>
    </row>
    <row r="96" spans="1:274" x14ac:dyDescent="0.25">
      <c r="A96" s="591">
        <v>32570</v>
      </c>
      <c r="B96" s="591">
        <v>101815</v>
      </c>
      <c r="C96" s="591">
        <v>9</v>
      </c>
      <c r="D96" s="591">
        <v>2022</v>
      </c>
      <c r="E96" s="591">
        <v>6159</v>
      </c>
      <c r="F96" s="591">
        <v>0</v>
      </c>
      <c r="G96" s="591">
        <v>261.61799999999999</v>
      </c>
      <c r="H96" s="591">
        <v>261.07499999999999</v>
      </c>
      <c r="I96" s="591">
        <v>261.07499999999999</v>
      </c>
      <c r="J96" s="591">
        <v>261.61799999999999</v>
      </c>
      <c r="K96" s="591">
        <v>0</v>
      </c>
      <c r="L96" s="591">
        <v>6159</v>
      </c>
      <c r="M96" s="591">
        <v>0</v>
      </c>
      <c r="N96" s="591">
        <v>0</v>
      </c>
      <c r="O96" s="591">
        <v>0</v>
      </c>
      <c r="P96" s="591">
        <v>254.32400000000001</v>
      </c>
      <c r="Q96" s="591">
        <v>0</v>
      </c>
      <c r="R96" s="591">
        <v>102347</v>
      </c>
      <c r="S96" s="591">
        <v>402.428</v>
      </c>
      <c r="T96" s="591">
        <v>0</v>
      </c>
      <c r="U96" s="591">
        <v>0</v>
      </c>
      <c r="V96" s="591">
        <v>186.59200000000001</v>
      </c>
      <c r="W96" s="591">
        <v>114924</v>
      </c>
      <c r="X96" s="591">
        <v>114924</v>
      </c>
      <c r="Y96" s="591">
        <v>0</v>
      </c>
      <c r="Z96" s="591">
        <v>0</v>
      </c>
      <c r="AA96" s="591">
        <v>0</v>
      </c>
      <c r="AB96" s="591">
        <v>0</v>
      </c>
      <c r="AC96" s="591">
        <v>0</v>
      </c>
      <c r="AD96" s="591" t="s">
        <v>316</v>
      </c>
      <c r="AE96" s="591">
        <v>0</v>
      </c>
      <c r="AF96" s="591">
        <v>0</v>
      </c>
      <c r="AG96" s="591">
        <v>0</v>
      </c>
      <c r="AH96" s="591">
        <v>0</v>
      </c>
      <c r="AI96" s="591">
        <v>0</v>
      </c>
      <c r="AJ96" s="591">
        <v>6159</v>
      </c>
      <c r="AK96" s="591" t="s">
        <v>671</v>
      </c>
      <c r="AL96" s="591" t="s">
        <v>53</v>
      </c>
      <c r="AM96" s="591">
        <v>0</v>
      </c>
      <c r="AN96" s="591">
        <v>0</v>
      </c>
      <c r="AO96" s="591">
        <v>0</v>
      </c>
      <c r="AP96" s="591">
        <v>0</v>
      </c>
      <c r="AQ96" s="591">
        <v>0</v>
      </c>
      <c r="AR96" s="591">
        <v>0</v>
      </c>
      <c r="AS96" s="591">
        <v>0</v>
      </c>
      <c r="AT96" s="591">
        <v>0</v>
      </c>
      <c r="AU96" s="591">
        <v>0</v>
      </c>
      <c r="AV96" s="591">
        <v>0</v>
      </c>
      <c r="AW96" s="591">
        <v>2811455</v>
      </c>
      <c r="AX96" s="591">
        <v>2764327</v>
      </c>
      <c r="AY96" s="591">
        <v>0</v>
      </c>
      <c r="AZ96" s="591">
        <v>102347</v>
      </c>
      <c r="BA96" s="591">
        <v>0</v>
      </c>
      <c r="BB96" s="591">
        <v>0</v>
      </c>
      <c r="BC96" s="591">
        <v>0</v>
      </c>
      <c r="BD96" s="591">
        <v>0</v>
      </c>
      <c r="BE96" s="591">
        <v>37</v>
      </c>
      <c r="BF96" s="591">
        <v>2548812</v>
      </c>
      <c r="BG96" s="591">
        <v>0</v>
      </c>
      <c r="BH96" s="591">
        <v>0</v>
      </c>
      <c r="BI96" s="591">
        <v>0</v>
      </c>
      <c r="BJ96" s="591">
        <v>12</v>
      </c>
      <c r="BK96" s="591">
        <v>0</v>
      </c>
      <c r="BL96" s="591">
        <v>0</v>
      </c>
      <c r="BM96" s="591">
        <v>0</v>
      </c>
      <c r="BN96" s="591">
        <v>0</v>
      </c>
      <c r="BO96" s="591">
        <v>0</v>
      </c>
      <c r="BP96" s="591">
        <v>0</v>
      </c>
      <c r="BQ96" s="591">
        <v>730</v>
      </c>
      <c r="BR96" s="591">
        <v>0</v>
      </c>
      <c r="BS96" s="591">
        <v>0</v>
      </c>
      <c r="BT96" s="591">
        <v>0</v>
      </c>
      <c r="BU96" s="591">
        <v>0</v>
      </c>
      <c r="BV96" s="591">
        <v>0</v>
      </c>
      <c r="BW96" s="591">
        <v>0</v>
      </c>
      <c r="BX96" s="591">
        <v>0</v>
      </c>
      <c r="BY96" s="591">
        <v>0</v>
      </c>
      <c r="BZ96" s="591">
        <v>0</v>
      </c>
      <c r="CA96" s="591">
        <v>0</v>
      </c>
      <c r="CB96" s="591">
        <v>0</v>
      </c>
      <c r="CC96" s="591">
        <v>0</v>
      </c>
      <c r="CD96" s="591">
        <v>0</v>
      </c>
      <c r="CE96" s="591">
        <v>0</v>
      </c>
      <c r="CF96" s="591">
        <v>0</v>
      </c>
      <c r="CG96" s="591">
        <v>0</v>
      </c>
      <c r="CH96" s="591">
        <v>47408</v>
      </c>
      <c r="CI96" s="591">
        <v>0</v>
      </c>
      <c r="CJ96" s="591">
        <v>4</v>
      </c>
      <c r="CK96" s="591">
        <v>0</v>
      </c>
      <c r="CL96" s="591">
        <v>0</v>
      </c>
      <c r="CM96" s="591">
        <v>0</v>
      </c>
      <c r="CN96" s="591">
        <v>0</v>
      </c>
      <c r="CO96" s="591">
        <v>1</v>
      </c>
      <c r="CP96" s="591">
        <v>0</v>
      </c>
      <c r="CQ96" s="591">
        <v>0</v>
      </c>
      <c r="CR96" s="591">
        <v>261.61799999999999</v>
      </c>
      <c r="CS96" s="591">
        <v>0</v>
      </c>
      <c r="CT96" s="591">
        <v>0</v>
      </c>
      <c r="CU96" s="591">
        <v>0</v>
      </c>
      <c r="CV96" s="591">
        <v>0</v>
      </c>
      <c r="CW96" s="591">
        <v>0</v>
      </c>
      <c r="CX96" s="591">
        <v>0</v>
      </c>
      <c r="CY96" s="591">
        <v>0</v>
      </c>
      <c r="CZ96" s="591">
        <v>0</v>
      </c>
      <c r="DA96" s="591">
        <v>0</v>
      </c>
      <c r="DB96" s="591">
        <v>1575752</v>
      </c>
      <c r="DC96" s="591">
        <v>0</v>
      </c>
      <c r="DD96" s="591">
        <v>0</v>
      </c>
      <c r="DE96" s="591">
        <v>390717</v>
      </c>
      <c r="DF96" s="591">
        <v>390717</v>
      </c>
      <c r="DG96" s="591">
        <v>63.438000000000002</v>
      </c>
      <c r="DH96" s="591">
        <v>0</v>
      </c>
      <c r="DI96" s="591">
        <v>0</v>
      </c>
      <c r="DJ96" s="591">
        <v>0</v>
      </c>
      <c r="DK96" s="591">
        <v>3299</v>
      </c>
      <c r="DL96" s="591">
        <v>0</v>
      </c>
      <c r="DM96" s="591">
        <v>96128</v>
      </c>
      <c r="DN96" s="591">
        <v>244</v>
      </c>
      <c r="DO96" s="591">
        <v>0</v>
      </c>
      <c r="DP96" s="591">
        <v>0</v>
      </c>
      <c r="DQ96" s="591">
        <v>0</v>
      </c>
      <c r="DR96" s="591">
        <v>0</v>
      </c>
      <c r="DS96" s="591">
        <v>0</v>
      </c>
      <c r="DT96" s="591">
        <v>0</v>
      </c>
      <c r="DU96" s="591">
        <v>0</v>
      </c>
      <c r="DV96" s="591">
        <v>0</v>
      </c>
      <c r="DW96" s="591">
        <v>0</v>
      </c>
      <c r="DX96" s="591">
        <v>0</v>
      </c>
      <c r="DY96" s="591">
        <v>0</v>
      </c>
      <c r="DZ96" s="591">
        <v>0</v>
      </c>
      <c r="EA96" s="591">
        <v>0</v>
      </c>
      <c r="EB96" s="591">
        <v>0</v>
      </c>
      <c r="EC96" s="591">
        <v>6.6950000000000003</v>
      </c>
      <c r="ED96" s="591">
        <v>47420</v>
      </c>
      <c r="EE96" s="591">
        <v>0</v>
      </c>
      <c r="EF96" s="591">
        <v>0</v>
      </c>
      <c r="EG96" s="591">
        <v>0</v>
      </c>
      <c r="EH96" s="591">
        <v>16722</v>
      </c>
      <c r="EI96" s="591">
        <v>0</v>
      </c>
      <c r="EJ96" s="591">
        <v>0</v>
      </c>
      <c r="EK96" s="591">
        <v>0</v>
      </c>
      <c r="EL96" s="591">
        <v>0</v>
      </c>
      <c r="EM96" s="591">
        <v>0</v>
      </c>
      <c r="EN96" s="591">
        <v>0.54300000000000004</v>
      </c>
      <c r="EO96" s="591">
        <v>0</v>
      </c>
      <c r="EP96" s="591">
        <v>0</v>
      </c>
      <c r="EQ96" s="591">
        <v>0.54300000000000004</v>
      </c>
      <c r="ER96" s="591">
        <v>0</v>
      </c>
      <c r="ES96" s="591">
        <v>2.7150000000000003</v>
      </c>
      <c r="ET96" s="591">
        <v>0</v>
      </c>
      <c r="EU96" s="591">
        <v>0</v>
      </c>
      <c r="EV96" s="591">
        <v>0</v>
      </c>
      <c r="EW96" s="591">
        <v>0</v>
      </c>
      <c r="EX96" s="591">
        <v>0</v>
      </c>
      <c r="EY96" s="591">
        <v>0</v>
      </c>
      <c r="EZ96" s="591">
        <v>2446465</v>
      </c>
      <c r="FA96" s="591">
        <v>0</v>
      </c>
      <c r="FB96" s="591">
        <v>2548532</v>
      </c>
      <c r="FC96" s="591">
        <v>0</v>
      </c>
      <c r="FD96" s="591">
        <v>0</v>
      </c>
      <c r="FE96" s="591">
        <v>264011</v>
      </c>
      <c r="FF96" s="591">
        <v>53851</v>
      </c>
      <c r="FG96" s="591">
        <v>6.4728999999999995E-2</v>
      </c>
      <c r="FH96" s="591">
        <v>2.6405999999999999E-2</v>
      </c>
      <c r="FI96" s="591">
        <v>0</v>
      </c>
      <c r="FJ96" s="591">
        <v>0</v>
      </c>
      <c r="FK96" s="591">
        <v>413.83</v>
      </c>
      <c r="FL96" s="591">
        <v>2913802</v>
      </c>
      <c r="FM96" s="591">
        <v>0</v>
      </c>
      <c r="FN96" s="591">
        <v>0</v>
      </c>
      <c r="FO96" s="591">
        <v>0</v>
      </c>
      <c r="FP96" s="591">
        <v>0</v>
      </c>
      <c r="FQ96" s="591">
        <v>0</v>
      </c>
      <c r="FR96" s="591">
        <v>0</v>
      </c>
      <c r="FS96" s="591">
        <v>0</v>
      </c>
      <c r="FT96" s="591">
        <v>0</v>
      </c>
      <c r="FU96" s="591">
        <v>0</v>
      </c>
      <c r="FV96" s="591">
        <v>0</v>
      </c>
      <c r="FW96" s="591">
        <v>0</v>
      </c>
      <c r="FX96" s="591">
        <v>0</v>
      </c>
      <c r="FY96" s="591">
        <v>0</v>
      </c>
      <c r="FZ96" s="591">
        <v>0</v>
      </c>
      <c r="GA96" s="591">
        <v>0</v>
      </c>
      <c r="GB96" s="591">
        <v>0</v>
      </c>
      <c r="GC96" s="591">
        <v>0</v>
      </c>
      <c r="GD96" s="591">
        <v>0</v>
      </c>
      <c r="GE96" s="591">
        <v>0</v>
      </c>
      <c r="GF96" s="591">
        <v>0</v>
      </c>
      <c r="GG96" s="591">
        <v>0</v>
      </c>
      <c r="GH96" s="591">
        <v>0</v>
      </c>
      <c r="GI96" s="591">
        <v>0</v>
      </c>
      <c r="GJ96" s="591">
        <v>0</v>
      </c>
      <c r="GK96" s="591">
        <v>0</v>
      </c>
      <c r="GL96" s="591">
        <v>0</v>
      </c>
      <c r="GM96" s="591">
        <v>0</v>
      </c>
      <c r="GN96" s="591">
        <v>0</v>
      </c>
      <c r="GO96" s="591">
        <v>0</v>
      </c>
      <c r="GP96" s="591">
        <v>0</v>
      </c>
      <c r="GQ96" s="591">
        <v>0</v>
      </c>
      <c r="GR96" s="591">
        <v>0</v>
      </c>
      <c r="GS96" s="591">
        <v>0</v>
      </c>
      <c r="GT96" s="591">
        <v>0</v>
      </c>
      <c r="GU96" s="591">
        <v>0</v>
      </c>
      <c r="GV96" s="591">
        <v>0</v>
      </c>
      <c r="GW96" s="591">
        <v>0</v>
      </c>
      <c r="GX96" s="591">
        <v>0</v>
      </c>
      <c r="GY96" s="591">
        <v>0</v>
      </c>
      <c r="GZ96" s="591">
        <v>0</v>
      </c>
      <c r="HA96" s="591">
        <v>0</v>
      </c>
      <c r="HB96" s="591">
        <v>260009272</v>
      </c>
      <c r="HC96" s="591">
        <v>5.1774999999999995E-2</v>
      </c>
      <c r="HD96" s="591">
        <v>47408</v>
      </c>
      <c r="HE96" s="591">
        <v>0</v>
      </c>
      <c r="HF96" s="591">
        <v>286921</v>
      </c>
      <c r="HG96" s="591">
        <v>0</v>
      </c>
      <c r="HH96" s="591">
        <v>81583</v>
      </c>
      <c r="HI96" s="591">
        <v>0</v>
      </c>
      <c r="HJ96" s="591">
        <v>2543</v>
      </c>
      <c r="HK96" s="591">
        <v>0</v>
      </c>
      <c r="HL96" s="591">
        <v>0</v>
      </c>
      <c r="HM96" s="591">
        <v>0</v>
      </c>
      <c r="HN96" s="591">
        <v>0</v>
      </c>
      <c r="HO96" s="591">
        <v>0</v>
      </c>
      <c r="HP96" s="591">
        <v>0</v>
      </c>
      <c r="HQ96" s="591">
        <v>0</v>
      </c>
      <c r="HR96" s="591">
        <v>0</v>
      </c>
      <c r="HS96" s="591">
        <v>2446185</v>
      </c>
      <c r="HT96" s="591">
        <v>0</v>
      </c>
      <c r="HU96" s="591">
        <v>0</v>
      </c>
      <c r="HV96" s="591">
        <v>0</v>
      </c>
      <c r="HW96" s="591">
        <v>0</v>
      </c>
      <c r="HX96" s="591">
        <v>53</v>
      </c>
      <c r="HY96" s="591">
        <v>54</v>
      </c>
      <c r="HZ96" s="591">
        <v>57</v>
      </c>
      <c r="IA96" s="591">
        <v>47</v>
      </c>
      <c r="IB96" s="591">
        <v>44</v>
      </c>
      <c r="IC96" s="591">
        <v>251</v>
      </c>
      <c r="ID96" s="591">
        <v>0</v>
      </c>
      <c r="IE96" s="591">
        <v>0</v>
      </c>
      <c r="IF96" s="591">
        <v>0</v>
      </c>
      <c r="IG96" s="591">
        <v>0</v>
      </c>
      <c r="IH96" s="591">
        <v>132.459</v>
      </c>
      <c r="II96" s="591">
        <v>0</v>
      </c>
      <c r="IJ96" s="591">
        <v>186.59200000000001</v>
      </c>
      <c r="IK96" s="591">
        <v>0</v>
      </c>
      <c r="IL96" s="591">
        <v>0</v>
      </c>
      <c r="IM96" s="591">
        <v>0</v>
      </c>
      <c r="IN96" s="591">
        <v>0</v>
      </c>
      <c r="IO96" s="591">
        <v>0</v>
      </c>
      <c r="IP96" s="591">
        <v>0</v>
      </c>
      <c r="IQ96" s="591">
        <v>186.59200000000001</v>
      </c>
      <c r="IR96" s="591">
        <v>114924</v>
      </c>
      <c r="IS96" s="591">
        <v>0</v>
      </c>
      <c r="IT96" s="591">
        <v>0</v>
      </c>
      <c r="IU96" s="591">
        <v>0</v>
      </c>
      <c r="IV96" s="591">
        <v>0</v>
      </c>
      <c r="IW96" s="591">
        <v>6159</v>
      </c>
      <c r="IX96" s="591">
        <v>0</v>
      </c>
      <c r="IY96" s="591">
        <v>0</v>
      </c>
      <c r="IZ96" s="591">
        <v>0</v>
      </c>
      <c r="JA96" s="591">
        <v>0</v>
      </c>
      <c r="JB96" s="591">
        <v>0</v>
      </c>
      <c r="JC96" s="591">
        <v>0</v>
      </c>
      <c r="JD96" s="591">
        <v>0</v>
      </c>
      <c r="JE96" s="591">
        <v>0</v>
      </c>
      <c r="JF96" s="591">
        <v>0</v>
      </c>
      <c r="JG96" s="591">
        <v>0</v>
      </c>
      <c r="JH96" s="591">
        <v>0</v>
      </c>
      <c r="JI96" s="591">
        <v>0</v>
      </c>
      <c r="JJ96" s="591">
        <v>0</v>
      </c>
      <c r="JK96" s="591">
        <v>0</v>
      </c>
      <c r="JL96" s="591">
        <v>0</v>
      </c>
      <c r="JM96" s="591">
        <v>0</v>
      </c>
      <c r="JN96" s="591">
        <v>32469</v>
      </c>
    </row>
    <row r="97" spans="1:274" x14ac:dyDescent="0.25">
      <c r="A97" s="591">
        <v>32570</v>
      </c>
      <c r="B97" s="591">
        <v>101819</v>
      </c>
      <c r="C97" s="591">
        <v>9</v>
      </c>
      <c r="D97" s="591">
        <v>2022</v>
      </c>
      <c r="E97" s="591">
        <v>6159</v>
      </c>
      <c r="F97" s="591">
        <v>0</v>
      </c>
      <c r="G97" s="591">
        <v>462.93200000000002</v>
      </c>
      <c r="H97" s="591">
        <v>456.38800000000003</v>
      </c>
      <c r="I97" s="591">
        <v>456.38800000000003</v>
      </c>
      <c r="J97" s="591">
        <v>462.93200000000002</v>
      </c>
      <c r="K97" s="591">
        <v>0</v>
      </c>
      <c r="L97" s="591">
        <v>6159</v>
      </c>
      <c r="M97" s="591">
        <v>0</v>
      </c>
      <c r="N97" s="591">
        <v>0</v>
      </c>
      <c r="O97" s="591">
        <v>0</v>
      </c>
      <c r="P97" s="591">
        <v>459.03200000000004</v>
      </c>
      <c r="Q97" s="591">
        <v>0</v>
      </c>
      <c r="R97" s="591">
        <v>184727</v>
      </c>
      <c r="S97" s="591">
        <v>402.428</v>
      </c>
      <c r="T97" s="591">
        <v>0</v>
      </c>
      <c r="U97" s="591">
        <v>0</v>
      </c>
      <c r="V97" s="591">
        <v>132.333</v>
      </c>
      <c r="W97" s="591">
        <v>81505</v>
      </c>
      <c r="X97" s="591">
        <v>81505</v>
      </c>
      <c r="Y97" s="591">
        <v>0</v>
      </c>
      <c r="Z97" s="591">
        <v>0</v>
      </c>
      <c r="AA97" s="591">
        <v>0</v>
      </c>
      <c r="AB97" s="591">
        <v>0</v>
      </c>
      <c r="AC97" s="591">
        <v>0</v>
      </c>
      <c r="AD97" s="591" t="s">
        <v>316</v>
      </c>
      <c r="AE97" s="591">
        <v>0</v>
      </c>
      <c r="AF97" s="591">
        <v>0</v>
      </c>
      <c r="AG97" s="591">
        <v>0</v>
      </c>
      <c r="AH97" s="591">
        <v>0</v>
      </c>
      <c r="AI97" s="591">
        <v>0</v>
      </c>
      <c r="AJ97" s="591">
        <v>6159</v>
      </c>
      <c r="AK97" s="591" t="s">
        <v>671</v>
      </c>
      <c r="AL97" s="591" t="s">
        <v>347</v>
      </c>
      <c r="AM97" s="591">
        <v>0</v>
      </c>
      <c r="AN97" s="591">
        <v>0</v>
      </c>
      <c r="AO97" s="591">
        <v>0</v>
      </c>
      <c r="AP97" s="591">
        <v>0</v>
      </c>
      <c r="AQ97" s="591">
        <v>0</v>
      </c>
      <c r="AR97" s="591">
        <v>0</v>
      </c>
      <c r="AS97" s="591">
        <v>0</v>
      </c>
      <c r="AT97" s="591">
        <v>0</v>
      </c>
      <c r="AU97" s="591">
        <v>0</v>
      </c>
      <c r="AV97" s="591">
        <v>0</v>
      </c>
      <c r="AW97" s="591">
        <v>5105040</v>
      </c>
      <c r="AX97" s="591">
        <v>5021801</v>
      </c>
      <c r="AY97" s="591">
        <v>0</v>
      </c>
      <c r="AZ97" s="591">
        <v>184727</v>
      </c>
      <c r="BA97" s="591">
        <v>0</v>
      </c>
      <c r="BB97" s="591">
        <v>0</v>
      </c>
      <c r="BC97" s="591">
        <v>0</v>
      </c>
      <c r="BD97" s="591">
        <v>0</v>
      </c>
      <c r="BE97" s="591">
        <v>67</v>
      </c>
      <c r="BF97" s="591">
        <v>4629219</v>
      </c>
      <c r="BG97" s="591">
        <v>0</v>
      </c>
      <c r="BH97" s="591">
        <v>0</v>
      </c>
      <c r="BI97" s="591">
        <v>0</v>
      </c>
      <c r="BJ97" s="591">
        <v>12</v>
      </c>
      <c r="BK97" s="591">
        <v>0</v>
      </c>
      <c r="BL97" s="591">
        <v>0</v>
      </c>
      <c r="BM97" s="591">
        <v>0</v>
      </c>
      <c r="BN97" s="591">
        <v>0</v>
      </c>
      <c r="BO97" s="591">
        <v>0</v>
      </c>
      <c r="BP97" s="591">
        <v>0</v>
      </c>
      <c r="BQ97" s="591">
        <v>700</v>
      </c>
      <c r="BR97" s="591">
        <v>0</v>
      </c>
      <c r="BS97" s="591">
        <v>0</v>
      </c>
      <c r="BT97" s="591">
        <v>0</v>
      </c>
      <c r="BU97" s="591">
        <v>0</v>
      </c>
      <c r="BV97" s="591">
        <v>0</v>
      </c>
      <c r="BW97" s="591">
        <v>0</v>
      </c>
      <c r="BX97" s="591">
        <v>0</v>
      </c>
      <c r="BY97" s="591">
        <v>0</v>
      </c>
      <c r="BZ97" s="591">
        <v>0</v>
      </c>
      <c r="CA97" s="591">
        <v>0</v>
      </c>
      <c r="CB97" s="591">
        <v>0</v>
      </c>
      <c r="CC97" s="591">
        <v>0</v>
      </c>
      <c r="CD97" s="591">
        <v>0</v>
      </c>
      <c r="CE97" s="591">
        <v>0</v>
      </c>
      <c r="CF97" s="591">
        <v>0</v>
      </c>
      <c r="CG97" s="591">
        <v>0</v>
      </c>
      <c r="CH97" s="591">
        <v>83888</v>
      </c>
      <c r="CI97" s="591">
        <v>0</v>
      </c>
      <c r="CJ97" s="591">
        <v>4</v>
      </c>
      <c r="CK97" s="591">
        <v>0</v>
      </c>
      <c r="CL97" s="591">
        <v>0</v>
      </c>
      <c r="CM97" s="591">
        <v>0</v>
      </c>
      <c r="CN97" s="591">
        <v>0</v>
      </c>
      <c r="CO97" s="591">
        <v>1</v>
      </c>
      <c r="CP97" s="591">
        <v>0</v>
      </c>
      <c r="CQ97" s="591">
        <v>0</v>
      </c>
      <c r="CR97" s="591">
        <v>462.93200000000002</v>
      </c>
      <c r="CS97" s="591">
        <v>0</v>
      </c>
      <c r="CT97" s="591">
        <v>0</v>
      </c>
      <c r="CU97" s="591">
        <v>0</v>
      </c>
      <c r="CV97" s="591">
        <v>0</v>
      </c>
      <c r="CW97" s="591">
        <v>0</v>
      </c>
      <c r="CX97" s="591">
        <v>0</v>
      </c>
      <c r="CY97" s="591">
        <v>0</v>
      </c>
      <c r="CZ97" s="591">
        <v>0</v>
      </c>
      <c r="DA97" s="591">
        <v>0</v>
      </c>
      <c r="DB97" s="591">
        <v>2804262</v>
      </c>
      <c r="DC97" s="591">
        <v>0</v>
      </c>
      <c r="DD97" s="591">
        <v>0</v>
      </c>
      <c r="DE97" s="591">
        <v>833632</v>
      </c>
      <c r="DF97" s="591">
        <v>833632</v>
      </c>
      <c r="DG97" s="591">
        <v>135.35</v>
      </c>
      <c r="DH97" s="591">
        <v>0</v>
      </c>
      <c r="DI97" s="591">
        <v>0</v>
      </c>
      <c r="DJ97" s="591">
        <v>0</v>
      </c>
      <c r="DK97" s="591">
        <v>2817</v>
      </c>
      <c r="DL97" s="591">
        <v>0</v>
      </c>
      <c r="DM97" s="591">
        <v>159191</v>
      </c>
      <c r="DN97" s="591">
        <v>582</v>
      </c>
      <c r="DO97" s="591">
        <v>0</v>
      </c>
      <c r="DP97" s="591">
        <v>0</v>
      </c>
      <c r="DQ97" s="591">
        <v>0</v>
      </c>
      <c r="DR97" s="591">
        <v>0</v>
      </c>
      <c r="DS97" s="591">
        <v>0</v>
      </c>
      <c r="DT97" s="591">
        <v>0</v>
      </c>
      <c r="DU97" s="591">
        <v>0</v>
      </c>
      <c r="DV97" s="591">
        <v>0</v>
      </c>
      <c r="DW97" s="591">
        <v>0</v>
      </c>
      <c r="DX97" s="591">
        <v>0</v>
      </c>
      <c r="DY97" s="591">
        <v>0</v>
      </c>
      <c r="DZ97" s="591">
        <v>0</v>
      </c>
      <c r="EA97" s="591">
        <v>0</v>
      </c>
      <c r="EB97" s="591">
        <v>0</v>
      </c>
      <c r="EC97" s="591">
        <v>3.1080000000000001</v>
      </c>
      <c r="ED97" s="591">
        <v>22014</v>
      </c>
      <c r="EE97" s="591">
        <v>0</v>
      </c>
      <c r="EF97" s="591">
        <v>0</v>
      </c>
      <c r="EG97" s="591">
        <v>0</v>
      </c>
      <c r="EH97" s="591">
        <v>131090</v>
      </c>
      <c r="EI97" s="591">
        <v>0</v>
      </c>
      <c r="EJ97" s="591">
        <v>0</v>
      </c>
      <c r="EK97" s="591">
        <v>5.3</v>
      </c>
      <c r="EL97" s="591">
        <v>0</v>
      </c>
      <c r="EM97" s="591">
        <v>0.41800000000000004</v>
      </c>
      <c r="EN97" s="591">
        <v>0.82600000000000007</v>
      </c>
      <c r="EO97" s="591">
        <v>0</v>
      </c>
      <c r="EP97" s="591">
        <v>0</v>
      </c>
      <c r="EQ97" s="591">
        <v>6.5440000000000005</v>
      </c>
      <c r="ER97" s="591">
        <v>0</v>
      </c>
      <c r="ES97" s="591">
        <v>21.284000000000002</v>
      </c>
      <c r="ET97" s="591">
        <v>0</v>
      </c>
      <c r="EU97" s="591">
        <v>0</v>
      </c>
      <c r="EV97" s="591">
        <v>0</v>
      </c>
      <c r="EW97" s="591">
        <v>0</v>
      </c>
      <c r="EX97" s="591">
        <v>0</v>
      </c>
      <c r="EY97" s="591">
        <v>0</v>
      </c>
      <c r="EZ97" s="591">
        <v>4444492</v>
      </c>
      <c r="FA97" s="591">
        <v>0</v>
      </c>
      <c r="FB97" s="591">
        <v>4628570</v>
      </c>
      <c r="FC97" s="591">
        <v>0</v>
      </c>
      <c r="FD97" s="591">
        <v>0</v>
      </c>
      <c r="FE97" s="591">
        <v>479503</v>
      </c>
      <c r="FF97" s="591">
        <v>97806</v>
      </c>
      <c r="FG97" s="591">
        <v>6.4728999999999995E-2</v>
      </c>
      <c r="FH97" s="591">
        <v>2.6405999999999999E-2</v>
      </c>
      <c r="FI97" s="591">
        <v>0</v>
      </c>
      <c r="FJ97" s="591">
        <v>0</v>
      </c>
      <c r="FK97" s="591">
        <v>751.60900000000004</v>
      </c>
      <c r="FL97" s="591">
        <v>5289767</v>
      </c>
      <c r="FM97" s="591">
        <v>0</v>
      </c>
      <c r="FN97" s="591">
        <v>0</v>
      </c>
      <c r="FO97" s="591">
        <v>0</v>
      </c>
      <c r="FP97" s="591">
        <v>0</v>
      </c>
      <c r="FQ97" s="591">
        <v>0</v>
      </c>
      <c r="FR97" s="591">
        <v>0</v>
      </c>
      <c r="FS97" s="591">
        <v>0</v>
      </c>
      <c r="FT97" s="591">
        <v>0</v>
      </c>
      <c r="FU97" s="591">
        <v>0</v>
      </c>
      <c r="FV97" s="591">
        <v>0</v>
      </c>
      <c r="FW97" s="591">
        <v>0</v>
      </c>
      <c r="FX97" s="591">
        <v>0</v>
      </c>
      <c r="FY97" s="591">
        <v>0</v>
      </c>
      <c r="FZ97" s="591">
        <v>0</v>
      </c>
      <c r="GA97" s="591">
        <v>0</v>
      </c>
      <c r="GB97" s="591">
        <v>0</v>
      </c>
      <c r="GC97" s="591">
        <v>0</v>
      </c>
      <c r="GD97" s="591">
        <v>0</v>
      </c>
      <c r="GE97" s="591">
        <v>0</v>
      </c>
      <c r="GF97" s="591">
        <v>0</v>
      </c>
      <c r="GG97" s="591">
        <v>0</v>
      </c>
      <c r="GH97" s="591">
        <v>0</v>
      </c>
      <c r="GI97" s="591">
        <v>0</v>
      </c>
      <c r="GJ97" s="591">
        <v>0</v>
      </c>
      <c r="GK97" s="591">
        <v>0</v>
      </c>
      <c r="GL97" s="591">
        <v>0</v>
      </c>
      <c r="GM97" s="591">
        <v>0</v>
      </c>
      <c r="GN97" s="591">
        <v>0</v>
      </c>
      <c r="GO97" s="591">
        <v>0</v>
      </c>
      <c r="GP97" s="591">
        <v>0</v>
      </c>
      <c r="GQ97" s="591">
        <v>0</v>
      </c>
      <c r="GR97" s="591">
        <v>0</v>
      </c>
      <c r="GS97" s="591">
        <v>0</v>
      </c>
      <c r="GT97" s="591">
        <v>0</v>
      </c>
      <c r="GU97" s="591">
        <v>0</v>
      </c>
      <c r="GV97" s="591">
        <v>0</v>
      </c>
      <c r="GW97" s="591">
        <v>0</v>
      </c>
      <c r="GX97" s="591">
        <v>0</v>
      </c>
      <c r="GY97" s="591">
        <v>0</v>
      </c>
      <c r="GZ97" s="591">
        <v>0</v>
      </c>
      <c r="HA97" s="591">
        <v>0</v>
      </c>
      <c r="HB97" s="591">
        <v>260009272</v>
      </c>
      <c r="HC97" s="591">
        <v>5.1774999999999995E-2</v>
      </c>
      <c r="HD97" s="591">
        <v>83888</v>
      </c>
      <c r="HE97" s="591">
        <v>0</v>
      </c>
      <c r="HF97" s="591">
        <v>501570</v>
      </c>
      <c r="HG97" s="591">
        <v>1925</v>
      </c>
      <c r="HH97" s="591">
        <v>242052</v>
      </c>
      <c r="HI97" s="591">
        <v>0</v>
      </c>
      <c r="HJ97" s="591">
        <v>4500</v>
      </c>
      <c r="HK97" s="591">
        <v>0</v>
      </c>
      <c r="HL97" s="591">
        <v>0</v>
      </c>
      <c r="HM97" s="591">
        <v>0</v>
      </c>
      <c r="HN97" s="591">
        <v>0</v>
      </c>
      <c r="HO97" s="591">
        <v>0</v>
      </c>
      <c r="HP97" s="591">
        <v>0</v>
      </c>
      <c r="HQ97" s="591">
        <v>0</v>
      </c>
      <c r="HR97" s="591">
        <v>0</v>
      </c>
      <c r="HS97" s="591">
        <v>4443843</v>
      </c>
      <c r="HT97" s="591">
        <v>0</v>
      </c>
      <c r="HU97" s="591">
        <v>0</v>
      </c>
      <c r="HV97" s="591">
        <v>0</v>
      </c>
      <c r="HW97" s="591">
        <v>0</v>
      </c>
      <c r="HX97" s="591">
        <v>8</v>
      </c>
      <c r="HY97" s="591">
        <v>20</v>
      </c>
      <c r="HZ97" s="591">
        <v>31</v>
      </c>
      <c r="IA97" s="591">
        <v>40</v>
      </c>
      <c r="IB97" s="591">
        <v>402</v>
      </c>
      <c r="IC97" s="591">
        <v>497</v>
      </c>
      <c r="ID97" s="591">
        <v>0</v>
      </c>
      <c r="IE97" s="591">
        <v>0</v>
      </c>
      <c r="IF97" s="591">
        <v>0</v>
      </c>
      <c r="IG97" s="591">
        <v>3.125</v>
      </c>
      <c r="IH97" s="591">
        <v>393</v>
      </c>
      <c r="II97" s="591">
        <v>0</v>
      </c>
      <c r="IJ97" s="591">
        <v>132.333</v>
      </c>
      <c r="IK97" s="591">
        <v>0</v>
      </c>
      <c r="IL97" s="591">
        <v>0</v>
      </c>
      <c r="IM97" s="591">
        <v>0</v>
      </c>
      <c r="IN97" s="591">
        <v>0</v>
      </c>
      <c r="IO97" s="591">
        <v>0</v>
      </c>
      <c r="IP97" s="591">
        <v>0</v>
      </c>
      <c r="IQ97" s="591">
        <v>132.333</v>
      </c>
      <c r="IR97" s="591">
        <v>81505</v>
      </c>
      <c r="IS97" s="591">
        <v>0</v>
      </c>
      <c r="IT97" s="591">
        <v>0</v>
      </c>
      <c r="IU97" s="591">
        <v>0</v>
      </c>
      <c r="IV97" s="591">
        <v>0</v>
      </c>
      <c r="IW97" s="591">
        <v>6159</v>
      </c>
      <c r="IX97" s="591">
        <v>0</v>
      </c>
      <c r="IY97" s="591">
        <v>0</v>
      </c>
      <c r="IZ97" s="591">
        <v>0</v>
      </c>
      <c r="JA97" s="591">
        <v>0</v>
      </c>
      <c r="JB97" s="591">
        <v>0</v>
      </c>
      <c r="JC97" s="591">
        <v>0</v>
      </c>
      <c r="JD97" s="591">
        <v>0</v>
      </c>
      <c r="JE97" s="591">
        <v>0</v>
      </c>
      <c r="JF97" s="591">
        <v>0</v>
      </c>
      <c r="JG97" s="591">
        <v>0</v>
      </c>
      <c r="JH97" s="591">
        <v>0</v>
      </c>
      <c r="JI97" s="591">
        <v>0</v>
      </c>
      <c r="JJ97" s="591">
        <v>0</v>
      </c>
      <c r="JK97" s="591">
        <v>0</v>
      </c>
      <c r="JL97" s="591">
        <v>0</v>
      </c>
      <c r="JM97" s="591">
        <v>0</v>
      </c>
      <c r="JN97" s="591">
        <v>32469</v>
      </c>
    </row>
    <row r="98" spans="1:274" x14ac:dyDescent="0.25">
      <c r="A98" s="591">
        <v>32570</v>
      </c>
      <c r="B98" s="591">
        <v>101821</v>
      </c>
      <c r="C98" s="591">
        <v>9</v>
      </c>
      <c r="D98" s="591">
        <v>2022</v>
      </c>
      <c r="E98" s="591">
        <v>6159</v>
      </c>
      <c r="F98" s="591">
        <v>0</v>
      </c>
      <c r="G98" s="591">
        <v>164.88200000000001</v>
      </c>
      <c r="H98" s="591">
        <v>144.822</v>
      </c>
      <c r="I98" s="591">
        <v>144.822</v>
      </c>
      <c r="J98" s="591">
        <v>164.88200000000001</v>
      </c>
      <c r="K98" s="591">
        <v>0</v>
      </c>
      <c r="L98" s="591">
        <v>6159</v>
      </c>
      <c r="M98" s="591">
        <v>0</v>
      </c>
      <c r="N98" s="591">
        <v>0</v>
      </c>
      <c r="O98" s="591">
        <v>0</v>
      </c>
      <c r="P98" s="591">
        <v>177.81800000000001</v>
      </c>
      <c r="Q98" s="591">
        <v>0</v>
      </c>
      <c r="R98" s="591">
        <v>71559</v>
      </c>
      <c r="S98" s="591">
        <v>402.428</v>
      </c>
      <c r="T98" s="591">
        <v>0</v>
      </c>
      <c r="U98" s="591">
        <v>0</v>
      </c>
      <c r="V98" s="591">
        <v>0</v>
      </c>
      <c r="W98" s="591">
        <v>0</v>
      </c>
      <c r="X98" s="591">
        <v>0</v>
      </c>
      <c r="Y98" s="591">
        <v>0</v>
      </c>
      <c r="Z98" s="591">
        <v>0</v>
      </c>
      <c r="AA98" s="591">
        <v>0</v>
      </c>
      <c r="AB98" s="591">
        <v>0</v>
      </c>
      <c r="AC98" s="591">
        <v>0</v>
      </c>
      <c r="AD98" s="591" t="s">
        <v>316</v>
      </c>
      <c r="AE98" s="591">
        <v>0</v>
      </c>
      <c r="AF98" s="591">
        <v>0</v>
      </c>
      <c r="AG98" s="591">
        <v>0</v>
      </c>
      <c r="AH98" s="591">
        <v>0</v>
      </c>
      <c r="AI98" s="591">
        <v>0</v>
      </c>
      <c r="AJ98" s="591">
        <v>6159</v>
      </c>
      <c r="AK98" s="591" t="s">
        <v>671</v>
      </c>
      <c r="AL98" s="591" t="s">
        <v>9</v>
      </c>
      <c r="AM98" s="591">
        <v>0</v>
      </c>
      <c r="AN98" s="591">
        <v>0</v>
      </c>
      <c r="AO98" s="591">
        <v>0</v>
      </c>
      <c r="AP98" s="591">
        <v>0</v>
      </c>
      <c r="AQ98" s="591">
        <v>0</v>
      </c>
      <c r="AR98" s="591">
        <v>0</v>
      </c>
      <c r="AS98" s="591">
        <v>0</v>
      </c>
      <c r="AT98" s="591">
        <v>0</v>
      </c>
      <c r="AU98" s="591">
        <v>0</v>
      </c>
      <c r="AV98" s="591">
        <v>0</v>
      </c>
      <c r="AW98" s="591">
        <v>1881054</v>
      </c>
      <c r="AX98" s="591">
        <v>1773818</v>
      </c>
      <c r="AY98" s="591">
        <v>0</v>
      </c>
      <c r="AZ98" s="591">
        <v>71559</v>
      </c>
      <c r="BA98" s="591">
        <v>0</v>
      </c>
      <c r="BB98" s="591">
        <v>0</v>
      </c>
      <c r="BC98" s="591">
        <v>0</v>
      </c>
      <c r="BD98" s="591">
        <v>0</v>
      </c>
      <c r="BE98" s="591">
        <v>24</v>
      </c>
      <c r="BF98" s="591">
        <v>1591333</v>
      </c>
      <c r="BG98" s="591">
        <v>0</v>
      </c>
      <c r="BH98" s="591">
        <v>0</v>
      </c>
      <c r="BI98" s="591">
        <v>0</v>
      </c>
      <c r="BJ98" s="591">
        <v>12</v>
      </c>
      <c r="BK98" s="591">
        <v>0</v>
      </c>
      <c r="BL98" s="591">
        <v>0</v>
      </c>
      <c r="BM98" s="591">
        <v>0</v>
      </c>
      <c r="BN98" s="591">
        <v>0</v>
      </c>
      <c r="BO98" s="591">
        <v>0</v>
      </c>
      <c r="BP98" s="591">
        <v>0</v>
      </c>
      <c r="BQ98" s="591">
        <v>748</v>
      </c>
      <c r="BR98" s="591">
        <v>0</v>
      </c>
      <c r="BS98" s="591">
        <v>0</v>
      </c>
      <c r="BT98" s="591">
        <v>0</v>
      </c>
      <c r="BU98" s="591">
        <v>0</v>
      </c>
      <c r="BV98" s="591">
        <v>0</v>
      </c>
      <c r="BW98" s="591">
        <v>0</v>
      </c>
      <c r="BX98" s="591">
        <v>0</v>
      </c>
      <c r="BY98" s="591">
        <v>0</v>
      </c>
      <c r="BZ98" s="591">
        <v>0</v>
      </c>
      <c r="CA98" s="591">
        <v>0</v>
      </c>
      <c r="CB98" s="591">
        <v>0</v>
      </c>
      <c r="CC98" s="591">
        <v>0</v>
      </c>
      <c r="CD98" s="591">
        <v>0</v>
      </c>
      <c r="CE98" s="591">
        <v>0</v>
      </c>
      <c r="CF98" s="591">
        <v>0</v>
      </c>
      <c r="CG98" s="591">
        <v>0</v>
      </c>
      <c r="CH98" s="591">
        <v>107994</v>
      </c>
      <c r="CI98" s="591">
        <v>0</v>
      </c>
      <c r="CJ98" s="591">
        <v>4</v>
      </c>
      <c r="CK98" s="591">
        <v>0</v>
      </c>
      <c r="CL98" s="591">
        <v>0</v>
      </c>
      <c r="CM98" s="591">
        <v>0</v>
      </c>
      <c r="CN98" s="591">
        <v>0</v>
      </c>
      <c r="CO98" s="591">
        <v>1</v>
      </c>
      <c r="CP98" s="591">
        <v>0</v>
      </c>
      <c r="CQ98" s="591">
        <v>0</v>
      </c>
      <c r="CR98" s="591">
        <v>164.88200000000001</v>
      </c>
      <c r="CS98" s="591">
        <v>0</v>
      </c>
      <c r="CT98" s="591">
        <v>0</v>
      </c>
      <c r="CU98" s="591">
        <v>0</v>
      </c>
      <c r="CV98" s="591">
        <v>0</v>
      </c>
      <c r="CW98" s="591">
        <v>0</v>
      </c>
      <c r="CX98" s="591">
        <v>0</v>
      </c>
      <c r="CY98" s="591">
        <v>0</v>
      </c>
      <c r="CZ98" s="591">
        <v>0</v>
      </c>
      <c r="DA98" s="591">
        <v>0</v>
      </c>
      <c r="DB98" s="591">
        <v>891971</v>
      </c>
      <c r="DC98" s="591">
        <v>0</v>
      </c>
      <c r="DD98" s="591">
        <v>0</v>
      </c>
      <c r="DE98" s="591">
        <v>235354</v>
      </c>
      <c r="DF98" s="591">
        <v>235354</v>
      </c>
      <c r="DG98" s="591">
        <v>38.213000000000001</v>
      </c>
      <c r="DH98" s="591">
        <v>0</v>
      </c>
      <c r="DI98" s="591">
        <v>0</v>
      </c>
      <c r="DJ98" s="591">
        <v>0</v>
      </c>
      <c r="DK98" s="591">
        <v>3585</v>
      </c>
      <c r="DL98" s="591">
        <v>0</v>
      </c>
      <c r="DM98" s="591">
        <v>192425</v>
      </c>
      <c r="DN98" s="591">
        <v>734</v>
      </c>
      <c r="DO98" s="591">
        <v>0</v>
      </c>
      <c r="DP98" s="591">
        <v>0</v>
      </c>
      <c r="DQ98" s="591">
        <v>0</v>
      </c>
      <c r="DR98" s="591">
        <v>0</v>
      </c>
      <c r="DS98" s="591">
        <v>0</v>
      </c>
      <c r="DT98" s="591">
        <v>0</v>
      </c>
      <c r="DU98" s="591">
        <v>0</v>
      </c>
      <c r="DV98" s="591">
        <v>0</v>
      </c>
      <c r="DW98" s="591">
        <v>0</v>
      </c>
      <c r="DX98" s="591">
        <v>0</v>
      </c>
      <c r="DY98" s="591">
        <v>0</v>
      </c>
      <c r="DZ98" s="591">
        <v>0</v>
      </c>
      <c r="EA98" s="591">
        <v>0</v>
      </c>
      <c r="EB98" s="591">
        <v>0</v>
      </c>
      <c r="EC98" s="591">
        <v>9.41</v>
      </c>
      <c r="ED98" s="591">
        <v>66651</v>
      </c>
      <c r="EE98" s="591">
        <v>0</v>
      </c>
      <c r="EF98" s="591">
        <v>0</v>
      </c>
      <c r="EG98" s="591">
        <v>0</v>
      </c>
      <c r="EH98" s="591">
        <v>126508</v>
      </c>
      <c r="EI98" s="591">
        <v>0</v>
      </c>
      <c r="EJ98" s="591">
        <v>0</v>
      </c>
      <c r="EK98" s="591">
        <v>6.78</v>
      </c>
      <c r="EL98" s="591">
        <v>0</v>
      </c>
      <c r="EM98" s="591">
        <v>0</v>
      </c>
      <c r="EN98" s="591">
        <v>0.04</v>
      </c>
      <c r="EO98" s="591">
        <v>0</v>
      </c>
      <c r="EP98" s="591">
        <v>0</v>
      </c>
      <c r="EQ98" s="591">
        <v>6.82</v>
      </c>
      <c r="ER98" s="591">
        <v>0</v>
      </c>
      <c r="ES98" s="591">
        <v>20.54</v>
      </c>
      <c r="ET98" s="591">
        <v>0</v>
      </c>
      <c r="EU98" s="591">
        <v>0</v>
      </c>
      <c r="EV98" s="591">
        <v>0</v>
      </c>
      <c r="EW98" s="591">
        <v>0</v>
      </c>
      <c r="EX98" s="591">
        <v>0</v>
      </c>
      <c r="EY98" s="591">
        <v>0</v>
      </c>
      <c r="EZ98" s="591">
        <v>1575363</v>
      </c>
      <c r="FA98" s="591">
        <v>0</v>
      </c>
      <c r="FB98" s="591">
        <v>1646164</v>
      </c>
      <c r="FC98" s="591">
        <v>0</v>
      </c>
      <c r="FD98" s="591">
        <v>0</v>
      </c>
      <c r="FE98" s="591">
        <v>164833</v>
      </c>
      <c r="FF98" s="591">
        <v>33622</v>
      </c>
      <c r="FG98" s="591">
        <v>6.4728999999999995E-2</v>
      </c>
      <c r="FH98" s="591">
        <v>2.6405999999999999E-2</v>
      </c>
      <c r="FI98" s="591">
        <v>0</v>
      </c>
      <c r="FJ98" s="591">
        <v>0</v>
      </c>
      <c r="FK98" s="591">
        <v>258.37200000000001</v>
      </c>
      <c r="FL98" s="591">
        <v>1952613</v>
      </c>
      <c r="FM98" s="591">
        <v>0</v>
      </c>
      <c r="FN98" s="591">
        <v>0</v>
      </c>
      <c r="FO98" s="591">
        <v>0</v>
      </c>
      <c r="FP98" s="591">
        <v>0</v>
      </c>
      <c r="FQ98" s="591">
        <v>0</v>
      </c>
      <c r="FR98" s="591">
        <v>0</v>
      </c>
      <c r="FS98" s="591">
        <v>0</v>
      </c>
      <c r="FT98" s="591">
        <v>0</v>
      </c>
      <c r="FU98" s="591">
        <v>0</v>
      </c>
      <c r="FV98" s="591">
        <v>0</v>
      </c>
      <c r="FW98" s="591">
        <v>0</v>
      </c>
      <c r="FX98" s="591">
        <v>0</v>
      </c>
      <c r="FY98" s="591">
        <v>0</v>
      </c>
      <c r="FZ98" s="591">
        <v>0</v>
      </c>
      <c r="GA98" s="591">
        <v>0</v>
      </c>
      <c r="GB98" s="591">
        <v>110087</v>
      </c>
      <c r="GC98" s="591">
        <v>110087</v>
      </c>
      <c r="GD98" s="591">
        <v>13.24</v>
      </c>
      <c r="GE98" s="591">
        <v>0</v>
      </c>
      <c r="GF98" s="591">
        <v>0</v>
      </c>
      <c r="GG98" s="591">
        <v>0</v>
      </c>
      <c r="GH98" s="591">
        <v>0</v>
      </c>
      <c r="GI98" s="591">
        <v>0</v>
      </c>
      <c r="GJ98" s="591">
        <v>0</v>
      </c>
      <c r="GK98" s="591">
        <v>0</v>
      </c>
      <c r="GL98" s="591">
        <v>0</v>
      </c>
      <c r="GM98" s="591">
        <v>0</v>
      </c>
      <c r="GN98" s="591">
        <v>0</v>
      </c>
      <c r="GO98" s="591">
        <v>0</v>
      </c>
      <c r="GP98" s="591">
        <v>0</v>
      </c>
      <c r="GQ98" s="591">
        <v>0</v>
      </c>
      <c r="GR98" s="591">
        <v>0</v>
      </c>
      <c r="GS98" s="591">
        <v>0</v>
      </c>
      <c r="GT98" s="591">
        <v>0</v>
      </c>
      <c r="GU98" s="591">
        <v>0</v>
      </c>
      <c r="GV98" s="591">
        <v>0</v>
      </c>
      <c r="GW98" s="591">
        <v>0</v>
      </c>
      <c r="GX98" s="591">
        <v>0</v>
      </c>
      <c r="GY98" s="591">
        <v>0</v>
      </c>
      <c r="GZ98" s="591">
        <v>0</v>
      </c>
      <c r="HA98" s="591">
        <v>0</v>
      </c>
      <c r="HB98" s="591">
        <v>260009272</v>
      </c>
      <c r="HC98" s="591">
        <v>5.1774999999999995E-2</v>
      </c>
      <c r="HD98" s="591">
        <v>29878</v>
      </c>
      <c r="HE98" s="591">
        <v>0</v>
      </c>
      <c r="HF98" s="591">
        <v>159159</v>
      </c>
      <c r="HG98" s="591">
        <v>0</v>
      </c>
      <c r="HH98" s="591">
        <v>0</v>
      </c>
      <c r="HI98" s="591">
        <v>0</v>
      </c>
      <c r="HJ98" s="591">
        <v>1603</v>
      </c>
      <c r="HK98" s="591">
        <v>1461</v>
      </c>
      <c r="HL98" s="591">
        <v>867</v>
      </c>
      <c r="HM98" s="591">
        <v>0</v>
      </c>
      <c r="HN98" s="591">
        <v>0</v>
      </c>
      <c r="HO98" s="591">
        <v>0</v>
      </c>
      <c r="HP98" s="591">
        <v>53261</v>
      </c>
      <c r="HQ98" s="591">
        <v>0</v>
      </c>
      <c r="HR98" s="591">
        <v>0</v>
      </c>
      <c r="HS98" s="591">
        <v>1574605</v>
      </c>
      <c r="HT98" s="591">
        <v>0</v>
      </c>
      <c r="HU98" s="591">
        <v>78116</v>
      </c>
      <c r="HV98" s="591">
        <v>0</v>
      </c>
      <c r="HW98" s="591">
        <v>0</v>
      </c>
      <c r="HX98" s="591">
        <v>21</v>
      </c>
      <c r="HY98" s="591">
        <v>23</v>
      </c>
      <c r="HZ98" s="591">
        <v>13</v>
      </c>
      <c r="IA98" s="591">
        <v>20</v>
      </c>
      <c r="IB98" s="591">
        <v>71</v>
      </c>
      <c r="IC98" s="591">
        <v>136</v>
      </c>
      <c r="ID98" s="591">
        <v>0</v>
      </c>
      <c r="IE98" s="591">
        <v>0</v>
      </c>
      <c r="IF98" s="591">
        <v>0</v>
      </c>
      <c r="IG98" s="591">
        <v>0</v>
      </c>
      <c r="IH98" s="591">
        <v>0</v>
      </c>
      <c r="II98" s="591">
        <v>193.67500000000001</v>
      </c>
      <c r="IJ98" s="591">
        <v>0</v>
      </c>
      <c r="IK98" s="591">
        <v>0</v>
      </c>
      <c r="IL98" s="591">
        <v>0</v>
      </c>
      <c r="IM98" s="591">
        <v>0</v>
      </c>
      <c r="IN98" s="591">
        <v>0</v>
      </c>
      <c r="IO98" s="591">
        <v>0</v>
      </c>
      <c r="IP98" s="591">
        <v>193.67500000000001</v>
      </c>
      <c r="IQ98" s="591">
        <v>0</v>
      </c>
      <c r="IR98" s="591">
        <v>0</v>
      </c>
      <c r="IS98" s="591">
        <v>0</v>
      </c>
      <c r="IT98" s="591">
        <v>0</v>
      </c>
      <c r="IU98" s="591">
        <v>0</v>
      </c>
      <c r="IV98" s="591">
        <v>0</v>
      </c>
      <c r="IW98" s="591">
        <v>6159</v>
      </c>
      <c r="IX98" s="591">
        <v>0</v>
      </c>
      <c r="IY98" s="591">
        <v>0</v>
      </c>
      <c r="IZ98" s="591">
        <v>53261</v>
      </c>
      <c r="JA98" s="591">
        <v>0</v>
      </c>
      <c r="JB98" s="591">
        <v>0</v>
      </c>
      <c r="JC98" s="591">
        <v>0</v>
      </c>
      <c r="JD98" s="591">
        <v>0</v>
      </c>
      <c r="JE98" s="591">
        <v>0</v>
      </c>
      <c r="JF98" s="591">
        <v>0</v>
      </c>
      <c r="JG98" s="591">
        <v>0</v>
      </c>
      <c r="JH98" s="591">
        <v>0</v>
      </c>
      <c r="JI98" s="591">
        <v>0</v>
      </c>
      <c r="JJ98" s="591">
        <v>0</v>
      </c>
      <c r="JK98" s="591">
        <v>0</v>
      </c>
      <c r="JL98" s="591">
        <v>0</v>
      </c>
      <c r="JM98" s="591">
        <v>0</v>
      </c>
      <c r="JN98" s="591">
        <v>32469</v>
      </c>
    </row>
    <row r="99" spans="1:274" x14ac:dyDescent="0.25">
      <c r="A99" s="591">
        <v>32570</v>
      </c>
      <c r="B99" s="591">
        <v>101828</v>
      </c>
      <c r="C99" s="591">
        <v>9</v>
      </c>
      <c r="D99" s="591">
        <v>2022</v>
      </c>
      <c r="E99" s="591">
        <v>6159</v>
      </c>
      <c r="F99" s="591">
        <v>0</v>
      </c>
      <c r="G99" s="591">
        <v>2025.4730000000002</v>
      </c>
      <c r="H99" s="591">
        <v>1949.539</v>
      </c>
      <c r="I99" s="591">
        <v>1949.539</v>
      </c>
      <c r="J99" s="591">
        <v>2025.4730000000002</v>
      </c>
      <c r="K99" s="591">
        <v>0</v>
      </c>
      <c r="L99" s="591">
        <v>6159</v>
      </c>
      <c r="M99" s="591">
        <v>0</v>
      </c>
      <c r="N99" s="591">
        <v>0</v>
      </c>
      <c r="O99" s="591">
        <v>0</v>
      </c>
      <c r="P99" s="591">
        <v>2013.652</v>
      </c>
      <c r="Q99" s="591">
        <v>0</v>
      </c>
      <c r="R99" s="591">
        <v>810350</v>
      </c>
      <c r="S99" s="591">
        <v>402.428</v>
      </c>
      <c r="T99" s="591">
        <v>0</v>
      </c>
      <c r="U99" s="591">
        <v>0</v>
      </c>
      <c r="V99" s="591">
        <v>1021.2370000000001</v>
      </c>
      <c r="W99" s="591">
        <v>1164649</v>
      </c>
      <c r="X99" s="591">
        <v>1164649</v>
      </c>
      <c r="Y99" s="591">
        <v>0</v>
      </c>
      <c r="Z99" s="591">
        <v>0</v>
      </c>
      <c r="AA99" s="591">
        <v>0</v>
      </c>
      <c r="AB99" s="591">
        <v>0</v>
      </c>
      <c r="AC99" s="591">
        <v>0</v>
      </c>
      <c r="AD99" s="591" t="s">
        <v>316</v>
      </c>
      <c r="AE99" s="591">
        <v>0</v>
      </c>
      <c r="AF99" s="591">
        <v>0</v>
      </c>
      <c r="AG99" s="591">
        <v>0</v>
      </c>
      <c r="AH99" s="591">
        <v>0</v>
      </c>
      <c r="AI99" s="591">
        <v>0</v>
      </c>
      <c r="AJ99" s="591">
        <v>6159</v>
      </c>
      <c r="AK99" s="591" t="s">
        <v>671</v>
      </c>
      <c r="AL99" s="591" t="s">
        <v>348</v>
      </c>
      <c r="AM99" s="591">
        <v>0</v>
      </c>
      <c r="AN99" s="591">
        <v>0</v>
      </c>
      <c r="AO99" s="591">
        <v>0</v>
      </c>
      <c r="AP99" s="591">
        <v>0</v>
      </c>
      <c r="AQ99" s="591">
        <v>0</v>
      </c>
      <c r="AR99" s="591">
        <v>0</v>
      </c>
      <c r="AS99" s="591">
        <v>0</v>
      </c>
      <c r="AT99" s="591">
        <v>0</v>
      </c>
      <c r="AU99" s="591">
        <v>0</v>
      </c>
      <c r="AV99" s="591">
        <v>0</v>
      </c>
      <c r="AW99" s="591">
        <v>22834215</v>
      </c>
      <c r="AX99" s="591">
        <v>22469616</v>
      </c>
      <c r="AY99" s="591">
        <v>0</v>
      </c>
      <c r="AZ99" s="591">
        <v>810350</v>
      </c>
      <c r="BA99" s="591">
        <v>0</v>
      </c>
      <c r="BB99" s="591">
        <v>0</v>
      </c>
      <c r="BC99" s="591">
        <v>0</v>
      </c>
      <c r="BD99" s="591">
        <v>0</v>
      </c>
      <c r="BE99" s="591">
        <v>298</v>
      </c>
      <c r="BF99" s="591">
        <v>20692812</v>
      </c>
      <c r="BG99" s="591">
        <v>0</v>
      </c>
      <c r="BH99" s="591">
        <v>0</v>
      </c>
      <c r="BI99" s="591">
        <v>0</v>
      </c>
      <c r="BJ99" s="591">
        <v>12</v>
      </c>
      <c r="BK99" s="591">
        <v>0</v>
      </c>
      <c r="BL99" s="591">
        <v>0</v>
      </c>
      <c r="BM99" s="591">
        <v>0</v>
      </c>
      <c r="BN99" s="591">
        <v>0</v>
      </c>
      <c r="BO99" s="591">
        <v>0</v>
      </c>
      <c r="BP99" s="591">
        <v>0</v>
      </c>
      <c r="BQ99" s="591">
        <v>470</v>
      </c>
      <c r="BR99" s="591">
        <v>0</v>
      </c>
      <c r="BS99" s="591">
        <v>0</v>
      </c>
      <c r="BT99" s="591">
        <v>0</v>
      </c>
      <c r="BU99" s="591">
        <v>0</v>
      </c>
      <c r="BV99" s="591">
        <v>0</v>
      </c>
      <c r="BW99" s="591">
        <v>0</v>
      </c>
      <c r="BX99" s="591">
        <v>0</v>
      </c>
      <c r="BY99" s="591">
        <v>0</v>
      </c>
      <c r="BZ99" s="591">
        <v>0</v>
      </c>
      <c r="CA99" s="591">
        <v>0</v>
      </c>
      <c r="CB99" s="591">
        <v>0</v>
      </c>
      <c r="CC99" s="591">
        <v>0</v>
      </c>
      <c r="CD99" s="591">
        <v>0</v>
      </c>
      <c r="CE99" s="591">
        <v>0</v>
      </c>
      <c r="CF99" s="591">
        <v>0</v>
      </c>
      <c r="CG99" s="591">
        <v>0</v>
      </c>
      <c r="CH99" s="591">
        <v>367038</v>
      </c>
      <c r="CI99" s="591">
        <v>0</v>
      </c>
      <c r="CJ99" s="591">
        <v>4</v>
      </c>
      <c r="CK99" s="591">
        <v>0</v>
      </c>
      <c r="CL99" s="591">
        <v>0</v>
      </c>
      <c r="CM99" s="591">
        <v>0</v>
      </c>
      <c r="CN99" s="591">
        <v>0</v>
      </c>
      <c r="CO99" s="591">
        <v>1</v>
      </c>
      <c r="CP99" s="591">
        <v>0</v>
      </c>
      <c r="CQ99" s="591">
        <v>0</v>
      </c>
      <c r="CR99" s="591">
        <v>2025.4730000000002</v>
      </c>
      <c r="CS99" s="591">
        <v>0</v>
      </c>
      <c r="CT99" s="591">
        <v>0</v>
      </c>
      <c r="CU99" s="591">
        <v>0</v>
      </c>
      <c r="CV99" s="591">
        <v>0</v>
      </c>
      <c r="CW99" s="591">
        <v>0</v>
      </c>
      <c r="CX99" s="591">
        <v>0</v>
      </c>
      <c r="CY99" s="591">
        <v>0</v>
      </c>
      <c r="CZ99" s="591">
        <v>0</v>
      </c>
      <c r="DA99" s="591">
        <v>0</v>
      </c>
      <c r="DB99" s="591">
        <v>12007371</v>
      </c>
      <c r="DC99" s="591">
        <v>0</v>
      </c>
      <c r="DD99" s="591">
        <v>0</v>
      </c>
      <c r="DE99" s="591">
        <v>3651104</v>
      </c>
      <c r="DF99" s="591">
        <v>3651104</v>
      </c>
      <c r="DG99" s="591">
        <v>592.80000000000007</v>
      </c>
      <c r="DH99" s="591">
        <v>0</v>
      </c>
      <c r="DI99" s="591">
        <v>0</v>
      </c>
      <c r="DJ99" s="591">
        <v>0</v>
      </c>
      <c r="DK99" s="591">
        <v>0</v>
      </c>
      <c r="DL99" s="591">
        <v>0</v>
      </c>
      <c r="DM99" s="591">
        <v>561077</v>
      </c>
      <c r="DN99" s="591">
        <v>2141</v>
      </c>
      <c r="DO99" s="591">
        <v>0</v>
      </c>
      <c r="DP99" s="591">
        <v>0</v>
      </c>
      <c r="DQ99" s="591">
        <v>0</v>
      </c>
      <c r="DR99" s="591">
        <v>0</v>
      </c>
      <c r="DS99" s="591">
        <v>0</v>
      </c>
      <c r="DT99" s="591">
        <v>0</v>
      </c>
      <c r="DU99" s="591">
        <v>0</v>
      </c>
      <c r="DV99" s="591">
        <v>0</v>
      </c>
      <c r="DW99" s="591">
        <v>0</v>
      </c>
      <c r="DX99" s="591">
        <v>0</v>
      </c>
      <c r="DY99" s="591">
        <v>0</v>
      </c>
      <c r="DZ99" s="591">
        <v>0</v>
      </c>
      <c r="EA99" s="591">
        <v>0</v>
      </c>
      <c r="EB99" s="591">
        <v>0</v>
      </c>
      <c r="EC99" s="591">
        <v>2.9670000000000001</v>
      </c>
      <c r="ED99" s="591">
        <v>21015</v>
      </c>
      <c r="EE99" s="591">
        <v>0</v>
      </c>
      <c r="EF99" s="591">
        <v>0</v>
      </c>
      <c r="EG99" s="591">
        <v>0</v>
      </c>
      <c r="EH99" s="591">
        <v>542203</v>
      </c>
      <c r="EI99" s="591">
        <v>0</v>
      </c>
      <c r="EJ99" s="591">
        <v>0</v>
      </c>
      <c r="EK99" s="591">
        <v>24.586000000000002</v>
      </c>
      <c r="EL99" s="591">
        <v>0</v>
      </c>
      <c r="EM99" s="591">
        <v>2.335</v>
      </c>
      <c r="EN99" s="591">
        <v>1.454</v>
      </c>
      <c r="EO99" s="591">
        <v>0</v>
      </c>
      <c r="EP99" s="591">
        <v>0</v>
      </c>
      <c r="EQ99" s="591">
        <v>28.375</v>
      </c>
      <c r="ER99" s="591">
        <v>0</v>
      </c>
      <c r="ES99" s="591">
        <v>88.033000000000001</v>
      </c>
      <c r="ET99" s="591">
        <v>0</v>
      </c>
      <c r="EU99" s="591">
        <v>0</v>
      </c>
      <c r="EV99" s="591">
        <v>0</v>
      </c>
      <c r="EW99" s="591">
        <v>0</v>
      </c>
      <c r="EX99" s="591">
        <v>0</v>
      </c>
      <c r="EY99" s="591">
        <v>0</v>
      </c>
      <c r="EZ99" s="591">
        <v>19889020</v>
      </c>
      <c r="FA99" s="591">
        <v>0</v>
      </c>
      <c r="FB99" s="591">
        <v>20696931</v>
      </c>
      <c r="FC99" s="591">
        <v>0</v>
      </c>
      <c r="FD99" s="591">
        <v>0</v>
      </c>
      <c r="FE99" s="591">
        <v>2143399</v>
      </c>
      <c r="FF99" s="591">
        <v>437197</v>
      </c>
      <c r="FG99" s="591">
        <v>6.4728999999999995E-2</v>
      </c>
      <c r="FH99" s="591">
        <v>2.6405999999999999E-2</v>
      </c>
      <c r="FI99" s="591">
        <v>0</v>
      </c>
      <c r="FJ99" s="591">
        <v>0</v>
      </c>
      <c r="FK99" s="591">
        <v>3359.723</v>
      </c>
      <c r="FL99" s="591">
        <v>23644565</v>
      </c>
      <c r="FM99" s="591">
        <v>0</v>
      </c>
      <c r="FN99" s="591">
        <v>0</v>
      </c>
      <c r="FO99" s="591">
        <v>0</v>
      </c>
      <c r="FP99" s="591">
        <v>0</v>
      </c>
      <c r="FQ99" s="591">
        <v>0</v>
      </c>
      <c r="FR99" s="591">
        <v>0</v>
      </c>
      <c r="FS99" s="591">
        <v>0</v>
      </c>
      <c r="FT99" s="591">
        <v>0</v>
      </c>
      <c r="FU99" s="591">
        <v>0</v>
      </c>
      <c r="FV99" s="591">
        <v>0</v>
      </c>
      <c r="FW99" s="591">
        <v>0</v>
      </c>
      <c r="FX99" s="591">
        <v>0</v>
      </c>
      <c r="FY99" s="591">
        <v>0</v>
      </c>
      <c r="FZ99" s="591">
        <v>0</v>
      </c>
      <c r="GA99" s="591">
        <v>0</v>
      </c>
      <c r="GB99" s="591">
        <v>395442</v>
      </c>
      <c r="GC99" s="591">
        <v>395442</v>
      </c>
      <c r="GD99" s="591">
        <v>47.559000000000005</v>
      </c>
      <c r="GE99" s="591">
        <v>0</v>
      </c>
      <c r="GF99" s="591">
        <v>0</v>
      </c>
      <c r="GG99" s="591">
        <v>0</v>
      </c>
      <c r="GH99" s="591">
        <v>0</v>
      </c>
      <c r="GI99" s="591">
        <v>0</v>
      </c>
      <c r="GJ99" s="591">
        <v>0</v>
      </c>
      <c r="GK99" s="591">
        <v>0</v>
      </c>
      <c r="GL99" s="591">
        <v>0</v>
      </c>
      <c r="GM99" s="591">
        <v>0</v>
      </c>
      <c r="GN99" s="591">
        <v>0</v>
      </c>
      <c r="GO99" s="591">
        <v>0</v>
      </c>
      <c r="GP99" s="591">
        <v>0</v>
      </c>
      <c r="GQ99" s="591">
        <v>0</v>
      </c>
      <c r="GR99" s="591">
        <v>0</v>
      </c>
      <c r="GS99" s="591">
        <v>0</v>
      </c>
      <c r="GT99" s="591">
        <v>0</v>
      </c>
      <c r="GU99" s="591">
        <v>0</v>
      </c>
      <c r="GV99" s="591">
        <v>0</v>
      </c>
      <c r="GW99" s="591">
        <v>0</v>
      </c>
      <c r="GX99" s="591">
        <v>0</v>
      </c>
      <c r="GY99" s="591">
        <v>0</v>
      </c>
      <c r="GZ99" s="591">
        <v>0</v>
      </c>
      <c r="HA99" s="591">
        <v>0</v>
      </c>
      <c r="HB99" s="591">
        <v>260009272</v>
      </c>
      <c r="HC99" s="591">
        <v>5.1774999999999995E-2</v>
      </c>
      <c r="HD99" s="591">
        <v>367038</v>
      </c>
      <c r="HE99" s="591">
        <v>0</v>
      </c>
      <c r="HF99" s="591">
        <v>2142543</v>
      </c>
      <c r="HG99" s="591">
        <v>0</v>
      </c>
      <c r="HH99" s="591">
        <v>662797</v>
      </c>
      <c r="HI99" s="591">
        <v>0</v>
      </c>
      <c r="HJ99" s="591">
        <v>19688</v>
      </c>
      <c r="HK99" s="591">
        <v>4673</v>
      </c>
      <c r="HL99" s="591">
        <v>1885</v>
      </c>
      <c r="HM99" s="591">
        <v>86000</v>
      </c>
      <c r="HN99" s="591">
        <v>0</v>
      </c>
      <c r="HO99" s="591">
        <v>0</v>
      </c>
      <c r="HP99" s="591">
        <v>0</v>
      </c>
      <c r="HQ99" s="591">
        <v>0</v>
      </c>
      <c r="HR99" s="591">
        <v>0</v>
      </c>
      <c r="HS99" s="591">
        <v>19886581</v>
      </c>
      <c r="HT99" s="591">
        <v>0</v>
      </c>
      <c r="HU99" s="591">
        <v>0</v>
      </c>
      <c r="HV99" s="591">
        <v>0</v>
      </c>
      <c r="HW99" s="591">
        <v>0</v>
      </c>
      <c r="HX99" s="591">
        <v>81</v>
      </c>
      <c r="HY99" s="591">
        <v>156</v>
      </c>
      <c r="HZ99" s="591">
        <v>480</v>
      </c>
      <c r="IA99" s="591">
        <v>654</v>
      </c>
      <c r="IB99" s="591">
        <v>894</v>
      </c>
      <c r="IC99" s="591">
        <v>2016</v>
      </c>
      <c r="ID99" s="591">
        <v>0</v>
      </c>
      <c r="IE99" s="591">
        <v>563.50099999999998</v>
      </c>
      <c r="IF99" s="591">
        <v>48.914999999999999</v>
      </c>
      <c r="IG99" s="591">
        <v>0</v>
      </c>
      <c r="IH99" s="591">
        <v>1076.1300000000001</v>
      </c>
      <c r="II99" s="591">
        <v>0</v>
      </c>
      <c r="IJ99" s="591">
        <v>1633.653</v>
      </c>
      <c r="IK99" s="591">
        <v>0</v>
      </c>
      <c r="IL99" s="591">
        <v>16</v>
      </c>
      <c r="IM99" s="591">
        <v>2</v>
      </c>
      <c r="IN99" s="591">
        <v>0</v>
      </c>
      <c r="IO99" s="591">
        <v>18</v>
      </c>
      <c r="IP99" s="591">
        <v>0</v>
      </c>
      <c r="IQ99" s="591">
        <v>1021.2370000000001</v>
      </c>
      <c r="IR99" s="591">
        <v>628988</v>
      </c>
      <c r="IS99" s="591">
        <v>0</v>
      </c>
      <c r="IT99" s="591">
        <v>80000</v>
      </c>
      <c r="IU99" s="591">
        <v>6000</v>
      </c>
      <c r="IV99" s="591">
        <v>0</v>
      </c>
      <c r="IW99" s="591">
        <v>6159</v>
      </c>
      <c r="IX99" s="591">
        <v>520597</v>
      </c>
      <c r="IY99" s="591">
        <v>15064</v>
      </c>
      <c r="IZ99" s="591">
        <v>0</v>
      </c>
      <c r="JA99" s="591">
        <v>0</v>
      </c>
      <c r="JB99" s="591">
        <v>0</v>
      </c>
      <c r="JC99" s="591">
        <v>0</v>
      </c>
      <c r="JD99" s="591">
        <v>0</v>
      </c>
      <c r="JE99" s="591">
        <v>0</v>
      </c>
      <c r="JF99" s="591">
        <v>0</v>
      </c>
      <c r="JG99" s="591">
        <v>0</v>
      </c>
      <c r="JH99" s="591">
        <v>0</v>
      </c>
      <c r="JI99" s="591">
        <v>0</v>
      </c>
      <c r="JJ99" s="591">
        <v>0</v>
      </c>
      <c r="JK99" s="591">
        <v>0</v>
      </c>
      <c r="JL99" s="591">
        <v>0</v>
      </c>
      <c r="JM99" s="591">
        <v>0</v>
      </c>
      <c r="JN99" s="591">
        <v>32469</v>
      </c>
    </row>
    <row r="100" spans="1:274" x14ac:dyDescent="0.25">
      <c r="A100" s="591">
        <v>32570</v>
      </c>
      <c r="B100" s="591">
        <v>101837</v>
      </c>
      <c r="C100" s="591">
        <v>9</v>
      </c>
      <c r="D100" s="591">
        <v>2022</v>
      </c>
      <c r="E100" s="591">
        <v>6159</v>
      </c>
      <c r="F100" s="591">
        <v>0</v>
      </c>
      <c r="G100" s="591">
        <v>298.38800000000003</v>
      </c>
      <c r="H100" s="591">
        <v>233.57600000000002</v>
      </c>
      <c r="I100" s="591">
        <v>233.57600000000002</v>
      </c>
      <c r="J100" s="591">
        <v>298.38800000000003</v>
      </c>
      <c r="K100" s="591">
        <v>0</v>
      </c>
      <c r="L100" s="591">
        <v>6159</v>
      </c>
      <c r="M100" s="591">
        <v>0</v>
      </c>
      <c r="N100" s="591">
        <v>0</v>
      </c>
      <c r="O100" s="591">
        <v>0</v>
      </c>
      <c r="P100" s="591">
        <v>289.60400000000004</v>
      </c>
      <c r="Q100" s="591">
        <v>0</v>
      </c>
      <c r="R100" s="591">
        <v>116545</v>
      </c>
      <c r="S100" s="591">
        <v>402.428</v>
      </c>
      <c r="T100" s="591">
        <v>0</v>
      </c>
      <c r="U100" s="591">
        <v>0</v>
      </c>
      <c r="V100" s="591">
        <v>14.115</v>
      </c>
      <c r="W100" s="591">
        <v>8694</v>
      </c>
      <c r="X100" s="591">
        <v>8694</v>
      </c>
      <c r="Y100" s="591">
        <v>0</v>
      </c>
      <c r="Z100" s="591">
        <v>0</v>
      </c>
      <c r="AA100" s="591">
        <v>0</v>
      </c>
      <c r="AB100" s="591">
        <v>0</v>
      </c>
      <c r="AC100" s="591">
        <v>0</v>
      </c>
      <c r="AD100" s="591" t="s">
        <v>316</v>
      </c>
      <c r="AE100" s="591">
        <v>0</v>
      </c>
      <c r="AF100" s="591">
        <v>0</v>
      </c>
      <c r="AG100" s="591">
        <v>0</v>
      </c>
      <c r="AH100" s="591">
        <v>0</v>
      </c>
      <c r="AI100" s="591">
        <v>0</v>
      </c>
      <c r="AJ100" s="591">
        <v>6159</v>
      </c>
      <c r="AK100" s="591" t="s">
        <v>671</v>
      </c>
      <c r="AL100" s="591" t="s">
        <v>12</v>
      </c>
      <c r="AM100" s="591">
        <v>0</v>
      </c>
      <c r="AN100" s="591">
        <v>0</v>
      </c>
      <c r="AO100" s="591">
        <v>0</v>
      </c>
      <c r="AP100" s="591">
        <v>0</v>
      </c>
      <c r="AQ100" s="591">
        <v>0</v>
      </c>
      <c r="AR100" s="591">
        <v>0</v>
      </c>
      <c r="AS100" s="591">
        <v>0</v>
      </c>
      <c r="AT100" s="591">
        <v>0</v>
      </c>
      <c r="AU100" s="591">
        <v>0</v>
      </c>
      <c r="AV100" s="591">
        <v>0</v>
      </c>
      <c r="AW100" s="591">
        <v>2949107</v>
      </c>
      <c r="AX100" s="591">
        <v>2892829</v>
      </c>
      <c r="AY100" s="591">
        <v>0</v>
      </c>
      <c r="AZ100" s="591">
        <v>116545</v>
      </c>
      <c r="BA100" s="591">
        <v>0</v>
      </c>
      <c r="BB100" s="591">
        <v>0</v>
      </c>
      <c r="BC100" s="591">
        <v>0</v>
      </c>
      <c r="BD100" s="591">
        <v>0</v>
      </c>
      <c r="BE100" s="591">
        <v>39</v>
      </c>
      <c r="BF100" s="591">
        <v>2648732</v>
      </c>
      <c r="BG100" s="591">
        <v>0</v>
      </c>
      <c r="BH100" s="591">
        <v>0</v>
      </c>
      <c r="BI100" s="591">
        <v>0</v>
      </c>
      <c r="BJ100" s="591">
        <v>12</v>
      </c>
      <c r="BK100" s="591">
        <v>0</v>
      </c>
      <c r="BL100" s="591">
        <v>0</v>
      </c>
      <c r="BM100" s="591">
        <v>0</v>
      </c>
      <c r="BN100" s="591">
        <v>0</v>
      </c>
      <c r="BO100" s="591">
        <v>0</v>
      </c>
      <c r="BP100" s="591">
        <v>0</v>
      </c>
      <c r="BQ100" s="591">
        <v>734</v>
      </c>
      <c r="BR100" s="591">
        <v>0</v>
      </c>
      <c r="BS100" s="591">
        <v>0</v>
      </c>
      <c r="BT100" s="591">
        <v>0</v>
      </c>
      <c r="BU100" s="591">
        <v>0</v>
      </c>
      <c r="BV100" s="591">
        <v>0</v>
      </c>
      <c r="BW100" s="591">
        <v>0</v>
      </c>
      <c r="BX100" s="591">
        <v>0</v>
      </c>
      <c r="BY100" s="591">
        <v>0</v>
      </c>
      <c r="BZ100" s="591">
        <v>0</v>
      </c>
      <c r="CA100" s="591">
        <v>0</v>
      </c>
      <c r="CB100" s="591">
        <v>0</v>
      </c>
      <c r="CC100" s="591">
        <v>0</v>
      </c>
      <c r="CD100" s="591">
        <v>0</v>
      </c>
      <c r="CE100" s="591">
        <v>0</v>
      </c>
      <c r="CF100" s="591">
        <v>0</v>
      </c>
      <c r="CG100" s="591">
        <v>0</v>
      </c>
      <c r="CH100" s="591">
        <v>56898</v>
      </c>
      <c r="CI100" s="591">
        <v>0</v>
      </c>
      <c r="CJ100" s="591">
        <v>4</v>
      </c>
      <c r="CK100" s="591">
        <v>0</v>
      </c>
      <c r="CL100" s="591">
        <v>0</v>
      </c>
      <c r="CM100" s="591">
        <v>0</v>
      </c>
      <c r="CN100" s="591">
        <v>0</v>
      </c>
      <c r="CO100" s="591">
        <v>1</v>
      </c>
      <c r="CP100" s="591">
        <v>0</v>
      </c>
      <c r="CQ100" s="591">
        <v>0</v>
      </c>
      <c r="CR100" s="591">
        <v>298.38800000000003</v>
      </c>
      <c r="CS100" s="591">
        <v>0</v>
      </c>
      <c r="CT100" s="591">
        <v>0</v>
      </c>
      <c r="CU100" s="591">
        <v>0</v>
      </c>
      <c r="CV100" s="591">
        <v>0</v>
      </c>
      <c r="CW100" s="591">
        <v>0</v>
      </c>
      <c r="CX100" s="591">
        <v>0</v>
      </c>
      <c r="CY100" s="591">
        <v>0</v>
      </c>
      <c r="CZ100" s="591">
        <v>0</v>
      </c>
      <c r="DA100" s="591">
        <v>0</v>
      </c>
      <c r="DB100" s="591">
        <v>1438614</v>
      </c>
      <c r="DC100" s="591">
        <v>0</v>
      </c>
      <c r="DD100" s="591">
        <v>0</v>
      </c>
      <c r="DE100" s="591">
        <v>212334</v>
      </c>
      <c r="DF100" s="591">
        <v>212334</v>
      </c>
      <c r="DG100" s="591">
        <v>34.475000000000001</v>
      </c>
      <c r="DH100" s="591">
        <v>0</v>
      </c>
      <c r="DI100" s="591">
        <v>0</v>
      </c>
      <c r="DJ100" s="591">
        <v>0</v>
      </c>
      <c r="DK100" s="591">
        <v>3366</v>
      </c>
      <c r="DL100" s="591">
        <v>0</v>
      </c>
      <c r="DM100" s="591">
        <v>152402</v>
      </c>
      <c r="DN100" s="591">
        <v>581</v>
      </c>
      <c r="DO100" s="591">
        <v>0</v>
      </c>
      <c r="DP100" s="591">
        <v>0</v>
      </c>
      <c r="DQ100" s="591">
        <v>0</v>
      </c>
      <c r="DR100" s="591">
        <v>0</v>
      </c>
      <c r="DS100" s="591">
        <v>0</v>
      </c>
      <c r="DT100" s="591">
        <v>0</v>
      </c>
      <c r="DU100" s="591">
        <v>0</v>
      </c>
      <c r="DV100" s="591">
        <v>0</v>
      </c>
      <c r="DW100" s="591">
        <v>0</v>
      </c>
      <c r="DX100" s="591">
        <v>0</v>
      </c>
      <c r="DY100" s="591">
        <v>0</v>
      </c>
      <c r="DZ100" s="591">
        <v>0</v>
      </c>
      <c r="EA100" s="591">
        <v>0</v>
      </c>
      <c r="EB100" s="591">
        <v>0</v>
      </c>
      <c r="EC100" s="591">
        <v>20.803000000000001</v>
      </c>
      <c r="ED100" s="591">
        <v>147347</v>
      </c>
      <c r="EE100" s="591">
        <v>0</v>
      </c>
      <c r="EF100" s="591">
        <v>0</v>
      </c>
      <c r="EG100" s="591">
        <v>0</v>
      </c>
      <c r="EH100" s="591">
        <v>5636</v>
      </c>
      <c r="EI100" s="591">
        <v>0</v>
      </c>
      <c r="EJ100" s="591">
        <v>0</v>
      </c>
      <c r="EK100" s="591">
        <v>0</v>
      </c>
      <c r="EL100" s="591">
        <v>0</v>
      </c>
      <c r="EM100" s="591">
        <v>0</v>
      </c>
      <c r="EN100" s="591">
        <v>0.183</v>
      </c>
      <c r="EO100" s="591">
        <v>0</v>
      </c>
      <c r="EP100" s="591">
        <v>0</v>
      </c>
      <c r="EQ100" s="591">
        <v>0.183</v>
      </c>
      <c r="ER100" s="591">
        <v>0</v>
      </c>
      <c r="ES100" s="591">
        <v>0.91500000000000004</v>
      </c>
      <c r="ET100" s="591">
        <v>0</v>
      </c>
      <c r="EU100" s="591">
        <v>0</v>
      </c>
      <c r="EV100" s="591">
        <v>0</v>
      </c>
      <c r="EW100" s="591">
        <v>0</v>
      </c>
      <c r="EX100" s="591">
        <v>0</v>
      </c>
      <c r="EY100" s="591">
        <v>0</v>
      </c>
      <c r="EZ100" s="591">
        <v>2562507</v>
      </c>
      <c r="FA100" s="591">
        <v>0</v>
      </c>
      <c r="FB100" s="591">
        <v>2678432</v>
      </c>
      <c r="FC100" s="591">
        <v>0</v>
      </c>
      <c r="FD100" s="591">
        <v>0</v>
      </c>
      <c r="FE100" s="591">
        <v>274360</v>
      </c>
      <c r="FF100" s="591">
        <v>55962</v>
      </c>
      <c r="FG100" s="591">
        <v>6.4728999999999995E-2</v>
      </c>
      <c r="FH100" s="591">
        <v>2.6405999999999999E-2</v>
      </c>
      <c r="FI100" s="591">
        <v>0</v>
      </c>
      <c r="FJ100" s="591">
        <v>0</v>
      </c>
      <c r="FK100" s="591">
        <v>430.053</v>
      </c>
      <c r="FL100" s="591">
        <v>3065652</v>
      </c>
      <c r="FM100" s="591">
        <v>0</v>
      </c>
      <c r="FN100" s="591">
        <v>0</v>
      </c>
      <c r="FO100" s="591">
        <v>26126</v>
      </c>
      <c r="FP100" s="591">
        <v>0</v>
      </c>
      <c r="FQ100" s="591">
        <v>26126</v>
      </c>
      <c r="FR100" s="591">
        <v>26126</v>
      </c>
      <c r="FS100" s="591">
        <v>0</v>
      </c>
      <c r="FT100" s="591">
        <v>0</v>
      </c>
      <c r="FU100" s="591">
        <v>0</v>
      </c>
      <c r="FV100" s="591">
        <v>0</v>
      </c>
      <c r="FW100" s="591">
        <v>0</v>
      </c>
      <c r="FX100" s="591">
        <v>0</v>
      </c>
      <c r="FY100" s="591">
        <v>0</v>
      </c>
      <c r="FZ100" s="591">
        <v>0</v>
      </c>
      <c r="GA100" s="591">
        <v>0</v>
      </c>
      <c r="GB100" s="591">
        <v>537375</v>
      </c>
      <c r="GC100" s="591">
        <v>537375</v>
      </c>
      <c r="GD100" s="591">
        <v>64.629000000000005</v>
      </c>
      <c r="GE100" s="591">
        <v>0</v>
      </c>
      <c r="GF100" s="591">
        <v>0</v>
      </c>
      <c r="GG100" s="591">
        <v>0</v>
      </c>
      <c r="GH100" s="591">
        <v>0</v>
      </c>
      <c r="GI100" s="591">
        <v>0</v>
      </c>
      <c r="GJ100" s="591">
        <v>0</v>
      </c>
      <c r="GK100" s="591">
        <v>0</v>
      </c>
      <c r="GL100" s="591">
        <v>0</v>
      </c>
      <c r="GM100" s="591">
        <v>0</v>
      </c>
      <c r="GN100" s="591">
        <v>0</v>
      </c>
      <c r="GO100" s="591">
        <v>0</v>
      </c>
      <c r="GP100" s="591">
        <v>0</v>
      </c>
      <c r="GQ100" s="591">
        <v>0</v>
      </c>
      <c r="GR100" s="591">
        <v>0</v>
      </c>
      <c r="GS100" s="591">
        <v>0</v>
      </c>
      <c r="GT100" s="591">
        <v>0</v>
      </c>
      <c r="GU100" s="591">
        <v>0</v>
      </c>
      <c r="GV100" s="591">
        <v>0</v>
      </c>
      <c r="GW100" s="591">
        <v>0</v>
      </c>
      <c r="GX100" s="591">
        <v>0</v>
      </c>
      <c r="GY100" s="591">
        <v>0</v>
      </c>
      <c r="GZ100" s="591">
        <v>0</v>
      </c>
      <c r="HA100" s="591">
        <v>0</v>
      </c>
      <c r="HB100" s="591">
        <v>260009272</v>
      </c>
      <c r="HC100" s="591">
        <v>5.1774999999999995E-2</v>
      </c>
      <c r="HD100" s="591">
        <v>54071</v>
      </c>
      <c r="HE100" s="591">
        <v>0</v>
      </c>
      <c r="HF100" s="591">
        <v>256700</v>
      </c>
      <c r="HG100" s="591">
        <v>5132</v>
      </c>
      <c r="HH100" s="591">
        <v>0</v>
      </c>
      <c r="HI100" s="591">
        <v>0</v>
      </c>
      <c r="HJ100" s="591">
        <v>2900</v>
      </c>
      <c r="HK100" s="591">
        <v>1785</v>
      </c>
      <c r="HL100" s="591">
        <v>2409</v>
      </c>
      <c r="HM100" s="591">
        <v>34000</v>
      </c>
      <c r="HN100" s="591">
        <v>0</v>
      </c>
      <c r="HO100" s="591">
        <v>0</v>
      </c>
      <c r="HP100" s="591">
        <v>0</v>
      </c>
      <c r="HQ100" s="591">
        <v>0</v>
      </c>
      <c r="HR100" s="591">
        <v>0</v>
      </c>
      <c r="HS100" s="591">
        <v>2561887</v>
      </c>
      <c r="HT100" s="591">
        <v>0</v>
      </c>
      <c r="HU100" s="591">
        <v>2827</v>
      </c>
      <c r="HV100" s="591">
        <v>0</v>
      </c>
      <c r="HW100" s="591">
        <v>0</v>
      </c>
      <c r="HX100" s="591">
        <v>41</v>
      </c>
      <c r="HY100" s="591">
        <v>81</v>
      </c>
      <c r="HZ100" s="591">
        <v>23</v>
      </c>
      <c r="IA100" s="591">
        <v>1</v>
      </c>
      <c r="IB100" s="591">
        <v>0</v>
      </c>
      <c r="IC100" s="591">
        <v>76</v>
      </c>
      <c r="ID100" s="591">
        <v>0</v>
      </c>
      <c r="IE100" s="591">
        <v>0</v>
      </c>
      <c r="IF100" s="591">
        <v>0</v>
      </c>
      <c r="IG100" s="591">
        <v>8.3330000000000002</v>
      </c>
      <c r="IH100" s="591">
        <v>0</v>
      </c>
      <c r="II100" s="591">
        <v>0</v>
      </c>
      <c r="IJ100" s="591">
        <v>14.115</v>
      </c>
      <c r="IK100" s="591">
        <v>0</v>
      </c>
      <c r="IL100" s="591">
        <v>5</v>
      </c>
      <c r="IM100" s="591">
        <v>3</v>
      </c>
      <c r="IN100" s="591">
        <v>0</v>
      </c>
      <c r="IO100" s="591">
        <v>8</v>
      </c>
      <c r="IP100" s="591">
        <v>0</v>
      </c>
      <c r="IQ100" s="591">
        <v>14.115</v>
      </c>
      <c r="IR100" s="591">
        <v>8694</v>
      </c>
      <c r="IS100" s="591">
        <v>0</v>
      </c>
      <c r="IT100" s="591">
        <v>25000</v>
      </c>
      <c r="IU100" s="591">
        <v>9000</v>
      </c>
      <c r="IV100" s="591">
        <v>0</v>
      </c>
      <c r="IW100" s="591">
        <v>6159</v>
      </c>
      <c r="IX100" s="591">
        <v>0</v>
      </c>
      <c r="IY100" s="591">
        <v>0</v>
      </c>
      <c r="IZ100" s="591">
        <v>0</v>
      </c>
      <c r="JA100" s="591">
        <v>0</v>
      </c>
      <c r="JB100" s="591">
        <v>0</v>
      </c>
      <c r="JC100" s="591">
        <v>0</v>
      </c>
      <c r="JD100" s="591">
        <v>0</v>
      </c>
      <c r="JE100" s="591">
        <v>0</v>
      </c>
      <c r="JF100" s="591">
        <v>0</v>
      </c>
      <c r="JG100" s="591">
        <v>0</v>
      </c>
      <c r="JH100" s="591">
        <v>0</v>
      </c>
      <c r="JI100" s="591">
        <v>0</v>
      </c>
      <c r="JJ100" s="591">
        <v>0</v>
      </c>
      <c r="JK100" s="591">
        <v>0</v>
      </c>
      <c r="JL100" s="591">
        <v>0</v>
      </c>
      <c r="JM100" s="591">
        <v>0</v>
      </c>
      <c r="JN100" s="591">
        <v>32469</v>
      </c>
    </row>
    <row r="101" spans="1:274" x14ac:dyDescent="0.25">
      <c r="A101" s="591">
        <v>32570</v>
      </c>
      <c r="B101" s="591">
        <v>101838</v>
      </c>
      <c r="C101" s="591">
        <v>9</v>
      </c>
      <c r="D101" s="591">
        <v>2022</v>
      </c>
      <c r="E101" s="591">
        <v>6159</v>
      </c>
      <c r="F101" s="591">
        <v>0</v>
      </c>
      <c r="G101" s="591">
        <v>1518.875</v>
      </c>
      <c r="H101" s="591">
        <v>1451.7160000000001</v>
      </c>
      <c r="I101" s="591">
        <v>1451.7160000000001</v>
      </c>
      <c r="J101" s="591">
        <v>1518.875</v>
      </c>
      <c r="K101" s="591">
        <v>0</v>
      </c>
      <c r="L101" s="591">
        <v>6159</v>
      </c>
      <c r="M101" s="591">
        <v>0</v>
      </c>
      <c r="N101" s="591">
        <v>0</v>
      </c>
      <c r="O101" s="591">
        <v>0</v>
      </c>
      <c r="P101" s="591">
        <v>1446.308</v>
      </c>
      <c r="Q101" s="591">
        <v>0</v>
      </c>
      <c r="R101" s="591">
        <v>582035</v>
      </c>
      <c r="S101" s="591">
        <v>402.428</v>
      </c>
      <c r="T101" s="591">
        <v>0</v>
      </c>
      <c r="U101" s="591">
        <v>0</v>
      </c>
      <c r="V101" s="591">
        <v>1025.5220000000002</v>
      </c>
      <c r="W101" s="591">
        <v>631627</v>
      </c>
      <c r="X101" s="591">
        <v>631627</v>
      </c>
      <c r="Y101" s="591">
        <v>0</v>
      </c>
      <c r="Z101" s="591">
        <v>0</v>
      </c>
      <c r="AA101" s="591">
        <v>0</v>
      </c>
      <c r="AB101" s="591">
        <v>0</v>
      </c>
      <c r="AC101" s="591">
        <v>0</v>
      </c>
      <c r="AD101" s="591" t="s">
        <v>316</v>
      </c>
      <c r="AE101" s="591">
        <v>0</v>
      </c>
      <c r="AF101" s="591">
        <v>0</v>
      </c>
      <c r="AG101" s="591">
        <v>0</v>
      </c>
      <c r="AH101" s="591">
        <v>0</v>
      </c>
      <c r="AI101" s="591">
        <v>0</v>
      </c>
      <c r="AJ101" s="591">
        <v>6159</v>
      </c>
      <c r="AK101" s="591" t="s">
        <v>671</v>
      </c>
      <c r="AL101" s="591" t="s">
        <v>13</v>
      </c>
      <c r="AM101" s="591">
        <v>0</v>
      </c>
      <c r="AN101" s="591">
        <v>0</v>
      </c>
      <c r="AO101" s="591">
        <v>0</v>
      </c>
      <c r="AP101" s="591">
        <v>0</v>
      </c>
      <c r="AQ101" s="591">
        <v>0</v>
      </c>
      <c r="AR101" s="591">
        <v>0</v>
      </c>
      <c r="AS101" s="591">
        <v>0</v>
      </c>
      <c r="AT101" s="591">
        <v>0</v>
      </c>
      <c r="AU101" s="591">
        <v>0</v>
      </c>
      <c r="AV101" s="591">
        <v>0</v>
      </c>
      <c r="AW101" s="591">
        <v>18299446</v>
      </c>
      <c r="AX101" s="591">
        <v>18030431</v>
      </c>
      <c r="AY101" s="591">
        <v>0</v>
      </c>
      <c r="AZ101" s="591">
        <v>582035</v>
      </c>
      <c r="BA101" s="591">
        <v>0</v>
      </c>
      <c r="BB101" s="591">
        <v>0</v>
      </c>
      <c r="BC101" s="591">
        <v>0</v>
      </c>
      <c r="BD101" s="591">
        <v>0</v>
      </c>
      <c r="BE101" s="591">
        <v>238</v>
      </c>
      <c r="BF101" s="591">
        <v>16439980</v>
      </c>
      <c r="BG101" s="591">
        <v>0</v>
      </c>
      <c r="BH101" s="591">
        <v>0</v>
      </c>
      <c r="BI101" s="591">
        <v>0</v>
      </c>
      <c r="BJ101" s="591">
        <v>12</v>
      </c>
      <c r="BK101" s="591">
        <v>0</v>
      </c>
      <c r="BL101" s="591">
        <v>0</v>
      </c>
      <c r="BM101" s="591">
        <v>0</v>
      </c>
      <c r="BN101" s="591">
        <v>0</v>
      </c>
      <c r="BO101" s="591">
        <v>0</v>
      </c>
      <c r="BP101" s="591">
        <v>0</v>
      </c>
      <c r="BQ101" s="591">
        <v>546</v>
      </c>
      <c r="BR101" s="591">
        <v>0</v>
      </c>
      <c r="BS101" s="591">
        <v>0</v>
      </c>
      <c r="BT101" s="591">
        <v>0</v>
      </c>
      <c r="BU101" s="591">
        <v>0</v>
      </c>
      <c r="BV101" s="591">
        <v>0</v>
      </c>
      <c r="BW101" s="591">
        <v>0</v>
      </c>
      <c r="BX101" s="591">
        <v>0</v>
      </c>
      <c r="BY101" s="591">
        <v>0</v>
      </c>
      <c r="BZ101" s="591">
        <v>0</v>
      </c>
      <c r="CA101" s="591">
        <v>0</v>
      </c>
      <c r="CB101" s="591">
        <v>0</v>
      </c>
      <c r="CC101" s="591">
        <v>0</v>
      </c>
      <c r="CD101" s="591">
        <v>0</v>
      </c>
      <c r="CE101" s="591">
        <v>0</v>
      </c>
      <c r="CF101" s="591">
        <v>0</v>
      </c>
      <c r="CG101" s="591">
        <v>0</v>
      </c>
      <c r="CH101" s="591">
        <v>275237</v>
      </c>
      <c r="CI101" s="591">
        <v>0</v>
      </c>
      <c r="CJ101" s="591">
        <v>4</v>
      </c>
      <c r="CK101" s="591">
        <v>0</v>
      </c>
      <c r="CL101" s="591">
        <v>0</v>
      </c>
      <c r="CM101" s="591">
        <v>0</v>
      </c>
      <c r="CN101" s="591">
        <v>0</v>
      </c>
      <c r="CO101" s="591">
        <v>1</v>
      </c>
      <c r="CP101" s="591">
        <v>0.10400000000000001</v>
      </c>
      <c r="CQ101" s="591">
        <v>0</v>
      </c>
      <c r="CR101" s="591">
        <v>1518.875</v>
      </c>
      <c r="CS101" s="591">
        <v>0</v>
      </c>
      <c r="CT101" s="591">
        <v>0</v>
      </c>
      <c r="CU101" s="591">
        <v>0</v>
      </c>
      <c r="CV101" s="591">
        <v>0</v>
      </c>
      <c r="CW101" s="591">
        <v>0</v>
      </c>
      <c r="CX101" s="591">
        <v>0</v>
      </c>
      <c r="CY101" s="591">
        <v>0</v>
      </c>
      <c r="CZ101" s="591">
        <v>0</v>
      </c>
      <c r="DA101" s="591">
        <v>0</v>
      </c>
      <c r="DB101" s="591">
        <v>8714816</v>
      </c>
      <c r="DC101" s="591">
        <v>0</v>
      </c>
      <c r="DD101" s="591">
        <v>0</v>
      </c>
      <c r="DE101" s="591">
        <v>2969140</v>
      </c>
      <c r="DF101" s="591">
        <v>2973148</v>
      </c>
      <c r="DG101" s="591">
        <v>482.07500000000005</v>
      </c>
      <c r="DH101" s="591">
        <v>0</v>
      </c>
      <c r="DI101" s="591">
        <v>1544</v>
      </c>
      <c r="DJ101" s="591">
        <v>0</v>
      </c>
      <c r="DK101" s="591">
        <v>365</v>
      </c>
      <c r="DL101" s="591">
        <v>0</v>
      </c>
      <c r="DM101" s="591">
        <v>1794779</v>
      </c>
      <c r="DN101" s="591">
        <v>5984</v>
      </c>
      <c r="DO101" s="591">
        <v>0</v>
      </c>
      <c r="DP101" s="591">
        <v>0</v>
      </c>
      <c r="DQ101" s="591">
        <v>0</v>
      </c>
      <c r="DR101" s="591">
        <v>0</v>
      </c>
      <c r="DS101" s="591">
        <v>0</v>
      </c>
      <c r="DT101" s="591">
        <v>0</v>
      </c>
      <c r="DU101" s="591">
        <v>0</v>
      </c>
      <c r="DV101" s="591">
        <v>0</v>
      </c>
      <c r="DW101" s="591">
        <v>0</v>
      </c>
      <c r="DX101" s="591">
        <v>0</v>
      </c>
      <c r="DY101" s="591">
        <v>0</v>
      </c>
      <c r="DZ101" s="591">
        <v>0</v>
      </c>
      <c r="EA101" s="591">
        <v>0</v>
      </c>
      <c r="EB101" s="591">
        <v>0</v>
      </c>
      <c r="EC101" s="591">
        <v>56.253</v>
      </c>
      <c r="ED101" s="591">
        <v>398437</v>
      </c>
      <c r="EE101" s="591">
        <v>0</v>
      </c>
      <c r="EF101" s="591">
        <v>0</v>
      </c>
      <c r="EG101" s="591">
        <v>0</v>
      </c>
      <c r="EH101" s="591">
        <v>558789</v>
      </c>
      <c r="EI101" s="591">
        <v>617115</v>
      </c>
      <c r="EJ101" s="591">
        <v>25.048999999999999</v>
      </c>
      <c r="EK101" s="591">
        <v>26.977</v>
      </c>
      <c r="EL101" s="591">
        <v>0</v>
      </c>
      <c r="EM101" s="591">
        <v>0</v>
      </c>
      <c r="EN101" s="591">
        <v>1.9590000000000001</v>
      </c>
      <c r="EO101" s="591">
        <v>0</v>
      </c>
      <c r="EP101" s="591">
        <v>0</v>
      </c>
      <c r="EQ101" s="591">
        <v>53.984999999999999</v>
      </c>
      <c r="ER101" s="591">
        <v>0</v>
      </c>
      <c r="ES101" s="591">
        <v>90.725999999999999</v>
      </c>
      <c r="ET101" s="591">
        <v>0</v>
      </c>
      <c r="EU101" s="591">
        <v>0</v>
      </c>
      <c r="EV101" s="591">
        <v>0</v>
      </c>
      <c r="EW101" s="591">
        <v>0</v>
      </c>
      <c r="EX101" s="591">
        <v>0</v>
      </c>
      <c r="EY101" s="591">
        <v>0</v>
      </c>
      <c r="EZ101" s="591">
        <v>15980204</v>
      </c>
      <c r="FA101" s="591">
        <v>0</v>
      </c>
      <c r="FB101" s="591">
        <v>16556017</v>
      </c>
      <c r="FC101" s="591">
        <v>0</v>
      </c>
      <c r="FD101" s="591">
        <v>0</v>
      </c>
      <c r="FE101" s="591">
        <v>1702884</v>
      </c>
      <c r="FF101" s="591">
        <v>347343</v>
      </c>
      <c r="FG101" s="591">
        <v>6.4728999999999995E-2</v>
      </c>
      <c r="FH101" s="591">
        <v>2.6405999999999999E-2</v>
      </c>
      <c r="FI101" s="591">
        <v>0</v>
      </c>
      <c r="FJ101" s="591">
        <v>0</v>
      </c>
      <c r="FK101" s="591">
        <v>2669.2260000000001</v>
      </c>
      <c r="FL101" s="591">
        <v>18881481</v>
      </c>
      <c r="FM101" s="591">
        <v>0</v>
      </c>
      <c r="FN101" s="591">
        <v>0</v>
      </c>
      <c r="FO101" s="591">
        <v>64881</v>
      </c>
      <c r="FP101" s="591">
        <v>0</v>
      </c>
      <c r="FQ101" s="591">
        <v>64881</v>
      </c>
      <c r="FR101" s="591">
        <v>64881</v>
      </c>
      <c r="FS101" s="591">
        <v>0</v>
      </c>
      <c r="FT101" s="591">
        <v>0</v>
      </c>
      <c r="FU101" s="591">
        <v>0</v>
      </c>
      <c r="FV101" s="591">
        <v>0</v>
      </c>
      <c r="FW101" s="591">
        <v>0</v>
      </c>
      <c r="FX101" s="591">
        <v>0</v>
      </c>
      <c r="FY101" s="591">
        <v>0</v>
      </c>
      <c r="FZ101" s="591">
        <v>0</v>
      </c>
      <c r="GA101" s="591">
        <v>0</v>
      </c>
      <c r="GB101" s="591">
        <v>109539</v>
      </c>
      <c r="GC101" s="591">
        <v>109539</v>
      </c>
      <c r="GD101" s="591">
        <v>13.174000000000001</v>
      </c>
      <c r="GE101" s="591">
        <v>0</v>
      </c>
      <c r="GF101" s="591">
        <v>0</v>
      </c>
      <c r="GG101" s="591">
        <v>0</v>
      </c>
      <c r="GH101" s="591">
        <v>0</v>
      </c>
      <c r="GI101" s="591">
        <v>0</v>
      </c>
      <c r="GJ101" s="591">
        <v>0</v>
      </c>
      <c r="GK101" s="591">
        <v>0</v>
      </c>
      <c r="GL101" s="591">
        <v>0</v>
      </c>
      <c r="GM101" s="591">
        <v>0</v>
      </c>
      <c r="GN101" s="591">
        <v>0</v>
      </c>
      <c r="GO101" s="591">
        <v>0</v>
      </c>
      <c r="GP101" s="591">
        <v>0</v>
      </c>
      <c r="GQ101" s="591">
        <v>0</v>
      </c>
      <c r="GR101" s="591">
        <v>0</v>
      </c>
      <c r="GS101" s="591">
        <v>0</v>
      </c>
      <c r="GT101" s="591">
        <v>0</v>
      </c>
      <c r="GU101" s="591">
        <v>0</v>
      </c>
      <c r="GV101" s="591">
        <v>0</v>
      </c>
      <c r="GW101" s="591">
        <v>0</v>
      </c>
      <c r="GX101" s="591">
        <v>0</v>
      </c>
      <c r="GY101" s="591">
        <v>0</v>
      </c>
      <c r="GZ101" s="591">
        <v>0</v>
      </c>
      <c r="HA101" s="591">
        <v>0</v>
      </c>
      <c r="HB101" s="591">
        <v>260009272</v>
      </c>
      <c r="HC101" s="591">
        <v>5.1774999999999995E-2</v>
      </c>
      <c r="HD101" s="591">
        <v>275237</v>
      </c>
      <c r="HE101" s="591">
        <v>0</v>
      </c>
      <c r="HF101" s="591">
        <v>1595436</v>
      </c>
      <c r="HG101" s="591">
        <v>2464</v>
      </c>
      <c r="HH101" s="591">
        <v>589424</v>
      </c>
      <c r="HI101" s="591">
        <v>0</v>
      </c>
      <c r="HJ101" s="591">
        <v>14763</v>
      </c>
      <c r="HK101" s="591">
        <v>6256</v>
      </c>
      <c r="HL101" s="591">
        <v>4596</v>
      </c>
      <c r="HM101" s="591">
        <v>8000</v>
      </c>
      <c r="HN101" s="591">
        <v>0</v>
      </c>
      <c r="HO101" s="591">
        <v>0</v>
      </c>
      <c r="HP101" s="591">
        <v>46526</v>
      </c>
      <c r="HQ101" s="591">
        <v>0</v>
      </c>
      <c r="HR101" s="591">
        <v>0</v>
      </c>
      <c r="HS101" s="591">
        <v>15973982</v>
      </c>
      <c r="HT101" s="591">
        <v>0</v>
      </c>
      <c r="HU101" s="591">
        <v>0</v>
      </c>
      <c r="HV101" s="591">
        <v>0</v>
      </c>
      <c r="HW101" s="591">
        <v>0</v>
      </c>
      <c r="HX101" s="591">
        <v>60</v>
      </c>
      <c r="HY101" s="591">
        <v>146</v>
      </c>
      <c r="HZ101" s="591">
        <v>147</v>
      </c>
      <c r="IA101" s="591">
        <v>326</v>
      </c>
      <c r="IB101" s="591">
        <v>1133</v>
      </c>
      <c r="IC101" s="591">
        <v>1535</v>
      </c>
      <c r="ID101" s="591">
        <v>2</v>
      </c>
      <c r="IE101" s="591">
        <v>0</v>
      </c>
      <c r="IF101" s="591">
        <v>0</v>
      </c>
      <c r="IG101" s="591">
        <v>4</v>
      </c>
      <c r="IH101" s="591">
        <v>957</v>
      </c>
      <c r="II101" s="591">
        <v>169.184</v>
      </c>
      <c r="IJ101" s="591">
        <v>1025.5220000000002</v>
      </c>
      <c r="IK101" s="591">
        <v>0</v>
      </c>
      <c r="IL101" s="591">
        <v>1</v>
      </c>
      <c r="IM101" s="591">
        <v>1</v>
      </c>
      <c r="IN101" s="591">
        <v>0</v>
      </c>
      <c r="IO101" s="591">
        <v>2</v>
      </c>
      <c r="IP101" s="591">
        <v>169.184</v>
      </c>
      <c r="IQ101" s="591">
        <v>1025.5220000000002</v>
      </c>
      <c r="IR101" s="591">
        <v>631627</v>
      </c>
      <c r="IS101" s="591">
        <v>0</v>
      </c>
      <c r="IT101" s="591">
        <v>5000</v>
      </c>
      <c r="IU101" s="591">
        <v>3000</v>
      </c>
      <c r="IV101" s="591">
        <v>0</v>
      </c>
      <c r="IW101" s="591">
        <v>6159</v>
      </c>
      <c r="IX101" s="591">
        <v>0</v>
      </c>
      <c r="IY101" s="591">
        <v>0</v>
      </c>
      <c r="IZ101" s="591">
        <v>46526</v>
      </c>
      <c r="JA101" s="591">
        <v>2464</v>
      </c>
      <c r="JB101" s="591">
        <v>0</v>
      </c>
      <c r="JC101" s="591">
        <v>0</v>
      </c>
      <c r="JD101" s="591">
        <v>0</v>
      </c>
      <c r="JE101" s="591">
        <v>0</v>
      </c>
      <c r="JF101" s="591">
        <v>0</v>
      </c>
      <c r="JG101" s="591">
        <v>0</v>
      </c>
      <c r="JH101" s="591">
        <v>0</v>
      </c>
      <c r="JI101" s="591">
        <v>0</v>
      </c>
      <c r="JJ101" s="591">
        <v>0</v>
      </c>
      <c r="JK101" s="591">
        <v>0</v>
      </c>
      <c r="JL101" s="591">
        <v>0</v>
      </c>
      <c r="JM101" s="591">
        <v>0</v>
      </c>
      <c r="JN101" s="591">
        <v>32469</v>
      </c>
    </row>
    <row r="102" spans="1:274" x14ac:dyDescent="0.25">
      <c r="A102" s="591">
        <v>32570</v>
      </c>
      <c r="B102" s="591">
        <v>101840</v>
      </c>
      <c r="C102" s="591">
        <v>9</v>
      </c>
      <c r="D102" s="591">
        <v>2022</v>
      </c>
      <c r="E102" s="591">
        <v>6159</v>
      </c>
      <c r="F102" s="591">
        <v>0</v>
      </c>
      <c r="G102" s="591">
        <v>336.053</v>
      </c>
      <c r="H102" s="591">
        <v>333.29700000000003</v>
      </c>
      <c r="I102" s="591">
        <v>333.29700000000003</v>
      </c>
      <c r="J102" s="591">
        <v>336.053</v>
      </c>
      <c r="K102" s="591">
        <v>0</v>
      </c>
      <c r="L102" s="591">
        <v>6159</v>
      </c>
      <c r="M102" s="591">
        <v>0</v>
      </c>
      <c r="N102" s="591">
        <v>0</v>
      </c>
      <c r="O102" s="591">
        <v>0</v>
      </c>
      <c r="P102" s="591">
        <v>318.94900000000001</v>
      </c>
      <c r="Q102" s="591">
        <v>0</v>
      </c>
      <c r="R102" s="591">
        <v>128354</v>
      </c>
      <c r="S102" s="591">
        <v>402.428</v>
      </c>
      <c r="T102" s="591">
        <v>0</v>
      </c>
      <c r="U102" s="591">
        <v>0</v>
      </c>
      <c r="V102" s="591">
        <v>10.043000000000001</v>
      </c>
      <c r="W102" s="591">
        <v>6186</v>
      </c>
      <c r="X102" s="591">
        <v>6186</v>
      </c>
      <c r="Y102" s="591">
        <v>0</v>
      </c>
      <c r="Z102" s="591">
        <v>0</v>
      </c>
      <c r="AA102" s="591">
        <v>0</v>
      </c>
      <c r="AB102" s="591">
        <v>0</v>
      </c>
      <c r="AC102" s="591">
        <v>0</v>
      </c>
      <c r="AD102" s="591" t="s">
        <v>316</v>
      </c>
      <c r="AE102" s="591">
        <v>0</v>
      </c>
      <c r="AF102" s="591">
        <v>0</v>
      </c>
      <c r="AG102" s="591">
        <v>0</v>
      </c>
      <c r="AH102" s="591">
        <v>0</v>
      </c>
      <c r="AI102" s="591">
        <v>0</v>
      </c>
      <c r="AJ102" s="591">
        <v>6159</v>
      </c>
      <c r="AK102" s="591" t="s">
        <v>671</v>
      </c>
      <c r="AL102" s="591" t="s">
        <v>29</v>
      </c>
      <c r="AM102" s="591">
        <v>0</v>
      </c>
      <c r="AN102" s="591">
        <v>0</v>
      </c>
      <c r="AO102" s="591">
        <v>0</v>
      </c>
      <c r="AP102" s="591">
        <v>0</v>
      </c>
      <c r="AQ102" s="591">
        <v>0</v>
      </c>
      <c r="AR102" s="591">
        <v>0</v>
      </c>
      <c r="AS102" s="591">
        <v>0</v>
      </c>
      <c r="AT102" s="591">
        <v>0</v>
      </c>
      <c r="AU102" s="591">
        <v>0</v>
      </c>
      <c r="AV102" s="591">
        <v>0</v>
      </c>
      <c r="AW102" s="591">
        <v>3798485</v>
      </c>
      <c r="AX102" s="591">
        <v>3737967</v>
      </c>
      <c r="AY102" s="591">
        <v>0</v>
      </c>
      <c r="AZ102" s="591">
        <v>128354</v>
      </c>
      <c r="BA102" s="591">
        <v>0</v>
      </c>
      <c r="BB102" s="591">
        <v>0</v>
      </c>
      <c r="BC102" s="591">
        <v>0</v>
      </c>
      <c r="BD102" s="591">
        <v>0</v>
      </c>
      <c r="BE102" s="591">
        <v>49</v>
      </c>
      <c r="BF102" s="591">
        <v>3437616</v>
      </c>
      <c r="BG102" s="591">
        <v>0</v>
      </c>
      <c r="BH102" s="591">
        <v>0</v>
      </c>
      <c r="BI102" s="591">
        <v>0</v>
      </c>
      <c r="BJ102" s="591">
        <v>12</v>
      </c>
      <c r="BK102" s="591">
        <v>0</v>
      </c>
      <c r="BL102" s="591">
        <v>0</v>
      </c>
      <c r="BM102" s="591">
        <v>0</v>
      </c>
      <c r="BN102" s="591">
        <v>0</v>
      </c>
      <c r="BO102" s="591">
        <v>0</v>
      </c>
      <c r="BP102" s="591">
        <v>0</v>
      </c>
      <c r="BQ102" s="591">
        <v>719</v>
      </c>
      <c r="BR102" s="591">
        <v>0</v>
      </c>
      <c r="BS102" s="591">
        <v>0</v>
      </c>
      <c r="BT102" s="591">
        <v>0</v>
      </c>
      <c r="BU102" s="591">
        <v>0</v>
      </c>
      <c r="BV102" s="591">
        <v>0</v>
      </c>
      <c r="BW102" s="591">
        <v>0</v>
      </c>
      <c r="BX102" s="591">
        <v>0</v>
      </c>
      <c r="BY102" s="591">
        <v>0</v>
      </c>
      <c r="BZ102" s="591">
        <v>0</v>
      </c>
      <c r="CA102" s="591">
        <v>0</v>
      </c>
      <c r="CB102" s="591">
        <v>0</v>
      </c>
      <c r="CC102" s="591">
        <v>0</v>
      </c>
      <c r="CD102" s="591">
        <v>0</v>
      </c>
      <c r="CE102" s="591">
        <v>0</v>
      </c>
      <c r="CF102" s="591">
        <v>0</v>
      </c>
      <c r="CG102" s="591">
        <v>0</v>
      </c>
      <c r="CH102" s="591">
        <v>60896</v>
      </c>
      <c r="CI102" s="591">
        <v>0</v>
      </c>
      <c r="CJ102" s="591">
        <v>4</v>
      </c>
      <c r="CK102" s="591">
        <v>0</v>
      </c>
      <c r="CL102" s="591">
        <v>0</v>
      </c>
      <c r="CM102" s="591">
        <v>0</v>
      </c>
      <c r="CN102" s="591">
        <v>0</v>
      </c>
      <c r="CO102" s="591">
        <v>1</v>
      </c>
      <c r="CP102" s="591">
        <v>0</v>
      </c>
      <c r="CQ102" s="591">
        <v>0</v>
      </c>
      <c r="CR102" s="591">
        <v>336.053</v>
      </c>
      <c r="CS102" s="591">
        <v>0</v>
      </c>
      <c r="CT102" s="591">
        <v>0</v>
      </c>
      <c r="CU102" s="591">
        <v>0</v>
      </c>
      <c r="CV102" s="591">
        <v>0</v>
      </c>
      <c r="CW102" s="591">
        <v>0</v>
      </c>
      <c r="CX102" s="591">
        <v>0</v>
      </c>
      <c r="CY102" s="591">
        <v>0</v>
      </c>
      <c r="CZ102" s="591">
        <v>0</v>
      </c>
      <c r="DA102" s="591">
        <v>0</v>
      </c>
      <c r="DB102" s="591">
        <v>2051328</v>
      </c>
      <c r="DC102" s="591">
        <v>0</v>
      </c>
      <c r="DD102" s="591">
        <v>0</v>
      </c>
      <c r="DE102" s="591">
        <v>782742</v>
      </c>
      <c r="DF102" s="591">
        <v>782742</v>
      </c>
      <c r="DG102" s="591">
        <v>127.08800000000001</v>
      </c>
      <c r="DH102" s="591">
        <v>0</v>
      </c>
      <c r="DI102" s="591">
        <v>0</v>
      </c>
      <c r="DJ102" s="591">
        <v>0</v>
      </c>
      <c r="DK102" s="591">
        <v>3121</v>
      </c>
      <c r="DL102" s="591">
        <v>0</v>
      </c>
      <c r="DM102" s="591">
        <v>87661</v>
      </c>
      <c r="DN102" s="591">
        <v>329</v>
      </c>
      <c r="DO102" s="591">
        <v>0</v>
      </c>
      <c r="DP102" s="591">
        <v>0</v>
      </c>
      <c r="DQ102" s="591">
        <v>0</v>
      </c>
      <c r="DR102" s="591">
        <v>0</v>
      </c>
      <c r="DS102" s="591">
        <v>0</v>
      </c>
      <c r="DT102" s="591">
        <v>0</v>
      </c>
      <c r="DU102" s="591">
        <v>0</v>
      </c>
      <c r="DV102" s="591">
        <v>0</v>
      </c>
      <c r="DW102" s="591">
        <v>0</v>
      </c>
      <c r="DX102" s="591">
        <v>0</v>
      </c>
      <c r="DY102" s="591">
        <v>0</v>
      </c>
      <c r="DZ102" s="591">
        <v>0</v>
      </c>
      <c r="EA102" s="591">
        <v>0</v>
      </c>
      <c r="EB102" s="591">
        <v>0</v>
      </c>
      <c r="EC102" s="591">
        <v>4.5970000000000004</v>
      </c>
      <c r="ED102" s="591">
        <v>32560</v>
      </c>
      <c r="EE102" s="591">
        <v>0</v>
      </c>
      <c r="EF102" s="591">
        <v>0</v>
      </c>
      <c r="EG102" s="591">
        <v>0</v>
      </c>
      <c r="EH102" s="591">
        <v>53954</v>
      </c>
      <c r="EI102" s="591">
        <v>0</v>
      </c>
      <c r="EJ102" s="591">
        <v>0</v>
      </c>
      <c r="EK102" s="591">
        <v>2.5100000000000002</v>
      </c>
      <c r="EL102" s="591">
        <v>0</v>
      </c>
      <c r="EM102" s="591">
        <v>0</v>
      </c>
      <c r="EN102" s="591">
        <v>0.24600000000000002</v>
      </c>
      <c r="EO102" s="591">
        <v>0</v>
      </c>
      <c r="EP102" s="591">
        <v>0</v>
      </c>
      <c r="EQ102" s="591">
        <v>2.7560000000000002</v>
      </c>
      <c r="ER102" s="591">
        <v>0</v>
      </c>
      <c r="ES102" s="591">
        <v>8.76</v>
      </c>
      <c r="ET102" s="591">
        <v>0</v>
      </c>
      <c r="EU102" s="591">
        <v>0</v>
      </c>
      <c r="EV102" s="591">
        <v>0</v>
      </c>
      <c r="EW102" s="591">
        <v>0</v>
      </c>
      <c r="EX102" s="591">
        <v>0</v>
      </c>
      <c r="EY102" s="591">
        <v>0</v>
      </c>
      <c r="EZ102" s="591">
        <v>3309262</v>
      </c>
      <c r="FA102" s="591">
        <v>0</v>
      </c>
      <c r="FB102" s="591">
        <v>3437238</v>
      </c>
      <c r="FC102" s="591">
        <v>0</v>
      </c>
      <c r="FD102" s="591">
        <v>0</v>
      </c>
      <c r="FE102" s="591">
        <v>356075</v>
      </c>
      <c r="FF102" s="591">
        <v>72630</v>
      </c>
      <c r="FG102" s="591">
        <v>6.4728999999999995E-2</v>
      </c>
      <c r="FH102" s="591">
        <v>2.6405999999999999E-2</v>
      </c>
      <c r="FI102" s="591">
        <v>0</v>
      </c>
      <c r="FJ102" s="591">
        <v>0</v>
      </c>
      <c r="FK102" s="591">
        <v>558.13800000000003</v>
      </c>
      <c r="FL102" s="591">
        <v>3926839</v>
      </c>
      <c r="FM102" s="591">
        <v>0</v>
      </c>
      <c r="FN102" s="591">
        <v>0</v>
      </c>
      <c r="FO102" s="591">
        <v>0</v>
      </c>
      <c r="FP102" s="591">
        <v>0</v>
      </c>
      <c r="FQ102" s="591">
        <v>0</v>
      </c>
      <c r="FR102" s="591">
        <v>0</v>
      </c>
      <c r="FS102" s="591">
        <v>0</v>
      </c>
      <c r="FT102" s="591">
        <v>0</v>
      </c>
      <c r="FU102" s="591">
        <v>0</v>
      </c>
      <c r="FV102" s="591">
        <v>0</v>
      </c>
      <c r="FW102" s="591">
        <v>0</v>
      </c>
      <c r="FX102" s="591">
        <v>0</v>
      </c>
      <c r="FY102" s="591">
        <v>0</v>
      </c>
      <c r="FZ102" s="591">
        <v>0</v>
      </c>
      <c r="GA102" s="591">
        <v>0</v>
      </c>
      <c r="GB102" s="591">
        <v>0</v>
      </c>
      <c r="GC102" s="591">
        <v>0</v>
      </c>
      <c r="GD102" s="591">
        <v>0</v>
      </c>
      <c r="GE102" s="591">
        <v>0</v>
      </c>
      <c r="GF102" s="591">
        <v>0</v>
      </c>
      <c r="GG102" s="591">
        <v>0</v>
      </c>
      <c r="GH102" s="591">
        <v>0</v>
      </c>
      <c r="GI102" s="591">
        <v>0</v>
      </c>
      <c r="GJ102" s="591">
        <v>0</v>
      </c>
      <c r="GK102" s="591">
        <v>0</v>
      </c>
      <c r="GL102" s="591">
        <v>0</v>
      </c>
      <c r="GM102" s="591">
        <v>0</v>
      </c>
      <c r="GN102" s="591">
        <v>0</v>
      </c>
      <c r="GO102" s="591">
        <v>0</v>
      </c>
      <c r="GP102" s="591">
        <v>0</v>
      </c>
      <c r="GQ102" s="591">
        <v>0</v>
      </c>
      <c r="GR102" s="591">
        <v>0</v>
      </c>
      <c r="GS102" s="591">
        <v>0</v>
      </c>
      <c r="GT102" s="591">
        <v>0</v>
      </c>
      <c r="GU102" s="591">
        <v>0</v>
      </c>
      <c r="GV102" s="591">
        <v>0</v>
      </c>
      <c r="GW102" s="591">
        <v>0</v>
      </c>
      <c r="GX102" s="591">
        <v>0</v>
      </c>
      <c r="GY102" s="591">
        <v>0</v>
      </c>
      <c r="GZ102" s="591">
        <v>0</v>
      </c>
      <c r="HA102" s="591">
        <v>0</v>
      </c>
      <c r="HB102" s="591">
        <v>260009272</v>
      </c>
      <c r="HC102" s="591">
        <v>5.1774999999999995E-2</v>
      </c>
      <c r="HD102" s="591">
        <v>60896</v>
      </c>
      <c r="HE102" s="591">
        <v>0</v>
      </c>
      <c r="HF102" s="591">
        <v>366293</v>
      </c>
      <c r="HG102" s="591">
        <v>0</v>
      </c>
      <c r="HH102" s="591">
        <v>139811</v>
      </c>
      <c r="HI102" s="591">
        <v>0</v>
      </c>
      <c r="HJ102" s="591">
        <v>3266</v>
      </c>
      <c r="HK102" s="591">
        <v>0</v>
      </c>
      <c r="HL102" s="591">
        <v>0</v>
      </c>
      <c r="HM102" s="591">
        <v>0</v>
      </c>
      <c r="HN102" s="591">
        <v>0</v>
      </c>
      <c r="HO102" s="591">
        <v>0</v>
      </c>
      <c r="HP102" s="591">
        <v>0</v>
      </c>
      <c r="HQ102" s="591">
        <v>0</v>
      </c>
      <c r="HR102" s="591">
        <v>0</v>
      </c>
      <c r="HS102" s="591">
        <v>3308884</v>
      </c>
      <c r="HT102" s="591">
        <v>0</v>
      </c>
      <c r="HU102" s="591">
        <v>0</v>
      </c>
      <c r="HV102" s="591">
        <v>0</v>
      </c>
      <c r="HW102" s="591">
        <v>0</v>
      </c>
      <c r="HX102" s="591">
        <v>92</v>
      </c>
      <c r="HY102" s="591">
        <v>51</v>
      </c>
      <c r="HZ102" s="591">
        <v>49</v>
      </c>
      <c r="IA102" s="591">
        <v>126</v>
      </c>
      <c r="IB102" s="591">
        <v>178</v>
      </c>
      <c r="IC102" s="591">
        <v>429</v>
      </c>
      <c r="ID102" s="591">
        <v>0</v>
      </c>
      <c r="IE102" s="591">
        <v>0</v>
      </c>
      <c r="IF102" s="591">
        <v>0</v>
      </c>
      <c r="IG102" s="591">
        <v>0</v>
      </c>
      <c r="IH102" s="591">
        <v>227</v>
      </c>
      <c r="II102" s="591">
        <v>0</v>
      </c>
      <c r="IJ102" s="591">
        <v>10.043000000000001</v>
      </c>
      <c r="IK102" s="591">
        <v>0</v>
      </c>
      <c r="IL102" s="591">
        <v>0</v>
      </c>
      <c r="IM102" s="591">
        <v>0</v>
      </c>
      <c r="IN102" s="591">
        <v>0</v>
      </c>
      <c r="IO102" s="591">
        <v>0</v>
      </c>
      <c r="IP102" s="591">
        <v>0</v>
      </c>
      <c r="IQ102" s="591">
        <v>10.043000000000001</v>
      </c>
      <c r="IR102" s="591">
        <v>6186</v>
      </c>
      <c r="IS102" s="591">
        <v>0</v>
      </c>
      <c r="IT102" s="591">
        <v>0</v>
      </c>
      <c r="IU102" s="591">
        <v>0</v>
      </c>
      <c r="IV102" s="591">
        <v>0</v>
      </c>
      <c r="IW102" s="591">
        <v>6159</v>
      </c>
      <c r="IX102" s="591">
        <v>0</v>
      </c>
      <c r="IY102" s="591">
        <v>0</v>
      </c>
      <c r="IZ102" s="591">
        <v>0</v>
      </c>
      <c r="JA102" s="591">
        <v>0</v>
      </c>
      <c r="JB102" s="591">
        <v>0</v>
      </c>
      <c r="JC102" s="591">
        <v>0</v>
      </c>
      <c r="JD102" s="591">
        <v>0</v>
      </c>
      <c r="JE102" s="591">
        <v>0</v>
      </c>
      <c r="JF102" s="591">
        <v>0</v>
      </c>
      <c r="JG102" s="591">
        <v>0</v>
      </c>
      <c r="JH102" s="591">
        <v>0</v>
      </c>
      <c r="JI102" s="591">
        <v>0</v>
      </c>
      <c r="JJ102" s="591">
        <v>0</v>
      </c>
      <c r="JK102" s="591">
        <v>0</v>
      </c>
      <c r="JL102" s="591">
        <v>0</v>
      </c>
      <c r="JM102" s="591">
        <v>0</v>
      </c>
      <c r="JN102" s="591">
        <v>32469</v>
      </c>
    </row>
    <row r="103" spans="1:274" x14ac:dyDescent="0.25">
      <c r="A103" s="591">
        <v>32570</v>
      </c>
      <c r="B103" s="591">
        <v>101842</v>
      </c>
      <c r="C103" s="591">
        <v>9</v>
      </c>
      <c r="D103" s="591">
        <v>2022</v>
      </c>
      <c r="E103" s="591">
        <v>6159</v>
      </c>
      <c r="F103" s="591">
        <v>0</v>
      </c>
      <c r="G103" s="591">
        <v>39.352000000000004</v>
      </c>
      <c r="H103" s="591">
        <v>24.529</v>
      </c>
      <c r="I103" s="591">
        <v>24.529</v>
      </c>
      <c r="J103" s="591">
        <v>39.352000000000004</v>
      </c>
      <c r="K103" s="591">
        <v>0</v>
      </c>
      <c r="L103" s="591">
        <v>6159</v>
      </c>
      <c r="M103" s="591">
        <v>0</v>
      </c>
      <c r="N103" s="591">
        <v>0</v>
      </c>
      <c r="O103" s="591">
        <v>0</v>
      </c>
      <c r="P103" s="591">
        <v>34.847000000000001</v>
      </c>
      <c r="Q103" s="591">
        <v>0</v>
      </c>
      <c r="R103" s="591">
        <v>14023</v>
      </c>
      <c r="S103" s="591">
        <v>402.428</v>
      </c>
      <c r="T103" s="591">
        <v>0</v>
      </c>
      <c r="U103" s="591">
        <v>0</v>
      </c>
      <c r="V103" s="591">
        <v>10.957000000000001</v>
      </c>
      <c r="W103" s="591">
        <v>6749</v>
      </c>
      <c r="X103" s="591">
        <v>6749</v>
      </c>
      <c r="Y103" s="591">
        <v>0</v>
      </c>
      <c r="Z103" s="591">
        <v>0</v>
      </c>
      <c r="AA103" s="591">
        <v>0</v>
      </c>
      <c r="AB103" s="591">
        <v>0</v>
      </c>
      <c r="AC103" s="591">
        <v>0</v>
      </c>
      <c r="AD103" s="591" t="s">
        <v>316</v>
      </c>
      <c r="AE103" s="591">
        <v>0</v>
      </c>
      <c r="AF103" s="591">
        <v>0</v>
      </c>
      <c r="AG103" s="591">
        <v>0</v>
      </c>
      <c r="AH103" s="591">
        <v>0</v>
      </c>
      <c r="AI103" s="591">
        <v>0</v>
      </c>
      <c r="AJ103" s="591">
        <v>6159</v>
      </c>
      <c r="AK103" s="591" t="s">
        <v>671</v>
      </c>
      <c r="AL103" s="591" t="s">
        <v>30</v>
      </c>
      <c r="AM103" s="591">
        <v>0</v>
      </c>
      <c r="AN103" s="591">
        <v>0</v>
      </c>
      <c r="AO103" s="591">
        <v>0</v>
      </c>
      <c r="AP103" s="591">
        <v>0</v>
      </c>
      <c r="AQ103" s="591">
        <v>0</v>
      </c>
      <c r="AR103" s="591">
        <v>0</v>
      </c>
      <c r="AS103" s="591">
        <v>0</v>
      </c>
      <c r="AT103" s="591">
        <v>0</v>
      </c>
      <c r="AU103" s="591">
        <v>0</v>
      </c>
      <c r="AV103" s="591">
        <v>0</v>
      </c>
      <c r="AW103" s="591">
        <v>433316</v>
      </c>
      <c r="AX103" s="591">
        <v>426271</v>
      </c>
      <c r="AY103" s="591">
        <v>0</v>
      </c>
      <c r="AZ103" s="591">
        <v>14023</v>
      </c>
      <c r="BA103" s="591">
        <v>0</v>
      </c>
      <c r="BB103" s="591">
        <v>0</v>
      </c>
      <c r="BC103" s="591">
        <v>0</v>
      </c>
      <c r="BD103" s="591">
        <v>0</v>
      </c>
      <c r="BE103" s="591">
        <v>6</v>
      </c>
      <c r="BF103" s="591">
        <v>390726</v>
      </c>
      <c r="BG103" s="591">
        <v>0</v>
      </c>
      <c r="BH103" s="591">
        <v>0</v>
      </c>
      <c r="BI103" s="591">
        <v>0</v>
      </c>
      <c r="BJ103" s="591">
        <v>12</v>
      </c>
      <c r="BK103" s="591">
        <v>0</v>
      </c>
      <c r="BL103" s="591">
        <v>0</v>
      </c>
      <c r="BM103" s="591">
        <v>0</v>
      </c>
      <c r="BN103" s="591">
        <v>0</v>
      </c>
      <c r="BO103" s="591">
        <v>0</v>
      </c>
      <c r="BP103" s="591">
        <v>0</v>
      </c>
      <c r="BQ103" s="591">
        <v>766</v>
      </c>
      <c r="BR103" s="591">
        <v>0</v>
      </c>
      <c r="BS103" s="591">
        <v>0</v>
      </c>
      <c r="BT103" s="591">
        <v>0</v>
      </c>
      <c r="BU103" s="591">
        <v>0</v>
      </c>
      <c r="BV103" s="591">
        <v>0</v>
      </c>
      <c r="BW103" s="591">
        <v>0</v>
      </c>
      <c r="BX103" s="591">
        <v>0</v>
      </c>
      <c r="BY103" s="591">
        <v>0</v>
      </c>
      <c r="BZ103" s="591">
        <v>0</v>
      </c>
      <c r="CA103" s="591">
        <v>0</v>
      </c>
      <c r="CB103" s="591">
        <v>0</v>
      </c>
      <c r="CC103" s="591">
        <v>0</v>
      </c>
      <c r="CD103" s="591">
        <v>0</v>
      </c>
      <c r="CE103" s="591">
        <v>0</v>
      </c>
      <c r="CF103" s="591">
        <v>0</v>
      </c>
      <c r="CG103" s="591">
        <v>0</v>
      </c>
      <c r="CH103" s="591">
        <v>7131</v>
      </c>
      <c r="CI103" s="591">
        <v>0</v>
      </c>
      <c r="CJ103" s="591">
        <v>4</v>
      </c>
      <c r="CK103" s="591">
        <v>0</v>
      </c>
      <c r="CL103" s="591">
        <v>0</v>
      </c>
      <c r="CM103" s="591">
        <v>0</v>
      </c>
      <c r="CN103" s="591">
        <v>0</v>
      </c>
      <c r="CO103" s="591">
        <v>1</v>
      </c>
      <c r="CP103" s="591">
        <v>0</v>
      </c>
      <c r="CQ103" s="591">
        <v>0</v>
      </c>
      <c r="CR103" s="591">
        <v>39.352000000000004</v>
      </c>
      <c r="CS103" s="591">
        <v>0</v>
      </c>
      <c r="CT103" s="591">
        <v>0</v>
      </c>
      <c r="CU103" s="591">
        <v>0</v>
      </c>
      <c r="CV103" s="591">
        <v>0</v>
      </c>
      <c r="CW103" s="591">
        <v>0</v>
      </c>
      <c r="CX103" s="591">
        <v>0</v>
      </c>
      <c r="CY103" s="591">
        <v>0</v>
      </c>
      <c r="CZ103" s="591">
        <v>0</v>
      </c>
      <c r="DA103" s="591">
        <v>0</v>
      </c>
      <c r="DB103" s="591">
        <v>147995</v>
      </c>
      <c r="DC103" s="591">
        <v>0</v>
      </c>
      <c r="DD103" s="591">
        <v>0</v>
      </c>
      <c r="DE103" s="591">
        <v>41882</v>
      </c>
      <c r="DF103" s="591">
        <v>41882</v>
      </c>
      <c r="DG103" s="591">
        <v>6.8</v>
      </c>
      <c r="DH103" s="591">
        <v>0</v>
      </c>
      <c r="DI103" s="591">
        <v>0</v>
      </c>
      <c r="DJ103" s="591">
        <v>0</v>
      </c>
      <c r="DK103" s="591">
        <v>3881</v>
      </c>
      <c r="DL103" s="591">
        <v>0</v>
      </c>
      <c r="DM103" s="591">
        <v>24165</v>
      </c>
      <c r="DN103" s="591">
        <v>80</v>
      </c>
      <c r="DO103" s="591">
        <v>0</v>
      </c>
      <c r="DP103" s="591">
        <v>0</v>
      </c>
      <c r="DQ103" s="591">
        <v>0</v>
      </c>
      <c r="DR103" s="591">
        <v>0</v>
      </c>
      <c r="DS103" s="591">
        <v>0</v>
      </c>
      <c r="DT103" s="591">
        <v>0</v>
      </c>
      <c r="DU103" s="591">
        <v>0</v>
      </c>
      <c r="DV103" s="591">
        <v>0</v>
      </c>
      <c r="DW103" s="591">
        <v>0</v>
      </c>
      <c r="DX103" s="591">
        <v>0</v>
      </c>
      <c r="DY103" s="591">
        <v>0</v>
      </c>
      <c r="DZ103" s="591">
        <v>0</v>
      </c>
      <c r="EA103" s="591">
        <v>0</v>
      </c>
      <c r="EB103" s="591">
        <v>0</v>
      </c>
      <c r="EC103" s="591">
        <v>2.988</v>
      </c>
      <c r="ED103" s="591">
        <v>21164</v>
      </c>
      <c r="EE103" s="591">
        <v>0</v>
      </c>
      <c r="EF103" s="591">
        <v>0</v>
      </c>
      <c r="EG103" s="591">
        <v>0</v>
      </c>
      <c r="EH103" s="591">
        <v>0</v>
      </c>
      <c r="EI103" s="591">
        <v>0</v>
      </c>
      <c r="EJ103" s="591">
        <v>0</v>
      </c>
      <c r="EK103" s="591">
        <v>0</v>
      </c>
      <c r="EL103" s="591">
        <v>0</v>
      </c>
      <c r="EM103" s="591">
        <v>0</v>
      </c>
      <c r="EN103" s="591">
        <v>0</v>
      </c>
      <c r="EO103" s="591">
        <v>0</v>
      </c>
      <c r="EP103" s="591">
        <v>0</v>
      </c>
      <c r="EQ103" s="591">
        <v>0</v>
      </c>
      <c r="ER103" s="591">
        <v>0</v>
      </c>
      <c r="ES103" s="591">
        <v>0</v>
      </c>
      <c r="ET103" s="591">
        <v>0</v>
      </c>
      <c r="EU103" s="591">
        <v>0</v>
      </c>
      <c r="EV103" s="591">
        <v>0</v>
      </c>
      <c r="EW103" s="591">
        <v>0</v>
      </c>
      <c r="EX103" s="591">
        <v>0</v>
      </c>
      <c r="EY103" s="591">
        <v>0</v>
      </c>
      <c r="EZ103" s="591">
        <v>377544</v>
      </c>
      <c r="FA103" s="591">
        <v>0</v>
      </c>
      <c r="FB103" s="591">
        <v>391481</v>
      </c>
      <c r="FC103" s="591">
        <v>0</v>
      </c>
      <c r="FD103" s="591">
        <v>0</v>
      </c>
      <c r="FE103" s="591">
        <v>40472</v>
      </c>
      <c r="FF103" s="591">
        <v>8255</v>
      </c>
      <c r="FG103" s="591">
        <v>6.4728999999999995E-2</v>
      </c>
      <c r="FH103" s="591">
        <v>2.6405999999999999E-2</v>
      </c>
      <c r="FI103" s="591">
        <v>0</v>
      </c>
      <c r="FJ103" s="591">
        <v>0</v>
      </c>
      <c r="FK103" s="591">
        <v>63.439</v>
      </c>
      <c r="FL103" s="591">
        <v>447339</v>
      </c>
      <c r="FM103" s="591">
        <v>0</v>
      </c>
      <c r="FN103" s="591">
        <v>0</v>
      </c>
      <c r="FO103" s="591">
        <v>0</v>
      </c>
      <c r="FP103" s="591">
        <v>0</v>
      </c>
      <c r="FQ103" s="591">
        <v>0</v>
      </c>
      <c r="FR103" s="591">
        <v>0</v>
      </c>
      <c r="FS103" s="591">
        <v>0</v>
      </c>
      <c r="FT103" s="591">
        <v>0</v>
      </c>
      <c r="FU103" s="591">
        <v>0</v>
      </c>
      <c r="FV103" s="591">
        <v>0</v>
      </c>
      <c r="FW103" s="591">
        <v>0</v>
      </c>
      <c r="FX103" s="591">
        <v>0</v>
      </c>
      <c r="FY103" s="591">
        <v>0</v>
      </c>
      <c r="FZ103" s="591">
        <v>0</v>
      </c>
      <c r="GA103" s="591">
        <v>0</v>
      </c>
      <c r="GB103" s="591">
        <v>123250</v>
      </c>
      <c r="GC103" s="591">
        <v>123250</v>
      </c>
      <c r="GD103" s="591">
        <v>14.823</v>
      </c>
      <c r="GE103" s="591">
        <v>0</v>
      </c>
      <c r="GF103" s="591">
        <v>0</v>
      </c>
      <c r="GG103" s="591">
        <v>0</v>
      </c>
      <c r="GH103" s="591">
        <v>0</v>
      </c>
      <c r="GI103" s="591">
        <v>0</v>
      </c>
      <c r="GJ103" s="591">
        <v>0</v>
      </c>
      <c r="GK103" s="591">
        <v>0</v>
      </c>
      <c r="GL103" s="591">
        <v>0</v>
      </c>
      <c r="GM103" s="591">
        <v>0</v>
      </c>
      <c r="GN103" s="591">
        <v>0</v>
      </c>
      <c r="GO103" s="591">
        <v>0</v>
      </c>
      <c r="GP103" s="591">
        <v>0</v>
      </c>
      <c r="GQ103" s="591">
        <v>0</v>
      </c>
      <c r="GR103" s="591">
        <v>0</v>
      </c>
      <c r="GS103" s="591">
        <v>0</v>
      </c>
      <c r="GT103" s="591">
        <v>0</v>
      </c>
      <c r="GU103" s="591">
        <v>0</v>
      </c>
      <c r="GV103" s="591">
        <v>0</v>
      </c>
      <c r="GW103" s="591">
        <v>0</v>
      </c>
      <c r="GX103" s="591">
        <v>0</v>
      </c>
      <c r="GY103" s="591">
        <v>0</v>
      </c>
      <c r="GZ103" s="591">
        <v>0</v>
      </c>
      <c r="HA103" s="591">
        <v>0</v>
      </c>
      <c r="HB103" s="591">
        <v>260009272</v>
      </c>
      <c r="HC103" s="591">
        <v>5.1774999999999995E-2</v>
      </c>
      <c r="HD103" s="591">
        <v>7131</v>
      </c>
      <c r="HE103" s="591">
        <v>0</v>
      </c>
      <c r="HF103" s="591">
        <v>26957</v>
      </c>
      <c r="HG103" s="591">
        <v>642</v>
      </c>
      <c r="HH103" s="591">
        <v>8623</v>
      </c>
      <c r="HI103" s="591">
        <v>0</v>
      </c>
      <c r="HJ103" s="591">
        <v>383</v>
      </c>
      <c r="HK103" s="591">
        <v>438</v>
      </c>
      <c r="HL103" s="591">
        <v>403</v>
      </c>
      <c r="HM103" s="591">
        <v>10000</v>
      </c>
      <c r="HN103" s="591">
        <v>0</v>
      </c>
      <c r="HO103" s="591">
        <v>0</v>
      </c>
      <c r="HP103" s="591">
        <v>0</v>
      </c>
      <c r="HQ103" s="591">
        <v>0</v>
      </c>
      <c r="HR103" s="591">
        <v>0</v>
      </c>
      <c r="HS103" s="591">
        <v>377458</v>
      </c>
      <c r="HT103" s="591">
        <v>0</v>
      </c>
      <c r="HU103" s="591">
        <v>0</v>
      </c>
      <c r="HV103" s="591">
        <v>0</v>
      </c>
      <c r="HW103" s="591">
        <v>0</v>
      </c>
      <c r="HX103" s="591">
        <v>8</v>
      </c>
      <c r="HY103" s="591">
        <v>8</v>
      </c>
      <c r="HZ103" s="591">
        <v>4</v>
      </c>
      <c r="IA103" s="591">
        <v>8</v>
      </c>
      <c r="IB103" s="591">
        <v>0</v>
      </c>
      <c r="IC103" s="591">
        <v>21</v>
      </c>
      <c r="ID103" s="591">
        <v>0</v>
      </c>
      <c r="IE103" s="591">
        <v>0</v>
      </c>
      <c r="IF103" s="591">
        <v>0</v>
      </c>
      <c r="IG103" s="591">
        <v>1.042</v>
      </c>
      <c r="IH103" s="591">
        <v>14</v>
      </c>
      <c r="II103" s="591">
        <v>0</v>
      </c>
      <c r="IJ103" s="591">
        <v>10.957000000000001</v>
      </c>
      <c r="IK103" s="591">
        <v>0</v>
      </c>
      <c r="IL103" s="591">
        <v>2</v>
      </c>
      <c r="IM103" s="591">
        <v>0</v>
      </c>
      <c r="IN103" s="591">
        <v>0</v>
      </c>
      <c r="IO103" s="591">
        <v>2</v>
      </c>
      <c r="IP103" s="591">
        <v>0</v>
      </c>
      <c r="IQ103" s="591">
        <v>10.957000000000001</v>
      </c>
      <c r="IR103" s="591">
        <v>6749</v>
      </c>
      <c r="IS103" s="591">
        <v>0</v>
      </c>
      <c r="IT103" s="591">
        <v>10000</v>
      </c>
      <c r="IU103" s="591">
        <v>0</v>
      </c>
      <c r="IV103" s="591">
        <v>0</v>
      </c>
      <c r="IW103" s="591">
        <v>6159</v>
      </c>
      <c r="IX103" s="591">
        <v>0</v>
      </c>
      <c r="IY103" s="591">
        <v>0</v>
      </c>
      <c r="IZ103" s="591">
        <v>0</v>
      </c>
      <c r="JA103" s="591">
        <v>0</v>
      </c>
      <c r="JB103" s="591">
        <v>0</v>
      </c>
      <c r="JC103" s="591">
        <v>0</v>
      </c>
      <c r="JD103" s="591">
        <v>0</v>
      </c>
      <c r="JE103" s="591">
        <v>0</v>
      </c>
      <c r="JF103" s="591">
        <v>0</v>
      </c>
      <c r="JG103" s="591">
        <v>0</v>
      </c>
      <c r="JH103" s="591">
        <v>0</v>
      </c>
      <c r="JI103" s="591">
        <v>0</v>
      </c>
      <c r="JJ103" s="591">
        <v>0</v>
      </c>
      <c r="JK103" s="591">
        <v>0</v>
      </c>
      <c r="JL103" s="591">
        <v>0</v>
      </c>
      <c r="JM103" s="591">
        <v>0</v>
      </c>
      <c r="JN103" s="591">
        <v>32469</v>
      </c>
    </row>
    <row r="104" spans="1:274" x14ac:dyDescent="0.25">
      <c r="A104" s="591">
        <v>32570</v>
      </c>
      <c r="B104" s="591">
        <v>101845</v>
      </c>
      <c r="C104" s="591">
        <v>9</v>
      </c>
      <c r="D104" s="591">
        <v>2022</v>
      </c>
      <c r="E104" s="591">
        <v>6159</v>
      </c>
      <c r="F104" s="591">
        <v>0</v>
      </c>
      <c r="G104" s="591">
        <v>12775.397000000001</v>
      </c>
      <c r="H104" s="591">
        <v>11855.037</v>
      </c>
      <c r="I104" s="591">
        <v>11855.037</v>
      </c>
      <c r="J104" s="591">
        <v>12775.397000000001</v>
      </c>
      <c r="K104" s="591">
        <v>0</v>
      </c>
      <c r="L104" s="591">
        <v>6159</v>
      </c>
      <c r="M104" s="591">
        <v>0</v>
      </c>
      <c r="N104" s="591">
        <v>0</v>
      </c>
      <c r="O104" s="591">
        <v>0</v>
      </c>
      <c r="P104" s="591">
        <v>12770.581</v>
      </c>
      <c r="Q104" s="591">
        <v>0</v>
      </c>
      <c r="R104" s="591">
        <v>5139239</v>
      </c>
      <c r="S104" s="591">
        <v>402.428</v>
      </c>
      <c r="T104" s="591">
        <v>0</v>
      </c>
      <c r="U104" s="591">
        <v>0</v>
      </c>
      <c r="V104" s="591">
        <v>4114.2049999999999</v>
      </c>
      <c r="W104" s="591">
        <v>2533973</v>
      </c>
      <c r="X104" s="591">
        <v>2533973</v>
      </c>
      <c r="Y104" s="591">
        <v>0</v>
      </c>
      <c r="Z104" s="591">
        <v>0</v>
      </c>
      <c r="AA104" s="591">
        <v>0</v>
      </c>
      <c r="AB104" s="591">
        <v>0</v>
      </c>
      <c r="AC104" s="591">
        <v>0</v>
      </c>
      <c r="AD104" s="591" t="s">
        <v>316</v>
      </c>
      <c r="AE104" s="591">
        <v>0</v>
      </c>
      <c r="AF104" s="591">
        <v>0</v>
      </c>
      <c r="AG104" s="591">
        <v>0</v>
      </c>
      <c r="AH104" s="591">
        <v>0</v>
      </c>
      <c r="AI104" s="591">
        <v>0</v>
      </c>
      <c r="AJ104" s="591">
        <v>6159</v>
      </c>
      <c r="AK104" s="591" t="s">
        <v>671</v>
      </c>
      <c r="AL104" s="591" t="s">
        <v>102</v>
      </c>
      <c r="AM104" s="591">
        <v>0</v>
      </c>
      <c r="AN104" s="591">
        <v>0</v>
      </c>
      <c r="AO104" s="591">
        <v>0</v>
      </c>
      <c r="AP104" s="591">
        <v>0</v>
      </c>
      <c r="AQ104" s="591">
        <v>0</v>
      </c>
      <c r="AR104" s="591">
        <v>0</v>
      </c>
      <c r="AS104" s="591">
        <v>0</v>
      </c>
      <c r="AT104" s="591">
        <v>0</v>
      </c>
      <c r="AU104" s="591">
        <v>0</v>
      </c>
      <c r="AV104" s="591">
        <v>0</v>
      </c>
      <c r="AW104" s="591">
        <v>137139251</v>
      </c>
      <c r="AX104" s="591">
        <v>134851187</v>
      </c>
      <c r="AY104" s="591">
        <v>0</v>
      </c>
      <c r="AZ104" s="591">
        <v>5139239</v>
      </c>
      <c r="BA104" s="591">
        <v>0</v>
      </c>
      <c r="BB104" s="591">
        <v>0</v>
      </c>
      <c r="BC104" s="591">
        <v>0</v>
      </c>
      <c r="BD104" s="591">
        <v>0</v>
      </c>
      <c r="BE104" s="591">
        <v>1792</v>
      </c>
      <c r="BF104" s="591">
        <v>123443857</v>
      </c>
      <c r="BG104" s="591">
        <v>0</v>
      </c>
      <c r="BH104" s="591">
        <v>0</v>
      </c>
      <c r="BI104" s="591">
        <v>0</v>
      </c>
      <c r="BJ104" s="591">
        <v>12</v>
      </c>
      <c r="BK104" s="591">
        <v>0</v>
      </c>
      <c r="BL104" s="591">
        <v>0</v>
      </c>
      <c r="BM104" s="591">
        <v>0</v>
      </c>
      <c r="BN104" s="591">
        <v>0</v>
      </c>
      <c r="BO104" s="591">
        <v>0</v>
      </c>
      <c r="BP104" s="591">
        <v>0</v>
      </c>
      <c r="BQ104" s="591">
        <v>0</v>
      </c>
      <c r="BR104" s="591">
        <v>0</v>
      </c>
      <c r="BS104" s="591">
        <v>0</v>
      </c>
      <c r="BT104" s="591">
        <v>0</v>
      </c>
      <c r="BU104" s="591">
        <v>0</v>
      </c>
      <c r="BV104" s="591">
        <v>0</v>
      </c>
      <c r="BW104" s="591">
        <v>0</v>
      </c>
      <c r="BX104" s="591">
        <v>0</v>
      </c>
      <c r="BY104" s="591">
        <v>0</v>
      </c>
      <c r="BZ104" s="591">
        <v>0</v>
      </c>
      <c r="CA104" s="591">
        <v>0</v>
      </c>
      <c r="CB104" s="591">
        <v>0</v>
      </c>
      <c r="CC104" s="591">
        <v>0</v>
      </c>
      <c r="CD104" s="591">
        <v>0</v>
      </c>
      <c r="CE104" s="591">
        <v>0</v>
      </c>
      <c r="CF104" s="591">
        <v>0</v>
      </c>
      <c r="CG104" s="591">
        <v>0</v>
      </c>
      <c r="CH104" s="591">
        <v>2315040</v>
      </c>
      <c r="CI104" s="591">
        <v>0</v>
      </c>
      <c r="CJ104" s="591">
        <v>4</v>
      </c>
      <c r="CK104" s="591">
        <v>0</v>
      </c>
      <c r="CL104" s="591">
        <v>0</v>
      </c>
      <c r="CM104" s="591">
        <v>0</v>
      </c>
      <c r="CN104" s="591">
        <v>0</v>
      </c>
      <c r="CO104" s="591">
        <v>1</v>
      </c>
      <c r="CP104" s="591">
        <v>2.7560000000000002</v>
      </c>
      <c r="CQ104" s="591">
        <v>0</v>
      </c>
      <c r="CR104" s="591">
        <v>12775.397000000001</v>
      </c>
      <c r="CS104" s="591">
        <v>0</v>
      </c>
      <c r="CT104" s="591">
        <v>0</v>
      </c>
      <c r="CU104" s="591">
        <v>0</v>
      </c>
      <c r="CV104" s="591">
        <v>0</v>
      </c>
      <c r="CW104" s="591">
        <v>0</v>
      </c>
      <c r="CX104" s="591">
        <v>0</v>
      </c>
      <c r="CY104" s="591">
        <v>0</v>
      </c>
      <c r="CZ104" s="591">
        <v>0</v>
      </c>
      <c r="DA104" s="591">
        <v>0</v>
      </c>
      <c r="DB104" s="591">
        <v>73016150</v>
      </c>
      <c r="DC104" s="591">
        <v>0</v>
      </c>
      <c r="DD104" s="591">
        <v>0</v>
      </c>
      <c r="DE104" s="591">
        <v>19786514</v>
      </c>
      <c r="DF104" s="591">
        <v>19827422</v>
      </c>
      <c r="DG104" s="591">
        <v>3212.5750000000003</v>
      </c>
      <c r="DH104" s="591">
        <v>0</v>
      </c>
      <c r="DI104" s="591">
        <v>40908</v>
      </c>
      <c r="DJ104" s="591">
        <v>0</v>
      </c>
      <c r="DK104" s="591">
        <v>0</v>
      </c>
      <c r="DL104" s="591">
        <v>0</v>
      </c>
      <c r="DM104" s="591">
        <v>6600548</v>
      </c>
      <c r="DN104" s="591">
        <v>25183</v>
      </c>
      <c r="DO104" s="591">
        <v>0</v>
      </c>
      <c r="DP104" s="591">
        <v>0</v>
      </c>
      <c r="DQ104" s="591">
        <v>0</v>
      </c>
      <c r="DR104" s="591">
        <v>0</v>
      </c>
      <c r="DS104" s="591">
        <v>0</v>
      </c>
      <c r="DT104" s="591">
        <v>0</v>
      </c>
      <c r="DU104" s="591">
        <v>0</v>
      </c>
      <c r="DV104" s="591">
        <v>0</v>
      </c>
      <c r="DW104" s="591">
        <v>0</v>
      </c>
      <c r="DX104" s="591">
        <v>0</v>
      </c>
      <c r="DY104" s="591">
        <v>0</v>
      </c>
      <c r="DZ104" s="591">
        <v>0</v>
      </c>
      <c r="EA104" s="591">
        <v>9.0999999999999998E-2</v>
      </c>
      <c r="EB104" s="591">
        <v>0.44500000000000001</v>
      </c>
      <c r="EC104" s="591">
        <v>380.86799999999999</v>
      </c>
      <c r="ED104" s="591">
        <v>2697667</v>
      </c>
      <c r="EE104" s="591">
        <v>0</v>
      </c>
      <c r="EF104" s="591">
        <v>0</v>
      </c>
      <c r="EG104" s="591">
        <v>0</v>
      </c>
      <c r="EH104" s="591">
        <v>3928064</v>
      </c>
      <c r="EI104" s="591">
        <v>0</v>
      </c>
      <c r="EJ104" s="591">
        <v>0</v>
      </c>
      <c r="EK104" s="591">
        <v>165.09200000000001</v>
      </c>
      <c r="EL104" s="591">
        <v>0</v>
      </c>
      <c r="EM104" s="591">
        <v>30.669</v>
      </c>
      <c r="EN104" s="591">
        <v>8.1170000000000009</v>
      </c>
      <c r="EO104" s="591">
        <v>0</v>
      </c>
      <c r="EP104" s="591">
        <v>0</v>
      </c>
      <c r="EQ104" s="591">
        <v>207.94</v>
      </c>
      <c r="ER104" s="591">
        <v>3.5260000000000002</v>
      </c>
      <c r="ES104" s="591">
        <v>637.76800000000003</v>
      </c>
      <c r="ET104" s="591">
        <v>0</v>
      </c>
      <c r="EU104" s="591">
        <v>0</v>
      </c>
      <c r="EV104" s="591">
        <v>0</v>
      </c>
      <c r="EW104" s="591">
        <v>0</v>
      </c>
      <c r="EX104" s="591">
        <v>0</v>
      </c>
      <c r="EY104" s="591">
        <v>0</v>
      </c>
      <c r="EZ104" s="591">
        <v>119456531</v>
      </c>
      <c r="FA104" s="591">
        <v>0</v>
      </c>
      <c r="FB104" s="591">
        <v>124568794</v>
      </c>
      <c r="FC104" s="591">
        <v>0</v>
      </c>
      <c r="FD104" s="591">
        <v>0</v>
      </c>
      <c r="FE104" s="591">
        <v>12786541</v>
      </c>
      <c r="FF104" s="591">
        <v>2608115</v>
      </c>
      <c r="FG104" s="591">
        <v>6.4728999999999995E-2</v>
      </c>
      <c r="FH104" s="591">
        <v>2.6405999999999999E-2</v>
      </c>
      <c r="FI104" s="591">
        <v>0</v>
      </c>
      <c r="FJ104" s="591">
        <v>0</v>
      </c>
      <c r="FK104" s="591">
        <v>20042.573</v>
      </c>
      <c r="FL104" s="591">
        <v>142278490</v>
      </c>
      <c r="FM104" s="591">
        <v>0</v>
      </c>
      <c r="FN104" s="591">
        <v>0</v>
      </c>
      <c r="FO104" s="591">
        <v>1058155</v>
      </c>
      <c r="FP104" s="591">
        <v>0</v>
      </c>
      <c r="FQ104" s="591">
        <v>1058155</v>
      </c>
      <c r="FR104" s="591">
        <v>1058155</v>
      </c>
      <c r="FS104" s="591">
        <v>0</v>
      </c>
      <c r="FT104" s="591">
        <v>0</v>
      </c>
      <c r="FU104" s="591">
        <v>0</v>
      </c>
      <c r="FV104" s="591">
        <v>0</v>
      </c>
      <c r="FW104" s="591">
        <v>0</v>
      </c>
      <c r="FX104" s="591">
        <v>0</v>
      </c>
      <c r="FY104" s="591">
        <v>0</v>
      </c>
      <c r="FZ104" s="591">
        <v>0</v>
      </c>
      <c r="GA104" s="591">
        <v>0</v>
      </c>
      <c r="GB104" s="591">
        <v>5923602</v>
      </c>
      <c r="GC104" s="591">
        <v>5923602</v>
      </c>
      <c r="GD104" s="591">
        <v>712.42</v>
      </c>
      <c r="GE104" s="591">
        <v>0</v>
      </c>
      <c r="GF104" s="591">
        <v>0</v>
      </c>
      <c r="GG104" s="591">
        <v>0</v>
      </c>
      <c r="GH104" s="591">
        <v>0</v>
      </c>
      <c r="GI104" s="591">
        <v>0</v>
      </c>
      <c r="GJ104" s="591">
        <v>0</v>
      </c>
      <c r="GK104" s="591">
        <v>0</v>
      </c>
      <c r="GL104" s="591">
        <v>0</v>
      </c>
      <c r="GM104" s="591">
        <v>0</v>
      </c>
      <c r="GN104" s="591">
        <v>0</v>
      </c>
      <c r="GO104" s="591">
        <v>0</v>
      </c>
      <c r="GP104" s="591">
        <v>0</v>
      </c>
      <c r="GQ104" s="591">
        <v>0</v>
      </c>
      <c r="GR104" s="591">
        <v>0</v>
      </c>
      <c r="GS104" s="591">
        <v>0</v>
      </c>
      <c r="GT104" s="591">
        <v>0</v>
      </c>
      <c r="GU104" s="591">
        <v>0</v>
      </c>
      <c r="GV104" s="591">
        <v>0</v>
      </c>
      <c r="GW104" s="591">
        <v>0</v>
      </c>
      <c r="GX104" s="591">
        <v>0</v>
      </c>
      <c r="GY104" s="591">
        <v>0</v>
      </c>
      <c r="GZ104" s="591">
        <v>0</v>
      </c>
      <c r="HA104" s="591">
        <v>0</v>
      </c>
      <c r="HB104" s="591">
        <v>260009272</v>
      </c>
      <c r="HC104" s="591">
        <v>5.1774999999999995E-2</v>
      </c>
      <c r="HD104" s="591">
        <v>2315040</v>
      </c>
      <c r="HE104" s="591">
        <v>0</v>
      </c>
      <c r="HF104" s="591">
        <v>13028686</v>
      </c>
      <c r="HG104" s="591">
        <v>94234</v>
      </c>
      <c r="HH104" s="591">
        <v>443454</v>
      </c>
      <c r="HI104" s="591">
        <v>0</v>
      </c>
      <c r="HJ104" s="591">
        <v>124177</v>
      </c>
      <c r="HK104" s="591">
        <v>63105</v>
      </c>
      <c r="HL104" s="591">
        <v>30653</v>
      </c>
      <c r="HM104" s="591">
        <v>1266000</v>
      </c>
      <c r="HN104" s="591">
        <v>560428</v>
      </c>
      <c r="HO104" s="591">
        <v>0</v>
      </c>
      <c r="HP104" s="591">
        <v>0</v>
      </c>
      <c r="HQ104" s="591">
        <v>0</v>
      </c>
      <c r="HR104" s="591">
        <v>0</v>
      </c>
      <c r="HS104" s="591">
        <v>119429555</v>
      </c>
      <c r="HT104" s="591">
        <v>0</v>
      </c>
      <c r="HU104" s="591">
        <v>0</v>
      </c>
      <c r="HV104" s="591">
        <v>0</v>
      </c>
      <c r="HW104" s="591">
        <v>0</v>
      </c>
      <c r="HX104" s="591">
        <v>842</v>
      </c>
      <c r="HY104" s="591">
        <v>1284</v>
      </c>
      <c r="HZ104" s="591">
        <v>2067</v>
      </c>
      <c r="IA104" s="591">
        <v>3032</v>
      </c>
      <c r="IB104" s="591">
        <v>5111</v>
      </c>
      <c r="IC104" s="591">
        <v>12336</v>
      </c>
      <c r="ID104" s="591">
        <v>0</v>
      </c>
      <c r="IE104" s="591">
        <v>0</v>
      </c>
      <c r="IF104" s="591">
        <v>0</v>
      </c>
      <c r="IG104" s="591">
        <v>153</v>
      </c>
      <c r="IH104" s="591">
        <v>720</v>
      </c>
      <c r="II104" s="591">
        <v>0</v>
      </c>
      <c r="IJ104" s="591">
        <v>4114.2049999999999</v>
      </c>
      <c r="IK104" s="591">
        <v>0</v>
      </c>
      <c r="IL104" s="591">
        <v>172</v>
      </c>
      <c r="IM104" s="591">
        <v>134</v>
      </c>
      <c r="IN104" s="591">
        <v>2</v>
      </c>
      <c r="IO104" s="591">
        <v>308</v>
      </c>
      <c r="IP104" s="591">
        <v>0</v>
      </c>
      <c r="IQ104" s="591">
        <v>4114.2049999999999</v>
      </c>
      <c r="IR104" s="591">
        <v>2533973</v>
      </c>
      <c r="IS104" s="591">
        <v>0</v>
      </c>
      <c r="IT104" s="591">
        <v>860000</v>
      </c>
      <c r="IU104" s="591">
        <v>402000</v>
      </c>
      <c r="IV104" s="591">
        <v>4000</v>
      </c>
      <c r="IW104" s="591">
        <v>6159</v>
      </c>
      <c r="IX104" s="591">
        <v>0</v>
      </c>
      <c r="IY104" s="591">
        <v>0</v>
      </c>
      <c r="IZ104" s="591">
        <v>0</v>
      </c>
      <c r="JA104" s="591">
        <v>0</v>
      </c>
      <c r="JB104" s="591">
        <v>1</v>
      </c>
      <c r="JC104" s="591">
        <v>24359</v>
      </c>
      <c r="JD104" s="591">
        <v>29</v>
      </c>
      <c r="JE104" s="591">
        <v>391823</v>
      </c>
      <c r="JF104" s="591">
        <v>17</v>
      </c>
      <c r="JG104" s="591">
        <v>116246</v>
      </c>
      <c r="JH104" s="591">
        <v>28000</v>
      </c>
      <c r="JI104" s="591">
        <v>0</v>
      </c>
      <c r="JJ104" s="591">
        <v>0</v>
      </c>
      <c r="JK104" s="591">
        <v>0</v>
      </c>
      <c r="JL104" s="591">
        <v>0</v>
      </c>
      <c r="JM104" s="591">
        <v>0</v>
      </c>
      <c r="JN104" s="591">
        <v>32469</v>
      </c>
    </row>
    <row r="105" spans="1:274" x14ac:dyDescent="0.25">
      <c r="A105" s="591">
        <v>32570</v>
      </c>
      <c r="B105" s="591">
        <v>101846</v>
      </c>
      <c r="C105" s="591">
        <v>9</v>
      </c>
      <c r="D105" s="591">
        <v>2022</v>
      </c>
      <c r="E105" s="591">
        <v>6159</v>
      </c>
      <c r="F105" s="591">
        <v>0</v>
      </c>
      <c r="G105" s="591">
        <v>3560.0170000000003</v>
      </c>
      <c r="H105" s="591">
        <v>3213.0730000000003</v>
      </c>
      <c r="I105" s="591">
        <v>3213.0730000000003</v>
      </c>
      <c r="J105" s="591">
        <v>3560.0170000000003</v>
      </c>
      <c r="K105" s="591">
        <v>0</v>
      </c>
      <c r="L105" s="591">
        <v>6159</v>
      </c>
      <c r="M105" s="591">
        <v>0</v>
      </c>
      <c r="N105" s="591">
        <v>0</v>
      </c>
      <c r="O105" s="591">
        <v>0</v>
      </c>
      <c r="P105" s="591">
        <v>3491.627</v>
      </c>
      <c r="Q105" s="591">
        <v>0</v>
      </c>
      <c r="R105" s="591">
        <v>1405128</v>
      </c>
      <c r="S105" s="591">
        <v>402.428</v>
      </c>
      <c r="T105" s="591">
        <v>0</v>
      </c>
      <c r="U105" s="591">
        <v>0</v>
      </c>
      <c r="V105" s="591">
        <v>1196.405</v>
      </c>
      <c r="W105" s="591">
        <v>736876</v>
      </c>
      <c r="X105" s="591">
        <v>736876</v>
      </c>
      <c r="Y105" s="591">
        <v>0</v>
      </c>
      <c r="Z105" s="591">
        <v>0</v>
      </c>
      <c r="AA105" s="591">
        <v>0</v>
      </c>
      <c r="AB105" s="591">
        <v>0</v>
      </c>
      <c r="AC105" s="591">
        <v>0</v>
      </c>
      <c r="AD105" s="591" t="s">
        <v>316</v>
      </c>
      <c r="AE105" s="591">
        <v>0</v>
      </c>
      <c r="AF105" s="591">
        <v>0</v>
      </c>
      <c r="AG105" s="591">
        <v>0</v>
      </c>
      <c r="AH105" s="591">
        <v>0</v>
      </c>
      <c r="AI105" s="591">
        <v>0</v>
      </c>
      <c r="AJ105" s="591">
        <v>6159</v>
      </c>
      <c r="AK105" s="591" t="s">
        <v>671</v>
      </c>
      <c r="AL105" s="591" t="s">
        <v>31</v>
      </c>
      <c r="AM105" s="591">
        <v>0</v>
      </c>
      <c r="AN105" s="591">
        <v>0</v>
      </c>
      <c r="AO105" s="591">
        <v>0</v>
      </c>
      <c r="AP105" s="591">
        <v>0</v>
      </c>
      <c r="AQ105" s="591">
        <v>0</v>
      </c>
      <c r="AR105" s="591">
        <v>0</v>
      </c>
      <c r="AS105" s="591">
        <v>0</v>
      </c>
      <c r="AT105" s="591">
        <v>0</v>
      </c>
      <c r="AU105" s="591">
        <v>0</v>
      </c>
      <c r="AV105" s="591">
        <v>0</v>
      </c>
      <c r="AW105" s="591">
        <v>38635922</v>
      </c>
      <c r="AX105" s="591">
        <v>38001944</v>
      </c>
      <c r="AY105" s="591">
        <v>0</v>
      </c>
      <c r="AZ105" s="591">
        <v>1405128</v>
      </c>
      <c r="BA105" s="591">
        <v>0</v>
      </c>
      <c r="BB105" s="591">
        <v>0</v>
      </c>
      <c r="BC105" s="591">
        <v>0</v>
      </c>
      <c r="BD105" s="591">
        <v>0</v>
      </c>
      <c r="BE105" s="591">
        <v>504</v>
      </c>
      <c r="BF105" s="591">
        <v>35018576</v>
      </c>
      <c r="BG105" s="591">
        <v>0</v>
      </c>
      <c r="BH105" s="591">
        <v>0</v>
      </c>
      <c r="BI105" s="591">
        <v>0</v>
      </c>
      <c r="BJ105" s="591">
        <v>12</v>
      </c>
      <c r="BK105" s="591">
        <v>0</v>
      </c>
      <c r="BL105" s="591">
        <v>0</v>
      </c>
      <c r="BM105" s="591">
        <v>0</v>
      </c>
      <c r="BN105" s="591">
        <v>0</v>
      </c>
      <c r="BO105" s="591">
        <v>0</v>
      </c>
      <c r="BP105" s="591">
        <v>0</v>
      </c>
      <c r="BQ105" s="591">
        <v>275</v>
      </c>
      <c r="BR105" s="591">
        <v>0</v>
      </c>
      <c r="BS105" s="591">
        <v>0</v>
      </c>
      <c r="BT105" s="591">
        <v>0</v>
      </c>
      <c r="BU105" s="591">
        <v>0</v>
      </c>
      <c r="BV105" s="591">
        <v>0</v>
      </c>
      <c r="BW105" s="591">
        <v>0</v>
      </c>
      <c r="BX105" s="591">
        <v>0</v>
      </c>
      <c r="BY105" s="591">
        <v>0</v>
      </c>
      <c r="BZ105" s="591">
        <v>0</v>
      </c>
      <c r="CA105" s="591">
        <v>0</v>
      </c>
      <c r="CB105" s="591">
        <v>0</v>
      </c>
      <c r="CC105" s="591">
        <v>0</v>
      </c>
      <c r="CD105" s="591">
        <v>0</v>
      </c>
      <c r="CE105" s="591">
        <v>0</v>
      </c>
      <c r="CF105" s="591">
        <v>0</v>
      </c>
      <c r="CG105" s="591">
        <v>0</v>
      </c>
      <c r="CH105" s="591">
        <v>645114</v>
      </c>
      <c r="CI105" s="591">
        <v>0</v>
      </c>
      <c r="CJ105" s="591">
        <v>4</v>
      </c>
      <c r="CK105" s="591">
        <v>0</v>
      </c>
      <c r="CL105" s="591">
        <v>0</v>
      </c>
      <c r="CM105" s="591">
        <v>0</v>
      </c>
      <c r="CN105" s="591">
        <v>0</v>
      </c>
      <c r="CO105" s="591">
        <v>1</v>
      </c>
      <c r="CP105" s="591">
        <v>0</v>
      </c>
      <c r="CQ105" s="591">
        <v>0</v>
      </c>
      <c r="CR105" s="591">
        <v>3560.0170000000003</v>
      </c>
      <c r="CS105" s="591">
        <v>0</v>
      </c>
      <c r="CT105" s="591">
        <v>0</v>
      </c>
      <c r="CU105" s="591">
        <v>0</v>
      </c>
      <c r="CV105" s="591">
        <v>0</v>
      </c>
      <c r="CW105" s="591">
        <v>0</v>
      </c>
      <c r="CX105" s="591">
        <v>0</v>
      </c>
      <c r="CY105" s="591">
        <v>0</v>
      </c>
      <c r="CZ105" s="591">
        <v>0</v>
      </c>
      <c r="DA105" s="591">
        <v>0</v>
      </c>
      <c r="DB105" s="591">
        <v>19789581</v>
      </c>
      <c r="DC105" s="591">
        <v>0</v>
      </c>
      <c r="DD105" s="591">
        <v>0</v>
      </c>
      <c r="DE105" s="591">
        <v>4700612</v>
      </c>
      <c r="DF105" s="591">
        <v>4700612</v>
      </c>
      <c r="DG105" s="591">
        <v>763.2</v>
      </c>
      <c r="DH105" s="591">
        <v>0</v>
      </c>
      <c r="DI105" s="591">
        <v>0</v>
      </c>
      <c r="DJ105" s="591">
        <v>0</v>
      </c>
      <c r="DK105" s="591">
        <v>0</v>
      </c>
      <c r="DL105" s="591">
        <v>0</v>
      </c>
      <c r="DM105" s="591">
        <v>2786546</v>
      </c>
      <c r="DN105" s="591">
        <v>10632</v>
      </c>
      <c r="DO105" s="591">
        <v>0</v>
      </c>
      <c r="DP105" s="591">
        <v>0</v>
      </c>
      <c r="DQ105" s="591">
        <v>0</v>
      </c>
      <c r="DR105" s="591">
        <v>0</v>
      </c>
      <c r="DS105" s="591">
        <v>0</v>
      </c>
      <c r="DT105" s="591">
        <v>0</v>
      </c>
      <c r="DU105" s="591">
        <v>0</v>
      </c>
      <c r="DV105" s="591">
        <v>0</v>
      </c>
      <c r="DW105" s="591">
        <v>0</v>
      </c>
      <c r="DX105" s="591">
        <v>0</v>
      </c>
      <c r="DY105" s="591">
        <v>0</v>
      </c>
      <c r="DZ105" s="591">
        <v>0</v>
      </c>
      <c r="EA105" s="591">
        <v>0</v>
      </c>
      <c r="EB105" s="591">
        <v>0</v>
      </c>
      <c r="EC105" s="591">
        <v>71.040000000000006</v>
      </c>
      <c r="ED105" s="591">
        <v>503172</v>
      </c>
      <c r="EE105" s="591">
        <v>0</v>
      </c>
      <c r="EF105" s="591">
        <v>0</v>
      </c>
      <c r="EG105" s="591">
        <v>0</v>
      </c>
      <c r="EH105" s="591">
        <v>2294006</v>
      </c>
      <c r="EI105" s="591">
        <v>0</v>
      </c>
      <c r="EJ105" s="591">
        <v>0</v>
      </c>
      <c r="EK105" s="591">
        <v>100.30500000000001</v>
      </c>
      <c r="EL105" s="591">
        <v>0</v>
      </c>
      <c r="EM105" s="591">
        <v>15.663</v>
      </c>
      <c r="EN105" s="591">
        <v>4.9110000000000005</v>
      </c>
      <c r="EO105" s="591">
        <v>0</v>
      </c>
      <c r="EP105" s="591">
        <v>0</v>
      </c>
      <c r="EQ105" s="591">
        <v>120.879</v>
      </c>
      <c r="ER105" s="591">
        <v>0</v>
      </c>
      <c r="ES105" s="591">
        <v>372.459</v>
      </c>
      <c r="ET105" s="591">
        <v>0</v>
      </c>
      <c r="EU105" s="591">
        <v>0</v>
      </c>
      <c r="EV105" s="591">
        <v>0</v>
      </c>
      <c r="EW105" s="591">
        <v>0</v>
      </c>
      <c r="EX105" s="591">
        <v>0</v>
      </c>
      <c r="EY105" s="591">
        <v>0</v>
      </c>
      <c r="EZ105" s="591">
        <v>33634785</v>
      </c>
      <c r="FA105" s="591">
        <v>0</v>
      </c>
      <c r="FB105" s="591">
        <v>35028777</v>
      </c>
      <c r="FC105" s="591">
        <v>0</v>
      </c>
      <c r="FD105" s="591">
        <v>0</v>
      </c>
      <c r="FE105" s="591">
        <v>3627288</v>
      </c>
      <c r="FF105" s="591">
        <v>739871</v>
      </c>
      <c r="FG105" s="591">
        <v>6.4728999999999995E-2</v>
      </c>
      <c r="FH105" s="591">
        <v>2.6405999999999999E-2</v>
      </c>
      <c r="FI105" s="591">
        <v>0</v>
      </c>
      <c r="FJ105" s="591">
        <v>0</v>
      </c>
      <c r="FK105" s="591">
        <v>5685.6810000000005</v>
      </c>
      <c r="FL105" s="591">
        <v>40041050</v>
      </c>
      <c r="FM105" s="591">
        <v>0</v>
      </c>
      <c r="FN105" s="591">
        <v>0</v>
      </c>
      <c r="FO105" s="591">
        <v>0</v>
      </c>
      <c r="FP105" s="591">
        <v>0</v>
      </c>
      <c r="FQ105" s="591">
        <v>0</v>
      </c>
      <c r="FR105" s="591">
        <v>0</v>
      </c>
      <c r="FS105" s="591">
        <v>0</v>
      </c>
      <c r="FT105" s="591">
        <v>0</v>
      </c>
      <c r="FU105" s="591">
        <v>0</v>
      </c>
      <c r="FV105" s="591">
        <v>0</v>
      </c>
      <c r="FW105" s="591">
        <v>0</v>
      </c>
      <c r="FX105" s="591">
        <v>0</v>
      </c>
      <c r="FY105" s="591">
        <v>0</v>
      </c>
      <c r="FZ105" s="591">
        <v>0</v>
      </c>
      <c r="GA105" s="591">
        <v>0</v>
      </c>
      <c r="GB105" s="591">
        <v>1879677</v>
      </c>
      <c r="GC105" s="591">
        <v>1879677</v>
      </c>
      <c r="GD105" s="591">
        <v>226.065</v>
      </c>
      <c r="GE105" s="591">
        <v>0</v>
      </c>
      <c r="GF105" s="591">
        <v>0</v>
      </c>
      <c r="GG105" s="591">
        <v>0</v>
      </c>
      <c r="GH105" s="591">
        <v>0</v>
      </c>
      <c r="GI105" s="591">
        <v>0</v>
      </c>
      <c r="GJ105" s="591">
        <v>0</v>
      </c>
      <c r="GK105" s="591">
        <v>0</v>
      </c>
      <c r="GL105" s="591">
        <v>0</v>
      </c>
      <c r="GM105" s="591">
        <v>0</v>
      </c>
      <c r="GN105" s="591">
        <v>0</v>
      </c>
      <c r="GO105" s="591">
        <v>0</v>
      </c>
      <c r="GP105" s="591">
        <v>0</v>
      </c>
      <c r="GQ105" s="591">
        <v>0</v>
      </c>
      <c r="GR105" s="591">
        <v>0</v>
      </c>
      <c r="GS105" s="591">
        <v>0</v>
      </c>
      <c r="GT105" s="591">
        <v>0</v>
      </c>
      <c r="GU105" s="591">
        <v>0</v>
      </c>
      <c r="GV105" s="591">
        <v>0</v>
      </c>
      <c r="GW105" s="591">
        <v>0</v>
      </c>
      <c r="GX105" s="591">
        <v>0</v>
      </c>
      <c r="GY105" s="591">
        <v>0</v>
      </c>
      <c r="GZ105" s="591">
        <v>0</v>
      </c>
      <c r="HA105" s="591">
        <v>0</v>
      </c>
      <c r="HB105" s="591">
        <v>260009272</v>
      </c>
      <c r="HC105" s="591">
        <v>5.1774999999999995E-2</v>
      </c>
      <c r="HD105" s="591">
        <v>645114</v>
      </c>
      <c r="HE105" s="591">
        <v>0</v>
      </c>
      <c r="HF105" s="591">
        <v>3531167</v>
      </c>
      <c r="HG105" s="591">
        <v>35107</v>
      </c>
      <c r="HH105" s="591">
        <v>607894</v>
      </c>
      <c r="HI105" s="591">
        <v>0</v>
      </c>
      <c r="HJ105" s="591">
        <v>34603</v>
      </c>
      <c r="HK105" s="591">
        <v>12154</v>
      </c>
      <c r="HL105" s="591">
        <v>9183</v>
      </c>
      <c r="HM105" s="591">
        <v>420000</v>
      </c>
      <c r="HN105" s="591">
        <v>386881</v>
      </c>
      <c r="HO105" s="591">
        <v>99000</v>
      </c>
      <c r="HP105" s="591">
        <v>0</v>
      </c>
      <c r="HQ105" s="591">
        <v>0</v>
      </c>
      <c r="HR105" s="591">
        <v>0</v>
      </c>
      <c r="HS105" s="591">
        <v>33623649</v>
      </c>
      <c r="HT105" s="591">
        <v>0</v>
      </c>
      <c r="HU105" s="591">
        <v>0</v>
      </c>
      <c r="HV105" s="591">
        <v>0</v>
      </c>
      <c r="HW105" s="591">
        <v>0</v>
      </c>
      <c r="HX105" s="591">
        <v>271</v>
      </c>
      <c r="HY105" s="591">
        <v>546</v>
      </c>
      <c r="HZ105" s="591">
        <v>650</v>
      </c>
      <c r="IA105" s="591">
        <v>724</v>
      </c>
      <c r="IB105" s="591">
        <v>800</v>
      </c>
      <c r="IC105" s="591">
        <v>2991</v>
      </c>
      <c r="ID105" s="591">
        <v>0</v>
      </c>
      <c r="IE105" s="591">
        <v>0</v>
      </c>
      <c r="IF105" s="591">
        <v>0</v>
      </c>
      <c r="IG105" s="591">
        <v>57</v>
      </c>
      <c r="IH105" s="591">
        <v>986.98800000000006</v>
      </c>
      <c r="II105" s="591">
        <v>0</v>
      </c>
      <c r="IJ105" s="591">
        <v>1196.405</v>
      </c>
      <c r="IK105" s="591">
        <v>0</v>
      </c>
      <c r="IL105" s="591">
        <v>68</v>
      </c>
      <c r="IM105" s="591">
        <v>26</v>
      </c>
      <c r="IN105" s="591">
        <v>1</v>
      </c>
      <c r="IO105" s="591">
        <v>95</v>
      </c>
      <c r="IP105" s="591">
        <v>0</v>
      </c>
      <c r="IQ105" s="591">
        <v>1196.405</v>
      </c>
      <c r="IR105" s="591">
        <v>736876</v>
      </c>
      <c r="IS105" s="591">
        <v>0</v>
      </c>
      <c r="IT105" s="591">
        <v>340000</v>
      </c>
      <c r="IU105" s="591">
        <v>78000</v>
      </c>
      <c r="IV105" s="591">
        <v>2000</v>
      </c>
      <c r="IW105" s="591">
        <v>6159</v>
      </c>
      <c r="IX105" s="591">
        <v>0</v>
      </c>
      <c r="IY105" s="591">
        <v>0</v>
      </c>
      <c r="IZ105" s="591">
        <v>0</v>
      </c>
      <c r="JA105" s="591">
        <v>0</v>
      </c>
      <c r="JB105" s="591">
        <v>5</v>
      </c>
      <c r="JC105" s="591">
        <v>115112</v>
      </c>
      <c r="JD105" s="591">
        <v>13</v>
      </c>
      <c r="JE105" s="591">
        <v>164382</v>
      </c>
      <c r="JF105" s="591">
        <v>14</v>
      </c>
      <c r="JG105" s="591">
        <v>88887</v>
      </c>
      <c r="JH105" s="591">
        <v>18500</v>
      </c>
      <c r="JI105" s="591">
        <v>0</v>
      </c>
      <c r="JJ105" s="591">
        <v>0</v>
      </c>
      <c r="JK105" s="591">
        <v>0</v>
      </c>
      <c r="JL105" s="591">
        <v>0</v>
      </c>
      <c r="JM105" s="591">
        <v>0</v>
      </c>
      <c r="JN105" s="591">
        <v>32469</v>
      </c>
    </row>
    <row r="106" spans="1:274" x14ac:dyDescent="0.25">
      <c r="A106" s="591">
        <v>32570</v>
      </c>
      <c r="B106" s="591">
        <v>101847</v>
      </c>
      <c r="C106" s="591">
        <v>9</v>
      </c>
      <c r="D106" s="591">
        <v>2022</v>
      </c>
      <c r="E106" s="591">
        <v>6159</v>
      </c>
      <c r="F106" s="591">
        <v>0</v>
      </c>
      <c r="G106" s="591">
        <v>457.21700000000004</v>
      </c>
      <c r="H106" s="591">
        <v>456.91200000000003</v>
      </c>
      <c r="I106" s="591">
        <v>456.91200000000003</v>
      </c>
      <c r="J106" s="591">
        <v>457.21700000000004</v>
      </c>
      <c r="K106" s="591">
        <v>0</v>
      </c>
      <c r="L106" s="591">
        <v>6159</v>
      </c>
      <c r="M106" s="591">
        <v>0</v>
      </c>
      <c r="N106" s="591">
        <v>0</v>
      </c>
      <c r="O106" s="591">
        <v>0</v>
      </c>
      <c r="P106" s="591">
        <v>450.71000000000004</v>
      </c>
      <c r="Q106" s="591">
        <v>0</v>
      </c>
      <c r="R106" s="591">
        <v>181378</v>
      </c>
      <c r="S106" s="591">
        <v>402.428</v>
      </c>
      <c r="T106" s="591">
        <v>0</v>
      </c>
      <c r="U106" s="591">
        <v>0</v>
      </c>
      <c r="V106" s="591">
        <v>0</v>
      </c>
      <c r="W106" s="591">
        <v>0</v>
      </c>
      <c r="X106" s="591">
        <v>0</v>
      </c>
      <c r="Y106" s="591">
        <v>0</v>
      </c>
      <c r="Z106" s="591">
        <v>0</v>
      </c>
      <c r="AA106" s="591">
        <v>0</v>
      </c>
      <c r="AB106" s="591">
        <v>0</v>
      </c>
      <c r="AC106" s="591">
        <v>0</v>
      </c>
      <c r="AD106" s="591" t="s">
        <v>316</v>
      </c>
      <c r="AE106" s="591">
        <v>0</v>
      </c>
      <c r="AF106" s="591">
        <v>0</v>
      </c>
      <c r="AG106" s="591">
        <v>0</v>
      </c>
      <c r="AH106" s="591">
        <v>0</v>
      </c>
      <c r="AI106" s="591">
        <v>0</v>
      </c>
      <c r="AJ106" s="591">
        <v>6159</v>
      </c>
      <c r="AK106" s="591" t="s">
        <v>671</v>
      </c>
      <c r="AL106" s="591" t="s">
        <v>32</v>
      </c>
      <c r="AM106" s="591">
        <v>0</v>
      </c>
      <c r="AN106" s="591">
        <v>0</v>
      </c>
      <c r="AO106" s="591">
        <v>0</v>
      </c>
      <c r="AP106" s="591">
        <v>0</v>
      </c>
      <c r="AQ106" s="591">
        <v>0</v>
      </c>
      <c r="AR106" s="591">
        <v>0</v>
      </c>
      <c r="AS106" s="591">
        <v>0</v>
      </c>
      <c r="AT106" s="591">
        <v>0</v>
      </c>
      <c r="AU106" s="591">
        <v>0</v>
      </c>
      <c r="AV106" s="591">
        <v>0</v>
      </c>
      <c r="AW106" s="591">
        <v>4499682</v>
      </c>
      <c r="AX106" s="591">
        <v>4417418</v>
      </c>
      <c r="AY106" s="591">
        <v>0</v>
      </c>
      <c r="AZ106" s="591">
        <v>181378</v>
      </c>
      <c r="BA106" s="591">
        <v>0</v>
      </c>
      <c r="BB106" s="591">
        <v>0</v>
      </c>
      <c r="BC106" s="591">
        <v>0</v>
      </c>
      <c r="BD106" s="591">
        <v>0</v>
      </c>
      <c r="BE106" s="591">
        <v>59</v>
      </c>
      <c r="BF106" s="591">
        <v>4088497</v>
      </c>
      <c r="BG106" s="591">
        <v>0</v>
      </c>
      <c r="BH106" s="591">
        <v>0</v>
      </c>
      <c r="BI106" s="591">
        <v>0</v>
      </c>
      <c r="BJ106" s="591">
        <v>12</v>
      </c>
      <c r="BK106" s="591">
        <v>0</v>
      </c>
      <c r="BL106" s="591">
        <v>0</v>
      </c>
      <c r="BM106" s="591">
        <v>0</v>
      </c>
      <c r="BN106" s="591">
        <v>0</v>
      </c>
      <c r="BO106" s="591">
        <v>0</v>
      </c>
      <c r="BP106" s="591">
        <v>0</v>
      </c>
      <c r="BQ106" s="591">
        <v>700</v>
      </c>
      <c r="BR106" s="591">
        <v>0</v>
      </c>
      <c r="BS106" s="591">
        <v>0</v>
      </c>
      <c r="BT106" s="591">
        <v>0</v>
      </c>
      <c r="BU106" s="591">
        <v>0</v>
      </c>
      <c r="BV106" s="591">
        <v>0</v>
      </c>
      <c r="BW106" s="591">
        <v>0</v>
      </c>
      <c r="BX106" s="591">
        <v>0</v>
      </c>
      <c r="BY106" s="591">
        <v>0</v>
      </c>
      <c r="BZ106" s="591">
        <v>0</v>
      </c>
      <c r="CA106" s="591">
        <v>0</v>
      </c>
      <c r="CB106" s="591">
        <v>0</v>
      </c>
      <c r="CC106" s="591">
        <v>0</v>
      </c>
      <c r="CD106" s="591">
        <v>0</v>
      </c>
      <c r="CE106" s="591">
        <v>0</v>
      </c>
      <c r="CF106" s="591">
        <v>0</v>
      </c>
      <c r="CG106" s="591">
        <v>0</v>
      </c>
      <c r="CH106" s="591">
        <v>82853</v>
      </c>
      <c r="CI106" s="591">
        <v>0</v>
      </c>
      <c r="CJ106" s="591">
        <v>4</v>
      </c>
      <c r="CK106" s="591">
        <v>0</v>
      </c>
      <c r="CL106" s="591">
        <v>0</v>
      </c>
      <c r="CM106" s="591">
        <v>0</v>
      </c>
      <c r="CN106" s="591">
        <v>0</v>
      </c>
      <c r="CO106" s="591">
        <v>1</v>
      </c>
      <c r="CP106" s="591">
        <v>0</v>
      </c>
      <c r="CQ106" s="591">
        <v>0</v>
      </c>
      <c r="CR106" s="591">
        <v>457.21700000000004</v>
      </c>
      <c r="CS106" s="591">
        <v>0</v>
      </c>
      <c r="CT106" s="591">
        <v>0</v>
      </c>
      <c r="CU106" s="591">
        <v>0</v>
      </c>
      <c r="CV106" s="591">
        <v>0</v>
      </c>
      <c r="CW106" s="591">
        <v>0</v>
      </c>
      <c r="CX106" s="591">
        <v>0</v>
      </c>
      <c r="CY106" s="591">
        <v>0</v>
      </c>
      <c r="CZ106" s="591">
        <v>0</v>
      </c>
      <c r="DA106" s="591">
        <v>0</v>
      </c>
      <c r="DB106" s="591">
        <v>2784846</v>
      </c>
      <c r="DC106" s="591">
        <v>0</v>
      </c>
      <c r="DD106" s="591">
        <v>0</v>
      </c>
      <c r="DE106" s="591">
        <v>523445</v>
      </c>
      <c r="DF106" s="591">
        <v>523445</v>
      </c>
      <c r="DG106" s="591">
        <v>84.988</v>
      </c>
      <c r="DH106" s="591">
        <v>0</v>
      </c>
      <c r="DI106" s="591">
        <v>0</v>
      </c>
      <c r="DJ106" s="591">
        <v>0</v>
      </c>
      <c r="DK106" s="591">
        <v>2816</v>
      </c>
      <c r="DL106" s="591">
        <v>0</v>
      </c>
      <c r="DM106" s="591">
        <v>168381</v>
      </c>
      <c r="DN106" s="591">
        <v>531</v>
      </c>
      <c r="DO106" s="591">
        <v>0</v>
      </c>
      <c r="DP106" s="591">
        <v>0</v>
      </c>
      <c r="DQ106" s="591">
        <v>0</v>
      </c>
      <c r="DR106" s="591">
        <v>0</v>
      </c>
      <c r="DS106" s="591">
        <v>0</v>
      </c>
      <c r="DT106" s="591">
        <v>0</v>
      </c>
      <c r="DU106" s="591">
        <v>0</v>
      </c>
      <c r="DV106" s="591">
        <v>0</v>
      </c>
      <c r="DW106" s="591">
        <v>0</v>
      </c>
      <c r="DX106" s="591">
        <v>0</v>
      </c>
      <c r="DY106" s="591">
        <v>0</v>
      </c>
      <c r="DZ106" s="591">
        <v>0</v>
      </c>
      <c r="EA106" s="591">
        <v>0</v>
      </c>
      <c r="EB106" s="591">
        <v>0</v>
      </c>
      <c r="EC106" s="591">
        <v>18.382999999999999</v>
      </c>
      <c r="ED106" s="591">
        <v>130206</v>
      </c>
      <c r="EE106" s="591">
        <v>0</v>
      </c>
      <c r="EF106" s="591">
        <v>0</v>
      </c>
      <c r="EG106" s="591">
        <v>0</v>
      </c>
      <c r="EH106" s="591">
        <v>9393</v>
      </c>
      <c r="EI106" s="591">
        <v>0</v>
      </c>
      <c r="EJ106" s="591">
        <v>0</v>
      </c>
      <c r="EK106" s="591">
        <v>0</v>
      </c>
      <c r="EL106" s="591">
        <v>0</v>
      </c>
      <c r="EM106" s="591">
        <v>0</v>
      </c>
      <c r="EN106" s="591">
        <v>0.30499999999999999</v>
      </c>
      <c r="EO106" s="591">
        <v>0</v>
      </c>
      <c r="EP106" s="591">
        <v>0</v>
      </c>
      <c r="EQ106" s="591">
        <v>0.30499999999999999</v>
      </c>
      <c r="ER106" s="591">
        <v>0</v>
      </c>
      <c r="ES106" s="591">
        <v>1.5250000000000001</v>
      </c>
      <c r="ET106" s="591">
        <v>0</v>
      </c>
      <c r="EU106" s="591">
        <v>0</v>
      </c>
      <c r="EV106" s="591">
        <v>0</v>
      </c>
      <c r="EW106" s="591">
        <v>0</v>
      </c>
      <c r="EX106" s="591">
        <v>0</v>
      </c>
      <c r="EY106" s="591">
        <v>0</v>
      </c>
      <c r="EZ106" s="591">
        <v>3907542</v>
      </c>
      <c r="FA106" s="591">
        <v>0</v>
      </c>
      <c r="FB106" s="591">
        <v>4088331</v>
      </c>
      <c r="FC106" s="591">
        <v>0</v>
      </c>
      <c r="FD106" s="591">
        <v>0</v>
      </c>
      <c r="FE106" s="591">
        <v>423494</v>
      </c>
      <c r="FF106" s="591">
        <v>86382</v>
      </c>
      <c r="FG106" s="591">
        <v>6.4728999999999995E-2</v>
      </c>
      <c r="FH106" s="591">
        <v>2.6405999999999999E-2</v>
      </c>
      <c r="FI106" s="591">
        <v>0</v>
      </c>
      <c r="FJ106" s="591">
        <v>0</v>
      </c>
      <c r="FK106" s="591">
        <v>663.81600000000003</v>
      </c>
      <c r="FL106" s="591">
        <v>4681060</v>
      </c>
      <c r="FM106" s="591">
        <v>0</v>
      </c>
      <c r="FN106" s="591">
        <v>0</v>
      </c>
      <c r="FO106" s="591">
        <v>0</v>
      </c>
      <c r="FP106" s="591">
        <v>0</v>
      </c>
      <c r="FQ106" s="591">
        <v>0</v>
      </c>
      <c r="FR106" s="591">
        <v>0</v>
      </c>
      <c r="FS106" s="591">
        <v>0</v>
      </c>
      <c r="FT106" s="591">
        <v>0</v>
      </c>
      <c r="FU106" s="591">
        <v>0</v>
      </c>
      <c r="FV106" s="591">
        <v>0</v>
      </c>
      <c r="FW106" s="591">
        <v>0</v>
      </c>
      <c r="FX106" s="591">
        <v>0</v>
      </c>
      <c r="FY106" s="591">
        <v>0</v>
      </c>
      <c r="FZ106" s="591">
        <v>0</v>
      </c>
      <c r="GA106" s="591">
        <v>0</v>
      </c>
      <c r="GB106" s="591">
        <v>0</v>
      </c>
      <c r="GC106" s="591">
        <v>0</v>
      </c>
      <c r="GD106" s="591">
        <v>0</v>
      </c>
      <c r="GE106" s="591">
        <v>0</v>
      </c>
      <c r="GF106" s="591">
        <v>0</v>
      </c>
      <c r="GG106" s="591">
        <v>0</v>
      </c>
      <c r="GH106" s="591">
        <v>0</v>
      </c>
      <c r="GI106" s="591">
        <v>0</v>
      </c>
      <c r="GJ106" s="591">
        <v>0</v>
      </c>
      <c r="GK106" s="591">
        <v>0</v>
      </c>
      <c r="GL106" s="591">
        <v>0</v>
      </c>
      <c r="GM106" s="591">
        <v>0</v>
      </c>
      <c r="GN106" s="591">
        <v>0</v>
      </c>
      <c r="GO106" s="591">
        <v>0</v>
      </c>
      <c r="GP106" s="591">
        <v>0</v>
      </c>
      <c r="GQ106" s="591">
        <v>0</v>
      </c>
      <c r="GR106" s="591">
        <v>0</v>
      </c>
      <c r="GS106" s="591">
        <v>0</v>
      </c>
      <c r="GT106" s="591">
        <v>0</v>
      </c>
      <c r="GU106" s="591">
        <v>0</v>
      </c>
      <c r="GV106" s="591">
        <v>0</v>
      </c>
      <c r="GW106" s="591">
        <v>0</v>
      </c>
      <c r="GX106" s="591">
        <v>0</v>
      </c>
      <c r="GY106" s="591">
        <v>0</v>
      </c>
      <c r="GZ106" s="591">
        <v>0</v>
      </c>
      <c r="HA106" s="591">
        <v>0</v>
      </c>
      <c r="HB106" s="591">
        <v>260009272</v>
      </c>
      <c r="HC106" s="591">
        <v>5.1774999999999995E-2</v>
      </c>
      <c r="HD106" s="591">
        <v>82853</v>
      </c>
      <c r="HE106" s="591">
        <v>0</v>
      </c>
      <c r="HF106" s="591">
        <v>502146</v>
      </c>
      <c r="HG106" s="591">
        <v>0</v>
      </c>
      <c r="HH106" s="591">
        <v>104704</v>
      </c>
      <c r="HI106" s="591">
        <v>0</v>
      </c>
      <c r="HJ106" s="591">
        <v>4444</v>
      </c>
      <c r="HK106" s="591">
        <v>0</v>
      </c>
      <c r="HL106" s="591">
        <v>423</v>
      </c>
      <c r="HM106" s="591">
        <v>0</v>
      </c>
      <c r="HN106" s="591">
        <v>0</v>
      </c>
      <c r="HO106" s="591">
        <v>0</v>
      </c>
      <c r="HP106" s="591">
        <v>0</v>
      </c>
      <c r="HQ106" s="591">
        <v>0</v>
      </c>
      <c r="HR106" s="591">
        <v>0</v>
      </c>
      <c r="HS106" s="591">
        <v>3906953</v>
      </c>
      <c r="HT106" s="591">
        <v>0</v>
      </c>
      <c r="HU106" s="591">
        <v>0</v>
      </c>
      <c r="HV106" s="591">
        <v>0</v>
      </c>
      <c r="HW106" s="591">
        <v>0</v>
      </c>
      <c r="HX106" s="591">
        <v>42</v>
      </c>
      <c r="HY106" s="591">
        <v>47</v>
      </c>
      <c r="HZ106" s="591">
        <v>48</v>
      </c>
      <c r="IA106" s="591">
        <v>78</v>
      </c>
      <c r="IB106" s="591">
        <v>116</v>
      </c>
      <c r="IC106" s="591">
        <v>318</v>
      </c>
      <c r="ID106" s="591">
        <v>0</v>
      </c>
      <c r="IE106" s="591">
        <v>0</v>
      </c>
      <c r="IF106" s="591">
        <v>0</v>
      </c>
      <c r="IG106" s="591">
        <v>0</v>
      </c>
      <c r="IH106" s="591">
        <v>170</v>
      </c>
      <c r="II106" s="591">
        <v>0</v>
      </c>
      <c r="IJ106" s="591">
        <v>0</v>
      </c>
      <c r="IK106" s="591">
        <v>0</v>
      </c>
      <c r="IL106" s="591">
        <v>0</v>
      </c>
      <c r="IM106" s="591">
        <v>0</v>
      </c>
      <c r="IN106" s="591">
        <v>0</v>
      </c>
      <c r="IO106" s="591">
        <v>0</v>
      </c>
      <c r="IP106" s="591">
        <v>0</v>
      </c>
      <c r="IQ106" s="591">
        <v>0</v>
      </c>
      <c r="IR106" s="591">
        <v>0</v>
      </c>
      <c r="IS106" s="591">
        <v>0</v>
      </c>
      <c r="IT106" s="591">
        <v>0</v>
      </c>
      <c r="IU106" s="591">
        <v>0</v>
      </c>
      <c r="IV106" s="591">
        <v>0</v>
      </c>
      <c r="IW106" s="591">
        <v>6159</v>
      </c>
      <c r="IX106" s="591">
        <v>0</v>
      </c>
      <c r="IY106" s="591">
        <v>0</v>
      </c>
      <c r="IZ106" s="591">
        <v>0</v>
      </c>
      <c r="JA106" s="591">
        <v>0</v>
      </c>
      <c r="JB106" s="591">
        <v>0</v>
      </c>
      <c r="JC106" s="591">
        <v>0</v>
      </c>
      <c r="JD106" s="591">
        <v>0</v>
      </c>
      <c r="JE106" s="591">
        <v>0</v>
      </c>
      <c r="JF106" s="591">
        <v>0</v>
      </c>
      <c r="JG106" s="591">
        <v>0</v>
      </c>
      <c r="JH106" s="591">
        <v>0</v>
      </c>
      <c r="JI106" s="591">
        <v>0</v>
      </c>
      <c r="JJ106" s="591">
        <v>0</v>
      </c>
      <c r="JK106" s="591">
        <v>0</v>
      </c>
      <c r="JL106" s="591">
        <v>0</v>
      </c>
      <c r="JM106" s="591">
        <v>0</v>
      </c>
      <c r="JN106" s="591">
        <v>32469</v>
      </c>
    </row>
    <row r="107" spans="1:274" x14ac:dyDescent="0.25">
      <c r="A107" s="591">
        <v>32570</v>
      </c>
      <c r="B107" s="591">
        <v>101849</v>
      </c>
      <c r="C107" s="591">
        <v>9</v>
      </c>
      <c r="D107" s="591">
        <v>2022</v>
      </c>
      <c r="E107" s="591">
        <v>6159</v>
      </c>
      <c r="F107" s="591">
        <v>0</v>
      </c>
      <c r="G107" s="591">
        <v>214.16500000000002</v>
      </c>
      <c r="H107" s="591">
        <v>213.53200000000001</v>
      </c>
      <c r="I107" s="591">
        <v>213.53200000000001</v>
      </c>
      <c r="J107" s="591">
        <v>214.16500000000002</v>
      </c>
      <c r="K107" s="591">
        <v>0</v>
      </c>
      <c r="L107" s="591">
        <v>6159</v>
      </c>
      <c r="M107" s="591">
        <v>0</v>
      </c>
      <c r="N107" s="591">
        <v>0</v>
      </c>
      <c r="O107" s="591">
        <v>0</v>
      </c>
      <c r="P107" s="591">
        <v>216.00800000000001</v>
      </c>
      <c r="Q107" s="591">
        <v>0</v>
      </c>
      <c r="R107" s="591">
        <v>86928</v>
      </c>
      <c r="S107" s="591">
        <v>402.428</v>
      </c>
      <c r="T107" s="591">
        <v>0</v>
      </c>
      <c r="U107" s="591">
        <v>0</v>
      </c>
      <c r="V107" s="591">
        <v>67.64</v>
      </c>
      <c r="W107" s="591">
        <v>41660</v>
      </c>
      <c r="X107" s="591">
        <v>41660</v>
      </c>
      <c r="Y107" s="591">
        <v>0</v>
      </c>
      <c r="Z107" s="591">
        <v>0</v>
      </c>
      <c r="AA107" s="591">
        <v>0</v>
      </c>
      <c r="AB107" s="591">
        <v>0</v>
      </c>
      <c r="AC107" s="591">
        <v>0</v>
      </c>
      <c r="AD107" s="591" t="s">
        <v>316</v>
      </c>
      <c r="AE107" s="591">
        <v>0</v>
      </c>
      <c r="AF107" s="591">
        <v>0</v>
      </c>
      <c r="AG107" s="591">
        <v>0</v>
      </c>
      <c r="AH107" s="591">
        <v>0</v>
      </c>
      <c r="AI107" s="591">
        <v>0</v>
      </c>
      <c r="AJ107" s="591">
        <v>6159</v>
      </c>
      <c r="AK107" s="591" t="s">
        <v>671</v>
      </c>
      <c r="AL107" s="591" t="s">
        <v>14</v>
      </c>
      <c r="AM107" s="591">
        <v>0</v>
      </c>
      <c r="AN107" s="591">
        <v>0</v>
      </c>
      <c r="AO107" s="591">
        <v>0</v>
      </c>
      <c r="AP107" s="591">
        <v>0</v>
      </c>
      <c r="AQ107" s="591">
        <v>0</v>
      </c>
      <c r="AR107" s="591">
        <v>0</v>
      </c>
      <c r="AS107" s="591">
        <v>0</v>
      </c>
      <c r="AT107" s="591">
        <v>0</v>
      </c>
      <c r="AU107" s="591">
        <v>0</v>
      </c>
      <c r="AV107" s="591">
        <v>0</v>
      </c>
      <c r="AW107" s="591">
        <v>2312898</v>
      </c>
      <c r="AX107" s="591">
        <v>2274225</v>
      </c>
      <c r="AY107" s="591">
        <v>0</v>
      </c>
      <c r="AZ107" s="591">
        <v>86928</v>
      </c>
      <c r="BA107" s="591">
        <v>0</v>
      </c>
      <c r="BB107" s="591">
        <v>0</v>
      </c>
      <c r="BC107" s="591">
        <v>0</v>
      </c>
      <c r="BD107" s="591">
        <v>0</v>
      </c>
      <c r="BE107" s="591">
        <v>30</v>
      </c>
      <c r="BF107" s="591">
        <v>2099344</v>
      </c>
      <c r="BG107" s="591">
        <v>0</v>
      </c>
      <c r="BH107" s="591">
        <v>0</v>
      </c>
      <c r="BI107" s="591">
        <v>0</v>
      </c>
      <c r="BJ107" s="591">
        <v>12</v>
      </c>
      <c r="BK107" s="591">
        <v>0</v>
      </c>
      <c r="BL107" s="591">
        <v>0</v>
      </c>
      <c r="BM107" s="591">
        <v>0</v>
      </c>
      <c r="BN107" s="591">
        <v>0</v>
      </c>
      <c r="BO107" s="591">
        <v>0</v>
      </c>
      <c r="BP107" s="591">
        <v>0</v>
      </c>
      <c r="BQ107" s="591">
        <v>737</v>
      </c>
      <c r="BR107" s="591">
        <v>0</v>
      </c>
      <c r="BS107" s="591">
        <v>0</v>
      </c>
      <c r="BT107" s="591">
        <v>0</v>
      </c>
      <c r="BU107" s="591">
        <v>0</v>
      </c>
      <c r="BV107" s="591">
        <v>0</v>
      </c>
      <c r="BW107" s="591">
        <v>0</v>
      </c>
      <c r="BX107" s="591">
        <v>0</v>
      </c>
      <c r="BY107" s="591">
        <v>0</v>
      </c>
      <c r="BZ107" s="591">
        <v>0</v>
      </c>
      <c r="CA107" s="591">
        <v>0</v>
      </c>
      <c r="CB107" s="591">
        <v>0</v>
      </c>
      <c r="CC107" s="591">
        <v>0</v>
      </c>
      <c r="CD107" s="591">
        <v>0</v>
      </c>
      <c r="CE107" s="591">
        <v>0</v>
      </c>
      <c r="CF107" s="591">
        <v>0</v>
      </c>
      <c r="CG107" s="591">
        <v>0</v>
      </c>
      <c r="CH107" s="591">
        <v>38809</v>
      </c>
      <c r="CI107" s="591">
        <v>0</v>
      </c>
      <c r="CJ107" s="591">
        <v>4</v>
      </c>
      <c r="CK107" s="591">
        <v>0</v>
      </c>
      <c r="CL107" s="591">
        <v>0</v>
      </c>
      <c r="CM107" s="591">
        <v>0</v>
      </c>
      <c r="CN107" s="591">
        <v>0</v>
      </c>
      <c r="CO107" s="591">
        <v>1</v>
      </c>
      <c r="CP107" s="591">
        <v>0</v>
      </c>
      <c r="CQ107" s="591">
        <v>0</v>
      </c>
      <c r="CR107" s="591">
        <v>214.16500000000002</v>
      </c>
      <c r="CS107" s="591">
        <v>0</v>
      </c>
      <c r="CT107" s="591">
        <v>0</v>
      </c>
      <c r="CU107" s="591">
        <v>0</v>
      </c>
      <c r="CV107" s="591">
        <v>0</v>
      </c>
      <c r="CW107" s="591">
        <v>0</v>
      </c>
      <c r="CX107" s="591">
        <v>0</v>
      </c>
      <c r="CY107" s="591">
        <v>0</v>
      </c>
      <c r="CZ107" s="591">
        <v>0</v>
      </c>
      <c r="DA107" s="591">
        <v>0</v>
      </c>
      <c r="DB107" s="591">
        <v>1311399</v>
      </c>
      <c r="DC107" s="591">
        <v>0</v>
      </c>
      <c r="DD107" s="591">
        <v>0</v>
      </c>
      <c r="DE107" s="591">
        <v>362231</v>
      </c>
      <c r="DF107" s="591">
        <v>362231</v>
      </c>
      <c r="DG107" s="591">
        <v>58.813000000000002</v>
      </c>
      <c r="DH107" s="591">
        <v>0</v>
      </c>
      <c r="DI107" s="591">
        <v>0</v>
      </c>
      <c r="DJ107" s="591">
        <v>0</v>
      </c>
      <c r="DK107" s="591">
        <v>3416</v>
      </c>
      <c r="DL107" s="591">
        <v>0</v>
      </c>
      <c r="DM107" s="591">
        <v>31404</v>
      </c>
      <c r="DN107" s="591">
        <v>105</v>
      </c>
      <c r="DO107" s="591">
        <v>0</v>
      </c>
      <c r="DP107" s="591">
        <v>0</v>
      </c>
      <c r="DQ107" s="591">
        <v>0</v>
      </c>
      <c r="DR107" s="591">
        <v>0</v>
      </c>
      <c r="DS107" s="591">
        <v>0</v>
      </c>
      <c r="DT107" s="591">
        <v>0</v>
      </c>
      <c r="DU107" s="591">
        <v>0</v>
      </c>
      <c r="DV107" s="591">
        <v>0</v>
      </c>
      <c r="DW107" s="591">
        <v>0</v>
      </c>
      <c r="DX107" s="591">
        <v>0</v>
      </c>
      <c r="DY107" s="591">
        <v>0</v>
      </c>
      <c r="DZ107" s="591">
        <v>0</v>
      </c>
      <c r="EA107" s="591">
        <v>0</v>
      </c>
      <c r="EB107" s="591">
        <v>0</v>
      </c>
      <c r="EC107" s="591">
        <v>2</v>
      </c>
      <c r="ED107" s="591">
        <v>14166</v>
      </c>
      <c r="EE107" s="591">
        <v>0</v>
      </c>
      <c r="EF107" s="591">
        <v>0</v>
      </c>
      <c r="EG107" s="591">
        <v>0</v>
      </c>
      <c r="EH107" s="591">
        <v>13581</v>
      </c>
      <c r="EI107" s="591">
        <v>0</v>
      </c>
      <c r="EJ107" s="591">
        <v>0</v>
      </c>
      <c r="EK107" s="591">
        <v>0.48</v>
      </c>
      <c r="EL107" s="591">
        <v>0</v>
      </c>
      <c r="EM107" s="591">
        <v>0</v>
      </c>
      <c r="EN107" s="591">
        <v>0.153</v>
      </c>
      <c r="EO107" s="591">
        <v>0</v>
      </c>
      <c r="EP107" s="591">
        <v>0</v>
      </c>
      <c r="EQ107" s="591">
        <v>0.63300000000000001</v>
      </c>
      <c r="ER107" s="591">
        <v>0</v>
      </c>
      <c r="ES107" s="591">
        <v>2.2050000000000001</v>
      </c>
      <c r="ET107" s="591">
        <v>0</v>
      </c>
      <c r="EU107" s="591">
        <v>0</v>
      </c>
      <c r="EV107" s="591">
        <v>0</v>
      </c>
      <c r="EW107" s="591">
        <v>0</v>
      </c>
      <c r="EX107" s="591">
        <v>0</v>
      </c>
      <c r="EY107" s="591">
        <v>0</v>
      </c>
      <c r="EZ107" s="591">
        <v>2012416</v>
      </c>
      <c r="FA107" s="591">
        <v>0</v>
      </c>
      <c r="FB107" s="591">
        <v>2099208</v>
      </c>
      <c r="FC107" s="591">
        <v>0</v>
      </c>
      <c r="FD107" s="591">
        <v>0</v>
      </c>
      <c r="FE107" s="591">
        <v>217454</v>
      </c>
      <c r="FF107" s="591">
        <v>44355</v>
      </c>
      <c r="FG107" s="591">
        <v>6.4728999999999995E-2</v>
      </c>
      <c r="FH107" s="591">
        <v>2.6405999999999999E-2</v>
      </c>
      <c r="FI107" s="591">
        <v>0</v>
      </c>
      <c r="FJ107" s="591">
        <v>0</v>
      </c>
      <c r="FK107" s="591">
        <v>340.85300000000001</v>
      </c>
      <c r="FL107" s="591">
        <v>2399826</v>
      </c>
      <c r="FM107" s="591">
        <v>0</v>
      </c>
      <c r="FN107" s="591">
        <v>0</v>
      </c>
      <c r="FO107" s="591">
        <v>0</v>
      </c>
      <c r="FP107" s="591">
        <v>0</v>
      </c>
      <c r="FQ107" s="591">
        <v>0</v>
      </c>
      <c r="FR107" s="591">
        <v>0</v>
      </c>
      <c r="FS107" s="591">
        <v>0</v>
      </c>
      <c r="FT107" s="591">
        <v>0</v>
      </c>
      <c r="FU107" s="591">
        <v>0</v>
      </c>
      <c r="FV107" s="591">
        <v>0</v>
      </c>
      <c r="FW107" s="591">
        <v>0</v>
      </c>
      <c r="FX107" s="591">
        <v>0</v>
      </c>
      <c r="FY107" s="591">
        <v>0</v>
      </c>
      <c r="FZ107" s="591">
        <v>0</v>
      </c>
      <c r="GA107" s="591">
        <v>0</v>
      </c>
      <c r="GB107" s="591">
        <v>0</v>
      </c>
      <c r="GC107" s="591">
        <v>0</v>
      </c>
      <c r="GD107" s="591">
        <v>0</v>
      </c>
      <c r="GE107" s="591">
        <v>0</v>
      </c>
      <c r="GF107" s="591">
        <v>0</v>
      </c>
      <c r="GG107" s="591">
        <v>0</v>
      </c>
      <c r="GH107" s="591">
        <v>0</v>
      </c>
      <c r="GI107" s="591">
        <v>0</v>
      </c>
      <c r="GJ107" s="591">
        <v>0</v>
      </c>
      <c r="GK107" s="591">
        <v>0</v>
      </c>
      <c r="GL107" s="591">
        <v>0</v>
      </c>
      <c r="GM107" s="591">
        <v>0</v>
      </c>
      <c r="GN107" s="591">
        <v>0</v>
      </c>
      <c r="GO107" s="591">
        <v>0</v>
      </c>
      <c r="GP107" s="591">
        <v>0</v>
      </c>
      <c r="GQ107" s="591">
        <v>0</v>
      </c>
      <c r="GR107" s="591">
        <v>0</v>
      </c>
      <c r="GS107" s="591">
        <v>0</v>
      </c>
      <c r="GT107" s="591">
        <v>0</v>
      </c>
      <c r="GU107" s="591">
        <v>0</v>
      </c>
      <c r="GV107" s="591">
        <v>0</v>
      </c>
      <c r="GW107" s="591">
        <v>0</v>
      </c>
      <c r="GX107" s="591">
        <v>0</v>
      </c>
      <c r="GY107" s="591">
        <v>0</v>
      </c>
      <c r="GZ107" s="591">
        <v>0</v>
      </c>
      <c r="HA107" s="591">
        <v>0</v>
      </c>
      <c r="HB107" s="591">
        <v>260009272</v>
      </c>
      <c r="HC107" s="591">
        <v>5.1774999999999995E-2</v>
      </c>
      <c r="HD107" s="591">
        <v>38809</v>
      </c>
      <c r="HE107" s="591">
        <v>0</v>
      </c>
      <c r="HF107" s="591">
        <v>234672</v>
      </c>
      <c r="HG107" s="591">
        <v>0</v>
      </c>
      <c r="HH107" s="591">
        <v>115791</v>
      </c>
      <c r="HI107" s="591">
        <v>0</v>
      </c>
      <c r="HJ107" s="591">
        <v>2082</v>
      </c>
      <c r="HK107" s="591">
        <v>0</v>
      </c>
      <c r="HL107" s="591">
        <v>0</v>
      </c>
      <c r="HM107" s="591">
        <v>0</v>
      </c>
      <c r="HN107" s="591">
        <v>0</v>
      </c>
      <c r="HO107" s="591">
        <v>0</v>
      </c>
      <c r="HP107" s="591">
        <v>0</v>
      </c>
      <c r="HQ107" s="591">
        <v>0</v>
      </c>
      <c r="HR107" s="591">
        <v>0</v>
      </c>
      <c r="HS107" s="591">
        <v>2012280</v>
      </c>
      <c r="HT107" s="591">
        <v>0</v>
      </c>
      <c r="HU107" s="591">
        <v>0</v>
      </c>
      <c r="HV107" s="591">
        <v>0</v>
      </c>
      <c r="HW107" s="591">
        <v>0</v>
      </c>
      <c r="HX107" s="591">
        <v>28</v>
      </c>
      <c r="HY107" s="591">
        <v>73</v>
      </c>
      <c r="HZ107" s="591">
        <v>58</v>
      </c>
      <c r="IA107" s="591">
        <v>40</v>
      </c>
      <c r="IB107" s="591">
        <v>37</v>
      </c>
      <c r="IC107" s="591">
        <v>226</v>
      </c>
      <c r="ID107" s="591">
        <v>0</v>
      </c>
      <c r="IE107" s="591">
        <v>0</v>
      </c>
      <c r="IF107" s="591">
        <v>0</v>
      </c>
      <c r="IG107" s="591">
        <v>0</v>
      </c>
      <c r="IH107" s="591">
        <v>188</v>
      </c>
      <c r="II107" s="591">
        <v>0</v>
      </c>
      <c r="IJ107" s="591">
        <v>67.64</v>
      </c>
      <c r="IK107" s="591">
        <v>0</v>
      </c>
      <c r="IL107" s="591">
        <v>0</v>
      </c>
      <c r="IM107" s="591">
        <v>0</v>
      </c>
      <c r="IN107" s="591">
        <v>0</v>
      </c>
      <c r="IO107" s="591">
        <v>0</v>
      </c>
      <c r="IP107" s="591">
        <v>0</v>
      </c>
      <c r="IQ107" s="591">
        <v>67.64</v>
      </c>
      <c r="IR107" s="591">
        <v>41660</v>
      </c>
      <c r="IS107" s="591">
        <v>0</v>
      </c>
      <c r="IT107" s="591">
        <v>0</v>
      </c>
      <c r="IU107" s="591">
        <v>0</v>
      </c>
      <c r="IV107" s="591">
        <v>0</v>
      </c>
      <c r="IW107" s="591">
        <v>6159</v>
      </c>
      <c r="IX107" s="591">
        <v>0</v>
      </c>
      <c r="IY107" s="591">
        <v>0</v>
      </c>
      <c r="IZ107" s="591">
        <v>0</v>
      </c>
      <c r="JA107" s="591">
        <v>0</v>
      </c>
      <c r="JB107" s="591">
        <v>0</v>
      </c>
      <c r="JC107" s="591">
        <v>0</v>
      </c>
      <c r="JD107" s="591">
        <v>0</v>
      </c>
      <c r="JE107" s="591">
        <v>0</v>
      </c>
      <c r="JF107" s="591">
        <v>0</v>
      </c>
      <c r="JG107" s="591">
        <v>0</v>
      </c>
      <c r="JH107" s="591">
        <v>0</v>
      </c>
      <c r="JI107" s="591">
        <v>0</v>
      </c>
      <c r="JJ107" s="591">
        <v>0</v>
      </c>
      <c r="JK107" s="591">
        <v>0</v>
      </c>
      <c r="JL107" s="591">
        <v>0</v>
      </c>
      <c r="JM107" s="591">
        <v>0</v>
      </c>
      <c r="JN107" s="591">
        <v>32469</v>
      </c>
    </row>
    <row r="108" spans="1:274" x14ac:dyDescent="0.25">
      <c r="A108" s="591">
        <v>32570</v>
      </c>
      <c r="B108" s="591">
        <v>101853</v>
      </c>
      <c r="C108" s="591">
        <v>9</v>
      </c>
      <c r="D108" s="591">
        <v>2022</v>
      </c>
      <c r="E108" s="591">
        <v>6159</v>
      </c>
      <c r="F108" s="591">
        <v>0</v>
      </c>
      <c r="G108" s="591">
        <v>1099.5320000000002</v>
      </c>
      <c r="H108" s="591">
        <v>1073.6990000000001</v>
      </c>
      <c r="I108" s="591">
        <v>1073.6990000000001</v>
      </c>
      <c r="J108" s="591">
        <v>1099.5320000000002</v>
      </c>
      <c r="K108" s="591">
        <v>0</v>
      </c>
      <c r="L108" s="591">
        <v>6159</v>
      </c>
      <c r="M108" s="591">
        <v>0</v>
      </c>
      <c r="N108" s="591">
        <v>0</v>
      </c>
      <c r="O108" s="591">
        <v>0</v>
      </c>
      <c r="P108" s="591">
        <v>1005.7220000000001</v>
      </c>
      <c r="Q108" s="591">
        <v>0</v>
      </c>
      <c r="R108" s="591">
        <v>404731</v>
      </c>
      <c r="S108" s="591">
        <v>402.428</v>
      </c>
      <c r="T108" s="591">
        <v>0</v>
      </c>
      <c r="U108" s="591">
        <v>0</v>
      </c>
      <c r="V108" s="591">
        <v>568.79700000000003</v>
      </c>
      <c r="W108" s="591">
        <v>350327</v>
      </c>
      <c r="X108" s="591">
        <v>350327</v>
      </c>
      <c r="Y108" s="591">
        <v>0</v>
      </c>
      <c r="Z108" s="591">
        <v>0</v>
      </c>
      <c r="AA108" s="591">
        <v>0</v>
      </c>
      <c r="AB108" s="591">
        <v>0</v>
      </c>
      <c r="AC108" s="591">
        <v>0</v>
      </c>
      <c r="AD108" s="591" t="s">
        <v>316</v>
      </c>
      <c r="AE108" s="591">
        <v>0</v>
      </c>
      <c r="AF108" s="591">
        <v>0</v>
      </c>
      <c r="AG108" s="591">
        <v>0</v>
      </c>
      <c r="AH108" s="591">
        <v>0</v>
      </c>
      <c r="AI108" s="591">
        <v>0</v>
      </c>
      <c r="AJ108" s="591">
        <v>6159</v>
      </c>
      <c r="AK108" s="591" t="s">
        <v>671</v>
      </c>
      <c r="AL108" s="591" t="s">
        <v>99</v>
      </c>
      <c r="AM108" s="591">
        <v>0</v>
      </c>
      <c r="AN108" s="591">
        <v>0</v>
      </c>
      <c r="AO108" s="591">
        <v>0</v>
      </c>
      <c r="AP108" s="591">
        <v>0</v>
      </c>
      <c r="AQ108" s="591">
        <v>0</v>
      </c>
      <c r="AR108" s="591">
        <v>0</v>
      </c>
      <c r="AS108" s="591">
        <v>0</v>
      </c>
      <c r="AT108" s="591">
        <v>0</v>
      </c>
      <c r="AU108" s="591">
        <v>0</v>
      </c>
      <c r="AV108" s="591">
        <v>0</v>
      </c>
      <c r="AW108" s="591">
        <v>13497124</v>
      </c>
      <c r="AX108" s="591">
        <v>13300291</v>
      </c>
      <c r="AY108" s="591">
        <v>0</v>
      </c>
      <c r="AZ108" s="591">
        <v>404731</v>
      </c>
      <c r="BA108" s="591">
        <v>0</v>
      </c>
      <c r="BB108" s="591">
        <v>0</v>
      </c>
      <c r="BC108" s="591">
        <v>0</v>
      </c>
      <c r="BD108" s="591">
        <v>0</v>
      </c>
      <c r="BE108" s="591">
        <v>175</v>
      </c>
      <c r="BF108" s="591">
        <v>12185385</v>
      </c>
      <c r="BG108" s="591">
        <v>0</v>
      </c>
      <c r="BH108" s="591">
        <v>0</v>
      </c>
      <c r="BI108" s="591">
        <v>0</v>
      </c>
      <c r="BJ108" s="591">
        <v>12</v>
      </c>
      <c r="BK108" s="591">
        <v>0</v>
      </c>
      <c r="BL108" s="591">
        <v>0</v>
      </c>
      <c r="BM108" s="591">
        <v>0</v>
      </c>
      <c r="BN108" s="591">
        <v>0</v>
      </c>
      <c r="BO108" s="591">
        <v>0</v>
      </c>
      <c r="BP108" s="591">
        <v>0</v>
      </c>
      <c r="BQ108" s="591">
        <v>605</v>
      </c>
      <c r="BR108" s="591">
        <v>0</v>
      </c>
      <c r="BS108" s="591">
        <v>0</v>
      </c>
      <c r="BT108" s="591">
        <v>0</v>
      </c>
      <c r="BU108" s="591">
        <v>0</v>
      </c>
      <c r="BV108" s="591">
        <v>0</v>
      </c>
      <c r="BW108" s="591">
        <v>0</v>
      </c>
      <c r="BX108" s="591">
        <v>0</v>
      </c>
      <c r="BY108" s="591">
        <v>0</v>
      </c>
      <c r="BZ108" s="591">
        <v>0</v>
      </c>
      <c r="CA108" s="591">
        <v>0</v>
      </c>
      <c r="CB108" s="591">
        <v>0</v>
      </c>
      <c r="CC108" s="591">
        <v>0</v>
      </c>
      <c r="CD108" s="591">
        <v>0</v>
      </c>
      <c r="CE108" s="591">
        <v>0</v>
      </c>
      <c r="CF108" s="591">
        <v>0</v>
      </c>
      <c r="CG108" s="591">
        <v>0</v>
      </c>
      <c r="CH108" s="591">
        <v>199247</v>
      </c>
      <c r="CI108" s="591">
        <v>0</v>
      </c>
      <c r="CJ108" s="591">
        <v>4</v>
      </c>
      <c r="CK108" s="591">
        <v>0</v>
      </c>
      <c r="CL108" s="591">
        <v>0</v>
      </c>
      <c r="CM108" s="591">
        <v>0</v>
      </c>
      <c r="CN108" s="591">
        <v>0</v>
      </c>
      <c r="CO108" s="591">
        <v>1</v>
      </c>
      <c r="CP108" s="591">
        <v>0</v>
      </c>
      <c r="CQ108" s="591">
        <v>0</v>
      </c>
      <c r="CR108" s="591">
        <v>1099.5320000000002</v>
      </c>
      <c r="CS108" s="591">
        <v>0</v>
      </c>
      <c r="CT108" s="591">
        <v>0</v>
      </c>
      <c r="CU108" s="591">
        <v>0</v>
      </c>
      <c r="CV108" s="591">
        <v>0</v>
      </c>
      <c r="CW108" s="591">
        <v>0</v>
      </c>
      <c r="CX108" s="591">
        <v>0</v>
      </c>
      <c r="CY108" s="591">
        <v>0</v>
      </c>
      <c r="CZ108" s="591">
        <v>0</v>
      </c>
      <c r="DA108" s="591">
        <v>0</v>
      </c>
      <c r="DB108" s="591">
        <v>6578006</v>
      </c>
      <c r="DC108" s="591">
        <v>0</v>
      </c>
      <c r="DD108" s="591">
        <v>0</v>
      </c>
      <c r="DE108" s="591">
        <v>3085546</v>
      </c>
      <c r="DF108" s="591">
        <v>3085546</v>
      </c>
      <c r="DG108" s="591">
        <v>500.97500000000002</v>
      </c>
      <c r="DH108" s="591">
        <v>0</v>
      </c>
      <c r="DI108" s="591">
        <v>0</v>
      </c>
      <c r="DJ108" s="591">
        <v>0</v>
      </c>
      <c r="DK108" s="591">
        <v>1297</v>
      </c>
      <c r="DL108" s="591">
        <v>0</v>
      </c>
      <c r="DM108" s="591">
        <v>621854</v>
      </c>
      <c r="DN108" s="591">
        <v>2239</v>
      </c>
      <c r="DO108" s="591">
        <v>0</v>
      </c>
      <c r="DP108" s="591">
        <v>0</v>
      </c>
      <c r="DQ108" s="591">
        <v>0</v>
      </c>
      <c r="DR108" s="591">
        <v>0</v>
      </c>
      <c r="DS108" s="591">
        <v>0</v>
      </c>
      <c r="DT108" s="591">
        <v>0</v>
      </c>
      <c r="DU108" s="591">
        <v>0</v>
      </c>
      <c r="DV108" s="591">
        <v>0</v>
      </c>
      <c r="DW108" s="591">
        <v>0</v>
      </c>
      <c r="DX108" s="591">
        <v>0</v>
      </c>
      <c r="DY108" s="591">
        <v>0</v>
      </c>
      <c r="DZ108" s="591">
        <v>0</v>
      </c>
      <c r="EA108" s="591">
        <v>0</v>
      </c>
      <c r="EB108" s="591">
        <v>0</v>
      </c>
      <c r="EC108" s="591">
        <v>9.1929999999999996</v>
      </c>
      <c r="ED108" s="591">
        <v>65114</v>
      </c>
      <c r="EE108" s="591">
        <v>0</v>
      </c>
      <c r="EF108" s="591">
        <v>0</v>
      </c>
      <c r="EG108" s="591">
        <v>0</v>
      </c>
      <c r="EH108" s="591">
        <v>523984</v>
      </c>
      <c r="EI108" s="591">
        <v>0</v>
      </c>
      <c r="EJ108" s="591">
        <v>0</v>
      </c>
      <c r="EK108" s="591">
        <v>20.71</v>
      </c>
      <c r="EL108" s="591">
        <v>0</v>
      </c>
      <c r="EM108" s="591">
        <v>1.335</v>
      </c>
      <c r="EN108" s="591">
        <v>3.7880000000000003</v>
      </c>
      <c r="EO108" s="591">
        <v>0</v>
      </c>
      <c r="EP108" s="591">
        <v>0</v>
      </c>
      <c r="EQ108" s="591">
        <v>25.833000000000002</v>
      </c>
      <c r="ER108" s="591">
        <v>0</v>
      </c>
      <c r="ES108" s="591">
        <v>85.075000000000003</v>
      </c>
      <c r="ET108" s="591">
        <v>0</v>
      </c>
      <c r="EU108" s="591">
        <v>0</v>
      </c>
      <c r="EV108" s="591">
        <v>0</v>
      </c>
      <c r="EW108" s="591">
        <v>0</v>
      </c>
      <c r="EX108" s="591">
        <v>0</v>
      </c>
      <c r="EY108" s="591">
        <v>0</v>
      </c>
      <c r="EZ108" s="591">
        <v>11780654</v>
      </c>
      <c r="FA108" s="591">
        <v>0</v>
      </c>
      <c r="FB108" s="591">
        <v>12182971</v>
      </c>
      <c r="FC108" s="591">
        <v>0</v>
      </c>
      <c r="FD108" s="591">
        <v>0</v>
      </c>
      <c r="FE108" s="591">
        <v>1262185</v>
      </c>
      <c r="FF108" s="591">
        <v>257452</v>
      </c>
      <c r="FG108" s="591">
        <v>6.4728999999999995E-2</v>
      </c>
      <c r="FH108" s="591">
        <v>2.6405999999999999E-2</v>
      </c>
      <c r="FI108" s="591">
        <v>0</v>
      </c>
      <c r="FJ108" s="591">
        <v>0</v>
      </c>
      <c r="FK108" s="591">
        <v>1978.442</v>
      </c>
      <c r="FL108" s="591">
        <v>13901855</v>
      </c>
      <c r="FM108" s="591">
        <v>0</v>
      </c>
      <c r="FN108" s="591">
        <v>0</v>
      </c>
      <c r="FO108" s="591">
        <v>0</v>
      </c>
      <c r="FP108" s="591">
        <v>0</v>
      </c>
      <c r="FQ108" s="591">
        <v>0</v>
      </c>
      <c r="FR108" s="591">
        <v>0</v>
      </c>
      <c r="FS108" s="591">
        <v>0</v>
      </c>
      <c r="FT108" s="591">
        <v>0</v>
      </c>
      <c r="FU108" s="591">
        <v>0</v>
      </c>
      <c r="FV108" s="591">
        <v>0</v>
      </c>
      <c r="FW108" s="591">
        <v>0</v>
      </c>
      <c r="FX108" s="591">
        <v>0</v>
      </c>
      <c r="FY108" s="591">
        <v>0</v>
      </c>
      <c r="FZ108" s="591">
        <v>0</v>
      </c>
      <c r="GA108" s="591">
        <v>0</v>
      </c>
      <c r="GB108" s="591">
        <v>0</v>
      </c>
      <c r="GC108" s="591">
        <v>0</v>
      </c>
      <c r="GD108" s="591">
        <v>0</v>
      </c>
      <c r="GE108" s="591">
        <v>0</v>
      </c>
      <c r="GF108" s="591">
        <v>0</v>
      </c>
      <c r="GG108" s="591">
        <v>0</v>
      </c>
      <c r="GH108" s="591">
        <v>0</v>
      </c>
      <c r="GI108" s="591">
        <v>0</v>
      </c>
      <c r="GJ108" s="591">
        <v>0</v>
      </c>
      <c r="GK108" s="591">
        <v>0</v>
      </c>
      <c r="GL108" s="591">
        <v>0</v>
      </c>
      <c r="GM108" s="591">
        <v>0</v>
      </c>
      <c r="GN108" s="591">
        <v>0</v>
      </c>
      <c r="GO108" s="591">
        <v>0</v>
      </c>
      <c r="GP108" s="591">
        <v>0</v>
      </c>
      <c r="GQ108" s="591">
        <v>0</v>
      </c>
      <c r="GR108" s="591">
        <v>0</v>
      </c>
      <c r="GS108" s="591">
        <v>0</v>
      </c>
      <c r="GT108" s="591">
        <v>0</v>
      </c>
      <c r="GU108" s="591">
        <v>0</v>
      </c>
      <c r="GV108" s="591">
        <v>0</v>
      </c>
      <c r="GW108" s="591">
        <v>0</v>
      </c>
      <c r="GX108" s="591">
        <v>0</v>
      </c>
      <c r="GY108" s="591">
        <v>0</v>
      </c>
      <c r="GZ108" s="591">
        <v>0</v>
      </c>
      <c r="HA108" s="591">
        <v>0</v>
      </c>
      <c r="HB108" s="591">
        <v>260009272</v>
      </c>
      <c r="HC108" s="591">
        <v>5.1774999999999995E-2</v>
      </c>
      <c r="HD108" s="591">
        <v>199247</v>
      </c>
      <c r="HE108" s="591">
        <v>0</v>
      </c>
      <c r="HF108" s="591">
        <v>1179995</v>
      </c>
      <c r="HG108" s="591">
        <v>0</v>
      </c>
      <c r="HH108" s="591">
        <v>317131</v>
      </c>
      <c r="HI108" s="591">
        <v>0</v>
      </c>
      <c r="HJ108" s="591">
        <v>10687</v>
      </c>
      <c r="HK108" s="591">
        <v>0</v>
      </c>
      <c r="HL108" s="591">
        <v>0</v>
      </c>
      <c r="HM108" s="591">
        <v>0</v>
      </c>
      <c r="HN108" s="591">
        <v>0</v>
      </c>
      <c r="HO108" s="591">
        <v>39600</v>
      </c>
      <c r="HP108" s="591">
        <v>0</v>
      </c>
      <c r="HQ108" s="591">
        <v>0</v>
      </c>
      <c r="HR108" s="591">
        <v>0</v>
      </c>
      <c r="HS108" s="591">
        <v>11778240</v>
      </c>
      <c r="HT108" s="591">
        <v>0</v>
      </c>
      <c r="HU108" s="591">
        <v>0</v>
      </c>
      <c r="HV108" s="591">
        <v>0</v>
      </c>
      <c r="HW108" s="591">
        <v>0</v>
      </c>
      <c r="HX108" s="591">
        <v>65</v>
      </c>
      <c r="HY108" s="591">
        <v>172</v>
      </c>
      <c r="HZ108" s="591">
        <v>288</v>
      </c>
      <c r="IA108" s="591">
        <v>524</v>
      </c>
      <c r="IB108" s="591">
        <v>858</v>
      </c>
      <c r="IC108" s="591">
        <v>1533</v>
      </c>
      <c r="ID108" s="591">
        <v>0</v>
      </c>
      <c r="IE108" s="591">
        <v>0</v>
      </c>
      <c r="IF108" s="591">
        <v>0</v>
      </c>
      <c r="IG108" s="591">
        <v>0</v>
      </c>
      <c r="IH108" s="591">
        <v>514.9</v>
      </c>
      <c r="II108" s="591">
        <v>0</v>
      </c>
      <c r="IJ108" s="591">
        <v>568.79700000000003</v>
      </c>
      <c r="IK108" s="591">
        <v>0</v>
      </c>
      <c r="IL108" s="591">
        <v>0</v>
      </c>
      <c r="IM108" s="591">
        <v>0</v>
      </c>
      <c r="IN108" s="591">
        <v>0</v>
      </c>
      <c r="IO108" s="591">
        <v>0</v>
      </c>
      <c r="IP108" s="591">
        <v>0</v>
      </c>
      <c r="IQ108" s="591">
        <v>568.79700000000003</v>
      </c>
      <c r="IR108" s="591">
        <v>350327</v>
      </c>
      <c r="IS108" s="591">
        <v>0</v>
      </c>
      <c r="IT108" s="591">
        <v>0</v>
      </c>
      <c r="IU108" s="591">
        <v>0</v>
      </c>
      <c r="IV108" s="591">
        <v>0</v>
      </c>
      <c r="IW108" s="591">
        <v>6159</v>
      </c>
      <c r="IX108" s="591">
        <v>0</v>
      </c>
      <c r="IY108" s="591">
        <v>0</v>
      </c>
      <c r="IZ108" s="591">
        <v>0</v>
      </c>
      <c r="JA108" s="591">
        <v>0</v>
      </c>
      <c r="JB108" s="591">
        <v>0</v>
      </c>
      <c r="JC108" s="591">
        <v>0</v>
      </c>
      <c r="JD108" s="591">
        <v>0</v>
      </c>
      <c r="JE108" s="591">
        <v>0</v>
      </c>
      <c r="JF108" s="591">
        <v>0</v>
      </c>
      <c r="JG108" s="591">
        <v>0</v>
      </c>
      <c r="JH108" s="591">
        <v>0</v>
      </c>
      <c r="JI108" s="591">
        <v>0</v>
      </c>
      <c r="JJ108" s="591">
        <v>0</v>
      </c>
      <c r="JK108" s="591">
        <v>0</v>
      </c>
      <c r="JL108" s="591">
        <v>0</v>
      </c>
      <c r="JM108" s="591">
        <v>0</v>
      </c>
      <c r="JN108" s="591">
        <v>32469</v>
      </c>
    </row>
    <row r="109" spans="1:274" x14ac:dyDescent="0.25">
      <c r="A109" s="591">
        <v>32570</v>
      </c>
      <c r="B109" s="591">
        <v>101855</v>
      </c>
      <c r="C109" s="591">
        <v>9</v>
      </c>
      <c r="D109" s="591">
        <v>2022</v>
      </c>
      <c r="E109" s="591">
        <v>6159</v>
      </c>
      <c r="F109" s="591">
        <v>0</v>
      </c>
      <c r="G109" s="591">
        <v>225.05200000000002</v>
      </c>
      <c r="H109" s="591">
        <v>221.77700000000002</v>
      </c>
      <c r="I109" s="591">
        <v>221.77700000000002</v>
      </c>
      <c r="J109" s="591">
        <v>225.05200000000002</v>
      </c>
      <c r="K109" s="591">
        <v>0</v>
      </c>
      <c r="L109" s="591">
        <v>6159</v>
      </c>
      <c r="M109" s="591">
        <v>0</v>
      </c>
      <c r="N109" s="591">
        <v>0</v>
      </c>
      <c r="O109" s="591">
        <v>0</v>
      </c>
      <c r="P109" s="591">
        <v>221.82400000000001</v>
      </c>
      <c r="Q109" s="591">
        <v>0</v>
      </c>
      <c r="R109" s="591">
        <v>89268</v>
      </c>
      <c r="S109" s="591">
        <v>402.428</v>
      </c>
      <c r="T109" s="591">
        <v>0</v>
      </c>
      <c r="U109" s="591">
        <v>0</v>
      </c>
      <c r="V109" s="591">
        <v>0</v>
      </c>
      <c r="W109" s="591">
        <v>0</v>
      </c>
      <c r="X109" s="591">
        <v>0</v>
      </c>
      <c r="Y109" s="591">
        <v>0</v>
      </c>
      <c r="Z109" s="591">
        <v>0</v>
      </c>
      <c r="AA109" s="591">
        <v>0</v>
      </c>
      <c r="AB109" s="591">
        <v>0</v>
      </c>
      <c r="AC109" s="591">
        <v>0</v>
      </c>
      <c r="AD109" s="591" t="s">
        <v>316</v>
      </c>
      <c r="AE109" s="591">
        <v>0</v>
      </c>
      <c r="AF109" s="591">
        <v>0</v>
      </c>
      <c r="AG109" s="591">
        <v>0</v>
      </c>
      <c r="AH109" s="591">
        <v>0</v>
      </c>
      <c r="AI109" s="591">
        <v>0</v>
      </c>
      <c r="AJ109" s="591">
        <v>6159</v>
      </c>
      <c r="AK109" s="591" t="s">
        <v>671</v>
      </c>
      <c r="AL109" s="591" t="s">
        <v>2</v>
      </c>
      <c r="AM109" s="591">
        <v>0</v>
      </c>
      <c r="AN109" s="591">
        <v>0</v>
      </c>
      <c r="AO109" s="591">
        <v>0</v>
      </c>
      <c r="AP109" s="591">
        <v>0</v>
      </c>
      <c r="AQ109" s="591">
        <v>0</v>
      </c>
      <c r="AR109" s="591">
        <v>0</v>
      </c>
      <c r="AS109" s="591">
        <v>0</v>
      </c>
      <c r="AT109" s="591">
        <v>0</v>
      </c>
      <c r="AU109" s="591">
        <v>0</v>
      </c>
      <c r="AV109" s="591">
        <v>0</v>
      </c>
      <c r="AW109" s="591">
        <v>2392130</v>
      </c>
      <c r="AX109" s="591">
        <v>2351690</v>
      </c>
      <c r="AY109" s="591">
        <v>0</v>
      </c>
      <c r="AZ109" s="591">
        <v>89268</v>
      </c>
      <c r="BA109" s="591">
        <v>0</v>
      </c>
      <c r="BB109" s="591">
        <v>0</v>
      </c>
      <c r="BC109" s="591">
        <v>0</v>
      </c>
      <c r="BD109" s="591">
        <v>0</v>
      </c>
      <c r="BE109" s="591">
        <v>31</v>
      </c>
      <c r="BF109" s="591">
        <v>2163102</v>
      </c>
      <c r="BG109" s="591">
        <v>0</v>
      </c>
      <c r="BH109" s="591">
        <v>0</v>
      </c>
      <c r="BI109" s="591">
        <v>0</v>
      </c>
      <c r="BJ109" s="591">
        <v>12</v>
      </c>
      <c r="BK109" s="591">
        <v>0</v>
      </c>
      <c r="BL109" s="591">
        <v>0</v>
      </c>
      <c r="BM109" s="591">
        <v>0</v>
      </c>
      <c r="BN109" s="591">
        <v>0</v>
      </c>
      <c r="BO109" s="591">
        <v>0</v>
      </c>
      <c r="BP109" s="591">
        <v>0</v>
      </c>
      <c r="BQ109" s="591">
        <v>736</v>
      </c>
      <c r="BR109" s="591">
        <v>0</v>
      </c>
      <c r="BS109" s="591">
        <v>0</v>
      </c>
      <c r="BT109" s="591">
        <v>0</v>
      </c>
      <c r="BU109" s="591">
        <v>0</v>
      </c>
      <c r="BV109" s="591">
        <v>0</v>
      </c>
      <c r="BW109" s="591">
        <v>0</v>
      </c>
      <c r="BX109" s="591">
        <v>0</v>
      </c>
      <c r="BY109" s="591">
        <v>0</v>
      </c>
      <c r="BZ109" s="591">
        <v>0</v>
      </c>
      <c r="CA109" s="591">
        <v>0</v>
      </c>
      <c r="CB109" s="591">
        <v>0</v>
      </c>
      <c r="CC109" s="591">
        <v>0</v>
      </c>
      <c r="CD109" s="591">
        <v>0</v>
      </c>
      <c r="CE109" s="591">
        <v>0</v>
      </c>
      <c r="CF109" s="591">
        <v>0</v>
      </c>
      <c r="CG109" s="591">
        <v>0</v>
      </c>
      <c r="CH109" s="591">
        <v>40782</v>
      </c>
      <c r="CI109" s="591">
        <v>0</v>
      </c>
      <c r="CJ109" s="591">
        <v>4</v>
      </c>
      <c r="CK109" s="591">
        <v>0</v>
      </c>
      <c r="CL109" s="591">
        <v>0</v>
      </c>
      <c r="CM109" s="591">
        <v>0</v>
      </c>
      <c r="CN109" s="591">
        <v>0</v>
      </c>
      <c r="CO109" s="591">
        <v>1</v>
      </c>
      <c r="CP109" s="591">
        <v>0</v>
      </c>
      <c r="CQ109" s="591">
        <v>0</v>
      </c>
      <c r="CR109" s="591">
        <v>225.05200000000002</v>
      </c>
      <c r="CS109" s="591">
        <v>0</v>
      </c>
      <c r="CT109" s="591">
        <v>0</v>
      </c>
      <c r="CU109" s="591">
        <v>0</v>
      </c>
      <c r="CV109" s="591">
        <v>0</v>
      </c>
      <c r="CW109" s="591">
        <v>0</v>
      </c>
      <c r="CX109" s="591">
        <v>0</v>
      </c>
      <c r="CY109" s="591">
        <v>0</v>
      </c>
      <c r="CZ109" s="591">
        <v>0</v>
      </c>
      <c r="DA109" s="591">
        <v>0</v>
      </c>
      <c r="DB109" s="591">
        <v>1365943</v>
      </c>
      <c r="DC109" s="591">
        <v>0</v>
      </c>
      <c r="DD109" s="591">
        <v>0</v>
      </c>
      <c r="DE109" s="591">
        <v>386328</v>
      </c>
      <c r="DF109" s="591">
        <v>386328</v>
      </c>
      <c r="DG109" s="591">
        <v>62.725000000000001</v>
      </c>
      <c r="DH109" s="591">
        <v>0</v>
      </c>
      <c r="DI109" s="591">
        <v>0</v>
      </c>
      <c r="DJ109" s="591">
        <v>0</v>
      </c>
      <c r="DK109" s="591">
        <v>3395</v>
      </c>
      <c r="DL109" s="591">
        <v>0</v>
      </c>
      <c r="DM109" s="591">
        <v>81451</v>
      </c>
      <c r="DN109" s="591">
        <v>311</v>
      </c>
      <c r="DO109" s="591">
        <v>0</v>
      </c>
      <c r="DP109" s="591">
        <v>0</v>
      </c>
      <c r="DQ109" s="591">
        <v>0</v>
      </c>
      <c r="DR109" s="591">
        <v>0</v>
      </c>
      <c r="DS109" s="591">
        <v>0</v>
      </c>
      <c r="DT109" s="591">
        <v>0</v>
      </c>
      <c r="DU109" s="591">
        <v>0</v>
      </c>
      <c r="DV109" s="591">
        <v>0</v>
      </c>
      <c r="DW109" s="591">
        <v>0</v>
      </c>
      <c r="DX109" s="591">
        <v>0</v>
      </c>
      <c r="DY109" s="591">
        <v>0</v>
      </c>
      <c r="DZ109" s="591">
        <v>0</v>
      </c>
      <c r="EA109" s="591">
        <v>0</v>
      </c>
      <c r="EB109" s="591">
        <v>0</v>
      </c>
      <c r="EC109" s="591">
        <v>1.9530000000000001</v>
      </c>
      <c r="ED109" s="591">
        <v>13833</v>
      </c>
      <c r="EE109" s="591">
        <v>0</v>
      </c>
      <c r="EF109" s="591">
        <v>0</v>
      </c>
      <c r="EG109" s="591">
        <v>0</v>
      </c>
      <c r="EH109" s="591">
        <v>67929</v>
      </c>
      <c r="EI109" s="591">
        <v>0</v>
      </c>
      <c r="EJ109" s="591">
        <v>0</v>
      </c>
      <c r="EK109" s="591">
        <v>2.673</v>
      </c>
      <c r="EL109" s="591">
        <v>0</v>
      </c>
      <c r="EM109" s="591">
        <v>0</v>
      </c>
      <c r="EN109" s="591">
        <v>0.60199999999999998</v>
      </c>
      <c r="EO109" s="591">
        <v>0</v>
      </c>
      <c r="EP109" s="591">
        <v>0</v>
      </c>
      <c r="EQ109" s="591">
        <v>3.2750000000000004</v>
      </c>
      <c r="ER109" s="591">
        <v>0</v>
      </c>
      <c r="ES109" s="591">
        <v>11.029</v>
      </c>
      <c r="ET109" s="591">
        <v>0</v>
      </c>
      <c r="EU109" s="591">
        <v>0</v>
      </c>
      <c r="EV109" s="591">
        <v>0</v>
      </c>
      <c r="EW109" s="591">
        <v>0</v>
      </c>
      <c r="EX109" s="591">
        <v>0</v>
      </c>
      <c r="EY109" s="591">
        <v>0</v>
      </c>
      <c r="EZ109" s="591">
        <v>2081930</v>
      </c>
      <c r="FA109" s="591">
        <v>0</v>
      </c>
      <c r="FB109" s="591">
        <v>2170856</v>
      </c>
      <c r="FC109" s="591">
        <v>0</v>
      </c>
      <c r="FD109" s="591">
        <v>0</v>
      </c>
      <c r="FE109" s="591">
        <v>224058</v>
      </c>
      <c r="FF109" s="591">
        <v>45702</v>
      </c>
      <c r="FG109" s="591">
        <v>6.4728999999999995E-2</v>
      </c>
      <c r="FH109" s="591">
        <v>2.6405999999999999E-2</v>
      </c>
      <c r="FI109" s="591">
        <v>0</v>
      </c>
      <c r="FJ109" s="591">
        <v>0</v>
      </c>
      <c r="FK109" s="591">
        <v>351.20500000000004</v>
      </c>
      <c r="FL109" s="591">
        <v>2481398</v>
      </c>
      <c r="FM109" s="591">
        <v>0</v>
      </c>
      <c r="FN109" s="591">
        <v>0</v>
      </c>
      <c r="FO109" s="591">
        <v>8096</v>
      </c>
      <c r="FP109" s="591">
        <v>0</v>
      </c>
      <c r="FQ109" s="591">
        <v>8096</v>
      </c>
      <c r="FR109" s="591">
        <v>8096</v>
      </c>
      <c r="FS109" s="591">
        <v>0</v>
      </c>
      <c r="FT109" s="591">
        <v>0</v>
      </c>
      <c r="FU109" s="591">
        <v>0</v>
      </c>
      <c r="FV109" s="591">
        <v>0</v>
      </c>
      <c r="FW109" s="591">
        <v>0</v>
      </c>
      <c r="FX109" s="591">
        <v>0</v>
      </c>
      <c r="FY109" s="591">
        <v>0</v>
      </c>
      <c r="FZ109" s="591">
        <v>0</v>
      </c>
      <c r="GA109" s="591">
        <v>0</v>
      </c>
      <c r="GB109" s="591">
        <v>0</v>
      </c>
      <c r="GC109" s="591">
        <v>0</v>
      </c>
      <c r="GD109" s="591">
        <v>0</v>
      </c>
      <c r="GE109" s="591">
        <v>0</v>
      </c>
      <c r="GF109" s="591">
        <v>0</v>
      </c>
      <c r="GG109" s="591">
        <v>0</v>
      </c>
      <c r="GH109" s="591">
        <v>0</v>
      </c>
      <c r="GI109" s="591">
        <v>0</v>
      </c>
      <c r="GJ109" s="591">
        <v>0</v>
      </c>
      <c r="GK109" s="591">
        <v>0</v>
      </c>
      <c r="GL109" s="591">
        <v>0</v>
      </c>
      <c r="GM109" s="591">
        <v>0</v>
      </c>
      <c r="GN109" s="591">
        <v>0</v>
      </c>
      <c r="GO109" s="591">
        <v>0</v>
      </c>
      <c r="GP109" s="591">
        <v>0</v>
      </c>
      <c r="GQ109" s="591">
        <v>0</v>
      </c>
      <c r="GR109" s="591">
        <v>0</v>
      </c>
      <c r="GS109" s="591">
        <v>0</v>
      </c>
      <c r="GT109" s="591">
        <v>0</v>
      </c>
      <c r="GU109" s="591">
        <v>0</v>
      </c>
      <c r="GV109" s="591">
        <v>0</v>
      </c>
      <c r="GW109" s="591">
        <v>0</v>
      </c>
      <c r="GX109" s="591">
        <v>0</v>
      </c>
      <c r="GY109" s="591">
        <v>0</v>
      </c>
      <c r="GZ109" s="591">
        <v>0</v>
      </c>
      <c r="HA109" s="591">
        <v>0</v>
      </c>
      <c r="HB109" s="591">
        <v>260009272</v>
      </c>
      <c r="HC109" s="591">
        <v>5.1774999999999995E-2</v>
      </c>
      <c r="HD109" s="591">
        <v>40782</v>
      </c>
      <c r="HE109" s="591">
        <v>0</v>
      </c>
      <c r="HF109" s="591">
        <v>243733</v>
      </c>
      <c r="HG109" s="591">
        <v>0</v>
      </c>
      <c r="HH109" s="591">
        <v>83148</v>
      </c>
      <c r="HI109" s="591">
        <v>0</v>
      </c>
      <c r="HJ109" s="591">
        <v>2188</v>
      </c>
      <c r="HK109" s="591">
        <v>0</v>
      </c>
      <c r="HL109" s="591">
        <v>0</v>
      </c>
      <c r="HM109" s="591">
        <v>0</v>
      </c>
      <c r="HN109" s="591">
        <v>0</v>
      </c>
      <c r="HO109" s="591">
        <v>0</v>
      </c>
      <c r="HP109" s="591">
        <v>0</v>
      </c>
      <c r="HQ109" s="591">
        <v>0</v>
      </c>
      <c r="HR109" s="591">
        <v>0</v>
      </c>
      <c r="HS109" s="591">
        <v>2081588</v>
      </c>
      <c r="HT109" s="591">
        <v>0</v>
      </c>
      <c r="HU109" s="591">
        <v>0</v>
      </c>
      <c r="HV109" s="591">
        <v>0</v>
      </c>
      <c r="HW109" s="591">
        <v>0</v>
      </c>
      <c r="HX109" s="591">
        <v>28</v>
      </c>
      <c r="HY109" s="591">
        <v>95</v>
      </c>
      <c r="HZ109" s="591">
        <v>52</v>
      </c>
      <c r="IA109" s="591">
        <v>47</v>
      </c>
      <c r="IB109" s="591">
        <v>31</v>
      </c>
      <c r="IC109" s="591">
        <v>243</v>
      </c>
      <c r="ID109" s="591">
        <v>0</v>
      </c>
      <c r="IE109" s="591">
        <v>0</v>
      </c>
      <c r="IF109" s="591">
        <v>0</v>
      </c>
      <c r="IG109" s="591">
        <v>0</v>
      </c>
      <c r="IH109" s="591">
        <v>135</v>
      </c>
      <c r="II109" s="591">
        <v>0</v>
      </c>
      <c r="IJ109" s="591">
        <v>0</v>
      </c>
      <c r="IK109" s="591">
        <v>0</v>
      </c>
      <c r="IL109" s="591">
        <v>0</v>
      </c>
      <c r="IM109" s="591">
        <v>0</v>
      </c>
      <c r="IN109" s="591">
        <v>0</v>
      </c>
      <c r="IO109" s="591">
        <v>0</v>
      </c>
      <c r="IP109" s="591">
        <v>0</v>
      </c>
      <c r="IQ109" s="591">
        <v>0</v>
      </c>
      <c r="IR109" s="591">
        <v>0</v>
      </c>
      <c r="IS109" s="591">
        <v>0</v>
      </c>
      <c r="IT109" s="591">
        <v>0</v>
      </c>
      <c r="IU109" s="591">
        <v>0</v>
      </c>
      <c r="IV109" s="591">
        <v>0</v>
      </c>
      <c r="IW109" s="591">
        <v>6159</v>
      </c>
      <c r="IX109" s="591">
        <v>0</v>
      </c>
      <c r="IY109" s="591">
        <v>0</v>
      </c>
      <c r="IZ109" s="591">
        <v>0</v>
      </c>
      <c r="JA109" s="591">
        <v>0</v>
      </c>
      <c r="JB109" s="591">
        <v>0</v>
      </c>
      <c r="JC109" s="591">
        <v>0</v>
      </c>
      <c r="JD109" s="591">
        <v>0</v>
      </c>
      <c r="JE109" s="591">
        <v>0</v>
      </c>
      <c r="JF109" s="591">
        <v>0</v>
      </c>
      <c r="JG109" s="591">
        <v>0</v>
      </c>
      <c r="JH109" s="591">
        <v>0</v>
      </c>
      <c r="JI109" s="591">
        <v>0</v>
      </c>
      <c r="JJ109" s="591">
        <v>0</v>
      </c>
      <c r="JK109" s="591">
        <v>0</v>
      </c>
      <c r="JL109" s="591">
        <v>0</v>
      </c>
      <c r="JM109" s="591">
        <v>0</v>
      </c>
      <c r="JN109" s="591">
        <v>32469</v>
      </c>
    </row>
    <row r="110" spans="1:274" x14ac:dyDescent="0.25">
      <c r="A110" s="591">
        <v>32570</v>
      </c>
      <c r="B110" s="591">
        <v>101856</v>
      </c>
      <c r="C110" s="591">
        <v>9</v>
      </c>
      <c r="D110" s="591">
        <v>2022</v>
      </c>
      <c r="E110" s="591">
        <v>6159</v>
      </c>
      <c r="F110" s="591">
        <v>0</v>
      </c>
      <c r="G110" s="591">
        <v>636.47199999999998</v>
      </c>
      <c r="H110" s="591">
        <v>630.78</v>
      </c>
      <c r="I110" s="591">
        <v>630.78</v>
      </c>
      <c r="J110" s="591">
        <v>636.47199999999998</v>
      </c>
      <c r="K110" s="591">
        <v>0</v>
      </c>
      <c r="L110" s="591">
        <v>6159</v>
      </c>
      <c r="M110" s="591">
        <v>0</v>
      </c>
      <c r="N110" s="591">
        <v>0</v>
      </c>
      <c r="O110" s="591">
        <v>0</v>
      </c>
      <c r="P110" s="591">
        <v>632.69500000000005</v>
      </c>
      <c r="Q110" s="591">
        <v>0</v>
      </c>
      <c r="R110" s="591">
        <v>254614</v>
      </c>
      <c r="S110" s="591">
        <v>402.428</v>
      </c>
      <c r="T110" s="591">
        <v>0</v>
      </c>
      <c r="U110" s="591">
        <v>0</v>
      </c>
      <c r="V110" s="591">
        <v>139.30199999999999</v>
      </c>
      <c r="W110" s="591">
        <v>485090</v>
      </c>
      <c r="X110" s="591">
        <v>485090</v>
      </c>
      <c r="Y110" s="591">
        <v>0</v>
      </c>
      <c r="Z110" s="591">
        <v>0</v>
      </c>
      <c r="AA110" s="591">
        <v>0</v>
      </c>
      <c r="AB110" s="591">
        <v>0</v>
      </c>
      <c r="AC110" s="591">
        <v>0</v>
      </c>
      <c r="AD110" s="591" t="s">
        <v>316</v>
      </c>
      <c r="AE110" s="591">
        <v>0</v>
      </c>
      <c r="AF110" s="591">
        <v>0</v>
      </c>
      <c r="AG110" s="591">
        <v>0</v>
      </c>
      <c r="AH110" s="591">
        <v>0</v>
      </c>
      <c r="AI110" s="591">
        <v>0</v>
      </c>
      <c r="AJ110" s="591">
        <v>6159</v>
      </c>
      <c r="AK110" s="591" t="s">
        <v>671</v>
      </c>
      <c r="AL110" s="591" t="s">
        <v>33</v>
      </c>
      <c r="AM110" s="591">
        <v>0</v>
      </c>
      <c r="AN110" s="591">
        <v>0</v>
      </c>
      <c r="AO110" s="591">
        <v>0</v>
      </c>
      <c r="AP110" s="591">
        <v>0</v>
      </c>
      <c r="AQ110" s="591">
        <v>0</v>
      </c>
      <c r="AR110" s="591">
        <v>0</v>
      </c>
      <c r="AS110" s="591">
        <v>0</v>
      </c>
      <c r="AT110" s="591">
        <v>0</v>
      </c>
      <c r="AU110" s="591">
        <v>0</v>
      </c>
      <c r="AV110" s="591">
        <v>0</v>
      </c>
      <c r="AW110" s="591">
        <v>7327778</v>
      </c>
      <c r="AX110" s="591">
        <v>7212984</v>
      </c>
      <c r="AY110" s="591">
        <v>0</v>
      </c>
      <c r="AZ110" s="591">
        <v>254614</v>
      </c>
      <c r="BA110" s="591">
        <v>0</v>
      </c>
      <c r="BB110" s="591">
        <v>0</v>
      </c>
      <c r="BC110" s="591">
        <v>0</v>
      </c>
      <c r="BD110" s="591">
        <v>0</v>
      </c>
      <c r="BE110" s="591">
        <v>96</v>
      </c>
      <c r="BF110" s="591">
        <v>6639577</v>
      </c>
      <c r="BG110" s="591">
        <v>0</v>
      </c>
      <c r="BH110" s="591">
        <v>0</v>
      </c>
      <c r="BI110" s="591">
        <v>0</v>
      </c>
      <c r="BJ110" s="591">
        <v>12</v>
      </c>
      <c r="BK110" s="591">
        <v>0</v>
      </c>
      <c r="BL110" s="591">
        <v>0</v>
      </c>
      <c r="BM110" s="591">
        <v>0</v>
      </c>
      <c r="BN110" s="591">
        <v>0</v>
      </c>
      <c r="BO110" s="591">
        <v>0</v>
      </c>
      <c r="BP110" s="591">
        <v>0</v>
      </c>
      <c r="BQ110" s="591">
        <v>673</v>
      </c>
      <c r="BR110" s="591">
        <v>0</v>
      </c>
      <c r="BS110" s="591">
        <v>0</v>
      </c>
      <c r="BT110" s="591">
        <v>0</v>
      </c>
      <c r="BU110" s="591">
        <v>0</v>
      </c>
      <c r="BV110" s="591">
        <v>0</v>
      </c>
      <c r="BW110" s="591">
        <v>0</v>
      </c>
      <c r="BX110" s="591">
        <v>0</v>
      </c>
      <c r="BY110" s="591">
        <v>0</v>
      </c>
      <c r="BZ110" s="591">
        <v>0</v>
      </c>
      <c r="CA110" s="591">
        <v>0</v>
      </c>
      <c r="CB110" s="591">
        <v>0</v>
      </c>
      <c r="CC110" s="591">
        <v>0</v>
      </c>
      <c r="CD110" s="591">
        <v>0</v>
      </c>
      <c r="CE110" s="591">
        <v>0</v>
      </c>
      <c r="CF110" s="591">
        <v>0</v>
      </c>
      <c r="CG110" s="591">
        <v>0</v>
      </c>
      <c r="CH110" s="591">
        <v>115336</v>
      </c>
      <c r="CI110" s="591">
        <v>0</v>
      </c>
      <c r="CJ110" s="591">
        <v>4</v>
      </c>
      <c r="CK110" s="591">
        <v>0</v>
      </c>
      <c r="CL110" s="591">
        <v>0</v>
      </c>
      <c r="CM110" s="591">
        <v>0</v>
      </c>
      <c r="CN110" s="591">
        <v>0</v>
      </c>
      <c r="CO110" s="591">
        <v>1</v>
      </c>
      <c r="CP110" s="591">
        <v>0</v>
      </c>
      <c r="CQ110" s="591">
        <v>0</v>
      </c>
      <c r="CR110" s="591">
        <v>636.47199999999998</v>
      </c>
      <c r="CS110" s="591">
        <v>0</v>
      </c>
      <c r="CT110" s="591">
        <v>0</v>
      </c>
      <c r="CU110" s="591">
        <v>0</v>
      </c>
      <c r="CV110" s="591">
        <v>0</v>
      </c>
      <c r="CW110" s="591">
        <v>0</v>
      </c>
      <c r="CX110" s="591">
        <v>0</v>
      </c>
      <c r="CY110" s="591">
        <v>0</v>
      </c>
      <c r="CZ110" s="591">
        <v>0</v>
      </c>
      <c r="DA110" s="591">
        <v>0</v>
      </c>
      <c r="DB110" s="591">
        <v>3885026</v>
      </c>
      <c r="DC110" s="591">
        <v>0</v>
      </c>
      <c r="DD110" s="591">
        <v>0</v>
      </c>
      <c r="DE110" s="591">
        <v>1116411</v>
      </c>
      <c r="DF110" s="591">
        <v>1116411</v>
      </c>
      <c r="DG110" s="591">
        <v>181.26300000000001</v>
      </c>
      <c r="DH110" s="591">
        <v>0</v>
      </c>
      <c r="DI110" s="591">
        <v>0</v>
      </c>
      <c r="DJ110" s="591">
        <v>0</v>
      </c>
      <c r="DK110" s="591">
        <v>2388</v>
      </c>
      <c r="DL110" s="591">
        <v>0</v>
      </c>
      <c r="DM110" s="591">
        <v>116904</v>
      </c>
      <c r="DN110" s="591">
        <v>446</v>
      </c>
      <c r="DO110" s="591">
        <v>0</v>
      </c>
      <c r="DP110" s="591">
        <v>0</v>
      </c>
      <c r="DQ110" s="591">
        <v>0</v>
      </c>
      <c r="DR110" s="591">
        <v>0</v>
      </c>
      <c r="DS110" s="591">
        <v>0</v>
      </c>
      <c r="DT110" s="591">
        <v>0</v>
      </c>
      <c r="DU110" s="591">
        <v>0</v>
      </c>
      <c r="DV110" s="591">
        <v>0</v>
      </c>
      <c r="DW110" s="591">
        <v>0</v>
      </c>
      <c r="DX110" s="591">
        <v>0</v>
      </c>
      <c r="DY110" s="591">
        <v>0</v>
      </c>
      <c r="DZ110" s="591">
        <v>0</v>
      </c>
      <c r="EA110" s="591">
        <v>0</v>
      </c>
      <c r="EB110" s="591">
        <v>0</v>
      </c>
      <c r="EC110" s="591">
        <v>0.64800000000000002</v>
      </c>
      <c r="ED110" s="591">
        <v>4590</v>
      </c>
      <c r="EE110" s="591">
        <v>0</v>
      </c>
      <c r="EF110" s="591">
        <v>0</v>
      </c>
      <c r="EG110" s="591">
        <v>0</v>
      </c>
      <c r="EH110" s="591">
        <v>112760</v>
      </c>
      <c r="EI110" s="591">
        <v>0</v>
      </c>
      <c r="EJ110" s="591">
        <v>0</v>
      </c>
      <c r="EK110" s="591">
        <v>5.0760000000000005</v>
      </c>
      <c r="EL110" s="591">
        <v>0</v>
      </c>
      <c r="EM110" s="591">
        <v>0</v>
      </c>
      <c r="EN110" s="591">
        <v>0.61599999999999999</v>
      </c>
      <c r="EO110" s="591">
        <v>0</v>
      </c>
      <c r="EP110" s="591">
        <v>0</v>
      </c>
      <c r="EQ110" s="591">
        <v>5.6920000000000002</v>
      </c>
      <c r="ER110" s="591">
        <v>0</v>
      </c>
      <c r="ES110" s="591">
        <v>18.308</v>
      </c>
      <c r="ET110" s="591">
        <v>0</v>
      </c>
      <c r="EU110" s="591">
        <v>0</v>
      </c>
      <c r="EV110" s="591">
        <v>0</v>
      </c>
      <c r="EW110" s="591">
        <v>0</v>
      </c>
      <c r="EX110" s="591">
        <v>0</v>
      </c>
      <c r="EY110" s="591">
        <v>0</v>
      </c>
      <c r="EZ110" s="591">
        <v>6384963</v>
      </c>
      <c r="FA110" s="591">
        <v>0</v>
      </c>
      <c r="FB110" s="591">
        <v>6639035</v>
      </c>
      <c r="FC110" s="591">
        <v>0</v>
      </c>
      <c r="FD110" s="591">
        <v>0</v>
      </c>
      <c r="FE110" s="591">
        <v>687740</v>
      </c>
      <c r="FF110" s="591">
        <v>140281</v>
      </c>
      <c r="FG110" s="591">
        <v>6.4728999999999995E-2</v>
      </c>
      <c r="FH110" s="591">
        <v>2.6405999999999999E-2</v>
      </c>
      <c r="FI110" s="591">
        <v>0</v>
      </c>
      <c r="FJ110" s="591">
        <v>0</v>
      </c>
      <c r="FK110" s="591">
        <v>1078.0140000000001</v>
      </c>
      <c r="FL110" s="591">
        <v>7582392</v>
      </c>
      <c r="FM110" s="591">
        <v>0</v>
      </c>
      <c r="FN110" s="591">
        <v>0</v>
      </c>
      <c r="FO110" s="591">
        <v>0</v>
      </c>
      <c r="FP110" s="591">
        <v>0</v>
      </c>
      <c r="FQ110" s="591">
        <v>0</v>
      </c>
      <c r="FR110" s="591">
        <v>0</v>
      </c>
      <c r="FS110" s="591">
        <v>0</v>
      </c>
      <c r="FT110" s="591">
        <v>0</v>
      </c>
      <c r="FU110" s="591">
        <v>0</v>
      </c>
      <c r="FV110" s="591">
        <v>0</v>
      </c>
      <c r="FW110" s="591">
        <v>0</v>
      </c>
      <c r="FX110" s="591">
        <v>0</v>
      </c>
      <c r="FY110" s="591">
        <v>0</v>
      </c>
      <c r="FZ110" s="591">
        <v>0</v>
      </c>
      <c r="GA110" s="591">
        <v>0</v>
      </c>
      <c r="GB110" s="591">
        <v>0</v>
      </c>
      <c r="GC110" s="591">
        <v>0</v>
      </c>
      <c r="GD110" s="591">
        <v>0</v>
      </c>
      <c r="GE110" s="591">
        <v>0</v>
      </c>
      <c r="GF110" s="591">
        <v>0</v>
      </c>
      <c r="GG110" s="591">
        <v>0</v>
      </c>
      <c r="GH110" s="591">
        <v>0</v>
      </c>
      <c r="GI110" s="591">
        <v>0</v>
      </c>
      <c r="GJ110" s="591">
        <v>0</v>
      </c>
      <c r="GK110" s="591">
        <v>0</v>
      </c>
      <c r="GL110" s="591">
        <v>0</v>
      </c>
      <c r="GM110" s="591">
        <v>0</v>
      </c>
      <c r="GN110" s="591">
        <v>0</v>
      </c>
      <c r="GO110" s="591">
        <v>0</v>
      </c>
      <c r="GP110" s="591">
        <v>0</v>
      </c>
      <c r="GQ110" s="591">
        <v>0</v>
      </c>
      <c r="GR110" s="591">
        <v>0</v>
      </c>
      <c r="GS110" s="591">
        <v>0</v>
      </c>
      <c r="GT110" s="591">
        <v>0</v>
      </c>
      <c r="GU110" s="591">
        <v>0</v>
      </c>
      <c r="GV110" s="591">
        <v>0</v>
      </c>
      <c r="GW110" s="591">
        <v>0</v>
      </c>
      <c r="GX110" s="591">
        <v>0</v>
      </c>
      <c r="GY110" s="591">
        <v>0</v>
      </c>
      <c r="GZ110" s="591">
        <v>0</v>
      </c>
      <c r="HA110" s="591">
        <v>0</v>
      </c>
      <c r="HB110" s="591">
        <v>260009272</v>
      </c>
      <c r="HC110" s="591">
        <v>5.1774999999999995E-2</v>
      </c>
      <c r="HD110" s="591">
        <v>115336</v>
      </c>
      <c r="HE110" s="591">
        <v>0</v>
      </c>
      <c r="HF110" s="591">
        <v>693227</v>
      </c>
      <c r="HG110" s="591">
        <v>0</v>
      </c>
      <c r="HH110" s="591">
        <v>336286</v>
      </c>
      <c r="HI110" s="591">
        <v>0</v>
      </c>
      <c r="HJ110" s="591">
        <v>6187</v>
      </c>
      <c r="HK110" s="591">
        <v>0</v>
      </c>
      <c r="HL110" s="591">
        <v>0</v>
      </c>
      <c r="HM110" s="591">
        <v>0</v>
      </c>
      <c r="HN110" s="591">
        <v>0</v>
      </c>
      <c r="HO110" s="591">
        <v>0</v>
      </c>
      <c r="HP110" s="591">
        <v>0</v>
      </c>
      <c r="HQ110" s="591">
        <v>0</v>
      </c>
      <c r="HR110" s="591">
        <v>0</v>
      </c>
      <c r="HS110" s="591">
        <v>6384421</v>
      </c>
      <c r="HT110" s="591">
        <v>0</v>
      </c>
      <c r="HU110" s="591">
        <v>0</v>
      </c>
      <c r="HV110" s="591">
        <v>0</v>
      </c>
      <c r="HW110" s="591">
        <v>0</v>
      </c>
      <c r="HX110" s="591">
        <v>95</v>
      </c>
      <c r="HY110" s="591">
        <v>36</v>
      </c>
      <c r="HZ110" s="591">
        <v>85</v>
      </c>
      <c r="IA110" s="591">
        <v>153</v>
      </c>
      <c r="IB110" s="591">
        <v>327</v>
      </c>
      <c r="IC110" s="591">
        <v>696</v>
      </c>
      <c r="ID110" s="591">
        <v>0</v>
      </c>
      <c r="IE110" s="591">
        <v>432.2</v>
      </c>
      <c r="IF110" s="591">
        <v>0</v>
      </c>
      <c r="IG110" s="591">
        <v>0</v>
      </c>
      <c r="IH110" s="591">
        <v>546</v>
      </c>
      <c r="II110" s="591">
        <v>0</v>
      </c>
      <c r="IJ110" s="591">
        <v>571.50200000000007</v>
      </c>
      <c r="IK110" s="591">
        <v>0</v>
      </c>
      <c r="IL110" s="591">
        <v>0</v>
      </c>
      <c r="IM110" s="591">
        <v>0</v>
      </c>
      <c r="IN110" s="591">
        <v>0</v>
      </c>
      <c r="IO110" s="591">
        <v>0</v>
      </c>
      <c r="IP110" s="591">
        <v>0</v>
      </c>
      <c r="IQ110" s="591">
        <v>139.30199999999999</v>
      </c>
      <c r="IR110" s="591">
        <v>85797</v>
      </c>
      <c r="IS110" s="591">
        <v>0</v>
      </c>
      <c r="IT110" s="591">
        <v>0</v>
      </c>
      <c r="IU110" s="591">
        <v>0</v>
      </c>
      <c r="IV110" s="591">
        <v>0</v>
      </c>
      <c r="IW110" s="591">
        <v>6159</v>
      </c>
      <c r="IX110" s="591">
        <v>399293</v>
      </c>
      <c r="IY110" s="591">
        <v>0</v>
      </c>
      <c r="IZ110" s="591">
        <v>0</v>
      </c>
      <c r="JA110" s="591">
        <v>0</v>
      </c>
      <c r="JB110" s="591">
        <v>0</v>
      </c>
      <c r="JC110" s="591">
        <v>0</v>
      </c>
      <c r="JD110" s="591">
        <v>0</v>
      </c>
      <c r="JE110" s="591">
        <v>0</v>
      </c>
      <c r="JF110" s="591">
        <v>0</v>
      </c>
      <c r="JG110" s="591">
        <v>0</v>
      </c>
      <c r="JH110" s="591">
        <v>0</v>
      </c>
      <c r="JI110" s="591">
        <v>0</v>
      </c>
      <c r="JJ110" s="591">
        <v>0</v>
      </c>
      <c r="JK110" s="591">
        <v>0</v>
      </c>
      <c r="JL110" s="591">
        <v>0</v>
      </c>
      <c r="JM110" s="591">
        <v>0</v>
      </c>
      <c r="JN110" s="591">
        <v>32469</v>
      </c>
    </row>
    <row r="111" spans="1:274" x14ac:dyDescent="0.25">
      <c r="A111" s="591">
        <v>32570</v>
      </c>
      <c r="B111" s="591">
        <v>101858</v>
      </c>
      <c r="C111" s="591">
        <v>9</v>
      </c>
      <c r="D111" s="591">
        <v>2022</v>
      </c>
      <c r="E111" s="591">
        <v>6159</v>
      </c>
      <c r="F111" s="591">
        <v>0</v>
      </c>
      <c r="G111" s="591">
        <v>5776.308</v>
      </c>
      <c r="H111" s="591">
        <v>5474.7460000000001</v>
      </c>
      <c r="I111" s="591">
        <v>5474.7460000000001</v>
      </c>
      <c r="J111" s="591">
        <v>5776.308</v>
      </c>
      <c r="K111" s="591">
        <v>0</v>
      </c>
      <c r="L111" s="591">
        <v>6159</v>
      </c>
      <c r="M111" s="591">
        <v>0</v>
      </c>
      <c r="N111" s="591">
        <v>0</v>
      </c>
      <c r="O111" s="591">
        <v>0</v>
      </c>
      <c r="P111" s="591">
        <v>5674.7620000000006</v>
      </c>
      <c r="Q111" s="591">
        <v>0</v>
      </c>
      <c r="R111" s="591">
        <v>2283683</v>
      </c>
      <c r="S111" s="591">
        <v>402.428</v>
      </c>
      <c r="T111" s="591">
        <v>0</v>
      </c>
      <c r="U111" s="591">
        <v>0</v>
      </c>
      <c r="V111" s="591">
        <v>1332.6210000000001</v>
      </c>
      <c r="W111" s="591">
        <v>820772</v>
      </c>
      <c r="X111" s="591">
        <v>820772</v>
      </c>
      <c r="Y111" s="591">
        <v>0</v>
      </c>
      <c r="Z111" s="591">
        <v>0</v>
      </c>
      <c r="AA111" s="591">
        <v>0</v>
      </c>
      <c r="AB111" s="591">
        <v>0</v>
      </c>
      <c r="AC111" s="591">
        <v>0</v>
      </c>
      <c r="AD111" s="591" t="s">
        <v>316</v>
      </c>
      <c r="AE111" s="591">
        <v>0</v>
      </c>
      <c r="AF111" s="591">
        <v>0</v>
      </c>
      <c r="AG111" s="591">
        <v>0</v>
      </c>
      <c r="AH111" s="591">
        <v>0</v>
      </c>
      <c r="AI111" s="591">
        <v>0</v>
      </c>
      <c r="AJ111" s="591">
        <v>6159</v>
      </c>
      <c r="AK111" s="591" t="s">
        <v>671</v>
      </c>
      <c r="AL111" s="591" t="s">
        <v>60</v>
      </c>
      <c r="AM111" s="591">
        <v>0</v>
      </c>
      <c r="AN111" s="591">
        <v>0</v>
      </c>
      <c r="AO111" s="591">
        <v>0</v>
      </c>
      <c r="AP111" s="591">
        <v>0</v>
      </c>
      <c r="AQ111" s="591">
        <v>0</v>
      </c>
      <c r="AR111" s="591">
        <v>0</v>
      </c>
      <c r="AS111" s="591">
        <v>0</v>
      </c>
      <c r="AT111" s="591">
        <v>0</v>
      </c>
      <c r="AU111" s="591">
        <v>0</v>
      </c>
      <c r="AV111" s="591">
        <v>0</v>
      </c>
      <c r="AW111" s="591">
        <v>58188177</v>
      </c>
      <c r="AX111" s="591">
        <v>57154468</v>
      </c>
      <c r="AY111" s="591">
        <v>0</v>
      </c>
      <c r="AZ111" s="591">
        <v>2283683</v>
      </c>
      <c r="BA111" s="591">
        <v>0</v>
      </c>
      <c r="BB111" s="591">
        <v>0</v>
      </c>
      <c r="BC111" s="591">
        <v>0</v>
      </c>
      <c r="BD111" s="591">
        <v>48.743000000000002</v>
      </c>
      <c r="BE111" s="591">
        <v>760</v>
      </c>
      <c r="BF111" s="591">
        <v>52830609</v>
      </c>
      <c r="BG111" s="591">
        <v>0</v>
      </c>
      <c r="BH111" s="591">
        <v>0</v>
      </c>
      <c r="BI111" s="591">
        <v>0</v>
      </c>
      <c r="BJ111" s="591">
        <v>12</v>
      </c>
      <c r="BK111" s="591">
        <v>0</v>
      </c>
      <c r="BL111" s="591">
        <v>0</v>
      </c>
      <c r="BM111" s="591">
        <v>0</v>
      </c>
      <c r="BN111" s="591">
        <v>0</v>
      </c>
      <c r="BO111" s="591">
        <v>0</v>
      </c>
      <c r="BP111" s="591">
        <v>0</v>
      </c>
      <c r="BQ111" s="591">
        <v>0</v>
      </c>
      <c r="BR111" s="591">
        <v>0</v>
      </c>
      <c r="BS111" s="591">
        <v>0</v>
      </c>
      <c r="BT111" s="591">
        <v>0</v>
      </c>
      <c r="BU111" s="591">
        <v>0</v>
      </c>
      <c r="BV111" s="591">
        <v>0</v>
      </c>
      <c r="BW111" s="591">
        <v>0</v>
      </c>
      <c r="BX111" s="591">
        <v>0</v>
      </c>
      <c r="BY111" s="591">
        <v>0</v>
      </c>
      <c r="BZ111" s="591">
        <v>0</v>
      </c>
      <c r="CA111" s="591">
        <v>0</v>
      </c>
      <c r="CB111" s="591">
        <v>0</v>
      </c>
      <c r="CC111" s="591">
        <v>0</v>
      </c>
      <c r="CD111" s="591">
        <v>0</v>
      </c>
      <c r="CE111" s="591">
        <v>0</v>
      </c>
      <c r="CF111" s="591">
        <v>0</v>
      </c>
      <c r="CG111" s="591">
        <v>0</v>
      </c>
      <c r="CH111" s="591">
        <v>1046729</v>
      </c>
      <c r="CI111" s="591">
        <v>0</v>
      </c>
      <c r="CJ111" s="591">
        <v>4</v>
      </c>
      <c r="CK111" s="591">
        <v>0</v>
      </c>
      <c r="CL111" s="591">
        <v>0</v>
      </c>
      <c r="CM111" s="591">
        <v>0</v>
      </c>
      <c r="CN111" s="591">
        <v>0</v>
      </c>
      <c r="CO111" s="591">
        <v>1</v>
      </c>
      <c r="CP111" s="591">
        <v>0</v>
      </c>
      <c r="CQ111" s="591">
        <v>0</v>
      </c>
      <c r="CR111" s="591">
        <v>5776.308</v>
      </c>
      <c r="CS111" s="591">
        <v>0</v>
      </c>
      <c r="CT111" s="591">
        <v>0</v>
      </c>
      <c r="CU111" s="591">
        <v>0</v>
      </c>
      <c r="CV111" s="591">
        <v>0</v>
      </c>
      <c r="CW111" s="591">
        <v>0</v>
      </c>
      <c r="CX111" s="591">
        <v>0</v>
      </c>
      <c r="CY111" s="591">
        <v>0</v>
      </c>
      <c r="CZ111" s="591">
        <v>0</v>
      </c>
      <c r="DA111" s="591">
        <v>0</v>
      </c>
      <c r="DB111" s="591">
        <v>33719412</v>
      </c>
      <c r="DC111" s="591">
        <v>0</v>
      </c>
      <c r="DD111" s="591">
        <v>0</v>
      </c>
      <c r="DE111" s="591">
        <v>6237072</v>
      </c>
      <c r="DF111" s="591">
        <v>6237072</v>
      </c>
      <c r="DG111" s="591">
        <v>1012.663</v>
      </c>
      <c r="DH111" s="591">
        <v>0</v>
      </c>
      <c r="DI111" s="591">
        <v>0</v>
      </c>
      <c r="DJ111" s="591">
        <v>0</v>
      </c>
      <c r="DK111" s="591">
        <v>0</v>
      </c>
      <c r="DL111" s="591">
        <v>0</v>
      </c>
      <c r="DM111" s="591">
        <v>3213209</v>
      </c>
      <c r="DN111" s="591">
        <v>12259</v>
      </c>
      <c r="DO111" s="591">
        <v>0</v>
      </c>
      <c r="DP111" s="591">
        <v>0</v>
      </c>
      <c r="DQ111" s="591">
        <v>0</v>
      </c>
      <c r="DR111" s="591">
        <v>0</v>
      </c>
      <c r="DS111" s="591">
        <v>0</v>
      </c>
      <c r="DT111" s="591">
        <v>0</v>
      </c>
      <c r="DU111" s="591">
        <v>0</v>
      </c>
      <c r="DV111" s="591">
        <v>0</v>
      </c>
      <c r="DW111" s="591">
        <v>0</v>
      </c>
      <c r="DX111" s="591">
        <v>0</v>
      </c>
      <c r="DY111" s="591">
        <v>0</v>
      </c>
      <c r="DZ111" s="591">
        <v>0</v>
      </c>
      <c r="EA111" s="591">
        <v>0</v>
      </c>
      <c r="EB111" s="591">
        <v>0</v>
      </c>
      <c r="EC111" s="591">
        <v>95.947000000000003</v>
      </c>
      <c r="ED111" s="591">
        <v>679587</v>
      </c>
      <c r="EE111" s="591">
        <v>0</v>
      </c>
      <c r="EF111" s="591">
        <v>0</v>
      </c>
      <c r="EG111" s="591">
        <v>0</v>
      </c>
      <c r="EH111" s="591">
        <v>2545881</v>
      </c>
      <c r="EI111" s="591">
        <v>0</v>
      </c>
      <c r="EJ111" s="591">
        <v>0</v>
      </c>
      <c r="EK111" s="591">
        <v>103.81</v>
      </c>
      <c r="EL111" s="591">
        <v>0</v>
      </c>
      <c r="EM111" s="591">
        <v>19.324000000000002</v>
      </c>
      <c r="EN111" s="591">
        <v>8.7260000000000009</v>
      </c>
      <c r="EO111" s="591">
        <v>0</v>
      </c>
      <c r="EP111" s="591">
        <v>0</v>
      </c>
      <c r="EQ111" s="591">
        <v>132</v>
      </c>
      <c r="ER111" s="591">
        <v>0.14000000000000001</v>
      </c>
      <c r="ES111" s="591">
        <v>413.35400000000004</v>
      </c>
      <c r="ET111" s="591">
        <v>0</v>
      </c>
      <c r="EU111" s="591">
        <v>0</v>
      </c>
      <c r="EV111" s="591">
        <v>0</v>
      </c>
      <c r="EW111" s="591">
        <v>0</v>
      </c>
      <c r="EX111" s="591">
        <v>0</v>
      </c>
      <c r="EY111" s="591">
        <v>0</v>
      </c>
      <c r="EZ111" s="591">
        <v>50565975</v>
      </c>
      <c r="FA111" s="591">
        <v>0</v>
      </c>
      <c r="FB111" s="591">
        <v>52836638</v>
      </c>
      <c r="FC111" s="591">
        <v>0</v>
      </c>
      <c r="FD111" s="591">
        <v>0</v>
      </c>
      <c r="FE111" s="591">
        <v>5472291</v>
      </c>
      <c r="FF111" s="591">
        <v>1116202</v>
      </c>
      <c r="FG111" s="591">
        <v>6.4728999999999995E-2</v>
      </c>
      <c r="FH111" s="591">
        <v>2.6405999999999999E-2</v>
      </c>
      <c r="FI111" s="591">
        <v>0</v>
      </c>
      <c r="FJ111" s="591">
        <v>0</v>
      </c>
      <c r="FK111" s="591">
        <v>8577.6750000000011</v>
      </c>
      <c r="FL111" s="591">
        <v>60471860</v>
      </c>
      <c r="FM111" s="591">
        <v>0</v>
      </c>
      <c r="FN111" s="591">
        <v>0</v>
      </c>
      <c r="FO111" s="591">
        <v>0</v>
      </c>
      <c r="FP111" s="591">
        <v>0</v>
      </c>
      <c r="FQ111" s="591">
        <v>0</v>
      </c>
      <c r="FR111" s="591">
        <v>0</v>
      </c>
      <c r="FS111" s="591">
        <v>0</v>
      </c>
      <c r="FT111" s="591">
        <v>0</v>
      </c>
      <c r="FU111" s="591">
        <v>0</v>
      </c>
      <c r="FV111" s="591">
        <v>0</v>
      </c>
      <c r="FW111" s="591">
        <v>0</v>
      </c>
      <c r="FX111" s="591">
        <v>0</v>
      </c>
      <c r="FY111" s="591">
        <v>0</v>
      </c>
      <c r="FZ111" s="591">
        <v>0</v>
      </c>
      <c r="GA111" s="591">
        <v>0</v>
      </c>
      <c r="GB111" s="591">
        <v>1409868</v>
      </c>
      <c r="GC111" s="591">
        <v>1409868</v>
      </c>
      <c r="GD111" s="591">
        <v>169.56200000000001</v>
      </c>
      <c r="GE111" s="591">
        <v>0</v>
      </c>
      <c r="GF111" s="591">
        <v>0</v>
      </c>
      <c r="GG111" s="591">
        <v>0</v>
      </c>
      <c r="GH111" s="591">
        <v>0</v>
      </c>
      <c r="GI111" s="591">
        <v>0</v>
      </c>
      <c r="GJ111" s="591">
        <v>0</v>
      </c>
      <c r="GK111" s="591">
        <v>0</v>
      </c>
      <c r="GL111" s="591">
        <v>0</v>
      </c>
      <c r="GM111" s="591">
        <v>0</v>
      </c>
      <c r="GN111" s="591">
        <v>0</v>
      </c>
      <c r="GO111" s="591">
        <v>0</v>
      </c>
      <c r="GP111" s="591">
        <v>0</v>
      </c>
      <c r="GQ111" s="591">
        <v>0</v>
      </c>
      <c r="GR111" s="591">
        <v>0</v>
      </c>
      <c r="GS111" s="591">
        <v>0</v>
      </c>
      <c r="GT111" s="591">
        <v>0</v>
      </c>
      <c r="GU111" s="591">
        <v>0</v>
      </c>
      <c r="GV111" s="591">
        <v>0</v>
      </c>
      <c r="GW111" s="591">
        <v>0</v>
      </c>
      <c r="GX111" s="591">
        <v>0</v>
      </c>
      <c r="GY111" s="591">
        <v>0</v>
      </c>
      <c r="GZ111" s="591">
        <v>0</v>
      </c>
      <c r="HA111" s="591">
        <v>0</v>
      </c>
      <c r="HB111" s="591">
        <v>260009272</v>
      </c>
      <c r="HC111" s="591">
        <v>5.1774999999999995E-2</v>
      </c>
      <c r="HD111" s="591">
        <v>1046729</v>
      </c>
      <c r="HE111" s="591">
        <v>0</v>
      </c>
      <c r="HF111" s="591">
        <v>6016746</v>
      </c>
      <c r="HG111" s="591">
        <v>58511</v>
      </c>
      <c r="HH111" s="591">
        <v>994614</v>
      </c>
      <c r="HI111" s="591">
        <v>0</v>
      </c>
      <c r="HJ111" s="591">
        <v>56146</v>
      </c>
      <c r="HK111" s="591">
        <v>11086</v>
      </c>
      <c r="HL111" s="591">
        <v>7963</v>
      </c>
      <c r="HM111" s="591">
        <v>292000</v>
      </c>
      <c r="HN111" s="591">
        <v>0</v>
      </c>
      <c r="HO111" s="591">
        <v>0</v>
      </c>
      <c r="HP111" s="591">
        <v>0</v>
      </c>
      <c r="HQ111" s="591">
        <v>0</v>
      </c>
      <c r="HR111" s="591">
        <v>0</v>
      </c>
      <c r="HS111" s="591">
        <v>50552955</v>
      </c>
      <c r="HT111" s="591">
        <v>0</v>
      </c>
      <c r="HU111" s="591">
        <v>0</v>
      </c>
      <c r="HV111" s="591">
        <v>0</v>
      </c>
      <c r="HW111" s="591">
        <v>0</v>
      </c>
      <c r="HX111" s="591">
        <v>761</v>
      </c>
      <c r="HY111" s="591">
        <v>1258</v>
      </c>
      <c r="HZ111" s="591">
        <v>906</v>
      </c>
      <c r="IA111" s="591">
        <v>667</v>
      </c>
      <c r="IB111" s="591">
        <v>513</v>
      </c>
      <c r="IC111" s="591">
        <v>4105</v>
      </c>
      <c r="ID111" s="591">
        <v>0</v>
      </c>
      <c r="IE111" s="591">
        <v>0</v>
      </c>
      <c r="IF111" s="591">
        <v>0</v>
      </c>
      <c r="IG111" s="591">
        <v>95</v>
      </c>
      <c r="IH111" s="591">
        <v>1614.874</v>
      </c>
      <c r="II111" s="591">
        <v>0</v>
      </c>
      <c r="IJ111" s="591">
        <v>1332.6210000000001</v>
      </c>
      <c r="IK111" s="591">
        <v>0</v>
      </c>
      <c r="IL111" s="591">
        <v>30</v>
      </c>
      <c r="IM111" s="591">
        <v>46</v>
      </c>
      <c r="IN111" s="591">
        <v>2</v>
      </c>
      <c r="IO111" s="591">
        <v>78</v>
      </c>
      <c r="IP111" s="591">
        <v>0</v>
      </c>
      <c r="IQ111" s="591">
        <v>1332.6210000000001</v>
      </c>
      <c r="IR111" s="591">
        <v>820772</v>
      </c>
      <c r="IS111" s="591">
        <v>0</v>
      </c>
      <c r="IT111" s="591">
        <v>150000</v>
      </c>
      <c r="IU111" s="591">
        <v>138000</v>
      </c>
      <c r="IV111" s="591">
        <v>4000</v>
      </c>
      <c r="IW111" s="591">
        <v>6159</v>
      </c>
      <c r="IX111" s="591">
        <v>0</v>
      </c>
      <c r="IY111" s="591">
        <v>0</v>
      </c>
      <c r="IZ111" s="591">
        <v>0</v>
      </c>
      <c r="JA111" s="591">
        <v>0</v>
      </c>
      <c r="JB111" s="591">
        <v>0</v>
      </c>
      <c r="JC111" s="591">
        <v>0</v>
      </c>
      <c r="JD111" s="591">
        <v>0</v>
      </c>
      <c r="JE111" s="591">
        <v>0</v>
      </c>
      <c r="JF111" s="591">
        <v>0</v>
      </c>
      <c r="JG111" s="591">
        <v>0</v>
      </c>
      <c r="JH111" s="591">
        <v>0</v>
      </c>
      <c r="JI111" s="591">
        <v>0</v>
      </c>
      <c r="JJ111" s="591">
        <v>0</v>
      </c>
      <c r="JK111" s="591">
        <v>0</v>
      </c>
      <c r="JL111" s="591">
        <v>0</v>
      </c>
      <c r="JM111" s="591">
        <v>0</v>
      </c>
      <c r="JN111" s="591">
        <v>32469</v>
      </c>
    </row>
    <row r="112" spans="1:274" x14ac:dyDescent="0.25">
      <c r="A112" s="591">
        <v>32570</v>
      </c>
      <c r="B112" s="591">
        <v>101859</v>
      </c>
      <c r="C112" s="591">
        <v>9</v>
      </c>
      <c r="D112" s="591">
        <v>2022</v>
      </c>
      <c r="E112" s="591">
        <v>6159</v>
      </c>
      <c r="F112" s="591">
        <v>0</v>
      </c>
      <c r="G112" s="591">
        <v>466.72800000000001</v>
      </c>
      <c r="H112" s="591">
        <v>457.22400000000005</v>
      </c>
      <c r="I112" s="591">
        <v>457.22400000000005</v>
      </c>
      <c r="J112" s="591">
        <v>466.72800000000001</v>
      </c>
      <c r="K112" s="591">
        <v>0</v>
      </c>
      <c r="L112" s="591">
        <v>6159</v>
      </c>
      <c r="M112" s="591">
        <v>0</v>
      </c>
      <c r="N112" s="591">
        <v>0</v>
      </c>
      <c r="O112" s="591">
        <v>0</v>
      </c>
      <c r="P112" s="591">
        <v>483.35300000000001</v>
      </c>
      <c r="Q112" s="591">
        <v>0</v>
      </c>
      <c r="R112" s="591">
        <v>194515</v>
      </c>
      <c r="S112" s="591">
        <v>402.428</v>
      </c>
      <c r="T112" s="591">
        <v>0</v>
      </c>
      <c r="U112" s="591">
        <v>0</v>
      </c>
      <c r="V112" s="591">
        <v>266.36200000000002</v>
      </c>
      <c r="W112" s="591">
        <v>164055</v>
      </c>
      <c r="X112" s="591">
        <v>164055</v>
      </c>
      <c r="Y112" s="591">
        <v>0</v>
      </c>
      <c r="Z112" s="591">
        <v>0</v>
      </c>
      <c r="AA112" s="591">
        <v>0</v>
      </c>
      <c r="AB112" s="591">
        <v>0</v>
      </c>
      <c r="AC112" s="591">
        <v>0</v>
      </c>
      <c r="AD112" s="591" t="s">
        <v>316</v>
      </c>
      <c r="AE112" s="591">
        <v>0</v>
      </c>
      <c r="AF112" s="591">
        <v>0</v>
      </c>
      <c r="AG112" s="591">
        <v>0</v>
      </c>
      <c r="AH112" s="591">
        <v>0</v>
      </c>
      <c r="AI112" s="591">
        <v>0</v>
      </c>
      <c r="AJ112" s="591">
        <v>6159</v>
      </c>
      <c r="AK112" s="591" t="s">
        <v>671</v>
      </c>
      <c r="AL112" s="591" t="s">
        <v>349</v>
      </c>
      <c r="AM112" s="591">
        <v>0</v>
      </c>
      <c r="AN112" s="591">
        <v>0</v>
      </c>
      <c r="AO112" s="591">
        <v>0</v>
      </c>
      <c r="AP112" s="591">
        <v>0</v>
      </c>
      <c r="AQ112" s="591">
        <v>0</v>
      </c>
      <c r="AR112" s="591">
        <v>0</v>
      </c>
      <c r="AS112" s="591">
        <v>0</v>
      </c>
      <c r="AT112" s="591">
        <v>0</v>
      </c>
      <c r="AU112" s="591">
        <v>0</v>
      </c>
      <c r="AV112" s="591">
        <v>0</v>
      </c>
      <c r="AW112" s="591">
        <v>5239828</v>
      </c>
      <c r="AX112" s="591">
        <v>5156277</v>
      </c>
      <c r="AY112" s="591">
        <v>0</v>
      </c>
      <c r="AZ112" s="591">
        <v>194515</v>
      </c>
      <c r="BA112" s="591">
        <v>0</v>
      </c>
      <c r="BB112" s="591">
        <v>0</v>
      </c>
      <c r="BC112" s="591">
        <v>0</v>
      </c>
      <c r="BD112" s="591">
        <v>0</v>
      </c>
      <c r="BE112" s="591">
        <v>68</v>
      </c>
      <c r="BF112" s="591">
        <v>4757487</v>
      </c>
      <c r="BG112" s="591">
        <v>0</v>
      </c>
      <c r="BH112" s="591">
        <v>0</v>
      </c>
      <c r="BI112" s="591">
        <v>0</v>
      </c>
      <c r="BJ112" s="591">
        <v>12</v>
      </c>
      <c r="BK112" s="591">
        <v>0</v>
      </c>
      <c r="BL112" s="591">
        <v>0</v>
      </c>
      <c r="BM112" s="591">
        <v>0</v>
      </c>
      <c r="BN112" s="591">
        <v>0</v>
      </c>
      <c r="BO112" s="591">
        <v>0</v>
      </c>
      <c r="BP112" s="591">
        <v>0</v>
      </c>
      <c r="BQ112" s="591">
        <v>699</v>
      </c>
      <c r="BR112" s="591">
        <v>0</v>
      </c>
      <c r="BS112" s="591">
        <v>0</v>
      </c>
      <c r="BT112" s="591">
        <v>0</v>
      </c>
      <c r="BU112" s="591">
        <v>0</v>
      </c>
      <c r="BV112" s="591">
        <v>0</v>
      </c>
      <c r="BW112" s="591">
        <v>0</v>
      </c>
      <c r="BX112" s="591">
        <v>0</v>
      </c>
      <c r="BY112" s="591">
        <v>0</v>
      </c>
      <c r="BZ112" s="591">
        <v>0</v>
      </c>
      <c r="CA112" s="591">
        <v>0</v>
      </c>
      <c r="CB112" s="591">
        <v>0</v>
      </c>
      <c r="CC112" s="591">
        <v>0</v>
      </c>
      <c r="CD112" s="591">
        <v>0</v>
      </c>
      <c r="CE112" s="591">
        <v>0</v>
      </c>
      <c r="CF112" s="591">
        <v>0</v>
      </c>
      <c r="CG112" s="591">
        <v>0</v>
      </c>
      <c r="CH112" s="591">
        <v>84576</v>
      </c>
      <c r="CI112" s="591">
        <v>0</v>
      </c>
      <c r="CJ112" s="591">
        <v>4</v>
      </c>
      <c r="CK112" s="591">
        <v>0</v>
      </c>
      <c r="CL112" s="591">
        <v>0</v>
      </c>
      <c r="CM112" s="591">
        <v>0</v>
      </c>
      <c r="CN112" s="591">
        <v>0</v>
      </c>
      <c r="CO112" s="591">
        <v>1</v>
      </c>
      <c r="CP112" s="591">
        <v>0</v>
      </c>
      <c r="CQ112" s="591">
        <v>0</v>
      </c>
      <c r="CR112" s="591">
        <v>466.72800000000001</v>
      </c>
      <c r="CS112" s="591">
        <v>0</v>
      </c>
      <c r="CT112" s="591">
        <v>0</v>
      </c>
      <c r="CU112" s="591">
        <v>0</v>
      </c>
      <c r="CV112" s="591">
        <v>0</v>
      </c>
      <c r="CW112" s="591">
        <v>0</v>
      </c>
      <c r="CX112" s="591">
        <v>0</v>
      </c>
      <c r="CY112" s="591">
        <v>0</v>
      </c>
      <c r="CZ112" s="591">
        <v>0</v>
      </c>
      <c r="DA112" s="591">
        <v>0</v>
      </c>
      <c r="DB112" s="591">
        <v>2799975</v>
      </c>
      <c r="DC112" s="591">
        <v>0</v>
      </c>
      <c r="DD112" s="591">
        <v>0</v>
      </c>
      <c r="DE112" s="591">
        <v>795676</v>
      </c>
      <c r="DF112" s="591">
        <v>795676</v>
      </c>
      <c r="DG112" s="591">
        <v>129.18800000000002</v>
      </c>
      <c r="DH112" s="591">
        <v>0</v>
      </c>
      <c r="DI112" s="591">
        <v>0</v>
      </c>
      <c r="DJ112" s="591">
        <v>0</v>
      </c>
      <c r="DK112" s="591">
        <v>2815</v>
      </c>
      <c r="DL112" s="591">
        <v>0</v>
      </c>
      <c r="DM112" s="591">
        <v>266839</v>
      </c>
      <c r="DN112" s="591">
        <v>957</v>
      </c>
      <c r="DO112" s="591">
        <v>0</v>
      </c>
      <c r="DP112" s="591">
        <v>0</v>
      </c>
      <c r="DQ112" s="591">
        <v>0</v>
      </c>
      <c r="DR112" s="591">
        <v>0</v>
      </c>
      <c r="DS112" s="591">
        <v>0</v>
      </c>
      <c r="DT112" s="591">
        <v>0</v>
      </c>
      <c r="DU112" s="591">
        <v>0</v>
      </c>
      <c r="DV112" s="591">
        <v>0</v>
      </c>
      <c r="DW112" s="591">
        <v>0</v>
      </c>
      <c r="DX112" s="591">
        <v>0</v>
      </c>
      <c r="DY112" s="591">
        <v>0</v>
      </c>
      <c r="DZ112" s="591">
        <v>0</v>
      </c>
      <c r="EA112" s="591">
        <v>0</v>
      </c>
      <c r="EB112" s="591">
        <v>0</v>
      </c>
      <c r="EC112" s="591">
        <v>9.3470000000000013</v>
      </c>
      <c r="ED112" s="591">
        <v>66204</v>
      </c>
      <c r="EE112" s="591">
        <v>0</v>
      </c>
      <c r="EF112" s="591">
        <v>0</v>
      </c>
      <c r="EG112" s="591">
        <v>0</v>
      </c>
      <c r="EH112" s="591">
        <v>185487</v>
      </c>
      <c r="EI112" s="591">
        <v>0</v>
      </c>
      <c r="EJ112" s="591">
        <v>0</v>
      </c>
      <c r="EK112" s="591">
        <v>8.702</v>
      </c>
      <c r="EL112" s="591">
        <v>0</v>
      </c>
      <c r="EM112" s="591">
        <v>0</v>
      </c>
      <c r="EN112" s="591">
        <v>0.80200000000000005</v>
      </c>
      <c r="EO112" s="591">
        <v>0</v>
      </c>
      <c r="EP112" s="591">
        <v>0</v>
      </c>
      <c r="EQ112" s="591">
        <v>9.5040000000000013</v>
      </c>
      <c r="ER112" s="591">
        <v>0</v>
      </c>
      <c r="ES112" s="591">
        <v>30.116000000000003</v>
      </c>
      <c r="ET112" s="591">
        <v>0</v>
      </c>
      <c r="EU112" s="591">
        <v>0</v>
      </c>
      <c r="EV112" s="591">
        <v>0</v>
      </c>
      <c r="EW112" s="591">
        <v>0</v>
      </c>
      <c r="EX112" s="591">
        <v>0</v>
      </c>
      <c r="EY112" s="591">
        <v>0</v>
      </c>
      <c r="EZ112" s="591">
        <v>4562972</v>
      </c>
      <c r="FA112" s="591">
        <v>0</v>
      </c>
      <c r="FB112" s="591">
        <v>4756462</v>
      </c>
      <c r="FC112" s="591">
        <v>0</v>
      </c>
      <c r="FD112" s="591">
        <v>0</v>
      </c>
      <c r="FE112" s="591">
        <v>492789</v>
      </c>
      <c r="FF112" s="591">
        <v>100516</v>
      </c>
      <c r="FG112" s="591">
        <v>6.4728999999999995E-2</v>
      </c>
      <c r="FH112" s="591">
        <v>2.6405999999999999E-2</v>
      </c>
      <c r="FI112" s="591">
        <v>0</v>
      </c>
      <c r="FJ112" s="591">
        <v>0</v>
      </c>
      <c r="FK112" s="591">
        <v>772.43400000000008</v>
      </c>
      <c r="FL112" s="591">
        <v>5434343</v>
      </c>
      <c r="FM112" s="591">
        <v>0</v>
      </c>
      <c r="FN112" s="591">
        <v>0</v>
      </c>
      <c r="FO112" s="591">
        <v>0</v>
      </c>
      <c r="FP112" s="591">
        <v>0</v>
      </c>
      <c r="FQ112" s="591">
        <v>0</v>
      </c>
      <c r="FR112" s="591">
        <v>0</v>
      </c>
      <c r="FS112" s="591">
        <v>0</v>
      </c>
      <c r="FT112" s="591">
        <v>0</v>
      </c>
      <c r="FU112" s="591">
        <v>0</v>
      </c>
      <c r="FV112" s="591">
        <v>0</v>
      </c>
      <c r="FW112" s="591">
        <v>0</v>
      </c>
      <c r="FX112" s="591">
        <v>0</v>
      </c>
      <c r="FY112" s="591">
        <v>0</v>
      </c>
      <c r="FZ112" s="591">
        <v>0</v>
      </c>
      <c r="GA112" s="591">
        <v>0</v>
      </c>
      <c r="GB112" s="591">
        <v>0</v>
      </c>
      <c r="GC112" s="591">
        <v>0</v>
      </c>
      <c r="GD112" s="591">
        <v>0</v>
      </c>
      <c r="GE112" s="591">
        <v>0</v>
      </c>
      <c r="GF112" s="591">
        <v>0</v>
      </c>
      <c r="GG112" s="591">
        <v>0</v>
      </c>
      <c r="GH112" s="591">
        <v>0</v>
      </c>
      <c r="GI112" s="591">
        <v>0</v>
      </c>
      <c r="GJ112" s="591">
        <v>0</v>
      </c>
      <c r="GK112" s="591">
        <v>0</v>
      </c>
      <c r="GL112" s="591">
        <v>0</v>
      </c>
      <c r="GM112" s="591">
        <v>0</v>
      </c>
      <c r="GN112" s="591">
        <v>0</v>
      </c>
      <c r="GO112" s="591">
        <v>0</v>
      </c>
      <c r="GP112" s="591">
        <v>0</v>
      </c>
      <c r="GQ112" s="591">
        <v>0</v>
      </c>
      <c r="GR112" s="591">
        <v>0</v>
      </c>
      <c r="GS112" s="591">
        <v>0</v>
      </c>
      <c r="GT112" s="591">
        <v>0</v>
      </c>
      <c r="GU112" s="591">
        <v>0</v>
      </c>
      <c r="GV112" s="591">
        <v>0</v>
      </c>
      <c r="GW112" s="591">
        <v>0</v>
      </c>
      <c r="GX112" s="591">
        <v>0</v>
      </c>
      <c r="GY112" s="591">
        <v>0</v>
      </c>
      <c r="GZ112" s="591">
        <v>0</v>
      </c>
      <c r="HA112" s="591">
        <v>0</v>
      </c>
      <c r="HB112" s="591">
        <v>260009272</v>
      </c>
      <c r="HC112" s="591">
        <v>5.1774999999999995E-2</v>
      </c>
      <c r="HD112" s="591">
        <v>84576</v>
      </c>
      <c r="HE112" s="591">
        <v>0</v>
      </c>
      <c r="HF112" s="591">
        <v>502489</v>
      </c>
      <c r="HG112" s="591">
        <v>0</v>
      </c>
      <c r="HH112" s="591">
        <v>222959</v>
      </c>
      <c r="HI112" s="591">
        <v>0</v>
      </c>
      <c r="HJ112" s="591">
        <v>4537</v>
      </c>
      <c r="HK112" s="591">
        <v>0</v>
      </c>
      <c r="HL112" s="591">
        <v>0</v>
      </c>
      <c r="HM112" s="591">
        <v>0</v>
      </c>
      <c r="HN112" s="591">
        <v>0</v>
      </c>
      <c r="HO112" s="591">
        <v>0</v>
      </c>
      <c r="HP112" s="591">
        <v>0</v>
      </c>
      <c r="HQ112" s="591">
        <v>0</v>
      </c>
      <c r="HR112" s="591">
        <v>0</v>
      </c>
      <c r="HS112" s="591">
        <v>4561947</v>
      </c>
      <c r="HT112" s="591">
        <v>0</v>
      </c>
      <c r="HU112" s="591">
        <v>0</v>
      </c>
      <c r="HV112" s="591">
        <v>0</v>
      </c>
      <c r="HW112" s="591">
        <v>0</v>
      </c>
      <c r="HX112" s="591">
        <v>47</v>
      </c>
      <c r="HY112" s="591">
        <v>57</v>
      </c>
      <c r="HZ112" s="591">
        <v>53</v>
      </c>
      <c r="IA112" s="591">
        <v>134</v>
      </c>
      <c r="IB112" s="591">
        <v>206</v>
      </c>
      <c r="IC112" s="591">
        <v>497</v>
      </c>
      <c r="ID112" s="591">
        <v>0</v>
      </c>
      <c r="IE112" s="591">
        <v>0</v>
      </c>
      <c r="IF112" s="591">
        <v>0</v>
      </c>
      <c r="IG112" s="591">
        <v>0</v>
      </c>
      <c r="IH112" s="591">
        <v>362</v>
      </c>
      <c r="II112" s="591">
        <v>0</v>
      </c>
      <c r="IJ112" s="591">
        <v>266.36200000000002</v>
      </c>
      <c r="IK112" s="591">
        <v>0</v>
      </c>
      <c r="IL112" s="591">
        <v>0</v>
      </c>
      <c r="IM112" s="591">
        <v>0</v>
      </c>
      <c r="IN112" s="591">
        <v>0</v>
      </c>
      <c r="IO112" s="591">
        <v>0</v>
      </c>
      <c r="IP112" s="591">
        <v>0</v>
      </c>
      <c r="IQ112" s="591">
        <v>266.36200000000002</v>
      </c>
      <c r="IR112" s="591">
        <v>164055</v>
      </c>
      <c r="IS112" s="591">
        <v>0</v>
      </c>
      <c r="IT112" s="591">
        <v>0</v>
      </c>
      <c r="IU112" s="591">
        <v>0</v>
      </c>
      <c r="IV112" s="591">
        <v>0</v>
      </c>
      <c r="IW112" s="591">
        <v>6159</v>
      </c>
      <c r="IX112" s="591">
        <v>0</v>
      </c>
      <c r="IY112" s="591">
        <v>0</v>
      </c>
      <c r="IZ112" s="591">
        <v>0</v>
      </c>
      <c r="JA112" s="591">
        <v>0</v>
      </c>
      <c r="JB112" s="591">
        <v>0</v>
      </c>
      <c r="JC112" s="591">
        <v>0</v>
      </c>
      <c r="JD112" s="591">
        <v>0</v>
      </c>
      <c r="JE112" s="591">
        <v>0</v>
      </c>
      <c r="JF112" s="591">
        <v>0</v>
      </c>
      <c r="JG112" s="591">
        <v>0</v>
      </c>
      <c r="JH112" s="591">
        <v>0</v>
      </c>
      <c r="JI112" s="591">
        <v>0</v>
      </c>
      <c r="JJ112" s="591">
        <v>0</v>
      </c>
      <c r="JK112" s="591">
        <v>0</v>
      </c>
      <c r="JL112" s="591">
        <v>0</v>
      </c>
      <c r="JM112" s="591">
        <v>0</v>
      </c>
      <c r="JN112" s="591">
        <v>32469</v>
      </c>
    </row>
    <row r="113" spans="1:274" x14ac:dyDescent="0.25">
      <c r="A113" s="591">
        <v>32570</v>
      </c>
      <c r="B113" s="591">
        <v>101861</v>
      </c>
      <c r="C113" s="591">
        <v>9</v>
      </c>
      <c r="D113" s="591">
        <v>2022</v>
      </c>
      <c r="E113" s="591">
        <v>6159</v>
      </c>
      <c r="F113" s="591">
        <v>0</v>
      </c>
      <c r="G113" s="591">
        <v>637.505</v>
      </c>
      <c r="H113" s="591">
        <v>620.875</v>
      </c>
      <c r="I113" s="591">
        <v>620.875</v>
      </c>
      <c r="J113" s="591">
        <v>637.505</v>
      </c>
      <c r="K113" s="591">
        <v>0</v>
      </c>
      <c r="L113" s="591">
        <v>6159</v>
      </c>
      <c r="M113" s="591">
        <v>0</v>
      </c>
      <c r="N113" s="591">
        <v>0</v>
      </c>
      <c r="O113" s="591">
        <v>0</v>
      </c>
      <c r="P113" s="591">
        <v>601.90300000000002</v>
      </c>
      <c r="Q113" s="591">
        <v>0</v>
      </c>
      <c r="R113" s="591">
        <v>242223</v>
      </c>
      <c r="S113" s="591">
        <v>402.428</v>
      </c>
      <c r="T113" s="591">
        <v>0</v>
      </c>
      <c r="U113" s="591">
        <v>0</v>
      </c>
      <c r="V113" s="591">
        <v>13.381</v>
      </c>
      <c r="W113" s="591">
        <v>8241</v>
      </c>
      <c r="X113" s="591">
        <v>8241</v>
      </c>
      <c r="Y113" s="591">
        <v>0</v>
      </c>
      <c r="Z113" s="591">
        <v>0</v>
      </c>
      <c r="AA113" s="591">
        <v>0</v>
      </c>
      <c r="AB113" s="591">
        <v>0</v>
      </c>
      <c r="AC113" s="591">
        <v>0</v>
      </c>
      <c r="AD113" s="591" t="s">
        <v>316</v>
      </c>
      <c r="AE113" s="591">
        <v>0</v>
      </c>
      <c r="AF113" s="591">
        <v>0</v>
      </c>
      <c r="AG113" s="591">
        <v>0</v>
      </c>
      <c r="AH113" s="591">
        <v>0</v>
      </c>
      <c r="AI113" s="591">
        <v>0</v>
      </c>
      <c r="AJ113" s="591">
        <v>6159</v>
      </c>
      <c r="AK113" s="591" t="s">
        <v>671</v>
      </c>
      <c r="AL113" s="591" t="s">
        <v>796</v>
      </c>
      <c r="AM113" s="591">
        <v>0</v>
      </c>
      <c r="AN113" s="591">
        <v>0</v>
      </c>
      <c r="AO113" s="591">
        <v>0</v>
      </c>
      <c r="AP113" s="591">
        <v>0</v>
      </c>
      <c r="AQ113" s="591">
        <v>0</v>
      </c>
      <c r="AR113" s="591">
        <v>0</v>
      </c>
      <c r="AS113" s="591">
        <v>0</v>
      </c>
      <c r="AT113" s="591">
        <v>0</v>
      </c>
      <c r="AU113" s="591">
        <v>0</v>
      </c>
      <c r="AV113" s="591">
        <v>0</v>
      </c>
      <c r="AW113" s="591">
        <v>7194969</v>
      </c>
      <c r="AX113" s="591">
        <v>7081494</v>
      </c>
      <c r="AY113" s="591">
        <v>0</v>
      </c>
      <c r="AZ113" s="591">
        <v>242223</v>
      </c>
      <c r="BA113" s="591">
        <v>0</v>
      </c>
      <c r="BB113" s="591">
        <v>0</v>
      </c>
      <c r="BC113" s="591">
        <v>0</v>
      </c>
      <c r="BD113" s="591">
        <v>2.8330000000000002</v>
      </c>
      <c r="BE113" s="591">
        <v>94</v>
      </c>
      <c r="BF113" s="591">
        <v>6380550</v>
      </c>
      <c r="BG113" s="591">
        <v>0</v>
      </c>
      <c r="BH113" s="591">
        <v>0</v>
      </c>
      <c r="BI113" s="591">
        <v>0</v>
      </c>
      <c r="BJ113" s="591">
        <v>12</v>
      </c>
      <c r="BK113" s="591">
        <v>0</v>
      </c>
      <c r="BL113" s="591">
        <v>0</v>
      </c>
      <c r="BM113" s="591">
        <v>0</v>
      </c>
      <c r="BN113" s="591">
        <v>0</v>
      </c>
      <c r="BO113" s="591">
        <v>0</v>
      </c>
      <c r="BP113" s="591">
        <v>0</v>
      </c>
      <c r="BQ113" s="591">
        <v>674</v>
      </c>
      <c r="BR113" s="591">
        <v>0</v>
      </c>
      <c r="BS113" s="591">
        <v>0</v>
      </c>
      <c r="BT113" s="591">
        <v>0</v>
      </c>
      <c r="BU113" s="591">
        <v>0</v>
      </c>
      <c r="BV113" s="591">
        <v>0</v>
      </c>
      <c r="BW113" s="591">
        <v>0</v>
      </c>
      <c r="BX113" s="591">
        <v>0</v>
      </c>
      <c r="BY113" s="591">
        <v>0</v>
      </c>
      <c r="BZ113" s="591">
        <v>0</v>
      </c>
      <c r="CA113" s="591">
        <v>0</v>
      </c>
      <c r="CB113" s="591">
        <v>0</v>
      </c>
      <c r="CC113" s="591">
        <v>0</v>
      </c>
      <c r="CD113" s="591">
        <v>0</v>
      </c>
      <c r="CE113" s="591">
        <v>0</v>
      </c>
      <c r="CF113" s="591">
        <v>0</v>
      </c>
      <c r="CG113" s="591">
        <v>0</v>
      </c>
      <c r="CH113" s="591">
        <v>115523</v>
      </c>
      <c r="CI113" s="591">
        <v>0</v>
      </c>
      <c r="CJ113" s="591">
        <v>4</v>
      </c>
      <c r="CK113" s="591">
        <v>0</v>
      </c>
      <c r="CL113" s="591">
        <v>0</v>
      </c>
      <c r="CM113" s="591">
        <v>0</v>
      </c>
      <c r="CN113" s="591">
        <v>0</v>
      </c>
      <c r="CO113" s="591">
        <v>1</v>
      </c>
      <c r="CP113" s="591">
        <v>0</v>
      </c>
      <c r="CQ113" s="591">
        <v>0</v>
      </c>
      <c r="CR113" s="591">
        <v>637.505</v>
      </c>
      <c r="CS113" s="591">
        <v>0</v>
      </c>
      <c r="CT113" s="591">
        <v>0</v>
      </c>
      <c r="CU113" s="591">
        <v>0</v>
      </c>
      <c r="CV113" s="591">
        <v>0</v>
      </c>
      <c r="CW113" s="591">
        <v>0</v>
      </c>
      <c r="CX113" s="591">
        <v>0</v>
      </c>
      <c r="CY113" s="591">
        <v>0</v>
      </c>
      <c r="CZ113" s="591">
        <v>0</v>
      </c>
      <c r="DA113" s="591">
        <v>0</v>
      </c>
      <c r="DB113" s="591">
        <v>3806892</v>
      </c>
      <c r="DC113" s="591">
        <v>0</v>
      </c>
      <c r="DD113" s="591">
        <v>0</v>
      </c>
      <c r="DE113" s="591">
        <v>1112715</v>
      </c>
      <c r="DF113" s="591">
        <v>1112715</v>
      </c>
      <c r="DG113" s="591">
        <v>180.66300000000001</v>
      </c>
      <c r="DH113" s="591">
        <v>0</v>
      </c>
      <c r="DI113" s="591">
        <v>0</v>
      </c>
      <c r="DJ113" s="591">
        <v>0</v>
      </c>
      <c r="DK113" s="591">
        <v>2412</v>
      </c>
      <c r="DL113" s="591">
        <v>0</v>
      </c>
      <c r="DM113" s="591">
        <v>529396</v>
      </c>
      <c r="DN113" s="591">
        <v>1954</v>
      </c>
      <c r="DO113" s="591">
        <v>0</v>
      </c>
      <c r="DP113" s="591">
        <v>0</v>
      </c>
      <c r="DQ113" s="591">
        <v>0</v>
      </c>
      <c r="DR113" s="591">
        <v>0</v>
      </c>
      <c r="DS113" s="591">
        <v>0</v>
      </c>
      <c r="DT113" s="591">
        <v>0</v>
      </c>
      <c r="DU113" s="591">
        <v>0</v>
      </c>
      <c r="DV113" s="591">
        <v>0</v>
      </c>
      <c r="DW113" s="591">
        <v>0</v>
      </c>
      <c r="DX113" s="591">
        <v>0</v>
      </c>
      <c r="DY113" s="591">
        <v>0</v>
      </c>
      <c r="DZ113" s="591">
        <v>0</v>
      </c>
      <c r="EA113" s="591">
        <v>0</v>
      </c>
      <c r="EB113" s="591">
        <v>0</v>
      </c>
      <c r="EC113" s="591">
        <v>27.087</v>
      </c>
      <c r="ED113" s="591">
        <v>191856</v>
      </c>
      <c r="EE113" s="591">
        <v>0</v>
      </c>
      <c r="EF113" s="591">
        <v>0</v>
      </c>
      <c r="EG113" s="591">
        <v>0</v>
      </c>
      <c r="EH113" s="591">
        <v>322366</v>
      </c>
      <c r="EI113" s="591">
        <v>0</v>
      </c>
      <c r="EJ113" s="591">
        <v>0</v>
      </c>
      <c r="EK113" s="591">
        <v>15.405000000000001</v>
      </c>
      <c r="EL113" s="591">
        <v>0</v>
      </c>
      <c r="EM113" s="591">
        <v>0</v>
      </c>
      <c r="EN113" s="591">
        <v>1.2250000000000001</v>
      </c>
      <c r="EO113" s="591">
        <v>0</v>
      </c>
      <c r="EP113" s="591">
        <v>0</v>
      </c>
      <c r="EQ113" s="591">
        <v>16.63</v>
      </c>
      <c r="ER113" s="591">
        <v>0</v>
      </c>
      <c r="ES113" s="591">
        <v>52.34</v>
      </c>
      <c r="ET113" s="591">
        <v>0</v>
      </c>
      <c r="EU113" s="591">
        <v>0</v>
      </c>
      <c r="EV113" s="591">
        <v>0</v>
      </c>
      <c r="EW113" s="591">
        <v>0</v>
      </c>
      <c r="EX113" s="591">
        <v>0</v>
      </c>
      <c r="EY113" s="591">
        <v>0</v>
      </c>
      <c r="EZ113" s="591">
        <v>6285777</v>
      </c>
      <c r="FA113" s="591">
        <v>0</v>
      </c>
      <c r="FB113" s="591">
        <v>6525952</v>
      </c>
      <c r="FC113" s="591">
        <v>0</v>
      </c>
      <c r="FD113" s="591">
        <v>0</v>
      </c>
      <c r="FE113" s="591">
        <v>660909</v>
      </c>
      <c r="FF113" s="591">
        <v>134808</v>
      </c>
      <c r="FG113" s="591">
        <v>6.4728999999999995E-2</v>
      </c>
      <c r="FH113" s="591">
        <v>2.6405999999999999E-2</v>
      </c>
      <c r="FI113" s="591">
        <v>0</v>
      </c>
      <c r="FJ113" s="591">
        <v>0</v>
      </c>
      <c r="FK113" s="591">
        <v>1035.9580000000001</v>
      </c>
      <c r="FL113" s="591">
        <v>7437192</v>
      </c>
      <c r="FM113" s="591">
        <v>0</v>
      </c>
      <c r="FN113" s="591">
        <v>0</v>
      </c>
      <c r="FO113" s="591">
        <v>146502</v>
      </c>
      <c r="FP113" s="591">
        <v>0</v>
      </c>
      <c r="FQ113" s="591">
        <v>146502</v>
      </c>
      <c r="FR113" s="591">
        <v>146502</v>
      </c>
      <c r="FS113" s="591">
        <v>0</v>
      </c>
      <c r="FT113" s="591">
        <v>0</v>
      </c>
      <c r="FU113" s="591">
        <v>0</v>
      </c>
      <c r="FV113" s="591">
        <v>0</v>
      </c>
      <c r="FW113" s="591">
        <v>0</v>
      </c>
      <c r="FX113" s="591">
        <v>0</v>
      </c>
      <c r="FY113" s="591">
        <v>0</v>
      </c>
      <c r="FZ113" s="591">
        <v>0</v>
      </c>
      <c r="GA113" s="591">
        <v>0</v>
      </c>
      <c r="GB113" s="591">
        <v>0</v>
      </c>
      <c r="GC113" s="591">
        <v>0</v>
      </c>
      <c r="GD113" s="591">
        <v>0</v>
      </c>
      <c r="GE113" s="591">
        <v>0</v>
      </c>
      <c r="GF113" s="591">
        <v>0</v>
      </c>
      <c r="GG113" s="591">
        <v>0</v>
      </c>
      <c r="GH113" s="591">
        <v>0</v>
      </c>
      <c r="GI113" s="591">
        <v>0</v>
      </c>
      <c r="GJ113" s="591">
        <v>0</v>
      </c>
      <c r="GK113" s="591">
        <v>0</v>
      </c>
      <c r="GL113" s="591">
        <v>0</v>
      </c>
      <c r="GM113" s="591">
        <v>0</v>
      </c>
      <c r="GN113" s="591">
        <v>0</v>
      </c>
      <c r="GO113" s="591">
        <v>0</v>
      </c>
      <c r="GP113" s="591">
        <v>0</v>
      </c>
      <c r="GQ113" s="591">
        <v>0</v>
      </c>
      <c r="GR113" s="591">
        <v>0</v>
      </c>
      <c r="GS113" s="591">
        <v>0</v>
      </c>
      <c r="GT113" s="591">
        <v>0</v>
      </c>
      <c r="GU113" s="591">
        <v>0</v>
      </c>
      <c r="GV113" s="591">
        <v>0</v>
      </c>
      <c r="GW113" s="591">
        <v>0</v>
      </c>
      <c r="GX113" s="591">
        <v>0</v>
      </c>
      <c r="GY113" s="591">
        <v>0</v>
      </c>
      <c r="GZ113" s="591">
        <v>0</v>
      </c>
      <c r="HA113" s="591">
        <v>0</v>
      </c>
      <c r="HB113" s="591">
        <v>260009272</v>
      </c>
      <c r="HC113" s="591">
        <v>5.1774999999999995E-2</v>
      </c>
      <c r="HD113" s="591">
        <v>115523</v>
      </c>
      <c r="HE113" s="591">
        <v>0</v>
      </c>
      <c r="HF113" s="591">
        <v>682342</v>
      </c>
      <c r="HG113" s="591">
        <v>6775</v>
      </c>
      <c r="HH113" s="591">
        <v>226038</v>
      </c>
      <c r="HI113" s="591">
        <v>0</v>
      </c>
      <c r="HJ113" s="591">
        <v>6197</v>
      </c>
      <c r="HK113" s="591">
        <v>0</v>
      </c>
      <c r="HL113" s="591">
        <v>948</v>
      </c>
      <c r="HM113" s="591">
        <v>0</v>
      </c>
      <c r="HN113" s="591">
        <v>0</v>
      </c>
      <c r="HO113" s="591">
        <v>0</v>
      </c>
      <c r="HP113" s="591">
        <v>0</v>
      </c>
      <c r="HQ113" s="591">
        <v>0</v>
      </c>
      <c r="HR113" s="591">
        <v>0</v>
      </c>
      <c r="HS113" s="591">
        <v>6283729</v>
      </c>
      <c r="HT113" s="591">
        <v>0</v>
      </c>
      <c r="HU113" s="591">
        <v>0</v>
      </c>
      <c r="HV113" s="591">
        <v>0</v>
      </c>
      <c r="HW113" s="591">
        <v>0</v>
      </c>
      <c r="HX113" s="591">
        <v>54</v>
      </c>
      <c r="HY113" s="591">
        <v>142</v>
      </c>
      <c r="HZ113" s="591">
        <v>173</v>
      </c>
      <c r="IA113" s="591">
        <v>135</v>
      </c>
      <c r="IB113" s="591">
        <v>204</v>
      </c>
      <c r="IC113" s="591">
        <v>613</v>
      </c>
      <c r="ID113" s="591">
        <v>0</v>
      </c>
      <c r="IE113" s="591">
        <v>0</v>
      </c>
      <c r="IF113" s="591">
        <v>0</v>
      </c>
      <c r="IG113" s="591">
        <v>11</v>
      </c>
      <c r="IH113" s="591">
        <v>367</v>
      </c>
      <c r="II113" s="591">
        <v>0</v>
      </c>
      <c r="IJ113" s="591">
        <v>13.381</v>
      </c>
      <c r="IK113" s="591">
        <v>0</v>
      </c>
      <c r="IL113" s="591">
        <v>0</v>
      </c>
      <c r="IM113" s="591">
        <v>0</v>
      </c>
      <c r="IN113" s="591">
        <v>0</v>
      </c>
      <c r="IO113" s="591">
        <v>0</v>
      </c>
      <c r="IP113" s="591">
        <v>0</v>
      </c>
      <c r="IQ113" s="591">
        <v>13.381</v>
      </c>
      <c r="IR113" s="591">
        <v>8241</v>
      </c>
      <c r="IS113" s="591">
        <v>0</v>
      </c>
      <c r="IT113" s="591">
        <v>0</v>
      </c>
      <c r="IU113" s="591">
        <v>0</v>
      </c>
      <c r="IV113" s="591">
        <v>0</v>
      </c>
      <c r="IW113" s="591">
        <v>6159</v>
      </c>
      <c r="IX113" s="591">
        <v>0</v>
      </c>
      <c r="IY113" s="591">
        <v>0</v>
      </c>
      <c r="IZ113" s="591">
        <v>0</v>
      </c>
      <c r="JA113" s="591">
        <v>0</v>
      </c>
      <c r="JB113" s="591">
        <v>0</v>
      </c>
      <c r="JC113" s="591">
        <v>0</v>
      </c>
      <c r="JD113" s="591">
        <v>0</v>
      </c>
      <c r="JE113" s="591">
        <v>0</v>
      </c>
      <c r="JF113" s="591">
        <v>0</v>
      </c>
      <c r="JG113" s="591">
        <v>0</v>
      </c>
      <c r="JH113" s="591">
        <v>0</v>
      </c>
      <c r="JI113" s="591">
        <v>0</v>
      </c>
      <c r="JJ113" s="591">
        <v>0</v>
      </c>
      <c r="JK113" s="591">
        <v>0</v>
      </c>
      <c r="JL113" s="591">
        <v>0</v>
      </c>
      <c r="JM113" s="591">
        <v>0</v>
      </c>
      <c r="JN113" s="591">
        <v>32469</v>
      </c>
    </row>
    <row r="114" spans="1:274" x14ac:dyDescent="0.25">
      <c r="A114" s="591">
        <v>32570</v>
      </c>
      <c r="B114" s="591">
        <v>101862</v>
      </c>
      <c r="C114" s="591">
        <v>9</v>
      </c>
      <c r="D114" s="591">
        <v>2022</v>
      </c>
      <c r="E114" s="591">
        <v>6159</v>
      </c>
      <c r="F114" s="591">
        <v>0</v>
      </c>
      <c r="G114" s="591">
        <v>3901.7630000000004</v>
      </c>
      <c r="H114" s="591">
        <v>3570.5350000000003</v>
      </c>
      <c r="I114" s="591">
        <v>3570.5350000000003</v>
      </c>
      <c r="J114" s="591">
        <v>3901.7630000000004</v>
      </c>
      <c r="K114" s="591">
        <v>0</v>
      </c>
      <c r="L114" s="591">
        <v>6159</v>
      </c>
      <c r="M114" s="591">
        <v>0</v>
      </c>
      <c r="N114" s="591">
        <v>0</v>
      </c>
      <c r="O114" s="591">
        <v>0</v>
      </c>
      <c r="P114" s="591">
        <v>3816.607</v>
      </c>
      <c r="Q114" s="591">
        <v>0</v>
      </c>
      <c r="R114" s="591">
        <v>1535910</v>
      </c>
      <c r="S114" s="591">
        <v>402.428</v>
      </c>
      <c r="T114" s="591">
        <v>0</v>
      </c>
      <c r="U114" s="591">
        <v>0</v>
      </c>
      <c r="V114" s="591">
        <v>778.90700000000004</v>
      </c>
      <c r="W114" s="591">
        <v>479735</v>
      </c>
      <c r="X114" s="591">
        <v>479735</v>
      </c>
      <c r="Y114" s="591">
        <v>0</v>
      </c>
      <c r="Z114" s="591">
        <v>0</v>
      </c>
      <c r="AA114" s="591">
        <v>0</v>
      </c>
      <c r="AB114" s="591">
        <v>0</v>
      </c>
      <c r="AC114" s="591">
        <v>0</v>
      </c>
      <c r="AD114" s="591" t="s">
        <v>316</v>
      </c>
      <c r="AE114" s="591">
        <v>0</v>
      </c>
      <c r="AF114" s="591">
        <v>0</v>
      </c>
      <c r="AG114" s="591">
        <v>0</v>
      </c>
      <c r="AH114" s="591">
        <v>0</v>
      </c>
      <c r="AI114" s="591">
        <v>0</v>
      </c>
      <c r="AJ114" s="591">
        <v>6159</v>
      </c>
      <c r="AK114" s="591" t="s">
        <v>671</v>
      </c>
      <c r="AL114" s="591" t="s">
        <v>351</v>
      </c>
      <c r="AM114" s="591">
        <v>0</v>
      </c>
      <c r="AN114" s="591">
        <v>0</v>
      </c>
      <c r="AO114" s="591">
        <v>0</v>
      </c>
      <c r="AP114" s="591">
        <v>0</v>
      </c>
      <c r="AQ114" s="591">
        <v>0</v>
      </c>
      <c r="AR114" s="591">
        <v>0</v>
      </c>
      <c r="AS114" s="591">
        <v>0</v>
      </c>
      <c r="AT114" s="591">
        <v>0</v>
      </c>
      <c r="AU114" s="591">
        <v>0</v>
      </c>
      <c r="AV114" s="591">
        <v>0</v>
      </c>
      <c r="AW114" s="591">
        <v>38423711</v>
      </c>
      <c r="AX114" s="591">
        <v>37724497</v>
      </c>
      <c r="AY114" s="591">
        <v>0</v>
      </c>
      <c r="AZ114" s="591">
        <v>1535910</v>
      </c>
      <c r="BA114" s="591">
        <v>0</v>
      </c>
      <c r="BB114" s="591">
        <v>0</v>
      </c>
      <c r="BC114" s="591">
        <v>0</v>
      </c>
      <c r="BD114" s="591">
        <v>32</v>
      </c>
      <c r="BE114" s="591">
        <v>502</v>
      </c>
      <c r="BF114" s="591">
        <v>34884273</v>
      </c>
      <c r="BG114" s="591">
        <v>0</v>
      </c>
      <c r="BH114" s="591">
        <v>0</v>
      </c>
      <c r="BI114" s="591">
        <v>0</v>
      </c>
      <c r="BJ114" s="591">
        <v>12</v>
      </c>
      <c r="BK114" s="591">
        <v>0</v>
      </c>
      <c r="BL114" s="591">
        <v>0</v>
      </c>
      <c r="BM114" s="591">
        <v>0</v>
      </c>
      <c r="BN114" s="591">
        <v>0</v>
      </c>
      <c r="BO114" s="591">
        <v>0</v>
      </c>
      <c r="BP114" s="591">
        <v>0</v>
      </c>
      <c r="BQ114" s="591">
        <v>220</v>
      </c>
      <c r="BR114" s="591">
        <v>0</v>
      </c>
      <c r="BS114" s="591">
        <v>0</v>
      </c>
      <c r="BT114" s="591">
        <v>0</v>
      </c>
      <c r="BU114" s="591">
        <v>0</v>
      </c>
      <c r="BV114" s="591">
        <v>0</v>
      </c>
      <c r="BW114" s="591">
        <v>0</v>
      </c>
      <c r="BX114" s="591">
        <v>0</v>
      </c>
      <c r="BY114" s="591">
        <v>0</v>
      </c>
      <c r="BZ114" s="591">
        <v>0</v>
      </c>
      <c r="CA114" s="591">
        <v>0</v>
      </c>
      <c r="CB114" s="591">
        <v>0</v>
      </c>
      <c r="CC114" s="591">
        <v>0</v>
      </c>
      <c r="CD114" s="591">
        <v>0</v>
      </c>
      <c r="CE114" s="591">
        <v>0</v>
      </c>
      <c r="CF114" s="591">
        <v>0</v>
      </c>
      <c r="CG114" s="591">
        <v>0</v>
      </c>
      <c r="CH114" s="591">
        <v>707042</v>
      </c>
      <c r="CI114" s="591">
        <v>0</v>
      </c>
      <c r="CJ114" s="591">
        <v>4</v>
      </c>
      <c r="CK114" s="591">
        <v>0</v>
      </c>
      <c r="CL114" s="591">
        <v>0</v>
      </c>
      <c r="CM114" s="591">
        <v>0</v>
      </c>
      <c r="CN114" s="591">
        <v>0</v>
      </c>
      <c r="CO114" s="591">
        <v>1</v>
      </c>
      <c r="CP114" s="591">
        <v>0</v>
      </c>
      <c r="CQ114" s="591">
        <v>0</v>
      </c>
      <c r="CR114" s="591">
        <v>3901.7630000000004</v>
      </c>
      <c r="CS114" s="591">
        <v>0</v>
      </c>
      <c r="CT114" s="591">
        <v>0</v>
      </c>
      <c r="CU114" s="591">
        <v>0</v>
      </c>
      <c r="CV114" s="591">
        <v>0</v>
      </c>
      <c r="CW114" s="591">
        <v>0</v>
      </c>
      <c r="CX114" s="591">
        <v>0</v>
      </c>
      <c r="CY114" s="591">
        <v>0</v>
      </c>
      <c r="CZ114" s="591">
        <v>0</v>
      </c>
      <c r="DA114" s="591">
        <v>0</v>
      </c>
      <c r="DB114" s="591">
        <v>21991219</v>
      </c>
      <c r="DC114" s="591">
        <v>0</v>
      </c>
      <c r="DD114" s="591">
        <v>0</v>
      </c>
      <c r="DE114" s="591">
        <v>3209036</v>
      </c>
      <c r="DF114" s="591">
        <v>3209036</v>
      </c>
      <c r="DG114" s="591">
        <v>521.02499999999998</v>
      </c>
      <c r="DH114" s="591">
        <v>0</v>
      </c>
      <c r="DI114" s="591">
        <v>0</v>
      </c>
      <c r="DJ114" s="591">
        <v>0</v>
      </c>
      <c r="DK114" s="591">
        <v>0</v>
      </c>
      <c r="DL114" s="591">
        <v>0</v>
      </c>
      <c r="DM114" s="591">
        <v>1920053</v>
      </c>
      <c r="DN114" s="591">
        <v>7326</v>
      </c>
      <c r="DO114" s="591">
        <v>0</v>
      </c>
      <c r="DP114" s="591">
        <v>0</v>
      </c>
      <c r="DQ114" s="591">
        <v>0</v>
      </c>
      <c r="DR114" s="591">
        <v>0</v>
      </c>
      <c r="DS114" s="591">
        <v>0</v>
      </c>
      <c r="DT114" s="591">
        <v>0</v>
      </c>
      <c r="DU114" s="591">
        <v>0</v>
      </c>
      <c r="DV114" s="591">
        <v>0</v>
      </c>
      <c r="DW114" s="591">
        <v>0</v>
      </c>
      <c r="DX114" s="591">
        <v>0</v>
      </c>
      <c r="DY114" s="591">
        <v>0</v>
      </c>
      <c r="DZ114" s="591">
        <v>0</v>
      </c>
      <c r="EA114" s="591">
        <v>8.4000000000000005E-2</v>
      </c>
      <c r="EB114" s="591">
        <v>0</v>
      </c>
      <c r="EC114" s="591">
        <v>48.605000000000004</v>
      </c>
      <c r="ED114" s="591">
        <v>344267</v>
      </c>
      <c r="EE114" s="591">
        <v>14763</v>
      </c>
      <c r="EF114" s="591">
        <v>1.41</v>
      </c>
      <c r="EG114" s="591">
        <v>0</v>
      </c>
      <c r="EH114" s="591">
        <v>1568349</v>
      </c>
      <c r="EI114" s="591">
        <v>0</v>
      </c>
      <c r="EJ114" s="591">
        <v>0</v>
      </c>
      <c r="EK114" s="591">
        <v>70.521000000000001</v>
      </c>
      <c r="EL114" s="591">
        <v>0</v>
      </c>
      <c r="EM114" s="591">
        <v>5.7090000000000005</v>
      </c>
      <c r="EN114" s="591">
        <v>5.1059999999999999</v>
      </c>
      <c r="EO114" s="591">
        <v>0</v>
      </c>
      <c r="EP114" s="591">
        <v>0</v>
      </c>
      <c r="EQ114" s="591">
        <v>81.42</v>
      </c>
      <c r="ER114" s="591">
        <v>0</v>
      </c>
      <c r="ES114" s="591">
        <v>254.64000000000001</v>
      </c>
      <c r="ET114" s="591">
        <v>0</v>
      </c>
      <c r="EU114" s="591">
        <v>0</v>
      </c>
      <c r="EV114" s="591">
        <v>0</v>
      </c>
      <c r="EW114" s="591">
        <v>0</v>
      </c>
      <c r="EX114" s="591">
        <v>0</v>
      </c>
      <c r="EY114" s="591">
        <v>0</v>
      </c>
      <c r="EZ114" s="591">
        <v>33374087</v>
      </c>
      <c r="FA114" s="591">
        <v>0</v>
      </c>
      <c r="FB114" s="591">
        <v>34902169</v>
      </c>
      <c r="FC114" s="591">
        <v>0</v>
      </c>
      <c r="FD114" s="591">
        <v>0</v>
      </c>
      <c r="FE114" s="591">
        <v>3613377</v>
      </c>
      <c r="FF114" s="591">
        <v>737033</v>
      </c>
      <c r="FG114" s="591">
        <v>6.4728999999999995E-2</v>
      </c>
      <c r="FH114" s="591">
        <v>2.6405999999999999E-2</v>
      </c>
      <c r="FI114" s="591">
        <v>0</v>
      </c>
      <c r="FJ114" s="591">
        <v>0</v>
      </c>
      <c r="FK114" s="591">
        <v>5663.875</v>
      </c>
      <c r="FL114" s="591">
        <v>39959621</v>
      </c>
      <c r="FM114" s="591">
        <v>0</v>
      </c>
      <c r="FN114" s="591">
        <v>0</v>
      </c>
      <c r="FO114" s="591">
        <v>0</v>
      </c>
      <c r="FP114" s="591">
        <v>0</v>
      </c>
      <c r="FQ114" s="591">
        <v>0</v>
      </c>
      <c r="FR114" s="591">
        <v>0</v>
      </c>
      <c r="FS114" s="591">
        <v>0</v>
      </c>
      <c r="FT114" s="591">
        <v>0</v>
      </c>
      <c r="FU114" s="591">
        <v>0</v>
      </c>
      <c r="FV114" s="591">
        <v>0</v>
      </c>
      <c r="FW114" s="591">
        <v>0</v>
      </c>
      <c r="FX114" s="591">
        <v>0</v>
      </c>
      <c r="FY114" s="591">
        <v>0</v>
      </c>
      <c r="FZ114" s="591">
        <v>0</v>
      </c>
      <c r="GA114" s="591">
        <v>0</v>
      </c>
      <c r="GB114" s="591">
        <v>2077094</v>
      </c>
      <c r="GC114" s="591">
        <v>2077094</v>
      </c>
      <c r="GD114" s="591">
        <v>249.80800000000002</v>
      </c>
      <c r="GE114" s="591">
        <v>0</v>
      </c>
      <c r="GF114" s="591">
        <v>0</v>
      </c>
      <c r="GG114" s="591">
        <v>0</v>
      </c>
      <c r="GH114" s="591">
        <v>0</v>
      </c>
      <c r="GI114" s="591">
        <v>0</v>
      </c>
      <c r="GJ114" s="591">
        <v>0</v>
      </c>
      <c r="GK114" s="591">
        <v>0</v>
      </c>
      <c r="GL114" s="591">
        <v>0</v>
      </c>
      <c r="GM114" s="591">
        <v>0</v>
      </c>
      <c r="GN114" s="591">
        <v>0</v>
      </c>
      <c r="GO114" s="591">
        <v>0</v>
      </c>
      <c r="GP114" s="591">
        <v>0</v>
      </c>
      <c r="GQ114" s="591">
        <v>0</v>
      </c>
      <c r="GR114" s="591">
        <v>0</v>
      </c>
      <c r="GS114" s="591">
        <v>0</v>
      </c>
      <c r="GT114" s="591">
        <v>0</v>
      </c>
      <c r="GU114" s="591">
        <v>0</v>
      </c>
      <c r="GV114" s="591">
        <v>0</v>
      </c>
      <c r="GW114" s="591">
        <v>0</v>
      </c>
      <c r="GX114" s="591">
        <v>0</v>
      </c>
      <c r="GY114" s="591">
        <v>0</v>
      </c>
      <c r="GZ114" s="591">
        <v>0</v>
      </c>
      <c r="HA114" s="591">
        <v>0</v>
      </c>
      <c r="HB114" s="591">
        <v>260009272</v>
      </c>
      <c r="HC114" s="591">
        <v>5.1774999999999995E-2</v>
      </c>
      <c r="HD114" s="591">
        <v>707042</v>
      </c>
      <c r="HE114" s="591">
        <v>0</v>
      </c>
      <c r="HF114" s="591">
        <v>3924018</v>
      </c>
      <c r="HG114" s="591">
        <v>31411</v>
      </c>
      <c r="HH114" s="591">
        <v>525035</v>
      </c>
      <c r="HI114" s="591">
        <v>0</v>
      </c>
      <c r="HJ114" s="591">
        <v>37925</v>
      </c>
      <c r="HK114" s="591">
        <v>13396</v>
      </c>
      <c r="HL114" s="591">
        <v>12328</v>
      </c>
      <c r="HM114" s="591">
        <v>367000</v>
      </c>
      <c r="HN114" s="591">
        <v>314421</v>
      </c>
      <c r="HO114" s="591">
        <v>0</v>
      </c>
      <c r="HP114" s="591">
        <v>0</v>
      </c>
      <c r="HQ114" s="591">
        <v>0</v>
      </c>
      <c r="HR114" s="591">
        <v>0</v>
      </c>
      <c r="HS114" s="591">
        <v>33366259</v>
      </c>
      <c r="HT114" s="591">
        <v>0</v>
      </c>
      <c r="HU114" s="591">
        <v>0</v>
      </c>
      <c r="HV114" s="591">
        <v>0</v>
      </c>
      <c r="HW114" s="591">
        <v>0</v>
      </c>
      <c r="HX114" s="591">
        <v>855</v>
      </c>
      <c r="HY114" s="591">
        <v>467</v>
      </c>
      <c r="HZ114" s="591">
        <v>310</v>
      </c>
      <c r="IA114" s="591">
        <v>265</v>
      </c>
      <c r="IB114" s="591">
        <v>257</v>
      </c>
      <c r="IC114" s="591">
        <v>2154</v>
      </c>
      <c r="ID114" s="591">
        <v>0</v>
      </c>
      <c r="IE114" s="591">
        <v>0</v>
      </c>
      <c r="IF114" s="591">
        <v>0</v>
      </c>
      <c r="IG114" s="591">
        <v>51</v>
      </c>
      <c r="IH114" s="591">
        <v>852.45600000000002</v>
      </c>
      <c r="II114" s="591">
        <v>0</v>
      </c>
      <c r="IJ114" s="591">
        <v>778.90700000000004</v>
      </c>
      <c r="IK114" s="591">
        <v>0</v>
      </c>
      <c r="IL114" s="591">
        <v>45</v>
      </c>
      <c r="IM114" s="591">
        <v>46</v>
      </c>
      <c r="IN114" s="591">
        <v>2</v>
      </c>
      <c r="IO114" s="591">
        <v>93</v>
      </c>
      <c r="IP114" s="591">
        <v>0</v>
      </c>
      <c r="IQ114" s="591">
        <v>778.90700000000004</v>
      </c>
      <c r="IR114" s="591">
        <v>479735</v>
      </c>
      <c r="IS114" s="591">
        <v>0</v>
      </c>
      <c r="IT114" s="591">
        <v>225000</v>
      </c>
      <c r="IU114" s="591">
        <v>138000</v>
      </c>
      <c r="IV114" s="591">
        <v>4000</v>
      </c>
      <c r="IW114" s="591">
        <v>6159</v>
      </c>
      <c r="IX114" s="591">
        <v>0</v>
      </c>
      <c r="IY114" s="591">
        <v>0</v>
      </c>
      <c r="IZ114" s="591">
        <v>0</v>
      </c>
      <c r="JA114" s="591">
        <v>0</v>
      </c>
      <c r="JB114" s="591">
        <v>5</v>
      </c>
      <c r="JC114" s="591">
        <v>73300</v>
      </c>
      <c r="JD114" s="591">
        <v>17</v>
      </c>
      <c r="JE114" s="591">
        <v>145864</v>
      </c>
      <c r="JF114" s="591">
        <v>18</v>
      </c>
      <c r="JG114" s="591">
        <v>72257</v>
      </c>
      <c r="JH114" s="591">
        <v>23000</v>
      </c>
      <c r="JI114" s="591">
        <v>0</v>
      </c>
      <c r="JJ114" s="591">
        <v>0</v>
      </c>
      <c r="JK114" s="591">
        <v>0</v>
      </c>
      <c r="JL114" s="591">
        <v>0</v>
      </c>
      <c r="JM114" s="591">
        <v>0</v>
      </c>
      <c r="JN114" s="591">
        <v>32469</v>
      </c>
    </row>
    <row r="115" spans="1:274" x14ac:dyDescent="0.25">
      <c r="A115" s="591">
        <v>32570</v>
      </c>
      <c r="B115" s="591">
        <v>101864</v>
      </c>
      <c r="C115" s="591">
        <v>9</v>
      </c>
      <c r="D115" s="591">
        <v>2022</v>
      </c>
      <c r="E115" s="591">
        <v>6159</v>
      </c>
      <c r="F115" s="591">
        <v>0</v>
      </c>
      <c r="G115" s="591">
        <v>172.29</v>
      </c>
      <c r="H115" s="591">
        <v>170.22200000000001</v>
      </c>
      <c r="I115" s="591">
        <v>170.22200000000001</v>
      </c>
      <c r="J115" s="591">
        <v>172.29</v>
      </c>
      <c r="K115" s="591">
        <v>0</v>
      </c>
      <c r="L115" s="591">
        <v>6159</v>
      </c>
      <c r="M115" s="591">
        <v>0</v>
      </c>
      <c r="N115" s="591">
        <v>0</v>
      </c>
      <c r="O115" s="591">
        <v>0</v>
      </c>
      <c r="P115" s="591">
        <v>166.595</v>
      </c>
      <c r="Q115" s="591">
        <v>0</v>
      </c>
      <c r="R115" s="591">
        <v>67042</v>
      </c>
      <c r="S115" s="591">
        <v>402.428</v>
      </c>
      <c r="T115" s="591">
        <v>0</v>
      </c>
      <c r="U115" s="591">
        <v>0</v>
      </c>
      <c r="V115" s="591">
        <v>0</v>
      </c>
      <c r="W115" s="591">
        <v>0</v>
      </c>
      <c r="X115" s="591">
        <v>0</v>
      </c>
      <c r="Y115" s="591">
        <v>0</v>
      </c>
      <c r="Z115" s="591">
        <v>0</v>
      </c>
      <c r="AA115" s="591">
        <v>0</v>
      </c>
      <c r="AB115" s="591">
        <v>0</v>
      </c>
      <c r="AC115" s="591">
        <v>0</v>
      </c>
      <c r="AD115" s="591" t="s">
        <v>316</v>
      </c>
      <c r="AE115" s="591">
        <v>0</v>
      </c>
      <c r="AF115" s="591">
        <v>0</v>
      </c>
      <c r="AG115" s="591">
        <v>0</v>
      </c>
      <c r="AH115" s="591">
        <v>0</v>
      </c>
      <c r="AI115" s="591">
        <v>0</v>
      </c>
      <c r="AJ115" s="591">
        <v>6159</v>
      </c>
      <c r="AK115" s="591" t="s">
        <v>671</v>
      </c>
      <c r="AL115" s="591" t="s">
        <v>352</v>
      </c>
      <c r="AM115" s="591">
        <v>0</v>
      </c>
      <c r="AN115" s="591">
        <v>0</v>
      </c>
      <c r="AO115" s="591">
        <v>0</v>
      </c>
      <c r="AP115" s="591">
        <v>0</v>
      </c>
      <c r="AQ115" s="591">
        <v>0</v>
      </c>
      <c r="AR115" s="591">
        <v>0</v>
      </c>
      <c r="AS115" s="591">
        <v>0</v>
      </c>
      <c r="AT115" s="591">
        <v>0</v>
      </c>
      <c r="AU115" s="591">
        <v>0</v>
      </c>
      <c r="AV115" s="591">
        <v>0</v>
      </c>
      <c r="AW115" s="591">
        <v>1822444</v>
      </c>
      <c r="AX115" s="591">
        <v>1784352</v>
      </c>
      <c r="AY115" s="591">
        <v>0</v>
      </c>
      <c r="AZ115" s="591">
        <v>67042</v>
      </c>
      <c r="BA115" s="591">
        <v>0</v>
      </c>
      <c r="BB115" s="591">
        <v>0</v>
      </c>
      <c r="BC115" s="591">
        <v>0</v>
      </c>
      <c r="BD115" s="591">
        <v>0</v>
      </c>
      <c r="BE115" s="591">
        <v>24</v>
      </c>
      <c r="BF115" s="591">
        <v>1626794</v>
      </c>
      <c r="BG115" s="591">
        <v>0</v>
      </c>
      <c r="BH115" s="591">
        <v>0</v>
      </c>
      <c r="BI115" s="591">
        <v>0</v>
      </c>
      <c r="BJ115" s="591">
        <v>12</v>
      </c>
      <c r="BK115" s="591">
        <v>0</v>
      </c>
      <c r="BL115" s="591">
        <v>0</v>
      </c>
      <c r="BM115" s="591">
        <v>0</v>
      </c>
      <c r="BN115" s="591">
        <v>0</v>
      </c>
      <c r="BO115" s="591">
        <v>0</v>
      </c>
      <c r="BP115" s="591">
        <v>0</v>
      </c>
      <c r="BQ115" s="591">
        <v>744</v>
      </c>
      <c r="BR115" s="591">
        <v>0</v>
      </c>
      <c r="BS115" s="591">
        <v>0</v>
      </c>
      <c r="BT115" s="591">
        <v>0</v>
      </c>
      <c r="BU115" s="591">
        <v>0</v>
      </c>
      <c r="BV115" s="591">
        <v>0</v>
      </c>
      <c r="BW115" s="591">
        <v>0</v>
      </c>
      <c r="BX115" s="591">
        <v>0</v>
      </c>
      <c r="BY115" s="591">
        <v>0</v>
      </c>
      <c r="BZ115" s="591">
        <v>0</v>
      </c>
      <c r="CA115" s="591">
        <v>0</v>
      </c>
      <c r="CB115" s="591">
        <v>0</v>
      </c>
      <c r="CC115" s="591">
        <v>0</v>
      </c>
      <c r="CD115" s="591">
        <v>0</v>
      </c>
      <c r="CE115" s="591">
        <v>0</v>
      </c>
      <c r="CF115" s="591">
        <v>0</v>
      </c>
      <c r="CG115" s="591">
        <v>0</v>
      </c>
      <c r="CH115" s="591">
        <v>38568</v>
      </c>
      <c r="CI115" s="591">
        <v>0</v>
      </c>
      <c r="CJ115" s="591">
        <v>4</v>
      </c>
      <c r="CK115" s="591">
        <v>0</v>
      </c>
      <c r="CL115" s="591">
        <v>0</v>
      </c>
      <c r="CM115" s="591">
        <v>0</v>
      </c>
      <c r="CN115" s="591">
        <v>0</v>
      </c>
      <c r="CO115" s="591">
        <v>1</v>
      </c>
      <c r="CP115" s="591">
        <v>0</v>
      </c>
      <c r="CQ115" s="591">
        <v>0</v>
      </c>
      <c r="CR115" s="591">
        <v>172.29</v>
      </c>
      <c r="CS115" s="591">
        <v>0</v>
      </c>
      <c r="CT115" s="591">
        <v>0</v>
      </c>
      <c r="CU115" s="591">
        <v>0</v>
      </c>
      <c r="CV115" s="591">
        <v>0</v>
      </c>
      <c r="CW115" s="591">
        <v>0</v>
      </c>
      <c r="CX115" s="591">
        <v>0</v>
      </c>
      <c r="CY115" s="591">
        <v>0</v>
      </c>
      <c r="CZ115" s="591">
        <v>0</v>
      </c>
      <c r="DA115" s="591">
        <v>0</v>
      </c>
      <c r="DB115" s="591">
        <v>1048411</v>
      </c>
      <c r="DC115" s="591">
        <v>0</v>
      </c>
      <c r="DD115" s="591">
        <v>0</v>
      </c>
      <c r="DE115" s="591">
        <v>269383</v>
      </c>
      <c r="DF115" s="591">
        <v>269383</v>
      </c>
      <c r="DG115" s="591">
        <v>43.738</v>
      </c>
      <c r="DH115" s="591">
        <v>0</v>
      </c>
      <c r="DI115" s="591">
        <v>0</v>
      </c>
      <c r="DJ115" s="591">
        <v>0</v>
      </c>
      <c r="DK115" s="591">
        <v>3522</v>
      </c>
      <c r="DL115" s="591">
        <v>0</v>
      </c>
      <c r="DM115" s="591">
        <v>118516</v>
      </c>
      <c r="DN115" s="591">
        <v>452</v>
      </c>
      <c r="DO115" s="591">
        <v>0</v>
      </c>
      <c r="DP115" s="591">
        <v>0</v>
      </c>
      <c r="DQ115" s="591">
        <v>0</v>
      </c>
      <c r="DR115" s="591">
        <v>0</v>
      </c>
      <c r="DS115" s="591">
        <v>0</v>
      </c>
      <c r="DT115" s="591">
        <v>0</v>
      </c>
      <c r="DU115" s="591">
        <v>0</v>
      </c>
      <c r="DV115" s="591">
        <v>0</v>
      </c>
      <c r="DW115" s="591">
        <v>0</v>
      </c>
      <c r="DX115" s="591">
        <v>0</v>
      </c>
      <c r="DY115" s="591">
        <v>0</v>
      </c>
      <c r="DZ115" s="591">
        <v>0</v>
      </c>
      <c r="EA115" s="591">
        <v>0</v>
      </c>
      <c r="EB115" s="591">
        <v>0</v>
      </c>
      <c r="EC115" s="591">
        <v>11.332000000000001</v>
      </c>
      <c r="ED115" s="591">
        <v>80264</v>
      </c>
      <c r="EE115" s="591">
        <v>0</v>
      </c>
      <c r="EF115" s="591">
        <v>0</v>
      </c>
      <c r="EG115" s="591">
        <v>0</v>
      </c>
      <c r="EH115" s="591">
        <v>38704</v>
      </c>
      <c r="EI115" s="591">
        <v>0</v>
      </c>
      <c r="EJ115" s="591">
        <v>0</v>
      </c>
      <c r="EK115" s="591">
        <v>1.57</v>
      </c>
      <c r="EL115" s="591">
        <v>0</v>
      </c>
      <c r="EM115" s="591">
        <v>0.45800000000000002</v>
      </c>
      <c r="EN115" s="591">
        <v>0.04</v>
      </c>
      <c r="EO115" s="591">
        <v>0</v>
      </c>
      <c r="EP115" s="591">
        <v>0</v>
      </c>
      <c r="EQ115" s="591">
        <v>2.0680000000000001</v>
      </c>
      <c r="ER115" s="591">
        <v>0</v>
      </c>
      <c r="ES115" s="591">
        <v>6.2840000000000007</v>
      </c>
      <c r="ET115" s="591">
        <v>0</v>
      </c>
      <c r="EU115" s="591">
        <v>0</v>
      </c>
      <c r="EV115" s="591">
        <v>0</v>
      </c>
      <c r="EW115" s="591">
        <v>0</v>
      </c>
      <c r="EX115" s="591">
        <v>0</v>
      </c>
      <c r="EY115" s="591">
        <v>0</v>
      </c>
      <c r="EZ115" s="591">
        <v>1581475</v>
      </c>
      <c r="FA115" s="591">
        <v>0</v>
      </c>
      <c r="FB115" s="591">
        <v>1648041</v>
      </c>
      <c r="FC115" s="591">
        <v>0</v>
      </c>
      <c r="FD115" s="591">
        <v>0</v>
      </c>
      <c r="FE115" s="591">
        <v>168506</v>
      </c>
      <c r="FF115" s="591">
        <v>34371</v>
      </c>
      <c r="FG115" s="591">
        <v>6.4728999999999995E-2</v>
      </c>
      <c r="FH115" s="591">
        <v>2.6405999999999999E-2</v>
      </c>
      <c r="FI115" s="591">
        <v>0</v>
      </c>
      <c r="FJ115" s="591">
        <v>0</v>
      </c>
      <c r="FK115" s="591">
        <v>264.12900000000002</v>
      </c>
      <c r="FL115" s="591">
        <v>1889486</v>
      </c>
      <c r="FM115" s="591">
        <v>0</v>
      </c>
      <c r="FN115" s="591">
        <v>0</v>
      </c>
      <c r="FO115" s="591">
        <v>21723</v>
      </c>
      <c r="FP115" s="591">
        <v>0</v>
      </c>
      <c r="FQ115" s="591">
        <v>21723</v>
      </c>
      <c r="FR115" s="591">
        <v>21723</v>
      </c>
      <c r="FS115" s="591">
        <v>0</v>
      </c>
      <c r="FT115" s="591">
        <v>0</v>
      </c>
      <c r="FU115" s="591">
        <v>0</v>
      </c>
      <c r="FV115" s="591">
        <v>0</v>
      </c>
      <c r="FW115" s="591">
        <v>0</v>
      </c>
      <c r="FX115" s="591">
        <v>0</v>
      </c>
      <c r="FY115" s="591">
        <v>0</v>
      </c>
      <c r="FZ115" s="591">
        <v>0</v>
      </c>
      <c r="GA115" s="591">
        <v>0</v>
      </c>
      <c r="GB115" s="591">
        <v>0</v>
      </c>
      <c r="GC115" s="591">
        <v>0</v>
      </c>
      <c r="GD115" s="591">
        <v>0</v>
      </c>
      <c r="GE115" s="591">
        <v>0</v>
      </c>
      <c r="GF115" s="591">
        <v>0</v>
      </c>
      <c r="GG115" s="591">
        <v>0</v>
      </c>
      <c r="GH115" s="591">
        <v>0</v>
      </c>
      <c r="GI115" s="591">
        <v>0</v>
      </c>
      <c r="GJ115" s="591">
        <v>0</v>
      </c>
      <c r="GK115" s="591">
        <v>0</v>
      </c>
      <c r="GL115" s="591">
        <v>0</v>
      </c>
      <c r="GM115" s="591">
        <v>0</v>
      </c>
      <c r="GN115" s="591">
        <v>0</v>
      </c>
      <c r="GO115" s="591">
        <v>0</v>
      </c>
      <c r="GP115" s="591">
        <v>0</v>
      </c>
      <c r="GQ115" s="591">
        <v>0</v>
      </c>
      <c r="GR115" s="591">
        <v>0</v>
      </c>
      <c r="GS115" s="591">
        <v>0</v>
      </c>
      <c r="GT115" s="591">
        <v>0</v>
      </c>
      <c r="GU115" s="591">
        <v>0</v>
      </c>
      <c r="GV115" s="591">
        <v>0</v>
      </c>
      <c r="GW115" s="591">
        <v>0</v>
      </c>
      <c r="GX115" s="591">
        <v>0</v>
      </c>
      <c r="GY115" s="591">
        <v>0</v>
      </c>
      <c r="GZ115" s="591">
        <v>0</v>
      </c>
      <c r="HA115" s="591">
        <v>0</v>
      </c>
      <c r="HB115" s="591">
        <v>260009272</v>
      </c>
      <c r="HC115" s="591">
        <v>5.1774999999999995E-2</v>
      </c>
      <c r="HD115" s="591">
        <v>31221</v>
      </c>
      <c r="HE115" s="591">
        <v>0</v>
      </c>
      <c r="HF115" s="591">
        <v>187074</v>
      </c>
      <c r="HG115" s="591">
        <v>1283</v>
      </c>
      <c r="HH115" s="591">
        <v>0</v>
      </c>
      <c r="HI115" s="591">
        <v>0</v>
      </c>
      <c r="HJ115" s="591">
        <v>1675</v>
      </c>
      <c r="HK115" s="591">
        <v>0</v>
      </c>
      <c r="HL115" s="591">
        <v>0</v>
      </c>
      <c r="HM115" s="591">
        <v>0</v>
      </c>
      <c r="HN115" s="591">
        <v>0</v>
      </c>
      <c r="HO115" s="591">
        <v>0</v>
      </c>
      <c r="HP115" s="591">
        <v>0</v>
      </c>
      <c r="HQ115" s="591">
        <v>0</v>
      </c>
      <c r="HR115" s="591">
        <v>0</v>
      </c>
      <c r="HS115" s="591">
        <v>1580999</v>
      </c>
      <c r="HT115" s="591">
        <v>0</v>
      </c>
      <c r="HU115" s="591">
        <v>7347</v>
      </c>
      <c r="HV115" s="591">
        <v>0</v>
      </c>
      <c r="HW115" s="591">
        <v>0</v>
      </c>
      <c r="HX115" s="591">
        <v>5</v>
      </c>
      <c r="HY115" s="591">
        <v>11</v>
      </c>
      <c r="HZ115" s="591">
        <v>16</v>
      </c>
      <c r="IA115" s="591">
        <v>68</v>
      </c>
      <c r="IB115" s="591">
        <v>66</v>
      </c>
      <c r="IC115" s="591">
        <v>164</v>
      </c>
      <c r="ID115" s="591">
        <v>0</v>
      </c>
      <c r="IE115" s="591">
        <v>0</v>
      </c>
      <c r="IF115" s="591">
        <v>0</v>
      </c>
      <c r="IG115" s="591">
        <v>2.0830000000000002</v>
      </c>
      <c r="IH115" s="591">
        <v>0</v>
      </c>
      <c r="II115" s="591">
        <v>0</v>
      </c>
      <c r="IJ115" s="591">
        <v>0</v>
      </c>
      <c r="IK115" s="591">
        <v>0</v>
      </c>
      <c r="IL115" s="591">
        <v>0</v>
      </c>
      <c r="IM115" s="591">
        <v>0</v>
      </c>
      <c r="IN115" s="591">
        <v>0</v>
      </c>
      <c r="IO115" s="591">
        <v>0</v>
      </c>
      <c r="IP115" s="591">
        <v>0</v>
      </c>
      <c r="IQ115" s="591">
        <v>0</v>
      </c>
      <c r="IR115" s="591">
        <v>0</v>
      </c>
      <c r="IS115" s="591">
        <v>0</v>
      </c>
      <c r="IT115" s="591">
        <v>0</v>
      </c>
      <c r="IU115" s="591">
        <v>0</v>
      </c>
      <c r="IV115" s="591">
        <v>0</v>
      </c>
      <c r="IW115" s="591">
        <v>6159</v>
      </c>
      <c r="IX115" s="591">
        <v>0</v>
      </c>
      <c r="IY115" s="591">
        <v>0</v>
      </c>
      <c r="IZ115" s="591">
        <v>0</v>
      </c>
      <c r="JA115" s="591">
        <v>0</v>
      </c>
      <c r="JB115" s="591">
        <v>0</v>
      </c>
      <c r="JC115" s="591">
        <v>0</v>
      </c>
      <c r="JD115" s="591">
        <v>0</v>
      </c>
      <c r="JE115" s="591">
        <v>0</v>
      </c>
      <c r="JF115" s="591">
        <v>0</v>
      </c>
      <c r="JG115" s="591">
        <v>0</v>
      </c>
      <c r="JH115" s="591">
        <v>0</v>
      </c>
      <c r="JI115" s="591">
        <v>0</v>
      </c>
      <c r="JJ115" s="591">
        <v>0</v>
      </c>
      <c r="JK115" s="591">
        <v>0</v>
      </c>
      <c r="JL115" s="591">
        <v>0</v>
      </c>
      <c r="JM115" s="591">
        <v>0</v>
      </c>
      <c r="JN115" s="591">
        <v>32469</v>
      </c>
    </row>
    <row r="116" spans="1:274" x14ac:dyDescent="0.25">
      <c r="A116" s="591">
        <v>32570</v>
      </c>
      <c r="B116" s="591">
        <v>101868</v>
      </c>
      <c r="C116" s="591">
        <v>9</v>
      </c>
      <c r="D116" s="591">
        <v>2022</v>
      </c>
      <c r="E116" s="591">
        <v>6159</v>
      </c>
      <c r="F116" s="591">
        <v>0</v>
      </c>
      <c r="G116" s="591">
        <v>373.25800000000004</v>
      </c>
      <c r="H116" s="591">
        <v>348.87100000000004</v>
      </c>
      <c r="I116" s="591">
        <v>348.87100000000004</v>
      </c>
      <c r="J116" s="591">
        <v>373.25800000000004</v>
      </c>
      <c r="K116" s="591">
        <v>0</v>
      </c>
      <c r="L116" s="591">
        <v>6159</v>
      </c>
      <c r="M116" s="591">
        <v>0</v>
      </c>
      <c r="N116" s="591">
        <v>0</v>
      </c>
      <c r="O116" s="591">
        <v>0</v>
      </c>
      <c r="P116" s="591">
        <v>374.22500000000002</v>
      </c>
      <c r="Q116" s="591">
        <v>0</v>
      </c>
      <c r="R116" s="591">
        <v>150599</v>
      </c>
      <c r="S116" s="591">
        <v>402.428</v>
      </c>
      <c r="T116" s="591">
        <v>0</v>
      </c>
      <c r="U116" s="591">
        <v>0</v>
      </c>
      <c r="V116" s="591">
        <v>0</v>
      </c>
      <c r="W116" s="591">
        <v>0</v>
      </c>
      <c r="X116" s="591">
        <v>0</v>
      </c>
      <c r="Y116" s="591">
        <v>0</v>
      </c>
      <c r="Z116" s="591">
        <v>0</v>
      </c>
      <c r="AA116" s="591">
        <v>0</v>
      </c>
      <c r="AB116" s="591">
        <v>0</v>
      </c>
      <c r="AC116" s="591">
        <v>0</v>
      </c>
      <c r="AD116" s="591" t="s">
        <v>316</v>
      </c>
      <c r="AE116" s="591">
        <v>0</v>
      </c>
      <c r="AF116" s="591">
        <v>0</v>
      </c>
      <c r="AG116" s="591">
        <v>0</v>
      </c>
      <c r="AH116" s="591">
        <v>0</v>
      </c>
      <c r="AI116" s="591">
        <v>0</v>
      </c>
      <c r="AJ116" s="591">
        <v>6159</v>
      </c>
      <c r="AK116" s="591" t="s">
        <v>671</v>
      </c>
      <c r="AL116" s="591" t="s">
        <v>353</v>
      </c>
      <c r="AM116" s="591">
        <v>0</v>
      </c>
      <c r="AN116" s="591">
        <v>0</v>
      </c>
      <c r="AO116" s="591">
        <v>0</v>
      </c>
      <c r="AP116" s="591">
        <v>0</v>
      </c>
      <c r="AQ116" s="591">
        <v>0</v>
      </c>
      <c r="AR116" s="591">
        <v>0</v>
      </c>
      <c r="AS116" s="591">
        <v>0</v>
      </c>
      <c r="AT116" s="591">
        <v>0</v>
      </c>
      <c r="AU116" s="591">
        <v>0</v>
      </c>
      <c r="AV116" s="591">
        <v>0</v>
      </c>
      <c r="AW116" s="591">
        <v>4243208</v>
      </c>
      <c r="AX116" s="591">
        <v>4177141</v>
      </c>
      <c r="AY116" s="591">
        <v>0</v>
      </c>
      <c r="AZ116" s="591">
        <v>150599</v>
      </c>
      <c r="BA116" s="591">
        <v>0</v>
      </c>
      <c r="BB116" s="591">
        <v>0</v>
      </c>
      <c r="BC116" s="591">
        <v>0</v>
      </c>
      <c r="BD116" s="591">
        <v>0</v>
      </c>
      <c r="BE116" s="591">
        <v>55</v>
      </c>
      <c r="BF116" s="591">
        <v>3786371</v>
      </c>
      <c r="BG116" s="591">
        <v>0</v>
      </c>
      <c r="BH116" s="591">
        <v>0</v>
      </c>
      <c r="BI116" s="591">
        <v>0</v>
      </c>
      <c r="BJ116" s="591">
        <v>12</v>
      </c>
      <c r="BK116" s="591">
        <v>0</v>
      </c>
      <c r="BL116" s="591">
        <v>0</v>
      </c>
      <c r="BM116" s="591">
        <v>0</v>
      </c>
      <c r="BN116" s="591">
        <v>0</v>
      </c>
      <c r="BO116" s="591">
        <v>0</v>
      </c>
      <c r="BP116" s="591">
        <v>0</v>
      </c>
      <c r="BQ116" s="591">
        <v>716</v>
      </c>
      <c r="BR116" s="591">
        <v>0</v>
      </c>
      <c r="BS116" s="591">
        <v>0</v>
      </c>
      <c r="BT116" s="591">
        <v>0</v>
      </c>
      <c r="BU116" s="591">
        <v>0</v>
      </c>
      <c r="BV116" s="591">
        <v>0</v>
      </c>
      <c r="BW116" s="591">
        <v>0</v>
      </c>
      <c r="BX116" s="591">
        <v>0</v>
      </c>
      <c r="BY116" s="591">
        <v>0</v>
      </c>
      <c r="BZ116" s="591">
        <v>0</v>
      </c>
      <c r="CA116" s="591">
        <v>0</v>
      </c>
      <c r="CB116" s="591">
        <v>0</v>
      </c>
      <c r="CC116" s="591">
        <v>0</v>
      </c>
      <c r="CD116" s="591">
        <v>0</v>
      </c>
      <c r="CE116" s="591">
        <v>0</v>
      </c>
      <c r="CF116" s="591">
        <v>0</v>
      </c>
      <c r="CG116" s="591">
        <v>0</v>
      </c>
      <c r="CH116" s="591">
        <v>67638</v>
      </c>
      <c r="CI116" s="591">
        <v>0</v>
      </c>
      <c r="CJ116" s="591">
        <v>4</v>
      </c>
      <c r="CK116" s="591">
        <v>0</v>
      </c>
      <c r="CL116" s="591">
        <v>0</v>
      </c>
      <c r="CM116" s="591">
        <v>0</v>
      </c>
      <c r="CN116" s="591">
        <v>0</v>
      </c>
      <c r="CO116" s="591">
        <v>1</v>
      </c>
      <c r="CP116" s="591">
        <v>0</v>
      </c>
      <c r="CQ116" s="591">
        <v>0</v>
      </c>
      <c r="CR116" s="591">
        <v>373.25800000000004</v>
      </c>
      <c r="CS116" s="591">
        <v>0</v>
      </c>
      <c r="CT116" s="591">
        <v>0</v>
      </c>
      <c r="CU116" s="591">
        <v>0</v>
      </c>
      <c r="CV116" s="591">
        <v>0</v>
      </c>
      <c r="CW116" s="591">
        <v>0</v>
      </c>
      <c r="CX116" s="591">
        <v>0</v>
      </c>
      <c r="CY116" s="591">
        <v>0</v>
      </c>
      <c r="CZ116" s="591">
        <v>0</v>
      </c>
      <c r="DA116" s="591">
        <v>0</v>
      </c>
      <c r="DB116" s="591">
        <v>2034885</v>
      </c>
      <c r="DC116" s="591">
        <v>0</v>
      </c>
      <c r="DD116" s="591">
        <v>0</v>
      </c>
      <c r="DE116" s="591">
        <v>684890</v>
      </c>
      <c r="DF116" s="591">
        <v>684890</v>
      </c>
      <c r="DG116" s="591">
        <v>111.2</v>
      </c>
      <c r="DH116" s="591">
        <v>0</v>
      </c>
      <c r="DI116" s="591">
        <v>0</v>
      </c>
      <c r="DJ116" s="591">
        <v>0</v>
      </c>
      <c r="DK116" s="591">
        <v>3082</v>
      </c>
      <c r="DL116" s="591">
        <v>0</v>
      </c>
      <c r="DM116" s="591">
        <v>510967</v>
      </c>
      <c r="DN116" s="591">
        <v>1515</v>
      </c>
      <c r="DO116" s="591">
        <v>0</v>
      </c>
      <c r="DP116" s="591">
        <v>0</v>
      </c>
      <c r="DQ116" s="591">
        <v>0</v>
      </c>
      <c r="DR116" s="591">
        <v>0</v>
      </c>
      <c r="DS116" s="591">
        <v>0</v>
      </c>
      <c r="DT116" s="591">
        <v>0</v>
      </c>
      <c r="DU116" s="591">
        <v>0</v>
      </c>
      <c r="DV116" s="591">
        <v>0</v>
      </c>
      <c r="DW116" s="591">
        <v>0</v>
      </c>
      <c r="DX116" s="591">
        <v>0</v>
      </c>
      <c r="DY116" s="591">
        <v>0</v>
      </c>
      <c r="DZ116" s="591">
        <v>0</v>
      </c>
      <c r="EA116" s="591">
        <v>0</v>
      </c>
      <c r="EB116" s="591">
        <v>0</v>
      </c>
      <c r="EC116" s="591">
        <v>40.274999999999999</v>
      </c>
      <c r="ED116" s="591">
        <v>285266</v>
      </c>
      <c r="EE116" s="591">
        <v>0</v>
      </c>
      <c r="EF116" s="591">
        <v>0</v>
      </c>
      <c r="EG116" s="591">
        <v>0</v>
      </c>
      <c r="EH116" s="591">
        <v>113376</v>
      </c>
      <c r="EI116" s="591">
        <v>0</v>
      </c>
      <c r="EJ116" s="591">
        <v>0</v>
      </c>
      <c r="EK116" s="591">
        <v>5.6820000000000004</v>
      </c>
      <c r="EL116" s="591">
        <v>0</v>
      </c>
      <c r="EM116" s="591">
        <v>0.45400000000000001</v>
      </c>
      <c r="EN116" s="591">
        <v>0</v>
      </c>
      <c r="EO116" s="591">
        <v>0</v>
      </c>
      <c r="EP116" s="591">
        <v>0</v>
      </c>
      <c r="EQ116" s="591">
        <v>6.1360000000000001</v>
      </c>
      <c r="ER116" s="591">
        <v>0</v>
      </c>
      <c r="ES116" s="591">
        <v>18.408000000000001</v>
      </c>
      <c r="ET116" s="591">
        <v>0</v>
      </c>
      <c r="EU116" s="591">
        <v>0</v>
      </c>
      <c r="EV116" s="591">
        <v>0</v>
      </c>
      <c r="EW116" s="591">
        <v>0</v>
      </c>
      <c r="EX116" s="591">
        <v>0</v>
      </c>
      <c r="EY116" s="591">
        <v>0</v>
      </c>
      <c r="EZ116" s="591">
        <v>3704944</v>
      </c>
      <c r="FA116" s="591">
        <v>0</v>
      </c>
      <c r="FB116" s="591">
        <v>3853972</v>
      </c>
      <c r="FC116" s="591">
        <v>0</v>
      </c>
      <c r="FD116" s="591">
        <v>0</v>
      </c>
      <c r="FE116" s="591">
        <v>392199</v>
      </c>
      <c r="FF116" s="591">
        <v>79998</v>
      </c>
      <c r="FG116" s="591">
        <v>6.4728999999999995E-2</v>
      </c>
      <c r="FH116" s="591">
        <v>2.6405999999999999E-2</v>
      </c>
      <c r="FI116" s="591">
        <v>0</v>
      </c>
      <c r="FJ116" s="591">
        <v>0</v>
      </c>
      <c r="FK116" s="591">
        <v>614.76200000000006</v>
      </c>
      <c r="FL116" s="591">
        <v>4393807</v>
      </c>
      <c r="FM116" s="591">
        <v>0</v>
      </c>
      <c r="FN116" s="591">
        <v>0</v>
      </c>
      <c r="FO116" s="591">
        <v>63907</v>
      </c>
      <c r="FP116" s="591">
        <v>0</v>
      </c>
      <c r="FQ116" s="591">
        <v>63907</v>
      </c>
      <c r="FR116" s="591">
        <v>63907</v>
      </c>
      <c r="FS116" s="591">
        <v>0</v>
      </c>
      <c r="FT116" s="591">
        <v>0</v>
      </c>
      <c r="FU116" s="591">
        <v>0</v>
      </c>
      <c r="FV116" s="591">
        <v>0</v>
      </c>
      <c r="FW116" s="591">
        <v>0</v>
      </c>
      <c r="FX116" s="591">
        <v>0</v>
      </c>
      <c r="FY116" s="591">
        <v>0</v>
      </c>
      <c r="FZ116" s="591">
        <v>0</v>
      </c>
      <c r="GA116" s="591">
        <v>0</v>
      </c>
      <c r="GB116" s="591">
        <v>151753</v>
      </c>
      <c r="GC116" s="591">
        <v>151753</v>
      </c>
      <c r="GD116" s="591">
        <v>18.251000000000001</v>
      </c>
      <c r="GE116" s="591">
        <v>0</v>
      </c>
      <c r="GF116" s="591">
        <v>0</v>
      </c>
      <c r="GG116" s="591">
        <v>0</v>
      </c>
      <c r="GH116" s="591">
        <v>0</v>
      </c>
      <c r="GI116" s="591">
        <v>0</v>
      </c>
      <c r="GJ116" s="591">
        <v>0</v>
      </c>
      <c r="GK116" s="591">
        <v>0</v>
      </c>
      <c r="GL116" s="591">
        <v>0</v>
      </c>
      <c r="GM116" s="591">
        <v>0</v>
      </c>
      <c r="GN116" s="591">
        <v>0</v>
      </c>
      <c r="GO116" s="591">
        <v>0</v>
      </c>
      <c r="GP116" s="591">
        <v>0</v>
      </c>
      <c r="GQ116" s="591">
        <v>0</v>
      </c>
      <c r="GR116" s="591">
        <v>0</v>
      </c>
      <c r="GS116" s="591">
        <v>0</v>
      </c>
      <c r="GT116" s="591">
        <v>0</v>
      </c>
      <c r="GU116" s="591">
        <v>0</v>
      </c>
      <c r="GV116" s="591">
        <v>0</v>
      </c>
      <c r="GW116" s="591">
        <v>0</v>
      </c>
      <c r="GX116" s="591">
        <v>0</v>
      </c>
      <c r="GY116" s="591">
        <v>0</v>
      </c>
      <c r="GZ116" s="591">
        <v>0</v>
      </c>
      <c r="HA116" s="591">
        <v>0</v>
      </c>
      <c r="HB116" s="591">
        <v>260009272</v>
      </c>
      <c r="HC116" s="591">
        <v>5.1774999999999995E-2</v>
      </c>
      <c r="HD116" s="591">
        <v>67638</v>
      </c>
      <c r="HE116" s="591">
        <v>0</v>
      </c>
      <c r="HF116" s="591">
        <v>383409</v>
      </c>
      <c r="HG116" s="591">
        <v>6159</v>
      </c>
      <c r="HH116" s="591">
        <v>9165</v>
      </c>
      <c r="HI116" s="591">
        <v>0</v>
      </c>
      <c r="HJ116" s="591">
        <v>3628</v>
      </c>
      <c r="HK116" s="591">
        <v>2826</v>
      </c>
      <c r="HL116" s="591">
        <v>2439</v>
      </c>
      <c r="HM116" s="591">
        <v>0</v>
      </c>
      <c r="HN116" s="591">
        <v>0</v>
      </c>
      <c r="HO116" s="591">
        <v>0</v>
      </c>
      <c r="HP116" s="591">
        <v>0</v>
      </c>
      <c r="HQ116" s="591">
        <v>0</v>
      </c>
      <c r="HR116" s="591">
        <v>0</v>
      </c>
      <c r="HS116" s="591">
        <v>3703373</v>
      </c>
      <c r="HT116" s="591">
        <v>0</v>
      </c>
      <c r="HU116" s="591">
        <v>0</v>
      </c>
      <c r="HV116" s="591">
        <v>0</v>
      </c>
      <c r="HW116" s="591">
        <v>0</v>
      </c>
      <c r="HX116" s="591">
        <v>19</v>
      </c>
      <c r="HY116" s="591">
        <v>37</v>
      </c>
      <c r="HZ116" s="591">
        <v>61</v>
      </c>
      <c r="IA116" s="591">
        <v>101</v>
      </c>
      <c r="IB116" s="591">
        <v>205</v>
      </c>
      <c r="IC116" s="591">
        <v>331</v>
      </c>
      <c r="ID116" s="591">
        <v>0</v>
      </c>
      <c r="IE116" s="591">
        <v>0</v>
      </c>
      <c r="IF116" s="591">
        <v>0</v>
      </c>
      <c r="IG116" s="591">
        <v>10</v>
      </c>
      <c r="IH116" s="591">
        <v>14.88</v>
      </c>
      <c r="II116" s="591">
        <v>0</v>
      </c>
      <c r="IJ116" s="591">
        <v>0</v>
      </c>
      <c r="IK116" s="591">
        <v>0</v>
      </c>
      <c r="IL116" s="591">
        <v>0</v>
      </c>
      <c r="IM116" s="591">
        <v>0</v>
      </c>
      <c r="IN116" s="591">
        <v>0</v>
      </c>
      <c r="IO116" s="591">
        <v>0</v>
      </c>
      <c r="IP116" s="591">
        <v>0</v>
      </c>
      <c r="IQ116" s="591">
        <v>0</v>
      </c>
      <c r="IR116" s="591">
        <v>0</v>
      </c>
      <c r="IS116" s="591">
        <v>0</v>
      </c>
      <c r="IT116" s="591">
        <v>0</v>
      </c>
      <c r="IU116" s="591">
        <v>0</v>
      </c>
      <c r="IV116" s="591">
        <v>0</v>
      </c>
      <c r="IW116" s="591">
        <v>6159</v>
      </c>
      <c r="IX116" s="591">
        <v>0</v>
      </c>
      <c r="IY116" s="591">
        <v>0</v>
      </c>
      <c r="IZ116" s="591">
        <v>0</v>
      </c>
      <c r="JA116" s="591">
        <v>0</v>
      </c>
      <c r="JB116" s="591">
        <v>0</v>
      </c>
      <c r="JC116" s="591">
        <v>0</v>
      </c>
      <c r="JD116" s="591">
        <v>0</v>
      </c>
      <c r="JE116" s="591">
        <v>0</v>
      </c>
      <c r="JF116" s="591">
        <v>0</v>
      </c>
      <c r="JG116" s="591">
        <v>0</v>
      </c>
      <c r="JH116" s="591">
        <v>0</v>
      </c>
      <c r="JI116" s="591">
        <v>0</v>
      </c>
      <c r="JJ116" s="591">
        <v>0</v>
      </c>
      <c r="JK116" s="591">
        <v>0</v>
      </c>
      <c r="JL116" s="591">
        <v>0</v>
      </c>
      <c r="JM116" s="591">
        <v>0</v>
      </c>
      <c r="JN116" s="591">
        <v>32469</v>
      </c>
    </row>
    <row r="117" spans="1:274" x14ac:dyDescent="0.25">
      <c r="A117" s="591">
        <v>32570</v>
      </c>
      <c r="B117" s="591">
        <v>101870</v>
      </c>
      <c r="C117" s="591">
        <v>9</v>
      </c>
      <c r="D117" s="591">
        <v>2022</v>
      </c>
      <c r="E117" s="591">
        <v>6159</v>
      </c>
      <c r="F117" s="591">
        <v>0</v>
      </c>
      <c r="G117" s="591">
        <v>1072.2</v>
      </c>
      <c r="H117" s="591">
        <v>1058.644</v>
      </c>
      <c r="I117" s="591">
        <v>1058.644</v>
      </c>
      <c r="J117" s="591">
        <v>1072.2</v>
      </c>
      <c r="K117" s="591">
        <v>0</v>
      </c>
      <c r="L117" s="591">
        <v>6159</v>
      </c>
      <c r="M117" s="591">
        <v>0</v>
      </c>
      <c r="N117" s="591">
        <v>0</v>
      </c>
      <c r="O117" s="591">
        <v>0</v>
      </c>
      <c r="P117" s="591">
        <v>1085.2270000000001</v>
      </c>
      <c r="Q117" s="591">
        <v>0</v>
      </c>
      <c r="R117" s="591">
        <v>436726</v>
      </c>
      <c r="S117" s="591">
        <v>402.428</v>
      </c>
      <c r="T117" s="591">
        <v>0</v>
      </c>
      <c r="U117" s="591">
        <v>0</v>
      </c>
      <c r="V117" s="591">
        <v>190.71800000000002</v>
      </c>
      <c r="W117" s="591">
        <v>117465</v>
      </c>
      <c r="X117" s="591">
        <v>117465</v>
      </c>
      <c r="Y117" s="591">
        <v>0</v>
      </c>
      <c r="Z117" s="591">
        <v>0</v>
      </c>
      <c r="AA117" s="591">
        <v>0</v>
      </c>
      <c r="AB117" s="591">
        <v>0</v>
      </c>
      <c r="AC117" s="591">
        <v>0</v>
      </c>
      <c r="AD117" s="591" t="s">
        <v>316</v>
      </c>
      <c r="AE117" s="591">
        <v>0</v>
      </c>
      <c r="AF117" s="591">
        <v>0</v>
      </c>
      <c r="AG117" s="591">
        <v>0</v>
      </c>
      <c r="AH117" s="591">
        <v>0</v>
      </c>
      <c r="AI117" s="591">
        <v>0</v>
      </c>
      <c r="AJ117" s="591">
        <v>6159</v>
      </c>
      <c r="AK117" s="591" t="s">
        <v>671</v>
      </c>
      <c r="AL117" s="591" t="s">
        <v>371</v>
      </c>
      <c r="AM117" s="591">
        <v>0</v>
      </c>
      <c r="AN117" s="591">
        <v>0</v>
      </c>
      <c r="AO117" s="591">
        <v>0</v>
      </c>
      <c r="AP117" s="591">
        <v>0</v>
      </c>
      <c r="AQ117" s="591">
        <v>0</v>
      </c>
      <c r="AR117" s="591">
        <v>0</v>
      </c>
      <c r="AS117" s="591">
        <v>0</v>
      </c>
      <c r="AT117" s="591">
        <v>0</v>
      </c>
      <c r="AU117" s="591">
        <v>0</v>
      </c>
      <c r="AV117" s="591">
        <v>0</v>
      </c>
      <c r="AW117" s="591">
        <v>10609098</v>
      </c>
      <c r="AX117" s="591">
        <v>10416517</v>
      </c>
      <c r="AY117" s="591">
        <v>0</v>
      </c>
      <c r="AZ117" s="591">
        <v>436726</v>
      </c>
      <c r="BA117" s="591">
        <v>0</v>
      </c>
      <c r="BB117" s="591">
        <v>0</v>
      </c>
      <c r="BC117" s="591">
        <v>0</v>
      </c>
      <c r="BD117" s="591">
        <v>0</v>
      </c>
      <c r="BE117" s="591">
        <v>139</v>
      </c>
      <c r="BF117" s="591">
        <v>9648822</v>
      </c>
      <c r="BG117" s="591">
        <v>0</v>
      </c>
      <c r="BH117" s="591">
        <v>0</v>
      </c>
      <c r="BI117" s="591">
        <v>0</v>
      </c>
      <c r="BJ117" s="591">
        <v>12</v>
      </c>
      <c r="BK117" s="591">
        <v>0</v>
      </c>
      <c r="BL117" s="591">
        <v>0</v>
      </c>
      <c r="BM117" s="591">
        <v>0</v>
      </c>
      <c r="BN117" s="591">
        <v>0</v>
      </c>
      <c r="BO117" s="591">
        <v>0</v>
      </c>
      <c r="BP117" s="591">
        <v>0</v>
      </c>
      <c r="BQ117" s="591">
        <v>607</v>
      </c>
      <c r="BR117" s="591">
        <v>0</v>
      </c>
      <c r="BS117" s="591">
        <v>0</v>
      </c>
      <c r="BT117" s="591">
        <v>0</v>
      </c>
      <c r="BU117" s="591">
        <v>0</v>
      </c>
      <c r="BV117" s="591">
        <v>0</v>
      </c>
      <c r="BW117" s="591">
        <v>0</v>
      </c>
      <c r="BX117" s="591">
        <v>0</v>
      </c>
      <c r="BY117" s="591">
        <v>0</v>
      </c>
      <c r="BZ117" s="591">
        <v>0</v>
      </c>
      <c r="CA117" s="591">
        <v>0</v>
      </c>
      <c r="CB117" s="591">
        <v>0</v>
      </c>
      <c r="CC117" s="591">
        <v>0</v>
      </c>
      <c r="CD117" s="591">
        <v>0</v>
      </c>
      <c r="CE117" s="591">
        <v>0</v>
      </c>
      <c r="CF117" s="591">
        <v>0</v>
      </c>
      <c r="CG117" s="591">
        <v>0</v>
      </c>
      <c r="CH117" s="591">
        <v>194294</v>
      </c>
      <c r="CI117" s="591">
        <v>0</v>
      </c>
      <c r="CJ117" s="591">
        <v>4</v>
      </c>
      <c r="CK117" s="591">
        <v>0</v>
      </c>
      <c r="CL117" s="591">
        <v>0</v>
      </c>
      <c r="CM117" s="591">
        <v>0</v>
      </c>
      <c r="CN117" s="591">
        <v>0</v>
      </c>
      <c r="CO117" s="591">
        <v>1</v>
      </c>
      <c r="CP117" s="591">
        <v>0</v>
      </c>
      <c r="CQ117" s="591">
        <v>0</v>
      </c>
      <c r="CR117" s="591">
        <v>1072.2</v>
      </c>
      <c r="CS117" s="591">
        <v>0</v>
      </c>
      <c r="CT117" s="591">
        <v>0</v>
      </c>
      <c r="CU117" s="591">
        <v>0</v>
      </c>
      <c r="CV117" s="591">
        <v>0</v>
      </c>
      <c r="CW117" s="591">
        <v>0</v>
      </c>
      <c r="CX117" s="591">
        <v>0</v>
      </c>
      <c r="CY117" s="591">
        <v>0</v>
      </c>
      <c r="CZ117" s="591">
        <v>0</v>
      </c>
      <c r="DA117" s="591">
        <v>0</v>
      </c>
      <c r="DB117" s="591">
        <v>6510290</v>
      </c>
      <c r="DC117" s="591">
        <v>0</v>
      </c>
      <c r="DD117" s="591">
        <v>0</v>
      </c>
      <c r="DE117" s="591">
        <v>1251449</v>
      </c>
      <c r="DF117" s="591">
        <v>1251449</v>
      </c>
      <c r="DG117" s="591">
        <v>203.18800000000002</v>
      </c>
      <c r="DH117" s="591">
        <v>0</v>
      </c>
      <c r="DI117" s="591">
        <v>0</v>
      </c>
      <c r="DJ117" s="591">
        <v>0</v>
      </c>
      <c r="DK117" s="591">
        <v>1334</v>
      </c>
      <c r="DL117" s="591">
        <v>0</v>
      </c>
      <c r="DM117" s="591">
        <v>422585</v>
      </c>
      <c r="DN117" s="591">
        <v>1574</v>
      </c>
      <c r="DO117" s="591">
        <v>0</v>
      </c>
      <c r="DP117" s="591">
        <v>0</v>
      </c>
      <c r="DQ117" s="591">
        <v>0</v>
      </c>
      <c r="DR117" s="591">
        <v>0</v>
      </c>
      <c r="DS117" s="591">
        <v>0</v>
      </c>
      <c r="DT117" s="591">
        <v>0</v>
      </c>
      <c r="DU117" s="591">
        <v>0</v>
      </c>
      <c r="DV117" s="591">
        <v>0</v>
      </c>
      <c r="DW117" s="591">
        <v>0</v>
      </c>
      <c r="DX117" s="591">
        <v>0</v>
      </c>
      <c r="DY117" s="591">
        <v>0</v>
      </c>
      <c r="DZ117" s="591">
        <v>0</v>
      </c>
      <c r="EA117" s="591">
        <v>0</v>
      </c>
      <c r="EB117" s="591">
        <v>0</v>
      </c>
      <c r="EC117" s="591">
        <v>30.373000000000001</v>
      </c>
      <c r="ED117" s="591">
        <v>215130</v>
      </c>
      <c r="EE117" s="591">
        <v>0</v>
      </c>
      <c r="EF117" s="591">
        <v>0</v>
      </c>
      <c r="EG117" s="591">
        <v>0</v>
      </c>
      <c r="EH117" s="591">
        <v>199043</v>
      </c>
      <c r="EI117" s="591">
        <v>0</v>
      </c>
      <c r="EJ117" s="591">
        <v>0</v>
      </c>
      <c r="EK117" s="591">
        <v>7.7380000000000004</v>
      </c>
      <c r="EL117" s="591">
        <v>0</v>
      </c>
      <c r="EM117" s="591">
        <v>0.67100000000000004</v>
      </c>
      <c r="EN117" s="591">
        <v>1.4180000000000001</v>
      </c>
      <c r="EO117" s="591">
        <v>0</v>
      </c>
      <c r="EP117" s="591">
        <v>0</v>
      </c>
      <c r="EQ117" s="591">
        <v>9.827</v>
      </c>
      <c r="ER117" s="591">
        <v>0</v>
      </c>
      <c r="ES117" s="591">
        <v>32.317</v>
      </c>
      <c r="ET117" s="591">
        <v>0</v>
      </c>
      <c r="EU117" s="591">
        <v>0</v>
      </c>
      <c r="EV117" s="591">
        <v>0</v>
      </c>
      <c r="EW117" s="591">
        <v>0</v>
      </c>
      <c r="EX117" s="591">
        <v>0</v>
      </c>
      <c r="EY117" s="591">
        <v>0</v>
      </c>
      <c r="EZ117" s="591">
        <v>9213214</v>
      </c>
      <c r="FA117" s="591">
        <v>0</v>
      </c>
      <c r="FB117" s="591">
        <v>9648227</v>
      </c>
      <c r="FC117" s="591">
        <v>0</v>
      </c>
      <c r="FD117" s="591">
        <v>0</v>
      </c>
      <c r="FE117" s="591">
        <v>999443</v>
      </c>
      <c r="FF117" s="591">
        <v>203860</v>
      </c>
      <c r="FG117" s="591">
        <v>6.4728999999999995E-2</v>
      </c>
      <c r="FH117" s="591">
        <v>2.6405999999999999E-2</v>
      </c>
      <c r="FI117" s="591">
        <v>0</v>
      </c>
      <c r="FJ117" s="591">
        <v>0</v>
      </c>
      <c r="FK117" s="591">
        <v>1566.6010000000001</v>
      </c>
      <c r="FL117" s="591">
        <v>11045824</v>
      </c>
      <c r="FM117" s="591">
        <v>0</v>
      </c>
      <c r="FN117" s="591">
        <v>0</v>
      </c>
      <c r="FO117" s="591">
        <v>0</v>
      </c>
      <c r="FP117" s="591">
        <v>0</v>
      </c>
      <c r="FQ117" s="591">
        <v>0</v>
      </c>
      <c r="FR117" s="591">
        <v>0</v>
      </c>
      <c r="FS117" s="591">
        <v>0</v>
      </c>
      <c r="FT117" s="591">
        <v>0</v>
      </c>
      <c r="FU117" s="591">
        <v>0</v>
      </c>
      <c r="FV117" s="591">
        <v>0</v>
      </c>
      <c r="FW117" s="591">
        <v>0</v>
      </c>
      <c r="FX117" s="591">
        <v>0</v>
      </c>
      <c r="FY117" s="591">
        <v>0</v>
      </c>
      <c r="FZ117" s="591">
        <v>0</v>
      </c>
      <c r="GA117" s="591">
        <v>0</v>
      </c>
      <c r="GB117" s="591">
        <v>31006</v>
      </c>
      <c r="GC117" s="591">
        <v>31006</v>
      </c>
      <c r="GD117" s="591">
        <v>3.7290000000000001</v>
      </c>
      <c r="GE117" s="591">
        <v>0</v>
      </c>
      <c r="GF117" s="591">
        <v>0</v>
      </c>
      <c r="GG117" s="591">
        <v>0</v>
      </c>
      <c r="GH117" s="591">
        <v>0</v>
      </c>
      <c r="GI117" s="591">
        <v>0</v>
      </c>
      <c r="GJ117" s="591">
        <v>0</v>
      </c>
      <c r="GK117" s="591">
        <v>0</v>
      </c>
      <c r="GL117" s="591">
        <v>0</v>
      </c>
      <c r="GM117" s="591">
        <v>0</v>
      </c>
      <c r="GN117" s="591">
        <v>0</v>
      </c>
      <c r="GO117" s="591">
        <v>0</v>
      </c>
      <c r="GP117" s="591">
        <v>0</v>
      </c>
      <c r="GQ117" s="591">
        <v>0</v>
      </c>
      <c r="GR117" s="591">
        <v>0</v>
      </c>
      <c r="GS117" s="591">
        <v>0</v>
      </c>
      <c r="GT117" s="591">
        <v>0</v>
      </c>
      <c r="GU117" s="591">
        <v>0</v>
      </c>
      <c r="GV117" s="591">
        <v>0</v>
      </c>
      <c r="GW117" s="591">
        <v>0</v>
      </c>
      <c r="GX117" s="591">
        <v>0</v>
      </c>
      <c r="GY117" s="591">
        <v>0</v>
      </c>
      <c r="GZ117" s="591">
        <v>0</v>
      </c>
      <c r="HA117" s="591">
        <v>0</v>
      </c>
      <c r="HB117" s="591">
        <v>260009272</v>
      </c>
      <c r="HC117" s="591">
        <v>5.1774999999999995E-2</v>
      </c>
      <c r="HD117" s="591">
        <v>194294</v>
      </c>
      <c r="HE117" s="591">
        <v>0</v>
      </c>
      <c r="HF117" s="591">
        <v>1163450</v>
      </c>
      <c r="HG117" s="591">
        <v>6159</v>
      </c>
      <c r="HH117" s="591">
        <v>134422</v>
      </c>
      <c r="HI117" s="591">
        <v>0</v>
      </c>
      <c r="HJ117" s="591">
        <v>10422</v>
      </c>
      <c r="HK117" s="591">
        <v>735</v>
      </c>
      <c r="HL117" s="591">
        <v>383</v>
      </c>
      <c r="HM117" s="591">
        <v>0</v>
      </c>
      <c r="HN117" s="591">
        <v>0</v>
      </c>
      <c r="HO117" s="591">
        <v>0</v>
      </c>
      <c r="HP117" s="591">
        <v>0</v>
      </c>
      <c r="HQ117" s="591">
        <v>0</v>
      </c>
      <c r="HR117" s="591">
        <v>0</v>
      </c>
      <c r="HS117" s="591">
        <v>9211501</v>
      </c>
      <c r="HT117" s="591">
        <v>0</v>
      </c>
      <c r="HU117" s="591">
        <v>0</v>
      </c>
      <c r="HV117" s="591">
        <v>0</v>
      </c>
      <c r="HW117" s="591">
        <v>0</v>
      </c>
      <c r="HX117" s="591">
        <v>181</v>
      </c>
      <c r="HY117" s="591">
        <v>156</v>
      </c>
      <c r="HZ117" s="591">
        <v>175</v>
      </c>
      <c r="IA117" s="591">
        <v>177</v>
      </c>
      <c r="IB117" s="591">
        <v>128</v>
      </c>
      <c r="IC117" s="591">
        <v>817</v>
      </c>
      <c r="ID117" s="591">
        <v>0</v>
      </c>
      <c r="IE117" s="591">
        <v>0</v>
      </c>
      <c r="IF117" s="591">
        <v>0</v>
      </c>
      <c r="IG117" s="591">
        <v>10</v>
      </c>
      <c r="IH117" s="591">
        <v>218.25</v>
      </c>
      <c r="II117" s="591">
        <v>0</v>
      </c>
      <c r="IJ117" s="591">
        <v>190.71800000000002</v>
      </c>
      <c r="IK117" s="591">
        <v>0</v>
      </c>
      <c r="IL117" s="591">
        <v>0</v>
      </c>
      <c r="IM117" s="591">
        <v>0</v>
      </c>
      <c r="IN117" s="591">
        <v>0</v>
      </c>
      <c r="IO117" s="591">
        <v>0</v>
      </c>
      <c r="IP117" s="591">
        <v>0</v>
      </c>
      <c r="IQ117" s="591">
        <v>190.71800000000002</v>
      </c>
      <c r="IR117" s="591">
        <v>117465</v>
      </c>
      <c r="IS117" s="591">
        <v>0</v>
      </c>
      <c r="IT117" s="591">
        <v>0</v>
      </c>
      <c r="IU117" s="591">
        <v>0</v>
      </c>
      <c r="IV117" s="591">
        <v>0</v>
      </c>
      <c r="IW117" s="591">
        <v>6159</v>
      </c>
      <c r="IX117" s="591">
        <v>0</v>
      </c>
      <c r="IY117" s="591">
        <v>0</v>
      </c>
      <c r="IZ117" s="591">
        <v>0</v>
      </c>
      <c r="JA117" s="591">
        <v>0</v>
      </c>
      <c r="JB117" s="591">
        <v>0</v>
      </c>
      <c r="JC117" s="591">
        <v>0</v>
      </c>
      <c r="JD117" s="591">
        <v>0</v>
      </c>
      <c r="JE117" s="591">
        <v>0</v>
      </c>
      <c r="JF117" s="591">
        <v>0</v>
      </c>
      <c r="JG117" s="591">
        <v>0</v>
      </c>
      <c r="JH117" s="591">
        <v>0</v>
      </c>
      <c r="JI117" s="591">
        <v>0</v>
      </c>
      <c r="JJ117" s="591">
        <v>0</v>
      </c>
      <c r="JK117" s="591">
        <v>0</v>
      </c>
      <c r="JL117" s="591">
        <v>0</v>
      </c>
      <c r="JM117" s="591">
        <v>0</v>
      </c>
      <c r="JN117" s="591">
        <v>32469</v>
      </c>
    </row>
    <row r="118" spans="1:274" x14ac:dyDescent="0.25">
      <c r="A118" s="591">
        <v>32570</v>
      </c>
      <c r="B118" s="591">
        <v>101871</v>
      </c>
      <c r="C118" s="591">
        <v>9</v>
      </c>
      <c r="D118" s="591">
        <v>2022</v>
      </c>
      <c r="E118" s="591">
        <v>6159</v>
      </c>
      <c r="F118" s="591">
        <v>0</v>
      </c>
      <c r="G118" s="591">
        <v>141.44200000000001</v>
      </c>
      <c r="H118" s="591">
        <v>140.904</v>
      </c>
      <c r="I118" s="591">
        <v>140.904</v>
      </c>
      <c r="J118" s="591">
        <v>141.44200000000001</v>
      </c>
      <c r="K118" s="591">
        <v>0</v>
      </c>
      <c r="L118" s="591">
        <v>6159</v>
      </c>
      <c r="M118" s="591">
        <v>0</v>
      </c>
      <c r="N118" s="591">
        <v>0</v>
      </c>
      <c r="O118" s="591">
        <v>0</v>
      </c>
      <c r="P118" s="591">
        <v>134.161</v>
      </c>
      <c r="Q118" s="591">
        <v>0</v>
      </c>
      <c r="R118" s="591">
        <v>53990</v>
      </c>
      <c r="S118" s="591">
        <v>402.428</v>
      </c>
      <c r="T118" s="591">
        <v>0</v>
      </c>
      <c r="U118" s="591">
        <v>0</v>
      </c>
      <c r="V118" s="591">
        <v>8.604000000000001</v>
      </c>
      <c r="W118" s="591">
        <v>5299</v>
      </c>
      <c r="X118" s="591">
        <v>5299</v>
      </c>
      <c r="Y118" s="591">
        <v>0</v>
      </c>
      <c r="Z118" s="591">
        <v>0</v>
      </c>
      <c r="AA118" s="591">
        <v>0</v>
      </c>
      <c r="AB118" s="591">
        <v>0</v>
      </c>
      <c r="AC118" s="591">
        <v>0</v>
      </c>
      <c r="AD118" s="591" t="s">
        <v>316</v>
      </c>
      <c r="AE118" s="591">
        <v>0</v>
      </c>
      <c r="AF118" s="591">
        <v>0</v>
      </c>
      <c r="AG118" s="591">
        <v>0</v>
      </c>
      <c r="AH118" s="591">
        <v>0</v>
      </c>
      <c r="AI118" s="591">
        <v>0</v>
      </c>
      <c r="AJ118" s="591">
        <v>6159</v>
      </c>
      <c r="AK118" s="591" t="s">
        <v>671</v>
      </c>
      <c r="AL118" s="591" t="s">
        <v>387</v>
      </c>
      <c r="AM118" s="591">
        <v>0</v>
      </c>
      <c r="AN118" s="591">
        <v>0</v>
      </c>
      <c r="AO118" s="591">
        <v>0</v>
      </c>
      <c r="AP118" s="591">
        <v>0</v>
      </c>
      <c r="AQ118" s="591">
        <v>0</v>
      </c>
      <c r="AR118" s="591">
        <v>0</v>
      </c>
      <c r="AS118" s="591">
        <v>0</v>
      </c>
      <c r="AT118" s="591">
        <v>0</v>
      </c>
      <c r="AU118" s="591">
        <v>0</v>
      </c>
      <c r="AV118" s="591">
        <v>0</v>
      </c>
      <c r="AW118" s="591">
        <v>1622379</v>
      </c>
      <c r="AX118" s="591">
        <v>1585678</v>
      </c>
      <c r="AY118" s="591">
        <v>0</v>
      </c>
      <c r="AZ118" s="591">
        <v>53990</v>
      </c>
      <c r="BA118" s="591">
        <v>0</v>
      </c>
      <c r="BB118" s="591">
        <v>0</v>
      </c>
      <c r="BC118" s="591">
        <v>0</v>
      </c>
      <c r="BD118" s="591">
        <v>0</v>
      </c>
      <c r="BE118" s="591">
        <v>21</v>
      </c>
      <c r="BF118" s="591">
        <v>1457858</v>
      </c>
      <c r="BG118" s="591">
        <v>0</v>
      </c>
      <c r="BH118" s="591">
        <v>0</v>
      </c>
      <c r="BI118" s="591">
        <v>0</v>
      </c>
      <c r="BJ118" s="591">
        <v>12</v>
      </c>
      <c r="BK118" s="591">
        <v>0</v>
      </c>
      <c r="BL118" s="591">
        <v>0</v>
      </c>
      <c r="BM118" s="591">
        <v>0</v>
      </c>
      <c r="BN118" s="591">
        <v>0</v>
      </c>
      <c r="BO118" s="591">
        <v>0</v>
      </c>
      <c r="BP118" s="591">
        <v>0</v>
      </c>
      <c r="BQ118" s="591">
        <v>748</v>
      </c>
      <c r="BR118" s="591">
        <v>0</v>
      </c>
      <c r="BS118" s="591">
        <v>0</v>
      </c>
      <c r="BT118" s="591">
        <v>0</v>
      </c>
      <c r="BU118" s="591">
        <v>0</v>
      </c>
      <c r="BV118" s="591">
        <v>0</v>
      </c>
      <c r="BW118" s="591">
        <v>0</v>
      </c>
      <c r="BX118" s="591">
        <v>0</v>
      </c>
      <c r="BY118" s="591">
        <v>0</v>
      </c>
      <c r="BZ118" s="591">
        <v>0</v>
      </c>
      <c r="CA118" s="591">
        <v>0</v>
      </c>
      <c r="CB118" s="591">
        <v>0</v>
      </c>
      <c r="CC118" s="591">
        <v>0</v>
      </c>
      <c r="CD118" s="591">
        <v>0</v>
      </c>
      <c r="CE118" s="591">
        <v>0</v>
      </c>
      <c r="CF118" s="591">
        <v>0</v>
      </c>
      <c r="CG118" s="591">
        <v>0</v>
      </c>
      <c r="CH118" s="591">
        <v>37708</v>
      </c>
      <c r="CI118" s="591">
        <v>0</v>
      </c>
      <c r="CJ118" s="591">
        <v>4</v>
      </c>
      <c r="CK118" s="591">
        <v>0</v>
      </c>
      <c r="CL118" s="591">
        <v>0</v>
      </c>
      <c r="CM118" s="591">
        <v>0</v>
      </c>
      <c r="CN118" s="591">
        <v>0</v>
      </c>
      <c r="CO118" s="591">
        <v>1</v>
      </c>
      <c r="CP118" s="591">
        <v>0</v>
      </c>
      <c r="CQ118" s="591">
        <v>0</v>
      </c>
      <c r="CR118" s="591">
        <v>141.44200000000001</v>
      </c>
      <c r="CS118" s="591">
        <v>0</v>
      </c>
      <c r="CT118" s="591">
        <v>0</v>
      </c>
      <c r="CU118" s="591">
        <v>0</v>
      </c>
      <c r="CV118" s="591">
        <v>0</v>
      </c>
      <c r="CW118" s="591">
        <v>0</v>
      </c>
      <c r="CX118" s="591">
        <v>0</v>
      </c>
      <c r="CY118" s="591">
        <v>0</v>
      </c>
      <c r="CZ118" s="591">
        <v>0</v>
      </c>
      <c r="DA118" s="591">
        <v>0</v>
      </c>
      <c r="DB118" s="591">
        <v>867839</v>
      </c>
      <c r="DC118" s="591">
        <v>0</v>
      </c>
      <c r="DD118" s="591">
        <v>0</v>
      </c>
      <c r="DE118" s="591">
        <v>167758</v>
      </c>
      <c r="DF118" s="591">
        <v>167758</v>
      </c>
      <c r="DG118" s="591">
        <v>27.238</v>
      </c>
      <c r="DH118" s="591">
        <v>0</v>
      </c>
      <c r="DI118" s="591">
        <v>0</v>
      </c>
      <c r="DJ118" s="591">
        <v>0</v>
      </c>
      <c r="DK118" s="591">
        <v>3595</v>
      </c>
      <c r="DL118" s="591">
        <v>0</v>
      </c>
      <c r="DM118" s="591">
        <v>258516</v>
      </c>
      <c r="DN118" s="591">
        <v>986</v>
      </c>
      <c r="DO118" s="591">
        <v>0</v>
      </c>
      <c r="DP118" s="591">
        <v>0</v>
      </c>
      <c r="DQ118" s="591">
        <v>0</v>
      </c>
      <c r="DR118" s="591">
        <v>0</v>
      </c>
      <c r="DS118" s="591">
        <v>0</v>
      </c>
      <c r="DT118" s="591">
        <v>0</v>
      </c>
      <c r="DU118" s="591">
        <v>0</v>
      </c>
      <c r="DV118" s="591">
        <v>0</v>
      </c>
      <c r="DW118" s="591">
        <v>0</v>
      </c>
      <c r="DX118" s="591">
        <v>0</v>
      </c>
      <c r="DY118" s="591">
        <v>0</v>
      </c>
      <c r="DZ118" s="591">
        <v>0</v>
      </c>
      <c r="EA118" s="591">
        <v>0</v>
      </c>
      <c r="EB118" s="591">
        <v>0</v>
      </c>
      <c r="EC118" s="591">
        <v>34.855000000000004</v>
      </c>
      <c r="ED118" s="591">
        <v>246876</v>
      </c>
      <c r="EE118" s="591">
        <v>0</v>
      </c>
      <c r="EF118" s="591">
        <v>0</v>
      </c>
      <c r="EG118" s="591">
        <v>0</v>
      </c>
      <c r="EH118" s="591">
        <v>12626</v>
      </c>
      <c r="EI118" s="591">
        <v>0</v>
      </c>
      <c r="EJ118" s="591">
        <v>0</v>
      </c>
      <c r="EK118" s="591">
        <v>0</v>
      </c>
      <c r="EL118" s="591">
        <v>0</v>
      </c>
      <c r="EM118" s="591">
        <v>0.32</v>
      </c>
      <c r="EN118" s="591">
        <v>0.218</v>
      </c>
      <c r="EO118" s="591">
        <v>0</v>
      </c>
      <c r="EP118" s="591">
        <v>0</v>
      </c>
      <c r="EQ118" s="591">
        <v>0.53800000000000003</v>
      </c>
      <c r="ER118" s="591">
        <v>0</v>
      </c>
      <c r="ES118" s="591">
        <v>2.0499999999999998</v>
      </c>
      <c r="ET118" s="591">
        <v>0</v>
      </c>
      <c r="EU118" s="591">
        <v>0</v>
      </c>
      <c r="EV118" s="591">
        <v>0</v>
      </c>
      <c r="EW118" s="591">
        <v>0</v>
      </c>
      <c r="EX118" s="591">
        <v>0</v>
      </c>
      <c r="EY118" s="591">
        <v>0</v>
      </c>
      <c r="EZ118" s="591">
        <v>1403868</v>
      </c>
      <c r="FA118" s="591">
        <v>0</v>
      </c>
      <c r="FB118" s="591">
        <v>1456851</v>
      </c>
      <c r="FC118" s="591">
        <v>0</v>
      </c>
      <c r="FD118" s="591">
        <v>0</v>
      </c>
      <c r="FE118" s="591">
        <v>151008</v>
      </c>
      <c r="FF118" s="591">
        <v>30802</v>
      </c>
      <c r="FG118" s="591">
        <v>6.4728999999999995E-2</v>
      </c>
      <c r="FH118" s="591">
        <v>2.6405999999999999E-2</v>
      </c>
      <c r="FI118" s="591">
        <v>0</v>
      </c>
      <c r="FJ118" s="591">
        <v>0</v>
      </c>
      <c r="FK118" s="591">
        <v>236.70100000000002</v>
      </c>
      <c r="FL118" s="591">
        <v>1676369</v>
      </c>
      <c r="FM118" s="591">
        <v>0</v>
      </c>
      <c r="FN118" s="591">
        <v>0</v>
      </c>
      <c r="FO118" s="591">
        <v>0</v>
      </c>
      <c r="FP118" s="591">
        <v>0</v>
      </c>
      <c r="FQ118" s="591">
        <v>0</v>
      </c>
      <c r="FR118" s="591">
        <v>0</v>
      </c>
      <c r="FS118" s="591">
        <v>0</v>
      </c>
      <c r="FT118" s="591">
        <v>0</v>
      </c>
      <c r="FU118" s="591">
        <v>0</v>
      </c>
      <c r="FV118" s="591">
        <v>0</v>
      </c>
      <c r="FW118" s="591">
        <v>0</v>
      </c>
      <c r="FX118" s="591">
        <v>0</v>
      </c>
      <c r="FY118" s="591">
        <v>0</v>
      </c>
      <c r="FZ118" s="591">
        <v>0</v>
      </c>
      <c r="GA118" s="591">
        <v>0</v>
      </c>
      <c r="GB118" s="591">
        <v>0</v>
      </c>
      <c r="GC118" s="591">
        <v>0</v>
      </c>
      <c r="GD118" s="591">
        <v>0</v>
      </c>
      <c r="GE118" s="591">
        <v>0</v>
      </c>
      <c r="GF118" s="591">
        <v>0</v>
      </c>
      <c r="GG118" s="591">
        <v>0</v>
      </c>
      <c r="GH118" s="591">
        <v>0</v>
      </c>
      <c r="GI118" s="591">
        <v>0</v>
      </c>
      <c r="GJ118" s="591">
        <v>0</v>
      </c>
      <c r="GK118" s="591">
        <v>0</v>
      </c>
      <c r="GL118" s="591">
        <v>0</v>
      </c>
      <c r="GM118" s="591">
        <v>0</v>
      </c>
      <c r="GN118" s="591">
        <v>0</v>
      </c>
      <c r="GO118" s="591">
        <v>0</v>
      </c>
      <c r="GP118" s="591">
        <v>0</v>
      </c>
      <c r="GQ118" s="591">
        <v>0</v>
      </c>
      <c r="GR118" s="591">
        <v>0</v>
      </c>
      <c r="GS118" s="591">
        <v>0</v>
      </c>
      <c r="GT118" s="591">
        <v>0</v>
      </c>
      <c r="GU118" s="591">
        <v>0</v>
      </c>
      <c r="GV118" s="591">
        <v>0</v>
      </c>
      <c r="GW118" s="591">
        <v>0</v>
      </c>
      <c r="GX118" s="591">
        <v>0</v>
      </c>
      <c r="GY118" s="591">
        <v>0</v>
      </c>
      <c r="GZ118" s="591">
        <v>0</v>
      </c>
      <c r="HA118" s="591">
        <v>0</v>
      </c>
      <c r="HB118" s="591">
        <v>260009272</v>
      </c>
      <c r="HC118" s="591">
        <v>5.1774999999999995E-2</v>
      </c>
      <c r="HD118" s="591">
        <v>25631</v>
      </c>
      <c r="HE118" s="591">
        <v>0</v>
      </c>
      <c r="HF118" s="591">
        <v>154853</v>
      </c>
      <c r="HG118" s="591">
        <v>1232</v>
      </c>
      <c r="HH118" s="591">
        <v>0</v>
      </c>
      <c r="HI118" s="591">
        <v>0</v>
      </c>
      <c r="HJ118" s="591">
        <v>1375</v>
      </c>
      <c r="HK118" s="591">
        <v>0</v>
      </c>
      <c r="HL118" s="591">
        <v>0</v>
      </c>
      <c r="HM118" s="591">
        <v>0</v>
      </c>
      <c r="HN118" s="591">
        <v>0</v>
      </c>
      <c r="HO118" s="591">
        <v>0</v>
      </c>
      <c r="HP118" s="591">
        <v>0</v>
      </c>
      <c r="HQ118" s="591">
        <v>0</v>
      </c>
      <c r="HR118" s="591">
        <v>0</v>
      </c>
      <c r="HS118" s="591">
        <v>1402861</v>
      </c>
      <c r="HT118" s="591">
        <v>0</v>
      </c>
      <c r="HU118" s="591">
        <v>12077</v>
      </c>
      <c r="HV118" s="591">
        <v>0</v>
      </c>
      <c r="HW118" s="591">
        <v>0</v>
      </c>
      <c r="HX118" s="591">
        <v>12</v>
      </c>
      <c r="HY118" s="591">
        <v>9</v>
      </c>
      <c r="HZ118" s="591">
        <v>17</v>
      </c>
      <c r="IA118" s="591">
        <v>22</v>
      </c>
      <c r="IB118" s="591">
        <v>45</v>
      </c>
      <c r="IC118" s="591">
        <v>105</v>
      </c>
      <c r="ID118" s="591">
        <v>0</v>
      </c>
      <c r="IE118" s="591">
        <v>0</v>
      </c>
      <c r="IF118" s="591">
        <v>0</v>
      </c>
      <c r="IG118" s="591">
        <v>2</v>
      </c>
      <c r="IH118" s="591">
        <v>0</v>
      </c>
      <c r="II118" s="591">
        <v>0</v>
      </c>
      <c r="IJ118" s="591">
        <v>8.604000000000001</v>
      </c>
      <c r="IK118" s="591">
        <v>0</v>
      </c>
      <c r="IL118" s="591">
        <v>0</v>
      </c>
      <c r="IM118" s="591">
        <v>0</v>
      </c>
      <c r="IN118" s="591">
        <v>0</v>
      </c>
      <c r="IO118" s="591">
        <v>0</v>
      </c>
      <c r="IP118" s="591">
        <v>0</v>
      </c>
      <c r="IQ118" s="591">
        <v>8.604000000000001</v>
      </c>
      <c r="IR118" s="591">
        <v>5299</v>
      </c>
      <c r="IS118" s="591">
        <v>0</v>
      </c>
      <c r="IT118" s="591">
        <v>0</v>
      </c>
      <c r="IU118" s="591">
        <v>0</v>
      </c>
      <c r="IV118" s="591">
        <v>0</v>
      </c>
      <c r="IW118" s="591">
        <v>6159</v>
      </c>
      <c r="IX118" s="591">
        <v>0</v>
      </c>
      <c r="IY118" s="591">
        <v>0</v>
      </c>
      <c r="IZ118" s="591">
        <v>0</v>
      </c>
      <c r="JA118" s="591">
        <v>0</v>
      </c>
      <c r="JB118" s="591">
        <v>0</v>
      </c>
      <c r="JC118" s="591">
        <v>0</v>
      </c>
      <c r="JD118" s="591">
        <v>0</v>
      </c>
      <c r="JE118" s="591">
        <v>0</v>
      </c>
      <c r="JF118" s="591">
        <v>0</v>
      </c>
      <c r="JG118" s="591">
        <v>0</v>
      </c>
      <c r="JH118" s="591">
        <v>0</v>
      </c>
      <c r="JI118" s="591">
        <v>0</v>
      </c>
      <c r="JJ118" s="591">
        <v>0</v>
      </c>
      <c r="JK118" s="591">
        <v>0</v>
      </c>
      <c r="JL118" s="591">
        <v>0</v>
      </c>
      <c r="JM118" s="591">
        <v>0</v>
      </c>
      <c r="JN118" s="591">
        <v>32469</v>
      </c>
    </row>
    <row r="119" spans="1:274" x14ac:dyDescent="0.25">
      <c r="A119" s="591">
        <v>32570</v>
      </c>
      <c r="B119" s="591">
        <v>101872</v>
      </c>
      <c r="C119" s="591">
        <v>9</v>
      </c>
      <c r="D119" s="591">
        <v>2022</v>
      </c>
      <c r="E119" s="591">
        <v>6159</v>
      </c>
      <c r="F119" s="591">
        <v>0</v>
      </c>
      <c r="G119" s="591">
        <v>209.65200000000002</v>
      </c>
      <c r="H119" s="591">
        <v>208.89600000000002</v>
      </c>
      <c r="I119" s="591">
        <v>208.89600000000002</v>
      </c>
      <c r="J119" s="591">
        <v>209.65200000000002</v>
      </c>
      <c r="K119" s="591">
        <v>0</v>
      </c>
      <c r="L119" s="591">
        <v>6159</v>
      </c>
      <c r="M119" s="591">
        <v>0</v>
      </c>
      <c r="N119" s="591">
        <v>0</v>
      </c>
      <c r="O119" s="591">
        <v>0</v>
      </c>
      <c r="P119" s="591">
        <v>214.05</v>
      </c>
      <c r="Q119" s="591">
        <v>0</v>
      </c>
      <c r="R119" s="591">
        <v>86140</v>
      </c>
      <c r="S119" s="591">
        <v>402.428</v>
      </c>
      <c r="T119" s="591">
        <v>0</v>
      </c>
      <c r="U119" s="591">
        <v>0</v>
      </c>
      <c r="V119" s="591">
        <v>127.46000000000001</v>
      </c>
      <c r="W119" s="591">
        <v>78504</v>
      </c>
      <c r="X119" s="591">
        <v>78504</v>
      </c>
      <c r="Y119" s="591">
        <v>0</v>
      </c>
      <c r="Z119" s="591">
        <v>0</v>
      </c>
      <c r="AA119" s="591">
        <v>0</v>
      </c>
      <c r="AB119" s="591">
        <v>0</v>
      </c>
      <c r="AC119" s="591">
        <v>0</v>
      </c>
      <c r="AD119" s="591" t="s">
        <v>316</v>
      </c>
      <c r="AE119" s="591">
        <v>0</v>
      </c>
      <c r="AF119" s="591">
        <v>0</v>
      </c>
      <c r="AG119" s="591">
        <v>0</v>
      </c>
      <c r="AH119" s="591">
        <v>0</v>
      </c>
      <c r="AI119" s="591">
        <v>0</v>
      </c>
      <c r="AJ119" s="591">
        <v>6159</v>
      </c>
      <c r="AK119" s="591" t="s">
        <v>671</v>
      </c>
      <c r="AL119" s="591" t="s">
        <v>443</v>
      </c>
      <c r="AM119" s="591">
        <v>0</v>
      </c>
      <c r="AN119" s="591">
        <v>0</v>
      </c>
      <c r="AO119" s="591">
        <v>0</v>
      </c>
      <c r="AP119" s="591">
        <v>0</v>
      </c>
      <c r="AQ119" s="591">
        <v>0</v>
      </c>
      <c r="AR119" s="591">
        <v>0</v>
      </c>
      <c r="AS119" s="591">
        <v>0</v>
      </c>
      <c r="AT119" s="591">
        <v>0</v>
      </c>
      <c r="AU119" s="591">
        <v>0</v>
      </c>
      <c r="AV119" s="591">
        <v>0</v>
      </c>
      <c r="AW119" s="591">
        <v>2296478</v>
      </c>
      <c r="AX119" s="591">
        <v>2259078</v>
      </c>
      <c r="AY119" s="591">
        <v>0</v>
      </c>
      <c r="AZ119" s="591">
        <v>86140</v>
      </c>
      <c r="BA119" s="591">
        <v>0</v>
      </c>
      <c r="BB119" s="591">
        <v>0</v>
      </c>
      <c r="BC119" s="591">
        <v>0</v>
      </c>
      <c r="BD119" s="591">
        <v>0</v>
      </c>
      <c r="BE119" s="591">
        <v>30</v>
      </c>
      <c r="BF119" s="591">
        <v>2075149</v>
      </c>
      <c r="BG119" s="591">
        <v>0</v>
      </c>
      <c r="BH119" s="591">
        <v>0</v>
      </c>
      <c r="BI119" s="591">
        <v>0</v>
      </c>
      <c r="BJ119" s="591">
        <v>12</v>
      </c>
      <c r="BK119" s="591">
        <v>0</v>
      </c>
      <c r="BL119" s="591">
        <v>0</v>
      </c>
      <c r="BM119" s="591">
        <v>0</v>
      </c>
      <c r="BN119" s="591">
        <v>0</v>
      </c>
      <c r="BO119" s="591">
        <v>0</v>
      </c>
      <c r="BP119" s="591">
        <v>0</v>
      </c>
      <c r="BQ119" s="591">
        <v>738</v>
      </c>
      <c r="BR119" s="591">
        <v>0</v>
      </c>
      <c r="BS119" s="591">
        <v>0</v>
      </c>
      <c r="BT119" s="591">
        <v>0</v>
      </c>
      <c r="BU119" s="591">
        <v>0</v>
      </c>
      <c r="BV119" s="591">
        <v>0</v>
      </c>
      <c r="BW119" s="591">
        <v>0</v>
      </c>
      <c r="BX119" s="591">
        <v>0</v>
      </c>
      <c r="BY119" s="591">
        <v>0</v>
      </c>
      <c r="BZ119" s="591">
        <v>0</v>
      </c>
      <c r="CA119" s="591">
        <v>0</v>
      </c>
      <c r="CB119" s="591">
        <v>0</v>
      </c>
      <c r="CC119" s="591">
        <v>0</v>
      </c>
      <c r="CD119" s="591">
        <v>0</v>
      </c>
      <c r="CE119" s="591">
        <v>0</v>
      </c>
      <c r="CF119" s="591">
        <v>0</v>
      </c>
      <c r="CG119" s="591">
        <v>0</v>
      </c>
      <c r="CH119" s="591">
        <v>37991</v>
      </c>
      <c r="CI119" s="591">
        <v>0</v>
      </c>
      <c r="CJ119" s="591">
        <v>5</v>
      </c>
      <c r="CK119" s="591">
        <v>0</v>
      </c>
      <c r="CL119" s="591">
        <v>0</v>
      </c>
      <c r="CM119" s="591">
        <v>0</v>
      </c>
      <c r="CN119" s="591">
        <v>0</v>
      </c>
      <c r="CO119" s="591">
        <v>1</v>
      </c>
      <c r="CP119" s="591">
        <v>0</v>
      </c>
      <c r="CQ119" s="591">
        <v>0</v>
      </c>
      <c r="CR119" s="591">
        <v>209.65200000000002</v>
      </c>
      <c r="CS119" s="591">
        <v>0</v>
      </c>
      <c r="CT119" s="591">
        <v>0</v>
      </c>
      <c r="CU119" s="591">
        <v>0</v>
      </c>
      <c r="CV119" s="591">
        <v>0</v>
      </c>
      <c r="CW119" s="591">
        <v>0</v>
      </c>
      <c r="CX119" s="591">
        <v>0</v>
      </c>
      <c r="CY119" s="591">
        <v>0</v>
      </c>
      <c r="CZ119" s="591">
        <v>0</v>
      </c>
      <c r="DA119" s="591">
        <v>0</v>
      </c>
      <c r="DB119" s="591">
        <v>1286608</v>
      </c>
      <c r="DC119" s="591">
        <v>0</v>
      </c>
      <c r="DD119" s="591">
        <v>0</v>
      </c>
      <c r="DE119" s="591">
        <v>330743</v>
      </c>
      <c r="DF119" s="591">
        <v>330743</v>
      </c>
      <c r="DG119" s="591">
        <v>53.7</v>
      </c>
      <c r="DH119" s="591">
        <v>0</v>
      </c>
      <c r="DI119" s="591">
        <v>0</v>
      </c>
      <c r="DJ119" s="591">
        <v>0</v>
      </c>
      <c r="DK119" s="591">
        <v>3427</v>
      </c>
      <c r="DL119" s="591">
        <v>0</v>
      </c>
      <c r="DM119" s="591">
        <v>147118</v>
      </c>
      <c r="DN119" s="591">
        <v>561</v>
      </c>
      <c r="DO119" s="591">
        <v>0</v>
      </c>
      <c r="DP119" s="591">
        <v>0</v>
      </c>
      <c r="DQ119" s="591">
        <v>0</v>
      </c>
      <c r="DR119" s="591">
        <v>0</v>
      </c>
      <c r="DS119" s="591">
        <v>0</v>
      </c>
      <c r="DT119" s="591">
        <v>0</v>
      </c>
      <c r="DU119" s="591">
        <v>0</v>
      </c>
      <c r="DV119" s="591">
        <v>0</v>
      </c>
      <c r="DW119" s="591">
        <v>0</v>
      </c>
      <c r="DX119" s="591">
        <v>0</v>
      </c>
      <c r="DY119" s="591">
        <v>0</v>
      </c>
      <c r="DZ119" s="591">
        <v>0</v>
      </c>
      <c r="EA119" s="591">
        <v>0</v>
      </c>
      <c r="EB119" s="591">
        <v>0</v>
      </c>
      <c r="EC119" s="591">
        <v>18.497</v>
      </c>
      <c r="ED119" s="591">
        <v>131013</v>
      </c>
      <c r="EE119" s="591">
        <v>0</v>
      </c>
      <c r="EF119" s="591">
        <v>0</v>
      </c>
      <c r="EG119" s="591">
        <v>0</v>
      </c>
      <c r="EH119" s="591">
        <v>16666</v>
      </c>
      <c r="EI119" s="591">
        <v>0</v>
      </c>
      <c r="EJ119" s="591">
        <v>0</v>
      </c>
      <c r="EK119" s="591">
        <v>0.53700000000000003</v>
      </c>
      <c r="EL119" s="591">
        <v>0</v>
      </c>
      <c r="EM119" s="591">
        <v>0</v>
      </c>
      <c r="EN119" s="591">
        <v>0.219</v>
      </c>
      <c r="EO119" s="591">
        <v>0</v>
      </c>
      <c r="EP119" s="591">
        <v>0</v>
      </c>
      <c r="EQ119" s="591">
        <v>0.75600000000000001</v>
      </c>
      <c r="ER119" s="591">
        <v>0</v>
      </c>
      <c r="ES119" s="591">
        <v>2.706</v>
      </c>
      <c r="ET119" s="591">
        <v>0</v>
      </c>
      <c r="EU119" s="591">
        <v>0</v>
      </c>
      <c r="EV119" s="591">
        <v>0</v>
      </c>
      <c r="EW119" s="591">
        <v>0</v>
      </c>
      <c r="EX119" s="591">
        <v>0</v>
      </c>
      <c r="EY119" s="591">
        <v>0</v>
      </c>
      <c r="EZ119" s="591">
        <v>2000286</v>
      </c>
      <c r="FA119" s="591">
        <v>0</v>
      </c>
      <c r="FB119" s="591">
        <v>2085835</v>
      </c>
      <c r="FC119" s="591">
        <v>0</v>
      </c>
      <c r="FD119" s="591">
        <v>0</v>
      </c>
      <c r="FE119" s="591">
        <v>214948</v>
      </c>
      <c r="FF119" s="591">
        <v>43844</v>
      </c>
      <c r="FG119" s="591">
        <v>6.4728999999999995E-2</v>
      </c>
      <c r="FH119" s="591">
        <v>2.6405999999999999E-2</v>
      </c>
      <c r="FI119" s="591">
        <v>0</v>
      </c>
      <c r="FJ119" s="591">
        <v>0</v>
      </c>
      <c r="FK119" s="591">
        <v>336.92500000000001</v>
      </c>
      <c r="FL119" s="591">
        <v>2382618</v>
      </c>
      <c r="FM119" s="591">
        <v>0</v>
      </c>
      <c r="FN119" s="591">
        <v>0</v>
      </c>
      <c r="FO119" s="591">
        <v>11277</v>
      </c>
      <c r="FP119" s="591">
        <v>0</v>
      </c>
      <c r="FQ119" s="591">
        <v>11277</v>
      </c>
      <c r="FR119" s="591">
        <v>11277</v>
      </c>
      <c r="FS119" s="591">
        <v>0</v>
      </c>
      <c r="FT119" s="591">
        <v>0</v>
      </c>
      <c r="FU119" s="591">
        <v>0</v>
      </c>
      <c r="FV119" s="591">
        <v>0</v>
      </c>
      <c r="FW119" s="591">
        <v>0</v>
      </c>
      <c r="FX119" s="591">
        <v>0</v>
      </c>
      <c r="FY119" s="591">
        <v>0</v>
      </c>
      <c r="FZ119" s="591">
        <v>0</v>
      </c>
      <c r="GA119" s="591">
        <v>0</v>
      </c>
      <c r="GB119" s="591">
        <v>0</v>
      </c>
      <c r="GC119" s="591">
        <v>0</v>
      </c>
      <c r="GD119" s="591">
        <v>0</v>
      </c>
      <c r="GE119" s="591">
        <v>0</v>
      </c>
      <c r="GF119" s="591">
        <v>0</v>
      </c>
      <c r="GG119" s="591">
        <v>0</v>
      </c>
      <c r="GH119" s="591">
        <v>0</v>
      </c>
      <c r="GI119" s="591">
        <v>0</v>
      </c>
      <c r="GJ119" s="591">
        <v>0</v>
      </c>
      <c r="GK119" s="591">
        <v>0</v>
      </c>
      <c r="GL119" s="591">
        <v>0</v>
      </c>
      <c r="GM119" s="591">
        <v>0</v>
      </c>
      <c r="GN119" s="591">
        <v>0</v>
      </c>
      <c r="GO119" s="591">
        <v>0</v>
      </c>
      <c r="GP119" s="591">
        <v>0</v>
      </c>
      <c r="GQ119" s="591">
        <v>0</v>
      </c>
      <c r="GR119" s="591">
        <v>0</v>
      </c>
      <c r="GS119" s="591">
        <v>0</v>
      </c>
      <c r="GT119" s="591">
        <v>0</v>
      </c>
      <c r="GU119" s="591">
        <v>0</v>
      </c>
      <c r="GV119" s="591">
        <v>0</v>
      </c>
      <c r="GW119" s="591">
        <v>0</v>
      </c>
      <c r="GX119" s="591">
        <v>0</v>
      </c>
      <c r="GY119" s="591">
        <v>0</v>
      </c>
      <c r="GZ119" s="591">
        <v>0</v>
      </c>
      <c r="HA119" s="591">
        <v>0</v>
      </c>
      <c r="HB119" s="591">
        <v>260009272</v>
      </c>
      <c r="HC119" s="591">
        <v>5.1774999999999995E-2</v>
      </c>
      <c r="HD119" s="591">
        <v>37991</v>
      </c>
      <c r="HE119" s="591">
        <v>0</v>
      </c>
      <c r="HF119" s="591">
        <v>229577</v>
      </c>
      <c r="HG119" s="591">
        <v>0</v>
      </c>
      <c r="HH119" s="591">
        <v>0</v>
      </c>
      <c r="HI119" s="591">
        <v>0</v>
      </c>
      <c r="HJ119" s="591">
        <v>2038</v>
      </c>
      <c r="HK119" s="591">
        <v>0</v>
      </c>
      <c r="HL119" s="591">
        <v>0</v>
      </c>
      <c r="HM119" s="591">
        <v>0</v>
      </c>
      <c r="HN119" s="591">
        <v>0</v>
      </c>
      <c r="HO119" s="591">
        <v>0</v>
      </c>
      <c r="HP119" s="591">
        <v>0</v>
      </c>
      <c r="HQ119" s="591">
        <v>0</v>
      </c>
      <c r="HR119" s="591">
        <v>0</v>
      </c>
      <c r="HS119" s="591">
        <v>1999695</v>
      </c>
      <c r="HT119" s="591">
        <v>0</v>
      </c>
      <c r="HU119" s="591">
        <v>0</v>
      </c>
      <c r="HV119" s="591">
        <v>0</v>
      </c>
      <c r="HW119" s="591">
        <v>0</v>
      </c>
      <c r="HX119" s="591">
        <v>7</v>
      </c>
      <c r="HY119" s="591">
        <v>18</v>
      </c>
      <c r="HZ119" s="591">
        <v>37</v>
      </c>
      <c r="IA119" s="591">
        <v>36</v>
      </c>
      <c r="IB119" s="591">
        <v>106</v>
      </c>
      <c r="IC119" s="591">
        <v>204</v>
      </c>
      <c r="ID119" s="591">
        <v>0</v>
      </c>
      <c r="IE119" s="591">
        <v>0</v>
      </c>
      <c r="IF119" s="591">
        <v>0</v>
      </c>
      <c r="IG119" s="591">
        <v>0</v>
      </c>
      <c r="IH119" s="591">
        <v>0</v>
      </c>
      <c r="II119" s="591">
        <v>0</v>
      </c>
      <c r="IJ119" s="591">
        <v>127.46000000000001</v>
      </c>
      <c r="IK119" s="591">
        <v>0</v>
      </c>
      <c r="IL119" s="591">
        <v>0</v>
      </c>
      <c r="IM119" s="591">
        <v>0</v>
      </c>
      <c r="IN119" s="591">
        <v>0</v>
      </c>
      <c r="IO119" s="591">
        <v>0</v>
      </c>
      <c r="IP119" s="591">
        <v>0</v>
      </c>
      <c r="IQ119" s="591">
        <v>127.46000000000001</v>
      </c>
      <c r="IR119" s="591">
        <v>78504</v>
      </c>
      <c r="IS119" s="591">
        <v>0</v>
      </c>
      <c r="IT119" s="591">
        <v>0</v>
      </c>
      <c r="IU119" s="591">
        <v>0</v>
      </c>
      <c r="IV119" s="591">
        <v>0</v>
      </c>
      <c r="IW119" s="591">
        <v>6159</v>
      </c>
      <c r="IX119" s="591">
        <v>0</v>
      </c>
      <c r="IY119" s="591">
        <v>0</v>
      </c>
      <c r="IZ119" s="591">
        <v>0</v>
      </c>
      <c r="JA119" s="591">
        <v>0</v>
      </c>
      <c r="JB119" s="591">
        <v>0</v>
      </c>
      <c r="JC119" s="591">
        <v>0</v>
      </c>
      <c r="JD119" s="591">
        <v>0</v>
      </c>
      <c r="JE119" s="591">
        <v>0</v>
      </c>
      <c r="JF119" s="591">
        <v>0</v>
      </c>
      <c r="JG119" s="591">
        <v>0</v>
      </c>
      <c r="JH119" s="591">
        <v>0</v>
      </c>
      <c r="JI119" s="591">
        <v>0</v>
      </c>
      <c r="JJ119" s="591">
        <v>0</v>
      </c>
      <c r="JK119" s="591">
        <v>0</v>
      </c>
      <c r="JL119" s="591">
        <v>0</v>
      </c>
      <c r="JM119" s="591">
        <v>0</v>
      </c>
      <c r="JN119" s="591">
        <v>32469</v>
      </c>
    </row>
    <row r="120" spans="1:274" x14ac:dyDescent="0.25">
      <c r="A120" s="591">
        <v>32570</v>
      </c>
      <c r="B120" s="591">
        <v>101873</v>
      </c>
      <c r="C120" s="591">
        <v>9</v>
      </c>
      <c r="D120" s="591">
        <v>2022</v>
      </c>
      <c r="E120" s="591">
        <v>6159</v>
      </c>
      <c r="F120" s="591">
        <v>0</v>
      </c>
      <c r="G120" s="591">
        <v>206.18200000000002</v>
      </c>
      <c r="H120" s="591">
        <v>202.006</v>
      </c>
      <c r="I120" s="591">
        <v>202.006</v>
      </c>
      <c r="J120" s="591">
        <v>206.18200000000002</v>
      </c>
      <c r="K120" s="591">
        <v>0</v>
      </c>
      <c r="L120" s="591">
        <v>6159</v>
      </c>
      <c r="M120" s="591">
        <v>0</v>
      </c>
      <c r="N120" s="591">
        <v>0</v>
      </c>
      <c r="O120" s="591">
        <v>0</v>
      </c>
      <c r="P120" s="591">
        <v>204.542</v>
      </c>
      <c r="Q120" s="591">
        <v>0</v>
      </c>
      <c r="R120" s="591">
        <v>82313</v>
      </c>
      <c r="S120" s="591">
        <v>402.428</v>
      </c>
      <c r="T120" s="591">
        <v>0</v>
      </c>
      <c r="U120" s="591">
        <v>0</v>
      </c>
      <c r="V120" s="591">
        <v>0</v>
      </c>
      <c r="W120" s="591">
        <v>0</v>
      </c>
      <c r="X120" s="591">
        <v>0</v>
      </c>
      <c r="Y120" s="591">
        <v>0</v>
      </c>
      <c r="Z120" s="591">
        <v>0</v>
      </c>
      <c r="AA120" s="591">
        <v>0</v>
      </c>
      <c r="AB120" s="591">
        <v>0</v>
      </c>
      <c r="AC120" s="591">
        <v>0</v>
      </c>
      <c r="AD120" s="591" t="s">
        <v>316</v>
      </c>
      <c r="AE120" s="591">
        <v>0</v>
      </c>
      <c r="AF120" s="591">
        <v>0</v>
      </c>
      <c r="AG120" s="591">
        <v>0</v>
      </c>
      <c r="AH120" s="591">
        <v>0</v>
      </c>
      <c r="AI120" s="591">
        <v>0</v>
      </c>
      <c r="AJ120" s="591">
        <v>6159</v>
      </c>
      <c r="AK120" s="591" t="s">
        <v>671</v>
      </c>
      <c r="AL120" s="591" t="s">
        <v>452</v>
      </c>
      <c r="AM120" s="591">
        <v>0</v>
      </c>
      <c r="AN120" s="591">
        <v>0</v>
      </c>
      <c r="AO120" s="591">
        <v>0</v>
      </c>
      <c r="AP120" s="591">
        <v>0</v>
      </c>
      <c r="AQ120" s="591">
        <v>0</v>
      </c>
      <c r="AR120" s="591">
        <v>0</v>
      </c>
      <c r="AS120" s="591">
        <v>0</v>
      </c>
      <c r="AT120" s="591">
        <v>0</v>
      </c>
      <c r="AU120" s="591">
        <v>0</v>
      </c>
      <c r="AV120" s="591">
        <v>0</v>
      </c>
      <c r="AW120" s="591">
        <v>2187953</v>
      </c>
      <c r="AX120" s="591">
        <v>2188396</v>
      </c>
      <c r="AY120" s="591">
        <v>0</v>
      </c>
      <c r="AZ120" s="591">
        <v>82313</v>
      </c>
      <c r="BA120" s="591">
        <v>0</v>
      </c>
      <c r="BB120" s="591">
        <v>0</v>
      </c>
      <c r="BC120" s="591">
        <v>0</v>
      </c>
      <c r="BD120" s="591">
        <v>0</v>
      </c>
      <c r="BE120" s="591">
        <v>29</v>
      </c>
      <c r="BF120" s="591">
        <v>1971188</v>
      </c>
      <c r="BG120" s="591">
        <v>0</v>
      </c>
      <c r="BH120" s="591">
        <v>0</v>
      </c>
      <c r="BI120" s="591">
        <v>0</v>
      </c>
      <c r="BJ120" s="591">
        <v>12</v>
      </c>
      <c r="BK120" s="591">
        <v>0</v>
      </c>
      <c r="BL120" s="591">
        <v>0</v>
      </c>
      <c r="BM120" s="591">
        <v>0</v>
      </c>
      <c r="BN120" s="591">
        <v>0</v>
      </c>
      <c r="BO120" s="591">
        <v>0</v>
      </c>
      <c r="BP120" s="591">
        <v>0</v>
      </c>
      <c r="BQ120" s="591">
        <v>739</v>
      </c>
      <c r="BR120" s="591">
        <v>0</v>
      </c>
      <c r="BS120" s="591">
        <v>0</v>
      </c>
      <c r="BT120" s="591">
        <v>0</v>
      </c>
      <c r="BU120" s="591">
        <v>0</v>
      </c>
      <c r="BV120" s="591">
        <v>0</v>
      </c>
      <c r="BW120" s="591">
        <v>0</v>
      </c>
      <c r="BX120" s="591">
        <v>0</v>
      </c>
      <c r="BY120" s="591">
        <v>0</v>
      </c>
      <c r="BZ120" s="591">
        <v>0</v>
      </c>
      <c r="CA120" s="591">
        <v>0</v>
      </c>
      <c r="CB120" s="591">
        <v>0</v>
      </c>
      <c r="CC120" s="591">
        <v>0</v>
      </c>
      <c r="CD120" s="591">
        <v>0</v>
      </c>
      <c r="CE120" s="591">
        <v>0</v>
      </c>
      <c r="CF120" s="591">
        <v>0</v>
      </c>
      <c r="CG120" s="591">
        <v>0</v>
      </c>
      <c r="CH120" s="591">
        <v>0</v>
      </c>
      <c r="CI120" s="591">
        <v>0</v>
      </c>
      <c r="CJ120" s="591">
        <v>4</v>
      </c>
      <c r="CK120" s="591">
        <v>0</v>
      </c>
      <c r="CL120" s="591">
        <v>0</v>
      </c>
      <c r="CM120" s="591">
        <v>0</v>
      </c>
      <c r="CN120" s="591">
        <v>0</v>
      </c>
      <c r="CO120" s="591">
        <v>1</v>
      </c>
      <c r="CP120" s="591">
        <v>0</v>
      </c>
      <c r="CQ120" s="591">
        <v>0</v>
      </c>
      <c r="CR120" s="591">
        <v>206.18200000000002</v>
      </c>
      <c r="CS120" s="591">
        <v>0</v>
      </c>
      <c r="CT120" s="591">
        <v>0</v>
      </c>
      <c r="CU120" s="591">
        <v>0</v>
      </c>
      <c r="CV120" s="591">
        <v>0</v>
      </c>
      <c r="CW120" s="591">
        <v>0</v>
      </c>
      <c r="CX120" s="591">
        <v>0</v>
      </c>
      <c r="CY120" s="591">
        <v>0</v>
      </c>
      <c r="CZ120" s="591">
        <v>0</v>
      </c>
      <c r="DA120" s="591">
        <v>0</v>
      </c>
      <c r="DB120" s="591">
        <v>1231704</v>
      </c>
      <c r="DC120" s="591">
        <v>0</v>
      </c>
      <c r="DD120" s="591">
        <v>0</v>
      </c>
      <c r="DE120" s="591">
        <v>392949</v>
      </c>
      <c r="DF120" s="591">
        <v>392949</v>
      </c>
      <c r="DG120" s="591">
        <v>63.800000000000004</v>
      </c>
      <c r="DH120" s="591">
        <v>0</v>
      </c>
      <c r="DI120" s="591">
        <v>0</v>
      </c>
      <c r="DJ120" s="591">
        <v>0</v>
      </c>
      <c r="DK120" s="591">
        <v>3444</v>
      </c>
      <c r="DL120" s="591">
        <v>0</v>
      </c>
      <c r="DM120" s="591">
        <v>120880</v>
      </c>
      <c r="DN120" s="591">
        <v>414</v>
      </c>
      <c r="DO120" s="591">
        <v>0</v>
      </c>
      <c r="DP120" s="591">
        <v>0</v>
      </c>
      <c r="DQ120" s="591">
        <v>0</v>
      </c>
      <c r="DR120" s="591">
        <v>0</v>
      </c>
      <c r="DS120" s="591">
        <v>0</v>
      </c>
      <c r="DT120" s="591">
        <v>0</v>
      </c>
      <c r="DU120" s="591">
        <v>0</v>
      </c>
      <c r="DV120" s="591">
        <v>0</v>
      </c>
      <c r="DW120" s="591">
        <v>0</v>
      </c>
      <c r="DX120" s="591">
        <v>0</v>
      </c>
      <c r="DY120" s="591">
        <v>0</v>
      </c>
      <c r="DZ120" s="591">
        <v>0</v>
      </c>
      <c r="EA120" s="591">
        <v>0</v>
      </c>
      <c r="EB120" s="591">
        <v>0</v>
      </c>
      <c r="EC120" s="591">
        <v>4.2949999999999999</v>
      </c>
      <c r="ED120" s="591">
        <v>30421</v>
      </c>
      <c r="EE120" s="591">
        <v>0</v>
      </c>
      <c r="EF120" s="591">
        <v>0</v>
      </c>
      <c r="EG120" s="591">
        <v>0</v>
      </c>
      <c r="EH120" s="591">
        <v>78405</v>
      </c>
      <c r="EI120" s="591">
        <v>0</v>
      </c>
      <c r="EJ120" s="591">
        <v>0</v>
      </c>
      <c r="EK120" s="591">
        <v>3.62</v>
      </c>
      <c r="EL120" s="591">
        <v>0</v>
      </c>
      <c r="EM120" s="591">
        <v>0.45500000000000002</v>
      </c>
      <c r="EN120" s="591">
        <v>0.10100000000000001</v>
      </c>
      <c r="EO120" s="591">
        <v>0</v>
      </c>
      <c r="EP120" s="591">
        <v>0</v>
      </c>
      <c r="EQ120" s="591">
        <v>4.1760000000000002</v>
      </c>
      <c r="ER120" s="591">
        <v>0</v>
      </c>
      <c r="ES120" s="591">
        <v>12.73</v>
      </c>
      <c r="ET120" s="591">
        <v>0</v>
      </c>
      <c r="EU120" s="591">
        <v>0</v>
      </c>
      <c r="EV120" s="591">
        <v>0</v>
      </c>
      <c r="EW120" s="591">
        <v>0</v>
      </c>
      <c r="EX120" s="591">
        <v>0</v>
      </c>
      <c r="EY120" s="591">
        <v>0</v>
      </c>
      <c r="EZ120" s="591">
        <v>1942570</v>
      </c>
      <c r="FA120" s="591">
        <v>0</v>
      </c>
      <c r="FB120" s="591">
        <v>2024440</v>
      </c>
      <c r="FC120" s="591">
        <v>0</v>
      </c>
      <c r="FD120" s="591">
        <v>0</v>
      </c>
      <c r="FE120" s="591">
        <v>204179</v>
      </c>
      <c r="FF120" s="591">
        <v>41647</v>
      </c>
      <c r="FG120" s="591">
        <v>6.4728999999999995E-2</v>
      </c>
      <c r="FH120" s="591">
        <v>2.6405999999999999E-2</v>
      </c>
      <c r="FI120" s="591">
        <v>0</v>
      </c>
      <c r="FJ120" s="591">
        <v>0</v>
      </c>
      <c r="FK120" s="591">
        <v>320.04599999999999</v>
      </c>
      <c r="FL120" s="591">
        <v>2270266</v>
      </c>
      <c r="FM120" s="591">
        <v>0</v>
      </c>
      <c r="FN120" s="591">
        <v>0</v>
      </c>
      <c r="FO120" s="591">
        <v>53020</v>
      </c>
      <c r="FP120" s="591">
        <v>0</v>
      </c>
      <c r="FQ120" s="591">
        <v>53020</v>
      </c>
      <c r="FR120" s="591">
        <v>53020</v>
      </c>
      <c r="FS120" s="591">
        <v>0</v>
      </c>
      <c r="FT120" s="591">
        <v>0</v>
      </c>
      <c r="FU120" s="591">
        <v>0</v>
      </c>
      <c r="FV120" s="591">
        <v>0</v>
      </c>
      <c r="FW120" s="591">
        <v>0</v>
      </c>
      <c r="FX120" s="591">
        <v>0</v>
      </c>
      <c r="FY120" s="591">
        <v>0</v>
      </c>
      <c r="FZ120" s="591">
        <v>0</v>
      </c>
      <c r="GA120" s="591">
        <v>0</v>
      </c>
      <c r="GB120" s="591">
        <v>0</v>
      </c>
      <c r="GC120" s="591">
        <v>0</v>
      </c>
      <c r="GD120" s="591">
        <v>0</v>
      </c>
      <c r="GE120" s="591">
        <v>0</v>
      </c>
      <c r="GF120" s="591">
        <v>0</v>
      </c>
      <c r="GG120" s="591">
        <v>0</v>
      </c>
      <c r="GH120" s="591">
        <v>0</v>
      </c>
      <c r="GI120" s="591">
        <v>0</v>
      </c>
      <c r="GJ120" s="591">
        <v>0</v>
      </c>
      <c r="GK120" s="591">
        <v>0</v>
      </c>
      <c r="GL120" s="591">
        <v>0</v>
      </c>
      <c r="GM120" s="591">
        <v>0</v>
      </c>
      <c r="GN120" s="591">
        <v>0</v>
      </c>
      <c r="GO120" s="591">
        <v>0</v>
      </c>
      <c r="GP120" s="591">
        <v>0</v>
      </c>
      <c r="GQ120" s="591">
        <v>0</v>
      </c>
      <c r="GR120" s="591">
        <v>0</v>
      </c>
      <c r="GS120" s="591">
        <v>0</v>
      </c>
      <c r="GT120" s="591">
        <v>0</v>
      </c>
      <c r="GU120" s="591">
        <v>0</v>
      </c>
      <c r="GV120" s="591">
        <v>0</v>
      </c>
      <c r="GW120" s="591">
        <v>0</v>
      </c>
      <c r="GX120" s="591">
        <v>0</v>
      </c>
      <c r="GY120" s="591">
        <v>0</v>
      </c>
      <c r="GZ120" s="591">
        <v>0</v>
      </c>
      <c r="HA120" s="591">
        <v>0</v>
      </c>
      <c r="HB120" s="591">
        <v>0</v>
      </c>
      <c r="HC120" s="591">
        <v>5.1774999999999995E-2</v>
      </c>
      <c r="HD120" s="591">
        <v>0</v>
      </c>
      <c r="HE120" s="591">
        <v>0</v>
      </c>
      <c r="HF120" s="591">
        <v>222005</v>
      </c>
      <c r="HG120" s="591">
        <v>1232</v>
      </c>
      <c r="HH120" s="591">
        <v>0</v>
      </c>
      <c r="HI120" s="591">
        <v>0</v>
      </c>
      <c r="HJ120" s="591">
        <v>2004</v>
      </c>
      <c r="HK120" s="591">
        <v>0</v>
      </c>
      <c r="HL120" s="591">
        <v>675</v>
      </c>
      <c r="HM120" s="591">
        <v>0</v>
      </c>
      <c r="HN120" s="591">
        <v>0</v>
      </c>
      <c r="HO120" s="591">
        <v>0</v>
      </c>
      <c r="HP120" s="591">
        <v>0</v>
      </c>
      <c r="HQ120" s="591">
        <v>0</v>
      </c>
      <c r="HR120" s="591">
        <v>0</v>
      </c>
      <c r="HS120" s="591">
        <v>1942127</v>
      </c>
      <c r="HT120" s="591">
        <v>0</v>
      </c>
      <c r="HU120" s="591">
        <v>0</v>
      </c>
      <c r="HV120" s="591">
        <v>0</v>
      </c>
      <c r="HW120" s="591">
        <v>0</v>
      </c>
      <c r="HX120" s="591">
        <v>9</v>
      </c>
      <c r="HY120" s="591">
        <v>13</v>
      </c>
      <c r="HZ120" s="591">
        <v>49</v>
      </c>
      <c r="IA120" s="591">
        <v>47</v>
      </c>
      <c r="IB120" s="591">
        <v>124</v>
      </c>
      <c r="IC120" s="591">
        <v>219</v>
      </c>
      <c r="ID120" s="591">
        <v>0</v>
      </c>
      <c r="IE120" s="591">
        <v>0</v>
      </c>
      <c r="IF120" s="591">
        <v>0</v>
      </c>
      <c r="IG120" s="591">
        <v>2</v>
      </c>
      <c r="IH120" s="591">
        <v>0</v>
      </c>
      <c r="II120" s="591">
        <v>0</v>
      </c>
      <c r="IJ120" s="591">
        <v>0</v>
      </c>
      <c r="IK120" s="591">
        <v>0</v>
      </c>
      <c r="IL120" s="591">
        <v>0</v>
      </c>
      <c r="IM120" s="591">
        <v>0</v>
      </c>
      <c r="IN120" s="591">
        <v>0</v>
      </c>
      <c r="IO120" s="591">
        <v>0</v>
      </c>
      <c r="IP120" s="591">
        <v>0</v>
      </c>
      <c r="IQ120" s="591">
        <v>0</v>
      </c>
      <c r="IR120" s="591">
        <v>0</v>
      </c>
      <c r="IS120" s="591">
        <v>0</v>
      </c>
      <c r="IT120" s="591">
        <v>0</v>
      </c>
      <c r="IU120" s="591">
        <v>0</v>
      </c>
      <c r="IV120" s="591">
        <v>0</v>
      </c>
      <c r="IW120" s="591">
        <v>6159</v>
      </c>
      <c r="IX120" s="591">
        <v>0</v>
      </c>
      <c r="IY120" s="591">
        <v>0</v>
      </c>
      <c r="IZ120" s="591">
        <v>0</v>
      </c>
      <c r="JA120" s="591">
        <v>0</v>
      </c>
      <c r="JB120" s="591">
        <v>0</v>
      </c>
      <c r="JC120" s="591">
        <v>0</v>
      </c>
      <c r="JD120" s="591">
        <v>0</v>
      </c>
      <c r="JE120" s="591">
        <v>0</v>
      </c>
      <c r="JF120" s="591">
        <v>0</v>
      </c>
      <c r="JG120" s="591">
        <v>0</v>
      </c>
      <c r="JH120" s="591">
        <v>0</v>
      </c>
      <c r="JI120" s="591">
        <v>0</v>
      </c>
      <c r="JJ120" s="591">
        <v>0</v>
      </c>
      <c r="JK120" s="591">
        <v>0</v>
      </c>
      <c r="JL120" s="591">
        <v>0</v>
      </c>
      <c r="JM120" s="591">
        <v>0</v>
      </c>
      <c r="JN120" s="591">
        <v>32469</v>
      </c>
    </row>
    <row r="121" spans="1:274" x14ac:dyDescent="0.25">
      <c r="A121" s="591">
        <v>32570</v>
      </c>
      <c r="B121" s="591">
        <v>101874</v>
      </c>
      <c r="C121" s="591">
        <v>9</v>
      </c>
      <c r="D121" s="591">
        <v>2022</v>
      </c>
      <c r="E121" s="591">
        <v>6159</v>
      </c>
      <c r="F121" s="591">
        <v>0</v>
      </c>
      <c r="G121" s="591">
        <v>345.36200000000002</v>
      </c>
      <c r="H121" s="591">
        <v>314.14300000000003</v>
      </c>
      <c r="I121" s="591">
        <v>314.14300000000003</v>
      </c>
      <c r="J121" s="591">
        <v>345.36200000000002</v>
      </c>
      <c r="K121" s="591">
        <v>0</v>
      </c>
      <c r="L121" s="591">
        <v>6159</v>
      </c>
      <c r="M121" s="591">
        <v>0</v>
      </c>
      <c r="N121" s="591">
        <v>0</v>
      </c>
      <c r="O121" s="591">
        <v>0</v>
      </c>
      <c r="P121" s="591">
        <v>346.89699999999999</v>
      </c>
      <c r="Q121" s="591">
        <v>0</v>
      </c>
      <c r="R121" s="591">
        <v>139601</v>
      </c>
      <c r="S121" s="591">
        <v>402.428</v>
      </c>
      <c r="T121" s="591">
        <v>0</v>
      </c>
      <c r="U121" s="591">
        <v>0</v>
      </c>
      <c r="V121" s="591">
        <v>3.774</v>
      </c>
      <c r="W121" s="591">
        <v>2324</v>
      </c>
      <c r="X121" s="591">
        <v>2324</v>
      </c>
      <c r="Y121" s="591">
        <v>0</v>
      </c>
      <c r="Z121" s="591">
        <v>0</v>
      </c>
      <c r="AA121" s="591">
        <v>0</v>
      </c>
      <c r="AB121" s="591">
        <v>0</v>
      </c>
      <c r="AC121" s="591">
        <v>0</v>
      </c>
      <c r="AD121" s="591" t="s">
        <v>316</v>
      </c>
      <c r="AE121" s="591">
        <v>0</v>
      </c>
      <c r="AF121" s="591">
        <v>0</v>
      </c>
      <c r="AG121" s="591">
        <v>0</v>
      </c>
      <c r="AH121" s="591">
        <v>0</v>
      </c>
      <c r="AI121" s="591">
        <v>0</v>
      </c>
      <c r="AJ121" s="591">
        <v>6159</v>
      </c>
      <c r="AK121" s="591" t="s">
        <v>671</v>
      </c>
      <c r="AL121" s="591" t="s">
        <v>445</v>
      </c>
      <c r="AM121" s="591">
        <v>0</v>
      </c>
      <c r="AN121" s="591">
        <v>0</v>
      </c>
      <c r="AO121" s="591">
        <v>0</v>
      </c>
      <c r="AP121" s="591">
        <v>0</v>
      </c>
      <c r="AQ121" s="591">
        <v>0</v>
      </c>
      <c r="AR121" s="591">
        <v>0</v>
      </c>
      <c r="AS121" s="591">
        <v>0</v>
      </c>
      <c r="AT121" s="591">
        <v>0</v>
      </c>
      <c r="AU121" s="591">
        <v>0</v>
      </c>
      <c r="AV121" s="591">
        <v>0</v>
      </c>
      <c r="AW121" s="591">
        <v>3130378</v>
      </c>
      <c r="AX121" s="591">
        <v>3130976</v>
      </c>
      <c r="AY121" s="591">
        <v>0</v>
      </c>
      <c r="AZ121" s="591">
        <v>139601</v>
      </c>
      <c r="BA121" s="591">
        <v>0</v>
      </c>
      <c r="BB121" s="591">
        <v>0</v>
      </c>
      <c r="BC121" s="591">
        <v>0</v>
      </c>
      <c r="BD121" s="591">
        <v>0</v>
      </c>
      <c r="BE121" s="591">
        <v>42</v>
      </c>
      <c r="BF121" s="591">
        <v>2903979</v>
      </c>
      <c r="BG121" s="591">
        <v>0</v>
      </c>
      <c r="BH121" s="591">
        <v>0</v>
      </c>
      <c r="BI121" s="591">
        <v>0</v>
      </c>
      <c r="BJ121" s="591">
        <v>12</v>
      </c>
      <c r="BK121" s="591">
        <v>0</v>
      </c>
      <c r="BL121" s="591">
        <v>0</v>
      </c>
      <c r="BM121" s="591">
        <v>0</v>
      </c>
      <c r="BN121" s="591">
        <v>0</v>
      </c>
      <c r="BO121" s="591">
        <v>0</v>
      </c>
      <c r="BP121" s="591">
        <v>0</v>
      </c>
      <c r="BQ121" s="591">
        <v>722</v>
      </c>
      <c r="BR121" s="591">
        <v>0</v>
      </c>
      <c r="BS121" s="591">
        <v>0</v>
      </c>
      <c r="BT121" s="591">
        <v>0</v>
      </c>
      <c r="BU121" s="591">
        <v>0</v>
      </c>
      <c r="BV121" s="591">
        <v>0</v>
      </c>
      <c r="BW121" s="591">
        <v>0</v>
      </c>
      <c r="BX121" s="591">
        <v>0</v>
      </c>
      <c r="BY121" s="591">
        <v>0</v>
      </c>
      <c r="BZ121" s="591">
        <v>0</v>
      </c>
      <c r="CA121" s="591">
        <v>0</v>
      </c>
      <c r="CB121" s="591">
        <v>0</v>
      </c>
      <c r="CC121" s="591">
        <v>0</v>
      </c>
      <c r="CD121" s="591">
        <v>0</v>
      </c>
      <c r="CE121" s="591">
        <v>0</v>
      </c>
      <c r="CF121" s="591">
        <v>0</v>
      </c>
      <c r="CG121" s="591">
        <v>0</v>
      </c>
      <c r="CH121" s="591">
        <v>0</v>
      </c>
      <c r="CI121" s="591">
        <v>0</v>
      </c>
      <c r="CJ121" s="591">
        <v>4</v>
      </c>
      <c r="CK121" s="591">
        <v>0</v>
      </c>
      <c r="CL121" s="591">
        <v>0</v>
      </c>
      <c r="CM121" s="591">
        <v>0</v>
      </c>
      <c r="CN121" s="591">
        <v>0</v>
      </c>
      <c r="CO121" s="591">
        <v>1</v>
      </c>
      <c r="CP121" s="591">
        <v>0</v>
      </c>
      <c r="CQ121" s="591">
        <v>0</v>
      </c>
      <c r="CR121" s="591">
        <v>345.36200000000002</v>
      </c>
      <c r="CS121" s="591">
        <v>0</v>
      </c>
      <c r="CT121" s="591">
        <v>0</v>
      </c>
      <c r="CU121" s="591">
        <v>0</v>
      </c>
      <c r="CV121" s="591">
        <v>0</v>
      </c>
      <c r="CW121" s="591">
        <v>0</v>
      </c>
      <c r="CX121" s="591">
        <v>0</v>
      </c>
      <c r="CY121" s="591">
        <v>0</v>
      </c>
      <c r="CZ121" s="591">
        <v>0</v>
      </c>
      <c r="DA121" s="591">
        <v>0</v>
      </c>
      <c r="DB121" s="591">
        <v>1932624</v>
      </c>
      <c r="DC121" s="591">
        <v>0</v>
      </c>
      <c r="DD121" s="591">
        <v>0</v>
      </c>
      <c r="DE121" s="591">
        <v>208562</v>
      </c>
      <c r="DF121" s="591">
        <v>208562</v>
      </c>
      <c r="DG121" s="591">
        <v>33.863</v>
      </c>
      <c r="DH121" s="591">
        <v>0</v>
      </c>
      <c r="DI121" s="591">
        <v>0</v>
      </c>
      <c r="DJ121" s="591">
        <v>0</v>
      </c>
      <c r="DK121" s="591">
        <v>3168</v>
      </c>
      <c r="DL121" s="591">
        <v>0</v>
      </c>
      <c r="DM121" s="591">
        <v>147967</v>
      </c>
      <c r="DN121" s="591">
        <v>556</v>
      </c>
      <c r="DO121" s="591">
        <v>0</v>
      </c>
      <c r="DP121" s="591">
        <v>0</v>
      </c>
      <c r="DQ121" s="591">
        <v>0</v>
      </c>
      <c r="DR121" s="591">
        <v>0</v>
      </c>
      <c r="DS121" s="591">
        <v>0</v>
      </c>
      <c r="DT121" s="591">
        <v>0</v>
      </c>
      <c r="DU121" s="591">
        <v>0</v>
      </c>
      <c r="DV121" s="591">
        <v>0</v>
      </c>
      <c r="DW121" s="591">
        <v>0</v>
      </c>
      <c r="DX121" s="591">
        <v>0</v>
      </c>
      <c r="DY121" s="591">
        <v>0</v>
      </c>
      <c r="DZ121" s="591">
        <v>0</v>
      </c>
      <c r="EA121" s="591">
        <v>0</v>
      </c>
      <c r="EB121" s="591">
        <v>0</v>
      </c>
      <c r="EC121" s="591">
        <v>20.279</v>
      </c>
      <c r="ED121" s="591">
        <v>143635</v>
      </c>
      <c r="EE121" s="591">
        <v>0</v>
      </c>
      <c r="EF121" s="591">
        <v>0</v>
      </c>
      <c r="EG121" s="591">
        <v>0</v>
      </c>
      <c r="EH121" s="591">
        <v>2679</v>
      </c>
      <c r="EI121" s="591">
        <v>0</v>
      </c>
      <c r="EJ121" s="591">
        <v>0</v>
      </c>
      <c r="EK121" s="591">
        <v>0</v>
      </c>
      <c r="EL121" s="591">
        <v>0</v>
      </c>
      <c r="EM121" s="591">
        <v>0</v>
      </c>
      <c r="EN121" s="591">
        <v>8.7000000000000008E-2</v>
      </c>
      <c r="EO121" s="591">
        <v>0</v>
      </c>
      <c r="EP121" s="591">
        <v>0</v>
      </c>
      <c r="EQ121" s="591">
        <v>8.7000000000000008E-2</v>
      </c>
      <c r="ER121" s="591">
        <v>0</v>
      </c>
      <c r="ES121" s="591">
        <v>0.435</v>
      </c>
      <c r="ET121" s="591">
        <v>0</v>
      </c>
      <c r="EU121" s="591">
        <v>0</v>
      </c>
      <c r="EV121" s="591">
        <v>0</v>
      </c>
      <c r="EW121" s="591">
        <v>0</v>
      </c>
      <c r="EX121" s="591">
        <v>0</v>
      </c>
      <c r="EY121" s="591">
        <v>0</v>
      </c>
      <c r="EZ121" s="591">
        <v>2768822</v>
      </c>
      <c r="FA121" s="591">
        <v>0</v>
      </c>
      <c r="FB121" s="591">
        <v>2907825</v>
      </c>
      <c r="FC121" s="591">
        <v>0</v>
      </c>
      <c r="FD121" s="591">
        <v>0</v>
      </c>
      <c r="FE121" s="591">
        <v>300799</v>
      </c>
      <c r="FF121" s="591">
        <v>61355</v>
      </c>
      <c r="FG121" s="591">
        <v>6.4728999999999995E-2</v>
      </c>
      <c r="FH121" s="591">
        <v>2.6405999999999999E-2</v>
      </c>
      <c r="FI121" s="591">
        <v>0</v>
      </c>
      <c r="FJ121" s="591">
        <v>0</v>
      </c>
      <c r="FK121" s="591">
        <v>471.495</v>
      </c>
      <c r="FL121" s="591">
        <v>3269979</v>
      </c>
      <c r="FM121" s="591">
        <v>0</v>
      </c>
      <c r="FN121" s="591">
        <v>0</v>
      </c>
      <c r="FO121" s="591">
        <v>0</v>
      </c>
      <c r="FP121" s="591">
        <v>0</v>
      </c>
      <c r="FQ121" s="591">
        <v>0</v>
      </c>
      <c r="FR121" s="591">
        <v>0</v>
      </c>
      <c r="FS121" s="591">
        <v>0</v>
      </c>
      <c r="FT121" s="591">
        <v>0</v>
      </c>
      <c r="FU121" s="591">
        <v>0</v>
      </c>
      <c r="FV121" s="591">
        <v>0</v>
      </c>
      <c r="FW121" s="591">
        <v>0</v>
      </c>
      <c r="FX121" s="591">
        <v>0</v>
      </c>
      <c r="FY121" s="591">
        <v>0</v>
      </c>
      <c r="FZ121" s="591">
        <v>0</v>
      </c>
      <c r="GA121" s="591">
        <v>0</v>
      </c>
      <c r="GB121" s="591">
        <v>258855</v>
      </c>
      <c r="GC121" s="591">
        <v>258855</v>
      </c>
      <c r="GD121" s="591">
        <v>31.132000000000001</v>
      </c>
      <c r="GE121" s="591">
        <v>0</v>
      </c>
      <c r="GF121" s="591">
        <v>0</v>
      </c>
      <c r="GG121" s="591">
        <v>0</v>
      </c>
      <c r="GH121" s="591">
        <v>0</v>
      </c>
      <c r="GI121" s="591">
        <v>0</v>
      </c>
      <c r="GJ121" s="591">
        <v>0</v>
      </c>
      <c r="GK121" s="591">
        <v>0</v>
      </c>
      <c r="GL121" s="591">
        <v>0</v>
      </c>
      <c r="GM121" s="591">
        <v>0</v>
      </c>
      <c r="GN121" s="591">
        <v>0</v>
      </c>
      <c r="GO121" s="591">
        <v>0</v>
      </c>
      <c r="GP121" s="591">
        <v>0</v>
      </c>
      <c r="GQ121" s="591">
        <v>0</v>
      </c>
      <c r="GR121" s="591">
        <v>0</v>
      </c>
      <c r="GS121" s="591">
        <v>0</v>
      </c>
      <c r="GT121" s="591">
        <v>0</v>
      </c>
      <c r="GU121" s="591">
        <v>0</v>
      </c>
      <c r="GV121" s="591">
        <v>0</v>
      </c>
      <c r="GW121" s="591">
        <v>0</v>
      </c>
      <c r="GX121" s="591">
        <v>0</v>
      </c>
      <c r="GY121" s="591">
        <v>0</v>
      </c>
      <c r="GZ121" s="591">
        <v>0</v>
      </c>
      <c r="HA121" s="591">
        <v>0</v>
      </c>
      <c r="HB121" s="591">
        <v>0</v>
      </c>
      <c r="HC121" s="591">
        <v>5.1774999999999995E-2</v>
      </c>
      <c r="HD121" s="591">
        <v>0</v>
      </c>
      <c r="HE121" s="591">
        <v>0</v>
      </c>
      <c r="HF121" s="591">
        <v>345243</v>
      </c>
      <c r="HG121" s="591">
        <v>4491</v>
      </c>
      <c r="HH121" s="591">
        <v>0</v>
      </c>
      <c r="HI121" s="591">
        <v>0</v>
      </c>
      <c r="HJ121" s="591">
        <v>3357</v>
      </c>
      <c r="HK121" s="591">
        <v>2529</v>
      </c>
      <c r="HL121" s="591">
        <v>1915</v>
      </c>
      <c r="HM121" s="591">
        <v>0</v>
      </c>
      <c r="HN121" s="591">
        <v>0</v>
      </c>
      <c r="HO121" s="591">
        <v>0</v>
      </c>
      <c r="HP121" s="591">
        <v>0</v>
      </c>
      <c r="HQ121" s="591">
        <v>0</v>
      </c>
      <c r="HR121" s="591">
        <v>0</v>
      </c>
      <c r="HS121" s="591">
        <v>2768224</v>
      </c>
      <c r="HT121" s="591">
        <v>0</v>
      </c>
      <c r="HU121" s="591">
        <v>0</v>
      </c>
      <c r="HV121" s="591">
        <v>0</v>
      </c>
      <c r="HW121" s="591">
        <v>0</v>
      </c>
      <c r="HX121" s="591">
        <v>34</v>
      </c>
      <c r="HY121" s="591">
        <v>57</v>
      </c>
      <c r="HZ121" s="591">
        <v>24</v>
      </c>
      <c r="IA121" s="591">
        <v>16</v>
      </c>
      <c r="IB121" s="591">
        <v>9</v>
      </c>
      <c r="IC121" s="591">
        <v>90</v>
      </c>
      <c r="ID121" s="591">
        <v>0</v>
      </c>
      <c r="IE121" s="591">
        <v>0</v>
      </c>
      <c r="IF121" s="591">
        <v>0</v>
      </c>
      <c r="IG121" s="591">
        <v>7.2910000000000004</v>
      </c>
      <c r="IH121" s="591">
        <v>0</v>
      </c>
      <c r="II121" s="591">
        <v>0</v>
      </c>
      <c r="IJ121" s="591">
        <v>3.774</v>
      </c>
      <c r="IK121" s="591">
        <v>0</v>
      </c>
      <c r="IL121" s="591">
        <v>0</v>
      </c>
      <c r="IM121" s="591">
        <v>0</v>
      </c>
      <c r="IN121" s="591">
        <v>0</v>
      </c>
      <c r="IO121" s="591">
        <v>0</v>
      </c>
      <c r="IP121" s="591">
        <v>0</v>
      </c>
      <c r="IQ121" s="591">
        <v>3.774</v>
      </c>
      <c r="IR121" s="591">
        <v>2324</v>
      </c>
      <c r="IS121" s="591">
        <v>0</v>
      </c>
      <c r="IT121" s="591">
        <v>0</v>
      </c>
      <c r="IU121" s="591">
        <v>0</v>
      </c>
      <c r="IV121" s="591">
        <v>0</v>
      </c>
      <c r="IW121" s="591">
        <v>6159</v>
      </c>
      <c r="IX121" s="591">
        <v>0</v>
      </c>
      <c r="IY121" s="591">
        <v>0</v>
      </c>
      <c r="IZ121" s="591">
        <v>0</v>
      </c>
      <c r="JA121" s="591">
        <v>0</v>
      </c>
      <c r="JB121" s="591">
        <v>0</v>
      </c>
      <c r="JC121" s="591">
        <v>0</v>
      </c>
      <c r="JD121" s="591">
        <v>0</v>
      </c>
      <c r="JE121" s="591">
        <v>0</v>
      </c>
      <c r="JF121" s="591">
        <v>0</v>
      </c>
      <c r="JG121" s="591">
        <v>0</v>
      </c>
      <c r="JH121" s="591">
        <v>0</v>
      </c>
      <c r="JI121" s="591">
        <v>0</v>
      </c>
      <c r="JJ121" s="591">
        <v>0</v>
      </c>
      <c r="JK121" s="591">
        <v>0</v>
      </c>
      <c r="JL121" s="591">
        <v>0</v>
      </c>
      <c r="JM121" s="591">
        <v>0</v>
      </c>
      <c r="JN121" s="591">
        <v>32469</v>
      </c>
    </row>
    <row r="122" spans="1:274" x14ac:dyDescent="0.25">
      <c r="A122" s="591">
        <v>32570</v>
      </c>
      <c r="B122" s="591">
        <v>101875</v>
      </c>
      <c r="C122" s="591">
        <v>9</v>
      </c>
      <c r="D122" s="591">
        <v>2022</v>
      </c>
      <c r="E122" s="591">
        <v>6159</v>
      </c>
      <c r="F122" s="591">
        <v>0</v>
      </c>
      <c r="G122" s="591">
        <v>78.665999999999997</v>
      </c>
      <c r="H122" s="591">
        <v>77.210000000000008</v>
      </c>
      <c r="I122" s="591">
        <v>77.210000000000008</v>
      </c>
      <c r="J122" s="591">
        <v>78.665999999999997</v>
      </c>
      <c r="K122" s="591">
        <v>0</v>
      </c>
      <c r="L122" s="591">
        <v>6159</v>
      </c>
      <c r="M122" s="591">
        <v>0</v>
      </c>
      <c r="N122" s="591">
        <v>0</v>
      </c>
      <c r="O122" s="591">
        <v>0</v>
      </c>
      <c r="P122" s="591">
        <v>79.906000000000006</v>
      </c>
      <c r="Q122" s="591">
        <v>0</v>
      </c>
      <c r="R122" s="591">
        <v>32156</v>
      </c>
      <c r="S122" s="591">
        <v>402.428</v>
      </c>
      <c r="T122" s="591">
        <v>0</v>
      </c>
      <c r="U122" s="591">
        <v>0</v>
      </c>
      <c r="V122" s="591">
        <v>0</v>
      </c>
      <c r="W122" s="591">
        <v>0</v>
      </c>
      <c r="X122" s="591">
        <v>0</v>
      </c>
      <c r="Y122" s="591">
        <v>0</v>
      </c>
      <c r="Z122" s="591">
        <v>0</v>
      </c>
      <c r="AA122" s="591">
        <v>0</v>
      </c>
      <c r="AB122" s="591">
        <v>0</v>
      </c>
      <c r="AC122" s="591">
        <v>0</v>
      </c>
      <c r="AD122" s="591" t="s">
        <v>316</v>
      </c>
      <c r="AE122" s="591">
        <v>0</v>
      </c>
      <c r="AF122" s="591">
        <v>0</v>
      </c>
      <c r="AG122" s="591">
        <v>0</v>
      </c>
      <c r="AH122" s="591">
        <v>0</v>
      </c>
      <c r="AI122" s="591">
        <v>0</v>
      </c>
      <c r="AJ122" s="591">
        <v>6159</v>
      </c>
      <c r="AK122" s="591" t="s">
        <v>671</v>
      </c>
      <c r="AL122" s="591" t="s">
        <v>465</v>
      </c>
      <c r="AM122" s="591">
        <v>0</v>
      </c>
      <c r="AN122" s="591">
        <v>0</v>
      </c>
      <c r="AO122" s="591">
        <v>0</v>
      </c>
      <c r="AP122" s="591">
        <v>0</v>
      </c>
      <c r="AQ122" s="591">
        <v>0</v>
      </c>
      <c r="AR122" s="591">
        <v>0</v>
      </c>
      <c r="AS122" s="591">
        <v>0</v>
      </c>
      <c r="AT122" s="591">
        <v>0</v>
      </c>
      <c r="AU122" s="591">
        <v>0</v>
      </c>
      <c r="AV122" s="591">
        <v>0</v>
      </c>
      <c r="AW122" s="591">
        <v>837484</v>
      </c>
      <c r="AX122" s="591">
        <v>828262</v>
      </c>
      <c r="AY122" s="591">
        <v>0</v>
      </c>
      <c r="AZ122" s="591">
        <v>32156</v>
      </c>
      <c r="BA122" s="591">
        <v>0</v>
      </c>
      <c r="BB122" s="591">
        <v>0</v>
      </c>
      <c r="BC122" s="591">
        <v>0</v>
      </c>
      <c r="BD122" s="591">
        <v>0</v>
      </c>
      <c r="BE122" s="591">
        <v>11</v>
      </c>
      <c r="BF122" s="591">
        <v>765014</v>
      </c>
      <c r="BG122" s="591">
        <v>0</v>
      </c>
      <c r="BH122" s="591">
        <v>0</v>
      </c>
      <c r="BI122" s="591">
        <v>0</v>
      </c>
      <c r="BJ122" s="591">
        <v>12</v>
      </c>
      <c r="BK122" s="591">
        <v>0</v>
      </c>
      <c r="BL122" s="591">
        <v>0</v>
      </c>
      <c r="BM122" s="591">
        <v>0</v>
      </c>
      <c r="BN122" s="591">
        <v>0</v>
      </c>
      <c r="BO122" s="591">
        <v>0</v>
      </c>
      <c r="BP122" s="591">
        <v>0</v>
      </c>
      <c r="BQ122" s="591">
        <v>758</v>
      </c>
      <c r="BR122" s="591">
        <v>0</v>
      </c>
      <c r="BS122" s="591">
        <v>0</v>
      </c>
      <c r="BT122" s="591">
        <v>0</v>
      </c>
      <c r="BU122" s="591">
        <v>0</v>
      </c>
      <c r="BV122" s="591">
        <v>0</v>
      </c>
      <c r="BW122" s="591">
        <v>0</v>
      </c>
      <c r="BX122" s="591">
        <v>0</v>
      </c>
      <c r="BY122" s="591">
        <v>0</v>
      </c>
      <c r="BZ122" s="591">
        <v>0</v>
      </c>
      <c r="CA122" s="591">
        <v>0</v>
      </c>
      <c r="CB122" s="591">
        <v>0</v>
      </c>
      <c r="CC122" s="591">
        <v>0</v>
      </c>
      <c r="CD122" s="591">
        <v>0</v>
      </c>
      <c r="CE122" s="591">
        <v>0</v>
      </c>
      <c r="CF122" s="591">
        <v>0</v>
      </c>
      <c r="CG122" s="591">
        <v>0</v>
      </c>
      <c r="CH122" s="591">
        <v>9388</v>
      </c>
      <c r="CI122" s="591">
        <v>0</v>
      </c>
      <c r="CJ122" s="591">
        <v>4</v>
      </c>
      <c r="CK122" s="591">
        <v>0</v>
      </c>
      <c r="CL122" s="591">
        <v>0</v>
      </c>
      <c r="CM122" s="591">
        <v>0</v>
      </c>
      <c r="CN122" s="591">
        <v>0</v>
      </c>
      <c r="CO122" s="591">
        <v>1</v>
      </c>
      <c r="CP122" s="591">
        <v>0</v>
      </c>
      <c r="CQ122" s="591">
        <v>0</v>
      </c>
      <c r="CR122" s="591">
        <v>78.665999999999997</v>
      </c>
      <c r="CS122" s="591">
        <v>0</v>
      </c>
      <c r="CT122" s="591">
        <v>0</v>
      </c>
      <c r="CU122" s="591">
        <v>0</v>
      </c>
      <c r="CV122" s="591">
        <v>0</v>
      </c>
      <c r="CW122" s="591">
        <v>0</v>
      </c>
      <c r="CX122" s="591">
        <v>0</v>
      </c>
      <c r="CY122" s="591">
        <v>0</v>
      </c>
      <c r="CZ122" s="591">
        <v>0</v>
      </c>
      <c r="DA122" s="591">
        <v>0</v>
      </c>
      <c r="DB122" s="591">
        <v>475543</v>
      </c>
      <c r="DC122" s="591">
        <v>0</v>
      </c>
      <c r="DD122" s="591">
        <v>0</v>
      </c>
      <c r="DE122" s="591">
        <v>138579</v>
      </c>
      <c r="DF122" s="591">
        <v>138579</v>
      </c>
      <c r="DG122" s="591">
        <v>22.5</v>
      </c>
      <c r="DH122" s="591">
        <v>0</v>
      </c>
      <c r="DI122" s="591">
        <v>0</v>
      </c>
      <c r="DJ122" s="591">
        <v>0</v>
      </c>
      <c r="DK122" s="591">
        <v>3752</v>
      </c>
      <c r="DL122" s="591">
        <v>0</v>
      </c>
      <c r="DM122" s="591">
        <v>40728</v>
      </c>
      <c r="DN122" s="591">
        <v>155</v>
      </c>
      <c r="DO122" s="591">
        <v>0</v>
      </c>
      <c r="DP122" s="591">
        <v>0</v>
      </c>
      <c r="DQ122" s="591">
        <v>0</v>
      </c>
      <c r="DR122" s="591">
        <v>0</v>
      </c>
      <c r="DS122" s="591">
        <v>0</v>
      </c>
      <c r="DT122" s="591">
        <v>0</v>
      </c>
      <c r="DU122" s="591">
        <v>0</v>
      </c>
      <c r="DV122" s="591">
        <v>0</v>
      </c>
      <c r="DW122" s="591">
        <v>0</v>
      </c>
      <c r="DX122" s="591">
        <v>0</v>
      </c>
      <c r="DY122" s="591">
        <v>0</v>
      </c>
      <c r="DZ122" s="591">
        <v>0</v>
      </c>
      <c r="EA122" s="591">
        <v>0</v>
      </c>
      <c r="EB122" s="591">
        <v>0</v>
      </c>
      <c r="EC122" s="591">
        <v>1.165</v>
      </c>
      <c r="ED122" s="591">
        <v>8252</v>
      </c>
      <c r="EE122" s="591">
        <v>0</v>
      </c>
      <c r="EF122" s="591">
        <v>0</v>
      </c>
      <c r="EG122" s="591">
        <v>0</v>
      </c>
      <c r="EH122" s="591">
        <v>32631</v>
      </c>
      <c r="EI122" s="591">
        <v>0</v>
      </c>
      <c r="EJ122" s="591">
        <v>0</v>
      </c>
      <c r="EK122" s="591">
        <v>0.90600000000000003</v>
      </c>
      <c r="EL122" s="591">
        <v>0</v>
      </c>
      <c r="EM122" s="591">
        <v>8.5000000000000006E-2</v>
      </c>
      <c r="EN122" s="591">
        <v>0.46500000000000002</v>
      </c>
      <c r="EO122" s="591">
        <v>0</v>
      </c>
      <c r="EP122" s="591">
        <v>0</v>
      </c>
      <c r="EQ122" s="591">
        <v>1.456</v>
      </c>
      <c r="ER122" s="591">
        <v>0</v>
      </c>
      <c r="ES122" s="591">
        <v>5.298</v>
      </c>
      <c r="ET122" s="591">
        <v>0</v>
      </c>
      <c r="EU122" s="591">
        <v>0</v>
      </c>
      <c r="EV122" s="591">
        <v>0</v>
      </c>
      <c r="EW122" s="591">
        <v>0</v>
      </c>
      <c r="EX122" s="591">
        <v>0</v>
      </c>
      <c r="EY122" s="591">
        <v>0</v>
      </c>
      <c r="EZ122" s="591">
        <v>732858</v>
      </c>
      <c r="FA122" s="591">
        <v>0</v>
      </c>
      <c r="FB122" s="591">
        <v>764848</v>
      </c>
      <c r="FC122" s="591">
        <v>0</v>
      </c>
      <c r="FD122" s="591">
        <v>0</v>
      </c>
      <c r="FE122" s="591">
        <v>79241</v>
      </c>
      <c r="FF122" s="591">
        <v>16163</v>
      </c>
      <c r="FG122" s="591">
        <v>6.4728999999999995E-2</v>
      </c>
      <c r="FH122" s="591">
        <v>2.6405999999999999E-2</v>
      </c>
      <c r="FI122" s="591">
        <v>0</v>
      </c>
      <c r="FJ122" s="591">
        <v>0</v>
      </c>
      <c r="FK122" s="591">
        <v>124.209</v>
      </c>
      <c r="FL122" s="591">
        <v>869640</v>
      </c>
      <c r="FM122" s="591">
        <v>0</v>
      </c>
      <c r="FN122" s="591">
        <v>0</v>
      </c>
      <c r="FO122" s="591">
        <v>0</v>
      </c>
      <c r="FP122" s="591">
        <v>0</v>
      </c>
      <c r="FQ122" s="591">
        <v>0</v>
      </c>
      <c r="FR122" s="591">
        <v>0</v>
      </c>
      <c r="FS122" s="591">
        <v>0</v>
      </c>
      <c r="FT122" s="591">
        <v>0</v>
      </c>
      <c r="FU122" s="591">
        <v>0</v>
      </c>
      <c r="FV122" s="591">
        <v>0</v>
      </c>
      <c r="FW122" s="591">
        <v>0</v>
      </c>
      <c r="FX122" s="591">
        <v>0</v>
      </c>
      <c r="FY122" s="591">
        <v>0</v>
      </c>
      <c r="FZ122" s="591">
        <v>0</v>
      </c>
      <c r="GA122" s="591">
        <v>0</v>
      </c>
      <c r="GB122" s="591">
        <v>0</v>
      </c>
      <c r="GC122" s="591">
        <v>0</v>
      </c>
      <c r="GD122" s="591">
        <v>0</v>
      </c>
      <c r="GE122" s="591">
        <v>0</v>
      </c>
      <c r="GF122" s="591">
        <v>0</v>
      </c>
      <c r="GG122" s="591">
        <v>0</v>
      </c>
      <c r="GH122" s="591">
        <v>0</v>
      </c>
      <c r="GI122" s="591">
        <v>0</v>
      </c>
      <c r="GJ122" s="591">
        <v>0</v>
      </c>
      <c r="GK122" s="591">
        <v>0</v>
      </c>
      <c r="GL122" s="591">
        <v>0</v>
      </c>
      <c r="GM122" s="591">
        <v>0</v>
      </c>
      <c r="GN122" s="591">
        <v>0</v>
      </c>
      <c r="GO122" s="591">
        <v>0</v>
      </c>
      <c r="GP122" s="591">
        <v>0</v>
      </c>
      <c r="GQ122" s="591">
        <v>0</v>
      </c>
      <c r="GR122" s="591">
        <v>0</v>
      </c>
      <c r="GS122" s="591">
        <v>0</v>
      </c>
      <c r="GT122" s="591">
        <v>0</v>
      </c>
      <c r="GU122" s="591">
        <v>0</v>
      </c>
      <c r="GV122" s="591">
        <v>0</v>
      </c>
      <c r="GW122" s="591">
        <v>0</v>
      </c>
      <c r="GX122" s="591">
        <v>0</v>
      </c>
      <c r="GY122" s="591">
        <v>0</v>
      </c>
      <c r="GZ122" s="591">
        <v>0</v>
      </c>
      <c r="HA122" s="591">
        <v>0</v>
      </c>
      <c r="HB122" s="591">
        <v>0</v>
      </c>
      <c r="HC122" s="591">
        <v>5.1774999999999995E-2</v>
      </c>
      <c r="HD122" s="591">
        <v>0</v>
      </c>
      <c r="HE122" s="591">
        <v>0</v>
      </c>
      <c r="HF122" s="591">
        <v>84854</v>
      </c>
      <c r="HG122" s="591">
        <v>1232</v>
      </c>
      <c r="HH122" s="591">
        <v>23158</v>
      </c>
      <c r="HI122" s="591">
        <v>0</v>
      </c>
      <c r="HJ122" s="591">
        <v>765</v>
      </c>
      <c r="HK122" s="591">
        <v>0</v>
      </c>
      <c r="HL122" s="591">
        <v>0</v>
      </c>
      <c r="HM122" s="591">
        <v>0</v>
      </c>
      <c r="HN122" s="591">
        <v>0</v>
      </c>
      <c r="HO122" s="591">
        <v>0</v>
      </c>
      <c r="HP122" s="591">
        <v>0</v>
      </c>
      <c r="HQ122" s="591">
        <v>0</v>
      </c>
      <c r="HR122" s="591">
        <v>0</v>
      </c>
      <c r="HS122" s="591">
        <v>732692</v>
      </c>
      <c r="HT122" s="591">
        <v>0</v>
      </c>
      <c r="HU122" s="591">
        <v>9388</v>
      </c>
      <c r="HV122" s="591">
        <v>0</v>
      </c>
      <c r="HW122" s="591">
        <v>0</v>
      </c>
      <c r="HX122" s="591">
        <v>10</v>
      </c>
      <c r="HY122" s="591">
        <v>12</v>
      </c>
      <c r="HZ122" s="591">
        <v>7</v>
      </c>
      <c r="IA122" s="591">
        <v>24</v>
      </c>
      <c r="IB122" s="591">
        <v>34</v>
      </c>
      <c r="IC122" s="591">
        <v>87</v>
      </c>
      <c r="ID122" s="591">
        <v>0</v>
      </c>
      <c r="IE122" s="591">
        <v>0</v>
      </c>
      <c r="IF122" s="591">
        <v>0</v>
      </c>
      <c r="IG122" s="591">
        <v>2</v>
      </c>
      <c r="IH122" s="591">
        <v>37.6</v>
      </c>
      <c r="II122" s="591">
        <v>0</v>
      </c>
      <c r="IJ122" s="591">
        <v>0</v>
      </c>
      <c r="IK122" s="591">
        <v>0</v>
      </c>
      <c r="IL122" s="591">
        <v>0</v>
      </c>
      <c r="IM122" s="591">
        <v>0</v>
      </c>
      <c r="IN122" s="591">
        <v>0</v>
      </c>
      <c r="IO122" s="591">
        <v>0</v>
      </c>
      <c r="IP122" s="591">
        <v>0</v>
      </c>
      <c r="IQ122" s="591">
        <v>0</v>
      </c>
      <c r="IR122" s="591">
        <v>0</v>
      </c>
      <c r="IS122" s="591">
        <v>0</v>
      </c>
      <c r="IT122" s="591">
        <v>0</v>
      </c>
      <c r="IU122" s="591">
        <v>0</v>
      </c>
      <c r="IV122" s="591">
        <v>0</v>
      </c>
      <c r="IW122" s="591">
        <v>6159</v>
      </c>
      <c r="IX122" s="591">
        <v>0</v>
      </c>
      <c r="IY122" s="591">
        <v>0</v>
      </c>
      <c r="IZ122" s="591">
        <v>0</v>
      </c>
      <c r="JA122" s="591">
        <v>0</v>
      </c>
      <c r="JB122" s="591">
        <v>0</v>
      </c>
      <c r="JC122" s="591">
        <v>0</v>
      </c>
      <c r="JD122" s="591">
        <v>0</v>
      </c>
      <c r="JE122" s="591">
        <v>0</v>
      </c>
      <c r="JF122" s="591">
        <v>0</v>
      </c>
      <c r="JG122" s="591">
        <v>0</v>
      </c>
      <c r="JH122" s="591">
        <v>0</v>
      </c>
      <c r="JI122" s="591">
        <v>0</v>
      </c>
      <c r="JJ122" s="591">
        <v>0</v>
      </c>
      <c r="JK122" s="591">
        <v>0</v>
      </c>
      <c r="JL122" s="591">
        <v>0</v>
      </c>
      <c r="JM122" s="591">
        <v>0</v>
      </c>
      <c r="JN122" s="591">
        <v>32469</v>
      </c>
    </row>
    <row r="123" spans="1:274" x14ac:dyDescent="0.25">
      <c r="A123" s="591">
        <v>32570</v>
      </c>
      <c r="B123" s="591">
        <v>101876</v>
      </c>
      <c r="C123" s="591">
        <v>9</v>
      </c>
      <c r="D123" s="591">
        <v>2022</v>
      </c>
      <c r="E123" s="591">
        <v>6159</v>
      </c>
      <c r="F123" s="591">
        <v>0</v>
      </c>
      <c r="G123" s="591">
        <v>107.613</v>
      </c>
      <c r="H123" s="591">
        <v>107.26300000000001</v>
      </c>
      <c r="I123" s="591">
        <v>107.26300000000001</v>
      </c>
      <c r="J123" s="591">
        <v>107.613</v>
      </c>
      <c r="K123" s="591">
        <v>0</v>
      </c>
      <c r="L123" s="591">
        <v>6159</v>
      </c>
      <c r="M123" s="591">
        <v>0</v>
      </c>
      <c r="N123" s="591">
        <v>0</v>
      </c>
      <c r="O123" s="591">
        <v>0</v>
      </c>
      <c r="P123" s="591">
        <v>108.503</v>
      </c>
      <c r="Q123" s="591">
        <v>0</v>
      </c>
      <c r="R123" s="591">
        <v>43665</v>
      </c>
      <c r="S123" s="591">
        <v>402.428</v>
      </c>
      <c r="T123" s="591">
        <v>0</v>
      </c>
      <c r="U123" s="591">
        <v>0</v>
      </c>
      <c r="V123" s="591">
        <v>28.534000000000002</v>
      </c>
      <c r="W123" s="591">
        <v>17574</v>
      </c>
      <c r="X123" s="591">
        <v>17574</v>
      </c>
      <c r="Y123" s="591">
        <v>0</v>
      </c>
      <c r="Z123" s="591">
        <v>0</v>
      </c>
      <c r="AA123" s="591">
        <v>0</v>
      </c>
      <c r="AB123" s="591">
        <v>0</v>
      </c>
      <c r="AC123" s="591">
        <v>0</v>
      </c>
      <c r="AD123" s="591" t="s">
        <v>316</v>
      </c>
      <c r="AE123" s="591">
        <v>0</v>
      </c>
      <c r="AF123" s="591">
        <v>0</v>
      </c>
      <c r="AG123" s="591">
        <v>0</v>
      </c>
      <c r="AH123" s="591">
        <v>0</v>
      </c>
      <c r="AI123" s="591">
        <v>0</v>
      </c>
      <c r="AJ123" s="591">
        <v>6159</v>
      </c>
      <c r="AK123" s="591" t="s">
        <v>671</v>
      </c>
      <c r="AL123" s="591" t="s">
        <v>466</v>
      </c>
      <c r="AM123" s="591">
        <v>0</v>
      </c>
      <c r="AN123" s="591">
        <v>0</v>
      </c>
      <c r="AO123" s="591">
        <v>0</v>
      </c>
      <c r="AP123" s="591">
        <v>0</v>
      </c>
      <c r="AQ123" s="591">
        <v>0</v>
      </c>
      <c r="AR123" s="591">
        <v>0</v>
      </c>
      <c r="AS123" s="591">
        <v>0</v>
      </c>
      <c r="AT123" s="591">
        <v>0</v>
      </c>
      <c r="AU123" s="591">
        <v>0</v>
      </c>
      <c r="AV123" s="591">
        <v>0</v>
      </c>
      <c r="AW123" s="591">
        <v>1063982</v>
      </c>
      <c r="AX123" s="591">
        <v>1064120</v>
      </c>
      <c r="AY123" s="591">
        <v>0</v>
      </c>
      <c r="AZ123" s="591">
        <v>43665</v>
      </c>
      <c r="BA123" s="591">
        <v>0</v>
      </c>
      <c r="BB123" s="591">
        <v>0</v>
      </c>
      <c r="BC123" s="591">
        <v>0</v>
      </c>
      <c r="BD123" s="591">
        <v>0</v>
      </c>
      <c r="BE123" s="591">
        <v>14</v>
      </c>
      <c r="BF123" s="591">
        <v>965549</v>
      </c>
      <c r="BG123" s="591">
        <v>0</v>
      </c>
      <c r="BH123" s="591">
        <v>0</v>
      </c>
      <c r="BI123" s="591">
        <v>0</v>
      </c>
      <c r="BJ123" s="591">
        <v>12</v>
      </c>
      <c r="BK123" s="591">
        <v>0</v>
      </c>
      <c r="BL123" s="591">
        <v>0</v>
      </c>
      <c r="BM123" s="591">
        <v>0</v>
      </c>
      <c r="BN123" s="591">
        <v>0</v>
      </c>
      <c r="BO123" s="591">
        <v>0</v>
      </c>
      <c r="BP123" s="591">
        <v>0</v>
      </c>
      <c r="BQ123" s="591">
        <v>753</v>
      </c>
      <c r="BR123" s="591">
        <v>0</v>
      </c>
      <c r="BS123" s="591">
        <v>0</v>
      </c>
      <c r="BT123" s="591">
        <v>0</v>
      </c>
      <c r="BU123" s="591">
        <v>0</v>
      </c>
      <c r="BV123" s="591">
        <v>0</v>
      </c>
      <c r="BW123" s="591">
        <v>0</v>
      </c>
      <c r="BX123" s="591">
        <v>0</v>
      </c>
      <c r="BY123" s="591">
        <v>0</v>
      </c>
      <c r="BZ123" s="591">
        <v>0</v>
      </c>
      <c r="CA123" s="591">
        <v>0</v>
      </c>
      <c r="CB123" s="591">
        <v>0</v>
      </c>
      <c r="CC123" s="591">
        <v>0</v>
      </c>
      <c r="CD123" s="591">
        <v>0</v>
      </c>
      <c r="CE123" s="591">
        <v>0</v>
      </c>
      <c r="CF123" s="591">
        <v>0</v>
      </c>
      <c r="CG123" s="591">
        <v>0</v>
      </c>
      <c r="CH123" s="591">
        <v>0</v>
      </c>
      <c r="CI123" s="591">
        <v>0</v>
      </c>
      <c r="CJ123" s="591">
        <v>5</v>
      </c>
      <c r="CK123" s="591">
        <v>0</v>
      </c>
      <c r="CL123" s="591">
        <v>0</v>
      </c>
      <c r="CM123" s="591">
        <v>0</v>
      </c>
      <c r="CN123" s="591">
        <v>0</v>
      </c>
      <c r="CO123" s="591">
        <v>1</v>
      </c>
      <c r="CP123" s="591">
        <v>0</v>
      </c>
      <c r="CQ123" s="591">
        <v>0</v>
      </c>
      <c r="CR123" s="591">
        <v>107.613</v>
      </c>
      <c r="CS123" s="591">
        <v>0</v>
      </c>
      <c r="CT123" s="591">
        <v>0</v>
      </c>
      <c r="CU123" s="591">
        <v>0</v>
      </c>
      <c r="CV123" s="591">
        <v>0</v>
      </c>
      <c r="CW123" s="591">
        <v>0</v>
      </c>
      <c r="CX123" s="591">
        <v>0</v>
      </c>
      <c r="CY123" s="591">
        <v>0</v>
      </c>
      <c r="CZ123" s="591">
        <v>0</v>
      </c>
      <c r="DA123" s="591">
        <v>0</v>
      </c>
      <c r="DB123" s="591">
        <v>660642</v>
      </c>
      <c r="DC123" s="591">
        <v>0</v>
      </c>
      <c r="DD123" s="591">
        <v>0</v>
      </c>
      <c r="DE123" s="591">
        <v>77527</v>
      </c>
      <c r="DF123" s="591">
        <v>77527</v>
      </c>
      <c r="DG123" s="591">
        <v>12.588000000000001</v>
      </c>
      <c r="DH123" s="591">
        <v>0</v>
      </c>
      <c r="DI123" s="591">
        <v>0</v>
      </c>
      <c r="DJ123" s="591">
        <v>0</v>
      </c>
      <c r="DK123" s="591">
        <v>3678</v>
      </c>
      <c r="DL123" s="591">
        <v>0</v>
      </c>
      <c r="DM123" s="591">
        <v>32370</v>
      </c>
      <c r="DN123" s="591">
        <v>124</v>
      </c>
      <c r="DO123" s="591">
        <v>0</v>
      </c>
      <c r="DP123" s="591">
        <v>0</v>
      </c>
      <c r="DQ123" s="591">
        <v>0</v>
      </c>
      <c r="DR123" s="591">
        <v>0</v>
      </c>
      <c r="DS123" s="591">
        <v>0</v>
      </c>
      <c r="DT123" s="591">
        <v>0</v>
      </c>
      <c r="DU123" s="591">
        <v>0</v>
      </c>
      <c r="DV123" s="591">
        <v>0</v>
      </c>
      <c r="DW123" s="591">
        <v>0</v>
      </c>
      <c r="DX123" s="591">
        <v>0</v>
      </c>
      <c r="DY123" s="591">
        <v>0</v>
      </c>
      <c r="DZ123" s="591">
        <v>0</v>
      </c>
      <c r="EA123" s="591">
        <v>0</v>
      </c>
      <c r="EB123" s="591">
        <v>0</v>
      </c>
      <c r="EC123" s="591">
        <v>3.0660000000000003</v>
      </c>
      <c r="ED123" s="591">
        <v>21716</v>
      </c>
      <c r="EE123" s="591">
        <v>0</v>
      </c>
      <c r="EF123" s="591">
        <v>0</v>
      </c>
      <c r="EG123" s="591">
        <v>0</v>
      </c>
      <c r="EH123" s="591">
        <v>10778</v>
      </c>
      <c r="EI123" s="591">
        <v>0</v>
      </c>
      <c r="EJ123" s="591">
        <v>0</v>
      </c>
      <c r="EK123" s="591">
        <v>0</v>
      </c>
      <c r="EL123" s="591">
        <v>0</v>
      </c>
      <c r="EM123" s="591">
        <v>0</v>
      </c>
      <c r="EN123" s="591">
        <v>0.35000000000000003</v>
      </c>
      <c r="EO123" s="591">
        <v>0</v>
      </c>
      <c r="EP123" s="591">
        <v>0</v>
      </c>
      <c r="EQ123" s="591">
        <v>0.35000000000000003</v>
      </c>
      <c r="ER123" s="591">
        <v>0</v>
      </c>
      <c r="ES123" s="591">
        <v>1.75</v>
      </c>
      <c r="ET123" s="591">
        <v>0</v>
      </c>
      <c r="EU123" s="591">
        <v>0</v>
      </c>
      <c r="EV123" s="591">
        <v>0</v>
      </c>
      <c r="EW123" s="591">
        <v>0</v>
      </c>
      <c r="EX123" s="591">
        <v>0</v>
      </c>
      <c r="EY123" s="591">
        <v>0</v>
      </c>
      <c r="EZ123" s="591">
        <v>943707</v>
      </c>
      <c r="FA123" s="591">
        <v>0</v>
      </c>
      <c r="FB123" s="591">
        <v>987234</v>
      </c>
      <c r="FC123" s="591">
        <v>0</v>
      </c>
      <c r="FD123" s="591">
        <v>0</v>
      </c>
      <c r="FE123" s="591">
        <v>100013</v>
      </c>
      <c r="FF123" s="591">
        <v>20400</v>
      </c>
      <c r="FG123" s="591">
        <v>6.4728999999999995E-2</v>
      </c>
      <c r="FH123" s="591">
        <v>2.6405999999999999E-2</v>
      </c>
      <c r="FI123" s="591">
        <v>0</v>
      </c>
      <c r="FJ123" s="591">
        <v>0</v>
      </c>
      <c r="FK123" s="591">
        <v>156.768</v>
      </c>
      <c r="FL123" s="591">
        <v>1107647</v>
      </c>
      <c r="FM123" s="591">
        <v>0</v>
      </c>
      <c r="FN123" s="591">
        <v>0</v>
      </c>
      <c r="FO123" s="591">
        <v>21823</v>
      </c>
      <c r="FP123" s="591">
        <v>0</v>
      </c>
      <c r="FQ123" s="591">
        <v>21823</v>
      </c>
      <c r="FR123" s="591">
        <v>21823</v>
      </c>
      <c r="FS123" s="591">
        <v>0</v>
      </c>
      <c r="FT123" s="591">
        <v>0</v>
      </c>
      <c r="FU123" s="591">
        <v>0</v>
      </c>
      <c r="FV123" s="591">
        <v>0</v>
      </c>
      <c r="FW123" s="591">
        <v>0</v>
      </c>
      <c r="FX123" s="591">
        <v>0</v>
      </c>
      <c r="FY123" s="591">
        <v>0</v>
      </c>
      <c r="FZ123" s="591">
        <v>0</v>
      </c>
      <c r="GA123" s="591">
        <v>0</v>
      </c>
      <c r="GB123" s="591">
        <v>0</v>
      </c>
      <c r="GC123" s="591">
        <v>0</v>
      </c>
      <c r="GD123" s="591">
        <v>0</v>
      </c>
      <c r="GE123" s="591">
        <v>0</v>
      </c>
      <c r="GF123" s="591">
        <v>0</v>
      </c>
      <c r="GG123" s="591">
        <v>0</v>
      </c>
      <c r="GH123" s="591">
        <v>0</v>
      </c>
      <c r="GI123" s="591">
        <v>0</v>
      </c>
      <c r="GJ123" s="591">
        <v>0</v>
      </c>
      <c r="GK123" s="591">
        <v>0</v>
      </c>
      <c r="GL123" s="591">
        <v>0</v>
      </c>
      <c r="GM123" s="591">
        <v>0</v>
      </c>
      <c r="GN123" s="591">
        <v>0</v>
      </c>
      <c r="GO123" s="591">
        <v>0</v>
      </c>
      <c r="GP123" s="591">
        <v>0</v>
      </c>
      <c r="GQ123" s="591">
        <v>0</v>
      </c>
      <c r="GR123" s="591">
        <v>0</v>
      </c>
      <c r="GS123" s="591">
        <v>0</v>
      </c>
      <c r="GT123" s="591">
        <v>0</v>
      </c>
      <c r="GU123" s="591">
        <v>0</v>
      </c>
      <c r="GV123" s="591">
        <v>0</v>
      </c>
      <c r="GW123" s="591">
        <v>0</v>
      </c>
      <c r="GX123" s="591">
        <v>0</v>
      </c>
      <c r="GY123" s="591">
        <v>0</v>
      </c>
      <c r="GZ123" s="591">
        <v>0</v>
      </c>
      <c r="HA123" s="591">
        <v>0</v>
      </c>
      <c r="HB123" s="591">
        <v>0</v>
      </c>
      <c r="HC123" s="591">
        <v>5.1774999999999995E-2</v>
      </c>
      <c r="HD123" s="591">
        <v>0</v>
      </c>
      <c r="HE123" s="591">
        <v>0</v>
      </c>
      <c r="HF123" s="591">
        <v>117882</v>
      </c>
      <c r="HG123" s="591">
        <v>0</v>
      </c>
      <c r="HH123" s="591">
        <v>58384</v>
      </c>
      <c r="HI123" s="591">
        <v>0</v>
      </c>
      <c r="HJ123" s="591">
        <v>1046</v>
      </c>
      <c r="HK123" s="591">
        <v>0</v>
      </c>
      <c r="HL123" s="591">
        <v>0</v>
      </c>
      <c r="HM123" s="591">
        <v>0</v>
      </c>
      <c r="HN123" s="591">
        <v>0</v>
      </c>
      <c r="HO123" s="591">
        <v>0</v>
      </c>
      <c r="HP123" s="591">
        <v>0</v>
      </c>
      <c r="HQ123" s="591">
        <v>0</v>
      </c>
      <c r="HR123" s="591">
        <v>0</v>
      </c>
      <c r="HS123" s="591">
        <v>943569</v>
      </c>
      <c r="HT123" s="591">
        <v>0</v>
      </c>
      <c r="HU123" s="591">
        <v>0</v>
      </c>
      <c r="HV123" s="591">
        <v>0</v>
      </c>
      <c r="HW123" s="591">
        <v>0</v>
      </c>
      <c r="HX123" s="591">
        <v>3</v>
      </c>
      <c r="HY123" s="591">
        <v>8</v>
      </c>
      <c r="HZ123" s="591">
        <v>8</v>
      </c>
      <c r="IA123" s="591">
        <v>19</v>
      </c>
      <c r="IB123" s="591">
        <v>11</v>
      </c>
      <c r="IC123" s="591">
        <v>33</v>
      </c>
      <c r="ID123" s="591">
        <v>0</v>
      </c>
      <c r="IE123" s="591">
        <v>0</v>
      </c>
      <c r="IF123" s="591">
        <v>0</v>
      </c>
      <c r="IG123" s="591">
        <v>0</v>
      </c>
      <c r="IH123" s="591">
        <v>94.794000000000011</v>
      </c>
      <c r="II123" s="591">
        <v>0</v>
      </c>
      <c r="IJ123" s="591">
        <v>28.534000000000002</v>
      </c>
      <c r="IK123" s="591">
        <v>0</v>
      </c>
      <c r="IL123" s="591">
        <v>0</v>
      </c>
      <c r="IM123" s="591">
        <v>0</v>
      </c>
      <c r="IN123" s="591">
        <v>0</v>
      </c>
      <c r="IO123" s="591">
        <v>0</v>
      </c>
      <c r="IP123" s="591">
        <v>0</v>
      </c>
      <c r="IQ123" s="591">
        <v>28.534000000000002</v>
      </c>
      <c r="IR123" s="591">
        <v>17574</v>
      </c>
      <c r="IS123" s="591">
        <v>0</v>
      </c>
      <c r="IT123" s="591">
        <v>0</v>
      </c>
      <c r="IU123" s="591">
        <v>0</v>
      </c>
      <c r="IV123" s="591">
        <v>0</v>
      </c>
      <c r="IW123" s="591">
        <v>6159</v>
      </c>
      <c r="IX123" s="591">
        <v>0</v>
      </c>
      <c r="IY123" s="591">
        <v>0</v>
      </c>
      <c r="IZ123" s="591">
        <v>0</v>
      </c>
      <c r="JA123" s="591">
        <v>0</v>
      </c>
      <c r="JB123" s="591">
        <v>0</v>
      </c>
      <c r="JC123" s="591">
        <v>0</v>
      </c>
      <c r="JD123" s="591">
        <v>0</v>
      </c>
      <c r="JE123" s="591">
        <v>0</v>
      </c>
      <c r="JF123" s="591">
        <v>0</v>
      </c>
      <c r="JG123" s="591">
        <v>0</v>
      </c>
      <c r="JH123" s="591">
        <v>0</v>
      </c>
      <c r="JI123" s="591">
        <v>0</v>
      </c>
      <c r="JJ123" s="591">
        <v>0</v>
      </c>
      <c r="JK123" s="591">
        <v>0</v>
      </c>
      <c r="JL123" s="591">
        <v>0</v>
      </c>
      <c r="JM123" s="591">
        <v>0</v>
      </c>
      <c r="JN123" s="591">
        <v>32469</v>
      </c>
    </row>
    <row r="124" spans="1:274" x14ac:dyDescent="0.25">
      <c r="B124" s="591">
        <v>101877</v>
      </c>
      <c r="C124" s="591">
        <v>0</v>
      </c>
      <c r="D124" s="591">
        <v>0</v>
      </c>
      <c r="E124" s="591">
        <v>6159</v>
      </c>
      <c r="F124" s="591">
        <v>0</v>
      </c>
      <c r="G124" s="591">
        <v>0</v>
      </c>
      <c r="H124" s="591">
        <v>0</v>
      </c>
      <c r="I124" s="591">
        <v>0</v>
      </c>
      <c r="J124" s="591">
        <v>0</v>
      </c>
      <c r="K124" s="591">
        <v>0</v>
      </c>
      <c r="L124" s="591">
        <v>6159</v>
      </c>
      <c r="M124" s="591">
        <v>0</v>
      </c>
      <c r="N124" s="591">
        <v>0</v>
      </c>
      <c r="O124" s="591">
        <v>0</v>
      </c>
      <c r="P124" s="591">
        <v>0</v>
      </c>
      <c r="Q124" s="591">
        <v>0</v>
      </c>
      <c r="R124" s="591">
        <v>0</v>
      </c>
      <c r="S124" s="591">
        <v>402.428</v>
      </c>
      <c r="T124" s="591">
        <v>0</v>
      </c>
      <c r="U124" s="591">
        <v>0</v>
      </c>
      <c r="V124" s="591">
        <v>0</v>
      </c>
      <c r="W124" s="591">
        <v>0</v>
      </c>
      <c r="X124" s="591">
        <v>0</v>
      </c>
      <c r="Y124" s="591">
        <v>0</v>
      </c>
      <c r="Z124" s="591">
        <v>0</v>
      </c>
      <c r="AA124" s="591">
        <v>0</v>
      </c>
      <c r="AB124" s="591">
        <v>0</v>
      </c>
      <c r="AC124" s="591">
        <v>0</v>
      </c>
      <c r="AD124" s="591">
        <v>0</v>
      </c>
      <c r="AE124" s="591">
        <v>0</v>
      </c>
      <c r="AF124" s="591">
        <v>0</v>
      </c>
      <c r="AG124" s="591">
        <v>0</v>
      </c>
      <c r="AH124" s="591">
        <v>0</v>
      </c>
      <c r="AI124" s="591">
        <v>0</v>
      </c>
      <c r="AJ124" s="591">
        <v>6159</v>
      </c>
      <c r="AK124" s="591">
        <v>0</v>
      </c>
      <c r="AL124" s="591" t="s">
        <v>547</v>
      </c>
      <c r="AM124" s="591">
        <v>0</v>
      </c>
      <c r="AN124" s="591">
        <v>0</v>
      </c>
      <c r="AO124" s="591">
        <v>0</v>
      </c>
      <c r="AP124" s="591">
        <v>0</v>
      </c>
      <c r="AQ124" s="591">
        <v>0</v>
      </c>
      <c r="AR124" s="591">
        <v>0</v>
      </c>
      <c r="AS124" s="591">
        <v>0</v>
      </c>
      <c r="AT124" s="591">
        <v>0</v>
      </c>
      <c r="AU124" s="591">
        <v>0</v>
      </c>
      <c r="AV124" s="591">
        <v>0</v>
      </c>
      <c r="AW124" s="591">
        <v>0</v>
      </c>
      <c r="AX124" s="591">
        <v>0</v>
      </c>
      <c r="AY124" s="591">
        <v>0</v>
      </c>
      <c r="AZ124" s="591">
        <v>0</v>
      </c>
      <c r="BA124" s="591">
        <v>0</v>
      </c>
      <c r="BB124" s="591">
        <v>0</v>
      </c>
      <c r="BC124" s="591">
        <v>0</v>
      </c>
      <c r="BD124" s="591">
        <v>0</v>
      </c>
      <c r="BE124" s="591">
        <v>0</v>
      </c>
      <c r="BF124" s="591">
        <v>0</v>
      </c>
      <c r="BG124" s="591">
        <v>0</v>
      </c>
      <c r="BH124" s="591">
        <v>0</v>
      </c>
      <c r="BI124" s="591">
        <v>0</v>
      </c>
      <c r="BJ124" s="591">
        <v>0</v>
      </c>
      <c r="BK124" s="591">
        <v>0</v>
      </c>
      <c r="BL124" s="591">
        <v>0</v>
      </c>
      <c r="BM124" s="591">
        <v>0</v>
      </c>
      <c r="BN124" s="591">
        <v>0</v>
      </c>
      <c r="BO124" s="591">
        <v>0</v>
      </c>
      <c r="BP124" s="591">
        <v>0</v>
      </c>
      <c r="BQ124" s="591">
        <v>0</v>
      </c>
      <c r="BR124" s="591">
        <v>0</v>
      </c>
      <c r="BS124" s="591">
        <v>0</v>
      </c>
      <c r="BT124" s="591">
        <v>0</v>
      </c>
      <c r="BU124" s="591">
        <v>0</v>
      </c>
      <c r="BV124" s="591">
        <v>0</v>
      </c>
      <c r="BW124" s="591">
        <v>0</v>
      </c>
      <c r="BX124" s="591">
        <v>0</v>
      </c>
      <c r="BY124" s="591">
        <v>0</v>
      </c>
      <c r="BZ124" s="591">
        <v>0</v>
      </c>
      <c r="CA124" s="591">
        <v>0</v>
      </c>
      <c r="CB124" s="591">
        <v>0</v>
      </c>
      <c r="CC124" s="591">
        <v>0</v>
      </c>
      <c r="CD124" s="591">
        <v>0</v>
      </c>
      <c r="CE124" s="591">
        <v>0</v>
      </c>
      <c r="CF124" s="591">
        <v>0</v>
      </c>
      <c r="CG124" s="591">
        <v>0</v>
      </c>
      <c r="CH124" s="591">
        <v>0</v>
      </c>
      <c r="CI124" s="591">
        <v>0</v>
      </c>
      <c r="CJ124" s="591">
        <v>0</v>
      </c>
      <c r="CK124" s="591">
        <v>0</v>
      </c>
      <c r="CL124" s="591">
        <v>0</v>
      </c>
      <c r="CM124" s="591">
        <v>0</v>
      </c>
      <c r="CN124" s="591">
        <v>0</v>
      </c>
      <c r="CO124" s="591">
        <v>0</v>
      </c>
      <c r="CP124" s="591">
        <v>0</v>
      </c>
      <c r="CQ124" s="591">
        <v>0</v>
      </c>
      <c r="CR124" s="591">
        <v>0</v>
      </c>
      <c r="CS124" s="591">
        <v>0</v>
      </c>
      <c r="CT124" s="591">
        <v>0</v>
      </c>
      <c r="CU124" s="591">
        <v>0</v>
      </c>
      <c r="CV124" s="591">
        <v>0</v>
      </c>
      <c r="CW124" s="591">
        <v>0</v>
      </c>
      <c r="CX124" s="591">
        <v>0</v>
      </c>
      <c r="CY124" s="591">
        <v>0</v>
      </c>
      <c r="CZ124" s="591">
        <v>0</v>
      </c>
      <c r="DA124" s="591">
        <v>0</v>
      </c>
      <c r="DB124" s="591">
        <v>0</v>
      </c>
      <c r="DC124" s="591">
        <v>0</v>
      </c>
      <c r="DD124" s="591">
        <v>0</v>
      </c>
      <c r="DE124" s="591">
        <v>0</v>
      </c>
      <c r="DF124" s="591">
        <v>0</v>
      </c>
      <c r="DG124" s="591">
        <v>0</v>
      </c>
      <c r="DH124" s="591">
        <v>0</v>
      </c>
      <c r="DI124" s="591">
        <v>0</v>
      </c>
      <c r="DJ124" s="591">
        <v>0</v>
      </c>
      <c r="DK124" s="591">
        <v>0</v>
      </c>
      <c r="DL124" s="591">
        <v>0</v>
      </c>
      <c r="DM124" s="591">
        <v>0</v>
      </c>
      <c r="DN124" s="591">
        <v>0</v>
      </c>
      <c r="DO124" s="591">
        <v>0</v>
      </c>
      <c r="DP124" s="591">
        <v>0</v>
      </c>
      <c r="DQ124" s="591">
        <v>0</v>
      </c>
      <c r="DR124" s="591">
        <v>0</v>
      </c>
      <c r="DS124" s="591">
        <v>0</v>
      </c>
      <c r="DT124" s="591">
        <v>0</v>
      </c>
      <c r="DU124" s="591">
        <v>0</v>
      </c>
      <c r="DV124" s="591">
        <v>0</v>
      </c>
      <c r="DW124" s="591">
        <v>0</v>
      </c>
      <c r="DX124" s="591">
        <v>0</v>
      </c>
      <c r="DY124" s="591">
        <v>0</v>
      </c>
      <c r="DZ124" s="591">
        <v>0</v>
      </c>
      <c r="EA124" s="591">
        <v>0</v>
      </c>
      <c r="EB124" s="591">
        <v>0</v>
      </c>
      <c r="EC124" s="591">
        <v>0</v>
      </c>
      <c r="ED124" s="591">
        <v>0</v>
      </c>
      <c r="EE124" s="591">
        <v>0</v>
      </c>
      <c r="EF124" s="591">
        <v>0</v>
      </c>
      <c r="EG124" s="591">
        <v>0</v>
      </c>
      <c r="EH124" s="591">
        <v>0</v>
      </c>
      <c r="EI124" s="591">
        <v>0</v>
      </c>
      <c r="EJ124" s="591">
        <v>0</v>
      </c>
      <c r="EK124" s="591">
        <v>0</v>
      </c>
      <c r="EL124" s="591">
        <v>0</v>
      </c>
      <c r="EM124" s="591">
        <v>0</v>
      </c>
      <c r="EN124" s="591">
        <v>0</v>
      </c>
      <c r="EO124" s="591">
        <v>0</v>
      </c>
      <c r="EP124" s="591">
        <v>0</v>
      </c>
      <c r="EQ124" s="591">
        <v>0</v>
      </c>
      <c r="ER124" s="591">
        <v>0</v>
      </c>
      <c r="ES124" s="591">
        <v>0</v>
      </c>
      <c r="ET124" s="591">
        <v>0</v>
      </c>
      <c r="EU124" s="591">
        <v>0</v>
      </c>
      <c r="EV124" s="591">
        <v>0</v>
      </c>
      <c r="EW124" s="591">
        <v>0</v>
      </c>
      <c r="EX124" s="591">
        <v>0</v>
      </c>
      <c r="EY124" s="591">
        <v>0</v>
      </c>
      <c r="EZ124" s="591">
        <v>0</v>
      </c>
      <c r="FA124" s="591">
        <v>0</v>
      </c>
      <c r="FB124" s="591">
        <v>0</v>
      </c>
      <c r="FC124" s="591">
        <v>0</v>
      </c>
      <c r="FD124" s="591">
        <v>0</v>
      </c>
      <c r="FE124" s="591">
        <v>0</v>
      </c>
      <c r="FF124" s="591">
        <v>0</v>
      </c>
      <c r="FG124" s="591">
        <v>6.4728999999999995E-2</v>
      </c>
      <c r="FH124" s="591">
        <v>2.6405999999999999E-2</v>
      </c>
      <c r="FI124" s="591">
        <v>0</v>
      </c>
      <c r="FJ124" s="591">
        <v>0</v>
      </c>
      <c r="FK124" s="591">
        <v>0</v>
      </c>
      <c r="FL124" s="591">
        <v>0</v>
      </c>
      <c r="FM124" s="591">
        <v>0</v>
      </c>
      <c r="FN124" s="591">
        <v>0</v>
      </c>
      <c r="FO124" s="591">
        <v>0</v>
      </c>
      <c r="FP124" s="591">
        <v>0</v>
      </c>
      <c r="FQ124" s="591">
        <v>0</v>
      </c>
      <c r="FR124" s="591">
        <v>0</v>
      </c>
      <c r="FS124" s="591">
        <v>0</v>
      </c>
      <c r="FT124" s="591">
        <v>0</v>
      </c>
      <c r="FU124" s="591">
        <v>0</v>
      </c>
      <c r="FV124" s="591">
        <v>0</v>
      </c>
      <c r="FW124" s="591">
        <v>0</v>
      </c>
      <c r="FX124" s="591">
        <v>0</v>
      </c>
      <c r="FY124" s="591">
        <v>0</v>
      </c>
      <c r="FZ124" s="591">
        <v>0</v>
      </c>
      <c r="GA124" s="591">
        <v>0</v>
      </c>
      <c r="GB124" s="591">
        <v>0</v>
      </c>
      <c r="GC124" s="591">
        <v>0</v>
      </c>
      <c r="GD124" s="591">
        <v>0</v>
      </c>
      <c r="GE124" s="591">
        <v>0</v>
      </c>
      <c r="GF124" s="591">
        <v>0</v>
      </c>
      <c r="GG124" s="591">
        <v>0</v>
      </c>
      <c r="GH124" s="591">
        <v>0</v>
      </c>
      <c r="GI124" s="591">
        <v>0</v>
      </c>
      <c r="GJ124" s="591">
        <v>0</v>
      </c>
      <c r="GK124" s="591">
        <v>0</v>
      </c>
      <c r="GL124" s="591">
        <v>0</v>
      </c>
      <c r="GM124" s="591">
        <v>0</v>
      </c>
      <c r="GN124" s="591">
        <v>0</v>
      </c>
      <c r="GO124" s="591">
        <v>0</v>
      </c>
      <c r="GP124" s="591">
        <v>0</v>
      </c>
      <c r="GQ124" s="591">
        <v>0</v>
      </c>
      <c r="GR124" s="591">
        <v>0</v>
      </c>
      <c r="GS124" s="591">
        <v>0</v>
      </c>
      <c r="GT124" s="591">
        <v>0</v>
      </c>
      <c r="GU124" s="591">
        <v>0</v>
      </c>
      <c r="GV124" s="591">
        <v>0</v>
      </c>
      <c r="GW124" s="591">
        <v>0</v>
      </c>
      <c r="GX124" s="591">
        <v>0</v>
      </c>
      <c r="GY124" s="591">
        <v>0</v>
      </c>
      <c r="GZ124" s="591">
        <v>0</v>
      </c>
      <c r="HA124" s="591">
        <v>0</v>
      </c>
      <c r="HB124" s="591">
        <v>0</v>
      </c>
      <c r="HC124" s="591">
        <v>5.1774999999999995E-2</v>
      </c>
      <c r="HD124" s="591">
        <v>0</v>
      </c>
      <c r="HE124" s="591">
        <v>0</v>
      </c>
      <c r="HF124" s="591">
        <v>0</v>
      </c>
      <c r="HG124" s="591">
        <v>0</v>
      </c>
      <c r="HH124" s="591">
        <v>0</v>
      </c>
      <c r="HI124" s="591">
        <v>0</v>
      </c>
      <c r="HJ124" s="591">
        <v>0</v>
      </c>
      <c r="HK124" s="591">
        <v>0</v>
      </c>
      <c r="HL124" s="591">
        <v>0</v>
      </c>
      <c r="HM124" s="591">
        <v>0</v>
      </c>
      <c r="HN124" s="591">
        <v>0</v>
      </c>
      <c r="HO124" s="591">
        <v>0</v>
      </c>
      <c r="HP124" s="591">
        <v>0</v>
      </c>
      <c r="HQ124" s="591">
        <v>0</v>
      </c>
      <c r="HR124" s="591">
        <v>0</v>
      </c>
      <c r="HS124" s="591">
        <v>0</v>
      </c>
      <c r="HT124" s="591">
        <v>0</v>
      </c>
      <c r="HU124" s="591">
        <v>0</v>
      </c>
      <c r="HV124" s="591">
        <v>0</v>
      </c>
      <c r="HW124" s="591">
        <v>0</v>
      </c>
      <c r="HX124" s="591">
        <v>0</v>
      </c>
      <c r="HY124" s="591">
        <v>0</v>
      </c>
      <c r="HZ124" s="591">
        <v>0</v>
      </c>
      <c r="IA124" s="591">
        <v>0</v>
      </c>
      <c r="IB124" s="591">
        <v>0</v>
      </c>
      <c r="IC124" s="591">
        <v>0</v>
      </c>
      <c r="ID124" s="591">
        <v>0</v>
      </c>
      <c r="IE124" s="591">
        <v>0</v>
      </c>
      <c r="IF124" s="591">
        <v>0</v>
      </c>
      <c r="IG124" s="591">
        <v>0</v>
      </c>
      <c r="IH124" s="591">
        <v>0</v>
      </c>
      <c r="II124" s="591">
        <v>0</v>
      </c>
      <c r="IJ124" s="591">
        <v>0</v>
      </c>
      <c r="IK124" s="591">
        <v>0</v>
      </c>
      <c r="IL124" s="591">
        <v>0</v>
      </c>
      <c r="IM124" s="591">
        <v>0</v>
      </c>
      <c r="IN124" s="591">
        <v>0</v>
      </c>
      <c r="IO124" s="591">
        <v>0</v>
      </c>
      <c r="IP124" s="591">
        <v>0</v>
      </c>
      <c r="IQ124" s="591">
        <v>0</v>
      </c>
      <c r="IR124" s="591">
        <v>0</v>
      </c>
      <c r="IS124" s="591">
        <v>0</v>
      </c>
      <c r="IT124" s="591">
        <v>0</v>
      </c>
      <c r="IU124" s="591">
        <v>0</v>
      </c>
      <c r="IV124" s="591">
        <v>0</v>
      </c>
      <c r="IW124" s="591">
        <v>6159</v>
      </c>
      <c r="IX124" s="591">
        <v>0</v>
      </c>
      <c r="IY124" s="591">
        <v>0</v>
      </c>
      <c r="IZ124" s="591">
        <v>0</v>
      </c>
      <c r="JA124" s="591">
        <v>0</v>
      </c>
      <c r="JB124" s="591">
        <v>0</v>
      </c>
      <c r="JC124" s="591">
        <v>0</v>
      </c>
      <c r="JD124" s="591">
        <v>0</v>
      </c>
      <c r="JE124" s="591">
        <v>0</v>
      </c>
      <c r="JF124" s="591">
        <v>0</v>
      </c>
      <c r="JG124" s="591">
        <v>0</v>
      </c>
      <c r="JH124" s="591">
        <v>0</v>
      </c>
      <c r="JI124" s="591">
        <v>0</v>
      </c>
      <c r="JJ124" s="591">
        <v>0</v>
      </c>
      <c r="JK124" s="591">
        <v>0</v>
      </c>
      <c r="JL124" s="591">
        <v>0</v>
      </c>
      <c r="JM124" s="591">
        <v>0</v>
      </c>
    </row>
    <row r="125" spans="1:274" x14ac:dyDescent="0.25">
      <c r="A125" s="591">
        <v>32570</v>
      </c>
      <c r="B125" s="591">
        <v>101878</v>
      </c>
      <c r="C125" s="591">
        <v>9</v>
      </c>
      <c r="D125" s="591">
        <v>2022</v>
      </c>
      <c r="E125" s="591">
        <v>6159</v>
      </c>
      <c r="F125" s="591">
        <v>0</v>
      </c>
      <c r="G125" s="591">
        <v>41.233000000000004</v>
      </c>
      <c r="H125" s="591">
        <v>41.157000000000004</v>
      </c>
      <c r="I125" s="591">
        <v>41.157000000000004</v>
      </c>
      <c r="J125" s="591">
        <v>41.233000000000004</v>
      </c>
      <c r="K125" s="591">
        <v>0</v>
      </c>
      <c r="L125" s="591">
        <v>6159</v>
      </c>
      <c r="M125" s="591">
        <v>0</v>
      </c>
      <c r="N125" s="591">
        <v>0</v>
      </c>
      <c r="O125" s="591">
        <v>0</v>
      </c>
      <c r="P125" s="591">
        <v>41.14</v>
      </c>
      <c r="Q125" s="591">
        <v>0</v>
      </c>
      <c r="R125" s="591">
        <v>16556</v>
      </c>
      <c r="S125" s="591">
        <v>402.428</v>
      </c>
      <c r="T125" s="591">
        <v>0</v>
      </c>
      <c r="U125" s="591">
        <v>0</v>
      </c>
      <c r="V125" s="591">
        <v>5.2520000000000007</v>
      </c>
      <c r="W125" s="591">
        <v>3235</v>
      </c>
      <c r="X125" s="591">
        <v>3235</v>
      </c>
      <c r="Y125" s="591">
        <v>0</v>
      </c>
      <c r="Z125" s="591">
        <v>0</v>
      </c>
      <c r="AA125" s="591">
        <v>0</v>
      </c>
      <c r="AB125" s="591">
        <v>0</v>
      </c>
      <c r="AC125" s="591">
        <v>0</v>
      </c>
      <c r="AD125" s="591" t="s">
        <v>316</v>
      </c>
      <c r="AE125" s="591">
        <v>0</v>
      </c>
      <c r="AF125" s="591">
        <v>0</v>
      </c>
      <c r="AG125" s="591">
        <v>0</v>
      </c>
      <c r="AH125" s="591">
        <v>0</v>
      </c>
      <c r="AI125" s="591">
        <v>0</v>
      </c>
      <c r="AJ125" s="591">
        <v>6159</v>
      </c>
      <c r="AK125" s="591" t="s">
        <v>671</v>
      </c>
      <c r="AL125" s="591" t="s">
        <v>548</v>
      </c>
      <c r="AM125" s="591">
        <v>0</v>
      </c>
      <c r="AN125" s="591">
        <v>0</v>
      </c>
      <c r="AO125" s="591">
        <v>0</v>
      </c>
      <c r="AP125" s="591">
        <v>0</v>
      </c>
      <c r="AQ125" s="591">
        <v>0</v>
      </c>
      <c r="AR125" s="591">
        <v>0</v>
      </c>
      <c r="AS125" s="591">
        <v>0</v>
      </c>
      <c r="AT125" s="591">
        <v>0</v>
      </c>
      <c r="AU125" s="591">
        <v>0</v>
      </c>
      <c r="AV125" s="591">
        <v>0</v>
      </c>
      <c r="AW125" s="591">
        <v>391353</v>
      </c>
      <c r="AX125" s="591">
        <v>391379</v>
      </c>
      <c r="AY125" s="591">
        <v>0</v>
      </c>
      <c r="AZ125" s="591">
        <v>16556</v>
      </c>
      <c r="BA125" s="591">
        <v>0</v>
      </c>
      <c r="BB125" s="591">
        <v>0</v>
      </c>
      <c r="BC125" s="591">
        <v>0</v>
      </c>
      <c r="BD125" s="591">
        <v>0</v>
      </c>
      <c r="BE125" s="591">
        <v>5</v>
      </c>
      <c r="BF125" s="591">
        <v>362703</v>
      </c>
      <c r="BG125" s="591">
        <v>0</v>
      </c>
      <c r="BH125" s="591">
        <v>0</v>
      </c>
      <c r="BI125" s="591">
        <v>0</v>
      </c>
      <c r="BJ125" s="591">
        <v>12</v>
      </c>
      <c r="BK125" s="591">
        <v>0</v>
      </c>
      <c r="BL125" s="591">
        <v>0</v>
      </c>
      <c r="BM125" s="591">
        <v>0</v>
      </c>
      <c r="BN125" s="591">
        <v>0</v>
      </c>
      <c r="BO125" s="591">
        <v>0</v>
      </c>
      <c r="BP125" s="591">
        <v>0</v>
      </c>
      <c r="BQ125" s="591">
        <v>764</v>
      </c>
      <c r="BR125" s="591">
        <v>0</v>
      </c>
      <c r="BS125" s="591">
        <v>0</v>
      </c>
      <c r="BT125" s="591">
        <v>0</v>
      </c>
      <c r="BU125" s="591">
        <v>0</v>
      </c>
      <c r="BV125" s="591">
        <v>0</v>
      </c>
      <c r="BW125" s="591">
        <v>0</v>
      </c>
      <c r="BX125" s="591">
        <v>0</v>
      </c>
      <c r="BY125" s="591">
        <v>0</v>
      </c>
      <c r="BZ125" s="591">
        <v>0</v>
      </c>
      <c r="CA125" s="591">
        <v>0</v>
      </c>
      <c r="CB125" s="591">
        <v>0</v>
      </c>
      <c r="CC125" s="591">
        <v>0</v>
      </c>
      <c r="CD125" s="591">
        <v>0</v>
      </c>
      <c r="CE125" s="591">
        <v>0</v>
      </c>
      <c r="CF125" s="591">
        <v>0</v>
      </c>
      <c r="CG125" s="591">
        <v>0</v>
      </c>
      <c r="CH125" s="591">
        <v>0</v>
      </c>
      <c r="CI125" s="591">
        <v>0</v>
      </c>
      <c r="CJ125" s="591">
        <v>4</v>
      </c>
      <c r="CK125" s="591">
        <v>0</v>
      </c>
      <c r="CL125" s="591">
        <v>0</v>
      </c>
      <c r="CM125" s="591">
        <v>0</v>
      </c>
      <c r="CN125" s="591">
        <v>0</v>
      </c>
      <c r="CO125" s="591">
        <v>1</v>
      </c>
      <c r="CP125" s="591">
        <v>0</v>
      </c>
      <c r="CQ125" s="591">
        <v>0</v>
      </c>
      <c r="CR125" s="591">
        <v>41.233000000000004</v>
      </c>
      <c r="CS125" s="591">
        <v>0</v>
      </c>
      <c r="CT125" s="591">
        <v>0</v>
      </c>
      <c r="CU125" s="591">
        <v>0</v>
      </c>
      <c r="CV125" s="591">
        <v>0</v>
      </c>
      <c r="CW125" s="591">
        <v>0</v>
      </c>
      <c r="CX125" s="591">
        <v>0</v>
      </c>
      <c r="CY125" s="591">
        <v>0</v>
      </c>
      <c r="CZ125" s="591">
        <v>0</v>
      </c>
      <c r="DA125" s="591">
        <v>0</v>
      </c>
      <c r="DB125" s="591">
        <v>253489</v>
      </c>
      <c r="DC125" s="591">
        <v>0</v>
      </c>
      <c r="DD125" s="591">
        <v>0</v>
      </c>
      <c r="DE125" s="591">
        <v>37570</v>
      </c>
      <c r="DF125" s="591">
        <v>37570</v>
      </c>
      <c r="DG125" s="591">
        <v>6.1000000000000005</v>
      </c>
      <c r="DH125" s="591">
        <v>0</v>
      </c>
      <c r="DI125" s="591">
        <v>0</v>
      </c>
      <c r="DJ125" s="591">
        <v>0</v>
      </c>
      <c r="DK125" s="591">
        <v>3840</v>
      </c>
      <c r="DL125" s="591">
        <v>0</v>
      </c>
      <c r="DM125" s="591">
        <v>5386</v>
      </c>
      <c r="DN125" s="591">
        <v>21</v>
      </c>
      <c r="DO125" s="591">
        <v>0</v>
      </c>
      <c r="DP125" s="591">
        <v>0</v>
      </c>
      <c r="DQ125" s="591">
        <v>0</v>
      </c>
      <c r="DR125" s="591">
        <v>0</v>
      </c>
      <c r="DS125" s="591">
        <v>0</v>
      </c>
      <c r="DT125" s="591">
        <v>0</v>
      </c>
      <c r="DU125" s="591">
        <v>0</v>
      </c>
      <c r="DV125" s="591">
        <v>0</v>
      </c>
      <c r="DW125" s="591">
        <v>0</v>
      </c>
      <c r="DX125" s="591">
        <v>0</v>
      </c>
      <c r="DY125" s="591">
        <v>0</v>
      </c>
      <c r="DZ125" s="591">
        <v>0</v>
      </c>
      <c r="EA125" s="591">
        <v>0</v>
      </c>
      <c r="EB125" s="591">
        <v>0</v>
      </c>
      <c r="EC125" s="591">
        <v>0.433</v>
      </c>
      <c r="ED125" s="591">
        <v>3067</v>
      </c>
      <c r="EE125" s="591">
        <v>0</v>
      </c>
      <c r="EF125" s="591">
        <v>0</v>
      </c>
      <c r="EG125" s="591">
        <v>0</v>
      </c>
      <c r="EH125" s="591">
        <v>2340</v>
      </c>
      <c r="EI125" s="591">
        <v>0</v>
      </c>
      <c r="EJ125" s="591">
        <v>0</v>
      </c>
      <c r="EK125" s="591">
        <v>0</v>
      </c>
      <c r="EL125" s="591">
        <v>0</v>
      </c>
      <c r="EM125" s="591">
        <v>0</v>
      </c>
      <c r="EN125" s="591">
        <v>7.5999999999999998E-2</v>
      </c>
      <c r="EO125" s="591">
        <v>0</v>
      </c>
      <c r="EP125" s="591">
        <v>0</v>
      </c>
      <c r="EQ125" s="591">
        <v>7.5999999999999998E-2</v>
      </c>
      <c r="ER125" s="591">
        <v>0</v>
      </c>
      <c r="ES125" s="591">
        <v>0.38</v>
      </c>
      <c r="ET125" s="591">
        <v>0</v>
      </c>
      <c r="EU125" s="591">
        <v>0</v>
      </c>
      <c r="EV125" s="591">
        <v>0</v>
      </c>
      <c r="EW125" s="591">
        <v>0</v>
      </c>
      <c r="EX125" s="591">
        <v>0</v>
      </c>
      <c r="EY125" s="591">
        <v>0</v>
      </c>
      <c r="EZ125" s="591">
        <v>346147</v>
      </c>
      <c r="FA125" s="591">
        <v>0</v>
      </c>
      <c r="FB125" s="591">
        <v>362677</v>
      </c>
      <c r="FC125" s="591">
        <v>0</v>
      </c>
      <c r="FD125" s="591">
        <v>0</v>
      </c>
      <c r="FE125" s="591">
        <v>37569</v>
      </c>
      <c r="FF125" s="591">
        <v>7663</v>
      </c>
      <c r="FG125" s="591">
        <v>6.4728999999999995E-2</v>
      </c>
      <c r="FH125" s="591">
        <v>2.6405999999999999E-2</v>
      </c>
      <c r="FI125" s="591">
        <v>0</v>
      </c>
      <c r="FJ125" s="591">
        <v>0</v>
      </c>
      <c r="FK125" s="591">
        <v>58.889000000000003</v>
      </c>
      <c r="FL125" s="591">
        <v>407909</v>
      </c>
      <c r="FM125" s="591">
        <v>0</v>
      </c>
      <c r="FN125" s="591">
        <v>0</v>
      </c>
      <c r="FO125" s="591">
        <v>0</v>
      </c>
      <c r="FP125" s="591">
        <v>0</v>
      </c>
      <c r="FQ125" s="591">
        <v>0</v>
      </c>
      <c r="FR125" s="591">
        <v>0</v>
      </c>
      <c r="FS125" s="591">
        <v>0</v>
      </c>
      <c r="FT125" s="591">
        <v>0</v>
      </c>
      <c r="FU125" s="591">
        <v>0</v>
      </c>
      <c r="FV125" s="591">
        <v>0</v>
      </c>
      <c r="FW125" s="591">
        <v>0</v>
      </c>
      <c r="FX125" s="591">
        <v>0</v>
      </c>
      <c r="FY125" s="591">
        <v>0</v>
      </c>
      <c r="FZ125" s="591">
        <v>0</v>
      </c>
      <c r="GA125" s="591">
        <v>0</v>
      </c>
      <c r="GB125" s="591">
        <v>0</v>
      </c>
      <c r="GC125" s="591">
        <v>0</v>
      </c>
      <c r="GD125" s="591">
        <v>0</v>
      </c>
      <c r="GE125" s="591">
        <v>0</v>
      </c>
      <c r="GF125" s="591">
        <v>0</v>
      </c>
      <c r="GG125" s="591">
        <v>0</v>
      </c>
      <c r="GH125" s="591">
        <v>0</v>
      </c>
      <c r="GI125" s="591">
        <v>0</v>
      </c>
      <c r="GJ125" s="591">
        <v>0</v>
      </c>
      <c r="GK125" s="591">
        <v>0</v>
      </c>
      <c r="GL125" s="591">
        <v>0</v>
      </c>
      <c r="GM125" s="591">
        <v>0</v>
      </c>
      <c r="GN125" s="591">
        <v>0</v>
      </c>
      <c r="GO125" s="591">
        <v>0</v>
      </c>
      <c r="GP125" s="591">
        <v>0</v>
      </c>
      <c r="GQ125" s="591">
        <v>0</v>
      </c>
      <c r="GR125" s="591">
        <v>0</v>
      </c>
      <c r="GS125" s="591">
        <v>0</v>
      </c>
      <c r="GT125" s="591">
        <v>0</v>
      </c>
      <c r="GU125" s="591">
        <v>0</v>
      </c>
      <c r="GV125" s="591">
        <v>0</v>
      </c>
      <c r="GW125" s="591">
        <v>0</v>
      </c>
      <c r="GX125" s="591">
        <v>0</v>
      </c>
      <c r="GY125" s="591">
        <v>0</v>
      </c>
      <c r="GZ125" s="591">
        <v>0</v>
      </c>
      <c r="HA125" s="591">
        <v>0</v>
      </c>
      <c r="HB125" s="591">
        <v>0</v>
      </c>
      <c r="HC125" s="591">
        <v>5.1774999999999995E-2</v>
      </c>
      <c r="HD125" s="591">
        <v>0</v>
      </c>
      <c r="HE125" s="591">
        <v>0</v>
      </c>
      <c r="HF125" s="591">
        <v>45232</v>
      </c>
      <c r="HG125" s="591">
        <v>0</v>
      </c>
      <c r="HH125" s="591">
        <v>17369</v>
      </c>
      <c r="HI125" s="591">
        <v>0</v>
      </c>
      <c r="HJ125" s="591">
        <v>401</v>
      </c>
      <c r="HK125" s="591">
        <v>0</v>
      </c>
      <c r="HL125" s="591">
        <v>0</v>
      </c>
      <c r="HM125" s="591">
        <v>0</v>
      </c>
      <c r="HN125" s="591">
        <v>0</v>
      </c>
      <c r="HO125" s="591">
        <v>0</v>
      </c>
      <c r="HP125" s="591">
        <v>0</v>
      </c>
      <c r="HQ125" s="591">
        <v>0</v>
      </c>
      <c r="HR125" s="591">
        <v>0</v>
      </c>
      <c r="HS125" s="591">
        <v>346121</v>
      </c>
      <c r="HT125" s="591">
        <v>0</v>
      </c>
      <c r="HU125" s="591">
        <v>0</v>
      </c>
      <c r="HV125" s="591">
        <v>0</v>
      </c>
      <c r="HW125" s="591">
        <v>0</v>
      </c>
      <c r="HX125" s="591">
        <v>1</v>
      </c>
      <c r="HY125" s="591">
        <v>3</v>
      </c>
      <c r="HZ125" s="591">
        <v>12</v>
      </c>
      <c r="IA125" s="591">
        <v>3</v>
      </c>
      <c r="IB125" s="591">
        <v>5</v>
      </c>
      <c r="IC125" s="591">
        <v>24</v>
      </c>
      <c r="ID125" s="591">
        <v>0</v>
      </c>
      <c r="IE125" s="591">
        <v>0</v>
      </c>
      <c r="IF125" s="591">
        <v>0</v>
      </c>
      <c r="IG125" s="591">
        <v>0</v>
      </c>
      <c r="IH125" s="591">
        <v>28.2</v>
      </c>
      <c r="II125" s="591">
        <v>0</v>
      </c>
      <c r="IJ125" s="591">
        <v>5.2520000000000007</v>
      </c>
      <c r="IK125" s="591">
        <v>0</v>
      </c>
      <c r="IL125" s="591">
        <v>0</v>
      </c>
      <c r="IM125" s="591">
        <v>0</v>
      </c>
      <c r="IN125" s="591">
        <v>0</v>
      </c>
      <c r="IO125" s="591">
        <v>0</v>
      </c>
      <c r="IP125" s="591">
        <v>0</v>
      </c>
      <c r="IQ125" s="591">
        <v>5.2520000000000007</v>
      </c>
      <c r="IR125" s="591">
        <v>3235</v>
      </c>
      <c r="IS125" s="591">
        <v>0</v>
      </c>
      <c r="IT125" s="591">
        <v>0</v>
      </c>
      <c r="IU125" s="591">
        <v>0</v>
      </c>
      <c r="IV125" s="591">
        <v>0</v>
      </c>
      <c r="IW125" s="591">
        <v>6159</v>
      </c>
      <c r="IX125" s="591">
        <v>0</v>
      </c>
      <c r="IY125" s="591">
        <v>0</v>
      </c>
      <c r="IZ125" s="591">
        <v>0</v>
      </c>
      <c r="JA125" s="591">
        <v>0</v>
      </c>
      <c r="JB125" s="591">
        <v>0</v>
      </c>
      <c r="JC125" s="591">
        <v>0</v>
      </c>
      <c r="JD125" s="591">
        <v>0</v>
      </c>
      <c r="JE125" s="591">
        <v>0</v>
      </c>
      <c r="JF125" s="591">
        <v>0</v>
      </c>
      <c r="JG125" s="591">
        <v>0</v>
      </c>
      <c r="JH125" s="591">
        <v>0</v>
      </c>
      <c r="JI125" s="591">
        <v>0</v>
      </c>
      <c r="JJ125" s="591">
        <v>0</v>
      </c>
      <c r="JK125" s="591">
        <v>0</v>
      </c>
      <c r="JL125" s="591">
        <v>0</v>
      </c>
      <c r="JM125" s="591">
        <v>0</v>
      </c>
      <c r="JN125" s="591">
        <v>0</v>
      </c>
    </row>
    <row r="126" spans="1:274" x14ac:dyDescent="0.25">
      <c r="A126" s="591">
        <v>32570</v>
      </c>
      <c r="B126" s="591">
        <v>105801</v>
      </c>
      <c r="C126" s="591">
        <v>9</v>
      </c>
      <c r="D126" s="591">
        <v>2022</v>
      </c>
      <c r="E126" s="591">
        <v>6159</v>
      </c>
      <c r="F126" s="591">
        <v>0</v>
      </c>
      <c r="G126" s="591">
        <v>75.162999999999997</v>
      </c>
      <c r="H126" s="591">
        <v>70.337000000000003</v>
      </c>
      <c r="I126" s="591">
        <v>70.337000000000003</v>
      </c>
      <c r="J126" s="591">
        <v>75.162999999999997</v>
      </c>
      <c r="K126" s="591">
        <v>0</v>
      </c>
      <c r="L126" s="591">
        <v>6159</v>
      </c>
      <c r="M126" s="591">
        <v>0</v>
      </c>
      <c r="N126" s="591">
        <v>0</v>
      </c>
      <c r="O126" s="591">
        <v>0</v>
      </c>
      <c r="P126" s="591">
        <v>92.057000000000002</v>
      </c>
      <c r="Q126" s="591">
        <v>0</v>
      </c>
      <c r="R126" s="591">
        <v>37046</v>
      </c>
      <c r="S126" s="591">
        <v>402.428</v>
      </c>
      <c r="T126" s="591">
        <v>0</v>
      </c>
      <c r="U126" s="591">
        <v>0</v>
      </c>
      <c r="V126" s="591">
        <v>0</v>
      </c>
      <c r="W126" s="591">
        <v>0</v>
      </c>
      <c r="X126" s="591">
        <v>0</v>
      </c>
      <c r="Y126" s="591">
        <v>0</v>
      </c>
      <c r="Z126" s="591">
        <v>0</v>
      </c>
      <c r="AA126" s="591">
        <v>0</v>
      </c>
      <c r="AB126" s="591">
        <v>0</v>
      </c>
      <c r="AC126" s="591">
        <v>0</v>
      </c>
      <c r="AD126" s="591" t="s">
        <v>316</v>
      </c>
      <c r="AE126" s="591">
        <v>0</v>
      </c>
      <c r="AF126" s="591">
        <v>0</v>
      </c>
      <c r="AG126" s="591">
        <v>0</v>
      </c>
      <c r="AH126" s="591">
        <v>0</v>
      </c>
      <c r="AI126" s="591">
        <v>0</v>
      </c>
      <c r="AJ126" s="591">
        <v>6159</v>
      </c>
      <c r="AK126" s="591" t="s">
        <v>671</v>
      </c>
      <c r="AL126" s="591" t="s">
        <v>34</v>
      </c>
      <c r="AM126" s="591">
        <v>0</v>
      </c>
      <c r="AN126" s="591">
        <v>0</v>
      </c>
      <c r="AO126" s="591">
        <v>0</v>
      </c>
      <c r="AP126" s="591">
        <v>0</v>
      </c>
      <c r="AQ126" s="591">
        <v>0</v>
      </c>
      <c r="AR126" s="591">
        <v>0</v>
      </c>
      <c r="AS126" s="591">
        <v>0</v>
      </c>
      <c r="AT126" s="591">
        <v>0</v>
      </c>
      <c r="AU126" s="591">
        <v>0</v>
      </c>
      <c r="AV126" s="591">
        <v>0</v>
      </c>
      <c r="AW126" s="591">
        <v>904821</v>
      </c>
      <c r="AX126" s="591">
        <v>891480</v>
      </c>
      <c r="AY126" s="591">
        <v>0</v>
      </c>
      <c r="AZ126" s="591">
        <v>37046</v>
      </c>
      <c r="BA126" s="591">
        <v>0</v>
      </c>
      <c r="BB126" s="591">
        <v>0</v>
      </c>
      <c r="BC126" s="591">
        <v>0</v>
      </c>
      <c r="BD126" s="591">
        <v>0</v>
      </c>
      <c r="BE126" s="591">
        <v>12</v>
      </c>
      <c r="BF126" s="591">
        <v>706488</v>
      </c>
      <c r="BG126" s="591">
        <v>0</v>
      </c>
      <c r="BH126" s="591">
        <v>0</v>
      </c>
      <c r="BI126" s="591">
        <v>0</v>
      </c>
      <c r="BJ126" s="591">
        <v>12</v>
      </c>
      <c r="BK126" s="591">
        <v>0</v>
      </c>
      <c r="BL126" s="591">
        <v>0</v>
      </c>
      <c r="BM126" s="591">
        <v>0</v>
      </c>
      <c r="BN126" s="591">
        <v>0</v>
      </c>
      <c r="BO126" s="591">
        <v>0</v>
      </c>
      <c r="BP126" s="591">
        <v>0</v>
      </c>
      <c r="BQ126" s="591">
        <v>759</v>
      </c>
      <c r="BR126" s="591">
        <v>0</v>
      </c>
      <c r="BS126" s="591">
        <v>0</v>
      </c>
      <c r="BT126" s="591">
        <v>0</v>
      </c>
      <c r="BU126" s="591">
        <v>0</v>
      </c>
      <c r="BV126" s="591">
        <v>0</v>
      </c>
      <c r="BW126" s="591">
        <v>0</v>
      </c>
      <c r="BX126" s="591">
        <v>0</v>
      </c>
      <c r="BY126" s="591">
        <v>0</v>
      </c>
      <c r="BZ126" s="591">
        <v>0</v>
      </c>
      <c r="CA126" s="591">
        <v>0</v>
      </c>
      <c r="CB126" s="591">
        <v>0</v>
      </c>
      <c r="CC126" s="591">
        <v>0</v>
      </c>
      <c r="CD126" s="591">
        <v>0</v>
      </c>
      <c r="CE126" s="591">
        <v>0</v>
      </c>
      <c r="CF126" s="591">
        <v>0</v>
      </c>
      <c r="CG126" s="591">
        <v>0</v>
      </c>
      <c r="CH126" s="591">
        <v>13620</v>
      </c>
      <c r="CI126" s="591">
        <v>0</v>
      </c>
      <c r="CJ126" s="591">
        <v>4</v>
      </c>
      <c r="CK126" s="591">
        <v>0</v>
      </c>
      <c r="CL126" s="591">
        <v>0</v>
      </c>
      <c r="CM126" s="591">
        <v>0</v>
      </c>
      <c r="CN126" s="591">
        <v>0</v>
      </c>
      <c r="CO126" s="591">
        <v>1</v>
      </c>
      <c r="CP126" s="591">
        <v>0</v>
      </c>
      <c r="CQ126" s="591">
        <v>0</v>
      </c>
      <c r="CR126" s="591">
        <v>75.162999999999997</v>
      </c>
      <c r="CS126" s="591">
        <v>0</v>
      </c>
      <c r="CT126" s="591">
        <v>0</v>
      </c>
      <c r="CU126" s="591">
        <v>0</v>
      </c>
      <c r="CV126" s="591">
        <v>0</v>
      </c>
      <c r="CW126" s="591">
        <v>0</v>
      </c>
      <c r="CX126" s="591">
        <v>0</v>
      </c>
      <c r="CY126" s="591">
        <v>0</v>
      </c>
      <c r="CZ126" s="591">
        <v>0</v>
      </c>
      <c r="DA126" s="591">
        <v>0</v>
      </c>
      <c r="DB126" s="591">
        <v>362866</v>
      </c>
      <c r="DC126" s="591">
        <v>0</v>
      </c>
      <c r="DD126" s="591">
        <v>0</v>
      </c>
      <c r="DE126" s="591">
        <v>96929</v>
      </c>
      <c r="DF126" s="591">
        <v>96929</v>
      </c>
      <c r="DG126" s="591">
        <v>15.738000000000001</v>
      </c>
      <c r="DH126" s="591">
        <v>0</v>
      </c>
      <c r="DI126" s="591">
        <v>0</v>
      </c>
      <c r="DJ126" s="591">
        <v>0</v>
      </c>
      <c r="DK126" s="591">
        <v>3768</v>
      </c>
      <c r="DL126" s="591">
        <v>0</v>
      </c>
      <c r="DM126" s="591">
        <v>140337</v>
      </c>
      <c r="DN126" s="591">
        <v>267</v>
      </c>
      <c r="DO126" s="591">
        <v>0</v>
      </c>
      <c r="DP126" s="591">
        <v>0</v>
      </c>
      <c r="DQ126" s="591">
        <v>0</v>
      </c>
      <c r="DR126" s="591">
        <v>0</v>
      </c>
      <c r="DS126" s="591">
        <v>0</v>
      </c>
      <c r="DT126" s="591">
        <v>0</v>
      </c>
      <c r="DU126" s="591">
        <v>0</v>
      </c>
      <c r="DV126" s="591">
        <v>0</v>
      </c>
      <c r="DW126" s="591">
        <v>0</v>
      </c>
      <c r="DX126" s="591">
        <v>0</v>
      </c>
      <c r="DY126" s="591">
        <v>0</v>
      </c>
      <c r="DZ126" s="591">
        <v>0</v>
      </c>
      <c r="EA126" s="591">
        <v>0</v>
      </c>
      <c r="EB126" s="591">
        <v>0</v>
      </c>
      <c r="EC126" s="591">
        <v>5.5289999999999999</v>
      </c>
      <c r="ED126" s="591">
        <v>39162</v>
      </c>
      <c r="EE126" s="591">
        <v>0</v>
      </c>
      <c r="EF126" s="591">
        <v>0</v>
      </c>
      <c r="EG126" s="591">
        <v>0</v>
      </c>
      <c r="EH126" s="591">
        <v>31097</v>
      </c>
      <c r="EI126" s="591">
        <v>0</v>
      </c>
      <c r="EJ126" s="591">
        <v>0</v>
      </c>
      <c r="EK126" s="591">
        <v>1.6830000000000001</v>
      </c>
      <c r="EL126" s="591">
        <v>0</v>
      </c>
      <c r="EM126" s="591">
        <v>0</v>
      </c>
      <c r="EN126" s="591">
        <v>0</v>
      </c>
      <c r="EO126" s="591">
        <v>0</v>
      </c>
      <c r="EP126" s="591">
        <v>0</v>
      </c>
      <c r="EQ126" s="591">
        <v>1.6830000000000001</v>
      </c>
      <c r="ER126" s="591">
        <v>0</v>
      </c>
      <c r="ES126" s="591">
        <v>5.0490000000000004</v>
      </c>
      <c r="ET126" s="591">
        <v>0</v>
      </c>
      <c r="EU126" s="591">
        <v>0</v>
      </c>
      <c r="EV126" s="591">
        <v>0</v>
      </c>
      <c r="EW126" s="591">
        <v>0</v>
      </c>
      <c r="EX126" s="591">
        <v>0</v>
      </c>
      <c r="EY126" s="591">
        <v>0</v>
      </c>
      <c r="EZ126" s="591">
        <v>803373</v>
      </c>
      <c r="FA126" s="591">
        <v>0</v>
      </c>
      <c r="FB126" s="591">
        <v>840140</v>
      </c>
      <c r="FC126" s="591">
        <v>0</v>
      </c>
      <c r="FD126" s="591">
        <v>0</v>
      </c>
      <c r="FE126" s="591">
        <v>73180</v>
      </c>
      <c r="FF126" s="591">
        <v>14927</v>
      </c>
      <c r="FG126" s="591">
        <v>6.4728999999999995E-2</v>
      </c>
      <c r="FH126" s="591">
        <v>2.6405999999999999E-2</v>
      </c>
      <c r="FI126" s="591">
        <v>0</v>
      </c>
      <c r="FJ126" s="591">
        <v>0</v>
      </c>
      <c r="FK126" s="591">
        <v>114.70700000000001</v>
      </c>
      <c r="FL126" s="591">
        <v>941867</v>
      </c>
      <c r="FM126" s="591">
        <v>0</v>
      </c>
      <c r="FN126" s="591">
        <v>0</v>
      </c>
      <c r="FO126" s="591">
        <v>131580</v>
      </c>
      <c r="FP126" s="591">
        <v>0</v>
      </c>
      <c r="FQ126" s="591">
        <v>131580</v>
      </c>
      <c r="FR126" s="591">
        <v>131580</v>
      </c>
      <c r="FS126" s="591">
        <v>0</v>
      </c>
      <c r="FT126" s="591">
        <v>0</v>
      </c>
      <c r="FU126" s="591">
        <v>0</v>
      </c>
      <c r="FV126" s="591">
        <v>0</v>
      </c>
      <c r="FW126" s="591">
        <v>0</v>
      </c>
      <c r="FX126" s="591">
        <v>0</v>
      </c>
      <c r="FY126" s="591">
        <v>0</v>
      </c>
      <c r="FZ126" s="591">
        <v>0</v>
      </c>
      <c r="GA126" s="591">
        <v>0</v>
      </c>
      <c r="GB126" s="591">
        <v>26133</v>
      </c>
      <c r="GC126" s="591">
        <v>26133</v>
      </c>
      <c r="GD126" s="591">
        <v>3.1430000000000002</v>
      </c>
      <c r="GE126" s="591">
        <v>0</v>
      </c>
      <c r="GF126" s="591">
        <v>0</v>
      </c>
      <c r="GG126" s="591">
        <v>0</v>
      </c>
      <c r="GH126" s="591">
        <v>0</v>
      </c>
      <c r="GI126" s="591">
        <v>0</v>
      </c>
      <c r="GJ126" s="591">
        <v>0</v>
      </c>
      <c r="GK126" s="591">
        <v>0</v>
      </c>
      <c r="GL126" s="591">
        <v>0</v>
      </c>
      <c r="GM126" s="591">
        <v>0</v>
      </c>
      <c r="GN126" s="591">
        <v>0</v>
      </c>
      <c r="GO126" s="591">
        <v>0</v>
      </c>
      <c r="GP126" s="591">
        <v>0</v>
      </c>
      <c r="GQ126" s="591">
        <v>0</v>
      </c>
      <c r="GR126" s="591">
        <v>0</v>
      </c>
      <c r="GS126" s="591">
        <v>0</v>
      </c>
      <c r="GT126" s="591">
        <v>0</v>
      </c>
      <c r="GU126" s="591">
        <v>0</v>
      </c>
      <c r="GV126" s="591">
        <v>0</v>
      </c>
      <c r="GW126" s="591">
        <v>0</v>
      </c>
      <c r="GX126" s="591">
        <v>0</v>
      </c>
      <c r="GY126" s="591">
        <v>0</v>
      </c>
      <c r="GZ126" s="591">
        <v>0</v>
      </c>
      <c r="HA126" s="591">
        <v>0</v>
      </c>
      <c r="HB126" s="591">
        <v>260009272</v>
      </c>
      <c r="HC126" s="591">
        <v>5.1774999999999995E-2</v>
      </c>
      <c r="HD126" s="591">
        <v>13620</v>
      </c>
      <c r="HE126" s="591">
        <v>0</v>
      </c>
      <c r="HF126" s="591">
        <v>77300</v>
      </c>
      <c r="HG126" s="591">
        <v>1925</v>
      </c>
      <c r="HH126" s="591">
        <v>0</v>
      </c>
      <c r="HI126" s="591">
        <v>0</v>
      </c>
      <c r="HJ126" s="591">
        <v>731</v>
      </c>
      <c r="HK126" s="591">
        <v>1706</v>
      </c>
      <c r="HL126" s="591">
        <v>645</v>
      </c>
      <c r="HM126" s="591">
        <v>0</v>
      </c>
      <c r="HN126" s="591">
        <v>0</v>
      </c>
      <c r="HO126" s="591">
        <v>0</v>
      </c>
      <c r="HP126" s="591">
        <v>0</v>
      </c>
      <c r="HQ126" s="591">
        <v>0</v>
      </c>
      <c r="HR126" s="591">
        <v>0</v>
      </c>
      <c r="HS126" s="591">
        <v>803094</v>
      </c>
      <c r="HT126" s="591">
        <v>0</v>
      </c>
      <c r="HU126" s="591">
        <v>0</v>
      </c>
      <c r="HV126" s="591">
        <v>0</v>
      </c>
      <c r="HW126" s="591">
        <v>0</v>
      </c>
      <c r="HX126" s="591">
        <v>38</v>
      </c>
      <c r="HY126" s="591">
        <v>17</v>
      </c>
      <c r="HZ126" s="591">
        <v>3</v>
      </c>
      <c r="IA126" s="591">
        <v>6</v>
      </c>
      <c r="IB126" s="591">
        <v>3</v>
      </c>
      <c r="IC126" s="591">
        <v>30</v>
      </c>
      <c r="ID126" s="591">
        <v>0</v>
      </c>
      <c r="IE126" s="591">
        <v>0</v>
      </c>
      <c r="IF126" s="591">
        <v>0</v>
      </c>
      <c r="IG126" s="591">
        <v>3.125</v>
      </c>
      <c r="IH126" s="591">
        <v>0</v>
      </c>
      <c r="II126" s="591">
        <v>0</v>
      </c>
      <c r="IJ126" s="591">
        <v>0</v>
      </c>
      <c r="IK126" s="591">
        <v>0</v>
      </c>
      <c r="IL126" s="591">
        <v>0</v>
      </c>
      <c r="IM126" s="591">
        <v>0</v>
      </c>
      <c r="IN126" s="591">
        <v>0</v>
      </c>
      <c r="IO126" s="591">
        <v>0</v>
      </c>
      <c r="IP126" s="591">
        <v>0</v>
      </c>
      <c r="IQ126" s="591">
        <v>0</v>
      </c>
      <c r="IR126" s="591">
        <v>0</v>
      </c>
      <c r="IS126" s="591">
        <v>0</v>
      </c>
      <c r="IT126" s="591">
        <v>0</v>
      </c>
      <c r="IU126" s="591">
        <v>0</v>
      </c>
      <c r="IV126" s="591">
        <v>0</v>
      </c>
      <c r="IW126" s="591">
        <v>6159</v>
      </c>
      <c r="IX126" s="591">
        <v>0</v>
      </c>
      <c r="IY126" s="591">
        <v>0</v>
      </c>
      <c r="IZ126" s="591">
        <v>0</v>
      </c>
      <c r="JA126" s="591">
        <v>0</v>
      </c>
      <c r="JB126" s="591">
        <v>0</v>
      </c>
      <c r="JC126" s="591">
        <v>0</v>
      </c>
      <c r="JD126" s="591">
        <v>0</v>
      </c>
      <c r="JE126" s="591">
        <v>0</v>
      </c>
      <c r="JF126" s="591">
        <v>0</v>
      </c>
      <c r="JG126" s="591">
        <v>0</v>
      </c>
      <c r="JH126" s="591">
        <v>0</v>
      </c>
      <c r="JI126" s="591">
        <v>0</v>
      </c>
      <c r="JJ126" s="591">
        <v>0</v>
      </c>
      <c r="JK126" s="591">
        <v>0</v>
      </c>
      <c r="JL126" s="591">
        <v>0</v>
      </c>
      <c r="JM126" s="591">
        <v>0</v>
      </c>
      <c r="JN126" s="591">
        <v>32469</v>
      </c>
    </row>
    <row r="127" spans="1:274" x14ac:dyDescent="0.25">
      <c r="A127" s="591">
        <v>32570</v>
      </c>
      <c r="B127" s="591">
        <v>105802</v>
      </c>
      <c r="C127" s="591">
        <v>9</v>
      </c>
      <c r="D127" s="591">
        <v>2022</v>
      </c>
      <c r="E127" s="591">
        <v>6159</v>
      </c>
      <c r="F127" s="591">
        <v>0</v>
      </c>
      <c r="G127" s="591">
        <v>147.42000000000002</v>
      </c>
      <c r="H127" s="591">
        <v>147.16500000000002</v>
      </c>
      <c r="I127" s="591">
        <v>147.16500000000002</v>
      </c>
      <c r="J127" s="591">
        <v>147.42000000000002</v>
      </c>
      <c r="K127" s="591">
        <v>0</v>
      </c>
      <c r="L127" s="591">
        <v>6159</v>
      </c>
      <c r="M127" s="591">
        <v>0</v>
      </c>
      <c r="N127" s="591">
        <v>0</v>
      </c>
      <c r="O127" s="591">
        <v>0</v>
      </c>
      <c r="P127" s="591">
        <v>150.48699999999999</v>
      </c>
      <c r="Q127" s="591">
        <v>0</v>
      </c>
      <c r="R127" s="591">
        <v>60560</v>
      </c>
      <c r="S127" s="591">
        <v>402.428</v>
      </c>
      <c r="T127" s="591">
        <v>0</v>
      </c>
      <c r="U127" s="591">
        <v>0</v>
      </c>
      <c r="V127" s="591">
        <v>0</v>
      </c>
      <c r="W127" s="591">
        <v>0</v>
      </c>
      <c r="X127" s="591">
        <v>0</v>
      </c>
      <c r="Y127" s="591">
        <v>0</v>
      </c>
      <c r="Z127" s="591">
        <v>0</v>
      </c>
      <c r="AA127" s="591">
        <v>0</v>
      </c>
      <c r="AB127" s="591">
        <v>0</v>
      </c>
      <c r="AC127" s="591">
        <v>0</v>
      </c>
      <c r="AD127" s="591" t="s">
        <v>316</v>
      </c>
      <c r="AE127" s="591">
        <v>0</v>
      </c>
      <c r="AF127" s="591">
        <v>0</v>
      </c>
      <c r="AG127" s="591">
        <v>0</v>
      </c>
      <c r="AH127" s="591">
        <v>0</v>
      </c>
      <c r="AI127" s="591">
        <v>0</v>
      </c>
      <c r="AJ127" s="591">
        <v>6159</v>
      </c>
      <c r="AK127" s="591" t="s">
        <v>671</v>
      </c>
      <c r="AL127" s="591" t="s">
        <v>3</v>
      </c>
      <c r="AM127" s="591">
        <v>0</v>
      </c>
      <c r="AN127" s="591">
        <v>0</v>
      </c>
      <c r="AO127" s="591">
        <v>0</v>
      </c>
      <c r="AP127" s="591">
        <v>0</v>
      </c>
      <c r="AQ127" s="591">
        <v>0</v>
      </c>
      <c r="AR127" s="591">
        <v>0</v>
      </c>
      <c r="AS127" s="591">
        <v>0</v>
      </c>
      <c r="AT127" s="591">
        <v>0</v>
      </c>
      <c r="AU127" s="591">
        <v>0</v>
      </c>
      <c r="AV127" s="591">
        <v>0</v>
      </c>
      <c r="AW127" s="591">
        <v>1566182</v>
      </c>
      <c r="AX127" s="591">
        <v>1566436</v>
      </c>
      <c r="AY127" s="591">
        <v>0</v>
      </c>
      <c r="AZ127" s="591">
        <v>60560</v>
      </c>
      <c r="BA127" s="591">
        <v>0</v>
      </c>
      <c r="BB127" s="591">
        <v>0</v>
      </c>
      <c r="BC127" s="591">
        <v>0</v>
      </c>
      <c r="BD127" s="591">
        <v>0</v>
      </c>
      <c r="BE127" s="591">
        <v>21</v>
      </c>
      <c r="BF127" s="591">
        <v>1410183</v>
      </c>
      <c r="BG127" s="591">
        <v>0</v>
      </c>
      <c r="BH127" s="591">
        <v>0</v>
      </c>
      <c r="BI127" s="591">
        <v>0</v>
      </c>
      <c r="BJ127" s="591">
        <v>12</v>
      </c>
      <c r="BK127" s="591">
        <v>0</v>
      </c>
      <c r="BL127" s="591">
        <v>0</v>
      </c>
      <c r="BM127" s="591">
        <v>0</v>
      </c>
      <c r="BN127" s="591">
        <v>0</v>
      </c>
      <c r="BO127" s="591">
        <v>0</v>
      </c>
      <c r="BP127" s="591">
        <v>0</v>
      </c>
      <c r="BQ127" s="591">
        <v>747</v>
      </c>
      <c r="BR127" s="591">
        <v>0</v>
      </c>
      <c r="BS127" s="591">
        <v>0</v>
      </c>
      <c r="BT127" s="591">
        <v>0</v>
      </c>
      <c r="BU127" s="591">
        <v>0</v>
      </c>
      <c r="BV127" s="591">
        <v>0</v>
      </c>
      <c r="BW127" s="591">
        <v>0</v>
      </c>
      <c r="BX127" s="591">
        <v>0</v>
      </c>
      <c r="BY127" s="591">
        <v>0</v>
      </c>
      <c r="BZ127" s="591">
        <v>0</v>
      </c>
      <c r="CA127" s="591">
        <v>0</v>
      </c>
      <c r="CB127" s="591">
        <v>0</v>
      </c>
      <c r="CC127" s="591">
        <v>0</v>
      </c>
      <c r="CD127" s="591">
        <v>0</v>
      </c>
      <c r="CE127" s="591">
        <v>0</v>
      </c>
      <c r="CF127" s="591">
        <v>0</v>
      </c>
      <c r="CG127" s="591">
        <v>0</v>
      </c>
      <c r="CH127" s="591">
        <v>0</v>
      </c>
      <c r="CI127" s="591">
        <v>0</v>
      </c>
      <c r="CJ127" s="591">
        <v>4</v>
      </c>
      <c r="CK127" s="591">
        <v>0</v>
      </c>
      <c r="CL127" s="591">
        <v>0</v>
      </c>
      <c r="CM127" s="591">
        <v>0</v>
      </c>
      <c r="CN127" s="591">
        <v>0</v>
      </c>
      <c r="CO127" s="591">
        <v>1</v>
      </c>
      <c r="CP127" s="591">
        <v>0</v>
      </c>
      <c r="CQ127" s="591">
        <v>0</v>
      </c>
      <c r="CR127" s="591">
        <v>147.42000000000002</v>
      </c>
      <c r="CS127" s="591">
        <v>0</v>
      </c>
      <c r="CT127" s="591">
        <v>0</v>
      </c>
      <c r="CU127" s="591">
        <v>0</v>
      </c>
      <c r="CV127" s="591">
        <v>0</v>
      </c>
      <c r="CW127" s="591">
        <v>0</v>
      </c>
      <c r="CX127" s="591">
        <v>0</v>
      </c>
      <c r="CY127" s="591">
        <v>0</v>
      </c>
      <c r="CZ127" s="591">
        <v>0</v>
      </c>
      <c r="DA127" s="591">
        <v>0</v>
      </c>
      <c r="DB127" s="591">
        <v>863761</v>
      </c>
      <c r="DC127" s="591">
        <v>0</v>
      </c>
      <c r="DD127" s="591">
        <v>0</v>
      </c>
      <c r="DE127" s="591">
        <v>212796</v>
      </c>
      <c r="DF127" s="591">
        <v>212796</v>
      </c>
      <c r="DG127" s="591">
        <v>34.550000000000004</v>
      </c>
      <c r="DH127" s="591">
        <v>0</v>
      </c>
      <c r="DI127" s="591">
        <v>0</v>
      </c>
      <c r="DJ127" s="591">
        <v>0</v>
      </c>
      <c r="DK127" s="591">
        <v>3579</v>
      </c>
      <c r="DL127" s="591">
        <v>0</v>
      </c>
      <c r="DM127" s="591">
        <v>103708</v>
      </c>
      <c r="DN127" s="591">
        <v>233</v>
      </c>
      <c r="DO127" s="591">
        <v>0</v>
      </c>
      <c r="DP127" s="591">
        <v>0</v>
      </c>
      <c r="DQ127" s="591">
        <v>0</v>
      </c>
      <c r="DR127" s="591">
        <v>0</v>
      </c>
      <c r="DS127" s="591">
        <v>0</v>
      </c>
      <c r="DT127" s="591">
        <v>0</v>
      </c>
      <c r="DU127" s="591">
        <v>0</v>
      </c>
      <c r="DV127" s="591">
        <v>0</v>
      </c>
      <c r="DW127" s="591">
        <v>0</v>
      </c>
      <c r="DX127" s="591">
        <v>0</v>
      </c>
      <c r="DY127" s="591">
        <v>0</v>
      </c>
      <c r="DZ127" s="591">
        <v>0</v>
      </c>
      <c r="EA127" s="591">
        <v>0</v>
      </c>
      <c r="EB127" s="591">
        <v>0</v>
      </c>
      <c r="EC127" s="591">
        <v>7.5460000000000003</v>
      </c>
      <c r="ED127" s="591">
        <v>53448</v>
      </c>
      <c r="EE127" s="591">
        <v>0</v>
      </c>
      <c r="EF127" s="591">
        <v>0</v>
      </c>
      <c r="EG127" s="591">
        <v>0</v>
      </c>
      <c r="EH127" s="591">
        <v>7853</v>
      </c>
      <c r="EI127" s="591">
        <v>0</v>
      </c>
      <c r="EJ127" s="591">
        <v>0</v>
      </c>
      <c r="EK127" s="591">
        <v>0</v>
      </c>
      <c r="EL127" s="591">
        <v>0</v>
      </c>
      <c r="EM127" s="591">
        <v>0</v>
      </c>
      <c r="EN127" s="591">
        <v>0.255</v>
      </c>
      <c r="EO127" s="591">
        <v>0</v>
      </c>
      <c r="EP127" s="591">
        <v>0</v>
      </c>
      <c r="EQ127" s="591">
        <v>0.255</v>
      </c>
      <c r="ER127" s="591">
        <v>0</v>
      </c>
      <c r="ES127" s="591">
        <v>1.2750000000000001</v>
      </c>
      <c r="ET127" s="591">
        <v>0</v>
      </c>
      <c r="EU127" s="591">
        <v>0</v>
      </c>
      <c r="EV127" s="591">
        <v>0</v>
      </c>
      <c r="EW127" s="591">
        <v>0</v>
      </c>
      <c r="EX127" s="591">
        <v>0</v>
      </c>
      <c r="EY127" s="591">
        <v>0</v>
      </c>
      <c r="EZ127" s="591">
        <v>1390573</v>
      </c>
      <c r="FA127" s="591">
        <v>0</v>
      </c>
      <c r="FB127" s="591">
        <v>1450879</v>
      </c>
      <c r="FC127" s="591">
        <v>0</v>
      </c>
      <c r="FD127" s="591">
        <v>0</v>
      </c>
      <c r="FE127" s="591">
        <v>146069</v>
      </c>
      <c r="FF127" s="591">
        <v>29794</v>
      </c>
      <c r="FG127" s="591">
        <v>6.4728999999999995E-2</v>
      </c>
      <c r="FH127" s="591">
        <v>2.6405999999999999E-2</v>
      </c>
      <c r="FI127" s="591">
        <v>0</v>
      </c>
      <c r="FJ127" s="591">
        <v>0</v>
      </c>
      <c r="FK127" s="591">
        <v>228.96</v>
      </c>
      <c r="FL127" s="591">
        <v>1626742</v>
      </c>
      <c r="FM127" s="591">
        <v>0</v>
      </c>
      <c r="FN127" s="591">
        <v>0</v>
      </c>
      <c r="FO127" s="591">
        <v>40950</v>
      </c>
      <c r="FP127" s="591">
        <v>0</v>
      </c>
      <c r="FQ127" s="591">
        <v>40950</v>
      </c>
      <c r="FR127" s="591">
        <v>40950</v>
      </c>
      <c r="FS127" s="591">
        <v>0</v>
      </c>
      <c r="FT127" s="591">
        <v>0</v>
      </c>
      <c r="FU127" s="591">
        <v>0</v>
      </c>
      <c r="FV127" s="591">
        <v>0</v>
      </c>
      <c r="FW127" s="591">
        <v>0</v>
      </c>
      <c r="FX127" s="591">
        <v>0</v>
      </c>
      <c r="FY127" s="591">
        <v>0</v>
      </c>
      <c r="FZ127" s="591">
        <v>0</v>
      </c>
      <c r="GA127" s="591">
        <v>0</v>
      </c>
      <c r="GB127" s="591">
        <v>0</v>
      </c>
      <c r="GC127" s="591">
        <v>0</v>
      </c>
      <c r="GD127" s="591">
        <v>0</v>
      </c>
      <c r="GE127" s="591">
        <v>0</v>
      </c>
      <c r="GF127" s="591">
        <v>0</v>
      </c>
      <c r="GG127" s="591">
        <v>0</v>
      </c>
      <c r="GH127" s="591">
        <v>0</v>
      </c>
      <c r="GI127" s="591">
        <v>0</v>
      </c>
      <c r="GJ127" s="591">
        <v>0</v>
      </c>
      <c r="GK127" s="591">
        <v>0</v>
      </c>
      <c r="GL127" s="591">
        <v>0</v>
      </c>
      <c r="GM127" s="591">
        <v>0</v>
      </c>
      <c r="GN127" s="591">
        <v>0</v>
      </c>
      <c r="GO127" s="591">
        <v>0</v>
      </c>
      <c r="GP127" s="591">
        <v>0</v>
      </c>
      <c r="GQ127" s="591">
        <v>0</v>
      </c>
      <c r="GR127" s="591">
        <v>0</v>
      </c>
      <c r="GS127" s="591">
        <v>0</v>
      </c>
      <c r="GT127" s="591">
        <v>0</v>
      </c>
      <c r="GU127" s="591">
        <v>0</v>
      </c>
      <c r="GV127" s="591">
        <v>0</v>
      </c>
      <c r="GW127" s="591">
        <v>0</v>
      </c>
      <c r="GX127" s="591">
        <v>0</v>
      </c>
      <c r="GY127" s="591">
        <v>0</v>
      </c>
      <c r="GZ127" s="591">
        <v>0</v>
      </c>
      <c r="HA127" s="591">
        <v>0</v>
      </c>
      <c r="HB127" s="591">
        <v>0</v>
      </c>
      <c r="HC127" s="591">
        <v>5.1774999999999995E-2</v>
      </c>
      <c r="HD127" s="591">
        <v>0</v>
      </c>
      <c r="HE127" s="591">
        <v>0</v>
      </c>
      <c r="HF127" s="591">
        <v>161734</v>
      </c>
      <c r="HG127" s="591">
        <v>1232</v>
      </c>
      <c r="HH127" s="591">
        <v>65286</v>
      </c>
      <c r="HI127" s="591">
        <v>0</v>
      </c>
      <c r="HJ127" s="591">
        <v>1433</v>
      </c>
      <c r="HK127" s="591">
        <v>0</v>
      </c>
      <c r="HL127" s="591">
        <v>0</v>
      </c>
      <c r="HM127" s="591">
        <v>0</v>
      </c>
      <c r="HN127" s="591">
        <v>0</v>
      </c>
      <c r="HO127" s="591">
        <v>0</v>
      </c>
      <c r="HP127" s="591">
        <v>0</v>
      </c>
      <c r="HQ127" s="591">
        <v>0</v>
      </c>
      <c r="HR127" s="591">
        <v>0</v>
      </c>
      <c r="HS127" s="591">
        <v>1390319</v>
      </c>
      <c r="HT127" s="591">
        <v>0</v>
      </c>
      <c r="HU127" s="591">
        <v>0</v>
      </c>
      <c r="HV127" s="591">
        <v>0</v>
      </c>
      <c r="HW127" s="591">
        <v>0</v>
      </c>
      <c r="HX127" s="591">
        <v>22</v>
      </c>
      <c r="HY127" s="591">
        <v>7</v>
      </c>
      <c r="HZ127" s="591">
        <v>25</v>
      </c>
      <c r="IA127" s="591">
        <v>47</v>
      </c>
      <c r="IB127" s="591">
        <v>34</v>
      </c>
      <c r="IC127" s="591">
        <v>85</v>
      </c>
      <c r="ID127" s="591">
        <v>0</v>
      </c>
      <c r="IE127" s="591">
        <v>0</v>
      </c>
      <c r="IF127" s="591">
        <v>0</v>
      </c>
      <c r="IG127" s="591">
        <v>2</v>
      </c>
      <c r="IH127" s="591">
        <v>106</v>
      </c>
      <c r="II127" s="591">
        <v>0</v>
      </c>
      <c r="IJ127" s="591">
        <v>0</v>
      </c>
      <c r="IK127" s="591">
        <v>0</v>
      </c>
      <c r="IL127" s="591">
        <v>0</v>
      </c>
      <c r="IM127" s="591">
        <v>0</v>
      </c>
      <c r="IN127" s="591">
        <v>0</v>
      </c>
      <c r="IO127" s="591">
        <v>0</v>
      </c>
      <c r="IP127" s="591">
        <v>0</v>
      </c>
      <c r="IQ127" s="591">
        <v>0</v>
      </c>
      <c r="IR127" s="591">
        <v>0</v>
      </c>
      <c r="IS127" s="591">
        <v>0</v>
      </c>
      <c r="IT127" s="591">
        <v>0</v>
      </c>
      <c r="IU127" s="591">
        <v>0</v>
      </c>
      <c r="IV127" s="591">
        <v>0</v>
      </c>
      <c r="IW127" s="591">
        <v>6159</v>
      </c>
      <c r="IX127" s="591">
        <v>0</v>
      </c>
      <c r="IY127" s="591">
        <v>0</v>
      </c>
      <c r="IZ127" s="591">
        <v>0</v>
      </c>
      <c r="JA127" s="591">
        <v>0</v>
      </c>
      <c r="JB127" s="591">
        <v>0</v>
      </c>
      <c r="JC127" s="591">
        <v>0</v>
      </c>
      <c r="JD127" s="591">
        <v>0</v>
      </c>
      <c r="JE127" s="591">
        <v>0</v>
      </c>
      <c r="JF127" s="591">
        <v>0</v>
      </c>
      <c r="JG127" s="591">
        <v>0</v>
      </c>
      <c r="JH127" s="591">
        <v>0</v>
      </c>
      <c r="JI127" s="591">
        <v>0</v>
      </c>
      <c r="JJ127" s="591">
        <v>0</v>
      </c>
      <c r="JK127" s="591">
        <v>0</v>
      </c>
      <c r="JL127" s="591">
        <v>0</v>
      </c>
      <c r="JM127" s="591">
        <v>0</v>
      </c>
      <c r="JN127" s="591">
        <v>32469</v>
      </c>
    </row>
    <row r="128" spans="1:274" x14ac:dyDescent="0.25">
      <c r="A128" s="591">
        <v>32570</v>
      </c>
      <c r="B128" s="591">
        <v>105803</v>
      </c>
      <c r="C128" s="591">
        <v>9</v>
      </c>
      <c r="D128" s="591">
        <v>2022</v>
      </c>
      <c r="E128" s="591">
        <v>6159</v>
      </c>
      <c r="F128" s="591">
        <v>0</v>
      </c>
      <c r="G128" s="591">
        <v>272.61200000000002</v>
      </c>
      <c r="H128" s="591">
        <v>164.673</v>
      </c>
      <c r="I128" s="591">
        <v>164.673</v>
      </c>
      <c r="J128" s="591">
        <v>272.61200000000002</v>
      </c>
      <c r="K128" s="591">
        <v>0</v>
      </c>
      <c r="L128" s="591">
        <v>6159</v>
      </c>
      <c r="M128" s="591">
        <v>0</v>
      </c>
      <c r="N128" s="591">
        <v>0</v>
      </c>
      <c r="O128" s="591">
        <v>0</v>
      </c>
      <c r="P128" s="591">
        <v>273.61599999999999</v>
      </c>
      <c r="Q128" s="591">
        <v>0</v>
      </c>
      <c r="R128" s="591">
        <v>110111</v>
      </c>
      <c r="S128" s="591">
        <v>402.428</v>
      </c>
      <c r="T128" s="591">
        <v>0</v>
      </c>
      <c r="U128" s="591">
        <v>0</v>
      </c>
      <c r="V128" s="591">
        <v>0.28600000000000003</v>
      </c>
      <c r="W128" s="591">
        <v>176</v>
      </c>
      <c r="X128" s="591">
        <v>176</v>
      </c>
      <c r="Y128" s="591">
        <v>0</v>
      </c>
      <c r="Z128" s="591">
        <v>0</v>
      </c>
      <c r="AA128" s="591">
        <v>0</v>
      </c>
      <c r="AB128" s="591">
        <v>0</v>
      </c>
      <c r="AC128" s="591">
        <v>0</v>
      </c>
      <c r="AD128" s="591" t="s">
        <v>316</v>
      </c>
      <c r="AE128" s="591">
        <v>0</v>
      </c>
      <c r="AF128" s="591">
        <v>0</v>
      </c>
      <c r="AG128" s="591">
        <v>0</v>
      </c>
      <c r="AH128" s="591">
        <v>0</v>
      </c>
      <c r="AI128" s="591">
        <v>0</v>
      </c>
      <c r="AJ128" s="591">
        <v>6159</v>
      </c>
      <c r="AK128" s="591" t="s">
        <v>671</v>
      </c>
      <c r="AL128" s="591" t="s">
        <v>372</v>
      </c>
      <c r="AM128" s="591">
        <v>0</v>
      </c>
      <c r="AN128" s="591">
        <v>0</v>
      </c>
      <c r="AO128" s="591">
        <v>0</v>
      </c>
      <c r="AP128" s="591">
        <v>0</v>
      </c>
      <c r="AQ128" s="591">
        <v>0</v>
      </c>
      <c r="AR128" s="591">
        <v>0</v>
      </c>
      <c r="AS128" s="591">
        <v>0</v>
      </c>
      <c r="AT128" s="591">
        <v>0</v>
      </c>
      <c r="AU128" s="591">
        <v>0</v>
      </c>
      <c r="AV128" s="591">
        <v>0</v>
      </c>
      <c r="AW128" s="591">
        <v>4671754</v>
      </c>
      <c r="AX128" s="591">
        <v>4631383</v>
      </c>
      <c r="AY128" s="591">
        <v>0</v>
      </c>
      <c r="AZ128" s="591">
        <v>110111</v>
      </c>
      <c r="BA128" s="591">
        <v>0</v>
      </c>
      <c r="BB128" s="591">
        <v>0</v>
      </c>
      <c r="BC128" s="591">
        <v>0</v>
      </c>
      <c r="BD128" s="591">
        <v>0</v>
      </c>
      <c r="BE128" s="591">
        <v>61</v>
      </c>
      <c r="BF128" s="591">
        <v>4145501</v>
      </c>
      <c r="BG128" s="591">
        <v>0</v>
      </c>
      <c r="BH128" s="591">
        <v>0</v>
      </c>
      <c r="BI128" s="591">
        <v>0</v>
      </c>
      <c r="BJ128" s="591">
        <v>12</v>
      </c>
      <c r="BK128" s="591">
        <v>0</v>
      </c>
      <c r="BL128" s="591">
        <v>0</v>
      </c>
      <c r="BM128" s="591">
        <v>0</v>
      </c>
      <c r="BN128" s="591">
        <v>0</v>
      </c>
      <c r="BO128" s="591">
        <v>0</v>
      </c>
      <c r="BP128" s="591">
        <v>0</v>
      </c>
      <c r="BQ128" s="591">
        <v>745</v>
      </c>
      <c r="BR128" s="591">
        <v>0</v>
      </c>
      <c r="BS128" s="591">
        <v>0</v>
      </c>
      <c r="BT128" s="591">
        <v>0</v>
      </c>
      <c r="BU128" s="591">
        <v>0</v>
      </c>
      <c r="BV128" s="591">
        <v>0</v>
      </c>
      <c r="BW128" s="591">
        <v>0</v>
      </c>
      <c r="BX128" s="591">
        <v>0</v>
      </c>
      <c r="BY128" s="591">
        <v>0</v>
      </c>
      <c r="BZ128" s="591">
        <v>0</v>
      </c>
      <c r="CA128" s="591">
        <v>0</v>
      </c>
      <c r="CB128" s="591">
        <v>0</v>
      </c>
      <c r="CC128" s="591">
        <v>0</v>
      </c>
      <c r="CD128" s="591">
        <v>0</v>
      </c>
      <c r="CE128" s="591">
        <v>0</v>
      </c>
      <c r="CF128" s="591">
        <v>0</v>
      </c>
      <c r="CG128" s="591">
        <v>0</v>
      </c>
      <c r="CH128" s="591">
        <v>49400</v>
      </c>
      <c r="CI128" s="591">
        <v>0</v>
      </c>
      <c r="CJ128" s="591">
        <v>4</v>
      </c>
      <c r="CK128" s="591">
        <v>0</v>
      </c>
      <c r="CL128" s="591">
        <v>0</v>
      </c>
      <c r="CM128" s="591">
        <v>0</v>
      </c>
      <c r="CN128" s="591">
        <v>0</v>
      </c>
      <c r="CO128" s="591">
        <v>1</v>
      </c>
      <c r="CP128" s="591">
        <v>0</v>
      </c>
      <c r="CQ128" s="591">
        <v>0</v>
      </c>
      <c r="CR128" s="591">
        <v>272.61200000000002</v>
      </c>
      <c r="CS128" s="591">
        <v>0</v>
      </c>
      <c r="CT128" s="591">
        <v>0</v>
      </c>
      <c r="CU128" s="591">
        <v>0</v>
      </c>
      <c r="CV128" s="591">
        <v>0</v>
      </c>
      <c r="CW128" s="591">
        <v>0</v>
      </c>
      <c r="CX128" s="591">
        <v>0</v>
      </c>
      <c r="CY128" s="591">
        <v>0</v>
      </c>
      <c r="CZ128" s="591">
        <v>0</v>
      </c>
      <c r="DA128" s="591">
        <v>0</v>
      </c>
      <c r="DB128" s="591">
        <v>726149</v>
      </c>
      <c r="DC128" s="591">
        <v>0</v>
      </c>
      <c r="DD128" s="591">
        <v>0</v>
      </c>
      <c r="DE128" s="591">
        <v>458852</v>
      </c>
      <c r="DF128" s="591">
        <v>465011</v>
      </c>
      <c r="DG128" s="591">
        <v>74.5</v>
      </c>
      <c r="DH128" s="591">
        <v>0</v>
      </c>
      <c r="DI128" s="591">
        <v>0</v>
      </c>
      <c r="DJ128" s="591">
        <v>0</v>
      </c>
      <c r="DK128" s="591">
        <v>3536</v>
      </c>
      <c r="DL128" s="591">
        <v>0</v>
      </c>
      <c r="DM128" s="591">
        <v>2638448</v>
      </c>
      <c r="DN128" s="591">
        <v>8967</v>
      </c>
      <c r="DO128" s="591">
        <v>0</v>
      </c>
      <c r="DP128" s="591">
        <v>0</v>
      </c>
      <c r="DQ128" s="591">
        <v>0</v>
      </c>
      <c r="DR128" s="591">
        <v>0</v>
      </c>
      <c r="DS128" s="591">
        <v>0</v>
      </c>
      <c r="DT128" s="591">
        <v>0</v>
      </c>
      <c r="DU128" s="591">
        <v>0</v>
      </c>
      <c r="DV128" s="591">
        <v>0</v>
      </c>
      <c r="DW128" s="591">
        <v>0</v>
      </c>
      <c r="DX128" s="591">
        <v>0</v>
      </c>
      <c r="DY128" s="591">
        <v>0</v>
      </c>
      <c r="DZ128" s="591">
        <v>0</v>
      </c>
      <c r="EA128" s="591">
        <v>3.0000000000000001E-3</v>
      </c>
      <c r="EB128" s="591">
        <v>0</v>
      </c>
      <c r="EC128" s="591">
        <v>3.359</v>
      </c>
      <c r="ED128" s="591">
        <v>23792</v>
      </c>
      <c r="EE128" s="591">
        <v>0</v>
      </c>
      <c r="EF128" s="591">
        <v>0</v>
      </c>
      <c r="EG128" s="591">
        <v>0</v>
      </c>
      <c r="EH128" s="591">
        <v>68329</v>
      </c>
      <c r="EI128" s="591">
        <v>2267208</v>
      </c>
      <c r="EJ128" s="591">
        <v>92.027000000000001</v>
      </c>
      <c r="EK128" s="591">
        <v>1.8430000000000002</v>
      </c>
      <c r="EL128" s="591">
        <v>0</v>
      </c>
      <c r="EM128" s="591">
        <v>0</v>
      </c>
      <c r="EN128" s="591">
        <v>1.1100000000000001</v>
      </c>
      <c r="EO128" s="591">
        <v>0</v>
      </c>
      <c r="EP128" s="591">
        <v>0</v>
      </c>
      <c r="EQ128" s="591">
        <v>94.983000000000004</v>
      </c>
      <c r="ER128" s="591">
        <v>0</v>
      </c>
      <c r="ES128" s="591">
        <v>11.094000000000001</v>
      </c>
      <c r="ET128" s="591">
        <v>0</v>
      </c>
      <c r="EU128" s="591">
        <v>0</v>
      </c>
      <c r="EV128" s="591">
        <v>0</v>
      </c>
      <c r="EW128" s="591">
        <v>0</v>
      </c>
      <c r="EX128" s="591">
        <v>0</v>
      </c>
      <c r="EY128" s="591">
        <v>0</v>
      </c>
      <c r="EZ128" s="591">
        <v>4114399</v>
      </c>
      <c r="FA128" s="591">
        <v>0</v>
      </c>
      <c r="FB128" s="591">
        <v>4215481</v>
      </c>
      <c r="FC128" s="591">
        <v>0</v>
      </c>
      <c r="FD128" s="591">
        <v>0</v>
      </c>
      <c r="FE128" s="591">
        <v>429398</v>
      </c>
      <c r="FF128" s="591">
        <v>87586</v>
      </c>
      <c r="FG128" s="591">
        <v>6.4728999999999995E-2</v>
      </c>
      <c r="FH128" s="591">
        <v>2.6405999999999999E-2</v>
      </c>
      <c r="FI128" s="591">
        <v>0</v>
      </c>
      <c r="FJ128" s="591">
        <v>0</v>
      </c>
      <c r="FK128" s="591">
        <v>673.07100000000003</v>
      </c>
      <c r="FL128" s="591">
        <v>4781865</v>
      </c>
      <c r="FM128" s="591">
        <v>0</v>
      </c>
      <c r="FN128" s="591">
        <v>0</v>
      </c>
      <c r="FO128" s="591">
        <v>0</v>
      </c>
      <c r="FP128" s="591">
        <v>0</v>
      </c>
      <c r="FQ128" s="591">
        <v>0</v>
      </c>
      <c r="FR128" s="591">
        <v>0</v>
      </c>
      <c r="FS128" s="591">
        <v>0</v>
      </c>
      <c r="FT128" s="591">
        <v>0</v>
      </c>
      <c r="FU128" s="591">
        <v>0</v>
      </c>
      <c r="FV128" s="591">
        <v>0</v>
      </c>
      <c r="FW128" s="591">
        <v>0</v>
      </c>
      <c r="FX128" s="591">
        <v>0</v>
      </c>
      <c r="FY128" s="591">
        <v>0</v>
      </c>
      <c r="FZ128" s="591">
        <v>0</v>
      </c>
      <c r="GA128" s="591">
        <v>0</v>
      </c>
      <c r="GB128" s="591">
        <v>107726</v>
      </c>
      <c r="GC128" s="591">
        <v>107726</v>
      </c>
      <c r="GD128" s="591">
        <v>12.956000000000001</v>
      </c>
      <c r="GE128" s="591">
        <v>0</v>
      </c>
      <c r="GF128" s="591">
        <v>0</v>
      </c>
      <c r="GG128" s="591">
        <v>0</v>
      </c>
      <c r="GH128" s="591">
        <v>0</v>
      </c>
      <c r="GI128" s="591">
        <v>0</v>
      </c>
      <c r="GJ128" s="591">
        <v>0</v>
      </c>
      <c r="GK128" s="591">
        <v>0</v>
      </c>
      <c r="GL128" s="591">
        <v>0</v>
      </c>
      <c r="GM128" s="591">
        <v>0</v>
      </c>
      <c r="GN128" s="591">
        <v>0</v>
      </c>
      <c r="GO128" s="591">
        <v>0</v>
      </c>
      <c r="GP128" s="591">
        <v>0</v>
      </c>
      <c r="GQ128" s="591">
        <v>0</v>
      </c>
      <c r="GR128" s="591">
        <v>0</v>
      </c>
      <c r="GS128" s="591">
        <v>0</v>
      </c>
      <c r="GT128" s="591">
        <v>0</v>
      </c>
      <c r="GU128" s="591">
        <v>0</v>
      </c>
      <c r="GV128" s="591">
        <v>0</v>
      </c>
      <c r="GW128" s="591">
        <v>0</v>
      </c>
      <c r="GX128" s="591">
        <v>0</v>
      </c>
      <c r="GY128" s="591">
        <v>0</v>
      </c>
      <c r="GZ128" s="591">
        <v>0</v>
      </c>
      <c r="HA128" s="591">
        <v>0</v>
      </c>
      <c r="HB128" s="591">
        <v>260009272</v>
      </c>
      <c r="HC128" s="591">
        <v>5.1774999999999995E-2</v>
      </c>
      <c r="HD128" s="591">
        <v>49400</v>
      </c>
      <c r="HE128" s="591">
        <v>0</v>
      </c>
      <c r="HF128" s="591">
        <v>180976</v>
      </c>
      <c r="HG128" s="591">
        <v>9855</v>
      </c>
      <c r="HH128" s="591">
        <v>5543</v>
      </c>
      <c r="HI128" s="591">
        <v>0</v>
      </c>
      <c r="HJ128" s="591">
        <v>2650</v>
      </c>
      <c r="HK128" s="591">
        <v>901</v>
      </c>
      <c r="HL128" s="591">
        <v>675</v>
      </c>
      <c r="HM128" s="591">
        <v>0</v>
      </c>
      <c r="HN128" s="591">
        <v>0</v>
      </c>
      <c r="HO128" s="591">
        <v>0</v>
      </c>
      <c r="HP128" s="591">
        <v>77433</v>
      </c>
      <c r="HQ128" s="591">
        <v>0</v>
      </c>
      <c r="HR128" s="591">
        <v>0</v>
      </c>
      <c r="HS128" s="591">
        <v>4105370</v>
      </c>
      <c r="HT128" s="591">
        <v>0</v>
      </c>
      <c r="HU128" s="591">
        <v>0</v>
      </c>
      <c r="HV128" s="591">
        <v>0</v>
      </c>
      <c r="HW128" s="591">
        <v>0</v>
      </c>
      <c r="HX128" s="591">
        <v>0</v>
      </c>
      <c r="HY128" s="591">
        <v>0</v>
      </c>
      <c r="HZ128" s="591">
        <v>1</v>
      </c>
      <c r="IA128" s="591">
        <v>0</v>
      </c>
      <c r="IB128" s="591">
        <v>270</v>
      </c>
      <c r="IC128" s="591">
        <v>271</v>
      </c>
      <c r="ID128" s="591">
        <v>5</v>
      </c>
      <c r="IE128" s="591">
        <v>0</v>
      </c>
      <c r="IF128" s="591">
        <v>0</v>
      </c>
      <c r="IG128" s="591">
        <v>16</v>
      </c>
      <c r="IH128" s="591">
        <v>9</v>
      </c>
      <c r="II128" s="591">
        <v>281.57300000000004</v>
      </c>
      <c r="IJ128" s="591">
        <v>0.28600000000000003</v>
      </c>
      <c r="IK128" s="591">
        <v>0</v>
      </c>
      <c r="IL128" s="591">
        <v>0</v>
      </c>
      <c r="IM128" s="591">
        <v>0</v>
      </c>
      <c r="IN128" s="591">
        <v>0</v>
      </c>
      <c r="IO128" s="591">
        <v>0</v>
      </c>
      <c r="IP128" s="591">
        <v>281.57300000000004</v>
      </c>
      <c r="IQ128" s="591">
        <v>0.28600000000000003</v>
      </c>
      <c r="IR128" s="591">
        <v>176</v>
      </c>
      <c r="IS128" s="591">
        <v>0</v>
      </c>
      <c r="IT128" s="591">
        <v>0</v>
      </c>
      <c r="IU128" s="591">
        <v>0</v>
      </c>
      <c r="IV128" s="591">
        <v>0</v>
      </c>
      <c r="IW128" s="591">
        <v>6159</v>
      </c>
      <c r="IX128" s="591">
        <v>0</v>
      </c>
      <c r="IY128" s="591">
        <v>0</v>
      </c>
      <c r="IZ128" s="591">
        <v>77433</v>
      </c>
      <c r="JA128" s="591">
        <v>6159</v>
      </c>
      <c r="JB128" s="591">
        <v>0</v>
      </c>
      <c r="JC128" s="591">
        <v>0</v>
      </c>
      <c r="JD128" s="591">
        <v>0</v>
      </c>
      <c r="JE128" s="591">
        <v>0</v>
      </c>
      <c r="JF128" s="591">
        <v>0</v>
      </c>
      <c r="JG128" s="591">
        <v>0</v>
      </c>
      <c r="JH128" s="591">
        <v>0</v>
      </c>
      <c r="JI128" s="591">
        <v>0</v>
      </c>
      <c r="JJ128" s="591">
        <v>0</v>
      </c>
      <c r="JK128" s="591">
        <v>0</v>
      </c>
      <c r="JL128" s="591">
        <v>0</v>
      </c>
      <c r="JM128" s="591">
        <v>0</v>
      </c>
      <c r="JN128" s="591">
        <v>32469</v>
      </c>
    </row>
    <row r="129" spans="1:274" x14ac:dyDescent="0.25">
      <c r="A129" s="591">
        <v>32570</v>
      </c>
      <c r="B129" s="591">
        <v>108802</v>
      </c>
      <c r="C129" s="591">
        <v>9</v>
      </c>
      <c r="D129" s="591">
        <v>2022</v>
      </c>
      <c r="E129" s="591">
        <v>6159</v>
      </c>
      <c r="F129" s="591">
        <v>0</v>
      </c>
      <c r="G129" s="591">
        <v>1044.5430000000001</v>
      </c>
      <c r="H129" s="591">
        <v>1023.3390000000001</v>
      </c>
      <c r="I129" s="591">
        <v>1023.3390000000001</v>
      </c>
      <c r="J129" s="591">
        <v>1044.5430000000001</v>
      </c>
      <c r="K129" s="591">
        <v>0</v>
      </c>
      <c r="L129" s="591">
        <v>6159</v>
      </c>
      <c r="M129" s="591">
        <v>0</v>
      </c>
      <c r="N129" s="591">
        <v>0</v>
      </c>
      <c r="O129" s="591">
        <v>0</v>
      </c>
      <c r="P129" s="591">
        <v>1094.1970000000001</v>
      </c>
      <c r="Q129" s="591">
        <v>0</v>
      </c>
      <c r="R129" s="591">
        <v>440336</v>
      </c>
      <c r="S129" s="591">
        <v>402.428</v>
      </c>
      <c r="T129" s="591">
        <v>0</v>
      </c>
      <c r="U129" s="591">
        <v>0</v>
      </c>
      <c r="V129" s="591">
        <v>318.16500000000002</v>
      </c>
      <c r="W129" s="591">
        <v>195960</v>
      </c>
      <c r="X129" s="591">
        <v>195960</v>
      </c>
      <c r="Y129" s="591">
        <v>0</v>
      </c>
      <c r="Z129" s="591">
        <v>0</v>
      </c>
      <c r="AA129" s="591">
        <v>0</v>
      </c>
      <c r="AB129" s="591">
        <v>0</v>
      </c>
      <c r="AC129" s="591">
        <v>0</v>
      </c>
      <c r="AD129" s="591" t="s">
        <v>316</v>
      </c>
      <c r="AE129" s="591">
        <v>0</v>
      </c>
      <c r="AF129" s="591">
        <v>0</v>
      </c>
      <c r="AG129" s="591">
        <v>0</v>
      </c>
      <c r="AH129" s="591">
        <v>0</v>
      </c>
      <c r="AI129" s="591">
        <v>0</v>
      </c>
      <c r="AJ129" s="591">
        <v>6159</v>
      </c>
      <c r="AK129" s="591" t="s">
        <v>671</v>
      </c>
      <c r="AL129" s="591" t="s">
        <v>354</v>
      </c>
      <c r="AM129" s="591">
        <v>0</v>
      </c>
      <c r="AN129" s="591">
        <v>0</v>
      </c>
      <c r="AO129" s="591">
        <v>0</v>
      </c>
      <c r="AP129" s="591">
        <v>0</v>
      </c>
      <c r="AQ129" s="591">
        <v>0</v>
      </c>
      <c r="AR129" s="591">
        <v>0</v>
      </c>
      <c r="AS129" s="591">
        <v>0</v>
      </c>
      <c r="AT129" s="591">
        <v>0</v>
      </c>
      <c r="AU129" s="591">
        <v>0</v>
      </c>
      <c r="AV129" s="591">
        <v>0</v>
      </c>
      <c r="AW129" s="591">
        <v>10951539</v>
      </c>
      <c r="AX129" s="591">
        <v>10730497</v>
      </c>
      <c r="AY129" s="591">
        <v>0</v>
      </c>
      <c r="AZ129" s="591">
        <v>440336</v>
      </c>
      <c r="BA129" s="591">
        <v>0</v>
      </c>
      <c r="BB129" s="591">
        <v>0</v>
      </c>
      <c r="BC129" s="591">
        <v>0</v>
      </c>
      <c r="BD129" s="591">
        <v>6.8330000000000002</v>
      </c>
      <c r="BE129" s="591">
        <v>143</v>
      </c>
      <c r="BF129" s="591">
        <v>9932191</v>
      </c>
      <c r="BG129" s="591">
        <v>0</v>
      </c>
      <c r="BH129" s="591">
        <v>0</v>
      </c>
      <c r="BI129" s="591">
        <v>0</v>
      </c>
      <c r="BJ129" s="591">
        <v>12</v>
      </c>
      <c r="BK129" s="591">
        <v>0</v>
      </c>
      <c r="BL129" s="591">
        <v>0</v>
      </c>
      <c r="BM129" s="591">
        <v>0</v>
      </c>
      <c r="BN129" s="591">
        <v>0</v>
      </c>
      <c r="BO129" s="591">
        <v>0</v>
      </c>
      <c r="BP129" s="591">
        <v>0</v>
      </c>
      <c r="BQ129" s="591">
        <v>612</v>
      </c>
      <c r="BR129" s="591">
        <v>0</v>
      </c>
      <c r="BS129" s="591">
        <v>0</v>
      </c>
      <c r="BT129" s="591">
        <v>0</v>
      </c>
      <c r="BU129" s="591">
        <v>0</v>
      </c>
      <c r="BV129" s="591">
        <v>0</v>
      </c>
      <c r="BW129" s="591">
        <v>0</v>
      </c>
      <c r="BX129" s="591">
        <v>0</v>
      </c>
      <c r="BY129" s="591">
        <v>0</v>
      </c>
      <c r="BZ129" s="591">
        <v>0</v>
      </c>
      <c r="CA129" s="591">
        <v>0</v>
      </c>
      <c r="CB129" s="591">
        <v>0</v>
      </c>
      <c r="CC129" s="591">
        <v>0</v>
      </c>
      <c r="CD129" s="591">
        <v>0</v>
      </c>
      <c r="CE129" s="591">
        <v>0</v>
      </c>
      <c r="CF129" s="591">
        <v>0</v>
      </c>
      <c r="CG129" s="591">
        <v>0</v>
      </c>
      <c r="CH129" s="591">
        <v>222970</v>
      </c>
      <c r="CI129" s="591">
        <v>0</v>
      </c>
      <c r="CJ129" s="591">
        <v>4</v>
      </c>
      <c r="CK129" s="591">
        <v>0</v>
      </c>
      <c r="CL129" s="591">
        <v>0</v>
      </c>
      <c r="CM129" s="591">
        <v>0</v>
      </c>
      <c r="CN129" s="591">
        <v>0</v>
      </c>
      <c r="CO129" s="591">
        <v>1</v>
      </c>
      <c r="CP129" s="591">
        <v>0</v>
      </c>
      <c r="CQ129" s="591">
        <v>0</v>
      </c>
      <c r="CR129" s="591">
        <v>1044.5430000000001</v>
      </c>
      <c r="CS129" s="591">
        <v>0</v>
      </c>
      <c r="CT129" s="591">
        <v>0</v>
      </c>
      <c r="CU129" s="591">
        <v>0</v>
      </c>
      <c r="CV129" s="591">
        <v>0</v>
      </c>
      <c r="CW129" s="591">
        <v>0</v>
      </c>
      <c r="CX129" s="591">
        <v>0</v>
      </c>
      <c r="CY129" s="591">
        <v>0</v>
      </c>
      <c r="CZ129" s="591">
        <v>0</v>
      </c>
      <c r="DA129" s="591">
        <v>0</v>
      </c>
      <c r="DB129" s="591">
        <v>6302829</v>
      </c>
      <c r="DC129" s="591">
        <v>0</v>
      </c>
      <c r="DD129" s="591">
        <v>0</v>
      </c>
      <c r="DE129" s="591">
        <v>1360310</v>
      </c>
      <c r="DF129" s="591">
        <v>1360310</v>
      </c>
      <c r="DG129" s="591">
        <v>220.863</v>
      </c>
      <c r="DH129" s="591">
        <v>0</v>
      </c>
      <c r="DI129" s="591">
        <v>0</v>
      </c>
      <c r="DJ129" s="591">
        <v>0</v>
      </c>
      <c r="DK129" s="591">
        <v>1421</v>
      </c>
      <c r="DL129" s="591">
        <v>0</v>
      </c>
      <c r="DM129" s="591">
        <v>467966</v>
      </c>
      <c r="DN129" s="591">
        <v>1785</v>
      </c>
      <c r="DO129" s="591">
        <v>0</v>
      </c>
      <c r="DP129" s="591">
        <v>0</v>
      </c>
      <c r="DQ129" s="591">
        <v>0</v>
      </c>
      <c r="DR129" s="591">
        <v>0</v>
      </c>
      <c r="DS129" s="591">
        <v>0</v>
      </c>
      <c r="DT129" s="591">
        <v>0</v>
      </c>
      <c r="DU129" s="591">
        <v>0</v>
      </c>
      <c r="DV129" s="591">
        <v>0</v>
      </c>
      <c r="DW129" s="591">
        <v>0</v>
      </c>
      <c r="DX129" s="591">
        <v>0</v>
      </c>
      <c r="DY129" s="591">
        <v>0</v>
      </c>
      <c r="DZ129" s="591">
        <v>0</v>
      </c>
      <c r="EA129" s="591">
        <v>0</v>
      </c>
      <c r="EB129" s="591">
        <v>0</v>
      </c>
      <c r="EC129" s="591">
        <v>23.977</v>
      </c>
      <c r="ED129" s="591">
        <v>169828</v>
      </c>
      <c r="EE129" s="591">
        <v>0</v>
      </c>
      <c r="EF129" s="591">
        <v>0</v>
      </c>
      <c r="EG129" s="591">
        <v>0</v>
      </c>
      <c r="EH129" s="591">
        <v>299923</v>
      </c>
      <c r="EI129" s="591">
        <v>0</v>
      </c>
      <c r="EJ129" s="591">
        <v>0</v>
      </c>
      <c r="EK129" s="591">
        <v>13.357000000000001</v>
      </c>
      <c r="EL129" s="591">
        <v>0</v>
      </c>
      <c r="EM129" s="591">
        <v>0</v>
      </c>
      <c r="EN129" s="591">
        <v>1.7250000000000001</v>
      </c>
      <c r="EO129" s="591">
        <v>0</v>
      </c>
      <c r="EP129" s="591">
        <v>0</v>
      </c>
      <c r="EQ129" s="591">
        <v>15.082000000000001</v>
      </c>
      <c r="ER129" s="591">
        <v>0</v>
      </c>
      <c r="ES129" s="591">
        <v>48.696000000000005</v>
      </c>
      <c r="ET129" s="591">
        <v>0</v>
      </c>
      <c r="EU129" s="591">
        <v>0</v>
      </c>
      <c r="EV129" s="591">
        <v>0</v>
      </c>
      <c r="EW129" s="591">
        <v>0</v>
      </c>
      <c r="EX129" s="591">
        <v>0</v>
      </c>
      <c r="EY129" s="591">
        <v>0</v>
      </c>
      <c r="EZ129" s="591">
        <v>9491855</v>
      </c>
      <c r="FA129" s="591">
        <v>0</v>
      </c>
      <c r="FB129" s="591">
        <v>9930263</v>
      </c>
      <c r="FC129" s="591">
        <v>0</v>
      </c>
      <c r="FD129" s="591">
        <v>0</v>
      </c>
      <c r="FE129" s="591">
        <v>1028795</v>
      </c>
      <c r="FF129" s="591">
        <v>209847</v>
      </c>
      <c r="FG129" s="591">
        <v>6.4728999999999995E-2</v>
      </c>
      <c r="FH129" s="591">
        <v>2.6405999999999999E-2</v>
      </c>
      <c r="FI129" s="591">
        <v>0</v>
      </c>
      <c r="FJ129" s="591">
        <v>0</v>
      </c>
      <c r="FK129" s="591">
        <v>1612.6090000000002</v>
      </c>
      <c r="FL129" s="591">
        <v>11391875</v>
      </c>
      <c r="FM129" s="591">
        <v>0</v>
      </c>
      <c r="FN129" s="591">
        <v>0</v>
      </c>
      <c r="FO129" s="591">
        <v>0</v>
      </c>
      <c r="FP129" s="591">
        <v>0</v>
      </c>
      <c r="FQ129" s="591">
        <v>0</v>
      </c>
      <c r="FR129" s="591">
        <v>0</v>
      </c>
      <c r="FS129" s="591">
        <v>0</v>
      </c>
      <c r="FT129" s="591">
        <v>0</v>
      </c>
      <c r="FU129" s="591">
        <v>0</v>
      </c>
      <c r="FV129" s="591">
        <v>0</v>
      </c>
      <c r="FW129" s="591">
        <v>0</v>
      </c>
      <c r="FX129" s="591">
        <v>0</v>
      </c>
      <c r="FY129" s="591">
        <v>0</v>
      </c>
      <c r="FZ129" s="591">
        <v>0</v>
      </c>
      <c r="GA129" s="591">
        <v>0</v>
      </c>
      <c r="GB129" s="591">
        <v>50903</v>
      </c>
      <c r="GC129" s="591">
        <v>50903</v>
      </c>
      <c r="GD129" s="591">
        <v>6.1219999999999999</v>
      </c>
      <c r="GE129" s="591">
        <v>0</v>
      </c>
      <c r="GF129" s="591">
        <v>0</v>
      </c>
      <c r="GG129" s="591">
        <v>0</v>
      </c>
      <c r="GH129" s="591">
        <v>0</v>
      </c>
      <c r="GI129" s="591">
        <v>0</v>
      </c>
      <c r="GJ129" s="591">
        <v>0</v>
      </c>
      <c r="GK129" s="591">
        <v>0</v>
      </c>
      <c r="GL129" s="591">
        <v>0</v>
      </c>
      <c r="GM129" s="591">
        <v>0</v>
      </c>
      <c r="GN129" s="591">
        <v>0</v>
      </c>
      <c r="GO129" s="591">
        <v>0</v>
      </c>
      <c r="GP129" s="591">
        <v>0</v>
      </c>
      <c r="GQ129" s="591">
        <v>0</v>
      </c>
      <c r="GR129" s="591">
        <v>0</v>
      </c>
      <c r="GS129" s="591">
        <v>0</v>
      </c>
      <c r="GT129" s="591">
        <v>0</v>
      </c>
      <c r="GU129" s="591">
        <v>0</v>
      </c>
      <c r="GV129" s="591">
        <v>0</v>
      </c>
      <c r="GW129" s="591">
        <v>0</v>
      </c>
      <c r="GX129" s="591">
        <v>0</v>
      </c>
      <c r="GY129" s="591">
        <v>0</v>
      </c>
      <c r="GZ129" s="591">
        <v>0</v>
      </c>
      <c r="HA129" s="591">
        <v>0</v>
      </c>
      <c r="HB129" s="591">
        <v>260009272</v>
      </c>
      <c r="HC129" s="591">
        <v>5.1774999999999995E-2</v>
      </c>
      <c r="HD129" s="591">
        <v>189282</v>
      </c>
      <c r="HE129" s="591">
        <v>0</v>
      </c>
      <c r="HF129" s="591">
        <v>1124650</v>
      </c>
      <c r="HG129" s="591">
        <v>4927</v>
      </c>
      <c r="HH129" s="591">
        <v>412708</v>
      </c>
      <c r="HI129" s="591">
        <v>0</v>
      </c>
      <c r="HJ129" s="591">
        <v>10153</v>
      </c>
      <c r="HK129" s="591">
        <v>0</v>
      </c>
      <c r="HL129" s="591">
        <v>0</v>
      </c>
      <c r="HM129" s="591">
        <v>0</v>
      </c>
      <c r="HN129" s="591">
        <v>0</v>
      </c>
      <c r="HO129" s="591">
        <v>0</v>
      </c>
      <c r="HP129" s="591">
        <v>0</v>
      </c>
      <c r="HQ129" s="591">
        <v>0</v>
      </c>
      <c r="HR129" s="591">
        <v>0</v>
      </c>
      <c r="HS129" s="591">
        <v>9489927</v>
      </c>
      <c r="HT129" s="591">
        <v>0</v>
      </c>
      <c r="HU129" s="591">
        <v>33688</v>
      </c>
      <c r="HV129" s="591">
        <v>0</v>
      </c>
      <c r="HW129" s="591">
        <v>0</v>
      </c>
      <c r="HX129" s="591">
        <v>167</v>
      </c>
      <c r="HY129" s="591">
        <v>109</v>
      </c>
      <c r="HZ129" s="591">
        <v>192</v>
      </c>
      <c r="IA129" s="591">
        <v>202</v>
      </c>
      <c r="IB129" s="591">
        <v>205</v>
      </c>
      <c r="IC129" s="591">
        <v>875</v>
      </c>
      <c r="ID129" s="591">
        <v>0</v>
      </c>
      <c r="IE129" s="591">
        <v>0</v>
      </c>
      <c r="IF129" s="591">
        <v>0</v>
      </c>
      <c r="IG129" s="591">
        <v>8</v>
      </c>
      <c r="IH129" s="591">
        <v>670.08</v>
      </c>
      <c r="II129" s="591">
        <v>0</v>
      </c>
      <c r="IJ129" s="591">
        <v>318.16500000000002</v>
      </c>
      <c r="IK129" s="591">
        <v>0</v>
      </c>
      <c r="IL129" s="591">
        <v>0</v>
      </c>
      <c r="IM129" s="591">
        <v>0</v>
      </c>
      <c r="IN129" s="591">
        <v>0</v>
      </c>
      <c r="IO129" s="591">
        <v>0</v>
      </c>
      <c r="IP129" s="591">
        <v>0</v>
      </c>
      <c r="IQ129" s="591">
        <v>318.16500000000002</v>
      </c>
      <c r="IR129" s="591">
        <v>195960</v>
      </c>
      <c r="IS129" s="591">
        <v>0</v>
      </c>
      <c r="IT129" s="591">
        <v>0</v>
      </c>
      <c r="IU129" s="591">
        <v>0</v>
      </c>
      <c r="IV129" s="591">
        <v>0</v>
      </c>
      <c r="IW129" s="591">
        <v>6159</v>
      </c>
      <c r="IX129" s="591">
        <v>0</v>
      </c>
      <c r="IY129" s="591">
        <v>0</v>
      </c>
      <c r="IZ129" s="591">
        <v>0</v>
      </c>
      <c r="JA129" s="591">
        <v>0</v>
      </c>
      <c r="JB129" s="591">
        <v>0</v>
      </c>
      <c r="JC129" s="591">
        <v>0</v>
      </c>
      <c r="JD129" s="591">
        <v>0</v>
      </c>
      <c r="JE129" s="591">
        <v>0</v>
      </c>
      <c r="JF129" s="591">
        <v>0</v>
      </c>
      <c r="JG129" s="591">
        <v>0</v>
      </c>
      <c r="JH129" s="591">
        <v>0</v>
      </c>
      <c r="JI129" s="591">
        <v>0</v>
      </c>
      <c r="JJ129" s="591">
        <v>0</v>
      </c>
      <c r="JK129" s="591">
        <v>0</v>
      </c>
      <c r="JL129" s="591">
        <v>0</v>
      </c>
      <c r="JM129" s="591">
        <v>0</v>
      </c>
      <c r="JN129" s="591">
        <v>32469</v>
      </c>
    </row>
    <row r="130" spans="1:274" x14ac:dyDescent="0.25">
      <c r="A130" s="591">
        <v>32570</v>
      </c>
      <c r="B130" s="591">
        <v>108804</v>
      </c>
      <c r="C130" s="591">
        <v>9</v>
      </c>
      <c r="D130" s="591">
        <v>2022</v>
      </c>
      <c r="E130" s="591">
        <v>6159</v>
      </c>
      <c r="F130" s="591">
        <v>0</v>
      </c>
      <c r="G130" s="591">
        <v>440.71700000000004</v>
      </c>
      <c r="H130" s="591">
        <v>408.08700000000005</v>
      </c>
      <c r="I130" s="591">
        <v>408.08700000000005</v>
      </c>
      <c r="J130" s="591">
        <v>440.71700000000004</v>
      </c>
      <c r="K130" s="591">
        <v>0</v>
      </c>
      <c r="L130" s="591">
        <v>6159</v>
      </c>
      <c r="M130" s="591">
        <v>0</v>
      </c>
      <c r="N130" s="591">
        <v>0</v>
      </c>
      <c r="O130" s="591">
        <v>0</v>
      </c>
      <c r="P130" s="591">
        <v>429.70699999999999</v>
      </c>
      <c r="Q130" s="591">
        <v>0</v>
      </c>
      <c r="R130" s="591">
        <v>172926</v>
      </c>
      <c r="S130" s="591">
        <v>402.428</v>
      </c>
      <c r="T130" s="591">
        <v>0</v>
      </c>
      <c r="U130" s="591">
        <v>0</v>
      </c>
      <c r="V130" s="591">
        <v>94.11</v>
      </c>
      <c r="W130" s="591">
        <v>57963</v>
      </c>
      <c r="X130" s="591">
        <v>57963</v>
      </c>
      <c r="Y130" s="591">
        <v>0</v>
      </c>
      <c r="Z130" s="591">
        <v>0</v>
      </c>
      <c r="AA130" s="591">
        <v>0</v>
      </c>
      <c r="AB130" s="591">
        <v>0</v>
      </c>
      <c r="AC130" s="591">
        <v>0</v>
      </c>
      <c r="AD130" s="591" t="s">
        <v>316</v>
      </c>
      <c r="AE130" s="591">
        <v>0</v>
      </c>
      <c r="AF130" s="591">
        <v>0</v>
      </c>
      <c r="AG130" s="591">
        <v>0</v>
      </c>
      <c r="AH130" s="591">
        <v>0</v>
      </c>
      <c r="AI130" s="591">
        <v>0</v>
      </c>
      <c r="AJ130" s="591">
        <v>6159</v>
      </c>
      <c r="AK130" s="591" t="s">
        <v>671</v>
      </c>
      <c r="AL130" s="591" t="s">
        <v>467</v>
      </c>
      <c r="AM130" s="591">
        <v>0</v>
      </c>
      <c r="AN130" s="591">
        <v>0</v>
      </c>
      <c r="AO130" s="591">
        <v>0</v>
      </c>
      <c r="AP130" s="591">
        <v>0</v>
      </c>
      <c r="AQ130" s="591">
        <v>0</v>
      </c>
      <c r="AR130" s="591">
        <v>0</v>
      </c>
      <c r="AS130" s="591">
        <v>0</v>
      </c>
      <c r="AT130" s="591">
        <v>0</v>
      </c>
      <c r="AU130" s="591">
        <v>0</v>
      </c>
      <c r="AV130" s="591">
        <v>0</v>
      </c>
      <c r="AW130" s="591">
        <v>4981321</v>
      </c>
      <c r="AX130" s="591">
        <v>4903063</v>
      </c>
      <c r="AY130" s="591">
        <v>0</v>
      </c>
      <c r="AZ130" s="591">
        <v>172926</v>
      </c>
      <c r="BA130" s="591">
        <v>0</v>
      </c>
      <c r="BB130" s="591">
        <v>0</v>
      </c>
      <c r="BC130" s="591">
        <v>0</v>
      </c>
      <c r="BD130" s="591">
        <v>0</v>
      </c>
      <c r="BE130" s="591">
        <v>65</v>
      </c>
      <c r="BF130" s="591">
        <v>4423256</v>
      </c>
      <c r="BG130" s="591">
        <v>0</v>
      </c>
      <c r="BH130" s="591">
        <v>0</v>
      </c>
      <c r="BI130" s="591">
        <v>0</v>
      </c>
      <c r="BJ130" s="591">
        <v>12</v>
      </c>
      <c r="BK130" s="591">
        <v>0</v>
      </c>
      <c r="BL130" s="591">
        <v>0</v>
      </c>
      <c r="BM130" s="591">
        <v>0</v>
      </c>
      <c r="BN130" s="591">
        <v>0</v>
      </c>
      <c r="BO130" s="591">
        <v>0</v>
      </c>
      <c r="BP130" s="591">
        <v>0</v>
      </c>
      <c r="BQ130" s="591">
        <v>707</v>
      </c>
      <c r="BR130" s="591">
        <v>0</v>
      </c>
      <c r="BS130" s="591">
        <v>0</v>
      </c>
      <c r="BT130" s="591">
        <v>0</v>
      </c>
      <c r="BU130" s="591">
        <v>0</v>
      </c>
      <c r="BV130" s="591">
        <v>0</v>
      </c>
      <c r="BW130" s="591">
        <v>0</v>
      </c>
      <c r="BX130" s="591">
        <v>0</v>
      </c>
      <c r="BY130" s="591">
        <v>0</v>
      </c>
      <c r="BZ130" s="591">
        <v>0</v>
      </c>
      <c r="CA130" s="591">
        <v>0</v>
      </c>
      <c r="CB130" s="591">
        <v>0</v>
      </c>
      <c r="CC130" s="591">
        <v>0</v>
      </c>
      <c r="CD130" s="591">
        <v>0</v>
      </c>
      <c r="CE130" s="591">
        <v>0</v>
      </c>
      <c r="CF130" s="591">
        <v>0</v>
      </c>
      <c r="CG130" s="591">
        <v>0</v>
      </c>
      <c r="CH130" s="591">
        <v>79863</v>
      </c>
      <c r="CI130" s="591">
        <v>0</v>
      </c>
      <c r="CJ130" s="591">
        <v>4</v>
      </c>
      <c r="CK130" s="591">
        <v>0</v>
      </c>
      <c r="CL130" s="591">
        <v>0</v>
      </c>
      <c r="CM130" s="591">
        <v>0</v>
      </c>
      <c r="CN130" s="591">
        <v>0</v>
      </c>
      <c r="CO130" s="591">
        <v>1</v>
      </c>
      <c r="CP130" s="591">
        <v>1.095</v>
      </c>
      <c r="CQ130" s="591">
        <v>0</v>
      </c>
      <c r="CR130" s="591">
        <v>440.71700000000004</v>
      </c>
      <c r="CS130" s="591">
        <v>0</v>
      </c>
      <c r="CT130" s="591">
        <v>0</v>
      </c>
      <c r="CU130" s="591">
        <v>0</v>
      </c>
      <c r="CV130" s="591">
        <v>0</v>
      </c>
      <c r="CW130" s="591">
        <v>0</v>
      </c>
      <c r="CX130" s="591">
        <v>0</v>
      </c>
      <c r="CY130" s="591">
        <v>0</v>
      </c>
      <c r="CZ130" s="591">
        <v>0</v>
      </c>
      <c r="DA130" s="591">
        <v>0</v>
      </c>
      <c r="DB130" s="591">
        <v>2513441</v>
      </c>
      <c r="DC130" s="591">
        <v>0</v>
      </c>
      <c r="DD130" s="591">
        <v>0</v>
      </c>
      <c r="DE130" s="591">
        <v>709834</v>
      </c>
      <c r="DF130" s="591">
        <v>726088</v>
      </c>
      <c r="DG130" s="591">
        <v>115.25</v>
      </c>
      <c r="DH130" s="591">
        <v>0</v>
      </c>
      <c r="DI130" s="591">
        <v>16254</v>
      </c>
      <c r="DJ130" s="591">
        <v>0</v>
      </c>
      <c r="DK130" s="591">
        <v>2936</v>
      </c>
      <c r="DL130" s="591">
        <v>0</v>
      </c>
      <c r="DM130" s="591">
        <v>403565</v>
      </c>
      <c r="DN130" s="591">
        <v>1540</v>
      </c>
      <c r="DO130" s="591">
        <v>0</v>
      </c>
      <c r="DP130" s="591">
        <v>0</v>
      </c>
      <c r="DQ130" s="591">
        <v>0</v>
      </c>
      <c r="DR130" s="591">
        <v>0</v>
      </c>
      <c r="DS130" s="591">
        <v>0</v>
      </c>
      <c r="DT130" s="591">
        <v>0</v>
      </c>
      <c r="DU130" s="591">
        <v>0</v>
      </c>
      <c r="DV130" s="591">
        <v>0</v>
      </c>
      <c r="DW130" s="591">
        <v>0</v>
      </c>
      <c r="DX130" s="591">
        <v>0</v>
      </c>
      <c r="DY130" s="591">
        <v>0</v>
      </c>
      <c r="DZ130" s="591">
        <v>0</v>
      </c>
      <c r="EA130" s="591">
        <v>2.8000000000000001E-2</v>
      </c>
      <c r="EB130" s="591">
        <v>0</v>
      </c>
      <c r="EC130" s="591">
        <v>55.59</v>
      </c>
      <c r="ED130" s="591">
        <v>393741</v>
      </c>
      <c r="EE130" s="591">
        <v>0</v>
      </c>
      <c r="EF130" s="591">
        <v>0</v>
      </c>
      <c r="EG130" s="591">
        <v>0</v>
      </c>
      <c r="EH130" s="591">
        <v>11364</v>
      </c>
      <c r="EI130" s="591">
        <v>0</v>
      </c>
      <c r="EJ130" s="591">
        <v>0</v>
      </c>
      <c r="EK130" s="591">
        <v>0.3</v>
      </c>
      <c r="EL130" s="591">
        <v>0</v>
      </c>
      <c r="EM130" s="591">
        <v>0</v>
      </c>
      <c r="EN130" s="591">
        <v>0.161</v>
      </c>
      <c r="EO130" s="591">
        <v>0</v>
      </c>
      <c r="EP130" s="591">
        <v>0</v>
      </c>
      <c r="EQ130" s="591">
        <v>0.48900000000000005</v>
      </c>
      <c r="ER130" s="591">
        <v>0</v>
      </c>
      <c r="ES130" s="591">
        <v>1.8450000000000002</v>
      </c>
      <c r="ET130" s="591">
        <v>0</v>
      </c>
      <c r="EU130" s="591">
        <v>0</v>
      </c>
      <c r="EV130" s="591">
        <v>0</v>
      </c>
      <c r="EW130" s="591">
        <v>0</v>
      </c>
      <c r="EX130" s="591">
        <v>0</v>
      </c>
      <c r="EY130" s="591">
        <v>0</v>
      </c>
      <c r="EZ130" s="591">
        <v>4351440</v>
      </c>
      <c r="FA130" s="591">
        <v>0</v>
      </c>
      <c r="FB130" s="591">
        <v>4522761</v>
      </c>
      <c r="FC130" s="591">
        <v>0</v>
      </c>
      <c r="FD130" s="591">
        <v>0</v>
      </c>
      <c r="FE130" s="591">
        <v>458169</v>
      </c>
      <c r="FF130" s="591">
        <v>93454</v>
      </c>
      <c r="FG130" s="591">
        <v>6.4728999999999995E-2</v>
      </c>
      <c r="FH130" s="591">
        <v>2.6405999999999999E-2</v>
      </c>
      <c r="FI130" s="591">
        <v>0</v>
      </c>
      <c r="FJ130" s="591">
        <v>0</v>
      </c>
      <c r="FK130" s="591">
        <v>718.16800000000001</v>
      </c>
      <c r="FL130" s="591">
        <v>5154247</v>
      </c>
      <c r="FM130" s="591">
        <v>0</v>
      </c>
      <c r="FN130" s="591">
        <v>0</v>
      </c>
      <c r="FO130" s="591">
        <v>0</v>
      </c>
      <c r="FP130" s="591">
        <v>0</v>
      </c>
      <c r="FQ130" s="591">
        <v>0</v>
      </c>
      <c r="FR130" s="591">
        <v>0</v>
      </c>
      <c r="FS130" s="591">
        <v>0</v>
      </c>
      <c r="FT130" s="591">
        <v>0</v>
      </c>
      <c r="FU130" s="591">
        <v>0</v>
      </c>
      <c r="FV130" s="591">
        <v>0</v>
      </c>
      <c r="FW130" s="591">
        <v>0</v>
      </c>
      <c r="FX130" s="591">
        <v>0</v>
      </c>
      <c r="FY130" s="591">
        <v>0</v>
      </c>
      <c r="FZ130" s="591">
        <v>0</v>
      </c>
      <c r="GA130" s="591">
        <v>0</v>
      </c>
      <c r="GB130" s="591">
        <v>267245</v>
      </c>
      <c r="GC130" s="591">
        <v>267245</v>
      </c>
      <c r="GD130" s="591">
        <v>32.140999999999998</v>
      </c>
      <c r="GE130" s="591">
        <v>0</v>
      </c>
      <c r="GF130" s="591">
        <v>0</v>
      </c>
      <c r="GG130" s="591">
        <v>0</v>
      </c>
      <c r="GH130" s="591">
        <v>0</v>
      </c>
      <c r="GI130" s="591">
        <v>0</v>
      </c>
      <c r="GJ130" s="591">
        <v>0</v>
      </c>
      <c r="GK130" s="591">
        <v>0</v>
      </c>
      <c r="GL130" s="591">
        <v>0</v>
      </c>
      <c r="GM130" s="591">
        <v>0</v>
      </c>
      <c r="GN130" s="591">
        <v>0</v>
      </c>
      <c r="GO130" s="591">
        <v>0</v>
      </c>
      <c r="GP130" s="591">
        <v>0</v>
      </c>
      <c r="GQ130" s="591">
        <v>0</v>
      </c>
      <c r="GR130" s="591">
        <v>0</v>
      </c>
      <c r="GS130" s="591">
        <v>0</v>
      </c>
      <c r="GT130" s="591">
        <v>0</v>
      </c>
      <c r="GU130" s="591">
        <v>0</v>
      </c>
      <c r="GV130" s="591">
        <v>0</v>
      </c>
      <c r="GW130" s="591">
        <v>0</v>
      </c>
      <c r="GX130" s="591">
        <v>0</v>
      </c>
      <c r="GY130" s="591">
        <v>0</v>
      </c>
      <c r="GZ130" s="591">
        <v>0</v>
      </c>
      <c r="HA130" s="591">
        <v>0</v>
      </c>
      <c r="HB130" s="591">
        <v>260009272</v>
      </c>
      <c r="HC130" s="591">
        <v>5.1774999999999995E-2</v>
      </c>
      <c r="HD130" s="591">
        <v>79863</v>
      </c>
      <c r="HE130" s="591">
        <v>0</v>
      </c>
      <c r="HF130" s="591">
        <v>448488</v>
      </c>
      <c r="HG130" s="591">
        <v>642</v>
      </c>
      <c r="HH130" s="591">
        <v>0</v>
      </c>
      <c r="HI130" s="591">
        <v>0</v>
      </c>
      <c r="HJ130" s="591">
        <v>4284</v>
      </c>
      <c r="HK130" s="591">
        <v>4463</v>
      </c>
      <c r="HL130" s="591">
        <v>2480</v>
      </c>
      <c r="HM130" s="591">
        <v>0</v>
      </c>
      <c r="HN130" s="591">
        <v>0</v>
      </c>
      <c r="HO130" s="591">
        <v>0</v>
      </c>
      <c r="HP130" s="591">
        <v>94167</v>
      </c>
      <c r="HQ130" s="591">
        <v>0</v>
      </c>
      <c r="HR130" s="591">
        <v>0</v>
      </c>
      <c r="HS130" s="591">
        <v>4349835</v>
      </c>
      <c r="HT130" s="591">
        <v>0</v>
      </c>
      <c r="HU130" s="591">
        <v>0</v>
      </c>
      <c r="HV130" s="591">
        <v>0</v>
      </c>
      <c r="HW130" s="591">
        <v>0</v>
      </c>
      <c r="HX130" s="591">
        <v>25</v>
      </c>
      <c r="HY130" s="591">
        <v>18</v>
      </c>
      <c r="HZ130" s="591">
        <v>135</v>
      </c>
      <c r="IA130" s="591">
        <v>124</v>
      </c>
      <c r="IB130" s="591">
        <v>142</v>
      </c>
      <c r="IC130" s="591">
        <v>444</v>
      </c>
      <c r="ID130" s="591">
        <v>0</v>
      </c>
      <c r="IE130" s="591">
        <v>0</v>
      </c>
      <c r="IF130" s="591">
        <v>0</v>
      </c>
      <c r="IG130" s="591">
        <v>1.042</v>
      </c>
      <c r="IH130" s="591">
        <v>0</v>
      </c>
      <c r="II130" s="591">
        <v>342.42500000000001</v>
      </c>
      <c r="IJ130" s="591">
        <v>94.11</v>
      </c>
      <c r="IK130" s="591">
        <v>0</v>
      </c>
      <c r="IL130" s="591">
        <v>0</v>
      </c>
      <c r="IM130" s="591">
        <v>0</v>
      </c>
      <c r="IN130" s="591">
        <v>0</v>
      </c>
      <c r="IO130" s="591">
        <v>0</v>
      </c>
      <c r="IP130" s="591">
        <v>342.42500000000001</v>
      </c>
      <c r="IQ130" s="591">
        <v>94.11</v>
      </c>
      <c r="IR130" s="591">
        <v>57963</v>
      </c>
      <c r="IS130" s="591">
        <v>0</v>
      </c>
      <c r="IT130" s="591">
        <v>0</v>
      </c>
      <c r="IU130" s="591">
        <v>0</v>
      </c>
      <c r="IV130" s="591">
        <v>0</v>
      </c>
      <c r="IW130" s="591">
        <v>6159</v>
      </c>
      <c r="IX130" s="591">
        <v>0</v>
      </c>
      <c r="IY130" s="591">
        <v>0</v>
      </c>
      <c r="IZ130" s="591">
        <v>94167</v>
      </c>
      <c r="JA130" s="591">
        <v>0</v>
      </c>
      <c r="JB130" s="591">
        <v>0</v>
      </c>
      <c r="JC130" s="591">
        <v>0</v>
      </c>
      <c r="JD130" s="591">
        <v>0</v>
      </c>
      <c r="JE130" s="591">
        <v>0</v>
      </c>
      <c r="JF130" s="591">
        <v>0</v>
      </c>
      <c r="JG130" s="591">
        <v>0</v>
      </c>
      <c r="JH130" s="591">
        <v>0</v>
      </c>
      <c r="JI130" s="591">
        <v>0</v>
      </c>
      <c r="JJ130" s="591">
        <v>0</v>
      </c>
      <c r="JK130" s="591">
        <v>0</v>
      </c>
      <c r="JL130" s="591">
        <v>0</v>
      </c>
      <c r="JM130" s="591">
        <v>0</v>
      </c>
      <c r="JN130" s="591">
        <v>32469</v>
      </c>
    </row>
    <row r="131" spans="1:274" x14ac:dyDescent="0.25">
      <c r="A131" s="591">
        <v>32570</v>
      </c>
      <c r="B131" s="591">
        <v>108807</v>
      </c>
      <c r="C131" s="591">
        <v>9</v>
      </c>
      <c r="D131" s="591">
        <v>2022</v>
      </c>
      <c r="E131" s="591">
        <v>6159</v>
      </c>
      <c r="F131" s="591">
        <v>0</v>
      </c>
      <c r="G131" s="591">
        <v>58639.622000000003</v>
      </c>
      <c r="H131" s="591">
        <v>57646.044999999998</v>
      </c>
      <c r="I131" s="591">
        <v>57646.044999999998</v>
      </c>
      <c r="J131" s="591">
        <v>58639.622000000003</v>
      </c>
      <c r="K131" s="591">
        <v>0</v>
      </c>
      <c r="L131" s="591">
        <v>6159</v>
      </c>
      <c r="M131" s="591">
        <v>0</v>
      </c>
      <c r="N131" s="591">
        <v>0</v>
      </c>
      <c r="O131" s="591">
        <v>0</v>
      </c>
      <c r="P131" s="591">
        <v>57474.510999999999</v>
      </c>
      <c r="Q131" s="591">
        <v>0</v>
      </c>
      <c r="R131" s="591">
        <v>23129353</v>
      </c>
      <c r="S131" s="591">
        <v>402.428</v>
      </c>
      <c r="T131" s="591">
        <v>0</v>
      </c>
      <c r="U131" s="591">
        <v>0</v>
      </c>
      <c r="V131" s="591">
        <v>21669.14</v>
      </c>
      <c r="W131" s="591">
        <v>13346202</v>
      </c>
      <c r="X131" s="591">
        <v>13346202</v>
      </c>
      <c r="Y131" s="591">
        <v>0</v>
      </c>
      <c r="Z131" s="591">
        <v>0</v>
      </c>
      <c r="AA131" s="591">
        <v>0</v>
      </c>
      <c r="AB131" s="591">
        <v>0</v>
      </c>
      <c r="AC131" s="591">
        <v>0</v>
      </c>
      <c r="AD131" s="591" t="s">
        <v>316</v>
      </c>
      <c r="AE131" s="591">
        <v>0</v>
      </c>
      <c r="AF131" s="591">
        <v>0</v>
      </c>
      <c r="AG131" s="591">
        <v>0</v>
      </c>
      <c r="AH131" s="591">
        <v>0</v>
      </c>
      <c r="AI131" s="591">
        <v>0</v>
      </c>
      <c r="AJ131" s="591">
        <v>6159</v>
      </c>
      <c r="AK131" s="591" t="s">
        <v>671</v>
      </c>
      <c r="AL131" s="591" t="s">
        <v>96</v>
      </c>
      <c r="AM131" s="591">
        <v>0</v>
      </c>
      <c r="AN131" s="591">
        <v>0</v>
      </c>
      <c r="AO131" s="591">
        <v>0</v>
      </c>
      <c r="AP131" s="591">
        <v>0</v>
      </c>
      <c r="AQ131" s="591">
        <v>0</v>
      </c>
      <c r="AR131" s="591">
        <v>0</v>
      </c>
      <c r="AS131" s="591">
        <v>0</v>
      </c>
      <c r="AT131" s="591">
        <v>0</v>
      </c>
      <c r="AU131" s="591">
        <v>0</v>
      </c>
      <c r="AV131" s="591">
        <v>0</v>
      </c>
      <c r="AW131" s="591">
        <v>613501681</v>
      </c>
      <c r="AX131" s="591">
        <v>602997026</v>
      </c>
      <c r="AY131" s="591">
        <v>0</v>
      </c>
      <c r="AZ131" s="591">
        <v>23129353</v>
      </c>
      <c r="BA131" s="591">
        <v>0</v>
      </c>
      <c r="BB131" s="591">
        <v>0</v>
      </c>
      <c r="BC131" s="591">
        <v>0</v>
      </c>
      <c r="BD131" s="591">
        <v>0</v>
      </c>
      <c r="BE131" s="591">
        <v>8013</v>
      </c>
      <c r="BF131" s="591">
        <v>554625768</v>
      </c>
      <c r="BG131" s="591">
        <v>0</v>
      </c>
      <c r="BH131" s="591">
        <v>0</v>
      </c>
      <c r="BI131" s="591">
        <v>0</v>
      </c>
      <c r="BJ131" s="591">
        <v>12</v>
      </c>
      <c r="BK131" s="591">
        <v>0</v>
      </c>
      <c r="BL131" s="591">
        <v>0</v>
      </c>
      <c r="BM131" s="591">
        <v>0</v>
      </c>
      <c r="BN131" s="591">
        <v>0</v>
      </c>
      <c r="BO131" s="591">
        <v>0</v>
      </c>
      <c r="BP131" s="591">
        <v>0</v>
      </c>
      <c r="BQ131" s="591">
        <v>0</v>
      </c>
      <c r="BR131" s="591">
        <v>0</v>
      </c>
      <c r="BS131" s="591">
        <v>0</v>
      </c>
      <c r="BT131" s="591">
        <v>0</v>
      </c>
      <c r="BU131" s="591">
        <v>0</v>
      </c>
      <c r="BV131" s="591">
        <v>0</v>
      </c>
      <c r="BW131" s="591">
        <v>0</v>
      </c>
      <c r="BX131" s="591">
        <v>0</v>
      </c>
      <c r="BY131" s="591">
        <v>0</v>
      </c>
      <c r="BZ131" s="591">
        <v>0</v>
      </c>
      <c r="CA131" s="591">
        <v>0</v>
      </c>
      <c r="CB131" s="591">
        <v>0</v>
      </c>
      <c r="CC131" s="591">
        <v>0</v>
      </c>
      <c r="CD131" s="591">
        <v>0</v>
      </c>
      <c r="CE131" s="591">
        <v>0</v>
      </c>
      <c r="CF131" s="591">
        <v>0</v>
      </c>
      <c r="CG131" s="591">
        <v>0</v>
      </c>
      <c r="CH131" s="591">
        <v>10626132</v>
      </c>
      <c r="CI131" s="591">
        <v>0</v>
      </c>
      <c r="CJ131" s="591">
        <v>4</v>
      </c>
      <c r="CK131" s="591">
        <v>0</v>
      </c>
      <c r="CL131" s="591">
        <v>0</v>
      </c>
      <c r="CM131" s="591">
        <v>0</v>
      </c>
      <c r="CN131" s="591">
        <v>0</v>
      </c>
      <c r="CO131" s="591">
        <v>1</v>
      </c>
      <c r="CP131" s="591">
        <v>0</v>
      </c>
      <c r="CQ131" s="591">
        <v>0</v>
      </c>
      <c r="CR131" s="591">
        <v>58639.622000000003</v>
      </c>
      <c r="CS131" s="591">
        <v>0</v>
      </c>
      <c r="CT131" s="591">
        <v>0</v>
      </c>
      <c r="CU131" s="591">
        <v>0</v>
      </c>
      <c r="CV131" s="591">
        <v>0</v>
      </c>
      <c r="CW131" s="591">
        <v>0</v>
      </c>
      <c r="CX131" s="591">
        <v>0</v>
      </c>
      <c r="CY131" s="591">
        <v>0</v>
      </c>
      <c r="CZ131" s="591">
        <v>0</v>
      </c>
      <c r="DA131" s="591">
        <v>0</v>
      </c>
      <c r="DB131" s="591">
        <v>355046742</v>
      </c>
      <c r="DC131" s="591">
        <v>0</v>
      </c>
      <c r="DD131" s="591">
        <v>0</v>
      </c>
      <c r="DE131" s="591">
        <v>79633471</v>
      </c>
      <c r="DF131" s="591">
        <v>79633471</v>
      </c>
      <c r="DG131" s="591">
        <v>12929.438</v>
      </c>
      <c r="DH131" s="591">
        <v>0</v>
      </c>
      <c r="DI131" s="591">
        <v>0</v>
      </c>
      <c r="DJ131" s="591">
        <v>0</v>
      </c>
      <c r="DK131" s="591">
        <v>0</v>
      </c>
      <c r="DL131" s="591">
        <v>0</v>
      </c>
      <c r="DM131" s="591">
        <v>29739050</v>
      </c>
      <c r="DN131" s="591">
        <v>113464</v>
      </c>
      <c r="DO131" s="591">
        <v>0</v>
      </c>
      <c r="DP131" s="591">
        <v>0</v>
      </c>
      <c r="DQ131" s="591">
        <v>0</v>
      </c>
      <c r="DR131" s="591">
        <v>0</v>
      </c>
      <c r="DS131" s="591">
        <v>0</v>
      </c>
      <c r="DT131" s="591">
        <v>0</v>
      </c>
      <c r="DU131" s="591">
        <v>0</v>
      </c>
      <c r="DV131" s="591">
        <v>0</v>
      </c>
      <c r="DW131" s="591">
        <v>0</v>
      </c>
      <c r="DX131" s="591">
        <v>0</v>
      </c>
      <c r="DY131" s="591">
        <v>0</v>
      </c>
      <c r="DZ131" s="591">
        <v>0</v>
      </c>
      <c r="EA131" s="591">
        <v>1.3</v>
      </c>
      <c r="EB131" s="591">
        <v>0</v>
      </c>
      <c r="EC131" s="591">
        <v>1530.915</v>
      </c>
      <c r="ED131" s="591">
        <v>10843386</v>
      </c>
      <c r="EE131" s="591">
        <v>0</v>
      </c>
      <c r="EF131" s="591">
        <v>0</v>
      </c>
      <c r="EG131" s="591">
        <v>0</v>
      </c>
      <c r="EH131" s="591">
        <v>19002525</v>
      </c>
      <c r="EI131" s="591">
        <v>6603</v>
      </c>
      <c r="EJ131" s="591">
        <v>0.26800000000000002</v>
      </c>
      <c r="EK131" s="591">
        <v>454.34500000000003</v>
      </c>
      <c r="EL131" s="591">
        <v>9.8250000000000011</v>
      </c>
      <c r="EM131" s="591">
        <v>410.55500000000001</v>
      </c>
      <c r="EN131" s="591">
        <v>96.817000000000007</v>
      </c>
      <c r="EO131" s="591">
        <v>0</v>
      </c>
      <c r="EP131" s="591">
        <v>0</v>
      </c>
      <c r="EQ131" s="591">
        <v>963.28500000000008</v>
      </c>
      <c r="ER131" s="591">
        <v>0</v>
      </c>
      <c r="ES131" s="591">
        <v>3085.2850000000003</v>
      </c>
      <c r="ET131" s="591">
        <v>0</v>
      </c>
      <c r="EU131" s="591">
        <v>0</v>
      </c>
      <c r="EV131" s="591">
        <v>0</v>
      </c>
      <c r="EW131" s="591">
        <v>0</v>
      </c>
      <c r="EX131" s="591">
        <v>0</v>
      </c>
      <c r="EY131" s="591">
        <v>0</v>
      </c>
      <c r="EZ131" s="591">
        <v>533829771</v>
      </c>
      <c r="FA131" s="591">
        <v>0</v>
      </c>
      <c r="FB131" s="591">
        <v>556837647</v>
      </c>
      <c r="FC131" s="591">
        <v>0</v>
      </c>
      <c r="FD131" s="591">
        <v>0</v>
      </c>
      <c r="FE131" s="591">
        <v>57449151</v>
      </c>
      <c r="FF131" s="591">
        <v>11718104</v>
      </c>
      <c r="FG131" s="591">
        <v>6.4728999999999995E-2</v>
      </c>
      <c r="FH131" s="591">
        <v>2.6405999999999999E-2</v>
      </c>
      <c r="FI131" s="591">
        <v>0</v>
      </c>
      <c r="FJ131" s="591">
        <v>0</v>
      </c>
      <c r="FK131" s="591">
        <v>90050.063999999998</v>
      </c>
      <c r="FL131" s="591">
        <v>636631034</v>
      </c>
      <c r="FM131" s="591">
        <v>0</v>
      </c>
      <c r="FN131" s="591">
        <v>0</v>
      </c>
      <c r="FO131" s="591">
        <v>1668960</v>
      </c>
      <c r="FP131" s="591">
        <v>544495</v>
      </c>
      <c r="FQ131" s="591">
        <v>2213455</v>
      </c>
      <c r="FR131" s="591">
        <v>1668960</v>
      </c>
      <c r="FS131" s="591">
        <v>0</v>
      </c>
      <c r="FT131" s="591">
        <v>0</v>
      </c>
      <c r="FU131" s="591">
        <v>0</v>
      </c>
      <c r="FV131" s="591">
        <v>0</v>
      </c>
      <c r="FW131" s="591">
        <v>0</v>
      </c>
      <c r="FX131" s="591">
        <v>0</v>
      </c>
      <c r="FY131" s="591">
        <v>0</v>
      </c>
      <c r="FZ131" s="591">
        <v>0</v>
      </c>
      <c r="GA131" s="591">
        <v>0</v>
      </c>
      <c r="GB131" s="591">
        <v>251871</v>
      </c>
      <c r="GC131" s="591">
        <v>251871</v>
      </c>
      <c r="GD131" s="591">
        <v>30.292000000000002</v>
      </c>
      <c r="GE131" s="591">
        <v>0</v>
      </c>
      <c r="GF131" s="591">
        <v>0</v>
      </c>
      <c r="GG131" s="591">
        <v>0</v>
      </c>
      <c r="GH131" s="591">
        <v>0</v>
      </c>
      <c r="GI131" s="591">
        <v>0</v>
      </c>
      <c r="GJ131" s="591">
        <v>0</v>
      </c>
      <c r="GK131" s="591">
        <v>0</v>
      </c>
      <c r="GL131" s="591">
        <v>0</v>
      </c>
      <c r="GM131" s="591">
        <v>0</v>
      </c>
      <c r="GN131" s="591">
        <v>0</v>
      </c>
      <c r="GO131" s="591">
        <v>0</v>
      </c>
      <c r="GP131" s="591">
        <v>0</v>
      </c>
      <c r="GQ131" s="591">
        <v>0</v>
      </c>
      <c r="GR131" s="591">
        <v>0</v>
      </c>
      <c r="GS131" s="591">
        <v>0</v>
      </c>
      <c r="GT131" s="591">
        <v>0</v>
      </c>
      <c r="GU131" s="591">
        <v>0</v>
      </c>
      <c r="GV131" s="591">
        <v>0</v>
      </c>
      <c r="GW131" s="591">
        <v>0</v>
      </c>
      <c r="GX131" s="591">
        <v>0</v>
      </c>
      <c r="GY131" s="591">
        <v>0</v>
      </c>
      <c r="GZ131" s="591">
        <v>0</v>
      </c>
      <c r="HA131" s="591">
        <v>0</v>
      </c>
      <c r="HB131" s="591">
        <v>260009272</v>
      </c>
      <c r="HC131" s="591">
        <v>5.1774999999999995E-2</v>
      </c>
      <c r="HD131" s="591">
        <v>10626132</v>
      </c>
      <c r="HE131" s="591">
        <v>0</v>
      </c>
      <c r="HF131" s="591">
        <v>63353003</v>
      </c>
      <c r="HG131" s="591">
        <v>298715</v>
      </c>
      <c r="HH131" s="591">
        <v>11270273</v>
      </c>
      <c r="HI131" s="591">
        <v>0</v>
      </c>
      <c r="HJ131" s="591">
        <v>569977</v>
      </c>
      <c r="HK131" s="591">
        <v>89268</v>
      </c>
      <c r="HL131" s="591">
        <v>30633</v>
      </c>
      <c r="HM131" s="591">
        <v>1003000</v>
      </c>
      <c r="HN131" s="591">
        <v>0</v>
      </c>
      <c r="HO131" s="591">
        <v>0</v>
      </c>
      <c r="HP131" s="591">
        <v>0</v>
      </c>
      <c r="HQ131" s="591">
        <v>0</v>
      </c>
      <c r="HR131" s="591">
        <v>0</v>
      </c>
      <c r="HS131" s="591">
        <v>533708294</v>
      </c>
      <c r="HT131" s="591">
        <v>0</v>
      </c>
      <c r="HU131" s="591">
        <v>0</v>
      </c>
      <c r="HV131" s="591">
        <v>0</v>
      </c>
      <c r="HW131" s="591">
        <v>0</v>
      </c>
      <c r="HX131" s="591">
        <v>5097</v>
      </c>
      <c r="HY131" s="591">
        <v>9452</v>
      </c>
      <c r="HZ131" s="591">
        <v>12461</v>
      </c>
      <c r="IA131" s="591">
        <v>13099</v>
      </c>
      <c r="IB131" s="591">
        <v>10851</v>
      </c>
      <c r="IC131" s="591">
        <v>50960</v>
      </c>
      <c r="ID131" s="591">
        <v>0</v>
      </c>
      <c r="IE131" s="591">
        <v>0</v>
      </c>
      <c r="IF131" s="591">
        <v>0</v>
      </c>
      <c r="IG131" s="591">
        <v>485</v>
      </c>
      <c r="IH131" s="591">
        <v>18298.624</v>
      </c>
      <c r="II131" s="591">
        <v>0</v>
      </c>
      <c r="IJ131" s="591">
        <v>21669.14</v>
      </c>
      <c r="IK131" s="591">
        <v>0</v>
      </c>
      <c r="IL131" s="591">
        <v>185</v>
      </c>
      <c r="IM131" s="591">
        <v>20</v>
      </c>
      <c r="IN131" s="591">
        <v>9</v>
      </c>
      <c r="IO131" s="591">
        <v>214</v>
      </c>
      <c r="IP131" s="591">
        <v>0</v>
      </c>
      <c r="IQ131" s="591">
        <v>21669.14</v>
      </c>
      <c r="IR131" s="591">
        <v>13346202</v>
      </c>
      <c r="IS131" s="591">
        <v>0</v>
      </c>
      <c r="IT131" s="591">
        <v>925000</v>
      </c>
      <c r="IU131" s="591">
        <v>60000</v>
      </c>
      <c r="IV131" s="591">
        <v>18000</v>
      </c>
      <c r="IW131" s="591">
        <v>6159</v>
      </c>
      <c r="IX131" s="591">
        <v>0</v>
      </c>
      <c r="IY131" s="591">
        <v>0</v>
      </c>
      <c r="IZ131" s="591">
        <v>0</v>
      </c>
      <c r="JA131" s="591">
        <v>0</v>
      </c>
      <c r="JB131" s="591">
        <v>0</v>
      </c>
      <c r="JC131" s="591">
        <v>0</v>
      </c>
      <c r="JD131" s="591">
        <v>0</v>
      </c>
      <c r="JE131" s="591">
        <v>0</v>
      </c>
      <c r="JF131" s="591">
        <v>0</v>
      </c>
      <c r="JG131" s="591">
        <v>0</v>
      </c>
      <c r="JH131" s="591">
        <v>0</v>
      </c>
      <c r="JI131" s="591">
        <v>0</v>
      </c>
      <c r="JJ131" s="591">
        <v>0</v>
      </c>
      <c r="JK131" s="591">
        <v>0</v>
      </c>
      <c r="JL131" s="591">
        <v>0</v>
      </c>
      <c r="JM131" s="591">
        <v>0</v>
      </c>
      <c r="JN131" s="591">
        <v>32469</v>
      </c>
    </row>
    <row r="132" spans="1:274" x14ac:dyDescent="0.25">
      <c r="A132" s="591">
        <v>32570</v>
      </c>
      <c r="B132" s="591">
        <v>108808</v>
      </c>
      <c r="C132" s="591">
        <v>9</v>
      </c>
      <c r="D132" s="591">
        <v>2022</v>
      </c>
      <c r="E132" s="591">
        <v>6159</v>
      </c>
      <c r="F132" s="591">
        <v>0</v>
      </c>
      <c r="G132" s="591">
        <v>4521.76</v>
      </c>
      <c r="H132" s="591">
        <v>4178.1480000000001</v>
      </c>
      <c r="I132" s="591">
        <v>4178.1480000000001</v>
      </c>
      <c r="J132" s="591">
        <v>4521.76</v>
      </c>
      <c r="K132" s="591">
        <v>0</v>
      </c>
      <c r="L132" s="591">
        <v>6159</v>
      </c>
      <c r="M132" s="591">
        <v>0</v>
      </c>
      <c r="N132" s="591">
        <v>0</v>
      </c>
      <c r="O132" s="591">
        <v>0</v>
      </c>
      <c r="P132" s="591">
        <v>4430.2809999999999</v>
      </c>
      <c r="Q132" s="591">
        <v>0</v>
      </c>
      <c r="R132" s="591">
        <v>1782869</v>
      </c>
      <c r="S132" s="591">
        <v>402.428</v>
      </c>
      <c r="T132" s="591">
        <v>0</v>
      </c>
      <c r="U132" s="591">
        <v>0</v>
      </c>
      <c r="V132" s="591">
        <v>1252.518</v>
      </c>
      <c r="W132" s="591">
        <v>771436</v>
      </c>
      <c r="X132" s="591">
        <v>771436</v>
      </c>
      <c r="Y132" s="591">
        <v>0</v>
      </c>
      <c r="Z132" s="591">
        <v>0</v>
      </c>
      <c r="AA132" s="591">
        <v>0</v>
      </c>
      <c r="AB132" s="591">
        <v>0</v>
      </c>
      <c r="AC132" s="591">
        <v>0</v>
      </c>
      <c r="AD132" s="591" t="s">
        <v>316</v>
      </c>
      <c r="AE132" s="591">
        <v>0</v>
      </c>
      <c r="AF132" s="591">
        <v>0</v>
      </c>
      <c r="AG132" s="591">
        <v>0</v>
      </c>
      <c r="AH132" s="591">
        <v>0</v>
      </c>
      <c r="AI132" s="591">
        <v>0</v>
      </c>
      <c r="AJ132" s="591">
        <v>6159</v>
      </c>
      <c r="AK132" s="591" t="s">
        <v>671</v>
      </c>
      <c r="AL132" s="591" t="s">
        <v>89</v>
      </c>
      <c r="AM132" s="591">
        <v>0</v>
      </c>
      <c r="AN132" s="591">
        <v>0</v>
      </c>
      <c r="AO132" s="591">
        <v>0</v>
      </c>
      <c r="AP132" s="591">
        <v>0</v>
      </c>
      <c r="AQ132" s="591">
        <v>0</v>
      </c>
      <c r="AR132" s="591">
        <v>0</v>
      </c>
      <c r="AS132" s="591">
        <v>0</v>
      </c>
      <c r="AT132" s="591">
        <v>0</v>
      </c>
      <c r="AU132" s="591">
        <v>0</v>
      </c>
      <c r="AV132" s="591">
        <v>0</v>
      </c>
      <c r="AW132" s="591">
        <v>46543095</v>
      </c>
      <c r="AX132" s="591">
        <v>45731793</v>
      </c>
      <c r="AY132" s="591">
        <v>0</v>
      </c>
      <c r="AZ132" s="591">
        <v>1782869</v>
      </c>
      <c r="BA132" s="591">
        <v>0</v>
      </c>
      <c r="BB132" s="591">
        <v>0</v>
      </c>
      <c r="BC132" s="591">
        <v>0</v>
      </c>
      <c r="BD132" s="591">
        <v>0</v>
      </c>
      <c r="BE132" s="591">
        <v>608</v>
      </c>
      <c r="BF132" s="591">
        <v>42144866</v>
      </c>
      <c r="BG132" s="591">
        <v>0</v>
      </c>
      <c r="BH132" s="591">
        <v>0</v>
      </c>
      <c r="BI132" s="591">
        <v>0</v>
      </c>
      <c r="BJ132" s="591">
        <v>12</v>
      </c>
      <c r="BK132" s="591">
        <v>0</v>
      </c>
      <c r="BL132" s="591">
        <v>0</v>
      </c>
      <c r="BM132" s="591">
        <v>0</v>
      </c>
      <c r="BN132" s="591">
        <v>0</v>
      </c>
      <c r="BO132" s="591">
        <v>0</v>
      </c>
      <c r="BP132" s="591">
        <v>0</v>
      </c>
      <c r="BQ132" s="591">
        <v>127</v>
      </c>
      <c r="BR132" s="591">
        <v>0</v>
      </c>
      <c r="BS132" s="591">
        <v>0</v>
      </c>
      <c r="BT132" s="591">
        <v>0</v>
      </c>
      <c r="BU132" s="591">
        <v>0</v>
      </c>
      <c r="BV132" s="591">
        <v>0</v>
      </c>
      <c r="BW132" s="591">
        <v>0</v>
      </c>
      <c r="BX132" s="591">
        <v>0</v>
      </c>
      <c r="BY132" s="591">
        <v>0</v>
      </c>
      <c r="BZ132" s="591">
        <v>0</v>
      </c>
      <c r="CA132" s="591">
        <v>0</v>
      </c>
      <c r="CB132" s="591">
        <v>0</v>
      </c>
      <c r="CC132" s="591">
        <v>0</v>
      </c>
      <c r="CD132" s="591">
        <v>0</v>
      </c>
      <c r="CE132" s="591">
        <v>0</v>
      </c>
      <c r="CF132" s="591">
        <v>0</v>
      </c>
      <c r="CG132" s="591">
        <v>0</v>
      </c>
      <c r="CH132" s="591">
        <v>819392</v>
      </c>
      <c r="CI132" s="591">
        <v>0</v>
      </c>
      <c r="CJ132" s="591">
        <v>4</v>
      </c>
      <c r="CK132" s="591">
        <v>0</v>
      </c>
      <c r="CL132" s="591">
        <v>0</v>
      </c>
      <c r="CM132" s="591">
        <v>0</v>
      </c>
      <c r="CN132" s="591">
        <v>0</v>
      </c>
      <c r="CO132" s="591">
        <v>1</v>
      </c>
      <c r="CP132" s="591">
        <v>0</v>
      </c>
      <c r="CQ132" s="591">
        <v>0</v>
      </c>
      <c r="CR132" s="591">
        <v>4521.76</v>
      </c>
      <c r="CS132" s="591">
        <v>0</v>
      </c>
      <c r="CT132" s="591">
        <v>0</v>
      </c>
      <c r="CU132" s="591">
        <v>0</v>
      </c>
      <c r="CV132" s="591">
        <v>0</v>
      </c>
      <c r="CW132" s="591">
        <v>0</v>
      </c>
      <c r="CX132" s="591">
        <v>0</v>
      </c>
      <c r="CY132" s="591">
        <v>0</v>
      </c>
      <c r="CZ132" s="591">
        <v>0</v>
      </c>
      <c r="DA132" s="591">
        <v>0</v>
      </c>
      <c r="DB132" s="591">
        <v>25733558</v>
      </c>
      <c r="DC132" s="591">
        <v>0</v>
      </c>
      <c r="DD132" s="591">
        <v>0</v>
      </c>
      <c r="DE132" s="591">
        <v>5634868</v>
      </c>
      <c r="DF132" s="591">
        <v>5634868</v>
      </c>
      <c r="DG132" s="591">
        <v>914.88800000000003</v>
      </c>
      <c r="DH132" s="591">
        <v>0</v>
      </c>
      <c r="DI132" s="591">
        <v>0</v>
      </c>
      <c r="DJ132" s="591">
        <v>0</v>
      </c>
      <c r="DK132" s="591">
        <v>0</v>
      </c>
      <c r="DL132" s="591">
        <v>0</v>
      </c>
      <c r="DM132" s="591">
        <v>1960919</v>
      </c>
      <c r="DN132" s="591">
        <v>7482</v>
      </c>
      <c r="DO132" s="591">
        <v>0</v>
      </c>
      <c r="DP132" s="591">
        <v>0</v>
      </c>
      <c r="DQ132" s="591">
        <v>0</v>
      </c>
      <c r="DR132" s="591">
        <v>0</v>
      </c>
      <c r="DS132" s="591">
        <v>0</v>
      </c>
      <c r="DT132" s="591">
        <v>0</v>
      </c>
      <c r="DU132" s="591">
        <v>0</v>
      </c>
      <c r="DV132" s="591">
        <v>0</v>
      </c>
      <c r="DW132" s="591">
        <v>0</v>
      </c>
      <c r="DX132" s="591">
        <v>0</v>
      </c>
      <c r="DY132" s="591">
        <v>0</v>
      </c>
      <c r="DZ132" s="591">
        <v>0</v>
      </c>
      <c r="EA132" s="591">
        <v>0</v>
      </c>
      <c r="EB132" s="591">
        <v>0</v>
      </c>
      <c r="EC132" s="591">
        <v>21.622</v>
      </c>
      <c r="ED132" s="591">
        <v>153147</v>
      </c>
      <c r="EE132" s="591">
        <v>0</v>
      </c>
      <c r="EF132" s="591">
        <v>0</v>
      </c>
      <c r="EG132" s="591">
        <v>0</v>
      </c>
      <c r="EH132" s="591">
        <v>1815254</v>
      </c>
      <c r="EI132" s="591">
        <v>0</v>
      </c>
      <c r="EJ132" s="591">
        <v>0</v>
      </c>
      <c r="EK132" s="591">
        <v>78.317999999999998</v>
      </c>
      <c r="EL132" s="591">
        <v>0</v>
      </c>
      <c r="EM132" s="591">
        <v>9.5030000000000001</v>
      </c>
      <c r="EN132" s="591">
        <v>6.2530000000000001</v>
      </c>
      <c r="EO132" s="591">
        <v>0</v>
      </c>
      <c r="EP132" s="591">
        <v>0</v>
      </c>
      <c r="EQ132" s="591">
        <v>94.073999999999998</v>
      </c>
      <c r="ER132" s="591">
        <v>0</v>
      </c>
      <c r="ES132" s="591">
        <v>294.72800000000001</v>
      </c>
      <c r="ET132" s="591">
        <v>0</v>
      </c>
      <c r="EU132" s="591">
        <v>0</v>
      </c>
      <c r="EV132" s="591">
        <v>0</v>
      </c>
      <c r="EW132" s="591">
        <v>0</v>
      </c>
      <c r="EX132" s="591">
        <v>0</v>
      </c>
      <c r="EY132" s="591">
        <v>0</v>
      </c>
      <c r="EZ132" s="591">
        <v>40475917</v>
      </c>
      <c r="FA132" s="591">
        <v>0</v>
      </c>
      <c r="FB132" s="591">
        <v>42250696</v>
      </c>
      <c r="FC132" s="591">
        <v>0</v>
      </c>
      <c r="FD132" s="591">
        <v>0</v>
      </c>
      <c r="FE132" s="591">
        <v>4365442</v>
      </c>
      <c r="FF132" s="591">
        <v>890434</v>
      </c>
      <c r="FG132" s="591">
        <v>6.4728999999999995E-2</v>
      </c>
      <c r="FH132" s="591">
        <v>2.6405999999999999E-2</v>
      </c>
      <c r="FI132" s="591">
        <v>0</v>
      </c>
      <c r="FJ132" s="591">
        <v>0</v>
      </c>
      <c r="FK132" s="591">
        <v>6842.7180000000008</v>
      </c>
      <c r="FL132" s="591">
        <v>48325964</v>
      </c>
      <c r="FM132" s="591">
        <v>0</v>
      </c>
      <c r="FN132" s="591">
        <v>0</v>
      </c>
      <c r="FO132" s="591">
        <v>14672</v>
      </c>
      <c r="FP132" s="591">
        <v>0</v>
      </c>
      <c r="FQ132" s="591">
        <v>97965</v>
      </c>
      <c r="FR132" s="591">
        <v>14672</v>
      </c>
      <c r="FS132" s="591">
        <v>83293</v>
      </c>
      <c r="FT132" s="591">
        <v>0</v>
      </c>
      <c r="FU132" s="591">
        <v>0</v>
      </c>
      <c r="FV132" s="591">
        <v>0</v>
      </c>
      <c r="FW132" s="591">
        <v>0</v>
      </c>
      <c r="FX132" s="591">
        <v>0</v>
      </c>
      <c r="FY132" s="591">
        <v>0</v>
      </c>
      <c r="FZ132" s="591">
        <v>0</v>
      </c>
      <c r="GA132" s="591">
        <v>0</v>
      </c>
      <c r="GB132" s="591">
        <v>2074849</v>
      </c>
      <c r="GC132" s="591">
        <v>2074849</v>
      </c>
      <c r="GD132" s="591">
        <v>249.53800000000001</v>
      </c>
      <c r="GE132" s="591">
        <v>0</v>
      </c>
      <c r="GF132" s="591">
        <v>0</v>
      </c>
      <c r="GG132" s="591">
        <v>0</v>
      </c>
      <c r="GH132" s="591">
        <v>0</v>
      </c>
      <c r="GI132" s="591">
        <v>0</v>
      </c>
      <c r="GJ132" s="591">
        <v>0</v>
      </c>
      <c r="GK132" s="591">
        <v>0</v>
      </c>
      <c r="GL132" s="591">
        <v>0</v>
      </c>
      <c r="GM132" s="591">
        <v>0</v>
      </c>
      <c r="GN132" s="591">
        <v>0</v>
      </c>
      <c r="GO132" s="591">
        <v>0</v>
      </c>
      <c r="GP132" s="591">
        <v>0</v>
      </c>
      <c r="GQ132" s="591">
        <v>0</v>
      </c>
      <c r="GR132" s="591">
        <v>0</v>
      </c>
      <c r="GS132" s="591">
        <v>0</v>
      </c>
      <c r="GT132" s="591">
        <v>0</v>
      </c>
      <c r="GU132" s="591">
        <v>0</v>
      </c>
      <c r="GV132" s="591">
        <v>0</v>
      </c>
      <c r="GW132" s="591">
        <v>0</v>
      </c>
      <c r="GX132" s="591">
        <v>0</v>
      </c>
      <c r="GY132" s="591">
        <v>0</v>
      </c>
      <c r="GZ132" s="591">
        <v>0</v>
      </c>
      <c r="HA132" s="591">
        <v>0</v>
      </c>
      <c r="HB132" s="591">
        <v>260009272</v>
      </c>
      <c r="HC132" s="591">
        <v>5.1774999999999995E-2</v>
      </c>
      <c r="HD132" s="591">
        <v>819392</v>
      </c>
      <c r="HE132" s="591">
        <v>0</v>
      </c>
      <c r="HF132" s="591">
        <v>4591785</v>
      </c>
      <c r="HG132" s="591">
        <v>21812</v>
      </c>
      <c r="HH132" s="591">
        <v>1037805</v>
      </c>
      <c r="HI132" s="591">
        <v>0</v>
      </c>
      <c r="HJ132" s="591">
        <v>43952</v>
      </c>
      <c r="HK132" s="591">
        <v>7175</v>
      </c>
      <c r="HL132" s="591">
        <v>8780</v>
      </c>
      <c r="HM132" s="591">
        <v>243000</v>
      </c>
      <c r="HN132" s="591">
        <v>0</v>
      </c>
      <c r="HO132" s="591">
        <v>23400</v>
      </c>
      <c r="HP132" s="591">
        <v>0</v>
      </c>
      <c r="HQ132" s="591">
        <v>0</v>
      </c>
      <c r="HR132" s="591">
        <v>0</v>
      </c>
      <c r="HS132" s="591">
        <v>40467827</v>
      </c>
      <c r="HT132" s="591">
        <v>0</v>
      </c>
      <c r="HU132" s="591">
        <v>0</v>
      </c>
      <c r="HV132" s="591">
        <v>0</v>
      </c>
      <c r="HW132" s="591">
        <v>0</v>
      </c>
      <c r="HX132" s="591">
        <v>299</v>
      </c>
      <c r="HY132" s="591">
        <v>583</v>
      </c>
      <c r="HZ132" s="591">
        <v>1089</v>
      </c>
      <c r="IA132" s="591">
        <v>1150</v>
      </c>
      <c r="IB132" s="591">
        <v>491</v>
      </c>
      <c r="IC132" s="591">
        <v>3612</v>
      </c>
      <c r="ID132" s="591">
        <v>0</v>
      </c>
      <c r="IE132" s="591">
        <v>0</v>
      </c>
      <c r="IF132" s="591">
        <v>0</v>
      </c>
      <c r="IG132" s="591">
        <v>35.414000000000001</v>
      </c>
      <c r="IH132" s="591">
        <v>1685</v>
      </c>
      <c r="II132" s="591">
        <v>0</v>
      </c>
      <c r="IJ132" s="591">
        <v>1252.518</v>
      </c>
      <c r="IK132" s="591">
        <v>0</v>
      </c>
      <c r="IL132" s="591">
        <v>44</v>
      </c>
      <c r="IM132" s="591">
        <v>7</v>
      </c>
      <c r="IN132" s="591">
        <v>1</v>
      </c>
      <c r="IO132" s="591">
        <v>52</v>
      </c>
      <c r="IP132" s="591">
        <v>0</v>
      </c>
      <c r="IQ132" s="591">
        <v>1252.518</v>
      </c>
      <c r="IR132" s="591">
        <v>771436</v>
      </c>
      <c r="IS132" s="591">
        <v>0</v>
      </c>
      <c r="IT132" s="591">
        <v>220000</v>
      </c>
      <c r="IU132" s="591">
        <v>21000</v>
      </c>
      <c r="IV132" s="591">
        <v>2000</v>
      </c>
      <c r="IW132" s="591">
        <v>6159</v>
      </c>
      <c r="IX132" s="591">
        <v>0</v>
      </c>
      <c r="IY132" s="591">
        <v>0</v>
      </c>
      <c r="IZ132" s="591">
        <v>0</v>
      </c>
      <c r="JA132" s="591">
        <v>0</v>
      </c>
      <c r="JB132" s="591">
        <v>0</v>
      </c>
      <c r="JC132" s="591">
        <v>0</v>
      </c>
      <c r="JD132" s="591">
        <v>0</v>
      </c>
      <c r="JE132" s="591">
        <v>0</v>
      </c>
      <c r="JF132" s="591">
        <v>0</v>
      </c>
      <c r="JG132" s="591">
        <v>0</v>
      </c>
      <c r="JH132" s="591">
        <v>0</v>
      </c>
      <c r="JI132" s="591">
        <v>0</v>
      </c>
      <c r="JJ132" s="591">
        <v>0</v>
      </c>
      <c r="JK132" s="591">
        <v>0</v>
      </c>
      <c r="JL132" s="591">
        <v>0</v>
      </c>
      <c r="JM132" s="591">
        <v>0</v>
      </c>
      <c r="JN132" s="591">
        <v>32469</v>
      </c>
    </row>
    <row r="133" spans="1:274" x14ac:dyDescent="0.25">
      <c r="A133" s="591">
        <v>32570</v>
      </c>
      <c r="B133" s="591">
        <v>108809</v>
      </c>
      <c r="C133" s="591">
        <v>9</v>
      </c>
      <c r="D133" s="591">
        <v>2022</v>
      </c>
      <c r="E133" s="591">
        <v>6159</v>
      </c>
      <c r="F133" s="591">
        <v>0</v>
      </c>
      <c r="G133" s="591">
        <v>267.78000000000003</v>
      </c>
      <c r="H133" s="591">
        <v>254.96800000000002</v>
      </c>
      <c r="I133" s="591">
        <v>254.96800000000002</v>
      </c>
      <c r="J133" s="591">
        <v>267.78000000000003</v>
      </c>
      <c r="K133" s="591">
        <v>0</v>
      </c>
      <c r="L133" s="591">
        <v>6159</v>
      </c>
      <c r="M133" s="591">
        <v>0</v>
      </c>
      <c r="N133" s="591">
        <v>0</v>
      </c>
      <c r="O133" s="591">
        <v>0</v>
      </c>
      <c r="P133" s="591">
        <v>268.26300000000003</v>
      </c>
      <c r="Q133" s="591">
        <v>0</v>
      </c>
      <c r="R133" s="591">
        <v>107957</v>
      </c>
      <c r="S133" s="591">
        <v>402.428</v>
      </c>
      <c r="T133" s="591">
        <v>0</v>
      </c>
      <c r="U133" s="591">
        <v>0</v>
      </c>
      <c r="V133" s="591">
        <v>166.92700000000002</v>
      </c>
      <c r="W133" s="591">
        <v>102812</v>
      </c>
      <c r="X133" s="591">
        <v>102812</v>
      </c>
      <c r="Y133" s="591">
        <v>0</v>
      </c>
      <c r="Z133" s="591">
        <v>0</v>
      </c>
      <c r="AA133" s="591">
        <v>0</v>
      </c>
      <c r="AB133" s="591">
        <v>0</v>
      </c>
      <c r="AC133" s="591">
        <v>0</v>
      </c>
      <c r="AD133" s="591" t="s">
        <v>316</v>
      </c>
      <c r="AE133" s="591">
        <v>0</v>
      </c>
      <c r="AF133" s="591">
        <v>0</v>
      </c>
      <c r="AG133" s="591">
        <v>0</v>
      </c>
      <c r="AH133" s="591">
        <v>0</v>
      </c>
      <c r="AI133" s="591">
        <v>0</v>
      </c>
      <c r="AJ133" s="591">
        <v>6159</v>
      </c>
      <c r="AK133" s="591" t="s">
        <v>671</v>
      </c>
      <c r="AL133" s="591" t="s">
        <v>118</v>
      </c>
      <c r="AM133" s="591">
        <v>0</v>
      </c>
      <c r="AN133" s="591">
        <v>0</v>
      </c>
      <c r="AO133" s="591">
        <v>0</v>
      </c>
      <c r="AP133" s="591">
        <v>0</v>
      </c>
      <c r="AQ133" s="591">
        <v>0</v>
      </c>
      <c r="AR133" s="591">
        <v>0</v>
      </c>
      <c r="AS133" s="591">
        <v>0</v>
      </c>
      <c r="AT133" s="591">
        <v>0</v>
      </c>
      <c r="AU133" s="591">
        <v>0</v>
      </c>
      <c r="AV133" s="591">
        <v>0</v>
      </c>
      <c r="AW133" s="591">
        <v>3010265</v>
      </c>
      <c r="AX133" s="591">
        <v>2962718</v>
      </c>
      <c r="AY133" s="591">
        <v>0</v>
      </c>
      <c r="AZ133" s="591">
        <v>107957</v>
      </c>
      <c r="BA133" s="591">
        <v>0</v>
      </c>
      <c r="BB133" s="591">
        <v>0</v>
      </c>
      <c r="BC133" s="591">
        <v>0</v>
      </c>
      <c r="BD133" s="591">
        <v>0</v>
      </c>
      <c r="BE133" s="591">
        <v>39</v>
      </c>
      <c r="BF133" s="591">
        <v>2729665</v>
      </c>
      <c r="BG133" s="591">
        <v>0</v>
      </c>
      <c r="BH133" s="591">
        <v>0</v>
      </c>
      <c r="BI133" s="591">
        <v>0</v>
      </c>
      <c r="BJ133" s="591">
        <v>12</v>
      </c>
      <c r="BK133" s="591">
        <v>0</v>
      </c>
      <c r="BL133" s="591">
        <v>0</v>
      </c>
      <c r="BM133" s="591">
        <v>0</v>
      </c>
      <c r="BN133" s="591">
        <v>0</v>
      </c>
      <c r="BO133" s="591">
        <v>0</v>
      </c>
      <c r="BP133" s="591">
        <v>0</v>
      </c>
      <c r="BQ133" s="591">
        <v>731</v>
      </c>
      <c r="BR133" s="591">
        <v>0</v>
      </c>
      <c r="BS133" s="591">
        <v>0</v>
      </c>
      <c r="BT133" s="591">
        <v>0</v>
      </c>
      <c r="BU133" s="591">
        <v>0</v>
      </c>
      <c r="BV133" s="591">
        <v>0</v>
      </c>
      <c r="BW133" s="591">
        <v>0</v>
      </c>
      <c r="BX133" s="591">
        <v>0</v>
      </c>
      <c r="BY133" s="591">
        <v>0</v>
      </c>
      <c r="BZ133" s="591">
        <v>0</v>
      </c>
      <c r="CA133" s="591">
        <v>0</v>
      </c>
      <c r="CB133" s="591">
        <v>0</v>
      </c>
      <c r="CC133" s="591">
        <v>0</v>
      </c>
      <c r="CD133" s="591">
        <v>0</v>
      </c>
      <c r="CE133" s="591">
        <v>0</v>
      </c>
      <c r="CF133" s="591">
        <v>0</v>
      </c>
      <c r="CG133" s="591">
        <v>0</v>
      </c>
      <c r="CH133" s="591">
        <v>48525</v>
      </c>
      <c r="CI133" s="591">
        <v>0</v>
      </c>
      <c r="CJ133" s="591">
        <v>4</v>
      </c>
      <c r="CK133" s="591">
        <v>0</v>
      </c>
      <c r="CL133" s="591">
        <v>0</v>
      </c>
      <c r="CM133" s="591">
        <v>0</v>
      </c>
      <c r="CN133" s="591">
        <v>0</v>
      </c>
      <c r="CO133" s="591">
        <v>1</v>
      </c>
      <c r="CP133" s="591">
        <v>0</v>
      </c>
      <c r="CQ133" s="591">
        <v>0</v>
      </c>
      <c r="CR133" s="591">
        <v>267.78000000000003</v>
      </c>
      <c r="CS133" s="591">
        <v>0</v>
      </c>
      <c r="CT133" s="591">
        <v>0</v>
      </c>
      <c r="CU133" s="591">
        <v>0</v>
      </c>
      <c r="CV133" s="591">
        <v>0</v>
      </c>
      <c r="CW133" s="591">
        <v>0</v>
      </c>
      <c r="CX133" s="591">
        <v>0</v>
      </c>
      <c r="CY133" s="591">
        <v>0</v>
      </c>
      <c r="CZ133" s="591">
        <v>0</v>
      </c>
      <c r="DA133" s="591">
        <v>0</v>
      </c>
      <c r="DB133" s="591">
        <v>1570369</v>
      </c>
      <c r="DC133" s="591">
        <v>0</v>
      </c>
      <c r="DD133" s="591">
        <v>0</v>
      </c>
      <c r="DE133" s="591">
        <v>408424</v>
      </c>
      <c r="DF133" s="591">
        <v>408424</v>
      </c>
      <c r="DG133" s="591">
        <v>66.313000000000002</v>
      </c>
      <c r="DH133" s="591">
        <v>0</v>
      </c>
      <c r="DI133" s="591">
        <v>0</v>
      </c>
      <c r="DJ133" s="591">
        <v>0</v>
      </c>
      <c r="DK133" s="591">
        <v>3314</v>
      </c>
      <c r="DL133" s="591">
        <v>0</v>
      </c>
      <c r="DM133" s="591">
        <v>246053</v>
      </c>
      <c r="DN133" s="591">
        <v>939</v>
      </c>
      <c r="DO133" s="591">
        <v>0</v>
      </c>
      <c r="DP133" s="591">
        <v>0</v>
      </c>
      <c r="DQ133" s="591">
        <v>0</v>
      </c>
      <c r="DR133" s="591">
        <v>0</v>
      </c>
      <c r="DS133" s="591">
        <v>0</v>
      </c>
      <c r="DT133" s="591">
        <v>0</v>
      </c>
      <c r="DU133" s="591">
        <v>0</v>
      </c>
      <c r="DV133" s="591">
        <v>0</v>
      </c>
      <c r="DW133" s="591">
        <v>0</v>
      </c>
      <c r="DX133" s="591">
        <v>0</v>
      </c>
      <c r="DY133" s="591">
        <v>0</v>
      </c>
      <c r="DZ133" s="591">
        <v>0</v>
      </c>
      <c r="EA133" s="591">
        <v>0</v>
      </c>
      <c r="EB133" s="591">
        <v>0</v>
      </c>
      <c r="EC133" s="591">
        <v>0</v>
      </c>
      <c r="ED133" s="591">
        <v>0</v>
      </c>
      <c r="EE133" s="591">
        <v>0</v>
      </c>
      <c r="EF133" s="591">
        <v>0</v>
      </c>
      <c r="EG133" s="591">
        <v>0</v>
      </c>
      <c r="EH133" s="591">
        <v>246992</v>
      </c>
      <c r="EI133" s="591">
        <v>0</v>
      </c>
      <c r="EJ133" s="591">
        <v>0</v>
      </c>
      <c r="EK133" s="591">
        <v>11.979000000000001</v>
      </c>
      <c r="EL133" s="591">
        <v>0</v>
      </c>
      <c r="EM133" s="591">
        <v>0</v>
      </c>
      <c r="EN133" s="591">
        <v>0.83300000000000007</v>
      </c>
      <c r="EO133" s="591">
        <v>0</v>
      </c>
      <c r="EP133" s="591">
        <v>0</v>
      </c>
      <c r="EQ133" s="591">
        <v>12.812000000000001</v>
      </c>
      <c r="ER133" s="591">
        <v>0</v>
      </c>
      <c r="ES133" s="591">
        <v>40.102000000000004</v>
      </c>
      <c r="ET133" s="591">
        <v>0</v>
      </c>
      <c r="EU133" s="591">
        <v>0</v>
      </c>
      <c r="EV133" s="591">
        <v>0</v>
      </c>
      <c r="EW133" s="591">
        <v>0</v>
      </c>
      <c r="EX133" s="591">
        <v>0</v>
      </c>
      <c r="EY133" s="591">
        <v>0</v>
      </c>
      <c r="EZ133" s="591">
        <v>2622303</v>
      </c>
      <c r="FA133" s="591">
        <v>0</v>
      </c>
      <c r="FB133" s="591">
        <v>2729282</v>
      </c>
      <c r="FC133" s="591">
        <v>0</v>
      </c>
      <c r="FD133" s="591">
        <v>0</v>
      </c>
      <c r="FE133" s="591">
        <v>282743</v>
      </c>
      <c r="FF133" s="591">
        <v>57672</v>
      </c>
      <c r="FG133" s="591">
        <v>6.4728999999999995E-2</v>
      </c>
      <c r="FH133" s="591">
        <v>2.6405999999999999E-2</v>
      </c>
      <c r="FI133" s="591">
        <v>0</v>
      </c>
      <c r="FJ133" s="591">
        <v>0</v>
      </c>
      <c r="FK133" s="591">
        <v>443.19300000000004</v>
      </c>
      <c r="FL133" s="591">
        <v>3118222</v>
      </c>
      <c r="FM133" s="591">
        <v>0</v>
      </c>
      <c r="FN133" s="591">
        <v>0</v>
      </c>
      <c r="FO133" s="591">
        <v>0</v>
      </c>
      <c r="FP133" s="591">
        <v>0</v>
      </c>
      <c r="FQ133" s="591">
        <v>0</v>
      </c>
      <c r="FR133" s="591">
        <v>0</v>
      </c>
      <c r="FS133" s="591">
        <v>0</v>
      </c>
      <c r="FT133" s="591">
        <v>0</v>
      </c>
      <c r="FU133" s="591">
        <v>0</v>
      </c>
      <c r="FV133" s="591">
        <v>0</v>
      </c>
      <c r="FW133" s="591">
        <v>0</v>
      </c>
      <c r="FX133" s="591">
        <v>0</v>
      </c>
      <c r="FY133" s="591">
        <v>0</v>
      </c>
      <c r="FZ133" s="591">
        <v>0</v>
      </c>
      <c r="GA133" s="591">
        <v>0</v>
      </c>
      <c r="GB133" s="591">
        <v>0</v>
      </c>
      <c r="GC133" s="591">
        <v>0</v>
      </c>
      <c r="GD133" s="591">
        <v>0</v>
      </c>
      <c r="GE133" s="591">
        <v>0</v>
      </c>
      <c r="GF133" s="591">
        <v>0</v>
      </c>
      <c r="GG133" s="591">
        <v>0</v>
      </c>
      <c r="GH133" s="591">
        <v>0</v>
      </c>
      <c r="GI133" s="591">
        <v>0</v>
      </c>
      <c r="GJ133" s="591">
        <v>0</v>
      </c>
      <c r="GK133" s="591">
        <v>0</v>
      </c>
      <c r="GL133" s="591">
        <v>0</v>
      </c>
      <c r="GM133" s="591">
        <v>0</v>
      </c>
      <c r="GN133" s="591">
        <v>0</v>
      </c>
      <c r="GO133" s="591">
        <v>0</v>
      </c>
      <c r="GP133" s="591">
        <v>0</v>
      </c>
      <c r="GQ133" s="591">
        <v>0</v>
      </c>
      <c r="GR133" s="591">
        <v>0</v>
      </c>
      <c r="GS133" s="591">
        <v>0</v>
      </c>
      <c r="GT133" s="591">
        <v>0</v>
      </c>
      <c r="GU133" s="591">
        <v>0</v>
      </c>
      <c r="GV133" s="591">
        <v>0</v>
      </c>
      <c r="GW133" s="591">
        <v>0</v>
      </c>
      <c r="GX133" s="591">
        <v>0</v>
      </c>
      <c r="GY133" s="591">
        <v>0</v>
      </c>
      <c r="GZ133" s="591">
        <v>0</v>
      </c>
      <c r="HA133" s="591">
        <v>0</v>
      </c>
      <c r="HB133" s="591">
        <v>260009272</v>
      </c>
      <c r="HC133" s="591">
        <v>5.1774999999999995E-2</v>
      </c>
      <c r="HD133" s="591">
        <v>48525</v>
      </c>
      <c r="HE133" s="591">
        <v>0</v>
      </c>
      <c r="HF133" s="591">
        <v>280210</v>
      </c>
      <c r="HG133" s="591">
        <v>1848</v>
      </c>
      <c r="HH133" s="591">
        <v>116407</v>
      </c>
      <c r="HI133" s="591">
        <v>0</v>
      </c>
      <c r="HJ133" s="591">
        <v>2603</v>
      </c>
      <c r="HK133" s="591">
        <v>0</v>
      </c>
      <c r="HL133" s="591">
        <v>595</v>
      </c>
      <c r="HM133" s="591">
        <v>0</v>
      </c>
      <c r="HN133" s="591">
        <v>0</v>
      </c>
      <c r="HO133" s="591">
        <v>0</v>
      </c>
      <c r="HP133" s="591">
        <v>0</v>
      </c>
      <c r="HQ133" s="591">
        <v>0</v>
      </c>
      <c r="HR133" s="591">
        <v>0</v>
      </c>
      <c r="HS133" s="591">
        <v>2621325</v>
      </c>
      <c r="HT133" s="591">
        <v>0</v>
      </c>
      <c r="HU133" s="591">
        <v>0</v>
      </c>
      <c r="HV133" s="591">
        <v>0</v>
      </c>
      <c r="HW133" s="591">
        <v>0</v>
      </c>
      <c r="HX133" s="591">
        <v>12</v>
      </c>
      <c r="HY133" s="591">
        <v>28</v>
      </c>
      <c r="HZ133" s="591">
        <v>87</v>
      </c>
      <c r="IA133" s="591">
        <v>65</v>
      </c>
      <c r="IB133" s="591">
        <v>66</v>
      </c>
      <c r="IC133" s="591">
        <v>261</v>
      </c>
      <c r="ID133" s="591">
        <v>0</v>
      </c>
      <c r="IE133" s="591">
        <v>0</v>
      </c>
      <c r="IF133" s="591">
        <v>0</v>
      </c>
      <c r="IG133" s="591">
        <v>3</v>
      </c>
      <c r="IH133" s="591">
        <v>189</v>
      </c>
      <c r="II133" s="591">
        <v>0</v>
      </c>
      <c r="IJ133" s="591">
        <v>166.92700000000002</v>
      </c>
      <c r="IK133" s="591">
        <v>0</v>
      </c>
      <c r="IL133" s="591">
        <v>0</v>
      </c>
      <c r="IM133" s="591">
        <v>0</v>
      </c>
      <c r="IN133" s="591">
        <v>0</v>
      </c>
      <c r="IO133" s="591">
        <v>0</v>
      </c>
      <c r="IP133" s="591">
        <v>0</v>
      </c>
      <c r="IQ133" s="591">
        <v>166.92700000000002</v>
      </c>
      <c r="IR133" s="591">
        <v>102812</v>
      </c>
      <c r="IS133" s="591">
        <v>0</v>
      </c>
      <c r="IT133" s="591">
        <v>0</v>
      </c>
      <c r="IU133" s="591">
        <v>0</v>
      </c>
      <c r="IV133" s="591">
        <v>0</v>
      </c>
      <c r="IW133" s="591">
        <v>6159</v>
      </c>
      <c r="IX133" s="591">
        <v>0</v>
      </c>
      <c r="IY133" s="591">
        <v>0</v>
      </c>
      <c r="IZ133" s="591">
        <v>0</v>
      </c>
      <c r="JA133" s="591">
        <v>0</v>
      </c>
      <c r="JB133" s="591">
        <v>0</v>
      </c>
      <c r="JC133" s="591">
        <v>0</v>
      </c>
      <c r="JD133" s="591">
        <v>0</v>
      </c>
      <c r="JE133" s="591">
        <v>0</v>
      </c>
      <c r="JF133" s="591">
        <v>0</v>
      </c>
      <c r="JG133" s="591">
        <v>0</v>
      </c>
      <c r="JH133" s="591">
        <v>0</v>
      </c>
      <c r="JI133" s="591">
        <v>0</v>
      </c>
      <c r="JJ133" s="591">
        <v>0</v>
      </c>
      <c r="JK133" s="591">
        <v>0</v>
      </c>
      <c r="JL133" s="591">
        <v>0</v>
      </c>
      <c r="JM133" s="591">
        <v>0</v>
      </c>
      <c r="JN133" s="591">
        <v>32469</v>
      </c>
    </row>
    <row r="134" spans="1:274" x14ac:dyDescent="0.25">
      <c r="A134" s="591">
        <v>32570</v>
      </c>
      <c r="B134" s="591">
        <v>108810</v>
      </c>
      <c r="C134" s="591">
        <v>9</v>
      </c>
      <c r="D134" s="591">
        <v>2022</v>
      </c>
      <c r="E134" s="591">
        <v>6159</v>
      </c>
      <c r="F134" s="591">
        <v>0</v>
      </c>
      <c r="G134" s="591">
        <v>0</v>
      </c>
      <c r="H134" s="591">
        <v>0</v>
      </c>
      <c r="I134" s="591">
        <v>0</v>
      </c>
      <c r="J134" s="591">
        <v>0</v>
      </c>
      <c r="K134" s="591">
        <v>0</v>
      </c>
      <c r="L134" s="591">
        <v>6159</v>
      </c>
      <c r="M134" s="591">
        <v>0</v>
      </c>
      <c r="N134" s="591">
        <v>0</v>
      </c>
      <c r="O134" s="591">
        <v>0</v>
      </c>
      <c r="P134" s="591">
        <v>0</v>
      </c>
      <c r="Q134" s="591">
        <v>0</v>
      </c>
      <c r="R134" s="591">
        <v>0</v>
      </c>
      <c r="S134" s="591">
        <v>402.428</v>
      </c>
      <c r="T134" s="591">
        <v>0</v>
      </c>
      <c r="U134" s="591">
        <v>0</v>
      </c>
      <c r="V134" s="591">
        <v>0</v>
      </c>
      <c r="W134" s="591">
        <v>0</v>
      </c>
      <c r="X134" s="591">
        <v>0</v>
      </c>
      <c r="Y134" s="591">
        <v>0</v>
      </c>
      <c r="Z134" s="591">
        <v>0</v>
      </c>
      <c r="AA134" s="591">
        <v>0</v>
      </c>
      <c r="AB134" s="591">
        <v>0</v>
      </c>
      <c r="AC134" s="591">
        <v>0</v>
      </c>
      <c r="AD134" s="591" t="s">
        <v>316</v>
      </c>
      <c r="AE134" s="591">
        <v>0</v>
      </c>
      <c r="AF134" s="591">
        <v>0</v>
      </c>
      <c r="AG134" s="591">
        <v>0</v>
      </c>
      <c r="AH134" s="591">
        <v>0</v>
      </c>
      <c r="AI134" s="591">
        <v>0</v>
      </c>
      <c r="AJ134" s="591">
        <v>6159</v>
      </c>
      <c r="AK134" s="591" t="s">
        <v>671</v>
      </c>
      <c r="AL134" s="591" t="s">
        <v>790</v>
      </c>
      <c r="AM134" s="591">
        <v>0</v>
      </c>
      <c r="AN134" s="591">
        <v>0</v>
      </c>
      <c r="AO134" s="591">
        <v>0</v>
      </c>
      <c r="AP134" s="591">
        <v>0</v>
      </c>
      <c r="AQ134" s="591">
        <v>0</v>
      </c>
      <c r="AR134" s="591">
        <v>0</v>
      </c>
      <c r="AS134" s="591">
        <v>0</v>
      </c>
      <c r="AT134" s="591">
        <v>0</v>
      </c>
      <c r="AU134" s="591">
        <v>0</v>
      </c>
      <c r="AV134" s="591">
        <v>0</v>
      </c>
      <c r="AW134" s="591">
        <v>0</v>
      </c>
      <c r="AX134" s="591">
        <v>0</v>
      </c>
      <c r="AY134" s="591">
        <v>0</v>
      </c>
      <c r="AZ134" s="591">
        <v>0</v>
      </c>
      <c r="BA134" s="591">
        <v>0</v>
      </c>
      <c r="BB134" s="591">
        <v>0</v>
      </c>
      <c r="BC134" s="591">
        <v>0</v>
      </c>
      <c r="BD134" s="591">
        <v>0</v>
      </c>
      <c r="BE134" s="591">
        <v>0</v>
      </c>
      <c r="BF134" s="591">
        <v>0</v>
      </c>
      <c r="BG134" s="591">
        <v>0</v>
      </c>
      <c r="BH134" s="591">
        <v>0</v>
      </c>
      <c r="BI134" s="591">
        <v>0</v>
      </c>
      <c r="BJ134" s="591">
        <v>12</v>
      </c>
      <c r="BK134" s="591">
        <v>0</v>
      </c>
      <c r="BL134" s="591">
        <v>0</v>
      </c>
      <c r="BM134" s="591">
        <v>0</v>
      </c>
      <c r="BN134" s="591">
        <v>0</v>
      </c>
      <c r="BO134" s="591">
        <v>0</v>
      </c>
      <c r="BP134" s="591">
        <v>0</v>
      </c>
      <c r="BQ134" s="591">
        <v>770</v>
      </c>
      <c r="BR134" s="591">
        <v>0</v>
      </c>
      <c r="BS134" s="591">
        <v>0</v>
      </c>
      <c r="BT134" s="591">
        <v>0</v>
      </c>
      <c r="BU134" s="591">
        <v>0</v>
      </c>
      <c r="BV134" s="591">
        <v>0</v>
      </c>
      <c r="BW134" s="591">
        <v>0</v>
      </c>
      <c r="BX134" s="591">
        <v>0</v>
      </c>
      <c r="BY134" s="591">
        <v>0</v>
      </c>
      <c r="BZ134" s="591">
        <v>0</v>
      </c>
      <c r="CA134" s="591">
        <v>0</v>
      </c>
      <c r="CB134" s="591">
        <v>0</v>
      </c>
      <c r="CC134" s="591">
        <v>0</v>
      </c>
      <c r="CD134" s="591">
        <v>0</v>
      </c>
      <c r="CE134" s="591">
        <v>0</v>
      </c>
      <c r="CF134" s="591">
        <v>0</v>
      </c>
      <c r="CG134" s="591">
        <v>0</v>
      </c>
      <c r="CH134" s="591">
        <v>0</v>
      </c>
      <c r="CI134" s="591">
        <v>0</v>
      </c>
      <c r="CJ134" s="591">
        <v>4</v>
      </c>
      <c r="CK134" s="591">
        <v>0</v>
      </c>
      <c r="CL134" s="591">
        <v>0</v>
      </c>
      <c r="CM134" s="591">
        <v>0</v>
      </c>
      <c r="CN134" s="591">
        <v>0</v>
      </c>
      <c r="CO134" s="591">
        <v>0</v>
      </c>
      <c r="CP134" s="591">
        <v>0</v>
      </c>
      <c r="CQ134" s="591">
        <v>0</v>
      </c>
      <c r="CR134" s="591">
        <v>0</v>
      </c>
      <c r="CS134" s="591">
        <v>0</v>
      </c>
      <c r="CT134" s="591">
        <v>0</v>
      </c>
      <c r="CU134" s="591">
        <v>0</v>
      </c>
      <c r="CV134" s="591">
        <v>0</v>
      </c>
      <c r="CW134" s="591">
        <v>0</v>
      </c>
      <c r="CX134" s="591">
        <v>0</v>
      </c>
      <c r="CY134" s="591">
        <v>0</v>
      </c>
      <c r="CZ134" s="591">
        <v>0</v>
      </c>
      <c r="DA134" s="591">
        <v>0</v>
      </c>
      <c r="DB134" s="591">
        <v>0</v>
      </c>
      <c r="DC134" s="591">
        <v>0</v>
      </c>
      <c r="DD134" s="591">
        <v>0</v>
      </c>
      <c r="DE134" s="591">
        <v>0</v>
      </c>
      <c r="DF134" s="591">
        <v>0</v>
      </c>
      <c r="DG134" s="591">
        <v>0</v>
      </c>
      <c r="DH134" s="591">
        <v>0</v>
      </c>
      <c r="DI134" s="591">
        <v>0</v>
      </c>
      <c r="DJ134" s="591">
        <v>0</v>
      </c>
      <c r="DK134" s="591">
        <v>3942</v>
      </c>
      <c r="DL134" s="591">
        <v>0</v>
      </c>
      <c r="DM134" s="591">
        <v>0</v>
      </c>
      <c r="DN134" s="591">
        <v>0</v>
      </c>
      <c r="DO134" s="591">
        <v>0</v>
      </c>
      <c r="DP134" s="591">
        <v>0</v>
      </c>
      <c r="DQ134" s="591">
        <v>0</v>
      </c>
      <c r="DR134" s="591">
        <v>0</v>
      </c>
      <c r="DS134" s="591">
        <v>0</v>
      </c>
      <c r="DT134" s="591">
        <v>0</v>
      </c>
      <c r="DU134" s="591">
        <v>0</v>
      </c>
      <c r="DV134" s="591">
        <v>0</v>
      </c>
      <c r="DW134" s="591">
        <v>0</v>
      </c>
      <c r="DX134" s="591">
        <v>0</v>
      </c>
      <c r="DY134" s="591">
        <v>0</v>
      </c>
      <c r="DZ134" s="591">
        <v>0</v>
      </c>
      <c r="EA134" s="591">
        <v>0</v>
      </c>
      <c r="EB134" s="591">
        <v>0</v>
      </c>
      <c r="EC134" s="591">
        <v>0</v>
      </c>
      <c r="ED134" s="591">
        <v>0</v>
      </c>
      <c r="EE134" s="591">
        <v>0</v>
      </c>
      <c r="EF134" s="591">
        <v>0</v>
      </c>
      <c r="EG134" s="591">
        <v>0</v>
      </c>
      <c r="EH134" s="591">
        <v>0</v>
      </c>
      <c r="EI134" s="591">
        <v>0</v>
      </c>
      <c r="EJ134" s="591">
        <v>0</v>
      </c>
      <c r="EK134" s="591">
        <v>0</v>
      </c>
      <c r="EL134" s="591">
        <v>0</v>
      </c>
      <c r="EM134" s="591">
        <v>0</v>
      </c>
      <c r="EN134" s="591">
        <v>0</v>
      </c>
      <c r="EO134" s="591">
        <v>0</v>
      </c>
      <c r="EP134" s="591">
        <v>0</v>
      </c>
      <c r="EQ134" s="591">
        <v>0</v>
      </c>
      <c r="ER134" s="591">
        <v>0</v>
      </c>
      <c r="ES134" s="591">
        <v>0</v>
      </c>
      <c r="ET134" s="591">
        <v>0</v>
      </c>
      <c r="EU134" s="591">
        <v>0</v>
      </c>
      <c r="EV134" s="591">
        <v>0</v>
      </c>
      <c r="EW134" s="591">
        <v>0</v>
      </c>
      <c r="EX134" s="591">
        <v>0</v>
      </c>
      <c r="EY134" s="591">
        <v>0</v>
      </c>
      <c r="EZ134" s="591">
        <v>0</v>
      </c>
      <c r="FA134" s="591">
        <v>0</v>
      </c>
      <c r="FB134" s="591">
        <v>0</v>
      </c>
      <c r="FC134" s="591">
        <v>0</v>
      </c>
      <c r="FD134" s="591">
        <v>0</v>
      </c>
      <c r="FE134" s="591">
        <v>0</v>
      </c>
      <c r="FF134" s="591">
        <v>0</v>
      </c>
      <c r="FG134" s="591">
        <v>6.4728999999999995E-2</v>
      </c>
      <c r="FH134" s="591">
        <v>2.6405999999999999E-2</v>
      </c>
      <c r="FI134" s="591">
        <v>0</v>
      </c>
      <c r="FJ134" s="591">
        <v>0</v>
      </c>
      <c r="FK134" s="591">
        <v>0</v>
      </c>
      <c r="FL134" s="591">
        <v>0</v>
      </c>
      <c r="FM134" s="591">
        <v>0</v>
      </c>
      <c r="FN134" s="591">
        <v>0</v>
      </c>
      <c r="FO134" s="591">
        <v>0</v>
      </c>
      <c r="FP134" s="591">
        <v>0</v>
      </c>
      <c r="FQ134" s="591">
        <v>0</v>
      </c>
      <c r="FR134" s="591">
        <v>0</v>
      </c>
      <c r="FS134" s="591">
        <v>0</v>
      </c>
      <c r="FT134" s="591">
        <v>0</v>
      </c>
      <c r="FU134" s="591">
        <v>0</v>
      </c>
      <c r="FV134" s="591">
        <v>0</v>
      </c>
      <c r="FW134" s="591">
        <v>0</v>
      </c>
      <c r="FX134" s="591">
        <v>0</v>
      </c>
      <c r="FY134" s="591">
        <v>0</v>
      </c>
      <c r="FZ134" s="591">
        <v>0</v>
      </c>
      <c r="GA134" s="591">
        <v>0</v>
      </c>
      <c r="GB134" s="591">
        <v>0</v>
      </c>
      <c r="GC134" s="591">
        <v>0</v>
      </c>
      <c r="GD134" s="591">
        <v>0</v>
      </c>
      <c r="GE134" s="591">
        <v>0</v>
      </c>
      <c r="GF134" s="591">
        <v>0</v>
      </c>
      <c r="GG134" s="591">
        <v>0</v>
      </c>
      <c r="GH134" s="591">
        <v>0</v>
      </c>
      <c r="GI134" s="591">
        <v>0</v>
      </c>
      <c r="GJ134" s="591">
        <v>0</v>
      </c>
      <c r="GK134" s="591">
        <v>0</v>
      </c>
      <c r="GL134" s="591">
        <v>0</v>
      </c>
      <c r="GM134" s="591">
        <v>0</v>
      </c>
      <c r="GN134" s="591">
        <v>0</v>
      </c>
      <c r="GO134" s="591">
        <v>0</v>
      </c>
      <c r="GP134" s="591">
        <v>0</v>
      </c>
      <c r="GQ134" s="591">
        <v>0</v>
      </c>
      <c r="GR134" s="591">
        <v>0</v>
      </c>
      <c r="GS134" s="591">
        <v>0</v>
      </c>
      <c r="GT134" s="591">
        <v>0</v>
      </c>
      <c r="GU134" s="591">
        <v>0</v>
      </c>
      <c r="GV134" s="591">
        <v>0</v>
      </c>
      <c r="GW134" s="591">
        <v>0</v>
      </c>
      <c r="GX134" s="591">
        <v>0</v>
      </c>
      <c r="GY134" s="591">
        <v>0</v>
      </c>
      <c r="GZ134" s="591">
        <v>0</v>
      </c>
      <c r="HA134" s="591">
        <v>0</v>
      </c>
      <c r="HB134" s="591">
        <v>0</v>
      </c>
      <c r="HC134" s="591">
        <v>5.1774999999999995E-2</v>
      </c>
      <c r="HD134" s="591">
        <v>0</v>
      </c>
      <c r="HE134" s="591">
        <v>0</v>
      </c>
      <c r="HF134" s="591">
        <v>0</v>
      </c>
      <c r="HG134" s="591">
        <v>0</v>
      </c>
      <c r="HH134" s="591">
        <v>0</v>
      </c>
      <c r="HI134" s="591">
        <v>0</v>
      </c>
      <c r="HJ134" s="591">
        <v>0</v>
      </c>
      <c r="HK134" s="591">
        <v>0</v>
      </c>
      <c r="HL134" s="591">
        <v>0</v>
      </c>
      <c r="HM134" s="591">
        <v>0</v>
      </c>
      <c r="HN134" s="591">
        <v>0</v>
      </c>
      <c r="HO134" s="591">
        <v>0</v>
      </c>
      <c r="HP134" s="591">
        <v>0</v>
      </c>
      <c r="HQ134" s="591">
        <v>0</v>
      </c>
      <c r="HR134" s="591">
        <v>0</v>
      </c>
      <c r="HS134" s="591">
        <v>0</v>
      </c>
      <c r="HT134" s="591">
        <v>0</v>
      </c>
      <c r="HU134" s="591">
        <v>0</v>
      </c>
      <c r="HV134" s="591">
        <v>0</v>
      </c>
      <c r="HW134" s="591">
        <v>0</v>
      </c>
      <c r="HX134" s="591">
        <v>0</v>
      </c>
      <c r="HY134" s="591">
        <v>0</v>
      </c>
      <c r="HZ134" s="591">
        <v>0</v>
      </c>
      <c r="IA134" s="591">
        <v>0</v>
      </c>
      <c r="IB134" s="591">
        <v>0</v>
      </c>
      <c r="IC134" s="591">
        <v>0</v>
      </c>
      <c r="ID134" s="591">
        <v>0</v>
      </c>
      <c r="IE134" s="591">
        <v>0</v>
      </c>
      <c r="IF134" s="591">
        <v>0</v>
      </c>
      <c r="IG134" s="591">
        <v>0</v>
      </c>
      <c r="IH134" s="591">
        <v>0</v>
      </c>
      <c r="II134" s="591">
        <v>0</v>
      </c>
      <c r="IJ134" s="591">
        <v>0</v>
      </c>
      <c r="IK134" s="591">
        <v>0</v>
      </c>
      <c r="IL134" s="591">
        <v>0</v>
      </c>
      <c r="IM134" s="591">
        <v>0</v>
      </c>
      <c r="IN134" s="591">
        <v>0</v>
      </c>
      <c r="IO134" s="591">
        <v>0</v>
      </c>
      <c r="IP134" s="591">
        <v>0</v>
      </c>
      <c r="IQ134" s="591">
        <v>0</v>
      </c>
      <c r="IR134" s="591">
        <v>0</v>
      </c>
      <c r="IS134" s="591">
        <v>0</v>
      </c>
      <c r="IT134" s="591">
        <v>0</v>
      </c>
      <c r="IU134" s="591">
        <v>0</v>
      </c>
      <c r="IV134" s="591">
        <v>0</v>
      </c>
      <c r="IW134" s="591">
        <v>6159</v>
      </c>
      <c r="IX134" s="591">
        <v>0</v>
      </c>
      <c r="IY134" s="591">
        <v>0</v>
      </c>
      <c r="IZ134" s="591">
        <v>0</v>
      </c>
      <c r="JA134" s="591">
        <v>0</v>
      </c>
      <c r="JB134" s="591">
        <v>0</v>
      </c>
      <c r="JC134" s="591">
        <v>0</v>
      </c>
      <c r="JD134" s="591">
        <v>0</v>
      </c>
      <c r="JE134" s="591">
        <v>0</v>
      </c>
      <c r="JF134" s="591">
        <v>0</v>
      </c>
      <c r="JG134" s="591">
        <v>0</v>
      </c>
      <c r="JH134" s="591">
        <v>0</v>
      </c>
      <c r="JI134" s="591">
        <v>0</v>
      </c>
      <c r="JJ134" s="591">
        <v>0</v>
      </c>
      <c r="JK134" s="591">
        <v>0</v>
      </c>
      <c r="JL134" s="591">
        <v>0</v>
      </c>
      <c r="JM134" s="591">
        <v>0</v>
      </c>
      <c r="JN134" s="591">
        <v>0</v>
      </c>
    </row>
    <row r="135" spans="1:274" x14ac:dyDescent="0.25">
      <c r="A135" s="591">
        <v>32570</v>
      </c>
      <c r="B135" s="591">
        <v>111801</v>
      </c>
      <c r="C135" s="591">
        <v>9</v>
      </c>
      <c r="D135" s="591">
        <v>2022</v>
      </c>
      <c r="E135" s="591">
        <v>6159</v>
      </c>
      <c r="F135" s="591">
        <v>0</v>
      </c>
      <c r="G135" s="591">
        <v>64.573000000000008</v>
      </c>
      <c r="H135" s="591">
        <v>56.627000000000002</v>
      </c>
      <c r="I135" s="591">
        <v>56.627000000000002</v>
      </c>
      <c r="J135" s="591">
        <v>64.573000000000008</v>
      </c>
      <c r="K135" s="591">
        <v>0</v>
      </c>
      <c r="L135" s="591">
        <v>6159</v>
      </c>
      <c r="M135" s="591">
        <v>0</v>
      </c>
      <c r="N135" s="591">
        <v>0</v>
      </c>
      <c r="O135" s="591">
        <v>0</v>
      </c>
      <c r="P135" s="591">
        <v>66.177000000000007</v>
      </c>
      <c r="Q135" s="591">
        <v>0</v>
      </c>
      <c r="R135" s="591">
        <v>26631</v>
      </c>
      <c r="S135" s="591">
        <v>402.428</v>
      </c>
      <c r="T135" s="591">
        <v>0</v>
      </c>
      <c r="U135" s="591">
        <v>0</v>
      </c>
      <c r="V135" s="591">
        <v>1.123</v>
      </c>
      <c r="W135" s="591">
        <v>692</v>
      </c>
      <c r="X135" s="591">
        <v>692</v>
      </c>
      <c r="Y135" s="591">
        <v>0</v>
      </c>
      <c r="Z135" s="591">
        <v>0</v>
      </c>
      <c r="AA135" s="591">
        <v>0</v>
      </c>
      <c r="AB135" s="591">
        <v>0</v>
      </c>
      <c r="AC135" s="591">
        <v>0</v>
      </c>
      <c r="AD135" s="591" t="s">
        <v>316</v>
      </c>
      <c r="AE135" s="591">
        <v>0</v>
      </c>
      <c r="AF135" s="591">
        <v>0</v>
      </c>
      <c r="AG135" s="591">
        <v>0</v>
      </c>
      <c r="AH135" s="591">
        <v>0</v>
      </c>
      <c r="AI135" s="591">
        <v>0</v>
      </c>
      <c r="AJ135" s="591">
        <v>6159</v>
      </c>
      <c r="AK135" s="591" t="s">
        <v>671</v>
      </c>
      <c r="AL135" s="591" t="s">
        <v>468</v>
      </c>
      <c r="AM135" s="591">
        <v>0</v>
      </c>
      <c r="AN135" s="591">
        <v>0</v>
      </c>
      <c r="AO135" s="591">
        <v>0</v>
      </c>
      <c r="AP135" s="591">
        <v>0</v>
      </c>
      <c r="AQ135" s="591">
        <v>0</v>
      </c>
      <c r="AR135" s="591">
        <v>0</v>
      </c>
      <c r="AS135" s="591">
        <v>0</v>
      </c>
      <c r="AT135" s="591">
        <v>0</v>
      </c>
      <c r="AU135" s="591">
        <v>0</v>
      </c>
      <c r="AV135" s="591">
        <v>0</v>
      </c>
      <c r="AW135" s="591">
        <v>799567</v>
      </c>
      <c r="AX135" s="591">
        <v>788500</v>
      </c>
      <c r="AY135" s="591">
        <v>0</v>
      </c>
      <c r="AZ135" s="591">
        <v>26631</v>
      </c>
      <c r="BA135" s="591">
        <v>0</v>
      </c>
      <c r="BB135" s="591">
        <v>0</v>
      </c>
      <c r="BC135" s="591">
        <v>0</v>
      </c>
      <c r="BD135" s="591">
        <v>0</v>
      </c>
      <c r="BE135" s="591">
        <v>10</v>
      </c>
      <c r="BF135" s="591">
        <v>723767</v>
      </c>
      <c r="BG135" s="591">
        <v>0</v>
      </c>
      <c r="BH135" s="591">
        <v>0</v>
      </c>
      <c r="BI135" s="591">
        <v>0</v>
      </c>
      <c r="BJ135" s="591">
        <v>12</v>
      </c>
      <c r="BK135" s="591">
        <v>0</v>
      </c>
      <c r="BL135" s="591">
        <v>0</v>
      </c>
      <c r="BM135" s="591">
        <v>0</v>
      </c>
      <c r="BN135" s="591">
        <v>0</v>
      </c>
      <c r="BO135" s="591">
        <v>0</v>
      </c>
      <c r="BP135" s="591">
        <v>0</v>
      </c>
      <c r="BQ135" s="591">
        <v>761</v>
      </c>
      <c r="BR135" s="591">
        <v>0</v>
      </c>
      <c r="BS135" s="591">
        <v>0</v>
      </c>
      <c r="BT135" s="591">
        <v>0</v>
      </c>
      <c r="BU135" s="591">
        <v>0</v>
      </c>
      <c r="BV135" s="591">
        <v>0</v>
      </c>
      <c r="BW135" s="591">
        <v>0</v>
      </c>
      <c r="BX135" s="591">
        <v>0</v>
      </c>
      <c r="BY135" s="591">
        <v>0</v>
      </c>
      <c r="BZ135" s="591">
        <v>0</v>
      </c>
      <c r="CA135" s="591">
        <v>0</v>
      </c>
      <c r="CB135" s="591">
        <v>0</v>
      </c>
      <c r="CC135" s="591">
        <v>0</v>
      </c>
      <c r="CD135" s="591">
        <v>0</v>
      </c>
      <c r="CE135" s="591">
        <v>0</v>
      </c>
      <c r="CF135" s="591">
        <v>0</v>
      </c>
      <c r="CG135" s="591">
        <v>0</v>
      </c>
      <c r="CH135" s="591">
        <v>11701</v>
      </c>
      <c r="CI135" s="591">
        <v>0</v>
      </c>
      <c r="CJ135" s="591">
        <v>4</v>
      </c>
      <c r="CK135" s="591">
        <v>0</v>
      </c>
      <c r="CL135" s="591">
        <v>0</v>
      </c>
      <c r="CM135" s="591">
        <v>0</v>
      </c>
      <c r="CN135" s="591">
        <v>0</v>
      </c>
      <c r="CO135" s="591">
        <v>1</v>
      </c>
      <c r="CP135" s="591">
        <v>0</v>
      </c>
      <c r="CQ135" s="591">
        <v>0</v>
      </c>
      <c r="CR135" s="591">
        <v>64.573000000000008</v>
      </c>
      <c r="CS135" s="591">
        <v>0</v>
      </c>
      <c r="CT135" s="591">
        <v>0</v>
      </c>
      <c r="CU135" s="591">
        <v>0</v>
      </c>
      <c r="CV135" s="591">
        <v>0</v>
      </c>
      <c r="CW135" s="591">
        <v>0</v>
      </c>
      <c r="CX135" s="591">
        <v>0</v>
      </c>
      <c r="CY135" s="591">
        <v>0</v>
      </c>
      <c r="CZ135" s="591">
        <v>0</v>
      </c>
      <c r="DA135" s="591">
        <v>0</v>
      </c>
      <c r="DB135" s="591">
        <v>228800</v>
      </c>
      <c r="DC135" s="591">
        <v>0</v>
      </c>
      <c r="DD135" s="591">
        <v>0</v>
      </c>
      <c r="DE135" s="591">
        <v>135962</v>
      </c>
      <c r="DF135" s="591">
        <v>135962</v>
      </c>
      <c r="DG135" s="591">
        <v>22.074999999999999</v>
      </c>
      <c r="DH135" s="591">
        <v>0</v>
      </c>
      <c r="DI135" s="591">
        <v>0</v>
      </c>
      <c r="DJ135" s="591">
        <v>0</v>
      </c>
      <c r="DK135" s="591">
        <v>3802</v>
      </c>
      <c r="DL135" s="591">
        <v>0</v>
      </c>
      <c r="DM135" s="591">
        <v>283296</v>
      </c>
      <c r="DN135" s="591">
        <v>623</v>
      </c>
      <c r="DO135" s="591">
        <v>0</v>
      </c>
      <c r="DP135" s="591">
        <v>0</v>
      </c>
      <c r="DQ135" s="591">
        <v>0</v>
      </c>
      <c r="DR135" s="591">
        <v>0</v>
      </c>
      <c r="DS135" s="591">
        <v>0</v>
      </c>
      <c r="DT135" s="591">
        <v>0</v>
      </c>
      <c r="DU135" s="591">
        <v>0</v>
      </c>
      <c r="DV135" s="591">
        <v>0</v>
      </c>
      <c r="DW135" s="591">
        <v>0</v>
      </c>
      <c r="DX135" s="591">
        <v>0</v>
      </c>
      <c r="DY135" s="591">
        <v>0</v>
      </c>
      <c r="DZ135" s="591">
        <v>0</v>
      </c>
      <c r="EA135" s="591">
        <v>0</v>
      </c>
      <c r="EB135" s="591">
        <v>0</v>
      </c>
      <c r="EC135" s="591">
        <v>0.33300000000000002</v>
      </c>
      <c r="ED135" s="591">
        <v>2359</v>
      </c>
      <c r="EE135" s="591">
        <v>0</v>
      </c>
      <c r="EF135" s="591">
        <v>0</v>
      </c>
      <c r="EG135" s="591">
        <v>0</v>
      </c>
      <c r="EH135" s="591">
        <v>0</v>
      </c>
      <c r="EI135" s="591">
        <v>161590</v>
      </c>
      <c r="EJ135" s="591">
        <v>6.5590000000000002</v>
      </c>
      <c r="EK135" s="591">
        <v>0</v>
      </c>
      <c r="EL135" s="591">
        <v>0</v>
      </c>
      <c r="EM135" s="591">
        <v>0</v>
      </c>
      <c r="EN135" s="591">
        <v>0</v>
      </c>
      <c r="EO135" s="591">
        <v>0</v>
      </c>
      <c r="EP135" s="591">
        <v>0</v>
      </c>
      <c r="EQ135" s="591">
        <v>6.5590000000000002</v>
      </c>
      <c r="ER135" s="591">
        <v>0</v>
      </c>
      <c r="ES135" s="591">
        <v>0</v>
      </c>
      <c r="ET135" s="591">
        <v>0</v>
      </c>
      <c r="EU135" s="591">
        <v>0</v>
      </c>
      <c r="EV135" s="591">
        <v>0</v>
      </c>
      <c r="EW135" s="591">
        <v>0</v>
      </c>
      <c r="EX135" s="591">
        <v>0</v>
      </c>
      <c r="EY135" s="591">
        <v>0</v>
      </c>
      <c r="EZ135" s="591">
        <v>698239</v>
      </c>
      <c r="FA135" s="591">
        <v>0</v>
      </c>
      <c r="FB135" s="591">
        <v>724236</v>
      </c>
      <c r="FC135" s="591">
        <v>0</v>
      </c>
      <c r="FD135" s="591">
        <v>0</v>
      </c>
      <c r="FE135" s="591">
        <v>74969</v>
      </c>
      <c r="FF135" s="591">
        <v>15292</v>
      </c>
      <c r="FG135" s="591">
        <v>6.4728999999999995E-2</v>
      </c>
      <c r="FH135" s="591">
        <v>2.6405999999999999E-2</v>
      </c>
      <c r="FI135" s="591">
        <v>0</v>
      </c>
      <c r="FJ135" s="591">
        <v>0</v>
      </c>
      <c r="FK135" s="591">
        <v>117.512</v>
      </c>
      <c r="FL135" s="591">
        <v>826198</v>
      </c>
      <c r="FM135" s="591">
        <v>0</v>
      </c>
      <c r="FN135" s="591">
        <v>0</v>
      </c>
      <c r="FO135" s="591">
        <v>0</v>
      </c>
      <c r="FP135" s="591">
        <v>0</v>
      </c>
      <c r="FQ135" s="591">
        <v>0</v>
      </c>
      <c r="FR135" s="591">
        <v>0</v>
      </c>
      <c r="FS135" s="591">
        <v>0</v>
      </c>
      <c r="FT135" s="591">
        <v>0</v>
      </c>
      <c r="FU135" s="591">
        <v>0</v>
      </c>
      <c r="FV135" s="591">
        <v>0</v>
      </c>
      <c r="FW135" s="591">
        <v>0</v>
      </c>
      <c r="FX135" s="591">
        <v>0</v>
      </c>
      <c r="FY135" s="591">
        <v>0</v>
      </c>
      <c r="FZ135" s="591">
        <v>0</v>
      </c>
      <c r="GA135" s="591">
        <v>0</v>
      </c>
      <c r="GB135" s="591">
        <v>11533</v>
      </c>
      <c r="GC135" s="591">
        <v>11533</v>
      </c>
      <c r="GD135" s="591">
        <v>1.387</v>
      </c>
      <c r="GE135" s="591">
        <v>0</v>
      </c>
      <c r="GF135" s="591">
        <v>0</v>
      </c>
      <c r="GG135" s="591">
        <v>0</v>
      </c>
      <c r="GH135" s="591">
        <v>0</v>
      </c>
      <c r="GI135" s="591">
        <v>0</v>
      </c>
      <c r="GJ135" s="591">
        <v>0</v>
      </c>
      <c r="GK135" s="591">
        <v>0</v>
      </c>
      <c r="GL135" s="591">
        <v>0</v>
      </c>
      <c r="GM135" s="591">
        <v>0</v>
      </c>
      <c r="GN135" s="591">
        <v>0</v>
      </c>
      <c r="GO135" s="591">
        <v>0</v>
      </c>
      <c r="GP135" s="591">
        <v>0</v>
      </c>
      <c r="GQ135" s="591">
        <v>0</v>
      </c>
      <c r="GR135" s="591">
        <v>0</v>
      </c>
      <c r="GS135" s="591">
        <v>0</v>
      </c>
      <c r="GT135" s="591">
        <v>0</v>
      </c>
      <c r="GU135" s="591">
        <v>0</v>
      </c>
      <c r="GV135" s="591">
        <v>0</v>
      </c>
      <c r="GW135" s="591">
        <v>0</v>
      </c>
      <c r="GX135" s="591">
        <v>0</v>
      </c>
      <c r="GY135" s="591">
        <v>0</v>
      </c>
      <c r="GZ135" s="591">
        <v>0</v>
      </c>
      <c r="HA135" s="591">
        <v>0</v>
      </c>
      <c r="HB135" s="591">
        <v>260009272</v>
      </c>
      <c r="HC135" s="591">
        <v>5.1774999999999995E-2</v>
      </c>
      <c r="HD135" s="591">
        <v>11701</v>
      </c>
      <c r="HE135" s="591">
        <v>0</v>
      </c>
      <c r="HF135" s="591">
        <v>62233</v>
      </c>
      <c r="HG135" s="591">
        <v>0</v>
      </c>
      <c r="HH135" s="591">
        <v>0</v>
      </c>
      <c r="HI135" s="591">
        <v>0</v>
      </c>
      <c r="HJ135" s="591">
        <v>628</v>
      </c>
      <c r="HK135" s="591">
        <v>1103</v>
      </c>
      <c r="HL135" s="591">
        <v>0</v>
      </c>
      <c r="HM135" s="591">
        <v>0</v>
      </c>
      <c r="HN135" s="591">
        <v>0</v>
      </c>
      <c r="HO135" s="591">
        <v>0</v>
      </c>
      <c r="HP135" s="591">
        <v>0</v>
      </c>
      <c r="HQ135" s="591">
        <v>0</v>
      </c>
      <c r="HR135" s="591">
        <v>0</v>
      </c>
      <c r="HS135" s="591">
        <v>697605</v>
      </c>
      <c r="HT135" s="591">
        <v>0</v>
      </c>
      <c r="HU135" s="591">
        <v>0</v>
      </c>
      <c r="HV135" s="591">
        <v>0</v>
      </c>
      <c r="HW135" s="591">
        <v>0</v>
      </c>
      <c r="HX135" s="591">
        <v>11</v>
      </c>
      <c r="HY135" s="591">
        <v>17</v>
      </c>
      <c r="HZ135" s="591">
        <v>17</v>
      </c>
      <c r="IA135" s="591">
        <v>19</v>
      </c>
      <c r="IB135" s="591">
        <v>23</v>
      </c>
      <c r="IC135" s="591">
        <v>69</v>
      </c>
      <c r="ID135" s="591">
        <v>0</v>
      </c>
      <c r="IE135" s="591">
        <v>0</v>
      </c>
      <c r="IF135" s="591">
        <v>0</v>
      </c>
      <c r="IG135" s="591">
        <v>0</v>
      </c>
      <c r="IH135" s="591">
        <v>0</v>
      </c>
      <c r="II135" s="591">
        <v>0</v>
      </c>
      <c r="IJ135" s="591">
        <v>1.123</v>
      </c>
      <c r="IK135" s="591">
        <v>0</v>
      </c>
      <c r="IL135" s="591">
        <v>0</v>
      </c>
      <c r="IM135" s="591">
        <v>0</v>
      </c>
      <c r="IN135" s="591">
        <v>0</v>
      </c>
      <c r="IO135" s="591">
        <v>0</v>
      </c>
      <c r="IP135" s="591">
        <v>0</v>
      </c>
      <c r="IQ135" s="591">
        <v>1.123</v>
      </c>
      <c r="IR135" s="591">
        <v>692</v>
      </c>
      <c r="IS135" s="591">
        <v>0</v>
      </c>
      <c r="IT135" s="591">
        <v>0</v>
      </c>
      <c r="IU135" s="591">
        <v>0</v>
      </c>
      <c r="IV135" s="591">
        <v>0</v>
      </c>
      <c r="IW135" s="591">
        <v>6159</v>
      </c>
      <c r="IX135" s="591">
        <v>0</v>
      </c>
      <c r="IY135" s="591">
        <v>0</v>
      </c>
      <c r="IZ135" s="591">
        <v>0</v>
      </c>
      <c r="JA135" s="591">
        <v>0</v>
      </c>
      <c r="JB135" s="591">
        <v>0</v>
      </c>
      <c r="JC135" s="591">
        <v>0</v>
      </c>
      <c r="JD135" s="591">
        <v>0</v>
      </c>
      <c r="JE135" s="591">
        <v>0</v>
      </c>
      <c r="JF135" s="591">
        <v>0</v>
      </c>
      <c r="JG135" s="591">
        <v>0</v>
      </c>
      <c r="JH135" s="591">
        <v>0</v>
      </c>
      <c r="JI135" s="591">
        <v>0</v>
      </c>
      <c r="JJ135" s="591">
        <v>0</v>
      </c>
      <c r="JK135" s="591">
        <v>0</v>
      </c>
      <c r="JL135" s="591">
        <v>0</v>
      </c>
      <c r="JM135" s="591">
        <v>0</v>
      </c>
      <c r="JN135" s="591">
        <v>32469</v>
      </c>
    </row>
    <row r="136" spans="1:274" x14ac:dyDescent="0.25">
      <c r="A136" s="591">
        <v>32570</v>
      </c>
      <c r="B136" s="591">
        <v>123803</v>
      </c>
      <c r="C136" s="591">
        <v>9</v>
      </c>
      <c r="D136" s="591">
        <v>2022</v>
      </c>
      <c r="E136" s="591">
        <v>6159</v>
      </c>
      <c r="F136" s="591">
        <v>0</v>
      </c>
      <c r="G136" s="591">
        <v>383.01</v>
      </c>
      <c r="H136" s="591">
        <v>370.19300000000004</v>
      </c>
      <c r="I136" s="591">
        <v>370.19300000000004</v>
      </c>
      <c r="J136" s="591">
        <v>383.01</v>
      </c>
      <c r="K136" s="591">
        <v>0</v>
      </c>
      <c r="L136" s="591">
        <v>6159</v>
      </c>
      <c r="M136" s="591">
        <v>0</v>
      </c>
      <c r="N136" s="591">
        <v>0</v>
      </c>
      <c r="O136" s="591">
        <v>0</v>
      </c>
      <c r="P136" s="591">
        <v>355.07300000000004</v>
      </c>
      <c r="Q136" s="591">
        <v>0</v>
      </c>
      <c r="R136" s="591">
        <v>142891</v>
      </c>
      <c r="S136" s="591">
        <v>402.428</v>
      </c>
      <c r="T136" s="591">
        <v>0</v>
      </c>
      <c r="U136" s="591">
        <v>0</v>
      </c>
      <c r="V136" s="591">
        <v>0</v>
      </c>
      <c r="W136" s="591">
        <v>0</v>
      </c>
      <c r="X136" s="591">
        <v>0</v>
      </c>
      <c r="Y136" s="591">
        <v>0</v>
      </c>
      <c r="Z136" s="591">
        <v>0</v>
      </c>
      <c r="AA136" s="591">
        <v>0</v>
      </c>
      <c r="AB136" s="591">
        <v>0</v>
      </c>
      <c r="AC136" s="591">
        <v>0</v>
      </c>
      <c r="AD136" s="591" t="s">
        <v>316</v>
      </c>
      <c r="AE136" s="591">
        <v>0</v>
      </c>
      <c r="AF136" s="591">
        <v>0</v>
      </c>
      <c r="AG136" s="591">
        <v>0</v>
      </c>
      <c r="AH136" s="591">
        <v>0</v>
      </c>
      <c r="AI136" s="591">
        <v>0</v>
      </c>
      <c r="AJ136" s="591">
        <v>6159</v>
      </c>
      <c r="AK136" s="591" t="s">
        <v>671</v>
      </c>
      <c r="AL136" s="591" t="s">
        <v>356</v>
      </c>
      <c r="AM136" s="591">
        <v>0</v>
      </c>
      <c r="AN136" s="591">
        <v>0</v>
      </c>
      <c r="AO136" s="591">
        <v>0</v>
      </c>
      <c r="AP136" s="591">
        <v>0</v>
      </c>
      <c r="AQ136" s="591">
        <v>0</v>
      </c>
      <c r="AR136" s="591">
        <v>0</v>
      </c>
      <c r="AS136" s="591">
        <v>0</v>
      </c>
      <c r="AT136" s="591">
        <v>0</v>
      </c>
      <c r="AU136" s="591">
        <v>0</v>
      </c>
      <c r="AV136" s="591">
        <v>0</v>
      </c>
      <c r="AW136" s="591">
        <v>4054194</v>
      </c>
      <c r="AX136" s="591">
        <v>3985090</v>
      </c>
      <c r="AY136" s="591">
        <v>0</v>
      </c>
      <c r="AZ136" s="591">
        <v>142891</v>
      </c>
      <c r="BA136" s="591">
        <v>0</v>
      </c>
      <c r="BB136" s="591">
        <v>0</v>
      </c>
      <c r="BC136" s="591">
        <v>0</v>
      </c>
      <c r="BD136" s="591">
        <v>0</v>
      </c>
      <c r="BE136" s="591">
        <v>53</v>
      </c>
      <c r="BF136" s="591">
        <v>3631139</v>
      </c>
      <c r="BG136" s="591">
        <v>0</v>
      </c>
      <c r="BH136" s="591">
        <v>0</v>
      </c>
      <c r="BI136" s="591">
        <v>0</v>
      </c>
      <c r="BJ136" s="591">
        <v>12</v>
      </c>
      <c r="BK136" s="591">
        <v>0</v>
      </c>
      <c r="BL136" s="591">
        <v>0</v>
      </c>
      <c r="BM136" s="591">
        <v>0</v>
      </c>
      <c r="BN136" s="591">
        <v>0</v>
      </c>
      <c r="BO136" s="591">
        <v>0</v>
      </c>
      <c r="BP136" s="591">
        <v>0</v>
      </c>
      <c r="BQ136" s="591">
        <v>713</v>
      </c>
      <c r="BR136" s="591">
        <v>0</v>
      </c>
      <c r="BS136" s="591">
        <v>0</v>
      </c>
      <c r="BT136" s="591">
        <v>0</v>
      </c>
      <c r="BU136" s="591">
        <v>0</v>
      </c>
      <c r="BV136" s="591">
        <v>0</v>
      </c>
      <c r="BW136" s="591">
        <v>0</v>
      </c>
      <c r="BX136" s="591">
        <v>0</v>
      </c>
      <c r="BY136" s="591">
        <v>0</v>
      </c>
      <c r="BZ136" s="591">
        <v>0</v>
      </c>
      <c r="CA136" s="591">
        <v>0</v>
      </c>
      <c r="CB136" s="591">
        <v>0</v>
      </c>
      <c r="CC136" s="591">
        <v>0</v>
      </c>
      <c r="CD136" s="591">
        <v>0</v>
      </c>
      <c r="CE136" s="591">
        <v>0</v>
      </c>
      <c r="CF136" s="591">
        <v>0</v>
      </c>
      <c r="CG136" s="591">
        <v>0</v>
      </c>
      <c r="CH136" s="591">
        <v>69406</v>
      </c>
      <c r="CI136" s="591">
        <v>0</v>
      </c>
      <c r="CJ136" s="591">
        <v>4</v>
      </c>
      <c r="CK136" s="591">
        <v>0</v>
      </c>
      <c r="CL136" s="591">
        <v>0</v>
      </c>
      <c r="CM136" s="591">
        <v>0</v>
      </c>
      <c r="CN136" s="591">
        <v>0</v>
      </c>
      <c r="CO136" s="591">
        <v>1</v>
      </c>
      <c r="CP136" s="591">
        <v>0</v>
      </c>
      <c r="CQ136" s="591">
        <v>0</v>
      </c>
      <c r="CR136" s="591">
        <v>383.01</v>
      </c>
      <c r="CS136" s="591">
        <v>0</v>
      </c>
      <c r="CT136" s="591">
        <v>0</v>
      </c>
      <c r="CU136" s="591">
        <v>0</v>
      </c>
      <c r="CV136" s="591">
        <v>0</v>
      </c>
      <c r="CW136" s="591">
        <v>0</v>
      </c>
      <c r="CX136" s="591">
        <v>0</v>
      </c>
      <c r="CY136" s="591">
        <v>0</v>
      </c>
      <c r="CZ136" s="591">
        <v>0</v>
      </c>
      <c r="DA136" s="591">
        <v>0</v>
      </c>
      <c r="DB136" s="591">
        <v>2276098</v>
      </c>
      <c r="DC136" s="591">
        <v>0</v>
      </c>
      <c r="DD136" s="591">
        <v>0</v>
      </c>
      <c r="DE136" s="591">
        <v>699980</v>
      </c>
      <c r="DF136" s="591">
        <v>699980</v>
      </c>
      <c r="DG136" s="591">
        <v>113.65</v>
      </c>
      <c r="DH136" s="591">
        <v>0</v>
      </c>
      <c r="DI136" s="591">
        <v>0</v>
      </c>
      <c r="DJ136" s="591">
        <v>0</v>
      </c>
      <c r="DK136" s="591">
        <v>3030</v>
      </c>
      <c r="DL136" s="591">
        <v>0</v>
      </c>
      <c r="DM136" s="591">
        <v>69221</v>
      </c>
      <c r="DN136" s="591">
        <v>249</v>
      </c>
      <c r="DO136" s="591">
        <v>0</v>
      </c>
      <c r="DP136" s="591">
        <v>0</v>
      </c>
      <c r="DQ136" s="591">
        <v>0</v>
      </c>
      <c r="DR136" s="591">
        <v>0</v>
      </c>
      <c r="DS136" s="591">
        <v>0</v>
      </c>
      <c r="DT136" s="591">
        <v>0</v>
      </c>
      <c r="DU136" s="591">
        <v>0</v>
      </c>
      <c r="DV136" s="591">
        <v>0</v>
      </c>
      <c r="DW136" s="591">
        <v>0</v>
      </c>
      <c r="DX136" s="591">
        <v>0</v>
      </c>
      <c r="DY136" s="591">
        <v>0</v>
      </c>
      <c r="DZ136" s="591">
        <v>0</v>
      </c>
      <c r="EA136" s="591">
        <v>0</v>
      </c>
      <c r="EB136" s="591">
        <v>0</v>
      </c>
      <c r="EC136" s="591">
        <v>8.8719999999999999</v>
      </c>
      <c r="ED136" s="591">
        <v>62840</v>
      </c>
      <c r="EE136" s="591">
        <v>0</v>
      </c>
      <c r="EF136" s="591">
        <v>0</v>
      </c>
      <c r="EG136" s="591">
        <v>0</v>
      </c>
      <c r="EH136" s="591">
        <v>2679</v>
      </c>
      <c r="EI136" s="591">
        <v>0</v>
      </c>
      <c r="EJ136" s="591">
        <v>0</v>
      </c>
      <c r="EK136" s="591">
        <v>0</v>
      </c>
      <c r="EL136" s="591">
        <v>0</v>
      </c>
      <c r="EM136" s="591">
        <v>0</v>
      </c>
      <c r="EN136" s="591">
        <v>8.7000000000000008E-2</v>
      </c>
      <c r="EO136" s="591">
        <v>0</v>
      </c>
      <c r="EP136" s="591">
        <v>0</v>
      </c>
      <c r="EQ136" s="591">
        <v>8.7000000000000008E-2</v>
      </c>
      <c r="ER136" s="591">
        <v>0</v>
      </c>
      <c r="ES136" s="591">
        <v>0.435</v>
      </c>
      <c r="ET136" s="591">
        <v>0</v>
      </c>
      <c r="EU136" s="591">
        <v>0</v>
      </c>
      <c r="EV136" s="591">
        <v>0</v>
      </c>
      <c r="EW136" s="591">
        <v>0</v>
      </c>
      <c r="EX136" s="591">
        <v>0</v>
      </c>
      <c r="EY136" s="591">
        <v>0</v>
      </c>
      <c r="EZ136" s="591">
        <v>3532252</v>
      </c>
      <c r="FA136" s="591">
        <v>0</v>
      </c>
      <c r="FB136" s="591">
        <v>3674841</v>
      </c>
      <c r="FC136" s="591">
        <v>0</v>
      </c>
      <c r="FD136" s="591">
        <v>0</v>
      </c>
      <c r="FE136" s="591">
        <v>376120</v>
      </c>
      <c r="FF136" s="591">
        <v>76718</v>
      </c>
      <c r="FG136" s="591">
        <v>6.4728999999999995E-2</v>
      </c>
      <c r="FH136" s="591">
        <v>2.6405999999999999E-2</v>
      </c>
      <c r="FI136" s="591">
        <v>0</v>
      </c>
      <c r="FJ136" s="591">
        <v>0</v>
      </c>
      <c r="FK136" s="591">
        <v>589.55799999999999</v>
      </c>
      <c r="FL136" s="591">
        <v>4197085</v>
      </c>
      <c r="FM136" s="591">
        <v>0</v>
      </c>
      <c r="FN136" s="591">
        <v>0</v>
      </c>
      <c r="FO136" s="591">
        <v>42698</v>
      </c>
      <c r="FP136" s="591">
        <v>0</v>
      </c>
      <c r="FQ136" s="591">
        <v>42698</v>
      </c>
      <c r="FR136" s="591">
        <v>42698</v>
      </c>
      <c r="FS136" s="591">
        <v>0</v>
      </c>
      <c r="FT136" s="591">
        <v>0</v>
      </c>
      <c r="FU136" s="591">
        <v>0</v>
      </c>
      <c r="FV136" s="591">
        <v>0</v>
      </c>
      <c r="FW136" s="591">
        <v>0</v>
      </c>
      <c r="FX136" s="591">
        <v>0</v>
      </c>
      <c r="FY136" s="591">
        <v>0</v>
      </c>
      <c r="FZ136" s="591">
        <v>0</v>
      </c>
      <c r="GA136" s="591">
        <v>0</v>
      </c>
      <c r="GB136" s="591">
        <v>105847</v>
      </c>
      <c r="GC136" s="591">
        <v>105847</v>
      </c>
      <c r="GD136" s="591">
        <v>12.73</v>
      </c>
      <c r="GE136" s="591">
        <v>0</v>
      </c>
      <c r="GF136" s="591">
        <v>0</v>
      </c>
      <c r="GG136" s="591">
        <v>0</v>
      </c>
      <c r="GH136" s="591">
        <v>0</v>
      </c>
      <c r="GI136" s="591">
        <v>0</v>
      </c>
      <c r="GJ136" s="591">
        <v>0</v>
      </c>
      <c r="GK136" s="591">
        <v>0</v>
      </c>
      <c r="GL136" s="591">
        <v>0</v>
      </c>
      <c r="GM136" s="591">
        <v>0</v>
      </c>
      <c r="GN136" s="591">
        <v>0</v>
      </c>
      <c r="GO136" s="591">
        <v>0</v>
      </c>
      <c r="GP136" s="591">
        <v>0</v>
      </c>
      <c r="GQ136" s="591">
        <v>0</v>
      </c>
      <c r="GR136" s="591">
        <v>0</v>
      </c>
      <c r="GS136" s="591">
        <v>0</v>
      </c>
      <c r="GT136" s="591">
        <v>0</v>
      </c>
      <c r="GU136" s="591">
        <v>0</v>
      </c>
      <c r="GV136" s="591">
        <v>0</v>
      </c>
      <c r="GW136" s="591">
        <v>0</v>
      </c>
      <c r="GX136" s="591">
        <v>0</v>
      </c>
      <c r="GY136" s="591">
        <v>0</v>
      </c>
      <c r="GZ136" s="591">
        <v>0</v>
      </c>
      <c r="HA136" s="591">
        <v>0</v>
      </c>
      <c r="HB136" s="591">
        <v>260009272</v>
      </c>
      <c r="HC136" s="591">
        <v>5.1774999999999995E-2</v>
      </c>
      <c r="HD136" s="591">
        <v>69406</v>
      </c>
      <c r="HE136" s="591">
        <v>0</v>
      </c>
      <c r="HF136" s="591">
        <v>406842</v>
      </c>
      <c r="HG136" s="591">
        <v>0</v>
      </c>
      <c r="HH136" s="591">
        <v>69179</v>
      </c>
      <c r="HI136" s="591">
        <v>0</v>
      </c>
      <c r="HJ136" s="591">
        <v>3723</v>
      </c>
      <c r="HK136" s="591">
        <v>621</v>
      </c>
      <c r="HL136" s="591">
        <v>685</v>
      </c>
      <c r="HM136" s="591">
        <v>0</v>
      </c>
      <c r="HN136" s="591">
        <v>0</v>
      </c>
      <c r="HO136" s="591">
        <v>0</v>
      </c>
      <c r="HP136" s="591">
        <v>0</v>
      </c>
      <c r="HQ136" s="591">
        <v>0</v>
      </c>
      <c r="HR136" s="591">
        <v>0</v>
      </c>
      <c r="HS136" s="591">
        <v>3531950</v>
      </c>
      <c r="HT136" s="591">
        <v>0</v>
      </c>
      <c r="HU136" s="591">
        <v>0</v>
      </c>
      <c r="HV136" s="591">
        <v>0</v>
      </c>
      <c r="HW136" s="591">
        <v>0</v>
      </c>
      <c r="HX136" s="591">
        <v>43</v>
      </c>
      <c r="HY136" s="591">
        <v>22</v>
      </c>
      <c r="HZ136" s="591">
        <v>81</v>
      </c>
      <c r="IA136" s="591">
        <v>166</v>
      </c>
      <c r="IB136" s="591">
        <v>127</v>
      </c>
      <c r="IC136" s="591">
        <v>397</v>
      </c>
      <c r="ID136" s="591">
        <v>0</v>
      </c>
      <c r="IE136" s="591">
        <v>0</v>
      </c>
      <c r="IF136" s="591">
        <v>0</v>
      </c>
      <c r="IG136" s="591">
        <v>0</v>
      </c>
      <c r="IH136" s="591">
        <v>112.32000000000001</v>
      </c>
      <c r="II136" s="591">
        <v>0</v>
      </c>
      <c r="IJ136" s="591">
        <v>0</v>
      </c>
      <c r="IK136" s="591">
        <v>0</v>
      </c>
      <c r="IL136" s="591">
        <v>0</v>
      </c>
      <c r="IM136" s="591">
        <v>0</v>
      </c>
      <c r="IN136" s="591">
        <v>0</v>
      </c>
      <c r="IO136" s="591">
        <v>0</v>
      </c>
      <c r="IP136" s="591">
        <v>0</v>
      </c>
      <c r="IQ136" s="591">
        <v>0</v>
      </c>
      <c r="IR136" s="591">
        <v>0</v>
      </c>
      <c r="IS136" s="591">
        <v>0</v>
      </c>
      <c r="IT136" s="591">
        <v>0</v>
      </c>
      <c r="IU136" s="591">
        <v>0</v>
      </c>
      <c r="IV136" s="591">
        <v>0</v>
      </c>
      <c r="IW136" s="591">
        <v>6159</v>
      </c>
      <c r="IX136" s="591">
        <v>0</v>
      </c>
      <c r="IY136" s="591">
        <v>0</v>
      </c>
      <c r="IZ136" s="591">
        <v>0</v>
      </c>
      <c r="JA136" s="591">
        <v>0</v>
      </c>
      <c r="JB136" s="591">
        <v>0</v>
      </c>
      <c r="JC136" s="591">
        <v>0</v>
      </c>
      <c r="JD136" s="591">
        <v>0</v>
      </c>
      <c r="JE136" s="591">
        <v>0</v>
      </c>
      <c r="JF136" s="591">
        <v>0</v>
      </c>
      <c r="JG136" s="591">
        <v>0</v>
      </c>
      <c r="JH136" s="591">
        <v>0</v>
      </c>
      <c r="JI136" s="591">
        <v>0</v>
      </c>
      <c r="JJ136" s="591">
        <v>0</v>
      </c>
      <c r="JK136" s="591">
        <v>0</v>
      </c>
      <c r="JL136" s="591">
        <v>0</v>
      </c>
      <c r="JM136" s="591">
        <v>0</v>
      </c>
      <c r="JN136" s="591">
        <v>32469</v>
      </c>
    </row>
    <row r="137" spans="1:274" x14ac:dyDescent="0.25">
      <c r="A137" s="591">
        <v>32570</v>
      </c>
      <c r="B137" s="591">
        <v>123805</v>
      </c>
      <c r="C137" s="591">
        <v>9</v>
      </c>
      <c r="D137" s="591">
        <v>2022</v>
      </c>
      <c r="E137" s="591">
        <v>6159</v>
      </c>
      <c r="F137" s="591">
        <v>0</v>
      </c>
      <c r="G137" s="591">
        <v>449.19200000000001</v>
      </c>
      <c r="H137" s="591">
        <v>445.24600000000004</v>
      </c>
      <c r="I137" s="591">
        <v>445.24600000000004</v>
      </c>
      <c r="J137" s="591">
        <v>449.19200000000001</v>
      </c>
      <c r="K137" s="591">
        <v>0</v>
      </c>
      <c r="L137" s="591">
        <v>6159</v>
      </c>
      <c r="M137" s="591">
        <v>0</v>
      </c>
      <c r="N137" s="591">
        <v>0</v>
      </c>
      <c r="O137" s="591">
        <v>0</v>
      </c>
      <c r="P137" s="591">
        <v>453.58500000000004</v>
      </c>
      <c r="Q137" s="591">
        <v>0</v>
      </c>
      <c r="R137" s="591">
        <v>182535</v>
      </c>
      <c r="S137" s="591">
        <v>402.428</v>
      </c>
      <c r="T137" s="591">
        <v>0</v>
      </c>
      <c r="U137" s="591">
        <v>0</v>
      </c>
      <c r="V137" s="591">
        <v>254.30700000000002</v>
      </c>
      <c r="W137" s="591">
        <v>156630</v>
      </c>
      <c r="X137" s="591">
        <v>156630</v>
      </c>
      <c r="Y137" s="591">
        <v>0</v>
      </c>
      <c r="Z137" s="591">
        <v>0</v>
      </c>
      <c r="AA137" s="591">
        <v>0</v>
      </c>
      <c r="AB137" s="591">
        <v>0</v>
      </c>
      <c r="AC137" s="591">
        <v>0</v>
      </c>
      <c r="AD137" s="591" t="s">
        <v>316</v>
      </c>
      <c r="AE137" s="591">
        <v>0</v>
      </c>
      <c r="AF137" s="591">
        <v>0</v>
      </c>
      <c r="AG137" s="591">
        <v>0</v>
      </c>
      <c r="AH137" s="591">
        <v>0</v>
      </c>
      <c r="AI137" s="591">
        <v>0</v>
      </c>
      <c r="AJ137" s="591">
        <v>6159</v>
      </c>
      <c r="AK137" s="591" t="s">
        <v>671</v>
      </c>
      <c r="AL137" s="591" t="s">
        <v>4</v>
      </c>
      <c r="AM137" s="591">
        <v>0</v>
      </c>
      <c r="AN137" s="591">
        <v>0</v>
      </c>
      <c r="AO137" s="591">
        <v>0</v>
      </c>
      <c r="AP137" s="591">
        <v>0</v>
      </c>
      <c r="AQ137" s="591">
        <v>0</v>
      </c>
      <c r="AR137" s="591">
        <v>0</v>
      </c>
      <c r="AS137" s="591">
        <v>0</v>
      </c>
      <c r="AT137" s="591">
        <v>0</v>
      </c>
      <c r="AU137" s="591">
        <v>0</v>
      </c>
      <c r="AV137" s="591">
        <v>0</v>
      </c>
      <c r="AW137" s="591">
        <v>4979782</v>
      </c>
      <c r="AX137" s="591">
        <v>4899482</v>
      </c>
      <c r="AY137" s="591">
        <v>0</v>
      </c>
      <c r="AZ137" s="591">
        <v>182535</v>
      </c>
      <c r="BA137" s="591">
        <v>0</v>
      </c>
      <c r="BB137" s="591">
        <v>0</v>
      </c>
      <c r="BC137" s="591">
        <v>0</v>
      </c>
      <c r="BD137" s="591">
        <v>0</v>
      </c>
      <c r="BE137" s="591">
        <v>65</v>
      </c>
      <c r="BF137" s="591">
        <v>4518514</v>
      </c>
      <c r="BG137" s="591">
        <v>0</v>
      </c>
      <c r="BH137" s="591">
        <v>0</v>
      </c>
      <c r="BI137" s="591">
        <v>0</v>
      </c>
      <c r="BJ137" s="591">
        <v>12</v>
      </c>
      <c r="BK137" s="591">
        <v>0</v>
      </c>
      <c r="BL137" s="591">
        <v>0</v>
      </c>
      <c r="BM137" s="591">
        <v>0</v>
      </c>
      <c r="BN137" s="591">
        <v>0</v>
      </c>
      <c r="BO137" s="591">
        <v>0</v>
      </c>
      <c r="BP137" s="591">
        <v>0</v>
      </c>
      <c r="BQ137" s="591">
        <v>701</v>
      </c>
      <c r="BR137" s="591">
        <v>0</v>
      </c>
      <c r="BS137" s="591">
        <v>0</v>
      </c>
      <c r="BT137" s="591">
        <v>0</v>
      </c>
      <c r="BU137" s="591">
        <v>0</v>
      </c>
      <c r="BV137" s="591">
        <v>0</v>
      </c>
      <c r="BW137" s="591">
        <v>0</v>
      </c>
      <c r="BX137" s="591">
        <v>0</v>
      </c>
      <c r="BY137" s="591">
        <v>0</v>
      </c>
      <c r="BZ137" s="591">
        <v>0</v>
      </c>
      <c r="CA137" s="591">
        <v>0</v>
      </c>
      <c r="CB137" s="591">
        <v>0</v>
      </c>
      <c r="CC137" s="591">
        <v>0</v>
      </c>
      <c r="CD137" s="591">
        <v>0</v>
      </c>
      <c r="CE137" s="591">
        <v>0</v>
      </c>
      <c r="CF137" s="591">
        <v>0</v>
      </c>
      <c r="CG137" s="591">
        <v>0</v>
      </c>
      <c r="CH137" s="591">
        <v>81398</v>
      </c>
      <c r="CI137" s="591">
        <v>0</v>
      </c>
      <c r="CJ137" s="591">
        <v>4</v>
      </c>
      <c r="CK137" s="591">
        <v>0</v>
      </c>
      <c r="CL137" s="591">
        <v>0</v>
      </c>
      <c r="CM137" s="591">
        <v>0</v>
      </c>
      <c r="CN137" s="591">
        <v>0</v>
      </c>
      <c r="CO137" s="591">
        <v>1</v>
      </c>
      <c r="CP137" s="591">
        <v>0</v>
      </c>
      <c r="CQ137" s="591">
        <v>0</v>
      </c>
      <c r="CR137" s="591">
        <v>449.19200000000001</v>
      </c>
      <c r="CS137" s="591">
        <v>0</v>
      </c>
      <c r="CT137" s="591">
        <v>0</v>
      </c>
      <c r="CU137" s="591">
        <v>0</v>
      </c>
      <c r="CV137" s="591">
        <v>0</v>
      </c>
      <c r="CW137" s="591">
        <v>0</v>
      </c>
      <c r="CX137" s="591">
        <v>0</v>
      </c>
      <c r="CY137" s="591">
        <v>0</v>
      </c>
      <c r="CZ137" s="591">
        <v>0</v>
      </c>
      <c r="DA137" s="591">
        <v>0</v>
      </c>
      <c r="DB137" s="591">
        <v>2733941</v>
      </c>
      <c r="DC137" s="591">
        <v>0</v>
      </c>
      <c r="DD137" s="591">
        <v>0</v>
      </c>
      <c r="DE137" s="591">
        <v>683119</v>
      </c>
      <c r="DF137" s="591">
        <v>683119</v>
      </c>
      <c r="DG137" s="591">
        <v>110.91300000000001</v>
      </c>
      <c r="DH137" s="591">
        <v>0</v>
      </c>
      <c r="DI137" s="591">
        <v>0</v>
      </c>
      <c r="DJ137" s="591">
        <v>0</v>
      </c>
      <c r="DK137" s="591">
        <v>2845</v>
      </c>
      <c r="DL137" s="591">
        <v>0</v>
      </c>
      <c r="DM137" s="591">
        <v>279237</v>
      </c>
      <c r="DN137" s="591">
        <v>1033</v>
      </c>
      <c r="DO137" s="591">
        <v>0</v>
      </c>
      <c r="DP137" s="591">
        <v>0</v>
      </c>
      <c r="DQ137" s="591">
        <v>0</v>
      </c>
      <c r="DR137" s="591">
        <v>0</v>
      </c>
      <c r="DS137" s="591">
        <v>0</v>
      </c>
      <c r="DT137" s="591">
        <v>0</v>
      </c>
      <c r="DU137" s="591">
        <v>0</v>
      </c>
      <c r="DV137" s="591">
        <v>0</v>
      </c>
      <c r="DW137" s="591">
        <v>0</v>
      </c>
      <c r="DX137" s="591">
        <v>0</v>
      </c>
      <c r="DY137" s="591">
        <v>0</v>
      </c>
      <c r="DZ137" s="591">
        <v>0</v>
      </c>
      <c r="EA137" s="591">
        <v>0</v>
      </c>
      <c r="EB137" s="591">
        <v>0</v>
      </c>
      <c r="EC137" s="591">
        <v>26.905000000000001</v>
      </c>
      <c r="ED137" s="591">
        <v>190567</v>
      </c>
      <c r="EE137" s="591">
        <v>0</v>
      </c>
      <c r="EF137" s="591">
        <v>0</v>
      </c>
      <c r="EG137" s="591">
        <v>0</v>
      </c>
      <c r="EH137" s="591">
        <v>81337</v>
      </c>
      <c r="EI137" s="591">
        <v>0</v>
      </c>
      <c r="EJ137" s="591">
        <v>0</v>
      </c>
      <c r="EK137" s="591">
        <v>3.262</v>
      </c>
      <c r="EL137" s="591">
        <v>0</v>
      </c>
      <c r="EM137" s="591">
        <v>0</v>
      </c>
      <c r="EN137" s="591">
        <v>0.68400000000000005</v>
      </c>
      <c r="EO137" s="591">
        <v>0</v>
      </c>
      <c r="EP137" s="591">
        <v>0</v>
      </c>
      <c r="EQ137" s="591">
        <v>3.9460000000000002</v>
      </c>
      <c r="ER137" s="591">
        <v>0</v>
      </c>
      <c r="ES137" s="591">
        <v>13.206000000000001</v>
      </c>
      <c r="ET137" s="591">
        <v>0</v>
      </c>
      <c r="EU137" s="591">
        <v>0</v>
      </c>
      <c r="EV137" s="591">
        <v>0</v>
      </c>
      <c r="EW137" s="591">
        <v>0</v>
      </c>
      <c r="EX137" s="591">
        <v>0</v>
      </c>
      <c r="EY137" s="591">
        <v>0</v>
      </c>
      <c r="EZ137" s="591">
        <v>4335979</v>
      </c>
      <c r="FA137" s="591">
        <v>0</v>
      </c>
      <c r="FB137" s="591">
        <v>4517416</v>
      </c>
      <c r="FC137" s="591">
        <v>0</v>
      </c>
      <c r="FD137" s="591">
        <v>0</v>
      </c>
      <c r="FE137" s="591">
        <v>468036</v>
      </c>
      <c r="FF137" s="591">
        <v>95467</v>
      </c>
      <c r="FG137" s="591">
        <v>6.4728999999999995E-2</v>
      </c>
      <c r="FH137" s="591">
        <v>2.6405999999999999E-2</v>
      </c>
      <c r="FI137" s="591">
        <v>0</v>
      </c>
      <c r="FJ137" s="591">
        <v>0</v>
      </c>
      <c r="FK137" s="591">
        <v>733.63400000000001</v>
      </c>
      <c r="FL137" s="591">
        <v>5162317</v>
      </c>
      <c r="FM137" s="591">
        <v>0</v>
      </c>
      <c r="FN137" s="591">
        <v>0</v>
      </c>
      <c r="FO137" s="591">
        <v>0</v>
      </c>
      <c r="FP137" s="591">
        <v>0</v>
      </c>
      <c r="FQ137" s="591">
        <v>0</v>
      </c>
      <c r="FR137" s="591">
        <v>0</v>
      </c>
      <c r="FS137" s="591">
        <v>0</v>
      </c>
      <c r="FT137" s="591">
        <v>0</v>
      </c>
      <c r="FU137" s="591">
        <v>0</v>
      </c>
      <c r="FV137" s="591">
        <v>0</v>
      </c>
      <c r="FW137" s="591">
        <v>0</v>
      </c>
      <c r="FX137" s="591">
        <v>0</v>
      </c>
      <c r="FY137" s="591">
        <v>0</v>
      </c>
      <c r="FZ137" s="591">
        <v>0</v>
      </c>
      <c r="GA137" s="591">
        <v>0</v>
      </c>
      <c r="GB137" s="591">
        <v>0</v>
      </c>
      <c r="GC137" s="591">
        <v>0</v>
      </c>
      <c r="GD137" s="591">
        <v>0</v>
      </c>
      <c r="GE137" s="591">
        <v>0</v>
      </c>
      <c r="GF137" s="591">
        <v>0</v>
      </c>
      <c r="GG137" s="591">
        <v>0</v>
      </c>
      <c r="GH137" s="591">
        <v>0</v>
      </c>
      <c r="GI137" s="591">
        <v>0</v>
      </c>
      <c r="GJ137" s="591">
        <v>0</v>
      </c>
      <c r="GK137" s="591">
        <v>0</v>
      </c>
      <c r="GL137" s="591">
        <v>0</v>
      </c>
      <c r="GM137" s="591">
        <v>0</v>
      </c>
      <c r="GN137" s="591">
        <v>0</v>
      </c>
      <c r="GO137" s="591">
        <v>0</v>
      </c>
      <c r="GP137" s="591">
        <v>0</v>
      </c>
      <c r="GQ137" s="591">
        <v>0</v>
      </c>
      <c r="GR137" s="591">
        <v>0</v>
      </c>
      <c r="GS137" s="591">
        <v>0</v>
      </c>
      <c r="GT137" s="591">
        <v>0</v>
      </c>
      <c r="GU137" s="591">
        <v>0</v>
      </c>
      <c r="GV137" s="591">
        <v>0</v>
      </c>
      <c r="GW137" s="591">
        <v>0</v>
      </c>
      <c r="GX137" s="591">
        <v>0</v>
      </c>
      <c r="GY137" s="591">
        <v>0</v>
      </c>
      <c r="GZ137" s="591">
        <v>0</v>
      </c>
      <c r="HA137" s="591">
        <v>0</v>
      </c>
      <c r="HB137" s="591">
        <v>260009272</v>
      </c>
      <c r="HC137" s="591">
        <v>5.1774999999999995E-2</v>
      </c>
      <c r="HD137" s="591">
        <v>81398</v>
      </c>
      <c r="HE137" s="591">
        <v>0</v>
      </c>
      <c r="HF137" s="591">
        <v>489325</v>
      </c>
      <c r="HG137" s="591">
        <v>6415</v>
      </c>
      <c r="HH137" s="591">
        <v>164448</v>
      </c>
      <c r="HI137" s="591">
        <v>0</v>
      </c>
      <c r="HJ137" s="591">
        <v>4366</v>
      </c>
      <c r="HK137" s="591">
        <v>0</v>
      </c>
      <c r="HL137" s="591">
        <v>0</v>
      </c>
      <c r="HM137" s="591">
        <v>0</v>
      </c>
      <c r="HN137" s="591">
        <v>0</v>
      </c>
      <c r="HO137" s="591">
        <v>0</v>
      </c>
      <c r="HP137" s="591">
        <v>0</v>
      </c>
      <c r="HQ137" s="591">
        <v>0</v>
      </c>
      <c r="HR137" s="591">
        <v>0</v>
      </c>
      <c r="HS137" s="591">
        <v>4334881</v>
      </c>
      <c r="HT137" s="591">
        <v>0</v>
      </c>
      <c r="HU137" s="591">
        <v>0</v>
      </c>
      <c r="HV137" s="591">
        <v>0</v>
      </c>
      <c r="HW137" s="591">
        <v>0</v>
      </c>
      <c r="HX137" s="591">
        <v>56</v>
      </c>
      <c r="HY137" s="591">
        <v>14</v>
      </c>
      <c r="HZ137" s="591">
        <v>92</v>
      </c>
      <c r="IA137" s="591">
        <v>115</v>
      </c>
      <c r="IB137" s="591">
        <v>152</v>
      </c>
      <c r="IC137" s="591">
        <v>429</v>
      </c>
      <c r="ID137" s="591">
        <v>0</v>
      </c>
      <c r="IE137" s="591">
        <v>0</v>
      </c>
      <c r="IF137" s="591">
        <v>0</v>
      </c>
      <c r="IG137" s="591">
        <v>10.416</v>
      </c>
      <c r="IH137" s="591">
        <v>267</v>
      </c>
      <c r="II137" s="591">
        <v>0</v>
      </c>
      <c r="IJ137" s="591">
        <v>254.30700000000002</v>
      </c>
      <c r="IK137" s="591">
        <v>0</v>
      </c>
      <c r="IL137" s="591">
        <v>0</v>
      </c>
      <c r="IM137" s="591">
        <v>0</v>
      </c>
      <c r="IN137" s="591">
        <v>0</v>
      </c>
      <c r="IO137" s="591">
        <v>0</v>
      </c>
      <c r="IP137" s="591">
        <v>0</v>
      </c>
      <c r="IQ137" s="591">
        <v>254.30700000000002</v>
      </c>
      <c r="IR137" s="591">
        <v>156630</v>
      </c>
      <c r="IS137" s="591">
        <v>0</v>
      </c>
      <c r="IT137" s="591">
        <v>0</v>
      </c>
      <c r="IU137" s="591">
        <v>0</v>
      </c>
      <c r="IV137" s="591">
        <v>0</v>
      </c>
      <c r="IW137" s="591">
        <v>6159</v>
      </c>
      <c r="IX137" s="591">
        <v>0</v>
      </c>
      <c r="IY137" s="591">
        <v>0</v>
      </c>
      <c r="IZ137" s="591">
        <v>0</v>
      </c>
      <c r="JA137" s="591">
        <v>0</v>
      </c>
      <c r="JB137" s="591">
        <v>0</v>
      </c>
      <c r="JC137" s="591">
        <v>0</v>
      </c>
      <c r="JD137" s="591">
        <v>0</v>
      </c>
      <c r="JE137" s="591">
        <v>0</v>
      </c>
      <c r="JF137" s="591">
        <v>0</v>
      </c>
      <c r="JG137" s="591">
        <v>0</v>
      </c>
      <c r="JH137" s="591">
        <v>0</v>
      </c>
      <c r="JI137" s="591">
        <v>0</v>
      </c>
      <c r="JJ137" s="591">
        <v>0</v>
      </c>
      <c r="JK137" s="591">
        <v>0</v>
      </c>
      <c r="JL137" s="591">
        <v>0</v>
      </c>
      <c r="JM137" s="591">
        <v>0</v>
      </c>
      <c r="JN137" s="591">
        <v>32469</v>
      </c>
    </row>
    <row r="138" spans="1:274" x14ac:dyDescent="0.25">
      <c r="A138" s="591">
        <v>32570</v>
      </c>
      <c r="B138" s="591">
        <v>123807</v>
      </c>
      <c r="C138" s="591">
        <v>9</v>
      </c>
      <c r="D138" s="591">
        <v>2022</v>
      </c>
      <c r="E138" s="591">
        <v>6159</v>
      </c>
      <c r="F138" s="591">
        <v>0</v>
      </c>
      <c r="G138" s="591">
        <v>1962.7250000000001</v>
      </c>
      <c r="H138" s="591">
        <v>1761.941</v>
      </c>
      <c r="I138" s="591">
        <v>1761.941</v>
      </c>
      <c r="J138" s="591">
        <v>1962.7250000000001</v>
      </c>
      <c r="K138" s="591">
        <v>0</v>
      </c>
      <c r="L138" s="591">
        <v>6159</v>
      </c>
      <c r="M138" s="591">
        <v>0</v>
      </c>
      <c r="N138" s="591">
        <v>0</v>
      </c>
      <c r="O138" s="591">
        <v>0</v>
      </c>
      <c r="P138" s="591">
        <v>1998.9340000000002</v>
      </c>
      <c r="Q138" s="591">
        <v>0</v>
      </c>
      <c r="R138" s="591">
        <v>804427</v>
      </c>
      <c r="S138" s="591">
        <v>402.428</v>
      </c>
      <c r="T138" s="591">
        <v>0</v>
      </c>
      <c r="U138" s="591">
        <v>0</v>
      </c>
      <c r="V138" s="591">
        <v>689.01</v>
      </c>
      <c r="W138" s="591">
        <v>424367</v>
      </c>
      <c r="X138" s="591">
        <v>424367</v>
      </c>
      <c r="Y138" s="591">
        <v>0</v>
      </c>
      <c r="Z138" s="591">
        <v>0</v>
      </c>
      <c r="AA138" s="591">
        <v>0</v>
      </c>
      <c r="AB138" s="591">
        <v>0</v>
      </c>
      <c r="AC138" s="591">
        <v>0</v>
      </c>
      <c r="AD138" s="591" t="s">
        <v>316</v>
      </c>
      <c r="AE138" s="591">
        <v>0</v>
      </c>
      <c r="AF138" s="591">
        <v>0</v>
      </c>
      <c r="AG138" s="591">
        <v>0</v>
      </c>
      <c r="AH138" s="591">
        <v>0</v>
      </c>
      <c r="AI138" s="591">
        <v>0</v>
      </c>
      <c r="AJ138" s="591">
        <v>6159</v>
      </c>
      <c r="AK138" s="591" t="s">
        <v>671</v>
      </c>
      <c r="AL138" s="591" t="s">
        <v>357</v>
      </c>
      <c r="AM138" s="591">
        <v>0</v>
      </c>
      <c r="AN138" s="591">
        <v>0</v>
      </c>
      <c r="AO138" s="591">
        <v>0</v>
      </c>
      <c r="AP138" s="591">
        <v>0</v>
      </c>
      <c r="AQ138" s="591">
        <v>0</v>
      </c>
      <c r="AR138" s="591">
        <v>0</v>
      </c>
      <c r="AS138" s="591">
        <v>0</v>
      </c>
      <c r="AT138" s="591">
        <v>0</v>
      </c>
      <c r="AU138" s="591">
        <v>0</v>
      </c>
      <c r="AV138" s="591">
        <v>0</v>
      </c>
      <c r="AW138" s="591">
        <v>20714772</v>
      </c>
      <c r="AX138" s="591">
        <v>20361964</v>
      </c>
      <c r="AY138" s="591">
        <v>0</v>
      </c>
      <c r="AZ138" s="591">
        <v>804427</v>
      </c>
      <c r="BA138" s="591">
        <v>0</v>
      </c>
      <c r="BB138" s="591">
        <v>0</v>
      </c>
      <c r="BC138" s="591">
        <v>0</v>
      </c>
      <c r="BD138" s="591">
        <v>0</v>
      </c>
      <c r="BE138" s="591">
        <v>271</v>
      </c>
      <c r="BF138" s="591">
        <v>18786838</v>
      </c>
      <c r="BG138" s="591">
        <v>0</v>
      </c>
      <c r="BH138" s="591">
        <v>0</v>
      </c>
      <c r="BI138" s="591">
        <v>0</v>
      </c>
      <c r="BJ138" s="591">
        <v>12</v>
      </c>
      <c r="BK138" s="591">
        <v>0</v>
      </c>
      <c r="BL138" s="591">
        <v>0</v>
      </c>
      <c r="BM138" s="591">
        <v>0</v>
      </c>
      <c r="BN138" s="591">
        <v>0</v>
      </c>
      <c r="BO138" s="591">
        <v>0</v>
      </c>
      <c r="BP138" s="591">
        <v>0</v>
      </c>
      <c r="BQ138" s="591">
        <v>499</v>
      </c>
      <c r="BR138" s="591">
        <v>0</v>
      </c>
      <c r="BS138" s="591">
        <v>0</v>
      </c>
      <c r="BT138" s="591">
        <v>0</v>
      </c>
      <c r="BU138" s="591">
        <v>0</v>
      </c>
      <c r="BV138" s="591">
        <v>0</v>
      </c>
      <c r="BW138" s="591">
        <v>0</v>
      </c>
      <c r="BX138" s="591">
        <v>0</v>
      </c>
      <c r="BY138" s="591">
        <v>0</v>
      </c>
      <c r="BZ138" s="591">
        <v>0</v>
      </c>
      <c r="CA138" s="591">
        <v>0</v>
      </c>
      <c r="CB138" s="591">
        <v>0</v>
      </c>
      <c r="CC138" s="591">
        <v>0</v>
      </c>
      <c r="CD138" s="591">
        <v>0</v>
      </c>
      <c r="CE138" s="591">
        <v>0</v>
      </c>
      <c r="CF138" s="591">
        <v>0</v>
      </c>
      <c r="CG138" s="591">
        <v>0</v>
      </c>
      <c r="CH138" s="591">
        <v>355667</v>
      </c>
      <c r="CI138" s="591">
        <v>0</v>
      </c>
      <c r="CJ138" s="591">
        <v>4</v>
      </c>
      <c r="CK138" s="591">
        <v>0</v>
      </c>
      <c r="CL138" s="591">
        <v>0</v>
      </c>
      <c r="CM138" s="591">
        <v>0</v>
      </c>
      <c r="CN138" s="591">
        <v>0</v>
      </c>
      <c r="CO138" s="591">
        <v>1</v>
      </c>
      <c r="CP138" s="591">
        <v>0</v>
      </c>
      <c r="CQ138" s="591">
        <v>0</v>
      </c>
      <c r="CR138" s="591">
        <v>1962.7250000000001</v>
      </c>
      <c r="CS138" s="591">
        <v>0</v>
      </c>
      <c r="CT138" s="591">
        <v>0</v>
      </c>
      <c r="CU138" s="591">
        <v>0</v>
      </c>
      <c r="CV138" s="591">
        <v>0</v>
      </c>
      <c r="CW138" s="591">
        <v>0</v>
      </c>
      <c r="CX138" s="591">
        <v>0</v>
      </c>
      <c r="CY138" s="591">
        <v>0</v>
      </c>
      <c r="CZ138" s="591">
        <v>0</v>
      </c>
      <c r="DA138" s="591">
        <v>0</v>
      </c>
      <c r="DB138" s="591">
        <v>10851940</v>
      </c>
      <c r="DC138" s="591">
        <v>0</v>
      </c>
      <c r="DD138" s="591">
        <v>0</v>
      </c>
      <c r="DE138" s="591">
        <v>3180858</v>
      </c>
      <c r="DF138" s="591">
        <v>3180858</v>
      </c>
      <c r="DG138" s="591">
        <v>516.45000000000005</v>
      </c>
      <c r="DH138" s="591">
        <v>0</v>
      </c>
      <c r="DI138" s="591">
        <v>0</v>
      </c>
      <c r="DJ138" s="591">
        <v>0</v>
      </c>
      <c r="DK138" s="591">
        <v>0</v>
      </c>
      <c r="DL138" s="591">
        <v>0</v>
      </c>
      <c r="DM138" s="591">
        <v>678402</v>
      </c>
      <c r="DN138" s="591">
        <v>2588</v>
      </c>
      <c r="DO138" s="591">
        <v>0</v>
      </c>
      <c r="DP138" s="591">
        <v>0</v>
      </c>
      <c r="DQ138" s="591">
        <v>0</v>
      </c>
      <c r="DR138" s="591">
        <v>0</v>
      </c>
      <c r="DS138" s="591">
        <v>0</v>
      </c>
      <c r="DT138" s="591">
        <v>0</v>
      </c>
      <c r="DU138" s="591">
        <v>0</v>
      </c>
      <c r="DV138" s="591">
        <v>0</v>
      </c>
      <c r="DW138" s="591">
        <v>0</v>
      </c>
      <c r="DX138" s="591">
        <v>0</v>
      </c>
      <c r="DY138" s="591">
        <v>0</v>
      </c>
      <c r="DZ138" s="591">
        <v>0</v>
      </c>
      <c r="EA138" s="591">
        <v>0</v>
      </c>
      <c r="EB138" s="591">
        <v>0</v>
      </c>
      <c r="EC138" s="591">
        <v>6.585</v>
      </c>
      <c r="ED138" s="591">
        <v>46641</v>
      </c>
      <c r="EE138" s="591">
        <v>0</v>
      </c>
      <c r="EF138" s="591">
        <v>0</v>
      </c>
      <c r="EG138" s="591">
        <v>0</v>
      </c>
      <c r="EH138" s="591">
        <v>634349</v>
      </c>
      <c r="EI138" s="591">
        <v>0</v>
      </c>
      <c r="EJ138" s="591">
        <v>0</v>
      </c>
      <c r="EK138" s="591">
        <v>23.923999999999999</v>
      </c>
      <c r="EL138" s="591">
        <v>0</v>
      </c>
      <c r="EM138" s="591">
        <v>7.5440000000000005</v>
      </c>
      <c r="EN138" s="591">
        <v>1.718</v>
      </c>
      <c r="EO138" s="591">
        <v>0</v>
      </c>
      <c r="EP138" s="591">
        <v>0</v>
      </c>
      <c r="EQ138" s="591">
        <v>33.186</v>
      </c>
      <c r="ER138" s="591">
        <v>0</v>
      </c>
      <c r="ES138" s="591">
        <v>102.994</v>
      </c>
      <c r="ET138" s="591">
        <v>0</v>
      </c>
      <c r="EU138" s="591">
        <v>0</v>
      </c>
      <c r="EV138" s="591">
        <v>0</v>
      </c>
      <c r="EW138" s="591">
        <v>0</v>
      </c>
      <c r="EX138" s="591">
        <v>0</v>
      </c>
      <c r="EY138" s="591">
        <v>0</v>
      </c>
      <c r="EZ138" s="591">
        <v>18019062</v>
      </c>
      <c r="FA138" s="591">
        <v>0</v>
      </c>
      <c r="FB138" s="591">
        <v>18820630</v>
      </c>
      <c r="FC138" s="591">
        <v>0</v>
      </c>
      <c r="FD138" s="591">
        <v>0</v>
      </c>
      <c r="FE138" s="591">
        <v>1945975</v>
      </c>
      <c r="FF138" s="591">
        <v>396927</v>
      </c>
      <c r="FG138" s="591">
        <v>6.4728999999999995E-2</v>
      </c>
      <c r="FH138" s="591">
        <v>2.6405999999999999E-2</v>
      </c>
      <c r="FI138" s="591">
        <v>0</v>
      </c>
      <c r="FJ138" s="591">
        <v>0</v>
      </c>
      <c r="FK138" s="591">
        <v>3050.2660000000001</v>
      </c>
      <c r="FL138" s="591">
        <v>21519199</v>
      </c>
      <c r="FM138" s="591">
        <v>0</v>
      </c>
      <c r="FN138" s="591">
        <v>0</v>
      </c>
      <c r="FO138" s="591">
        <v>17850</v>
      </c>
      <c r="FP138" s="591">
        <v>7749</v>
      </c>
      <c r="FQ138" s="591">
        <v>27421</v>
      </c>
      <c r="FR138" s="591">
        <v>17850</v>
      </c>
      <c r="FS138" s="591">
        <v>1822</v>
      </c>
      <c r="FT138" s="591">
        <v>0</v>
      </c>
      <c r="FU138" s="591">
        <v>0</v>
      </c>
      <c r="FV138" s="591">
        <v>0</v>
      </c>
      <c r="FW138" s="591">
        <v>0</v>
      </c>
      <c r="FX138" s="591">
        <v>0</v>
      </c>
      <c r="FY138" s="591">
        <v>0</v>
      </c>
      <c r="FZ138" s="591">
        <v>0</v>
      </c>
      <c r="GA138" s="591">
        <v>0</v>
      </c>
      <c r="GB138" s="591">
        <v>1393537</v>
      </c>
      <c r="GC138" s="591">
        <v>1393537</v>
      </c>
      <c r="GD138" s="591">
        <v>167.59800000000001</v>
      </c>
      <c r="GE138" s="591">
        <v>0</v>
      </c>
      <c r="GF138" s="591">
        <v>0</v>
      </c>
      <c r="GG138" s="591">
        <v>0</v>
      </c>
      <c r="GH138" s="591">
        <v>0</v>
      </c>
      <c r="GI138" s="591">
        <v>0</v>
      </c>
      <c r="GJ138" s="591">
        <v>0</v>
      </c>
      <c r="GK138" s="591">
        <v>0</v>
      </c>
      <c r="GL138" s="591">
        <v>0</v>
      </c>
      <c r="GM138" s="591">
        <v>0</v>
      </c>
      <c r="GN138" s="591">
        <v>0</v>
      </c>
      <c r="GO138" s="591">
        <v>0</v>
      </c>
      <c r="GP138" s="591">
        <v>0</v>
      </c>
      <c r="GQ138" s="591">
        <v>0</v>
      </c>
      <c r="GR138" s="591">
        <v>0</v>
      </c>
      <c r="GS138" s="591">
        <v>0</v>
      </c>
      <c r="GT138" s="591">
        <v>0</v>
      </c>
      <c r="GU138" s="591">
        <v>0</v>
      </c>
      <c r="GV138" s="591">
        <v>0</v>
      </c>
      <c r="GW138" s="591">
        <v>0</v>
      </c>
      <c r="GX138" s="591">
        <v>0</v>
      </c>
      <c r="GY138" s="591">
        <v>0</v>
      </c>
      <c r="GZ138" s="591">
        <v>0</v>
      </c>
      <c r="HA138" s="591">
        <v>0</v>
      </c>
      <c r="HB138" s="591">
        <v>260009272</v>
      </c>
      <c r="HC138" s="591">
        <v>5.1774999999999995E-2</v>
      </c>
      <c r="HD138" s="591">
        <v>355667</v>
      </c>
      <c r="HE138" s="591">
        <v>0</v>
      </c>
      <c r="HF138" s="591">
        <v>1936373</v>
      </c>
      <c r="HG138" s="591">
        <v>14782</v>
      </c>
      <c r="HH138" s="591">
        <v>259913</v>
      </c>
      <c r="HI138" s="591">
        <v>0</v>
      </c>
      <c r="HJ138" s="591">
        <v>19078</v>
      </c>
      <c r="HK138" s="591">
        <v>4200</v>
      </c>
      <c r="HL138" s="591">
        <v>5030</v>
      </c>
      <c r="HM138" s="591">
        <v>25000</v>
      </c>
      <c r="HN138" s="591">
        <v>0</v>
      </c>
      <c r="HO138" s="591">
        <v>0</v>
      </c>
      <c r="HP138" s="591">
        <v>0</v>
      </c>
      <c r="HQ138" s="591">
        <v>0</v>
      </c>
      <c r="HR138" s="591">
        <v>0</v>
      </c>
      <c r="HS138" s="591">
        <v>18016203</v>
      </c>
      <c r="HT138" s="591">
        <v>0</v>
      </c>
      <c r="HU138" s="591">
        <v>0</v>
      </c>
      <c r="HV138" s="591">
        <v>0</v>
      </c>
      <c r="HW138" s="591">
        <v>0</v>
      </c>
      <c r="HX138" s="591">
        <v>131</v>
      </c>
      <c r="HY138" s="591">
        <v>212</v>
      </c>
      <c r="HZ138" s="591">
        <v>647</v>
      </c>
      <c r="IA138" s="591">
        <v>692</v>
      </c>
      <c r="IB138" s="591">
        <v>339</v>
      </c>
      <c r="IC138" s="591">
        <v>2021</v>
      </c>
      <c r="ID138" s="591">
        <v>0</v>
      </c>
      <c r="IE138" s="591">
        <v>0</v>
      </c>
      <c r="IF138" s="591">
        <v>0</v>
      </c>
      <c r="IG138" s="591">
        <v>24</v>
      </c>
      <c r="IH138" s="591">
        <v>422</v>
      </c>
      <c r="II138" s="591">
        <v>0</v>
      </c>
      <c r="IJ138" s="591">
        <v>689.01</v>
      </c>
      <c r="IK138" s="591">
        <v>0</v>
      </c>
      <c r="IL138" s="591">
        <v>5</v>
      </c>
      <c r="IM138" s="591">
        <v>0</v>
      </c>
      <c r="IN138" s="591">
        <v>0</v>
      </c>
      <c r="IO138" s="591">
        <v>5</v>
      </c>
      <c r="IP138" s="591">
        <v>0</v>
      </c>
      <c r="IQ138" s="591">
        <v>689.01</v>
      </c>
      <c r="IR138" s="591">
        <v>424367</v>
      </c>
      <c r="IS138" s="591">
        <v>0</v>
      </c>
      <c r="IT138" s="591">
        <v>25000</v>
      </c>
      <c r="IU138" s="591">
        <v>0</v>
      </c>
      <c r="IV138" s="591">
        <v>0</v>
      </c>
      <c r="IW138" s="591">
        <v>6159</v>
      </c>
      <c r="IX138" s="591">
        <v>0</v>
      </c>
      <c r="IY138" s="591">
        <v>0</v>
      </c>
      <c r="IZ138" s="591">
        <v>0</v>
      </c>
      <c r="JA138" s="591">
        <v>0</v>
      </c>
      <c r="JB138" s="591">
        <v>0</v>
      </c>
      <c r="JC138" s="591">
        <v>0</v>
      </c>
      <c r="JD138" s="591">
        <v>0</v>
      </c>
      <c r="JE138" s="591">
        <v>0</v>
      </c>
      <c r="JF138" s="591">
        <v>0</v>
      </c>
      <c r="JG138" s="591">
        <v>0</v>
      </c>
      <c r="JH138" s="591">
        <v>0</v>
      </c>
      <c r="JI138" s="591">
        <v>0</v>
      </c>
      <c r="JJ138" s="591">
        <v>0</v>
      </c>
      <c r="JK138" s="591">
        <v>0</v>
      </c>
      <c r="JL138" s="591">
        <v>0</v>
      </c>
      <c r="JM138" s="591">
        <v>0</v>
      </c>
      <c r="JN138" s="591">
        <v>32469</v>
      </c>
    </row>
    <row r="139" spans="1:274" x14ac:dyDescent="0.25">
      <c r="A139" s="591">
        <v>32570</v>
      </c>
      <c r="B139" s="591">
        <v>130801</v>
      </c>
      <c r="C139" s="591">
        <v>9</v>
      </c>
      <c r="D139" s="591">
        <v>2022</v>
      </c>
      <c r="E139" s="591">
        <v>6159</v>
      </c>
      <c r="F139" s="591">
        <v>0</v>
      </c>
      <c r="G139" s="591">
        <v>77.984999999999999</v>
      </c>
      <c r="H139" s="591">
        <v>51.916000000000004</v>
      </c>
      <c r="I139" s="591">
        <v>51.916000000000004</v>
      </c>
      <c r="J139" s="591">
        <v>77.984999999999999</v>
      </c>
      <c r="K139" s="591">
        <v>0</v>
      </c>
      <c r="L139" s="591">
        <v>6159</v>
      </c>
      <c r="M139" s="591">
        <v>0</v>
      </c>
      <c r="N139" s="591">
        <v>0</v>
      </c>
      <c r="O139" s="591">
        <v>0</v>
      </c>
      <c r="P139" s="591">
        <v>78.606000000000009</v>
      </c>
      <c r="Q139" s="591">
        <v>0</v>
      </c>
      <c r="R139" s="591">
        <v>31633</v>
      </c>
      <c r="S139" s="591">
        <v>402.428</v>
      </c>
      <c r="T139" s="591">
        <v>0</v>
      </c>
      <c r="U139" s="591">
        <v>0</v>
      </c>
      <c r="V139" s="591">
        <v>0</v>
      </c>
      <c r="W139" s="591">
        <v>0</v>
      </c>
      <c r="X139" s="591">
        <v>0</v>
      </c>
      <c r="Y139" s="591">
        <v>0</v>
      </c>
      <c r="Z139" s="591">
        <v>0</v>
      </c>
      <c r="AA139" s="591">
        <v>0</v>
      </c>
      <c r="AB139" s="591">
        <v>0</v>
      </c>
      <c r="AC139" s="591">
        <v>0</v>
      </c>
      <c r="AD139" s="591" t="s">
        <v>316</v>
      </c>
      <c r="AE139" s="591">
        <v>0</v>
      </c>
      <c r="AF139" s="591">
        <v>0</v>
      </c>
      <c r="AG139" s="591">
        <v>0</v>
      </c>
      <c r="AH139" s="591">
        <v>0</v>
      </c>
      <c r="AI139" s="591">
        <v>0</v>
      </c>
      <c r="AJ139" s="591">
        <v>6159</v>
      </c>
      <c r="AK139" s="591" t="s">
        <v>671</v>
      </c>
      <c r="AL139" s="591" t="s">
        <v>447</v>
      </c>
      <c r="AM139" s="591">
        <v>0</v>
      </c>
      <c r="AN139" s="591">
        <v>0</v>
      </c>
      <c r="AO139" s="591">
        <v>0</v>
      </c>
      <c r="AP139" s="591">
        <v>0</v>
      </c>
      <c r="AQ139" s="591">
        <v>0</v>
      </c>
      <c r="AR139" s="591">
        <v>0</v>
      </c>
      <c r="AS139" s="591">
        <v>0</v>
      </c>
      <c r="AT139" s="591">
        <v>0</v>
      </c>
      <c r="AU139" s="591">
        <v>0</v>
      </c>
      <c r="AV139" s="591">
        <v>0</v>
      </c>
      <c r="AW139" s="591">
        <v>1296036</v>
      </c>
      <c r="AX139" s="591">
        <v>1284213</v>
      </c>
      <c r="AY139" s="591">
        <v>0</v>
      </c>
      <c r="AZ139" s="591">
        <v>31633</v>
      </c>
      <c r="BA139" s="591">
        <v>0</v>
      </c>
      <c r="BB139" s="591">
        <v>0</v>
      </c>
      <c r="BC139" s="591">
        <v>0</v>
      </c>
      <c r="BD139" s="591">
        <v>0</v>
      </c>
      <c r="BE139" s="591">
        <v>17</v>
      </c>
      <c r="BF139" s="591">
        <v>1148818</v>
      </c>
      <c r="BG139" s="591">
        <v>0</v>
      </c>
      <c r="BH139" s="591">
        <v>0</v>
      </c>
      <c r="BI139" s="591">
        <v>0</v>
      </c>
      <c r="BJ139" s="591">
        <v>12</v>
      </c>
      <c r="BK139" s="591">
        <v>0</v>
      </c>
      <c r="BL139" s="591">
        <v>0</v>
      </c>
      <c r="BM139" s="591">
        <v>0</v>
      </c>
      <c r="BN139" s="591">
        <v>0</v>
      </c>
      <c r="BO139" s="591">
        <v>0</v>
      </c>
      <c r="BP139" s="591">
        <v>0</v>
      </c>
      <c r="BQ139" s="591">
        <v>762</v>
      </c>
      <c r="BR139" s="591">
        <v>0</v>
      </c>
      <c r="BS139" s="591">
        <v>0</v>
      </c>
      <c r="BT139" s="591">
        <v>0</v>
      </c>
      <c r="BU139" s="591">
        <v>0</v>
      </c>
      <c r="BV139" s="591">
        <v>0</v>
      </c>
      <c r="BW139" s="591">
        <v>0</v>
      </c>
      <c r="BX139" s="591">
        <v>0</v>
      </c>
      <c r="BY139" s="591">
        <v>0</v>
      </c>
      <c r="BZ139" s="591">
        <v>0</v>
      </c>
      <c r="CA139" s="591">
        <v>0</v>
      </c>
      <c r="CB139" s="591">
        <v>0</v>
      </c>
      <c r="CC139" s="591">
        <v>0</v>
      </c>
      <c r="CD139" s="591">
        <v>0</v>
      </c>
      <c r="CE139" s="591">
        <v>0</v>
      </c>
      <c r="CF139" s="591">
        <v>0</v>
      </c>
      <c r="CG139" s="591">
        <v>0</v>
      </c>
      <c r="CH139" s="591">
        <v>14132</v>
      </c>
      <c r="CI139" s="591">
        <v>0</v>
      </c>
      <c r="CJ139" s="591">
        <v>4</v>
      </c>
      <c r="CK139" s="591">
        <v>0</v>
      </c>
      <c r="CL139" s="591">
        <v>0</v>
      </c>
      <c r="CM139" s="591">
        <v>0</v>
      </c>
      <c r="CN139" s="591">
        <v>0</v>
      </c>
      <c r="CO139" s="591">
        <v>1</v>
      </c>
      <c r="CP139" s="591">
        <v>0</v>
      </c>
      <c r="CQ139" s="591">
        <v>0</v>
      </c>
      <c r="CR139" s="591">
        <v>77.984999999999999</v>
      </c>
      <c r="CS139" s="591">
        <v>0</v>
      </c>
      <c r="CT139" s="591">
        <v>0</v>
      </c>
      <c r="CU139" s="591">
        <v>0</v>
      </c>
      <c r="CV139" s="591">
        <v>0</v>
      </c>
      <c r="CW139" s="591">
        <v>0</v>
      </c>
      <c r="CX139" s="591">
        <v>0</v>
      </c>
      <c r="CY139" s="591">
        <v>0</v>
      </c>
      <c r="CZ139" s="591">
        <v>0</v>
      </c>
      <c r="DA139" s="591">
        <v>0</v>
      </c>
      <c r="DB139" s="591">
        <v>174531</v>
      </c>
      <c r="DC139" s="591">
        <v>0</v>
      </c>
      <c r="DD139" s="591">
        <v>0</v>
      </c>
      <c r="DE139" s="591">
        <v>140966</v>
      </c>
      <c r="DF139" s="591">
        <v>140966</v>
      </c>
      <c r="DG139" s="591">
        <v>22.888000000000002</v>
      </c>
      <c r="DH139" s="591">
        <v>0</v>
      </c>
      <c r="DI139" s="591">
        <v>0</v>
      </c>
      <c r="DJ139" s="591">
        <v>0</v>
      </c>
      <c r="DK139" s="591">
        <v>3814</v>
      </c>
      <c r="DL139" s="591">
        <v>0</v>
      </c>
      <c r="DM139" s="591">
        <v>746150</v>
      </c>
      <c r="DN139" s="591">
        <v>2293</v>
      </c>
      <c r="DO139" s="591">
        <v>0</v>
      </c>
      <c r="DP139" s="591">
        <v>0</v>
      </c>
      <c r="DQ139" s="591">
        <v>0</v>
      </c>
      <c r="DR139" s="591">
        <v>0</v>
      </c>
      <c r="DS139" s="591">
        <v>0</v>
      </c>
      <c r="DT139" s="591">
        <v>0</v>
      </c>
      <c r="DU139" s="591">
        <v>0</v>
      </c>
      <c r="DV139" s="591">
        <v>0</v>
      </c>
      <c r="DW139" s="591">
        <v>0</v>
      </c>
      <c r="DX139" s="591">
        <v>0</v>
      </c>
      <c r="DY139" s="591">
        <v>0</v>
      </c>
      <c r="DZ139" s="591">
        <v>0</v>
      </c>
      <c r="EA139" s="591">
        <v>0</v>
      </c>
      <c r="EB139" s="591">
        <v>6.5000000000000002E-2</v>
      </c>
      <c r="EC139" s="591">
        <v>1.9520000000000002</v>
      </c>
      <c r="ED139" s="591">
        <v>13826</v>
      </c>
      <c r="EE139" s="591">
        <v>0</v>
      </c>
      <c r="EF139" s="591">
        <v>0</v>
      </c>
      <c r="EG139" s="591">
        <v>0</v>
      </c>
      <c r="EH139" s="591">
        <v>27020</v>
      </c>
      <c r="EI139" s="591">
        <v>562373</v>
      </c>
      <c r="EJ139" s="591">
        <v>22.827000000000002</v>
      </c>
      <c r="EK139" s="591">
        <v>0.49100000000000005</v>
      </c>
      <c r="EL139" s="591">
        <v>0</v>
      </c>
      <c r="EM139" s="591">
        <v>0.71300000000000008</v>
      </c>
      <c r="EN139" s="591">
        <v>0.11600000000000001</v>
      </c>
      <c r="EO139" s="591">
        <v>0</v>
      </c>
      <c r="EP139" s="591">
        <v>0</v>
      </c>
      <c r="EQ139" s="591">
        <v>24.212</v>
      </c>
      <c r="ER139" s="591">
        <v>0</v>
      </c>
      <c r="ES139" s="591">
        <v>4.3870000000000005</v>
      </c>
      <c r="ET139" s="591">
        <v>0</v>
      </c>
      <c r="EU139" s="591">
        <v>0</v>
      </c>
      <c r="EV139" s="591">
        <v>0</v>
      </c>
      <c r="EW139" s="591">
        <v>0</v>
      </c>
      <c r="EX139" s="591">
        <v>0</v>
      </c>
      <c r="EY139" s="591">
        <v>0</v>
      </c>
      <c r="EZ139" s="591">
        <v>1140944</v>
      </c>
      <c r="FA139" s="591">
        <v>0</v>
      </c>
      <c r="FB139" s="591">
        <v>1170268</v>
      </c>
      <c r="FC139" s="591">
        <v>0</v>
      </c>
      <c r="FD139" s="591">
        <v>0</v>
      </c>
      <c r="FE139" s="591">
        <v>118997</v>
      </c>
      <c r="FF139" s="591">
        <v>24272</v>
      </c>
      <c r="FG139" s="591">
        <v>6.4728999999999995E-2</v>
      </c>
      <c r="FH139" s="591">
        <v>2.6405999999999999E-2</v>
      </c>
      <c r="FI139" s="591">
        <v>0</v>
      </c>
      <c r="FJ139" s="591">
        <v>0</v>
      </c>
      <c r="FK139" s="591">
        <v>186.524</v>
      </c>
      <c r="FL139" s="591">
        <v>1327669</v>
      </c>
      <c r="FM139" s="591">
        <v>0</v>
      </c>
      <c r="FN139" s="591">
        <v>0</v>
      </c>
      <c r="FO139" s="591">
        <v>0</v>
      </c>
      <c r="FP139" s="591">
        <v>0</v>
      </c>
      <c r="FQ139" s="591">
        <v>0</v>
      </c>
      <c r="FR139" s="591">
        <v>0</v>
      </c>
      <c r="FS139" s="591">
        <v>0</v>
      </c>
      <c r="FT139" s="591">
        <v>0</v>
      </c>
      <c r="FU139" s="591">
        <v>0</v>
      </c>
      <c r="FV139" s="591">
        <v>0</v>
      </c>
      <c r="FW139" s="591">
        <v>0</v>
      </c>
      <c r="FX139" s="591">
        <v>0</v>
      </c>
      <c r="FY139" s="591">
        <v>0</v>
      </c>
      <c r="FZ139" s="591">
        <v>0</v>
      </c>
      <c r="GA139" s="591">
        <v>0</v>
      </c>
      <c r="GB139" s="591">
        <v>15441</v>
      </c>
      <c r="GC139" s="591">
        <v>15441</v>
      </c>
      <c r="GD139" s="591">
        <v>1.857</v>
      </c>
      <c r="GE139" s="591">
        <v>0</v>
      </c>
      <c r="GF139" s="591">
        <v>0</v>
      </c>
      <c r="GG139" s="591">
        <v>0</v>
      </c>
      <c r="GH139" s="591">
        <v>0</v>
      </c>
      <c r="GI139" s="591">
        <v>0</v>
      </c>
      <c r="GJ139" s="591">
        <v>0</v>
      </c>
      <c r="GK139" s="591">
        <v>0</v>
      </c>
      <c r="GL139" s="591">
        <v>0</v>
      </c>
      <c r="GM139" s="591">
        <v>0</v>
      </c>
      <c r="GN139" s="591">
        <v>0</v>
      </c>
      <c r="GO139" s="591">
        <v>0</v>
      </c>
      <c r="GP139" s="591">
        <v>0</v>
      </c>
      <c r="GQ139" s="591">
        <v>0</v>
      </c>
      <c r="GR139" s="591">
        <v>0</v>
      </c>
      <c r="GS139" s="591">
        <v>0</v>
      </c>
      <c r="GT139" s="591">
        <v>0</v>
      </c>
      <c r="GU139" s="591">
        <v>0</v>
      </c>
      <c r="GV139" s="591">
        <v>0</v>
      </c>
      <c r="GW139" s="591">
        <v>0</v>
      </c>
      <c r="GX139" s="591">
        <v>0</v>
      </c>
      <c r="GY139" s="591">
        <v>0</v>
      </c>
      <c r="GZ139" s="591">
        <v>0</v>
      </c>
      <c r="HA139" s="591">
        <v>0</v>
      </c>
      <c r="HB139" s="591">
        <v>260009272</v>
      </c>
      <c r="HC139" s="591">
        <v>5.1774999999999995E-2</v>
      </c>
      <c r="HD139" s="591">
        <v>14132</v>
      </c>
      <c r="HE139" s="591">
        <v>0</v>
      </c>
      <c r="HF139" s="591">
        <v>57056</v>
      </c>
      <c r="HG139" s="591">
        <v>0</v>
      </c>
      <c r="HH139" s="591">
        <v>8623</v>
      </c>
      <c r="HI139" s="591">
        <v>0</v>
      </c>
      <c r="HJ139" s="591">
        <v>758</v>
      </c>
      <c r="HK139" s="591">
        <v>543</v>
      </c>
      <c r="HL139" s="591">
        <v>282</v>
      </c>
      <c r="HM139" s="591">
        <v>3000</v>
      </c>
      <c r="HN139" s="591">
        <v>0</v>
      </c>
      <c r="HO139" s="591">
        <v>0</v>
      </c>
      <c r="HP139" s="591">
        <v>0</v>
      </c>
      <c r="HQ139" s="591">
        <v>0</v>
      </c>
      <c r="HR139" s="591">
        <v>0</v>
      </c>
      <c r="HS139" s="591">
        <v>1138635</v>
      </c>
      <c r="HT139" s="591">
        <v>0</v>
      </c>
      <c r="HU139" s="591">
        <v>0</v>
      </c>
      <c r="HV139" s="591">
        <v>0</v>
      </c>
      <c r="HW139" s="591">
        <v>0</v>
      </c>
      <c r="HX139" s="591">
        <v>7</v>
      </c>
      <c r="HY139" s="591">
        <v>1</v>
      </c>
      <c r="HZ139" s="591">
        <v>4</v>
      </c>
      <c r="IA139" s="591">
        <v>0</v>
      </c>
      <c r="IB139" s="591">
        <v>73</v>
      </c>
      <c r="IC139" s="591">
        <v>79</v>
      </c>
      <c r="ID139" s="591">
        <v>0</v>
      </c>
      <c r="IE139" s="591">
        <v>0</v>
      </c>
      <c r="IF139" s="591">
        <v>0</v>
      </c>
      <c r="IG139" s="591">
        <v>0</v>
      </c>
      <c r="IH139" s="591">
        <v>14</v>
      </c>
      <c r="II139" s="591">
        <v>0</v>
      </c>
      <c r="IJ139" s="591">
        <v>0</v>
      </c>
      <c r="IK139" s="591">
        <v>83.397000000000006</v>
      </c>
      <c r="IL139" s="591">
        <v>0</v>
      </c>
      <c r="IM139" s="591">
        <v>1</v>
      </c>
      <c r="IN139" s="591">
        <v>0</v>
      </c>
      <c r="IO139" s="591">
        <v>1</v>
      </c>
      <c r="IP139" s="591">
        <v>83.397000000000006</v>
      </c>
      <c r="IQ139" s="591">
        <v>0</v>
      </c>
      <c r="IR139" s="591">
        <v>0</v>
      </c>
      <c r="IS139" s="591">
        <v>22934</v>
      </c>
      <c r="IT139" s="591">
        <v>0</v>
      </c>
      <c r="IU139" s="591">
        <v>3000</v>
      </c>
      <c r="IV139" s="591">
        <v>0</v>
      </c>
      <c r="IW139" s="591">
        <v>6159</v>
      </c>
      <c r="IX139" s="591">
        <v>0</v>
      </c>
      <c r="IY139" s="591">
        <v>0</v>
      </c>
      <c r="IZ139" s="591">
        <v>22934</v>
      </c>
      <c r="JA139" s="591">
        <v>0</v>
      </c>
      <c r="JB139" s="591">
        <v>0</v>
      </c>
      <c r="JC139" s="591">
        <v>0</v>
      </c>
      <c r="JD139" s="591">
        <v>0</v>
      </c>
      <c r="JE139" s="591">
        <v>0</v>
      </c>
      <c r="JF139" s="591">
        <v>0</v>
      </c>
      <c r="JG139" s="591">
        <v>0</v>
      </c>
      <c r="JH139" s="591">
        <v>0</v>
      </c>
      <c r="JI139" s="591">
        <v>0</v>
      </c>
      <c r="JJ139" s="591">
        <v>0</v>
      </c>
      <c r="JK139" s="591">
        <v>0</v>
      </c>
      <c r="JL139" s="591">
        <v>0</v>
      </c>
      <c r="JM139" s="591">
        <v>0</v>
      </c>
      <c r="JN139" s="591">
        <v>32469</v>
      </c>
    </row>
    <row r="140" spans="1:274" x14ac:dyDescent="0.25">
      <c r="A140" s="591">
        <v>32570</v>
      </c>
      <c r="B140" s="591">
        <v>152802</v>
      </c>
      <c r="C140" s="591">
        <v>9</v>
      </c>
      <c r="D140" s="591">
        <v>2022</v>
      </c>
      <c r="E140" s="591">
        <v>6159</v>
      </c>
      <c r="F140" s="591">
        <v>0</v>
      </c>
      <c r="G140" s="591">
        <v>221.97</v>
      </c>
      <c r="H140" s="591">
        <v>217.57300000000001</v>
      </c>
      <c r="I140" s="591">
        <v>217.57300000000001</v>
      </c>
      <c r="J140" s="591">
        <v>221.97</v>
      </c>
      <c r="K140" s="591">
        <v>0</v>
      </c>
      <c r="L140" s="591">
        <v>6159</v>
      </c>
      <c r="M140" s="591">
        <v>0</v>
      </c>
      <c r="N140" s="591">
        <v>0</v>
      </c>
      <c r="O140" s="591">
        <v>0</v>
      </c>
      <c r="P140" s="591">
        <v>223.82600000000002</v>
      </c>
      <c r="Q140" s="591">
        <v>0</v>
      </c>
      <c r="R140" s="591">
        <v>90074</v>
      </c>
      <c r="S140" s="591">
        <v>402.428</v>
      </c>
      <c r="T140" s="591">
        <v>0</v>
      </c>
      <c r="U140" s="591">
        <v>0</v>
      </c>
      <c r="V140" s="591">
        <v>0</v>
      </c>
      <c r="W140" s="591">
        <v>0</v>
      </c>
      <c r="X140" s="591">
        <v>0</v>
      </c>
      <c r="Y140" s="591">
        <v>0</v>
      </c>
      <c r="Z140" s="591">
        <v>0</v>
      </c>
      <c r="AA140" s="591">
        <v>0</v>
      </c>
      <c r="AB140" s="591">
        <v>0</v>
      </c>
      <c r="AC140" s="591">
        <v>0</v>
      </c>
      <c r="AD140" s="591" t="s">
        <v>316</v>
      </c>
      <c r="AE140" s="591">
        <v>0</v>
      </c>
      <c r="AF140" s="591">
        <v>0</v>
      </c>
      <c r="AG140" s="591">
        <v>0</v>
      </c>
      <c r="AH140" s="591">
        <v>0</v>
      </c>
      <c r="AI140" s="591">
        <v>0</v>
      </c>
      <c r="AJ140" s="591">
        <v>6159</v>
      </c>
      <c r="AK140" s="591" t="s">
        <v>671</v>
      </c>
      <c r="AL140" s="591" t="s">
        <v>90</v>
      </c>
      <c r="AM140" s="591">
        <v>0</v>
      </c>
      <c r="AN140" s="591">
        <v>0</v>
      </c>
      <c r="AO140" s="591">
        <v>0</v>
      </c>
      <c r="AP140" s="591">
        <v>0</v>
      </c>
      <c r="AQ140" s="591">
        <v>0</v>
      </c>
      <c r="AR140" s="591">
        <v>0</v>
      </c>
      <c r="AS140" s="591">
        <v>0</v>
      </c>
      <c r="AT140" s="591">
        <v>0</v>
      </c>
      <c r="AU140" s="591">
        <v>0</v>
      </c>
      <c r="AV140" s="591">
        <v>0</v>
      </c>
      <c r="AW140" s="591">
        <v>2415131</v>
      </c>
      <c r="AX140" s="591">
        <v>2375362</v>
      </c>
      <c r="AY140" s="591">
        <v>0</v>
      </c>
      <c r="AZ140" s="591">
        <v>90074</v>
      </c>
      <c r="BA140" s="591">
        <v>0</v>
      </c>
      <c r="BB140" s="591">
        <v>0</v>
      </c>
      <c r="BC140" s="591">
        <v>0</v>
      </c>
      <c r="BD140" s="591">
        <v>0</v>
      </c>
      <c r="BE140" s="591">
        <v>32</v>
      </c>
      <c r="BF140" s="591">
        <v>2192064</v>
      </c>
      <c r="BG140" s="591">
        <v>0</v>
      </c>
      <c r="BH140" s="591">
        <v>0</v>
      </c>
      <c r="BI140" s="591">
        <v>0</v>
      </c>
      <c r="BJ140" s="591">
        <v>12</v>
      </c>
      <c r="BK140" s="591">
        <v>0</v>
      </c>
      <c r="BL140" s="591">
        <v>0</v>
      </c>
      <c r="BM140" s="591">
        <v>0</v>
      </c>
      <c r="BN140" s="591">
        <v>0</v>
      </c>
      <c r="BO140" s="591">
        <v>0</v>
      </c>
      <c r="BP140" s="591">
        <v>0</v>
      </c>
      <c r="BQ140" s="591">
        <v>736</v>
      </c>
      <c r="BR140" s="591">
        <v>0</v>
      </c>
      <c r="BS140" s="591">
        <v>0</v>
      </c>
      <c r="BT140" s="591">
        <v>0</v>
      </c>
      <c r="BU140" s="591">
        <v>0</v>
      </c>
      <c r="BV140" s="591">
        <v>0</v>
      </c>
      <c r="BW140" s="591">
        <v>0</v>
      </c>
      <c r="BX140" s="591">
        <v>0</v>
      </c>
      <c r="BY140" s="591">
        <v>0</v>
      </c>
      <c r="BZ140" s="591">
        <v>0</v>
      </c>
      <c r="CA140" s="591">
        <v>0</v>
      </c>
      <c r="CB140" s="591">
        <v>0</v>
      </c>
      <c r="CC140" s="591">
        <v>0</v>
      </c>
      <c r="CD140" s="591">
        <v>0</v>
      </c>
      <c r="CE140" s="591">
        <v>0</v>
      </c>
      <c r="CF140" s="591">
        <v>0</v>
      </c>
      <c r="CG140" s="591">
        <v>0</v>
      </c>
      <c r="CH140" s="591">
        <v>40223</v>
      </c>
      <c r="CI140" s="591">
        <v>0</v>
      </c>
      <c r="CJ140" s="591">
        <v>4</v>
      </c>
      <c r="CK140" s="591">
        <v>0</v>
      </c>
      <c r="CL140" s="591">
        <v>0</v>
      </c>
      <c r="CM140" s="591">
        <v>0</v>
      </c>
      <c r="CN140" s="591">
        <v>0</v>
      </c>
      <c r="CO140" s="591">
        <v>1</v>
      </c>
      <c r="CP140" s="591">
        <v>0</v>
      </c>
      <c r="CQ140" s="591">
        <v>0</v>
      </c>
      <c r="CR140" s="591">
        <v>221.97</v>
      </c>
      <c r="CS140" s="591">
        <v>0</v>
      </c>
      <c r="CT140" s="591">
        <v>0</v>
      </c>
      <c r="CU140" s="591">
        <v>0</v>
      </c>
      <c r="CV140" s="591">
        <v>0</v>
      </c>
      <c r="CW140" s="591">
        <v>0</v>
      </c>
      <c r="CX140" s="591">
        <v>0</v>
      </c>
      <c r="CY140" s="591">
        <v>0</v>
      </c>
      <c r="CZ140" s="591">
        <v>0</v>
      </c>
      <c r="DA140" s="591">
        <v>0</v>
      </c>
      <c r="DB140" s="591">
        <v>1340050</v>
      </c>
      <c r="DC140" s="591">
        <v>0</v>
      </c>
      <c r="DD140" s="591">
        <v>0</v>
      </c>
      <c r="DE140" s="591">
        <v>423822</v>
      </c>
      <c r="DF140" s="591">
        <v>423822</v>
      </c>
      <c r="DG140" s="591">
        <v>68.813000000000002</v>
      </c>
      <c r="DH140" s="591">
        <v>0</v>
      </c>
      <c r="DI140" s="591">
        <v>0</v>
      </c>
      <c r="DJ140" s="591">
        <v>0</v>
      </c>
      <c r="DK140" s="591">
        <v>3406</v>
      </c>
      <c r="DL140" s="591">
        <v>0</v>
      </c>
      <c r="DM140" s="591">
        <v>110716</v>
      </c>
      <c r="DN140" s="591">
        <v>422</v>
      </c>
      <c r="DO140" s="591">
        <v>0</v>
      </c>
      <c r="DP140" s="591">
        <v>0</v>
      </c>
      <c r="DQ140" s="591">
        <v>0</v>
      </c>
      <c r="DR140" s="591">
        <v>0</v>
      </c>
      <c r="DS140" s="591">
        <v>0</v>
      </c>
      <c r="DT140" s="591">
        <v>0</v>
      </c>
      <c r="DU140" s="591">
        <v>0</v>
      </c>
      <c r="DV140" s="591">
        <v>0</v>
      </c>
      <c r="DW140" s="591">
        <v>0</v>
      </c>
      <c r="DX140" s="591">
        <v>0</v>
      </c>
      <c r="DY140" s="591">
        <v>0</v>
      </c>
      <c r="DZ140" s="591">
        <v>0</v>
      </c>
      <c r="EA140" s="591">
        <v>0</v>
      </c>
      <c r="EB140" s="591">
        <v>0</v>
      </c>
      <c r="EC140" s="591">
        <v>1.897</v>
      </c>
      <c r="ED140" s="591">
        <v>13436</v>
      </c>
      <c r="EE140" s="591">
        <v>0</v>
      </c>
      <c r="EF140" s="591">
        <v>0</v>
      </c>
      <c r="EG140" s="591">
        <v>0</v>
      </c>
      <c r="EH140" s="591">
        <v>97702</v>
      </c>
      <c r="EI140" s="591">
        <v>0</v>
      </c>
      <c r="EJ140" s="591">
        <v>0</v>
      </c>
      <c r="EK140" s="591">
        <v>3.0609999999999999</v>
      </c>
      <c r="EL140" s="591">
        <v>0</v>
      </c>
      <c r="EM140" s="591">
        <v>0</v>
      </c>
      <c r="EN140" s="591">
        <v>1.3360000000000001</v>
      </c>
      <c r="EO140" s="591">
        <v>0</v>
      </c>
      <c r="EP140" s="591">
        <v>0</v>
      </c>
      <c r="EQ140" s="591">
        <v>4.3970000000000002</v>
      </c>
      <c r="ER140" s="591">
        <v>0</v>
      </c>
      <c r="ES140" s="591">
        <v>15.863000000000001</v>
      </c>
      <c r="ET140" s="591">
        <v>0</v>
      </c>
      <c r="EU140" s="591">
        <v>0</v>
      </c>
      <c r="EV140" s="591">
        <v>0</v>
      </c>
      <c r="EW140" s="591">
        <v>0</v>
      </c>
      <c r="EX140" s="591">
        <v>0</v>
      </c>
      <c r="EY140" s="591">
        <v>0</v>
      </c>
      <c r="EZ140" s="591">
        <v>2101990</v>
      </c>
      <c r="FA140" s="591">
        <v>0</v>
      </c>
      <c r="FB140" s="591">
        <v>2191610</v>
      </c>
      <c r="FC140" s="591">
        <v>0</v>
      </c>
      <c r="FD140" s="591">
        <v>0</v>
      </c>
      <c r="FE140" s="591">
        <v>227058</v>
      </c>
      <c r="FF140" s="591">
        <v>46314</v>
      </c>
      <c r="FG140" s="591">
        <v>6.4728999999999995E-2</v>
      </c>
      <c r="FH140" s="591">
        <v>2.6405999999999999E-2</v>
      </c>
      <c r="FI140" s="591">
        <v>0</v>
      </c>
      <c r="FJ140" s="591">
        <v>0</v>
      </c>
      <c r="FK140" s="591">
        <v>355.90800000000002</v>
      </c>
      <c r="FL140" s="591">
        <v>2505205</v>
      </c>
      <c r="FM140" s="591">
        <v>0</v>
      </c>
      <c r="FN140" s="591">
        <v>0</v>
      </c>
      <c r="FO140" s="591">
        <v>0</v>
      </c>
      <c r="FP140" s="591">
        <v>0</v>
      </c>
      <c r="FQ140" s="591">
        <v>0</v>
      </c>
      <c r="FR140" s="591">
        <v>0</v>
      </c>
      <c r="FS140" s="591">
        <v>0</v>
      </c>
      <c r="FT140" s="591">
        <v>0</v>
      </c>
      <c r="FU140" s="591">
        <v>0</v>
      </c>
      <c r="FV140" s="591">
        <v>0</v>
      </c>
      <c r="FW140" s="591">
        <v>0</v>
      </c>
      <c r="FX140" s="591">
        <v>0</v>
      </c>
      <c r="FY140" s="591">
        <v>0</v>
      </c>
      <c r="FZ140" s="591">
        <v>0</v>
      </c>
      <c r="GA140" s="591">
        <v>0</v>
      </c>
      <c r="GB140" s="591">
        <v>0</v>
      </c>
      <c r="GC140" s="591">
        <v>0</v>
      </c>
      <c r="GD140" s="591">
        <v>0</v>
      </c>
      <c r="GE140" s="591">
        <v>0</v>
      </c>
      <c r="GF140" s="591">
        <v>0</v>
      </c>
      <c r="GG140" s="591">
        <v>0</v>
      </c>
      <c r="GH140" s="591">
        <v>0</v>
      </c>
      <c r="GI140" s="591">
        <v>0</v>
      </c>
      <c r="GJ140" s="591">
        <v>0</v>
      </c>
      <c r="GK140" s="591">
        <v>0</v>
      </c>
      <c r="GL140" s="591">
        <v>0</v>
      </c>
      <c r="GM140" s="591">
        <v>0</v>
      </c>
      <c r="GN140" s="591">
        <v>0</v>
      </c>
      <c r="GO140" s="591">
        <v>0</v>
      </c>
      <c r="GP140" s="591">
        <v>0</v>
      </c>
      <c r="GQ140" s="591">
        <v>0</v>
      </c>
      <c r="GR140" s="591">
        <v>0</v>
      </c>
      <c r="GS140" s="591">
        <v>0</v>
      </c>
      <c r="GT140" s="591">
        <v>0</v>
      </c>
      <c r="GU140" s="591">
        <v>0</v>
      </c>
      <c r="GV140" s="591">
        <v>0</v>
      </c>
      <c r="GW140" s="591">
        <v>0</v>
      </c>
      <c r="GX140" s="591">
        <v>0</v>
      </c>
      <c r="GY140" s="591">
        <v>0</v>
      </c>
      <c r="GZ140" s="591">
        <v>0</v>
      </c>
      <c r="HA140" s="591">
        <v>0</v>
      </c>
      <c r="HB140" s="591">
        <v>260009272</v>
      </c>
      <c r="HC140" s="591">
        <v>5.1774999999999995E-2</v>
      </c>
      <c r="HD140" s="591">
        <v>40223</v>
      </c>
      <c r="HE140" s="591">
        <v>0</v>
      </c>
      <c r="HF140" s="591">
        <v>239113</v>
      </c>
      <c r="HG140" s="591">
        <v>642</v>
      </c>
      <c r="HH140" s="591">
        <v>75141</v>
      </c>
      <c r="HI140" s="591">
        <v>0</v>
      </c>
      <c r="HJ140" s="591">
        <v>2158</v>
      </c>
      <c r="HK140" s="591">
        <v>0</v>
      </c>
      <c r="HL140" s="591">
        <v>0</v>
      </c>
      <c r="HM140" s="591">
        <v>0</v>
      </c>
      <c r="HN140" s="591">
        <v>0</v>
      </c>
      <c r="HO140" s="591">
        <v>0</v>
      </c>
      <c r="HP140" s="591">
        <v>0</v>
      </c>
      <c r="HQ140" s="591">
        <v>0</v>
      </c>
      <c r="HR140" s="591">
        <v>0</v>
      </c>
      <c r="HS140" s="591">
        <v>2101536</v>
      </c>
      <c r="HT140" s="591">
        <v>0</v>
      </c>
      <c r="HU140" s="591">
        <v>0</v>
      </c>
      <c r="HV140" s="591">
        <v>0</v>
      </c>
      <c r="HW140" s="591">
        <v>0</v>
      </c>
      <c r="HX140" s="591">
        <v>41</v>
      </c>
      <c r="HY140" s="591">
        <v>24</v>
      </c>
      <c r="HZ140" s="591">
        <v>16</v>
      </c>
      <c r="IA140" s="591">
        <v>57</v>
      </c>
      <c r="IB140" s="591">
        <v>127</v>
      </c>
      <c r="IC140" s="591">
        <v>238</v>
      </c>
      <c r="ID140" s="591">
        <v>0</v>
      </c>
      <c r="IE140" s="591">
        <v>0</v>
      </c>
      <c r="IF140" s="591">
        <v>0</v>
      </c>
      <c r="IG140" s="591">
        <v>1.042</v>
      </c>
      <c r="IH140" s="591">
        <v>122</v>
      </c>
      <c r="II140" s="591">
        <v>0</v>
      </c>
      <c r="IJ140" s="591">
        <v>0</v>
      </c>
      <c r="IK140" s="591">
        <v>0</v>
      </c>
      <c r="IL140" s="591">
        <v>0</v>
      </c>
      <c r="IM140" s="591">
        <v>0</v>
      </c>
      <c r="IN140" s="591">
        <v>0</v>
      </c>
      <c r="IO140" s="591">
        <v>0</v>
      </c>
      <c r="IP140" s="591">
        <v>0</v>
      </c>
      <c r="IQ140" s="591">
        <v>0</v>
      </c>
      <c r="IR140" s="591">
        <v>0</v>
      </c>
      <c r="IS140" s="591">
        <v>0</v>
      </c>
      <c r="IT140" s="591">
        <v>0</v>
      </c>
      <c r="IU140" s="591">
        <v>0</v>
      </c>
      <c r="IV140" s="591">
        <v>0</v>
      </c>
      <c r="IW140" s="591">
        <v>6159</v>
      </c>
      <c r="IX140" s="591">
        <v>0</v>
      </c>
      <c r="IY140" s="591">
        <v>0</v>
      </c>
      <c r="IZ140" s="591">
        <v>0</v>
      </c>
      <c r="JA140" s="591">
        <v>0</v>
      </c>
      <c r="JB140" s="591">
        <v>0</v>
      </c>
      <c r="JC140" s="591">
        <v>0</v>
      </c>
      <c r="JD140" s="591">
        <v>0</v>
      </c>
      <c r="JE140" s="591">
        <v>0</v>
      </c>
      <c r="JF140" s="591">
        <v>0</v>
      </c>
      <c r="JG140" s="591">
        <v>0</v>
      </c>
      <c r="JH140" s="591">
        <v>0</v>
      </c>
      <c r="JI140" s="591">
        <v>0</v>
      </c>
      <c r="JJ140" s="591">
        <v>0</v>
      </c>
      <c r="JK140" s="591">
        <v>0</v>
      </c>
      <c r="JL140" s="591">
        <v>0</v>
      </c>
      <c r="JM140" s="591">
        <v>0</v>
      </c>
      <c r="JN140" s="591">
        <v>32469</v>
      </c>
    </row>
    <row r="141" spans="1:274" x14ac:dyDescent="0.25">
      <c r="A141" s="591">
        <v>32570</v>
      </c>
      <c r="B141" s="591">
        <v>152803</v>
      </c>
      <c r="C141" s="591">
        <v>9</v>
      </c>
      <c r="D141" s="591">
        <v>2022</v>
      </c>
      <c r="E141" s="591">
        <v>6159</v>
      </c>
      <c r="F141" s="591">
        <v>0</v>
      </c>
      <c r="G141" s="591">
        <v>152.75300000000001</v>
      </c>
      <c r="H141" s="591">
        <v>139.46200000000002</v>
      </c>
      <c r="I141" s="591">
        <v>139.46200000000002</v>
      </c>
      <c r="J141" s="591">
        <v>152.75300000000001</v>
      </c>
      <c r="K141" s="591">
        <v>0</v>
      </c>
      <c r="L141" s="591">
        <v>6159</v>
      </c>
      <c r="M141" s="591">
        <v>0</v>
      </c>
      <c r="N141" s="591">
        <v>0</v>
      </c>
      <c r="O141" s="591">
        <v>0</v>
      </c>
      <c r="P141" s="591">
        <v>153.53200000000001</v>
      </c>
      <c r="Q141" s="591">
        <v>0</v>
      </c>
      <c r="R141" s="591">
        <v>61786</v>
      </c>
      <c r="S141" s="591">
        <v>402.428</v>
      </c>
      <c r="T141" s="591">
        <v>0</v>
      </c>
      <c r="U141" s="591">
        <v>0</v>
      </c>
      <c r="V141" s="591">
        <v>3.11</v>
      </c>
      <c r="W141" s="591">
        <v>1915</v>
      </c>
      <c r="X141" s="591">
        <v>1915</v>
      </c>
      <c r="Y141" s="591">
        <v>0</v>
      </c>
      <c r="Z141" s="591">
        <v>0</v>
      </c>
      <c r="AA141" s="591">
        <v>0</v>
      </c>
      <c r="AB141" s="591">
        <v>0</v>
      </c>
      <c r="AC141" s="591">
        <v>0</v>
      </c>
      <c r="AD141" s="591" t="s">
        <v>316</v>
      </c>
      <c r="AE141" s="591">
        <v>0</v>
      </c>
      <c r="AF141" s="591">
        <v>0</v>
      </c>
      <c r="AG141" s="591">
        <v>0</v>
      </c>
      <c r="AH141" s="591">
        <v>0</v>
      </c>
      <c r="AI141" s="591">
        <v>0</v>
      </c>
      <c r="AJ141" s="591">
        <v>6159</v>
      </c>
      <c r="AK141" s="591" t="s">
        <v>671</v>
      </c>
      <c r="AL141" s="591" t="s">
        <v>473</v>
      </c>
      <c r="AM141" s="591">
        <v>0</v>
      </c>
      <c r="AN141" s="591">
        <v>0</v>
      </c>
      <c r="AO141" s="591">
        <v>0</v>
      </c>
      <c r="AP141" s="591">
        <v>0</v>
      </c>
      <c r="AQ141" s="591">
        <v>0</v>
      </c>
      <c r="AR141" s="591">
        <v>0</v>
      </c>
      <c r="AS141" s="591">
        <v>0</v>
      </c>
      <c r="AT141" s="591">
        <v>0</v>
      </c>
      <c r="AU141" s="591">
        <v>0</v>
      </c>
      <c r="AV141" s="591">
        <v>0</v>
      </c>
      <c r="AW141" s="591">
        <v>1748641</v>
      </c>
      <c r="AX141" s="591">
        <v>1721347</v>
      </c>
      <c r="AY141" s="591">
        <v>0</v>
      </c>
      <c r="AZ141" s="591">
        <v>61786</v>
      </c>
      <c r="BA141" s="591">
        <v>0</v>
      </c>
      <c r="BB141" s="591">
        <v>0</v>
      </c>
      <c r="BC141" s="591">
        <v>0</v>
      </c>
      <c r="BD141" s="591">
        <v>0</v>
      </c>
      <c r="BE141" s="591">
        <v>23</v>
      </c>
      <c r="BF141" s="591">
        <v>1581501</v>
      </c>
      <c r="BG141" s="591">
        <v>0</v>
      </c>
      <c r="BH141" s="591">
        <v>0</v>
      </c>
      <c r="BI141" s="591">
        <v>0</v>
      </c>
      <c r="BJ141" s="591">
        <v>12</v>
      </c>
      <c r="BK141" s="591">
        <v>0</v>
      </c>
      <c r="BL141" s="591">
        <v>0</v>
      </c>
      <c r="BM141" s="591">
        <v>0</v>
      </c>
      <c r="BN141" s="591">
        <v>0</v>
      </c>
      <c r="BO141" s="591">
        <v>0</v>
      </c>
      <c r="BP141" s="591">
        <v>0</v>
      </c>
      <c r="BQ141" s="591">
        <v>748</v>
      </c>
      <c r="BR141" s="591">
        <v>0</v>
      </c>
      <c r="BS141" s="591">
        <v>0</v>
      </c>
      <c r="BT141" s="591">
        <v>0</v>
      </c>
      <c r="BU141" s="591">
        <v>0</v>
      </c>
      <c r="BV141" s="591">
        <v>0</v>
      </c>
      <c r="BW141" s="591">
        <v>0</v>
      </c>
      <c r="BX141" s="591">
        <v>0</v>
      </c>
      <c r="BY141" s="591">
        <v>0</v>
      </c>
      <c r="BZ141" s="591">
        <v>0</v>
      </c>
      <c r="CA141" s="591">
        <v>0</v>
      </c>
      <c r="CB141" s="591">
        <v>0</v>
      </c>
      <c r="CC141" s="591">
        <v>0</v>
      </c>
      <c r="CD141" s="591">
        <v>0</v>
      </c>
      <c r="CE141" s="591">
        <v>0</v>
      </c>
      <c r="CF141" s="591">
        <v>0</v>
      </c>
      <c r="CG141" s="591">
        <v>0</v>
      </c>
      <c r="CH141" s="591">
        <v>28048</v>
      </c>
      <c r="CI141" s="591">
        <v>0</v>
      </c>
      <c r="CJ141" s="591">
        <v>4</v>
      </c>
      <c r="CK141" s="591">
        <v>0</v>
      </c>
      <c r="CL141" s="591">
        <v>0</v>
      </c>
      <c r="CM141" s="591">
        <v>0</v>
      </c>
      <c r="CN141" s="591">
        <v>0</v>
      </c>
      <c r="CO141" s="591">
        <v>1</v>
      </c>
      <c r="CP141" s="591">
        <v>0.27</v>
      </c>
      <c r="CQ141" s="591">
        <v>0</v>
      </c>
      <c r="CR141" s="591">
        <v>152.75300000000001</v>
      </c>
      <c r="CS141" s="591">
        <v>0</v>
      </c>
      <c r="CT141" s="591">
        <v>0</v>
      </c>
      <c r="CU141" s="591">
        <v>0</v>
      </c>
      <c r="CV141" s="591">
        <v>0</v>
      </c>
      <c r="CW141" s="591">
        <v>0</v>
      </c>
      <c r="CX141" s="591">
        <v>0</v>
      </c>
      <c r="CY141" s="591">
        <v>0</v>
      </c>
      <c r="CZ141" s="591">
        <v>0</v>
      </c>
      <c r="DA141" s="591">
        <v>0</v>
      </c>
      <c r="DB141" s="591">
        <v>858958</v>
      </c>
      <c r="DC141" s="591">
        <v>0</v>
      </c>
      <c r="DD141" s="591">
        <v>0</v>
      </c>
      <c r="DE141" s="591">
        <v>256064</v>
      </c>
      <c r="DF141" s="591">
        <v>260072</v>
      </c>
      <c r="DG141" s="591">
        <v>41.575000000000003</v>
      </c>
      <c r="DH141" s="591">
        <v>0</v>
      </c>
      <c r="DI141" s="591">
        <v>4008</v>
      </c>
      <c r="DJ141" s="591">
        <v>0</v>
      </c>
      <c r="DK141" s="591">
        <v>3598</v>
      </c>
      <c r="DL141" s="591">
        <v>0</v>
      </c>
      <c r="DM141" s="591">
        <v>191730</v>
      </c>
      <c r="DN141" s="591">
        <v>732</v>
      </c>
      <c r="DO141" s="591">
        <v>0</v>
      </c>
      <c r="DP141" s="591">
        <v>0</v>
      </c>
      <c r="DQ141" s="591">
        <v>0</v>
      </c>
      <c r="DR141" s="591">
        <v>0</v>
      </c>
      <c r="DS141" s="591">
        <v>0</v>
      </c>
      <c r="DT141" s="591">
        <v>0</v>
      </c>
      <c r="DU141" s="591">
        <v>0</v>
      </c>
      <c r="DV141" s="591">
        <v>0</v>
      </c>
      <c r="DW141" s="591">
        <v>0</v>
      </c>
      <c r="DX141" s="591">
        <v>0</v>
      </c>
      <c r="DY141" s="591">
        <v>0</v>
      </c>
      <c r="DZ141" s="591">
        <v>0</v>
      </c>
      <c r="EA141" s="591">
        <v>0</v>
      </c>
      <c r="EB141" s="591">
        <v>0</v>
      </c>
      <c r="EC141" s="591">
        <v>26.303000000000001</v>
      </c>
      <c r="ED141" s="591">
        <v>186303</v>
      </c>
      <c r="EE141" s="591">
        <v>0</v>
      </c>
      <c r="EF141" s="591">
        <v>0</v>
      </c>
      <c r="EG141" s="591">
        <v>0</v>
      </c>
      <c r="EH141" s="591">
        <v>6159</v>
      </c>
      <c r="EI141" s="591">
        <v>0</v>
      </c>
      <c r="EJ141" s="591">
        <v>0</v>
      </c>
      <c r="EK141" s="591">
        <v>0</v>
      </c>
      <c r="EL141" s="591">
        <v>0</v>
      </c>
      <c r="EM141" s="591">
        <v>0</v>
      </c>
      <c r="EN141" s="591">
        <v>0.2</v>
      </c>
      <c r="EO141" s="591">
        <v>0</v>
      </c>
      <c r="EP141" s="591">
        <v>0</v>
      </c>
      <c r="EQ141" s="591">
        <v>0.2</v>
      </c>
      <c r="ER141" s="591">
        <v>0</v>
      </c>
      <c r="ES141" s="591">
        <v>1</v>
      </c>
      <c r="ET141" s="591">
        <v>0</v>
      </c>
      <c r="EU141" s="591">
        <v>0</v>
      </c>
      <c r="EV141" s="591">
        <v>0</v>
      </c>
      <c r="EW141" s="591">
        <v>0</v>
      </c>
      <c r="EX141" s="591">
        <v>0</v>
      </c>
      <c r="EY141" s="591">
        <v>0</v>
      </c>
      <c r="EZ141" s="591">
        <v>1524119</v>
      </c>
      <c r="FA141" s="591">
        <v>0</v>
      </c>
      <c r="FB141" s="591">
        <v>1585151</v>
      </c>
      <c r="FC141" s="591">
        <v>0</v>
      </c>
      <c r="FD141" s="591">
        <v>0</v>
      </c>
      <c r="FE141" s="591">
        <v>163814</v>
      </c>
      <c r="FF141" s="591">
        <v>33414</v>
      </c>
      <c r="FG141" s="591">
        <v>6.4728999999999995E-2</v>
      </c>
      <c r="FH141" s="591">
        <v>2.6405999999999999E-2</v>
      </c>
      <c r="FI141" s="591">
        <v>0</v>
      </c>
      <c r="FJ141" s="591">
        <v>0</v>
      </c>
      <c r="FK141" s="591">
        <v>256.77500000000003</v>
      </c>
      <c r="FL141" s="591">
        <v>1810427</v>
      </c>
      <c r="FM141" s="591">
        <v>0</v>
      </c>
      <c r="FN141" s="591">
        <v>0</v>
      </c>
      <c r="FO141" s="591">
        <v>0</v>
      </c>
      <c r="FP141" s="591">
        <v>0</v>
      </c>
      <c r="FQ141" s="591">
        <v>0</v>
      </c>
      <c r="FR141" s="591">
        <v>0</v>
      </c>
      <c r="FS141" s="591">
        <v>0</v>
      </c>
      <c r="FT141" s="591">
        <v>0</v>
      </c>
      <c r="FU141" s="591">
        <v>0</v>
      </c>
      <c r="FV141" s="591">
        <v>0</v>
      </c>
      <c r="FW141" s="591">
        <v>0</v>
      </c>
      <c r="FX141" s="591">
        <v>0</v>
      </c>
      <c r="FY141" s="591">
        <v>0</v>
      </c>
      <c r="FZ141" s="591">
        <v>0</v>
      </c>
      <c r="GA141" s="591">
        <v>0</v>
      </c>
      <c r="GB141" s="591">
        <v>108849</v>
      </c>
      <c r="GC141" s="591">
        <v>108849</v>
      </c>
      <c r="GD141" s="591">
        <v>13.091000000000001</v>
      </c>
      <c r="GE141" s="591">
        <v>0</v>
      </c>
      <c r="GF141" s="591">
        <v>0</v>
      </c>
      <c r="GG141" s="591">
        <v>0</v>
      </c>
      <c r="GH141" s="591">
        <v>0</v>
      </c>
      <c r="GI141" s="591">
        <v>0</v>
      </c>
      <c r="GJ141" s="591">
        <v>0</v>
      </c>
      <c r="GK141" s="591">
        <v>0</v>
      </c>
      <c r="GL141" s="591">
        <v>0</v>
      </c>
      <c r="GM141" s="591">
        <v>0</v>
      </c>
      <c r="GN141" s="591">
        <v>0</v>
      </c>
      <c r="GO141" s="591">
        <v>0</v>
      </c>
      <c r="GP141" s="591">
        <v>0</v>
      </c>
      <c r="GQ141" s="591">
        <v>0</v>
      </c>
      <c r="GR141" s="591">
        <v>0</v>
      </c>
      <c r="GS141" s="591">
        <v>0</v>
      </c>
      <c r="GT141" s="591">
        <v>0</v>
      </c>
      <c r="GU141" s="591">
        <v>0</v>
      </c>
      <c r="GV141" s="591">
        <v>0</v>
      </c>
      <c r="GW141" s="591">
        <v>0</v>
      </c>
      <c r="GX141" s="591">
        <v>0</v>
      </c>
      <c r="GY141" s="591">
        <v>0</v>
      </c>
      <c r="GZ141" s="591">
        <v>0</v>
      </c>
      <c r="HA141" s="591">
        <v>0</v>
      </c>
      <c r="HB141" s="591">
        <v>260009272</v>
      </c>
      <c r="HC141" s="591">
        <v>5.1774999999999995E-2</v>
      </c>
      <c r="HD141" s="591">
        <v>27680</v>
      </c>
      <c r="HE141" s="591">
        <v>0</v>
      </c>
      <c r="HF141" s="591">
        <v>153269</v>
      </c>
      <c r="HG141" s="591">
        <v>4491</v>
      </c>
      <c r="HH141" s="591">
        <v>0</v>
      </c>
      <c r="HI141" s="591">
        <v>0</v>
      </c>
      <c r="HJ141" s="591">
        <v>1485</v>
      </c>
      <c r="HK141" s="591">
        <v>2398</v>
      </c>
      <c r="HL141" s="591">
        <v>2006</v>
      </c>
      <c r="HM141" s="591">
        <v>0</v>
      </c>
      <c r="HN141" s="591">
        <v>0</v>
      </c>
      <c r="HO141" s="591">
        <v>0</v>
      </c>
      <c r="HP141" s="591">
        <v>0</v>
      </c>
      <c r="HQ141" s="591">
        <v>0</v>
      </c>
      <c r="HR141" s="591">
        <v>0</v>
      </c>
      <c r="HS141" s="591">
        <v>1523365</v>
      </c>
      <c r="HT141" s="591">
        <v>0</v>
      </c>
      <c r="HU141" s="591">
        <v>368</v>
      </c>
      <c r="HV141" s="591">
        <v>0</v>
      </c>
      <c r="HW141" s="591">
        <v>0</v>
      </c>
      <c r="HX141" s="591">
        <v>18</v>
      </c>
      <c r="HY141" s="591">
        <v>16</v>
      </c>
      <c r="HZ141" s="591">
        <v>21</v>
      </c>
      <c r="IA141" s="591">
        <v>32</v>
      </c>
      <c r="IB141" s="591">
        <v>73</v>
      </c>
      <c r="IC141" s="591">
        <v>160</v>
      </c>
      <c r="ID141" s="591">
        <v>0</v>
      </c>
      <c r="IE141" s="591">
        <v>0</v>
      </c>
      <c r="IF141" s="591">
        <v>0</v>
      </c>
      <c r="IG141" s="591">
        <v>7.2910000000000004</v>
      </c>
      <c r="IH141" s="591">
        <v>0</v>
      </c>
      <c r="II141" s="591">
        <v>0</v>
      </c>
      <c r="IJ141" s="591">
        <v>3.11</v>
      </c>
      <c r="IK141" s="591">
        <v>0</v>
      </c>
      <c r="IL141" s="591">
        <v>0</v>
      </c>
      <c r="IM141" s="591">
        <v>0</v>
      </c>
      <c r="IN141" s="591">
        <v>0</v>
      </c>
      <c r="IO141" s="591">
        <v>0</v>
      </c>
      <c r="IP141" s="591">
        <v>0</v>
      </c>
      <c r="IQ141" s="591">
        <v>3.11</v>
      </c>
      <c r="IR141" s="591">
        <v>1915</v>
      </c>
      <c r="IS141" s="591">
        <v>0</v>
      </c>
      <c r="IT141" s="591">
        <v>0</v>
      </c>
      <c r="IU141" s="591">
        <v>0</v>
      </c>
      <c r="IV141" s="591">
        <v>0</v>
      </c>
      <c r="IW141" s="591">
        <v>6159</v>
      </c>
      <c r="IX141" s="591">
        <v>0</v>
      </c>
      <c r="IY141" s="591">
        <v>0</v>
      </c>
      <c r="IZ141" s="591">
        <v>0</v>
      </c>
      <c r="JA141" s="591">
        <v>0</v>
      </c>
      <c r="JB141" s="591">
        <v>0</v>
      </c>
      <c r="JC141" s="591">
        <v>0</v>
      </c>
      <c r="JD141" s="591">
        <v>0</v>
      </c>
      <c r="JE141" s="591">
        <v>0</v>
      </c>
      <c r="JF141" s="591">
        <v>0</v>
      </c>
      <c r="JG141" s="591">
        <v>0</v>
      </c>
      <c r="JH141" s="591">
        <v>0</v>
      </c>
      <c r="JI141" s="591">
        <v>0</v>
      </c>
      <c r="JJ141" s="591">
        <v>0</v>
      </c>
      <c r="JK141" s="591">
        <v>0</v>
      </c>
      <c r="JL141" s="591">
        <v>0</v>
      </c>
      <c r="JM141" s="591">
        <v>0</v>
      </c>
      <c r="JN141" s="591">
        <v>32469</v>
      </c>
    </row>
    <row r="142" spans="1:274" x14ac:dyDescent="0.25">
      <c r="A142" s="591">
        <v>32570</v>
      </c>
      <c r="B142" s="591">
        <v>152806</v>
      </c>
      <c r="C142" s="591">
        <v>9</v>
      </c>
      <c r="D142" s="591">
        <v>2022</v>
      </c>
      <c r="E142" s="591">
        <v>6159</v>
      </c>
      <c r="F142" s="591">
        <v>0</v>
      </c>
      <c r="G142" s="591">
        <v>137.048</v>
      </c>
      <c r="H142" s="591">
        <v>123.893</v>
      </c>
      <c r="I142" s="591">
        <v>123.893</v>
      </c>
      <c r="J142" s="591">
        <v>137.048</v>
      </c>
      <c r="K142" s="591">
        <v>0</v>
      </c>
      <c r="L142" s="591">
        <v>6159</v>
      </c>
      <c r="M142" s="591">
        <v>0</v>
      </c>
      <c r="N142" s="591">
        <v>0</v>
      </c>
      <c r="O142" s="591">
        <v>0</v>
      </c>
      <c r="P142" s="591">
        <v>137.048</v>
      </c>
      <c r="Q142" s="591">
        <v>0</v>
      </c>
      <c r="R142" s="591">
        <v>55152</v>
      </c>
      <c r="S142" s="591">
        <v>402.428</v>
      </c>
      <c r="T142" s="591">
        <v>0</v>
      </c>
      <c r="U142" s="591">
        <v>0</v>
      </c>
      <c r="V142" s="591">
        <v>0</v>
      </c>
      <c r="W142" s="591">
        <v>0</v>
      </c>
      <c r="X142" s="591">
        <v>0</v>
      </c>
      <c r="Y142" s="591">
        <v>0</v>
      </c>
      <c r="Z142" s="591">
        <v>0</v>
      </c>
      <c r="AA142" s="591">
        <v>0</v>
      </c>
      <c r="AB142" s="591">
        <v>0</v>
      </c>
      <c r="AC142" s="591">
        <v>0</v>
      </c>
      <c r="AD142" s="591" t="s">
        <v>316</v>
      </c>
      <c r="AE142" s="591">
        <v>0</v>
      </c>
      <c r="AF142" s="591">
        <v>0</v>
      </c>
      <c r="AG142" s="591">
        <v>0</v>
      </c>
      <c r="AH142" s="591">
        <v>0</v>
      </c>
      <c r="AI142" s="591">
        <v>0</v>
      </c>
      <c r="AJ142" s="591">
        <v>6159</v>
      </c>
      <c r="AK142" s="591" t="s">
        <v>671</v>
      </c>
      <c r="AL142" s="591" t="s">
        <v>543</v>
      </c>
      <c r="AM142" s="591">
        <v>0</v>
      </c>
      <c r="AN142" s="591">
        <v>0</v>
      </c>
      <c r="AO142" s="591">
        <v>0</v>
      </c>
      <c r="AP142" s="591">
        <v>0</v>
      </c>
      <c r="AQ142" s="591">
        <v>0</v>
      </c>
      <c r="AR142" s="591">
        <v>0</v>
      </c>
      <c r="AS142" s="591">
        <v>0</v>
      </c>
      <c r="AT142" s="591">
        <v>0</v>
      </c>
      <c r="AU142" s="591">
        <v>0</v>
      </c>
      <c r="AV142" s="591">
        <v>0</v>
      </c>
      <c r="AW142" s="591">
        <v>1553232</v>
      </c>
      <c r="AX142" s="591">
        <v>1554417</v>
      </c>
      <c r="AY142" s="591">
        <v>0</v>
      </c>
      <c r="AZ142" s="591">
        <v>55152</v>
      </c>
      <c r="BA142" s="591">
        <v>0</v>
      </c>
      <c r="BB142" s="591">
        <v>0</v>
      </c>
      <c r="BC142" s="591">
        <v>0</v>
      </c>
      <c r="BD142" s="591">
        <v>0</v>
      </c>
      <c r="BE142" s="591">
        <v>21</v>
      </c>
      <c r="BF142" s="591">
        <v>1431097</v>
      </c>
      <c r="BG142" s="591">
        <v>0</v>
      </c>
      <c r="BH142" s="591">
        <v>0</v>
      </c>
      <c r="BI142" s="591">
        <v>0</v>
      </c>
      <c r="BJ142" s="591">
        <v>12</v>
      </c>
      <c r="BK142" s="591">
        <v>0</v>
      </c>
      <c r="BL142" s="591">
        <v>0</v>
      </c>
      <c r="BM142" s="591">
        <v>0</v>
      </c>
      <c r="BN142" s="591">
        <v>0</v>
      </c>
      <c r="BO142" s="591">
        <v>0</v>
      </c>
      <c r="BP142" s="591">
        <v>0</v>
      </c>
      <c r="BQ142" s="591">
        <v>751</v>
      </c>
      <c r="BR142" s="591">
        <v>0</v>
      </c>
      <c r="BS142" s="591">
        <v>0</v>
      </c>
      <c r="BT142" s="591">
        <v>0</v>
      </c>
      <c r="BU142" s="591">
        <v>0</v>
      </c>
      <c r="BV142" s="591">
        <v>0</v>
      </c>
      <c r="BW142" s="591">
        <v>0</v>
      </c>
      <c r="BX142" s="591">
        <v>0</v>
      </c>
      <c r="BY142" s="591">
        <v>0</v>
      </c>
      <c r="BZ142" s="591">
        <v>0</v>
      </c>
      <c r="CA142" s="591">
        <v>0</v>
      </c>
      <c r="CB142" s="591">
        <v>0</v>
      </c>
      <c r="CC142" s="591">
        <v>0</v>
      </c>
      <c r="CD142" s="591">
        <v>0</v>
      </c>
      <c r="CE142" s="591">
        <v>0</v>
      </c>
      <c r="CF142" s="591">
        <v>0</v>
      </c>
      <c r="CG142" s="591">
        <v>0</v>
      </c>
      <c r="CH142" s="591">
        <v>0</v>
      </c>
      <c r="CI142" s="591">
        <v>0</v>
      </c>
      <c r="CJ142" s="591">
        <v>4</v>
      </c>
      <c r="CK142" s="591">
        <v>0</v>
      </c>
      <c r="CL142" s="591">
        <v>0</v>
      </c>
      <c r="CM142" s="591">
        <v>0</v>
      </c>
      <c r="CN142" s="591">
        <v>0</v>
      </c>
      <c r="CO142" s="591">
        <v>1</v>
      </c>
      <c r="CP142" s="591">
        <v>0</v>
      </c>
      <c r="CQ142" s="591">
        <v>0</v>
      </c>
      <c r="CR142" s="591">
        <v>137.048</v>
      </c>
      <c r="CS142" s="591">
        <v>0</v>
      </c>
      <c r="CT142" s="591">
        <v>0</v>
      </c>
      <c r="CU142" s="591">
        <v>0</v>
      </c>
      <c r="CV142" s="591">
        <v>0</v>
      </c>
      <c r="CW142" s="591">
        <v>0</v>
      </c>
      <c r="CX142" s="591">
        <v>0</v>
      </c>
      <c r="CY142" s="591">
        <v>0</v>
      </c>
      <c r="CZ142" s="591">
        <v>0</v>
      </c>
      <c r="DA142" s="591">
        <v>0</v>
      </c>
      <c r="DB142" s="591">
        <v>763067</v>
      </c>
      <c r="DC142" s="591">
        <v>0</v>
      </c>
      <c r="DD142" s="591">
        <v>0</v>
      </c>
      <c r="DE142" s="591">
        <v>164832</v>
      </c>
      <c r="DF142" s="591">
        <v>164832</v>
      </c>
      <c r="DG142" s="591">
        <v>26.763000000000002</v>
      </c>
      <c r="DH142" s="591">
        <v>0</v>
      </c>
      <c r="DI142" s="591">
        <v>0</v>
      </c>
      <c r="DJ142" s="591">
        <v>0</v>
      </c>
      <c r="DK142" s="591">
        <v>3637</v>
      </c>
      <c r="DL142" s="591">
        <v>0</v>
      </c>
      <c r="DM142" s="591">
        <v>305111</v>
      </c>
      <c r="DN142" s="591">
        <v>1164</v>
      </c>
      <c r="DO142" s="591">
        <v>0</v>
      </c>
      <c r="DP142" s="591">
        <v>0</v>
      </c>
      <c r="DQ142" s="591">
        <v>0</v>
      </c>
      <c r="DR142" s="591">
        <v>0</v>
      </c>
      <c r="DS142" s="591">
        <v>0</v>
      </c>
      <c r="DT142" s="591">
        <v>0</v>
      </c>
      <c r="DU142" s="591">
        <v>0</v>
      </c>
      <c r="DV142" s="591">
        <v>0</v>
      </c>
      <c r="DW142" s="591">
        <v>0</v>
      </c>
      <c r="DX142" s="591">
        <v>0</v>
      </c>
      <c r="DY142" s="591">
        <v>0</v>
      </c>
      <c r="DZ142" s="591">
        <v>0</v>
      </c>
      <c r="EA142" s="591">
        <v>0</v>
      </c>
      <c r="EB142" s="591">
        <v>0</v>
      </c>
      <c r="EC142" s="591">
        <v>7.6890000000000001</v>
      </c>
      <c r="ED142" s="591">
        <v>54461</v>
      </c>
      <c r="EE142" s="591">
        <v>0</v>
      </c>
      <c r="EF142" s="591">
        <v>0</v>
      </c>
      <c r="EG142" s="591">
        <v>0</v>
      </c>
      <c r="EH142" s="591">
        <v>251814</v>
      </c>
      <c r="EI142" s="591">
        <v>0</v>
      </c>
      <c r="EJ142" s="591">
        <v>0</v>
      </c>
      <c r="EK142" s="591">
        <v>12.445</v>
      </c>
      <c r="EL142" s="591">
        <v>0</v>
      </c>
      <c r="EM142" s="591">
        <v>0</v>
      </c>
      <c r="EN142" s="591">
        <v>0.71</v>
      </c>
      <c r="EO142" s="591">
        <v>0</v>
      </c>
      <c r="EP142" s="591">
        <v>0</v>
      </c>
      <c r="EQ142" s="591">
        <v>13.155000000000001</v>
      </c>
      <c r="ER142" s="591">
        <v>0</v>
      </c>
      <c r="ES142" s="591">
        <v>40.885000000000005</v>
      </c>
      <c r="ET142" s="591">
        <v>0</v>
      </c>
      <c r="EU142" s="591">
        <v>0</v>
      </c>
      <c r="EV142" s="591">
        <v>0</v>
      </c>
      <c r="EW142" s="591">
        <v>0</v>
      </c>
      <c r="EX142" s="591">
        <v>0</v>
      </c>
      <c r="EY142" s="591">
        <v>0</v>
      </c>
      <c r="EZ142" s="591">
        <v>1375945</v>
      </c>
      <c r="FA142" s="591">
        <v>0</v>
      </c>
      <c r="FB142" s="591">
        <v>1429912</v>
      </c>
      <c r="FC142" s="591">
        <v>0</v>
      </c>
      <c r="FD142" s="591">
        <v>0</v>
      </c>
      <c r="FE142" s="591">
        <v>148236</v>
      </c>
      <c r="FF142" s="591">
        <v>30236</v>
      </c>
      <c r="FG142" s="591">
        <v>6.4728999999999995E-2</v>
      </c>
      <c r="FH142" s="591">
        <v>2.6405999999999999E-2</v>
      </c>
      <c r="FI142" s="591">
        <v>0</v>
      </c>
      <c r="FJ142" s="591">
        <v>0</v>
      </c>
      <c r="FK142" s="591">
        <v>232.35600000000002</v>
      </c>
      <c r="FL142" s="591">
        <v>1608384</v>
      </c>
      <c r="FM142" s="591">
        <v>0</v>
      </c>
      <c r="FN142" s="591">
        <v>0</v>
      </c>
      <c r="FO142" s="591">
        <v>0</v>
      </c>
      <c r="FP142" s="591">
        <v>0</v>
      </c>
      <c r="FQ142" s="591">
        <v>0</v>
      </c>
      <c r="FR142" s="591">
        <v>0</v>
      </c>
      <c r="FS142" s="591">
        <v>0</v>
      </c>
      <c r="FT142" s="591">
        <v>0</v>
      </c>
      <c r="FU142" s="591">
        <v>0</v>
      </c>
      <c r="FV142" s="591">
        <v>0</v>
      </c>
      <c r="FW142" s="591">
        <v>0</v>
      </c>
      <c r="FX142" s="591">
        <v>0</v>
      </c>
      <c r="FY142" s="591">
        <v>0</v>
      </c>
      <c r="FZ142" s="591">
        <v>0</v>
      </c>
      <c r="GA142" s="591">
        <v>0</v>
      </c>
      <c r="GB142" s="591">
        <v>0</v>
      </c>
      <c r="GC142" s="591">
        <v>0</v>
      </c>
      <c r="GD142" s="591">
        <v>0</v>
      </c>
      <c r="GE142" s="591">
        <v>0</v>
      </c>
      <c r="GF142" s="591">
        <v>0</v>
      </c>
      <c r="GG142" s="591">
        <v>0</v>
      </c>
      <c r="GH142" s="591">
        <v>0</v>
      </c>
      <c r="GI142" s="591">
        <v>0</v>
      </c>
      <c r="GJ142" s="591">
        <v>0</v>
      </c>
      <c r="GK142" s="591">
        <v>0</v>
      </c>
      <c r="GL142" s="591">
        <v>0</v>
      </c>
      <c r="GM142" s="591">
        <v>0</v>
      </c>
      <c r="GN142" s="591">
        <v>0</v>
      </c>
      <c r="GO142" s="591">
        <v>0</v>
      </c>
      <c r="GP142" s="591">
        <v>0</v>
      </c>
      <c r="GQ142" s="591">
        <v>0</v>
      </c>
      <c r="GR142" s="591">
        <v>0</v>
      </c>
      <c r="GS142" s="591">
        <v>0</v>
      </c>
      <c r="GT142" s="591">
        <v>0</v>
      </c>
      <c r="GU142" s="591">
        <v>0</v>
      </c>
      <c r="GV142" s="591">
        <v>0</v>
      </c>
      <c r="GW142" s="591">
        <v>0</v>
      </c>
      <c r="GX142" s="591">
        <v>0</v>
      </c>
      <c r="GY142" s="591">
        <v>0</v>
      </c>
      <c r="GZ142" s="591">
        <v>0</v>
      </c>
      <c r="HA142" s="591">
        <v>0</v>
      </c>
      <c r="HB142" s="591">
        <v>0</v>
      </c>
      <c r="HC142" s="591">
        <v>5.1774999999999995E-2</v>
      </c>
      <c r="HD142" s="591">
        <v>0</v>
      </c>
      <c r="HE142" s="591">
        <v>0</v>
      </c>
      <c r="HF142" s="591">
        <v>136158</v>
      </c>
      <c r="HG142" s="591">
        <v>9239</v>
      </c>
      <c r="HH142" s="591">
        <v>39394</v>
      </c>
      <c r="HI142" s="591">
        <v>0</v>
      </c>
      <c r="HJ142" s="591">
        <v>1332</v>
      </c>
      <c r="HK142" s="591">
        <v>0</v>
      </c>
      <c r="HL142" s="591">
        <v>0</v>
      </c>
      <c r="HM142" s="591">
        <v>0</v>
      </c>
      <c r="HN142" s="591">
        <v>0</v>
      </c>
      <c r="HO142" s="591">
        <v>10800</v>
      </c>
      <c r="HP142" s="591">
        <v>0</v>
      </c>
      <c r="HQ142" s="591">
        <v>0</v>
      </c>
      <c r="HR142" s="591">
        <v>0</v>
      </c>
      <c r="HS142" s="591">
        <v>1374760</v>
      </c>
      <c r="HT142" s="591">
        <v>0</v>
      </c>
      <c r="HU142" s="591">
        <v>0</v>
      </c>
      <c r="HV142" s="591">
        <v>0</v>
      </c>
      <c r="HW142" s="591">
        <v>0</v>
      </c>
      <c r="HX142" s="591">
        <v>26</v>
      </c>
      <c r="HY142" s="591">
        <v>13</v>
      </c>
      <c r="HZ142" s="591">
        <v>13</v>
      </c>
      <c r="IA142" s="591">
        <v>22</v>
      </c>
      <c r="IB142" s="591">
        <v>32</v>
      </c>
      <c r="IC142" s="591">
        <v>106</v>
      </c>
      <c r="ID142" s="591">
        <v>0</v>
      </c>
      <c r="IE142" s="591">
        <v>0</v>
      </c>
      <c r="IF142" s="591">
        <v>0</v>
      </c>
      <c r="IG142" s="591">
        <v>15</v>
      </c>
      <c r="IH142" s="591">
        <v>63.961000000000006</v>
      </c>
      <c r="II142" s="591">
        <v>0</v>
      </c>
      <c r="IJ142" s="591">
        <v>0</v>
      </c>
      <c r="IK142" s="591">
        <v>0</v>
      </c>
      <c r="IL142" s="591">
        <v>0</v>
      </c>
      <c r="IM142" s="591">
        <v>0</v>
      </c>
      <c r="IN142" s="591">
        <v>0</v>
      </c>
      <c r="IO142" s="591">
        <v>0</v>
      </c>
      <c r="IP142" s="591">
        <v>0</v>
      </c>
      <c r="IQ142" s="591">
        <v>0</v>
      </c>
      <c r="IR142" s="591">
        <v>0</v>
      </c>
      <c r="IS142" s="591">
        <v>0</v>
      </c>
      <c r="IT142" s="591">
        <v>0</v>
      </c>
      <c r="IU142" s="591">
        <v>0</v>
      </c>
      <c r="IV142" s="591">
        <v>0</v>
      </c>
      <c r="IW142" s="591">
        <v>6159</v>
      </c>
      <c r="IX142" s="591">
        <v>0</v>
      </c>
      <c r="IY142" s="591">
        <v>0</v>
      </c>
      <c r="IZ142" s="591">
        <v>0</v>
      </c>
      <c r="JA142" s="591">
        <v>0</v>
      </c>
      <c r="JB142" s="591">
        <v>0</v>
      </c>
      <c r="JC142" s="591">
        <v>0</v>
      </c>
      <c r="JD142" s="591">
        <v>0</v>
      </c>
      <c r="JE142" s="591">
        <v>0</v>
      </c>
      <c r="JF142" s="591">
        <v>0</v>
      </c>
      <c r="JG142" s="591">
        <v>0</v>
      </c>
      <c r="JH142" s="591">
        <v>0</v>
      </c>
      <c r="JI142" s="591">
        <v>0</v>
      </c>
      <c r="JJ142" s="591">
        <v>0</v>
      </c>
      <c r="JK142" s="591">
        <v>0</v>
      </c>
      <c r="JL142" s="591">
        <v>0</v>
      </c>
      <c r="JM142" s="591">
        <v>0</v>
      </c>
      <c r="JN142" s="591">
        <v>32469</v>
      </c>
    </row>
    <row r="143" spans="1:274" x14ac:dyDescent="0.25">
      <c r="A143" s="591">
        <v>32570</v>
      </c>
      <c r="B143" s="591">
        <v>161801</v>
      </c>
      <c r="C143" s="591">
        <v>9</v>
      </c>
      <c r="D143" s="591">
        <v>2022</v>
      </c>
      <c r="E143" s="591">
        <v>6159</v>
      </c>
      <c r="F143" s="591">
        <v>0</v>
      </c>
      <c r="G143" s="591">
        <v>185.56200000000001</v>
      </c>
      <c r="H143" s="591">
        <v>175.17500000000001</v>
      </c>
      <c r="I143" s="591">
        <v>175.17500000000001</v>
      </c>
      <c r="J143" s="591">
        <v>185.56200000000001</v>
      </c>
      <c r="K143" s="591">
        <v>0</v>
      </c>
      <c r="L143" s="591">
        <v>6159</v>
      </c>
      <c r="M143" s="591">
        <v>0</v>
      </c>
      <c r="N143" s="591">
        <v>0</v>
      </c>
      <c r="O143" s="591">
        <v>0</v>
      </c>
      <c r="P143" s="591">
        <v>192.99600000000001</v>
      </c>
      <c r="Q143" s="591">
        <v>0</v>
      </c>
      <c r="R143" s="591">
        <v>77667</v>
      </c>
      <c r="S143" s="591">
        <v>402.428</v>
      </c>
      <c r="T143" s="591">
        <v>0</v>
      </c>
      <c r="U143" s="591">
        <v>0</v>
      </c>
      <c r="V143" s="591">
        <v>55.9</v>
      </c>
      <c r="W143" s="591">
        <v>34429</v>
      </c>
      <c r="X143" s="591">
        <v>34429</v>
      </c>
      <c r="Y143" s="591">
        <v>0</v>
      </c>
      <c r="Z143" s="591">
        <v>0</v>
      </c>
      <c r="AA143" s="591">
        <v>0</v>
      </c>
      <c r="AB143" s="591">
        <v>0</v>
      </c>
      <c r="AC143" s="591">
        <v>0</v>
      </c>
      <c r="AD143" s="591" t="s">
        <v>316</v>
      </c>
      <c r="AE143" s="591">
        <v>0</v>
      </c>
      <c r="AF143" s="591">
        <v>0</v>
      </c>
      <c r="AG143" s="591">
        <v>0</v>
      </c>
      <c r="AH143" s="591">
        <v>0</v>
      </c>
      <c r="AI143" s="591">
        <v>0</v>
      </c>
      <c r="AJ143" s="591">
        <v>6159</v>
      </c>
      <c r="AK143" s="591" t="s">
        <v>671</v>
      </c>
      <c r="AL143" s="591" t="s">
        <v>5</v>
      </c>
      <c r="AM143" s="591">
        <v>0</v>
      </c>
      <c r="AN143" s="591">
        <v>0</v>
      </c>
      <c r="AO143" s="591">
        <v>0</v>
      </c>
      <c r="AP143" s="591">
        <v>0</v>
      </c>
      <c r="AQ143" s="591">
        <v>0</v>
      </c>
      <c r="AR143" s="591">
        <v>0</v>
      </c>
      <c r="AS143" s="591">
        <v>0</v>
      </c>
      <c r="AT143" s="591">
        <v>0</v>
      </c>
      <c r="AU143" s="591">
        <v>0</v>
      </c>
      <c r="AV143" s="591">
        <v>0</v>
      </c>
      <c r="AW143" s="591">
        <v>2240545</v>
      </c>
      <c r="AX143" s="591">
        <v>2207811</v>
      </c>
      <c r="AY143" s="591">
        <v>0</v>
      </c>
      <c r="AZ143" s="591">
        <v>77667</v>
      </c>
      <c r="BA143" s="591">
        <v>0</v>
      </c>
      <c r="BB143" s="591">
        <v>0</v>
      </c>
      <c r="BC143" s="591">
        <v>0</v>
      </c>
      <c r="BD143" s="591">
        <v>0</v>
      </c>
      <c r="BE143" s="591">
        <v>29</v>
      </c>
      <c r="BF143" s="591">
        <v>2032061</v>
      </c>
      <c r="BG143" s="591">
        <v>0</v>
      </c>
      <c r="BH143" s="591">
        <v>0</v>
      </c>
      <c r="BI143" s="591">
        <v>0</v>
      </c>
      <c r="BJ143" s="591">
        <v>12</v>
      </c>
      <c r="BK143" s="591">
        <v>0</v>
      </c>
      <c r="BL143" s="591">
        <v>0</v>
      </c>
      <c r="BM143" s="591">
        <v>0</v>
      </c>
      <c r="BN143" s="591">
        <v>0</v>
      </c>
      <c r="BO143" s="591">
        <v>0</v>
      </c>
      <c r="BP143" s="591">
        <v>0</v>
      </c>
      <c r="BQ143" s="591">
        <v>743</v>
      </c>
      <c r="BR143" s="591">
        <v>0</v>
      </c>
      <c r="BS143" s="591">
        <v>0</v>
      </c>
      <c r="BT143" s="591">
        <v>0</v>
      </c>
      <c r="BU143" s="591">
        <v>0</v>
      </c>
      <c r="BV143" s="591">
        <v>0</v>
      </c>
      <c r="BW143" s="591">
        <v>0</v>
      </c>
      <c r="BX143" s="591">
        <v>0</v>
      </c>
      <c r="BY143" s="591">
        <v>0</v>
      </c>
      <c r="BZ143" s="591">
        <v>0</v>
      </c>
      <c r="CA143" s="591">
        <v>0</v>
      </c>
      <c r="CB143" s="591">
        <v>0</v>
      </c>
      <c r="CC143" s="591">
        <v>0</v>
      </c>
      <c r="CD143" s="591">
        <v>0</v>
      </c>
      <c r="CE143" s="591">
        <v>0</v>
      </c>
      <c r="CF143" s="591">
        <v>0</v>
      </c>
      <c r="CG143" s="591">
        <v>0</v>
      </c>
      <c r="CH143" s="591">
        <v>33626</v>
      </c>
      <c r="CI143" s="591">
        <v>0</v>
      </c>
      <c r="CJ143" s="591">
        <v>4</v>
      </c>
      <c r="CK143" s="591">
        <v>0</v>
      </c>
      <c r="CL143" s="591">
        <v>0</v>
      </c>
      <c r="CM143" s="591">
        <v>0</v>
      </c>
      <c r="CN143" s="591">
        <v>0</v>
      </c>
      <c r="CO143" s="591">
        <v>1</v>
      </c>
      <c r="CP143" s="591">
        <v>0</v>
      </c>
      <c r="CQ143" s="591">
        <v>0</v>
      </c>
      <c r="CR143" s="591">
        <v>185.56200000000001</v>
      </c>
      <c r="CS143" s="591">
        <v>0</v>
      </c>
      <c r="CT143" s="591">
        <v>0</v>
      </c>
      <c r="CU143" s="591">
        <v>0</v>
      </c>
      <c r="CV143" s="591">
        <v>0</v>
      </c>
      <c r="CW143" s="591">
        <v>0</v>
      </c>
      <c r="CX143" s="591">
        <v>0</v>
      </c>
      <c r="CY143" s="591">
        <v>0</v>
      </c>
      <c r="CZ143" s="591">
        <v>0</v>
      </c>
      <c r="DA143" s="591">
        <v>0</v>
      </c>
      <c r="DB143" s="591">
        <v>1078917</v>
      </c>
      <c r="DC143" s="591">
        <v>0</v>
      </c>
      <c r="DD143" s="591">
        <v>0</v>
      </c>
      <c r="DE143" s="591">
        <v>393180</v>
      </c>
      <c r="DF143" s="591">
        <v>393180</v>
      </c>
      <c r="DG143" s="591">
        <v>63.838000000000001</v>
      </c>
      <c r="DH143" s="591">
        <v>0</v>
      </c>
      <c r="DI143" s="591">
        <v>0</v>
      </c>
      <c r="DJ143" s="591">
        <v>0</v>
      </c>
      <c r="DK143" s="591">
        <v>3510</v>
      </c>
      <c r="DL143" s="591">
        <v>0</v>
      </c>
      <c r="DM143" s="591">
        <v>226185</v>
      </c>
      <c r="DN143" s="591">
        <v>863</v>
      </c>
      <c r="DO143" s="591">
        <v>0</v>
      </c>
      <c r="DP143" s="591">
        <v>0</v>
      </c>
      <c r="DQ143" s="591">
        <v>0</v>
      </c>
      <c r="DR143" s="591">
        <v>0</v>
      </c>
      <c r="DS143" s="591">
        <v>0</v>
      </c>
      <c r="DT143" s="591">
        <v>0</v>
      </c>
      <c r="DU143" s="591">
        <v>0</v>
      </c>
      <c r="DV143" s="591">
        <v>0</v>
      </c>
      <c r="DW143" s="591">
        <v>0</v>
      </c>
      <c r="DX143" s="591">
        <v>0</v>
      </c>
      <c r="DY143" s="591">
        <v>0</v>
      </c>
      <c r="DZ143" s="591">
        <v>0</v>
      </c>
      <c r="EA143" s="591">
        <v>0</v>
      </c>
      <c r="EB143" s="591">
        <v>0</v>
      </c>
      <c r="EC143" s="591">
        <v>3.4320000000000004</v>
      </c>
      <c r="ED143" s="591">
        <v>24309</v>
      </c>
      <c r="EE143" s="591">
        <v>0</v>
      </c>
      <c r="EF143" s="591">
        <v>0</v>
      </c>
      <c r="EG143" s="591">
        <v>0</v>
      </c>
      <c r="EH143" s="591">
        <v>202739</v>
      </c>
      <c r="EI143" s="591">
        <v>0</v>
      </c>
      <c r="EJ143" s="591">
        <v>0</v>
      </c>
      <c r="EK143" s="591">
        <v>9.5090000000000003</v>
      </c>
      <c r="EL143" s="591">
        <v>0</v>
      </c>
      <c r="EM143" s="591">
        <v>0</v>
      </c>
      <c r="EN143" s="591">
        <v>0.878</v>
      </c>
      <c r="EO143" s="591">
        <v>0</v>
      </c>
      <c r="EP143" s="591">
        <v>0</v>
      </c>
      <c r="EQ143" s="591">
        <v>10.387</v>
      </c>
      <c r="ER143" s="591">
        <v>0</v>
      </c>
      <c r="ES143" s="591">
        <v>32.917000000000002</v>
      </c>
      <c r="ET143" s="591">
        <v>0</v>
      </c>
      <c r="EU143" s="591">
        <v>0</v>
      </c>
      <c r="EV143" s="591">
        <v>0</v>
      </c>
      <c r="EW143" s="591">
        <v>0</v>
      </c>
      <c r="EX143" s="591">
        <v>0</v>
      </c>
      <c r="EY143" s="591">
        <v>0</v>
      </c>
      <c r="EZ143" s="591">
        <v>1954394</v>
      </c>
      <c r="FA143" s="591">
        <v>0</v>
      </c>
      <c r="FB143" s="591">
        <v>2031169</v>
      </c>
      <c r="FC143" s="591">
        <v>0</v>
      </c>
      <c r="FD143" s="591">
        <v>0</v>
      </c>
      <c r="FE143" s="591">
        <v>210484</v>
      </c>
      <c r="FF143" s="591">
        <v>42933</v>
      </c>
      <c r="FG143" s="591">
        <v>6.4728999999999995E-2</v>
      </c>
      <c r="FH143" s="591">
        <v>2.6405999999999999E-2</v>
      </c>
      <c r="FI143" s="591">
        <v>0</v>
      </c>
      <c r="FJ143" s="591">
        <v>0</v>
      </c>
      <c r="FK143" s="591">
        <v>329.92900000000003</v>
      </c>
      <c r="FL143" s="591">
        <v>2318212</v>
      </c>
      <c r="FM143" s="591">
        <v>0</v>
      </c>
      <c r="FN143" s="591">
        <v>0</v>
      </c>
      <c r="FO143" s="591">
        <v>0</v>
      </c>
      <c r="FP143" s="591">
        <v>0</v>
      </c>
      <c r="FQ143" s="591">
        <v>0</v>
      </c>
      <c r="FR143" s="591">
        <v>0</v>
      </c>
      <c r="FS143" s="591">
        <v>0</v>
      </c>
      <c r="FT143" s="591">
        <v>0</v>
      </c>
      <c r="FU143" s="591">
        <v>0</v>
      </c>
      <c r="FV143" s="591">
        <v>0</v>
      </c>
      <c r="FW143" s="591">
        <v>0</v>
      </c>
      <c r="FX143" s="591">
        <v>0</v>
      </c>
      <c r="FY143" s="591">
        <v>0</v>
      </c>
      <c r="FZ143" s="591">
        <v>0</v>
      </c>
      <c r="GA143" s="591">
        <v>0</v>
      </c>
      <c r="GB143" s="591">
        <v>0</v>
      </c>
      <c r="GC143" s="591">
        <v>0</v>
      </c>
      <c r="GD143" s="591">
        <v>0</v>
      </c>
      <c r="GE143" s="591">
        <v>0</v>
      </c>
      <c r="GF143" s="591">
        <v>0</v>
      </c>
      <c r="GG143" s="591">
        <v>0</v>
      </c>
      <c r="GH143" s="591">
        <v>0</v>
      </c>
      <c r="GI143" s="591">
        <v>0</v>
      </c>
      <c r="GJ143" s="591">
        <v>0</v>
      </c>
      <c r="GK143" s="591">
        <v>0</v>
      </c>
      <c r="GL143" s="591">
        <v>0</v>
      </c>
      <c r="GM143" s="591">
        <v>0</v>
      </c>
      <c r="GN143" s="591">
        <v>0</v>
      </c>
      <c r="GO143" s="591">
        <v>0</v>
      </c>
      <c r="GP143" s="591">
        <v>0</v>
      </c>
      <c r="GQ143" s="591">
        <v>0</v>
      </c>
      <c r="GR143" s="591">
        <v>0</v>
      </c>
      <c r="GS143" s="591">
        <v>0</v>
      </c>
      <c r="GT143" s="591">
        <v>0</v>
      </c>
      <c r="GU143" s="591">
        <v>0</v>
      </c>
      <c r="GV143" s="591">
        <v>0</v>
      </c>
      <c r="GW143" s="591">
        <v>0</v>
      </c>
      <c r="GX143" s="591">
        <v>0</v>
      </c>
      <c r="GY143" s="591">
        <v>0</v>
      </c>
      <c r="GZ143" s="591">
        <v>0</v>
      </c>
      <c r="HA143" s="591">
        <v>0</v>
      </c>
      <c r="HB143" s="591">
        <v>260009272</v>
      </c>
      <c r="HC143" s="591">
        <v>5.1774999999999995E-2</v>
      </c>
      <c r="HD143" s="591">
        <v>33626</v>
      </c>
      <c r="HE143" s="591">
        <v>0</v>
      </c>
      <c r="HF143" s="591">
        <v>192517</v>
      </c>
      <c r="HG143" s="591">
        <v>1925</v>
      </c>
      <c r="HH143" s="591">
        <v>102241</v>
      </c>
      <c r="HI143" s="591">
        <v>0</v>
      </c>
      <c r="HJ143" s="591">
        <v>1804</v>
      </c>
      <c r="HK143" s="591">
        <v>0</v>
      </c>
      <c r="HL143" s="591">
        <v>0</v>
      </c>
      <c r="HM143" s="591">
        <v>0</v>
      </c>
      <c r="HN143" s="591">
        <v>0</v>
      </c>
      <c r="HO143" s="591">
        <v>0</v>
      </c>
      <c r="HP143" s="591">
        <v>0</v>
      </c>
      <c r="HQ143" s="591">
        <v>0</v>
      </c>
      <c r="HR143" s="591">
        <v>0</v>
      </c>
      <c r="HS143" s="591">
        <v>1953502</v>
      </c>
      <c r="HT143" s="591">
        <v>0</v>
      </c>
      <c r="HU143" s="591">
        <v>0</v>
      </c>
      <c r="HV143" s="591">
        <v>0</v>
      </c>
      <c r="HW143" s="591">
        <v>0</v>
      </c>
      <c r="HX143" s="591">
        <v>4</v>
      </c>
      <c r="HY143" s="591">
        <v>8</v>
      </c>
      <c r="HZ143" s="591">
        <v>8</v>
      </c>
      <c r="IA143" s="591">
        <v>73</v>
      </c>
      <c r="IB143" s="591">
        <v>145</v>
      </c>
      <c r="IC143" s="591">
        <v>218</v>
      </c>
      <c r="ID143" s="591">
        <v>0</v>
      </c>
      <c r="IE143" s="591">
        <v>0</v>
      </c>
      <c r="IF143" s="591">
        <v>0</v>
      </c>
      <c r="IG143" s="591">
        <v>3.125</v>
      </c>
      <c r="IH143" s="591">
        <v>166</v>
      </c>
      <c r="II143" s="591">
        <v>0</v>
      </c>
      <c r="IJ143" s="591">
        <v>55.9</v>
      </c>
      <c r="IK143" s="591">
        <v>0</v>
      </c>
      <c r="IL143" s="591">
        <v>0</v>
      </c>
      <c r="IM143" s="591">
        <v>0</v>
      </c>
      <c r="IN143" s="591">
        <v>0</v>
      </c>
      <c r="IO143" s="591">
        <v>0</v>
      </c>
      <c r="IP143" s="591">
        <v>0</v>
      </c>
      <c r="IQ143" s="591">
        <v>55.9</v>
      </c>
      <c r="IR143" s="591">
        <v>34429</v>
      </c>
      <c r="IS143" s="591">
        <v>0</v>
      </c>
      <c r="IT143" s="591">
        <v>0</v>
      </c>
      <c r="IU143" s="591">
        <v>0</v>
      </c>
      <c r="IV143" s="591">
        <v>0</v>
      </c>
      <c r="IW143" s="591">
        <v>6159</v>
      </c>
      <c r="IX143" s="591">
        <v>0</v>
      </c>
      <c r="IY143" s="591">
        <v>0</v>
      </c>
      <c r="IZ143" s="591">
        <v>0</v>
      </c>
      <c r="JA143" s="591">
        <v>0</v>
      </c>
      <c r="JB143" s="591">
        <v>0</v>
      </c>
      <c r="JC143" s="591">
        <v>0</v>
      </c>
      <c r="JD143" s="591">
        <v>0</v>
      </c>
      <c r="JE143" s="591">
        <v>0</v>
      </c>
      <c r="JF143" s="591">
        <v>0</v>
      </c>
      <c r="JG143" s="591">
        <v>0</v>
      </c>
      <c r="JH143" s="591">
        <v>0</v>
      </c>
      <c r="JI143" s="591">
        <v>0</v>
      </c>
      <c r="JJ143" s="591">
        <v>0</v>
      </c>
      <c r="JK143" s="591">
        <v>0</v>
      </c>
      <c r="JL143" s="591">
        <v>0</v>
      </c>
      <c r="JM143" s="591">
        <v>0</v>
      </c>
      <c r="JN143" s="591">
        <v>32469</v>
      </c>
    </row>
    <row r="144" spans="1:274" x14ac:dyDescent="0.25">
      <c r="A144" s="591">
        <v>32570</v>
      </c>
      <c r="B144" s="591">
        <v>161802</v>
      </c>
      <c r="C144" s="591">
        <v>9</v>
      </c>
      <c r="D144" s="591">
        <v>2022</v>
      </c>
      <c r="E144" s="591">
        <v>6159</v>
      </c>
      <c r="F144" s="591">
        <v>0</v>
      </c>
      <c r="G144" s="591">
        <v>756.51700000000005</v>
      </c>
      <c r="H144" s="591">
        <v>682.12</v>
      </c>
      <c r="I144" s="591">
        <v>682.12</v>
      </c>
      <c r="J144" s="591">
        <v>756.51700000000005</v>
      </c>
      <c r="K144" s="591">
        <v>0</v>
      </c>
      <c r="L144" s="591">
        <v>6159</v>
      </c>
      <c r="M144" s="591">
        <v>0</v>
      </c>
      <c r="N144" s="591">
        <v>0</v>
      </c>
      <c r="O144" s="591">
        <v>0</v>
      </c>
      <c r="P144" s="591">
        <v>752.14600000000007</v>
      </c>
      <c r="Q144" s="591">
        <v>0</v>
      </c>
      <c r="R144" s="591">
        <v>302685</v>
      </c>
      <c r="S144" s="591">
        <v>402.428</v>
      </c>
      <c r="T144" s="591">
        <v>0</v>
      </c>
      <c r="U144" s="591">
        <v>0</v>
      </c>
      <c r="V144" s="591">
        <v>64.655000000000001</v>
      </c>
      <c r="W144" s="591">
        <v>39822</v>
      </c>
      <c r="X144" s="591">
        <v>39822</v>
      </c>
      <c r="Y144" s="591">
        <v>0</v>
      </c>
      <c r="Z144" s="591">
        <v>0</v>
      </c>
      <c r="AA144" s="591">
        <v>0</v>
      </c>
      <c r="AB144" s="591">
        <v>0</v>
      </c>
      <c r="AC144" s="591">
        <v>0</v>
      </c>
      <c r="AD144" s="591" t="s">
        <v>316</v>
      </c>
      <c r="AE144" s="591">
        <v>0</v>
      </c>
      <c r="AF144" s="591">
        <v>0</v>
      </c>
      <c r="AG144" s="591">
        <v>0</v>
      </c>
      <c r="AH144" s="591">
        <v>0</v>
      </c>
      <c r="AI144" s="591">
        <v>0</v>
      </c>
      <c r="AJ144" s="591">
        <v>6159</v>
      </c>
      <c r="AK144" s="591" t="s">
        <v>671</v>
      </c>
      <c r="AL144" s="591" t="s">
        <v>359</v>
      </c>
      <c r="AM144" s="591">
        <v>0</v>
      </c>
      <c r="AN144" s="591">
        <v>0</v>
      </c>
      <c r="AO144" s="591">
        <v>0</v>
      </c>
      <c r="AP144" s="591">
        <v>0</v>
      </c>
      <c r="AQ144" s="591">
        <v>0</v>
      </c>
      <c r="AR144" s="591">
        <v>0</v>
      </c>
      <c r="AS144" s="591">
        <v>0</v>
      </c>
      <c r="AT144" s="591">
        <v>0</v>
      </c>
      <c r="AU144" s="591">
        <v>0</v>
      </c>
      <c r="AV144" s="591">
        <v>0</v>
      </c>
      <c r="AW144" s="591">
        <v>8360400</v>
      </c>
      <c r="AX144" s="591">
        <v>8226841</v>
      </c>
      <c r="AY144" s="591">
        <v>0</v>
      </c>
      <c r="AZ144" s="591">
        <v>302685</v>
      </c>
      <c r="BA144" s="591">
        <v>0</v>
      </c>
      <c r="BB144" s="591">
        <v>0</v>
      </c>
      <c r="BC144" s="591">
        <v>0</v>
      </c>
      <c r="BD144" s="591">
        <v>0</v>
      </c>
      <c r="BE144" s="591">
        <v>109</v>
      </c>
      <c r="BF144" s="591">
        <v>7579993</v>
      </c>
      <c r="BG144" s="591">
        <v>0</v>
      </c>
      <c r="BH144" s="591">
        <v>0</v>
      </c>
      <c r="BI144" s="591">
        <v>0</v>
      </c>
      <c r="BJ144" s="591">
        <v>12</v>
      </c>
      <c r="BK144" s="591">
        <v>0</v>
      </c>
      <c r="BL144" s="591">
        <v>0</v>
      </c>
      <c r="BM144" s="591">
        <v>0</v>
      </c>
      <c r="BN144" s="591">
        <v>0</v>
      </c>
      <c r="BO144" s="591">
        <v>0</v>
      </c>
      <c r="BP144" s="591">
        <v>0</v>
      </c>
      <c r="BQ144" s="591">
        <v>665</v>
      </c>
      <c r="BR144" s="591">
        <v>0</v>
      </c>
      <c r="BS144" s="591">
        <v>0</v>
      </c>
      <c r="BT144" s="591">
        <v>0</v>
      </c>
      <c r="BU144" s="591">
        <v>0</v>
      </c>
      <c r="BV144" s="591">
        <v>0</v>
      </c>
      <c r="BW144" s="591">
        <v>0</v>
      </c>
      <c r="BX144" s="591">
        <v>0</v>
      </c>
      <c r="BY144" s="591">
        <v>0</v>
      </c>
      <c r="BZ144" s="591">
        <v>0</v>
      </c>
      <c r="CA144" s="591">
        <v>0</v>
      </c>
      <c r="CB144" s="591">
        <v>0</v>
      </c>
      <c r="CC144" s="591">
        <v>0</v>
      </c>
      <c r="CD144" s="591">
        <v>0</v>
      </c>
      <c r="CE144" s="591">
        <v>0</v>
      </c>
      <c r="CF144" s="591">
        <v>0</v>
      </c>
      <c r="CG144" s="591">
        <v>0</v>
      </c>
      <c r="CH144" s="591">
        <v>137089</v>
      </c>
      <c r="CI144" s="591">
        <v>0</v>
      </c>
      <c r="CJ144" s="591">
        <v>4</v>
      </c>
      <c r="CK144" s="591">
        <v>0</v>
      </c>
      <c r="CL144" s="591">
        <v>0</v>
      </c>
      <c r="CM144" s="591">
        <v>0</v>
      </c>
      <c r="CN144" s="591">
        <v>0</v>
      </c>
      <c r="CO144" s="591">
        <v>1</v>
      </c>
      <c r="CP144" s="591">
        <v>0</v>
      </c>
      <c r="CQ144" s="591">
        <v>0</v>
      </c>
      <c r="CR144" s="591">
        <v>756.51700000000005</v>
      </c>
      <c r="CS144" s="591">
        <v>0</v>
      </c>
      <c r="CT144" s="591">
        <v>0</v>
      </c>
      <c r="CU144" s="591">
        <v>0</v>
      </c>
      <c r="CV144" s="591">
        <v>0</v>
      </c>
      <c r="CW144" s="591">
        <v>0</v>
      </c>
      <c r="CX144" s="591">
        <v>0</v>
      </c>
      <c r="CY144" s="591">
        <v>0</v>
      </c>
      <c r="CZ144" s="591">
        <v>0</v>
      </c>
      <c r="DA144" s="591">
        <v>0</v>
      </c>
      <c r="DB144" s="591">
        <v>4201233</v>
      </c>
      <c r="DC144" s="591">
        <v>0</v>
      </c>
      <c r="DD144" s="591">
        <v>0</v>
      </c>
      <c r="DE144" s="591">
        <v>969440</v>
      </c>
      <c r="DF144" s="591">
        <v>969440</v>
      </c>
      <c r="DG144" s="591">
        <v>157.4</v>
      </c>
      <c r="DH144" s="591">
        <v>0</v>
      </c>
      <c r="DI144" s="591">
        <v>0</v>
      </c>
      <c r="DJ144" s="591">
        <v>0</v>
      </c>
      <c r="DK144" s="591">
        <v>2261</v>
      </c>
      <c r="DL144" s="591">
        <v>0</v>
      </c>
      <c r="DM144" s="591">
        <v>896554</v>
      </c>
      <c r="DN144" s="591">
        <v>3421</v>
      </c>
      <c r="DO144" s="591">
        <v>0</v>
      </c>
      <c r="DP144" s="591">
        <v>0</v>
      </c>
      <c r="DQ144" s="591">
        <v>0</v>
      </c>
      <c r="DR144" s="591">
        <v>0</v>
      </c>
      <c r="DS144" s="591">
        <v>0</v>
      </c>
      <c r="DT144" s="591">
        <v>0</v>
      </c>
      <c r="DU144" s="591">
        <v>0</v>
      </c>
      <c r="DV144" s="591">
        <v>0</v>
      </c>
      <c r="DW144" s="591">
        <v>0</v>
      </c>
      <c r="DX144" s="591">
        <v>0</v>
      </c>
      <c r="DY144" s="591">
        <v>0</v>
      </c>
      <c r="DZ144" s="591">
        <v>0</v>
      </c>
      <c r="EA144" s="591">
        <v>0</v>
      </c>
      <c r="EB144" s="591">
        <v>0</v>
      </c>
      <c r="EC144" s="591">
        <v>71.67</v>
      </c>
      <c r="ED144" s="591">
        <v>507635</v>
      </c>
      <c r="EE144" s="591">
        <v>0</v>
      </c>
      <c r="EF144" s="591">
        <v>0</v>
      </c>
      <c r="EG144" s="591">
        <v>0</v>
      </c>
      <c r="EH144" s="591">
        <v>392340</v>
      </c>
      <c r="EI144" s="591">
        <v>0</v>
      </c>
      <c r="EJ144" s="591">
        <v>0</v>
      </c>
      <c r="EK144" s="591">
        <v>16.739000000000001</v>
      </c>
      <c r="EL144" s="591">
        <v>0</v>
      </c>
      <c r="EM144" s="591">
        <v>0.96300000000000008</v>
      </c>
      <c r="EN144" s="591">
        <v>2.1190000000000002</v>
      </c>
      <c r="EO144" s="591">
        <v>0</v>
      </c>
      <c r="EP144" s="591">
        <v>0</v>
      </c>
      <c r="EQ144" s="591">
        <v>19.821000000000002</v>
      </c>
      <c r="ER144" s="591">
        <v>0</v>
      </c>
      <c r="ES144" s="591">
        <v>63.701000000000001</v>
      </c>
      <c r="ET144" s="591">
        <v>0</v>
      </c>
      <c r="EU144" s="591">
        <v>0</v>
      </c>
      <c r="EV144" s="591">
        <v>0</v>
      </c>
      <c r="EW144" s="591">
        <v>0</v>
      </c>
      <c r="EX144" s="591">
        <v>0</v>
      </c>
      <c r="EY144" s="591">
        <v>0</v>
      </c>
      <c r="EZ144" s="591">
        <v>7281541</v>
      </c>
      <c r="FA144" s="591">
        <v>0</v>
      </c>
      <c r="FB144" s="591">
        <v>7580696</v>
      </c>
      <c r="FC144" s="591">
        <v>0</v>
      </c>
      <c r="FD144" s="591">
        <v>0</v>
      </c>
      <c r="FE144" s="591">
        <v>785150</v>
      </c>
      <c r="FF144" s="591">
        <v>160150</v>
      </c>
      <c r="FG144" s="591">
        <v>6.4728999999999995E-2</v>
      </c>
      <c r="FH144" s="591">
        <v>2.6405999999999999E-2</v>
      </c>
      <c r="FI144" s="591">
        <v>0</v>
      </c>
      <c r="FJ144" s="591">
        <v>0</v>
      </c>
      <c r="FK144" s="591">
        <v>1230.702</v>
      </c>
      <c r="FL144" s="591">
        <v>8663085</v>
      </c>
      <c r="FM144" s="591">
        <v>0</v>
      </c>
      <c r="FN144" s="591">
        <v>0</v>
      </c>
      <c r="FO144" s="591">
        <v>0</v>
      </c>
      <c r="FP144" s="591">
        <v>0</v>
      </c>
      <c r="FQ144" s="591">
        <v>0</v>
      </c>
      <c r="FR144" s="591">
        <v>0</v>
      </c>
      <c r="FS144" s="591">
        <v>0</v>
      </c>
      <c r="FT144" s="591">
        <v>0</v>
      </c>
      <c r="FU144" s="591">
        <v>0</v>
      </c>
      <c r="FV144" s="591">
        <v>0</v>
      </c>
      <c r="FW144" s="591">
        <v>0</v>
      </c>
      <c r="FX144" s="591">
        <v>0</v>
      </c>
      <c r="FY144" s="591">
        <v>0</v>
      </c>
      <c r="FZ144" s="591">
        <v>0</v>
      </c>
      <c r="GA144" s="591">
        <v>0</v>
      </c>
      <c r="GB144" s="591">
        <v>453786</v>
      </c>
      <c r="GC144" s="591">
        <v>453786</v>
      </c>
      <c r="GD144" s="591">
        <v>54.576000000000001</v>
      </c>
      <c r="GE144" s="591">
        <v>0</v>
      </c>
      <c r="GF144" s="591">
        <v>0</v>
      </c>
      <c r="GG144" s="591">
        <v>0</v>
      </c>
      <c r="GH144" s="591">
        <v>0</v>
      </c>
      <c r="GI144" s="591">
        <v>0</v>
      </c>
      <c r="GJ144" s="591">
        <v>0</v>
      </c>
      <c r="GK144" s="591">
        <v>0</v>
      </c>
      <c r="GL144" s="591">
        <v>0</v>
      </c>
      <c r="GM144" s="591">
        <v>0</v>
      </c>
      <c r="GN144" s="591">
        <v>0</v>
      </c>
      <c r="GO144" s="591">
        <v>0</v>
      </c>
      <c r="GP144" s="591">
        <v>0</v>
      </c>
      <c r="GQ144" s="591">
        <v>0</v>
      </c>
      <c r="GR144" s="591">
        <v>0</v>
      </c>
      <c r="GS144" s="591">
        <v>0</v>
      </c>
      <c r="GT144" s="591">
        <v>0</v>
      </c>
      <c r="GU144" s="591">
        <v>0</v>
      </c>
      <c r="GV144" s="591">
        <v>0</v>
      </c>
      <c r="GW144" s="591">
        <v>0</v>
      </c>
      <c r="GX144" s="591">
        <v>0</v>
      </c>
      <c r="GY144" s="591">
        <v>0</v>
      </c>
      <c r="GZ144" s="591">
        <v>0</v>
      </c>
      <c r="HA144" s="591">
        <v>0</v>
      </c>
      <c r="HB144" s="591">
        <v>260009272</v>
      </c>
      <c r="HC144" s="591">
        <v>5.1774999999999995E-2</v>
      </c>
      <c r="HD144" s="591">
        <v>137089</v>
      </c>
      <c r="HE144" s="591">
        <v>0</v>
      </c>
      <c r="HF144" s="591">
        <v>749650</v>
      </c>
      <c r="HG144" s="591">
        <v>37850</v>
      </c>
      <c r="HH144" s="591">
        <v>134884</v>
      </c>
      <c r="HI144" s="591">
        <v>0</v>
      </c>
      <c r="HJ144" s="591">
        <v>7353</v>
      </c>
      <c r="HK144" s="591">
        <v>2056</v>
      </c>
      <c r="HL144" s="591">
        <v>2177</v>
      </c>
      <c r="HM144" s="591">
        <v>86000</v>
      </c>
      <c r="HN144" s="591">
        <v>0</v>
      </c>
      <c r="HO144" s="591">
        <v>0</v>
      </c>
      <c r="HP144" s="591">
        <v>0</v>
      </c>
      <c r="HQ144" s="591">
        <v>0</v>
      </c>
      <c r="HR144" s="591">
        <v>0</v>
      </c>
      <c r="HS144" s="591">
        <v>7278011</v>
      </c>
      <c r="HT144" s="591">
        <v>0</v>
      </c>
      <c r="HU144" s="591">
        <v>0</v>
      </c>
      <c r="HV144" s="591">
        <v>0</v>
      </c>
      <c r="HW144" s="591">
        <v>0</v>
      </c>
      <c r="HX144" s="591">
        <v>39</v>
      </c>
      <c r="HY144" s="591">
        <v>49</v>
      </c>
      <c r="HZ144" s="591">
        <v>47</v>
      </c>
      <c r="IA144" s="591">
        <v>189</v>
      </c>
      <c r="IB144" s="591">
        <v>275</v>
      </c>
      <c r="IC144" s="591">
        <v>576</v>
      </c>
      <c r="ID144" s="591">
        <v>0</v>
      </c>
      <c r="IE144" s="591">
        <v>0</v>
      </c>
      <c r="IF144" s="591">
        <v>0</v>
      </c>
      <c r="IG144" s="591">
        <v>61.454000000000001</v>
      </c>
      <c r="IH144" s="591">
        <v>219</v>
      </c>
      <c r="II144" s="591">
        <v>0</v>
      </c>
      <c r="IJ144" s="591">
        <v>64.655000000000001</v>
      </c>
      <c r="IK144" s="591">
        <v>0</v>
      </c>
      <c r="IL144" s="591">
        <v>10</v>
      </c>
      <c r="IM144" s="591">
        <v>12</v>
      </c>
      <c r="IN144" s="591">
        <v>0</v>
      </c>
      <c r="IO144" s="591">
        <v>22</v>
      </c>
      <c r="IP144" s="591">
        <v>0</v>
      </c>
      <c r="IQ144" s="591">
        <v>64.655000000000001</v>
      </c>
      <c r="IR144" s="591">
        <v>39822</v>
      </c>
      <c r="IS144" s="591">
        <v>0</v>
      </c>
      <c r="IT144" s="591">
        <v>50000</v>
      </c>
      <c r="IU144" s="591">
        <v>36000</v>
      </c>
      <c r="IV144" s="591">
        <v>0</v>
      </c>
      <c r="IW144" s="591">
        <v>6159</v>
      </c>
      <c r="IX144" s="591">
        <v>0</v>
      </c>
      <c r="IY144" s="591">
        <v>0</v>
      </c>
      <c r="IZ144" s="591">
        <v>0</v>
      </c>
      <c r="JA144" s="591">
        <v>0</v>
      </c>
      <c r="JB144" s="591">
        <v>0</v>
      </c>
      <c r="JC144" s="591">
        <v>0</v>
      </c>
      <c r="JD144" s="591">
        <v>0</v>
      </c>
      <c r="JE144" s="591">
        <v>0</v>
      </c>
      <c r="JF144" s="591">
        <v>0</v>
      </c>
      <c r="JG144" s="591">
        <v>0</v>
      </c>
      <c r="JH144" s="591">
        <v>0</v>
      </c>
      <c r="JI144" s="591">
        <v>0</v>
      </c>
      <c r="JJ144" s="591">
        <v>0</v>
      </c>
      <c r="JK144" s="591">
        <v>0</v>
      </c>
      <c r="JL144" s="591">
        <v>0</v>
      </c>
      <c r="JM144" s="591">
        <v>0</v>
      </c>
      <c r="JN144" s="591">
        <v>32469</v>
      </c>
    </row>
    <row r="145" spans="1:274" x14ac:dyDescent="0.25">
      <c r="A145" s="591">
        <v>32570</v>
      </c>
      <c r="B145" s="591">
        <v>161807</v>
      </c>
      <c r="C145" s="591">
        <v>9</v>
      </c>
      <c r="D145" s="591">
        <v>2022</v>
      </c>
      <c r="E145" s="591">
        <v>6159</v>
      </c>
      <c r="F145" s="591">
        <v>0</v>
      </c>
      <c r="G145" s="591">
        <v>9674.5519999999997</v>
      </c>
      <c r="H145" s="591">
        <v>8767.389000000001</v>
      </c>
      <c r="I145" s="591">
        <v>8767.389000000001</v>
      </c>
      <c r="J145" s="591">
        <v>9674.5519999999997</v>
      </c>
      <c r="K145" s="591">
        <v>0</v>
      </c>
      <c r="L145" s="591">
        <v>6159</v>
      </c>
      <c r="M145" s="591">
        <v>0</v>
      </c>
      <c r="N145" s="591">
        <v>0</v>
      </c>
      <c r="O145" s="591">
        <v>0</v>
      </c>
      <c r="P145" s="591">
        <v>9435.7610000000004</v>
      </c>
      <c r="Q145" s="591">
        <v>0</v>
      </c>
      <c r="R145" s="591">
        <v>3797214</v>
      </c>
      <c r="S145" s="591">
        <v>402.428</v>
      </c>
      <c r="T145" s="591">
        <v>0</v>
      </c>
      <c r="U145" s="591">
        <v>0</v>
      </c>
      <c r="V145" s="591">
        <v>2655.7060000000001</v>
      </c>
      <c r="W145" s="591">
        <v>1635671</v>
      </c>
      <c r="X145" s="591">
        <v>1635671</v>
      </c>
      <c r="Y145" s="591">
        <v>0</v>
      </c>
      <c r="Z145" s="591">
        <v>0</v>
      </c>
      <c r="AA145" s="591">
        <v>0</v>
      </c>
      <c r="AB145" s="591">
        <v>0</v>
      </c>
      <c r="AC145" s="591">
        <v>0</v>
      </c>
      <c r="AD145" s="591" t="s">
        <v>316</v>
      </c>
      <c r="AE145" s="591">
        <v>0</v>
      </c>
      <c r="AF145" s="591">
        <v>0</v>
      </c>
      <c r="AG145" s="591">
        <v>0</v>
      </c>
      <c r="AH145" s="591">
        <v>0</v>
      </c>
      <c r="AI145" s="591">
        <v>0</v>
      </c>
      <c r="AJ145" s="591">
        <v>6159</v>
      </c>
      <c r="AK145" s="591" t="s">
        <v>671</v>
      </c>
      <c r="AL145" s="591" t="s">
        <v>360</v>
      </c>
      <c r="AM145" s="591">
        <v>0</v>
      </c>
      <c r="AN145" s="591">
        <v>0</v>
      </c>
      <c r="AO145" s="591">
        <v>0</v>
      </c>
      <c r="AP145" s="591">
        <v>0</v>
      </c>
      <c r="AQ145" s="591">
        <v>0</v>
      </c>
      <c r="AR145" s="591">
        <v>0</v>
      </c>
      <c r="AS145" s="591">
        <v>0</v>
      </c>
      <c r="AT145" s="591">
        <v>0</v>
      </c>
      <c r="AU145" s="591">
        <v>0</v>
      </c>
      <c r="AV145" s="591">
        <v>0</v>
      </c>
      <c r="AW145" s="591">
        <v>99921354</v>
      </c>
      <c r="AX145" s="591">
        <v>98198742</v>
      </c>
      <c r="AY145" s="591">
        <v>0</v>
      </c>
      <c r="AZ145" s="591">
        <v>3797214</v>
      </c>
      <c r="BA145" s="591">
        <v>0</v>
      </c>
      <c r="BB145" s="591">
        <v>0</v>
      </c>
      <c r="BC145" s="591">
        <v>0</v>
      </c>
      <c r="BD145" s="591">
        <v>0</v>
      </c>
      <c r="BE145" s="591">
        <v>1305</v>
      </c>
      <c r="BF145" s="591">
        <v>90619861</v>
      </c>
      <c r="BG145" s="591">
        <v>0</v>
      </c>
      <c r="BH145" s="591">
        <v>0</v>
      </c>
      <c r="BI145" s="591">
        <v>0</v>
      </c>
      <c r="BJ145" s="591">
        <v>12</v>
      </c>
      <c r="BK145" s="591">
        <v>0</v>
      </c>
      <c r="BL145" s="591">
        <v>0</v>
      </c>
      <c r="BM145" s="591">
        <v>0</v>
      </c>
      <c r="BN145" s="591">
        <v>0</v>
      </c>
      <c r="BO145" s="591">
        <v>0</v>
      </c>
      <c r="BP145" s="591">
        <v>0</v>
      </c>
      <c r="BQ145" s="591">
        <v>0</v>
      </c>
      <c r="BR145" s="591">
        <v>0</v>
      </c>
      <c r="BS145" s="591">
        <v>0</v>
      </c>
      <c r="BT145" s="591">
        <v>0</v>
      </c>
      <c r="BU145" s="591">
        <v>0</v>
      </c>
      <c r="BV145" s="591">
        <v>0</v>
      </c>
      <c r="BW145" s="591">
        <v>0</v>
      </c>
      <c r="BX145" s="591">
        <v>0</v>
      </c>
      <c r="BY145" s="591">
        <v>0</v>
      </c>
      <c r="BZ145" s="591">
        <v>0</v>
      </c>
      <c r="CA145" s="591">
        <v>0</v>
      </c>
      <c r="CB145" s="591">
        <v>0</v>
      </c>
      <c r="CC145" s="591">
        <v>0</v>
      </c>
      <c r="CD145" s="591">
        <v>0</v>
      </c>
      <c r="CE145" s="591">
        <v>0</v>
      </c>
      <c r="CF145" s="591">
        <v>0</v>
      </c>
      <c r="CG145" s="591">
        <v>0</v>
      </c>
      <c r="CH145" s="591">
        <v>1753133</v>
      </c>
      <c r="CI145" s="591">
        <v>0</v>
      </c>
      <c r="CJ145" s="591">
        <v>4</v>
      </c>
      <c r="CK145" s="591">
        <v>0</v>
      </c>
      <c r="CL145" s="591">
        <v>0</v>
      </c>
      <c r="CM145" s="591">
        <v>0</v>
      </c>
      <c r="CN145" s="591">
        <v>0</v>
      </c>
      <c r="CO145" s="591">
        <v>1</v>
      </c>
      <c r="CP145" s="591">
        <v>0</v>
      </c>
      <c r="CQ145" s="591">
        <v>0</v>
      </c>
      <c r="CR145" s="591">
        <v>9674.5519999999997</v>
      </c>
      <c r="CS145" s="591">
        <v>0</v>
      </c>
      <c r="CT145" s="591">
        <v>0</v>
      </c>
      <c r="CU145" s="591">
        <v>0</v>
      </c>
      <c r="CV145" s="591">
        <v>0</v>
      </c>
      <c r="CW145" s="591">
        <v>0</v>
      </c>
      <c r="CX145" s="591">
        <v>0</v>
      </c>
      <c r="CY145" s="591">
        <v>0</v>
      </c>
      <c r="CZ145" s="591">
        <v>0</v>
      </c>
      <c r="DA145" s="591">
        <v>0</v>
      </c>
      <c r="DB145" s="591">
        <v>53999071</v>
      </c>
      <c r="DC145" s="591">
        <v>0</v>
      </c>
      <c r="DD145" s="591">
        <v>0</v>
      </c>
      <c r="DE145" s="591">
        <v>9537108</v>
      </c>
      <c r="DF145" s="591">
        <v>9537108</v>
      </c>
      <c r="DG145" s="591">
        <v>1548.463</v>
      </c>
      <c r="DH145" s="591">
        <v>0</v>
      </c>
      <c r="DI145" s="591">
        <v>0</v>
      </c>
      <c r="DJ145" s="591">
        <v>0</v>
      </c>
      <c r="DK145" s="591">
        <v>0</v>
      </c>
      <c r="DL145" s="591">
        <v>0</v>
      </c>
      <c r="DM145" s="591">
        <v>7657658</v>
      </c>
      <c r="DN145" s="591">
        <v>29217</v>
      </c>
      <c r="DO145" s="591">
        <v>0</v>
      </c>
      <c r="DP145" s="591">
        <v>0</v>
      </c>
      <c r="DQ145" s="591">
        <v>0</v>
      </c>
      <c r="DR145" s="591">
        <v>0</v>
      </c>
      <c r="DS145" s="591">
        <v>0</v>
      </c>
      <c r="DT145" s="591">
        <v>0</v>
      </c>
      <c r="DU145" s="591">
        <v>0</v>
      </c>
      <c r="DV145" s="591">
        <v>0</v>
      </c>
      <c r="DW145" s="591">
        <v>0</v>
      </c>
      <c r="DX145" s="591">
        <v>0</v>
      </c>
      <c r="DY145" s="591">
        <v>0</v>
      </c>
      <c r="DZ145" s="591">
        <v>0</v>
      </c>
      <c r="EA145" s="591">
        <v>6.0000000000000001E-3</v>
      </c>
      <c r="EB145" s="591">
        <v>0</v>
      </c>
      <c r="EC145" s="591">
        <v>134.79</v>
      </c>
      <c r="ED145" s="591">
        <v>954710</v>
      </c>
      <c r="EE145" s="591">
        <v>0</v>
      </c>
      <c r="EF145" s="591">
        <v>0</v>
      </c>
      <c r="EG145" s="591">
        <v>0</v>
      </c>
      <c r="EH145" s="591">
        <v>6732165</v>
      </c>
      <c r="EI145" s="591">
        <v>0</v>
      </c>
      <c r="EJ145" s="591">
        <v>0</v>
      </c>
      <c r="EK145" s="591">
        <v>301.03800000000001</v>
      </c>
      <c r="EL145" s="591">
        <v>0</v>
      </c>
      <c r="EM145" s="591">
        <v>34.515000000000001</v>
      </c>
      <c r="EN145" s="591">
        <v>16.933</v>
      </c>
      <c r="EO145" s="591">
        <v>0</v>
      </c>
      <c r="EP145" s="591">
        <v>0</v>
      </c>
      <c r="EQ145" s="591">
        <v>353.22800000000001</v>
      </c>
      <c r="ER145" s="591">
        <v>0.73599999999999999</v>
      </c>
      <c r="ES145" s="591">
        <v>1093.047</v>
      </c>
      <c r="ET145" s="591">
        <v>0</v>
      </c>
      <c r="EU145" s="591">
        <v>0</v>
      </c>
      <c r="EV145" s="591">
        <v>0</v>
      </c>
      <c r="EW145" s="591">
        <v>0</v>
      </c>
      <c r="EX145" s="591">
        <v>0</v>
      </c>
      <c r="EY145" s="591">
        <v>0</v>
      </c>
      <c r="EZ145" s="591">
        <v>86897559</v>
      </c>
      <c r="FA145" s="591">
        <v>0</v>
      </c>
      <c r="FB145" s="591">
        <v>90664252</v>
      </c>
      <c r="FC145" s="591">
        <v>0</v>
      </c>
      <c r="FD145" s="591">
        <v>0</v>
      </c>
      <c r="FE145" s="591">
        <v>9386571</v>
      </c>
      <c r="FF145" s="591">
        <v>1914612</v>
      </c>
      <c r="FG145" s="591">
        <v>6.4728999999999995E-2</v>
      </c>
      <c r="FH145" s="591">
        <v>2.6405999999999999E-2</v>
      </c>
      <c r="FI145" s="591">
        <v>0</v>
      </c>
      <c r="FJ145" s="591">
        <v>0</v>
      </c>
      <c r="FK145" s="591">
        <v>14713.208000000001</v>
      </c>
      <c r="FL145" s="591">
        <v>103718568</v>
      </c>
      <c r="FM145" s="591">
        <v>0</v>
      </c>
      <c r="FN145" s="591">
        <v>0</v>
      </c>
      <c r="FO145" s="591">
        <v>0</v>
      </c>
      <c r="FP145" s="591">
        <v>0</v>
      </c>
      <c r="FQ145" s="591">
        <v>0</v>
      </c>
      <c r="FR145" s="591">
        <v>0</v>
      </c>
      <c r="FS145" s="591">
        <v>0</v>
      </c>
      <c r="FT145" s="591">
        <v>0</v>
      </c>
      <c r="FU145" s="591">
        <v>0</v>
      </c>
      <c r="FV145" s="591">
        <v>0</v>
      </c>
      <c r="FW145" s="591">
        <v>0</v>
      </c>
      <c r="FX145" s="591">
        <v>0</v>
      </c>
      <c r="FY145" s="591">
        <v>0</v>
      </c>
      <c r="FZ145" s="591">
        <v>0</v>
      </c>
      <c r="GA145" s="591">
        <v>0</v>
      </c>
      <c r="GB145" s="591">
        <v>4605837</v>
      </c>
      <c r="GC145" s="591">
        <v>4605837</v>
      </c>
      <c r="GD145" s="591">
        <v>553.93500000000006</v>
      </c>
      <c r="GE145" s="591">
        <v>0</v>
      </c>
      <c r="GF145" s="591">
        <v>0</v>
      </c>
      <c r="GG145" s="591">
        <v>0</v>
      </c>
      <c r="GH145" s="591">
        <v>0</v>
      </c>
      <c r="GI145" s="591">
        <v>0</v>
      </c>
      <c r="GJ145" s="591">
        <v>0</v>
      </c>
      <c r="GK145" s="591">
        <v>0</v>
      </c>
      <c r="GL145" s="591">
        <v>0</v>
      </c>
      <c r="GM145" s="591">
        <v>0</v>
      </c>
      <c r="GN145" s="591">
        <v>0</v>
      </c>
      <c r="GO145" s="591">
        <v>0</v>
      </c>
      <c r="GP145" s="591">
        <v>0</v>
      </c>
      <c r="GQ145" s="591">
        <v>0</v>
      </c>
      <c r="GR145" s="591">
        <v>0</v>
      </c>
      <c r="GS145" s="591">
        <v>0</v>
      </c>
      <c r="GT145" s="591">
        <v>0</v>
      </c>
      <c r="GU145" s="591">
        <v>0</v>
      </c>
      <c r="GV145" s="591">
        <v>0</v>
      </c>
      <c r="GW145" s="591">
        <v>0</v>
      </c>
      <c r="GX145" s="591">
        <v>0</v>
      </c>
      <c r="GY145" s="591">
        <v>0</v>
      </c>
      <c r="GZ145" s="591">
        <v>0</v>
      </c>
      <c r="HA145" s="591">
        <v>0</v>
      </c>
      <c r="HB145" s="591">
        <v>260009272</v>
      </c>
      <c r="HC145" s="591">
        <v>5.1774999999999995E-2</v>
      </c>
      <c r="HD145" s="591">
        <v>1753133</v>
      </c>
      <c r="HE145" s="591">
        <v>0</v>
      </c>
      <c r="HF145" s="591">
        <v>9635361</v>
      </c>
      <c r="HG145" s="591">
        <v>160136</v>
      </c>
      <c r="HH145" s="591">
        <v>1532895</v>
      </c>
      <c r="HI145" s="591">
        <v>0</v>
      </c>
      <c r="HJ145" s="591">
        <v>94037</v>
      </c>
      <c r="HK145" s="591">
        <v>43120</v>
      </c>
      <c r="HL145" s="591">
        <v>31792</v>
      </c>
      <c r="HM145" s="591">
        <v>900000</v>
      </c>
      <c r="HN145" s="591">
        <v>832870</v>
      </c>
      <c r="HO145" s="591">
        <v>0</v>
      </c>
      <c r="HP145" s="591">
        <v>0</v>
      </c>
      <c r="HQ145" s="591">
        <v>0</v>
      </c>
      <c r="HR145" s="591">
        <v>0</v>
      </c>
      <c r="HS145" s="591">
        <v>86867038</v>
      </c>
      <c r="HT145" s="591">
        <v>0</v>
      </c>
      <c r="HU145" s="591">
        <v>0</v>
      </c>
      <c r="HV145" s="591">
        <v>0</v>
      </c>
      <c r="HW145" s="591">
        <v>0</v>
      </c>
      <c r="HX145" s="591">
        <v>1145</v>
      </c>
      <c r="HY145" s="591">
        <v>1163</v>
      </c>
      <c r="HZ145" s="591">
        <v>1118</v>
      </c>
      <c r="IA145" s="591">
        <v>1580</v>
      </c>
      <c r="IB145" s="591">
        <v>1165</v>
      </c>
      <c r="IC145" s="591">
        <v>6171</v>
      </c>
      <c r="ID145" s="591">
        <v>0</v>
      </c>
      <c r="IE145" s="591">
        <v>0</v>
      </c>
      <c r="IF145" s="591">
        <v>0</v>
      </c>
      <c r="IG145" s="591">
        <v>260</v>
      </c>
      <c r="IH145" s="591">
        <v>2488.837</v>
      </c>
      <c r="II145" s="591">
        <v>0</v>
      </c>
      <c r="IJ145" s="591">
        <v>2655.7060000000001</v>
      </c>
      <c r="IK145" s="591">
        <v>0</v>
      </c>
      <c r="IL145" s="591">
        <v>122</v>
      </c>
      <c r="IM145" s="591">
        <v>96</v>
      </c>
      <c r="IN145" s="591">
        <v>1</v>
      </c>
      <c r="IO145" s="591">
        <v>219</v>
      </c>
      <c r="IP145" s="591">
        <v>0</v>
      </c>
      <c r="IQ145" s="591">
        <v>2655.7060000000001</v>
      </c>
      <c r="IR145" s="591">
        <v>1635671</v>
      </c>
      <c r="IS145" s="591">
        <v>0</v>
      </c>
      <c r="IT145" s="591">
        <v>610000</v>
      </c>
      <c r="IU145" s="591">
        <v>288000</v>
      </c>
      <c r="IV145" s="591">
        <v>2000</v>
      </c>
      <c r="IW145" s="591">
        <v>6159</v>
      </c>
      <c r="IX145" s="591">
        <v>0</v>
      </c>
      <c r="IY145" s="591">
        <v>0</v>
      </c>
      <c r="IZ145" s="591">
        <v>0</v>
      </c>
      <c r="JA145" s="591">
        <v>0</v>
      </c>
      <c r="JB145" s="591">
        <v>12</v>
      </c>
      <c r="JC145" s="591">
        <v>224456</v>
      </c>
      <c r="JD145" s="591">
        <v>41</v>
      </c>
      <c r="JE145" s="591">
        <v>398791</v>
      </c>
      <c r="JF145" s="591">
        <v>31</v>
      </c>
      <c r="JG145" s="591">
        <v>160623</v>
      </c>
      <c r="JH145" s="591">
        <v>49000</v>
      </c>
      <c r="JI145" s="591">
        <v>0</v>
      </c>
      <c r="JJ145" s="591">
        <v>0</v>
      </c>
      <c r="JK145" s="591">
        <v>0</v>
      </c>
      <c r="JL145" s="591">
        <v>0</v>
      </c>
      <c r="JM145" s="591">
        <v>0</v>
      </c>
      <c r="JN145" s="591">
        <v>32469</v>
      </c>
    </row>
    <row r="146" spans="1:274" x14ac:dyDescent="0.25">
      <c r="A146" s="591">
        <v>32570</v>
      </c>
      <c r="B146" s="591">
        <v>165802</v>
      </c>
      <c r="C146" s="591">
        <v>9</v>
      </c>
      <c r="D146" s="591">
        <v>2022</v>
      </c>
      <c r="E146" s="591">
        <v>6159</v>
      </c>
      <c r="F146" s="591">
        <v>0</v>
      </c>
      <c r="G146" s="591">
        <v>345.87800000000004</v>
      </c>
      <c r="H146" s="591">
        <v>339.32300000000004</v>
      </c>
      <c r="I146" s="591">
        <v>339.32300000000004</v>
      </c>
      <c r="J146" s="591">
        <v>345.87800000000004</v>
      </c>
      <c r="K146" s="591">
        <v>0</v>
      </c>
      <c r="L146" s="591">
        <v>6159</v>
      </c>
      <c r="M146" s="591">
        <v>0</v>
      </c>
      <c r="N146" s="591">
        <v>0</v>
      </c>
      <c r="O146" s="591">
        <v>0</v>
      </c>
      <c r="P146" s="591">
        <v>345.19800000000004</v>
      </c>
      <c r="Q146" s="591">
        <v>0</v>
      </c>
      <c r="R146" s="591">
        <v>138917</v>
      </c>
      <c r="S146" s="591">
        <v>402.428</v>
      </c>
      <c r="T146" s="591">
        <v>0</v>
      </c>
      <c r="U146" s="591">
        <v>0</v>
      </c>
      <c r="V146" s="591">
        <v>17.137</v>
      </c>
      <c r="W146" s="591">
        <v>10555</v>
      </c>
      <c r="X146" s="591">
        <v>10555</v>
      </c>
      <c r="Y146" s="591">
        <v>0</v>
      </c>
      <c r="Z146" s="591">
        <v>0</v>
      </c>
      <c r="AA146" s="591">
        <v>0</v>
      </c>
      <c r="AB146" s="591">
        <v>0</v>
      </c>
      <c r="AC146" s="591">
        <v>0</v>
      </c>
      <c r="AD146" s="591" t="s">
        <v>316</v>
      </c>
      <c r="AE146" s="591">
        <v>0</v>
      </c>
      <c r="AF146" s="591">
        <v>0</v>
      </c>
      <c r="AG146" s="591">
        <v>0</v>
      </c>
      <c r="AH146" s="591">
        <v>0</v>
      </c>
      <c r="AI146" s="591">
        <v>0</v>
      </c>
      <c r="AJ146" s="591">
        <v>6159</v>
      </c>
      <c r="AK146" s="591" t="s">
        <v>671</v>
      </c>
      <c r="AL146" s="591" t="s">
        <v>91</v>
      </c>
      <c r="AM146" s="591">
        <v>0</v>
      </c>
      <c r="AN146" s="591">
        <v>0</v>
      </c>
      <c r="AO146" s="591">
        <v>0</v>
      </c>
      <c r="AP146" s="591">
        <v>0</v>
      </c>
      <c r="AQ146" s="591">
        <v>0</v>
      </c>
      <c r="AR146" s="591">
        <v>0</v>
      </c>
      <c r="AS146" s="591">
        <v>0</v>
      </c>
      <c r="AT146" s="591">
        <v>0</v>
      </c>
      <c r="AU146" s="591">
        <v>0</v>
      </c>
      <c r="AV146" s="591">
        <v>0</v>
      </c>
      <c r="AW146" s="591">
        <v>3194608</v>
      </c>
      <c r="AX146" s="591">
        <v>3132454</v>
      </c>
      <c r="AY146" s="591">
        <v>0</v>
      </c>
      <c r="AZ146" s="591">
        <v>138917</v>
      </c>
      <c r="BA146" s="591">
        <v>0</v>
      </c>
      <c r="BB146" s="591">
        <v>0</v>
      </c>
      <c r="BC146" s="591">
        <v>0</v>
      </c>
      <c r="BD146" s="591">
        <v>2.9820000000000002</v>
      </c>
      <c r="BE146" s="591">
        <v>42</v>
      </c>
      <c r="BF146" s="591">
        <v>2908349</v>
      </c>
      <c r="BG146" s="591">
        <v>0</v>
      </c>
      <c r="BH146" s="591">
        <v>0</v>
      </c>
      <c r="BI146" s="591">
        <v>0</v>
      </c>
      <c r="BJ146" s="591">
        <v>12</v>
      </c>
      <c r="BK146" s="591">
        <v>0</v>
      </c>
      <c r="BL146" s="591">
        <v>0</v>
      </c>
      <c r="BM146" s="591">
        <v>0</v>
      </c>
      <c r="BN146" s="591">
        <v>0</v>
      </c>
      <c r="BO146" s="591">
        <v>0</v>
      </c>
      <c r="BP146" s="591">
        <v>0</v>
      </c>
      <c r="BQ146" s="591">
        <v>718</v>
      </c>
      <c r="BR146" s="591">
        <v>0</v>
      </c>
      <c r="BS146" s="591">
        <v>0</v>
      </c>
      <c r="BT146" s="591">
        <v>0</v>
      </c>
      <c r="BU146" s="591">
        <v>0</v>
      </c>
      <c r="BV146" s="591">
        <v>0</v>
      </c>
      <c r="BW146" s="591">
        <v>0</v>
      </c>
      <c r="BX146" s="591">
        <v>0</v>
      </c>
      <c r="BY146" s="591">
        <v>0</v>
      </c>
      <c r="BZ146" s="591">
        <v>0</v>
      </c>
      <c r="CA146" s="591">
        <v>0</v>
      </c>
      <c r="CB146" s="591">
        <v>0</v>
      </c>
      <c r="CC146" s="591">
        <v>0</v>
      </c>
      <c r="CD146" s="591">
        <v>0</v>
      </c>
      <c r="CE146" s="591">
        <v>0</v>
      </c>
      <c r="CF146" s="591">
        <v>0</v>
      </c>
      <c r="CG146" s="591">
        <v>0</v>
      </c>
      <c r="CH146" s="591">
        <v>62677</v>
      </c>
      <c r="CI146" s="591">
        <v>0</v>
      </c>
      <c r="CJ146" s="591">
        <v>4</v>
      </c>
      <c r="CK146" s="591">
        <v>0</v>
      </c>
      <c r="CL146" s="591">
        <v>0</v>
      </c>
      <c r="CM146" s="591">
        <v>0</v>
      </c>
      <c r="CN146" s="591">
        <v>0</v>
      </c>
      <c r="CO146" s="591">
        <v>1</v>
      </c>
      <c r="CP146" s="591">
        <v>0</v>
      </c>
      <c r="CQ146" s="591">
        <v>0</v>
      </c>
      <c r="CR146" s="591">
        <v>345.87800000000004</v>
      </c>
      <c r="CS146" s="591">
        <v>0</v>
      </c>
      <c r="CT146" s="591">
        <v>0</v>
      </c>
      <c r="CU146" s="591">
        <v>0</v>
      </c>
      <c r="CV146" s="591">
        <v>0</v>
      </c>
      <c r="CW146" s="591">
        <v>0</v>
      </c>
      <c r="CX146" s="591">
        <v>0</v>
      </c>
      <c r="CY146" s="591">
        <v>0</v>
      </c>
      <c r="CZ146" s="591">
        <v>0</v>
      </c>
      <c r="DA146" s="591">
        <v>0</v>
      </c>
      <c r="DB146" s="591">
        <v>2089918</v>
      </c>
      <c r="DC146" s="591">
        <v>0</v>
      </c>
      <c r="DD146" s="591">
        <v>0</v>
      </c>
      <c r="DE146" s="591">
        <v>237587</v>
      </c>
      <c r="DF146" s="591">
        <v>237587</v>
      </c>
      <c r="DG146" s="591">
        <v>38.575000000000003</v>
      </c>
      <c r="DH146" s="591">
        <v>0</v>
      </c>
      <c r="DI146" s="591">
        <v>0</v>
      </c>
      <c r="DJ146" s="591">
        <v>0</v>
      </c>
      <c r="DK146" s="591">
        <v>3106</v>
      </c>
      <c r="DL146" s="591">
        <v>0</v>
      </c>
      <c r="DM146" s="591">
        <v>126051</v>
      </c>
      <c r="DN146" s="591">
        <v>481</v>
      </c>
      <c r="DO146" s="591">
        <v>0</v>
      </c>
      <c r="DP146" s="591">
        <v>0</v>
      </c>
      <c r="DQ146" s="591">
        <v>0</v>
      </c>
      <c r="DR146" s="591">
        <v>0</v>
      </c>
      <c r="DS146" s="591">
        <v>0</v>
      </c>
      <c r="DT146" s="591">
        <v>0</v>
      </c>
      <c r="DU146" s="591">
        <v>0</v>
      </c>
      <c r="DV146" s="591">
        <v>0</v>
      </c>
      <c r="DW146" s="591">
        <v>0</v>
      </c>
      <c r="DX146" s="591">
        <v>0</v>
      </c>
      <c r="DY146" s="591">
        <v>0</v>
      </c>
      <c r="DZ146" s="591">
        <v>0</v>
      </c>
      <c r="EA146" s="591">
        <v>0</v>
      </c>
      <c r="EB146" s="591">
        <v>0</v>
      </c>
      <c r="EC146" s="591">
        <v>0.33300000000000002</v>
      </c>
      <c r="ED146" s="591">
        <v>2359</v>
      </c>
      <c r="EE146" s="591">
        <v>0</v>
      </c>
      <c r="EF146" s="591">
        <v>0</v>
      </c>
      <c r="EG146" s="591">
        <v>0</v>
      </c>
      <c r="EH146" s="591">
        <v>124173</v>
      </c>
      <c r="EI146" s="591">
        <v>0</v>
      </c>
      <c r="EJ146" s="591">
        <v>0</v>
      </c>
      <c r="EK146" s="591">
        <v>6.3070000000000004</v>
      </c>
      <c r="EL146" s="591">
        <v>0</v>
      </c>
      <c r="EM146" s="591">
        <v>0</v>
      </c>
      <c r="EN146" s="591">
        <v>0.248</v>
      </c>
      <c r="EO146" s="591">
        <v>0</v>
      </c>
      <c r="EP146" s="591">
        <v>0</v>
      </c>
      <c r="EQ146" s="591">
        <v>6.5550000000000006</v>
      </c>
      <c r="ER146" s="591">
        <v>0</v>
      </c>
      <c r="ES146" s="591">
        <v>20.161000000000001</v>
      </c>
      <c r="ET146" s="591">
        <v>0</v>
      </c>
      <c r="EU146" s="591">
        <v>0</v>
      </c>
      <c r="EV146" s="591">
        <v>0</v>
      </c>
      <c r="EW146" s="591">
        <v>0</v>
      </c>
      <c r="EX146" s="591">
        <v>0</v>
      </c>
      <c r="EY146" s="591">
        <v>0</v>
      </c>
      <c r="EZ146" s="591">
        <v>2769755</v>
      </c>
      <c r="FA146" s="591">
        <v>0</v>
      </c>
      <c r="FB146" s="591">
        <v>2908149</v>
      </c>
      <c r="FC146" s="591">
        <v>0</v>
      </c>
      <c r="FD146" s="591">
        <v>0</v>
      </c>
      <c r="FE146" s="591">
        <v>301252</v>
      </c>
      <c r="FF146" s="591">
        <v>61447</v>
      </c>
      <c r="FG146" s="591">
        <v>6.4728999999999995E-2</v>
      </c>
      <c r="FH146" s="591">
        <v>2.6405999999999999E-2</v>
      </c>
      <c r="FI146" s="591">
        <v>0</v>
      </c>
      <c r="FJ146" s="591">
        <v>0</v>
      </c>
      <c r="FK146" s="591">
        <v>472.20500000000004</v>
      </c>
      <c r="FL146" s="591">
        <v>3333525</v>
      </c>
      <c r="FM146" s="591">
        <v>0</v>
      </c>
      <c r="FN146" s="591">
        <v>0</v>
      </c>
      <c r="FO146" s="591">
        <v>0</v>
      </c>
      <c r="FP146" s="591">
        <v>0</v>
      </c>
      <c r="FQ146" s="591">
        <v>0</v>
      </c>
      <c r="FR146" s="591">
        <v>0</v>
      </c>
      <c r="FS146" s="591">
        <v>0</v>
      </c>
      <c r="FT146" s="591">
        <v>0</v>
      </c>
      <c r="FU146" s="591">
        <v>0</v>
      </c>
      <c r="FV146" s="591">
        <v>0</v>
      </c>
      <c r="FW146" s="591">
        <v>0</v>
      </c>
      <c r="FX146" s="591">
        <v>0</v>
      </c>
      <c r="FY146" s="591">
        <v>0</v>
      </c>
      <c r="FZ146" s="591">
        <v>0</v>
      </c>
      <c r="GA146" s="591">
        <v>0</v>
      </c>
      <c r="GB146" s="591">
        <v>0</v>
      </c>
      <c r="GC146" s="591">
        <v>0</v>
      </c>
      <c r="GD146" s="591">
        <v>0</v>
      </c>
      <c r="GE146" s="591">
        <v>0</v>
      </c>
      <c r="GF146" s="591">
        <v>0</v>
      </c>
      <c r="GG146" s="591">
        <v>0</v>
      </c>
      <c r="GH146" s="591">
        <v>0</v>
      </c>
      <c r="GI146" s="591">
        <v>0</v>
      </c>
      <c r="GJ146" s="591">
        <v>0</v>
      </c>
      <c r="GK146" s="591">
        <v>0</v>
      </c>
      <c r="GL146" s="591">
        <v>0</v>
      </c>
      <c r="GM146" s="591">
        <v>0</v>
      </c>
      <c r="GN146" s="591">
        <v>0</v>
      </c>
      <c r="GO146" s="591">
        <v>0</v>
      </c>
      <c r="GP146" s="591">
        <v>0</v>
      </c>
      <c r="GQ146" s="591">
        <v>0</v>
      </c>
      <c r="GR146" s="591">
        <v>0</v>
      </c>
      <c r="GS146" s="591">
        <v>0</v>
      </c>
      <c r="GT146" s="591">
        <v>0</v>
      </c>
      <c r="GU146" s="591">
        <v>0</v>
      </c>
      <c r="GV146" s="591">
        <v>0</v>
      </c>
      <c r="GW146" s="591">
        <v>0</v>
      </c>
      <c r="GX146" s="591">
        <v>0</v>
      </c>
      <c r="GY146" s="591">
        <v>0</v>
      </c>
      <c r="GZ146" s="591">
        <v>0</v>
      </c>
      <c r="HA146" s="591">
        <v>0</v>
      </c>
      <c r="HB146" s="591">
        <v>260009272</v>
      </c>
      <c r="HC146" s="591">
        <v>5.1774999999999995E-2</v>
      </c>
      <c r="HD146" s="591">
        <v>62677</v>
      </c>
      <c r="HE146" s="591">
        <v>0</v>
      </c>
      <c r="HF146" s="591">
        <v>372916</v>
      </c>
      <c r="HG146" s="591">
        <v>1848</v>
      </c>
      <c r="HH146" s="591">
        <v>65631</v>
      </c>
      <c r="HI146" s="591">
        <v>0</v>
      </c>
      <c r="HJ146" s="591">
        <v>3362</v>
      </c>
      <c r="HK146" s="591">
        <v>0</v>
      </c>
      <c r="HL146" s="591">
        <v>323</v>
      </c>
      <c r="HM146" s="591">
        <v>0</v>
      </c>
      <c r="HN146" s="591">
        <v>0</v>
      </c>
      <c r="HO146" s="591">
        <v>0</v>
      </c>
      <c r="HP146" s="591">
        <v>0</v>
      </c>
      <c r="HQ146" s="591">
        <v>0</v>
      </c>
      <c r="HR146" s="591">
        <v>0</v>
      </c>
      <c r="HS146" s="591">
        <v>2769232</v>
      </c>
      <c r="HT146" s="591">
        <v>0</v>
      </c>
      <c r="HU146" s="591">
        <v>0</v>
      </c>
      <c r="HV146" s="591">
        <v>0</v>
      </c>
      <c r="HW146" s="591">
        <v>0</v>
      </c>
      <c r="HX146" s="591">
        <v>32</v>
      </c>
      <c r="HY146" s="591">
        <v>27</v>
      </c>
      <c r="HZ146" s="591">
        <v>48</v>
      </c>
      <c r="IA146" s="591">
        <v>41</v>
      </c>
      <c r="IB146" s="591">
        <v>8</v>
      </c>
      <c r="IC146" s="591">
        <v>155</v>
      </c>
      <c r="ID146" s="591">
        <v>0</v>
      </c>
      <c r="IE146" s="591">
        <v>0</v>
      </c>
      <c r="IF146" s="591">
        <v>0</v>
      </c>
      <c r="IG146" s="591">
        <v>3</v>
      </c>
      <c r="IH146" s="591">
        <v>106.56</v>
      </c>
      <c r="II146" s="591">
        <v>0</v>
      </c>
      <c r="IJ146" s="591">
        <v>17.137</v>
      </c>
      <c r="IK146" s="591">
        <v>0</v>
      </c>
      <c r="IL146" s="591">
        <v>0</v>
      </c>
      <c r="IM146" s="591">
        <v>0</v>
      </c>
      <c r="IN146" s="591">
        <v>0</v>
      </c>
      <c r="IO146" s="591">
        <v>0</v>
      </c>
      <c r="IP146" s="591">
        <v>0</v>
      </c>
      <c r="IQ146" s="591">
        <v>17.137</v>
      </c>
      <c r="IR146" s="591">
        <v>10555</v>
      </c>
      <c r="IS146" s="591">
        <v>0</v>
      </c>
      <c r="IT146" s="591">
        <v>0</v>
      </c>
      <c r="IU146" s="591">
        <v>0</v>
      </c>
      <c r="IV146" s="591">
        <v>0</v>
      </c>
      <c r="IW146" s="591">
        <v>6159</v>
      </c>
      <c r="IX146" s="591">
        <v>0</v>
      </c>
      <c r="IY146" s="591">
        <v>0</v>
      </c>
      <c r="IZ146" s="591">
        <v>0</v>
      </c>
      <c r="JA146" s="591">
        <v>0</v>
      </c>
      <c r="JB146" s="591">
        <v>0</v>
      </c>
      <c r="JC146" s="591">
        <v>0</v>
      </c>
      <c r="JD146" s="591">
        <v>0</v>
      </c>
      <c r="JE146" s="591">
        <v>0</v>
      </c>
      <c r="JF146" s="591">
        <v>0</v>
      </c>
      <c r="JG146" s="591">
        <v>0</v>
      </c>
      <c r="JH146" s="591">
        <v>0</v>
      </c>
      <c r="JI146" s="591">
        <v>0</v>
      </c>
      <c r="JJ146" s="591">
        <v>0</v>
      </c>
      <c r="JK146" s="591">
        <v>0</v>
      </c>
      <c r="JL146" s="591">
        <v>0</v>
      </c>
      <c r="JM146" s="591">
        <v>0</v>
      </c>
      <c r="JN146" s="591">
        <v>32469</v>
      </c>
    </row>
    <row r="147" spans="1:274" x14ac:dyDescent="0.25">
      <c r="A147" s="591">
        <v>32570</v>
      </c>
      <c r="B147" s="591">
        <v>170801</v>
      </c>
      <c r="C147" s="591">
        <v>9</v>
      </c>
      <c r="D147" s="591">
        <v>2022</v>
      </c>
      <c r="E147" s="591">
        <v>6159</v>
      </c>
      <c r="F147" s="591">
        <v>0</v>
      </c>
      <c r="G147" s="591">
        <v>388.89</v>
      </c>
      <c r="H147" s="591">
        <v>383.24200000000002</v>
      </c>
      <c r="I147" s="591">
        <v>383.24200000000002</v>
      </c>
      <c r="J147" s="591">
        <v>388.89</v>
      </c>
      <c r="K147" s="591">
        <v>0</v>
      </c>
      <c r="L147" s="591">
        <v>6159</v>
      </c>
      <c r="M147" s="591">
        <v>0</v>
      </c>
      <c r="N147" s="591">
        <v>0</v>
      </c>
      <c r="O147" s="591">
        <v>0</v>
      </c>
      <c r="P147" s="591">
        <v>379.791</v>
      </c>
      <c r="Q147" s="591">
        <v>0</v>
      </c>
      <c r="R147" s="591">
        <v>152839</v>
      </c>
      <c r="S147" s="591">
        <v>402.428</v>
      </c>
      <c r="T147" s="591">
        <v>0</v>
      </c>
      <c r="U147" s="591">
        <v>0</v>
      </c>
      <c r="V147" s="591">
        <v>88.968000000000004</v>
      </c>
      <c r="W147" s="591">
        <v>54796</v>
      </c>
      <c r="X147" s="591">
        <v>54796</v>
      </c>
      <c r="Y147" s="591">
        <v>0</v>
      </c>
      <c r="Z147" s="591">
        <v>0</v>
      </c>
      <c r="AA147" s="591">
        <v>0</v>
      </c>
      <c r="AB147" s="591">
        <v>0</v>
      </c>
      <c r="AC147" s="591">
        <v>0</v>
      </c>
      <c r="AD147" s="591" t="s">
        <v>316</v>
      </c>
      <c r="AE147" s="591">
        <v>0</v>
      </c>
      <c r="AF147" s="591">
        <v>0</v>
      </c>
      <c r="AG147" s="591">
        <v>0</v>
      </c>
      <c r="AH147" s="591">
        <v>0</v>
      </c>
      <c r="AI147" s="591">
        <v>0</v>
      </c>
      <c r="AJ147" s="591">
        <v>6159</v>
      </c>
      <c r="AK147" s="591" t="s">
        <v>671</v>
      </c>
      <c r="AL147" s="591" t="s">
        <v>71</v>
      </c>
      <c r="AM147" s="591">
        <v>0</v>
      </c>
      <c r="AN147" s="591">
        <v>0</v>
      </c>
      <c r="AO147" s="591">
        <v>0</v>
      </c>
      <c r="AP147" s="591">
        <v>0</v>
      </c>
      <c r="AQ147" s="591">
        <v>0</v>
      </c>
      <c r="AR147" s="591">
        <v>0</v>
      </c>
      <c r="AS147" s="591">
        <v>0</v>
      </c>
      <c r="AT147" s="591">
        <v>0</v>
      </c>
      <c r="AU147" s="591">
        <v>0</v>
      </c>
      <c r="AV147" s="591">
        <v>0</v>
      </c>
      <c r="AW147" s="591">
        <v>4557017</v>
      </c>
      <c r="AX147" s="591">
        <v>4487447</v>
      </c>
      <c r="AY147" s="591">
        <v>0</v>
      </c>
      <c r="AZ147" s="591">
        <v>152839</v>
      </c>
      <c r="BA147" s="591">
        <v>0</v>
      </c>
      <c r="BB147" s="591">
        <v>0</v>
      </c>
      <c r="BC147" s="591">
        <v>0</v>
      </c>
      <c r="BD147" s="591">
        <v>0</v>
      </c>
      <c r="BE147" s="591">
        <v>60</v>
      </c>
      <c r="BF147" s="591">
        <v>3982672</v>
      </c>
      <c r="BG147" s="591">
        <v>0</v>
      </c>
      <c r="BH147" s="591">
        <v>0</v>
      </c>
      <c r="BI147" s="591">
        <v>0</v>
      </c>
      <c r="BJ147" s="591">
        <v>12</v>
      </c>
      <c r="BK147" s="591">
        <v>0</v>
      </c>
      <c r="BL147" s="591">
        <v>0</v>
      </c>
      <c r="BM147" s="591">
        <v>0</v>
      </c>
      <c r="BN147" s="591">
        <v>0</v>
      </c>
      <c r="BO147" s="591">
        <v>0</v>
      </c>
      <c r="BP147" s="591">
        <v>0</v>
      </c>
      <c r="BQ147" s="591">
        <v>711</v>
      </c>
      <c r="BR147" s="591">
        <v>0</v>
      </c>
      <c r="BS147" s="591">
        <v>0</v>
      </c>
      <c r="BT147" s="591">
        <v>0</v>
      </c>
      <c r="BU147" s="591">
        <v>0</v>
      </c>
      <c r="BV147" s="591">
        <v>0</v>
      </c>
      <c r="BW147" s="591">
        <v>0</v>
      </c>
      <c r="BX147" s="591">
        <v>0</v>
      </c>
      <c r="BY147" s="591">
        <v>0</v>
      </c>
      <c r="BZ147" s="591">
        <v>0</v>
      </c>
      <c r="CA147" s="591">
        <v>0</v>
      </c>
      <c r="CB147" s="591">
        <v>0</v>
      </c>
      <c r="CC147" s="591">
        <v>0</v>
      </c>
      <c r="CD147" s="591">
        <v>0</v>
      </c>
      <c r="CE147" s="591">
        <v>0</v>
      </c>
      <c r="CF147" s="591">
        <v>0</v>
      </c>
      <c r="CG147" s="591">
        <v>0</v>
      </c>
      <c r="CH147" s="591">
        <v>70471</v>
      </c>
      <c r="CI147" s="591">
        <v>0</v>
      </c>
      <c r="CJ147" s="591">
        <v>4</v>
      </c>
      <c r="CK147" s="591">
        <v>0</v>
      </c>
      <c r="CL147" s="591">
        <v>0</v>
      </c>
      <c r="CM147" s="591">
        <v>0</v>
      </c>
      <c r="CN147" s="591">
        <v>0</v>
      </c>
      <c r="CO147" s="591">
        <v>1</v>
      </c>
      <c r="CP147" s="591">
        <v>0</v>
      </c>
      <c r="CQ147" s="591">
        <v>0</v>
      </c>
      <c r="CR147" s="591">
        <v>388.89</v>
      </c>
      <c r="CS147" s="591">
        <v>0</v>
      </c>
      <c r="CT147" s="591">
        <v>0</v>
      </c>
      <c r="CU147" s="591">
        <v>0</v>
      </c>
      <c r="CV147" s="591">
        <v>0</v>
      </c>
      <c r="CW147" s="591">
        <v>0</v>
      </c>
      <c r="CX147" s="591">
        <v>0</v>
      </c>
      <c r="CY147" s="591">
        <v>0</v>
      </c>
      <c r="CZ147" s="591">
        <v>0</v>
      </c>
      <c r="DA147" s="591">
        <v>0</v>
      </c>
      <c r="DB147" s="591">
        <v>2296032</v>
      </c>
      <c r="DC147" s="591">
        <v>0</v>
      </c>
      <c r="DD147" s="591">
        <v>0</v>
      </c>
      <c r="DE147" s="591">
        <v>749714</v>
      </c>
      <c r="DF147" s="591">
        <v>749714</v>
      </c>
      <c r="DG147" s="591">
        <v>121.72500000000001</v>
      </c>
      <c r="DH147" s="591">
        <v>0</v>
      </c>
      <c r="DI147" s="591">
        <v>0</v>
      </c>
      <c r="DJ147" s="591">
        <v>0</v>
      </c>
      <c r="DK147" s="591">
        <v>2998</v>
      </c>
      <c r="DL147" s="591">
        <v>0</v>
      </c>
      <c r="DM147" s="591">
        <v>284899</v>
      </c>
      <c r="DN147" s="591">
        <v>841</v>
      </c>
      <c r="DO147" s="591">
        <v>0</v>
      </c>
      <c r="DP147" s="591">
        <v>0</v>
      </c>
      <c r="DQ147" s="591">
        <v>0</v>
      </c>
      <c r="DR147" s="591">
        <v>0</v>
      </c>
      <c r="DS147" s="591">
        <v>0</v>
      </c>
      <c r="DT147" s="591">
        <v>0</v>
      </c>
      <c r="DU147" s="591">
        <v>0</v>
      </c>
      <c r="DV147" s="591">
        <v>0</v>
      </c>
      <c r="DW147" s="591">
        <v>0</v>
      </c>
      <c r="DX147" s="591">
        <v>0</v>
      </c>
      <c r="DY147" s="591">
        <v>0</v>
      </c>
      <c r="DZ147" s="591">
        <v>0</v>
      </c>
      <c r="EA147" s="591">
        <v>0</v>
      </c>
      <c r="EB147" s="591">
        <v>0</v>
      </c>
      <c r="EC147" s="591">
        <v>15.735000000000001</v>
      </c>
      <c r="ED147" s="591">
        <v>111450</v>
      </c>
      <c r="EE147" s="591">
        <v>0</v>
      </c>
      <c r="EF147" s="591">
        <v>0</v>
      </c>
      <c r="EG147" s="591">
        <v>0</v>
      </c>
      <c r="EH147" s="591">
        <v>109903</v>
      </c>
      <c r="EI147" s="591">
        <v>0</v>
      </c>
      <c r="EJ147" s="591">
        <v>0</v>
      </c>
      <c r="EK147" s="591">
        <v>5.1980000000000004</v>
      </c>
      <c r="EL147" s="591">
        <v>0</v>
      </c>
      <c r="EM147" s="591">
        <v>0</v>
      </c>
      <c r="EN147" s="591">
        <v>0.45</v>
      </c>
      <c r="EO147" s="591">
        <v>0</v>
      </c>
      <c r="EP147" s="591">
        <v>0</v>
      </c>
      <c r="EQ147" s="591">
        <v>5.6480000000000006</v>
      </c>
      <c r="ER147" s="591">
        <v>0</v>
      </c>
      <c r="ES147" s="591">
        <v>17.844000000000001</v>
      </c>
      <c r="ET147" s="591">
        <v>0</v>
      </c>
      <c r="EU147" s="591">
        <v>0</v>
      </c>
      <c r="EV147" s="591">
        <v>0</v>
      </c>
      <c r="EW147" s="591">
        <v>0</v>
      </c>
      <c r="EX147" s="591">
        <v>0</v>
      </c>
      <c r="EY147" s="591">
        <v>0</v>
      </c>
      <c r="EZ147" s="591">
        <v>3990769</v>
      </c>
      <c r="FA147" s="591">
        <v>0</v>
      </c>
      <c r="FB147" s="591">
        <v>4142707</v>
      </c>
      <c r="FC147" s="591">
        <v>0</v>
      </c>
      <c r="FD147" s="591">
        <v>0</v>
      </c>
      <c r="FE147" s="591">
        <v>412532</v>
      </c>
      <c r="FF147" s="591">
        <v>84146</v>
      </c>
      <c r="FG147" s="591">
        <v>6.4728999999999995E-2</v>
      </c>
      <c r="FH147" s="591">
        <v>2.6405999999999999E-2</v>
      </c>
      <c r="FI147" s="591">
        <v>0</v>
      </c>
      <c r="FJ147" s="591">
        <v>0</v>
      </c>
      <c r="FK147" s="591">
        <v>646.63400000000001</v>
      </c>
      <c r="FL147" s="591">
        <v>4709856</v>
      </c>
      <c r="FM147" s="591">
        <v>0</v>
      </c>
      <c r="FN147" s="591">
        <v>0</v>
      </c>
      <c r="FO147" s="591">
        <v>160936</v>
      </c>
      <c r="FP147" s="591">
        <v>0</v>
      </c>
      <c r="FQ147" s="591">
        <v>160936</v>
      </c>
      <c r="FR147" s="591">
        <v>160936</v>
      </c>
      <c r="FS147" s="591">
        <v>0</v>
      </c>
      <c r="FT147" s="591">
        <v>0</v>
      </c>
      <c r="FU147" s="591">
        <v>0</v>
      </c>
      <c r="FV147" s="591">
        <v>0</v>
      </c>
      <c r="FW147" s="591">
        <v>0</v>
      </c>
      <c r="FX147" s="591">
        <v>0</v>
      </c>
      <c r="FY147" s="591">
        <v>0</v>
      </c>
      <c r="FZ147" s="591">
        <v>0</v>
      </c>
      <c r="GA147" s="591">
        <v>0</v>
      </c>
      <c r="GB147" s="591">
        <v>0</v>
      </c>
      <c r="GC147" s="591">
        <v>0</v>
      </c>
      <c r="GD147" s="591">
        <v>0</v>
      </c>
      <c r="GE147" s="591">
        <v>0</v>
      </c>
      <c r="GF147" s="591">
        <v>0</v>
      </c>
      <c r="GG147" s="591">
        <v>0</v>
      </c>
      <c r="GH147" s="591">
        <v>0</v>
      </c>
      <c r="GI147" s="591">
        <v>0</v>
      </c>
      <c r="GJ147" s="591">
        <v>0</v>
      </c>
      <c r="GK147" s="591">
        <v>0</v>
      </c>
      <c r="GL147" s="591">
        <v>0</v>
      </c>
      <c r="GM147" s="591">
        <v>0</v>
      </c>
      <c r="GN147" s="591">
        <v>0</v>
      </c>
      <c r="GO147" s="591">
        <v>0</v>
      </c>
      <c r="GP147" s="591">
        <v>0</v>
      </c>
      <c r="GQ147" s="591">
        <v>0</v>
      </c>
      <c r="GR147" s="591">
        <v>0</v>
      </c>
      <c r="GS147" s="591">
        <v>0</v>
      </c>
      <c r="GT147" s="591">
        <v>0</v>
      </c>
      <c r="GU147" s="591">
        <v>0</v>
      </c>
      <c r="GV147" s="591">
        <v>0</v>
      </c>
      <c r="GW147" s="591">
        <v>0</v>
      </c>
      <c r="GX147" s="591">
        <v>0</v>
      </c>
      <c r="GY147" s="591">
        <v>0</v>
      </c>
      <c r="GZ147" s="591">
        <v>0</v>
      </c>
      <c r="HA147" s="591">
        <v>0</v>
      </c>
      <c r="HB147" s="591">
        <v>260009272</v>
      </c>
      <c r="HC147" s="591">
        <v>5.1774999999999995E-2</v>
      </c>
      <c r="HD147" s="591">
        <v>70471</v>
      </c>
      <c r="HE147" s="591">
        <v>0</v>
      </c>
      <c r="HF147" s="591">
        <v>421183</v>
      </c>
      <c r="HG147" s="591">
        <v>5132</v>
      </c>
      <c r="HH147" s="591">
        <v>166295</v>
      </c>
      <c r="HI147" s="591">
        <v>0</v>
      </c>
      <c r="HJ147" s="591">
        <v>3780</v>
      </c>
      <c r="HK147" s="591">
        <v>0</v>
      </c>
      <c r="HL147" s="591">
        <v>0</v>
      </c>
      <c r="HM147" s="591">
        <v>0</v>
      </c>
      <c r="HN147" s="591">
        <v>0</v>
      </c>
      <c r="HO147" s="591">
        <v>0</v>
      </c>
      <c r="HP147" s="591">
        <v>0</v>
      </c>
      <c r="HQ147" s="591">
        <v>0</v>
      </c>
      <c r="HR147" s="591">
        <v>0</v>
      </c>
      <c r="HS147" s="591">
        <v>3989868</v>
      </c>
      <c r="HT147" s="591">
        <v>0</v>
      </c>
      <c r="HU147" s="591">
        <v>0</v>
      </c>
      <c r="HV147" s="591">
        <v>0</v>
      </c>
      <c r="HW147" s="591">
        <v>0</v>
      </c>
      <c r="HX147" s="591">
        <v>20</v>
      </c>
      <c r="HY147" s="591">
        <v>12</v>
      </c>
      <c r="HZ147" s="591">
        <v>78</v>
      </c>
      <c r="IA147" s="591">
        <v>110</v>
      </c>
      <c r="IB147" s="591">
        <v>240</v>
      </c>
      <c r="IC147" s="591">
        <v>390</v>
      </c>
      <c r="ID147" s="591">
        <v>0</v>
      </c>
      <c r="IE147" s="591">
        <v>0</v>
      </c>
      <c r="IF147" s="591">
        <v>0</v>
      </c>
      <c r="IG147" s="591">
        <v>8.3330000000000002</v>
      </c>
      <c r="IH147" s="591">
        <v>270</v>
      </c>
      <c r="II147" s="591">
        <v>0</v>
      </c>
      <c r="IJ147" s="591">
        <v>88.968000000000004</v>
      </c>
      <c r="IK147" s="591">
        <v>0</v>
      </c>
      <c r="IL147" s="591">
        <v>0</v>
      </c>
      <c r="IM147" s="591">
        <v>0</v>
      </c>
      <c r="IN147" s="591">
        <v>0</v>
      </c>
      <c r="IO147" s="591">
        <v>0</v>
      </c>
      <c r="IP147" s="591">
        <v>0</v>
      </c>
      <c r="IQ147" s="591">
        <v>88.968000000000004</v>
      </c>
      <c r="IR147" s="591">
        <v>54796</v>
      </c>
      <c r="IS147" s="591">
        <v>0</v>
      </c>
      <c r="IT147" s="591">
        <v>0</v>
      </c>
      <c r="IU147" s="591">
        <v>0</v>
      </c>
      <c r="IV147" s="591">
        <v>0</v>
      </c>
      <c r="IW147" s="591">
        <v>6159</v>
      </c>
      <c r="IX147" s="591">
        <v>0</v>
      </c>
      <c r="IY147" s="591">
        <v>0</v>
      </c>
      <c r="IZ147" s="591">
        <v>0</v>
      </c>
      <c r="JA147" s="591">
        <v>0</v>
      </c>
      <c r="JB147" s="591">
        <v>0</v>
      </c>
      <c r="JC147" s="591">
        <v>0</v>
      </c>
      <c r="JD147" s="591">
        <v>0</v>
      </c>
      <c r="JE147" s="591">
        <v>0</v>
      </c>
      <c r="JF147" s="591">
        <v>0</v>
      </c>
      <c r="JG147" s="591">
        <v>0</v>
      </c>
      <c r="JH147" s="591">
        <v>0</v>
      </c>
      <c r="JI147" s="591">
        <v>0</v>
      </c>
      <c r="JJ147" s="591">
        <v>0</v>
      </c>
      <c r="JK147" s="591">
        <v>0</v>
      </c>
      <c r="JL147" s="591">
        <v>0</v>
      </c>
      <c r="JM147" s="591">
        <v>0</v>
      </c>
      <c r="JN147" s="591">
        <v>32469</v>
      </c>
    </row>
    <row r="148" spans="1:274" x14ac:dyDescent="0.25">
      <c r="A148" s="591">
        <v>32570</v>
      </c>
      <c r="B148" s="591">
        <v>174801</v>
      </c>
      <c r="C148" s="591">
        <v>9</v>
      </c>
      <c r="D148" s="591">
        <v>2022</v>
      </c>
      <c r="E148" s="591">
        <v>6159</v>
      </c>
      <c r="F148" s="591">
        <v>0</v>
      </c>
      <c r="G148" s="591">
        <v>249.54</v>
      </c>
      <c r="H148" s="591">
        <v>247.04400000000001</v>
      </c>
      <c r="I148" s="591">
        <v>247.04400000000001</v>
      </c>
      <c r="J148" s="591">
        <v>249.54</v>
      </c>
      <c r="K148" s="591">
        <v>0</v>
      </c>
      <c r="L148" s="591">
        <v>6159</v>
      </c>
      <c r="M148" s="591">
        <v>0</v>
      </c>
      <c r="N148" s="591">
        <v>0</v>
      </c>
      <c r="O148" s="591">
        <v>0</v>
      </c>
      <c r="P148" s="591">
        <v>249.56300000000002</v>
      </c>
      <c r="Q148" s="591">
        <v>0</v>
      </c>
      <c r="R148" s="591">
        <v>100431</v>
      </c>
      <c r="S148" s="591">
        <v>402.428</v>
      </c>
      <c r="T148" s="591">
        <v>0</v>
      </c>
      <c r="U148" s="591">
        <v>0</v>
      </c>
      <c r="V148" s="591">
        <v>8.7799999999999994</v>
      </c>
      <c r="W148" s="591">
        <v>5408</v>
      </c>
      <c r="X148" s="591">
        <v>5408</v>
      </c>
      <c r="Y148" s="591">
        <v>0</v>
      </c>
      <c r="Z148" s="591">
        <v>0</v>
      </c>
      <c r="AA148" s="591">
        <v>0</v>
      </c>
      <c r="AB148" s="591">
        <v>0</v>
      </c>
      <c r="AC148" s="591">
        <v>0</v>
      </c>
      <c r="AD148" s="591" t="s">
        <v>316</v>
      </c>
      <c r="AE148" s="591">
        <v>0</v>
      </c>
      <c r="AF148" s="591">
        <v>0</v>
      </c>
      <c r="AG148" s="591">
        <v>0</v>
      </c>
      <c r="AH148" s="591">
        <v>0</v>
      </c>
      <c r="AI148" s="591">
        <v>0</v>
      </c>
      <c r="AJ148" s="591">
        <v>6159</v>
      </c>
      <c r="AK148" s="591" t="s">
        <v>671</v>
      </c>
      <c r="AL148" s="591" t="s">
        <v>361</v>
      </c>
      <c r="AM148" s="591">
        <v>0</v>
      </c>
      <c r="AN148" s="591">
        <v>0</v>
      </c>
      <c r="AO148" s="591">
        <v>0</v>
      </c>
      <c r="AP148" s="591">
        <v>0</v>
      </c>
      <c r="AQ148" s="591">
        <v>0</v>
      </c>
      <c r="AR148" s="591">
        <v>0</v>
      </c>
      <c r="AS148" s="591">
        <v>0</v>
      </c>
      <c r="AT148" s="591">
        <v>0</v>
      </c>
      <c r="AU148" s="591">
        <v>0</v>
      </c>
      <c r="AV148" s="591">
        <v>0</v>
      </c>
      <c r="AW148" s="591">
        <v>2108721</v>
      </c>
      <c r="AX148" s="591">
        <v>2063801</v>
      </c>
      <c r="AY148" s="591">
        <v>0</v>
      </c>
      <c r="AZ148" s="591">
        <v>100431</v>
      </c>
      <c r="BA148" s="591">
        <v>0</v>
      </c>
      <c r="BB148" s="591">
        <v>0</v>
      </c>
      <c r="BC148" s="591">
        <v>0</v>
      </c>
      <c r="BD148" s="591">
        <v>0</v>
      </c>
      <c r="BE148" s="591">
        <v>28</v>
      </c>
      <c r="BF148" s="591">
        <v>1924258</v>
      </c>
      <c r="BG148" s="591">
        <v>0</v>
      </c>
      <c r="BH148" s="591">
        <v>0</v>
      </c>
      <c r="BI148" s="591">
        <v>0</v>
      </c>
      <c r="BJ148" s="591">
        <v>12</v>
      </c>
      <c r="BK148" s="591">
        <v>0</v>
      </c>
      <c r="BL148" s="591">
        <v>0</v>
      </c>
      <c r="BM148" s="591">
        <v>0</v>
      </c>
      <c r="BN148" s="591">
        <v>0</v>
      </c>
      <c r="BO148" s="591">
        <v>0</v>
      </c>
      <c r="BP148" s="591">
        <v>0</v>
      </c>
      <c r="BQ148" s="591">
        <v>732</v>
      </c>
      <c r="BR148" s="591">
        <v>0</v>
      </c>
      <c r="BS148" s="591">
        <v>0</v>
      </c>
      <c r="BT148" s="591">
        <v>0</v>
      </c>
      <c r="BU148" s="591">
        <v>0</v>
      </c>
      <c r="BV148" s="591">
        <v>0</v>
      </c>
      <c r="BW148" s="591">
        <v>0</v>
      </c>
      <c r="BX148" s="591">
        <v>0</v>
      </c>
      <c r="BY148" s="591">
        <v>0</v>
      </c>
      <c r="BZ148" s="591">
        <v>0</v>
      </c>
      <c r="CA148" s="591">
        <v>0</v>
      </c>
      <c r="CB148" s="591">
        <v>0</v>
      </c>
      <c r="CC148" s="591">
        <v>0</v>
      </c>
      <c r="CD148" s="591">
        <v>0</v>
      </c>
      <c r="CE148" s="591">
        <v>0</v>
      </c>
      <c r="CF148" s="591">
        <v>0</v>
      </c>
      <c r="CG148" s="591">
        <v>0</v>
      </c>
      <c r="CH148" s="591">
        <v>45219</v>
      </c>
      <c r="CI148" s="591">
        <v>0</v>
      </c>
      <c r="CJ148" s="591">
        <v>4</v>
      </c>
      <c r="CK148" s="591">
        <v>0</v>
      </c>
      <c r="CL148" s="591">
        <v>0</v>
      </c>
      <c r="CM148" s="591">
        <v>0</v>
      </c>
      <c r="CN148" s="591">
        <v>0</v>
      </c>
      <c r="CO148" s="591">
        <v>1</v>
      </c>
      <c r="CP148" s="591">
        <v>0</v>
      </c>
      <c r="CQ148" s="591">
        <v>0</v>
      </c>
      <c r="CR148" s="591">
        <v>249.54</v>
      </c>
      <c r="CS148" s="591">
        <v>0</v>
      </c>
      <c r="CT148" s="591">
        <v>0</v>
      </c>
      <c r="CU148" s="591">
        <v>0</v>
      </c>
      <c r="CV148" s="591">
        <v>0</v>
      </c>
      <c r="CW148" s="591">
        <v>0</v>
      </c>
      <c r="CX148" s="591">
        <v>0</v>
      </c>
      <c r="CY148" s="591">
        <v>0</v>
      </c>
      <c r="CZ148" s="591">
        <v>0</v>
      </c>
      <c r="DA148" s="591">
        <v>0</v>
      </c>
      <c r="DB148" s="591">
        <v>1512033</v>
      </c>
      <c r="DC148" s="591">
        <v>0</v>
      </c>
      <c r="DD148" s="591">
        <v>0</v>
      </c>
      <c r="DE148" s="591">
        <v>36954</v>
      </c>
      <c r="DF148" s="591">
        <v>36954</v>
      </c>
      <c r="DG148" s="591">
        <v>6</v>
      </c>
      <c r="DH148" s="591">
        <v>0</v>
      </c>
      <c r="DI148" s="591">
        <v>0</v>
      </c>
      <c r="DJ148" s="591">
        <v>0</v>
      </c>
      <c r="DK148" s="591">
        <v>3333</v>
      </c>
      <c r="DL148" s="591">
        <v>0</v>
      </c>
      <c r="DM148" s="591">
        <v>80729</v>
      </c>
      <c r="DN148" s="591">
        <v>272</v>
      </c>
      <c r="DO148" s="591">
        <v>0</v>
      </c>
      <c r="DP148" s="591">
        <v>0</v>
      </c>
      <c r="DQ148" s="591">
        <v>0</v>
      </c>
      <c r="DR148" s="591">
        <v>0</v>
      </c>
      <c r="DS148" s="591">
        <v>0</v>
      </c>
      <c r="DT148" s="591">
        <v>0</v>
      </c>
      <c r="DU148" s="591">
        <v>0</v>
      </c>
      <c r="DV148" s="591">
        <v>0</v>
      </c>
      <c r="DW148" s="591">
        <v>0</v>
      </c>
      <c r="DX148" s="591">
        <v>0</v>
      </c>
      <c r="DY148" s="591">
        <v>0</v>
      </c>
      <c r="DZ148" s="591">
        <v>0</v>
      </c>
      <c r="EA148" s="591">
        <v>0</v>
      </c>
      <c r="EB148" s="591">
        <v>0</v>
      </c>
      <c r="EC148" s="591">
        <v>3.0330000000000004</v>
      </c>
      <c r="ED148" s="591">
        <v>21483</v>
      </c>
      <c r="EE148" s="591">
        <v>0</v>
      </c>
      <c r="EF148" s="591">
        <v>0</v>
      </c>
      <c r="EG148" s="591">
        <v>0</v>
      </c>
      <c r="EH148" s="591">
        <v>49987</v>
      </c>
      <c r="EI148" s="591">
        <v>0</v>
      </c>
      <c r="EJ148" s="591">
        <v>0</v>
      </c>
      <c r="EK148" s="591">
        <v>2.1819999999999999</v>
      </c>
      <c r="EL148" s="591">
        <v>0</v>
      </c>
      <c r="EM148" s="591">
        <v>0</v>
      </c>
      <c r="EN148" s="591">
        <v>0.314</v>
      </c>
      <c r="EO148" s="591">
        <v>0</v>
      </c>
      <c r="EP148" s="591">
        <v>0</v>
      </c>
      <c r="EQ148" s="591">
        <v>2.496</v>
      </c>
      <c r="ER148" s="591">
        <v>0</v>
      </c>
      <c r="ES148" s="591">
        <v>8.1159999999999997</v>
      </c>
      <c r="ET148" s="591">
        <v>0</v>
      </c>
      <c r="EU148" s="591">
        <v>0</v>
      </c>
      <c r="EV148" s="591">
        <v>0</v>
      </c>
      <c r="EW148" s="591">
        <v>0</v>
      </c>
      <c r="EX148" s="591">
        <v>0</v>
      </c>
      <c r="EY148" s="591">
        <v>0</v>
      </c>
      <c r="EZ148" s="591">
        <v>1823827</v>
      </c>
      <c r="FA148" s="591">
        <v>0</v>
      </c>
      <c r="FB148" s="591">
        <v>1923959</v>
      </c>
      <c r="FC148" s="591">
        <v>0</v>
      </c>
      <c r="FD148" s="591">
        <v>0</v>
      </c>
      <c r="FE148" s="591">
        <v>199318</v>
      </c>
      <c r="FF148" s="591">
        <v>40656</v>
      </c>
      <c r="FG148" s="591">
        <v>6.4728999999999995E-2</v>
      </c>
      <c r="FH148" s="591">
        <v>2.6405999999999999E-2</v>
      </c>
      <c r="FI148" s="591">
        <v>0</v>
      </c>
      <c r="FJ148" s="591">
        <v>0</v>
      </c>
      <c r="FK148" s="591">
        <v>312.42599999999999</v>
      </c>
      <c r="FL148" s="591">
        <v>2209152</v>
      </c>
      <c r="FM148" s="591">
        <v>0</v>
      </c>
      <c r="FN148" s="591">
        <v>0</v>
      </c>
      <c r="FO148" s="591">
        <v>0</v>
      </c>
      <c r="FP148" s="591">
        <v>0</v>
      </c>
      <c r="FQ148" s="591">
        <v>0</v>
      </c>
      <c r="FR148" s="591">
        <v>0</v>
      </c>
      <c r="FS148" s="591">
        <v>0</v>
      </c>
      <c r="FT148" s="591">
        <v>0</v>
      </c>
      <c r="FU148" s="591">
        <v>0</v>
      </c>
      <c r="FV148" s="591">
        <v>0</v>
      </c>
      <c r="FW148" s="591">
        <v>0</v>
      </c>
      <c r="FX148" s="591">
        <v>0</v>
      </c>
      <c r="FY148" s="591">
        <v>0</v>
      </c>
      <c r="FZ148" s="591">
        <v>0</v>
      </c>
      <c r="GA148" s="591">
        <v>0</v>
      </c>
      <c r="GB148" s="591">
        <v>0</v>
      </c>
      <c r="GC148" s="591">
        <v>0</v>
      </c>
      <c r="GD148" s="591">
        <v>0</v>
      </c>
      <c r="GE148" s="591">
        <v>0</v>
      </c>
      <c r="GF148" s="591">
        <v>0</v>
      </c>
      <c r="GG148" s="591">
        <v>0</v>
      </c>
      <c r="GH148" s="591">
        <v>0</v>
      </c>
      <c r="GI148" s="591">
        <v>0</v>
      </c>
      <c r="GJ148" s="591">
        <v>0</v>
      </c>
      <c r="GK148" s="591">
        <v>0</v>
      </c>
      <c r="GL148" s="591">
        <v>0</v>
      </c>
      <c r="GM148" s="591">
        <v>0</v>
      </c>
      <c r="GN148" s="591">
        <v>0</v>
      </c>
      <c r="GO148" s="591">
        <v>0</v>
      </c>
      <c r="GP148" s="591">
        <v>0</v>
      </c>
      <c r="GQ148" s="591">
        <v>0</v>
      </c>
      <c r="GR148" s="591">
        <v>0</v>
      </c>
      <c r="GS148" s="591">
        <v>0</v>
      </c>
      <c r="GT148" s="591">
        <v>0</v>
      </c>
      <c r="GU148" s="591">
        <v>0</v>
      </c>
      <c r="GV148" s="591">
        <v>0</v>
      </c>
      <c r="GW148" s="591">
        <v>0</v>
      </c>
      <c r="GX148" s="591">
        <v>0</v>
      </c>
      <c r="GY148" s="591">
        <v>0</v>
      </c>
      <c r="GZ148" s="591">
        <v>0</v>
      </c>
      <c r="HA148" s="591">
        <v>0</v>
      </c>
      <c r="HB148" s="591">
        <v>260009272</v>
      </c>
      <c r="HC148" s="591">
        <v>5.1774999999999995E-2</v>
      </c>
      <c r="HD148" s="591">
        <v>45219</v>
      </c>
      <c r="HE148" s="591">
        <v>0</v>
      </c>
      <c r="HF148" s="591">
        <v>271501</v>
      </c>
      <c r="HG148" s="591">
        <v>3849</v>
      </c>
      <c r="HH148" s="591">
        <v>11086</v>
      </c>
      <c r="HI148" s="591">
        <v>0</v>
      </c>
      <c r="HJ148" s="591">
        <v>2426</v>
      </c>
      <c r="HK148" s="591">
        <v>0</v>
      </c>
      <c r="HL148" s="591">
        <v>0</v>
      </c>
      <c r="HM148" s="591">
        <v>0</v>
      </c>
      <c r="HN148" s="591">
        <v>0</v>
      </c>
      <c r="HO148" s="591">
        <v>0</v>
      </c>
      <c r="HP148" s="591">
        <v>0</v>
      </c>
      <c r="HQ148" s="591">
        <v>0</v>
      </c>
      <c r="HR148" s="591">
        <v>0</v>
      </c>
      <c r="HS148" s="591">
        <v>1823528</v>
      </c>
      <c r="HT148" s="591">
        <v>0</v>
      </c>
      <c r="HU148" s="591">
        <v>0</v>
      </c>
      <c r="HV148" s="591">
        <v>0</v>
      </c>
      <c r="HW148" s="591">
        <v>0</v>
      </c>
      <c r="HX148" s="591">
        <v>2</v>
      </c>
      <c r="HY148" s="591">
        <v>9</v>
      </c>
      <c r="HZ148" s="591">
        <v>1</v>
      </c>
      <c r="IA148" s="591">
        <v>11</v>
      </c>
      <c r="IB148" s="591">
        <v>1</v>
      </c>
      <c r="IC148" s="591">
        <v>24</v>
      </c>
      <c r="ID148" s="591">
        <v>0</v>
      </c>
      <c r="IE148" s="591">
        <v>0</v>
      </c>
      <c r="IF148" s="591">
        <v>0</v>
      </c>
      <c r="IG148" s="591">
        <v>6.25</v>
      </c>
      <c r="IH148" s="591">
        <v>18</v>
      </c>
      <c r="II148" s="591">
        <v>0</v>
      </c>
      <c r="IJ148" s="591">
        <v>8.7799999999999994</v>
      </c>
      <c r="IK148" s="591">
        <v>0</v>
      </c>
      <c r="IL148" s="591">
        <v>0</v>
      </c>
      <c r="IM148" s="591">
        <v>0</v>
      </c>
      <c r="IN148" s="591">
        <v>0</v>
      </c>
      <c r="IO148" s="591">
        <v>0</v>
      </c>
      <c r="IP148" s="591">
        <v>0</v>
      </c>
      <c r="IQ148" s="591">
        <v>8.7799999999999994</v>
      </c>
      <c r="IR148" s="591">
        <v>5408</v>
      </c>
      <c r="IS148" s="591">
        <v>0</v>
      </c>
      <c r="IT148" s="591">
        <v>0</v>
      </c>
      <c r="IU148" s="591">
        <v>0</v>
      </c>
      <c r="IV148" s="591">
        <v>0</v>
      </c>
      <c r="IW148" s="591">
        <v>6159</v>
      </c>
      <c r="IX148" s="591">
        <v>0</v>
      </c>
      <c r="IY148" s="591">
        <v>0</v>
      </c>
      <c r="IZ148" s="591">
        <v>0</v>
      </c>
      <c r="JA148" s="591">
        <v>0</v>
      </c>
      <c r="JB148" s="591">
        <v>0</v>
      </c>
      <c r="JC148" s="591">
        <v>0</v>
      </c>
      <c r="JD148" s="591">
        <v>0</v>
      </c>
      <c r="JE148" s="591">
        <v>0</v>
      </c>
      <c r="JF148" s="591">
        <v>0</v>
      </c>
      <c r="JG148" s="591">
        <v>0</v>
      </c>
      <c r="JH148" s="591">
        <v>0</v>
      </c>
      <c r="JI148" s="591">
        <v>0</v>
      </c>
      <c r="JJ148" s="591">
        <v>0</v>
      </c>
      <c r="JK148" s="591">
        <v>0</v>
      </c>
      <c r="JL148" s="591">
        <v>0</v>
      </c>
      <c r="JM148" s="591">
        <v>0</v>
      </c>
      <c r="JN148" s="591">
        <v>32469</v>
      </c>
    </row>
    <row r="149" spans="1:274" x14ac:dyDescent="0.25">
      <c r="A149" s="591">
        <v>32570</v>
      </c>
      <c r="B149" s="591">
        <v>178801</v>
      </c>
      <c r="C149" s="591">
        <v>9</v>
      </c>
      <c r="D149" s="591">
        <v>2022</v>
      </c>
      <c r="E149" s="591">
        <v>6159</v>
      </c>
      <c r="F149" s="591">
        <v>0</v>
      </c>
      <c r="G149" s="591">
        <v>200.18800000000002</v>
      </c>
      <c r="H149" s="591">
        <v>199.952</v>
      </c>
      <c r="I149" s="591">
        <v>199.952</v>
      </c>
      <c r="J149" s="591">
        <v>200.18800000000002</v>
      </c>
      <c r="K149" s="591">
        <v>0</v>
      </c>
      <c r="L149" s="591">
        <v>6159</v>
      </c>
      <c r="M149" s="591">
        <v>0</v>
      </c>
      <c r="N149" s="591">
        <v>0</v>
      </c>
      <c r="O149" s="591">
        <v>0</v>
      </c>
      <c r="P149" s="591">
        <v>194.13400000000001</v>
      </c>
      <c r="Q149" s="591">
        <v>0</v>
      </c>
      <c r="R149" s="591">
        <v>78125</v>
      </c>
      <c r="S149" s="591">
        <v>402.428</v>
      </c>
      <c r="T149" s="591">
        <v>0</v>
      </c>
      <c r="U149" s="591">
        <v>0</v>
      </c>
      <c r="V149" s="591">
        <v>29.957000000000001</v>
      </c>
      <c r="W149" s="591">
        <v>18451</v>
      </c>
      <c r="X149" s="591">
        <v>18451</v>
      </c>
      <c r="Y149" s="591">
        <v>0</v>
      </c>
      <c r="Z149" s="591">
        <v>0</v>
      </c>
      <c r="AA149" s="591">
        <v>0</v>
      </c>
      <c r="AB149" s="591">
        <v>0</v>
      </c>
      <c r="AC149" s="591">
        <v>0</v>
      </c>
      <c r="AD149" s="591" t="s">
        <v>316</v>
      </c>
      <c r="AE149" s="591">
        <v>0</v>
      </c>
      <c r="AF149" s="591">
        <v>0</v>
      </c>
      <c r="AG149" s="591">
        <v>0</v>
      </c>
      <c r="AH149" s="591">
        <v>0</v>
      </c>
      <c r="AI149" s="591">
        <v>0</v>
      </c>
      <c r="AJ149" s="591">
        <v>6159</v>
      </c>
      <c r="AK149" s="591" t="s">
        <v>671</v>
      </c>
      <c r="AL149" s="591" t="s">
        <v>94</v>
      </c>
      <c r="AM149" s="591">
        <v>0</v>
      </c>
      <c r="AN149" s="591">
        <v>0</v>
      </c>
      <c r="AO149" s="591">
        <v>0</v>
      </c>
      <c r="AP149" s="591">
        <v>0</v>
      </c>
      <c r="AQ149" s="591">
        <v>0</v>
      </c>
      <c r="AR149" s="591">
        <v>0</v>
      </c>
      <c r="AS149" s="591">
        <v>0</v>
      </c>
      <c r="AT149" s="591">
        <v>0</v>
      </c>
      <c r="AU149" s="591">
        <v>0</v>
      </c>
      <c r="AV149" s="591">
        <v>0</v>
      </c>
      <c r="AW149" s="591">
        <v>2150506</v>
      </c>
      <c r="AX149" s="591">
        <v>2114571</v>
      </c>
      <c r="AY149" s="591">
        <v>0</v>
      </c>
      <c r="AZ149" s="591">
        <v>78125</v>
      </c>
      <c r="BA149" s="591">
        <v>0</v>
      </c>
      <c r="BB149" s="591">
        <v>0</v>
      </c>
      <c r="BC149" s="591">
        <v>0</v>
      </c>
      <c r="BD149" s="591">
        <v>0</v>
      </c>
      <c r="BE149" s="591">
        <v>28</v>
      </c>
      <c r="BF149" s="591">
        <v>1948920</v>
      </c>
      <c r="BG149" s="591">
        <v>0</v>
      </c>
      <c r="BH149" s="591">
        <v>0</v>
      </c>
      <c r="BI149" s="591">
        <v>0</v>
      </c>
      <c r="BJ149" s="591">
        <v>12</v>
      </c>
      <c r="BK149" s="591">
        <v>0</v>
      </c>
      <c r="BL149" s="591">
        <v>0</v>
      </c>
      <c r="BM149" s="591">
        <v>0</v>
      </c>
      <c r="BN149" s="591">
        <v>0</v>
      </c>
      <c r="BO149" s="591">
        <v>0</v>
      </c>
      <c r="BP149" s="591">
        <v>0</v>
      </c>
      <c r="BQ149" s="591">
        <v>739</v>
      </c>
      <c r="BR149" s="591">
        <v>0</v>
      </c>
      <c r="BS149" s="591">
        <v>0</v>
      </c>
      <c r="BT149" s="591">
        <v>0</v>
      </c>
      <c r="BU149" s="591">
        <v>0</v>
      </c>
      <c r="BV149" s="591">
        <v>0</v>
      </c>
      <c r="BW149" s="591">
        <v>0</v>
      </c>
      <c r="BX149" s="591">
        <v>0</v>
      </c>
      <c r="BY149" s="591">
        <v>0</v>
      </c>
      <c r="BZ149" s="591">
        <v>0</v>
      </c>
      <c r="CA149" s="591">
        <v>0</v>
      </c>
      <c r="CB149" s="591">
        <v>0</v>
      </c>
      <c r="CC149" s="591">
        <v>0</v>
      </c>
      <c r="CD149" s="591">
        <v>0</v>
      </c>
      <c r="CE149" s="591">
        <v>0</v>
      </c>
      <c r="CF149" s="591">
        <v>0</v>
      </c>
      <c r="CG149" s="591">
        <v>0</v>
      </c>
      <c r="CH149" s="591">
        <v>36276</v>
      </c>
      <c r="CI149" s="591">
        <v>0</v>
      </c>
      <c r="CJ149" s="591">
        <v>4</v>
      </c>
      <c r="CK149" s="591">
        <v>0</v>
      </c>
      <c r="CL149" s="591">
        <v>0</v>
      </c>
      <c r="CM149" s="591">
        <v>0</v>
      </c>
      <c r="CN149" s="591">
        <v>0</v>
      </c>
      <c r="CO149" s="591">
        <v>1</v>
      </c>
      <c r="CP149" s="591">
        <v>0</v>
      </c>
      <c r="CQ149" s="591">
        <v>0</v>
      </c>
      <c r="CR149" s="591">
        <v>200.18800000000002</v>
      </c>
      <c r="CS149" s="591">
        <v>0</v>
      </c>
      <c r="CT149" s="591">
        <v>0</v>
      </c>
      <c r="CU149" s="591">
        <v>0</v>
      </c>
      <c r="CV149" s="591">
        <v>0</v>
      </c>
      <c r="CW149" s="591">
        <v>0</v>
      </c>
      <c r="CX149" s="591">
        <v>0</v>
      </c>
      <c r="CY149" s="591">
        <v>0</v>
      </c>
      <c r="CZ149" s="591">
        <v>0</v>
      </c>
      <c r="DA149" s="591">
        <v>0</v>
      </c>
      <c r="DB149" s="591">
        <v>1231521</v>
      </c>
      <c r="DC149" s="591">
        <v>0</v>
      </c>
      <c r="DD149" s="591">
        <v>0</v>
      </c>
      <c r="DE149" s="591">
        <v>360537</v>
      </c>
      <c r="DF149" s="591">
        <v>360537</v>
      </c>
      <c r="DG149" s="591">
        <v>58.538000000000004</v>
      </c>
      <c r="DH149" s="591">
        <v>0</v>
      </c>
      <c r="DI149" s="591">
        <v>0</v>
      </c>
      <c r="DJ149" s="591">
        <v>0</v>
      </c>
      <c r="DK149" s="591">
        <v>3449</v>
      </c>
      <c r="DL149" s="591">
        <v>0</v>
      </c>
      <c r="DM149" s="591">
        <v>81914</v>
      </c>
      <c r="DN149" s="591">
        <v>313</v>
      </c>
      <c r="DO149" s="591">
        <v>0</v>
      </c>
      <c r="DP149" s="591">
        <v>0</v>
      </c>
      <c r="DQ149" s="591">
        <v>0</v>
      </c>
      <c r="DR149" s="591">
        <v>0</v>
      </c>
      <c r="DS149" s="591">
        <v>0</v>
      </c>
      <c r="DT149" s="591">
        <v>0</v>
      </c>
      <c r="DU149" s="591">
        <v>0</v>
      </c>
      <c r="DV149" s="591">
        <v>0</v>
      </c>
      <c r="DW149" s="591">
        <v>0</v>
      </c>
      <c r="DX149" s="591">
        <v>0</v>
      </c>
      <c r="DY149" s="591">
        <v>0</v>
      </c>
      <c r="DZ149" s="591">
        <v>0</v>
      </c>
      <c r="EA149" s="591">
        <v>0</v>
      </c>
      <c r="EB149" s="591">
        <v>0</v>
      </c>
      <c r="EC149" s="591">
        <v>10.583</v>
      </c>
      <c r="ED149" s="591">
        <v>74959</v>
      </c>
      <c r="EE149" s="591">
        <v>0</v>
      </c>
      <c r="EF149" s="591">
        <v>0</v>
      </c>
      <c r="EG149" s="591">
        <v>0</v>
      </c>
      <c r="EH149" s="591">
        <v>7268</v>
      </c>
      <c r="EI149" s="591">
        <v>0</v>
      </c>
      <c r="EJ149" s="591">
        <v>0</v>
      </c>
      <c r="EK149" s="591">
        <v>0</v>
      </c>
      <c r="EL149" s="591">
        <v>0</v>
      </c>
      <c r="EM149" s="591">
        <v>0</v>
      </c>
      <c r="EN149" s="591">
        <v>0.23600000000000002</v>
      </c>
      <c r="EO149" s="591">
        <v>0</v>
      </c>
      <c r="EP149" s="591">
        <v>0</v>
      </c>
      <c r="EQ149" s="591">
        <v>0.23600000000000002</v>
      </c>
      <c r="ER149" s="591">
        <v>0</v>
      </c>
      <c r="ES149" s="591">
        <v>1.18</v>
      </c>
      <c r="ET149" s="591">
        <v>0</v>
      </c>
      <c r="EU149" s="591">
        <v>0</v>
      </c>
      <c r="EV149" s="591">
        <v>0</v>
      </c>
      <c r="EW149" s="591">
        <v>0</v>
      </c>
      <c r="EX149" s="591">
        <v>0</v>
      </c>
      <c r="EY149" s="591">
        <v>0</v>
      </c>
      <c r="EZ149" s="591">
        <v>1871521</v>
      </c>
      <c r="FA149" s="591">
        <v>0</v>
      </c>
      <c r="FB149" s="591">
        <v>1949305</v>
      </c>
      <c r="FC149" s="591">
        <v>0</v>
      </c>
      <c r="FD149" s="591">
        <v>0</v>
      </c>
      <c r="FE149" s="591">
        <v>201873</v>
      </c>
      <c r="FF149" s="591">
        <v>41177</v>
      </c>
      <c r="FG149" s="591">
        <v>6.4728999999999995E-2</v>
      </c>
      <c r="FH149" s="591">
        <v>2.6405999999999999E-2</v>
      </c>
      <c r="FI149" s="591">
        <v>0</v>
      </c>
      <c r="FJ149" s="591">
        <v>0</v>
      </c>
      <c r="FK149" s="591">
        <v>316.43</v>
      </c>
      <c r="FL149" s="591">
        <v>2228631</v>
      </c>
      <c r="FM149" s="591">
        <v>0</v>
      </c>
      <c r="FN149" s="591">
        <v>0</v>
      </c>
      <c r="FO149" s="591">
        <v>0</v>
      </c>
      <c r="FP149" s="591">
        <v>0</v>
      </c>
      <c r="FQ149" s="591">
        <v>0</v>
      </c>
      <c r="FR149" s="591">
        <v>0</v>
      </c>
      <c r="FS149" s="591">
        <v>0</v>
      </c>
      <c r="FT149" s="591">
        <v>0</v>
      </c>
      <c r="FU149" s="591">
        <v>0</v>
      </c>
      <c r="FV149" s="591">
        <v>0</v>
      </c>
      <c r="FW149" s="591">
        <v>0</v>
      </c>
      <c r="FX149" s="591">
        <v>0</v>
      </c>
      <c r="FY149" s="591">
        <v>0</v>
      </c>
      <c r="FZ149" s="591">
        <v>0</v>
      </c>
      <c r="GA149" s="591">
        <v>0</v>
      </c>
      <c r="GB149" s="591">
        <v>0</v>
      </c>
      <c r="GC149" s="591">
        <v>0</v>
      </c>
      <c r="GD149" s="591">
        <v>0</v>
      </c>
      <c r="GE149" s="591">
        <v>0</v>
      </c>
      <c r="GF149" s="591">
        <v>0</v>
      </c>
      <c r="GG149" s="591">
        <v>0</v>
      </c>
      <c r="GH149" s="591">
        <v>0</v>
      </c>
      <c r="GI149" s="591">
        <v>0</v>
      </c>
      <c r="GJ149" s="591">
        <v>0</v>
      </c>
      <c r="GK149" s="591">
        <v>0</v>
      </c>
      <c r="GL149" s="591">
        <v>0</v>
      </c>
      <c r="GM149" s="591">
        <v>0</v>
      </c>
      <c r="GN149" s="591">
        <v>0</v>
      </c>
      <c r="GO149" s="591">
        <v>0</v>
      </c>
      <c r="GP149" s="591">
        <v>0</v>
      </c>
      <c r="GQ149" s="591">
        <v>0</v>
      </c>
      <c r="GR149" s="591">
        <v>0</v>
      </c>
      <c r="GS149" s="591">
        <v>0</v>
      </c>
      <c r="GT149" s="591">
        <v>0</v>
      </c>
      <c r="GU149" s="591">
        <v>0</v>
      </c>
      <c r="GV149" s="591">
        <v>0</v>
      </c>
      <c r="GW149" s="591">
        <v>0</v>
      </c>
      <c r="GX149" s="591">
        <v>0</v>
      </c>
      <c r="GY149" s="591">
        <v>0</v>
      </c>
      <c r="GZ149" s="591">
        <v>0</v>
      </c>
      <c r="HA149" s="591">
        <v>0</v>
      </c>
      <c r="HB149" s="591">
        <v>260009272</v>
      </c>
      <c r="HC149" s="591">
        <v>5.1774999999999995E-2</v>
      </c>
      <c r="HD149" s="591">
        <v>36276</v>
      </c>
      <c r="HE149" s="591">
        <v>0</v>
      </c>
      <c r="HF149" s="591">
        <v>219747</v>
      </c>
      <c r="HG149" s="591">
        <v>3080</v>
      </c>
      <c r="HH149" s="591">
        <v>31411</v>
      </c>
      <c r="HI149" s="591">
        <v>0</v>
      </c>
      <c r="HJ149" s="591">
        <v>1946</v>
      </c>
      <c r="HK149" s="591">
        <v>0</v>
      </c>
      <c r="HL149" s="591">
        <v>726</v>
      </c>
      <c r="HM149" s="591">
        <v>0</v>
      </c>
      <c r="HN149" s="591">
        <v>0</v>
      </c>
      <c r="HO149" s="591">
        <v>0</v>
      </c>
      <c r="HP149" s="591">
        <v>0</v>
      </c>
      <c r="HQ149" s="591">
        <v>0</v>
      </c>
      <c r="HR149" s="591">
        <v>0</v>
      </c>
      <c r="HS149" s="591">
        <v>1871180</v>
      </c>
      <c r="HT149" s="591">
        <v>0</v>
      </c>
      <c r="HU149" s="591">
        <v>0</v>
      </c>
      <c r="HV149" s="591">
        <v>0</v>
      </c>
      <c r="HW149" s="591">
        <v>0</v>
      </c>
      <c r="HX149" s="591">
        <v>17</v>
      </c>
      <c r="HY149" s="591">
        <v>21</v>
      </c>
      <c r="HZ149" s="591">
        <v>28</v>
      </c>
      <c r="IA149" s="591">
        <v>80</v>
      </c>
      <c r="IB149" s="591">
        <v>79</v>
      </c>
      <c r="IC149" s="591">
        <v>213</v>
      </c>
      <c r="ID149" s="591">
        <v>0</v>
      </c>
      <c r="IE149" s="591">
        <v>0</v>
      </c>
      <c r="IF149" s="591">
        <v>0</v>
      </c>
      <c r="IG149" s="591">
        <v>5</v>
      </c>
      <c r="IH149" s="591">
        <v>51</v>
      </c>
      <c r="II149" s="591">
        <v>0</v>
      </c>
      <c r="IJ149" s="591">
        <v>29.957000000000001</v>
      </c>
      <c r="IK149" s="591">
        <v>0</v>
      </c>
      <c r="IL149" s="591">
        <v>0</v>
      </c>
      <c r="IM149" s="591">
        <v>0</v>
      </c>
      <c r="IN149" s="591">
        <v>0</v>
      </c>
      <c r="IO149" s="591">
        <v>0</v>
      </c>
      <c r="IP149" s="591">
        <v>0</v>
      </c>
      <c r="IQ149" s="591">
        <v>29.957000000000001</v>
      </c>
      <c r="IR149" s="591">
        <v>18451</v>
      </c>
      <c r="IS149" s="591">
        <v>0</v>
      </c>
      <c r="IT149" s="591">
        <v>0</v>
      </c>
      <c r="IU149" s="591">
        <v>0</v>
      </c>
      <c r="IV149" s="591">
        <v>0</v>
      </c>
      <c r="IW149" s="591">
        <v>6159</v>
      </c>
      <c r="IX149" s="591">
        <v>0</v>
      </c>
      <c r="IY149" s="591">
        <v>0</v>
      </c>
      <c r="IZ149" s="591">
        <v>0</v>
      </c>
      <c r="JA149" s="591">
        <v>0</v>
      </c>
      <c r="JB149" s="591">
        <v>0</v>
      </c>
      <c r="JC149" s="591">
        <v>0</v>
      </c>
      <c r="JD149" s="591">
        <v>0</v>
      </c>
      <c r="JE149" s="591">
        <v>0</v>
      </c>
      <c r="JF149" s="591">
        <v>0</v>
      </c>
      <c r="JG149" s="591">
        <v>0</v>
      </c>
      <c r="JH149" s="591">
        <v>0</v>
      </c>
      <c r="JI149" s="591">
        <v>0</v>
      </c>
      <c r="JJ149" s="591">
        <v>0</v>
      </c>
      <c r="JK149" s="591">
        <v>0</v>
      </c>
      <c r="JL149" s="591">
        <v>0</v>
      </c>
      <c r="JM149" s="591">
        <v>0</v>
      </c>
      <c r="JN149" s="591">
        <v>32469</v>
      </c>
    </row>
    <row r="150" spans="1:274" x14ac:dyDescent="0.25">
      <c r="A150" s="591">
        <v>32570</v>
      </c>
      <c r="B150" s="591">
        <v>178807</v>
      </c>
      <c r="C150" s="591">
        <v>9</v>
      </c>
      <c r="D150" s="591">
        <v>2022</v>
      </c>
      <c r="E150" s="591">
        <v>6159</v>
      </c>
      <c r="F150" s="591">
        <v>0</v>
      </c>
      <c r="G150" s="591">
        <v>113.265</v>
      </c>
      <c r="H150" s="591">
        <v>109.74000000000001</v>
      </c>
      <c r="I150" s="591">
        <v>109.74000000000001</v>
      </c>
      <c r="J150" s="591">
        <v>113.265</v>
      </c>
      <c r="K150" s="591">
        <v>0</v>
      </c>
      <c r="L150" s="591">
        <v>6159</v>
      </c>
      <c r="M150" s="591">
        <v>0</v>
      </c>
      <c r="N150" s="591">
        <v>0</v>
      </c>
      <c r="O150" s="591">
        <v>0</v>
      </c>
      <c r="P150" s="591">
        <v>109.02800000000001</v>
      </c>
      <c r="Q150" s="591">
        <v>0</v>
      </c>
      <c r="R150" s="591">
        <v>43876</v>
      </c>
      <c r="S150" s="591">
        <v>402.428</v>
      </c>
      <c r="T150" s="591">
        <v>0</v>
      </c>
      <c r="U150" s="591">
        <v>0</v>
      </c>
      <c r="V150" s="591">
        <v>5.673</v>
      </c>
      <c r="W150" s="591">
        <v>3494</v>
      </c>
      <c r="X150" s="591">
        <v>3494</v>
      </c>
      <c r="Y150" s="591">
        <v>0</v>
      </c>
      <c r="Z150" s="591">
        <v>0</v>
      </c>
      <c r="AA150" s="591">
        <v>0</v>
      </c>
      <c r="AB150" s="591">
        <v>0</v>
      </c>
      <c r="AC150" s="591">
        <v>0</v>
      </c>
      <c r="AD150" s="591" t="s">
        <v>316</v>
      </c>
      <c r="AE150" s="591">
        <v>0</v>
      </c>
      <c r="AF150" s="591">
        <v>0</v>
      </c>
      <c r="AG150" s="591">
        <v>0</v>
      </c>
      <c r="AH150" s="591">
        <v>0</v>
      </c>
      <c r="AI150" s="591">
        <v>0</v>
      </c>
      <c r="AJ150" s="591">
        <v>6159</v>
      </c>
      <c r="AK150" s="591" t="s">
        <v>671</v>
      </c>
      <c r="AL150" s="591" t="s">
        <v>69</v>
      </c>
      <c r="AM150" s="591">
        <v>0</v>
      </c>
      <c r="AN150" s="591">
        <v>0</v>
      </c>
      <c r="AO150" s="591">
        <v>0</v>
      </c>
      <c r="AP150" s="591">
        <v>0</v>
      </c>
      <c r="AQ150" s="591">
        <v>0</v>
      </c>
      <c r="AR150" s="591">
        <v>0</v>
      </c>
      <c r="AS150" s="591">
        <v>0</v>
      </c>
      <c r="AT150" s="591">
        <v>0</v>
      </c>
      <c r="AU150" s="591">
        <v>0</v>
      </c>
      <c r="AV150" s="591">
        <v>0</v>
      </c>
      <c r="AW150" s="591">
        <v>1040867</v>
      </c>
      <c r="AX150" s="591">
        <v>1020622</v>
      </c>
      <c r="AY150" s="591">
        <v>0</v>
      </c>
      <c r="AZ150" s="591">
        <v>43876</v>
      </c>
      <c r="BA150" s="591">
        <v>0</v>
      </c>
      <c r="BB150" s="591">
        <v>0</v>
      </c>
      <c r="BC150" s="591">
        <v>0</v>
      </c>
      <c r="BD150" s="591">
        <v>0</v>
      </c>
      <c r="BE150" s="591">
        <v>14</v>
      </c>
      <c r="BF150" s="591">
        <v>946464</v>
      </c>
      <c r="BG150" s="591">
        <v>0</v>
      </c>
      <c r="BH150" s="591">
        <v>0</v>
      </c>
      <c r="BI150" s="591">
        <v>0</v>
      </c>
      <c r="BJ150" s="591">
        <v>12</v>
      </c>
      <c r="BK150" s="591">
        <v>0</v>
      </c>
      <c r="BL150" s="591">
        <v>0</v>
      </c>
      <c r="BM150" s="591">
        <v>0</v>
      </c>
      <c r="BN150" s="591">
        <v>0</v>
      </c>
      <c r="BO150" s="591">
        <v>0</v>
      </c>
      <c r="BP150" s="591">
        <v>0</v>
      </c>
      <c r="BQ150" s="591">
        <v>753</v>
      </c>
      <c r="BR150" s="591">
        <v>0</v>
      </c>
      <c r="BS150" s="591">
        <v>0</v>
      </c>
      <c r="BT150" s="591">
        <v>0</v>
      </c>
      <c r="BU150" s="591">
        <v>0</v>
      </c>
      <c r="BV150" s="591">
        <v>0</v>
      </c>
      <c r="BW150" s="591">
        <v>0</v>
      </c>
      <c r="BX150" s="591">
        <v>0</v>
      </c>
      <c r="BY150" s="591">
        <v>0</v>
      </c>
      <c r="BZ150" s="591">
        <v>0</v>
      </c>
      <c r="CA150" s="591">
        <v>0</v>
      </c>
      <c r="CB150" s="591">
        <v>0</v>
      </c>
      <c r="CC150" s="591">
        <v>0</v>
      </c>
      <c r="CD150" s="591">
        <v>0</v>
      </c>
      <c r="CE150" s="591">
        <v>0</v>
      </c>
      <c r="CF150" s="591">
        <v>0</v>
      </c>
      <c r="CG150" s="591">
        <v>0</v>
      </c>
      <c r="CH150" s="591">
        <v>20525</v>
      </c>
      <c r="CI150" s="591">
        <v>0</v>
      </c>
      <c r="CJ150" s="591">
        <v>4</v>
      </c>
      <c r="CK150" s="591">
        <v>0</v>
      </c>
      <c r="CL150" s="591">
        <v>0</v>
      </c>
      <c r="CM150" s="591">
        <v>0</v>
      </c>
      <c r="CN150" s="591">
        <v>0</v>
      </c>
      <c r="CO150" s="591">
        <v>1</v>
      </c>
      <c r="CP150" s="591">
        <v>0</v>
      </c>
      <c r="CQ150" s="591">
        <v>0</v>
      </c>
      <c r="CR150" s="591">
        <v>113.265</v>
      </c>
      <c r="CS150" s="591">
        <v>0</v>
      </c>
      <c r="CT150" s="591">
        <v>0</v>
      </c>
      <c r="CU150" s="591">
        <v>0</v>
      </c>
      <c r="CV150" s="591">
        <v>0</v>
      </c>
      <c r="CW150" s="591">
        <v>0</v>
      </c>
      <c r="CX150" s="591">
        <v>0</v>
      </c>
      <c r="CY150" s="591">
        <v>0</v>
      </c>
      <c r="CZ150" s="591">
        <v>0</v>
      </c>
      <c r="DA150" s="591">
        <v>0</v>
      </c>
      <c r="DB150" s="591">
        <v>653453</v>
      </c>
      <c r="DC150" s="591">
        <v>0</v>
      </c>
      <c r="DD150" s="591">
        <v>0</v>
      </c>
      <c r="DE150" s="591">
        <v>64208</v>
      </c>
      <c r="DF150" s="591">
        <v>64208</v>
      </c>
      <c r="DG150" s="591">
        <v>10.425000000000001</v>
      </c>
      <c r="DH150" s="591">
        <v>0</v>
      </c>
      <c r="DI150" s="591">
        <v>0</v>
      </c>
      <c r="DJ150" s="591">
        <v>0</v>
      </c>
      <c r="DK150" s="591">
        <v>3671</v>
      </c>
      <c r="DL150" s="591">
        <v>0</v>
      </c>
      <c r="DM150" s="591">
        <v>92251</v>
      </c>
      <c r="DN150" s="591">
        <v>266</v>
      </c>
      <c r="DO150" s="591">
        <v>0</v>
      </c>
      <c r="DP150" s="591">
        <v>0</v>
      </c>
      <c r="DQ150" s="591">
        <v>0</v>
      </c>
      <c r="DR150" s="591">
        <v>0</v>
      </c>
      <c r="DS150" s="591">
        <v>0</v>
      </c>
      <c r="DT150" s="591">
        <v>0</v>
      </c>
      <c r="DU150" s="591">
        <v>0</v>
      </c>
      <c r="DV150" s="591">
        <v>0</v>
      </c>
      <c r="DW150" s="591">
        <v>0</v>
      </c>
      <c r="DX150" s="591">
        <v>0</v>
      </c>
      <c r="DY150" s="591">
        <v>0</v>
      </c>
      <c r="DZ150" s="591">
        <v>0</v>
      </c>
      <c r="EA150" s="591">
        <v>0</v>
      </c>
      <c r="EB150" s="591">
        <v>0</v>
      </c>
      <c r="EC150" s="591">
        <v>0</v>
      </c>
      <c r="ED150" s="591">
        <v>0</v>
      </c>
      <c r="EE150" s="591">
        <v>0</v>
      </c>
      <c r="EF150" s="591">
        <v>0</v>
      </c>
      <c r="EG150" s="591">
        <v>0</v>
      </c>
      <c r="EH150" s="591">
        <v>70072</v>
      </c>
      <c r="EI150" s="591">
        <v>0</v>
      </c>
      <c r="EJ150" s="591">
        <v>0</v>
      </c>
      <c r="EK150" s="591">
        <v>3.1240000000000001</v>
      </c>
      <c r="EL150" s="591">
        <v>0</v>
      </c>
      <c r="EM150" s="591">
        <v>0</v>
      </c>
      <c r="EN150" s="591">
        <v>0.40100000000000002</v>
      </c>
      <c r="EO150" s="591">
        <v>0</v>
      </c>
      <c r="EP150" s="591">
        <v>0</v>
      </c>
      <c r="EQ150" s="591">
        <v>3.5250000000000004</v>
      </c>
      <c r="ER150" s="591">
        <v>0</v>
      </c>
      <c r="ES150" s="591">
        <v>11.377000000000001</v>
      </c>
      <c r="ET150" s="591">
        <v>0</v>
      </c>
      <c r="EU150" s="591">
        <v>0</v>
      </c>
      <c r="EV150" s="591">
        <v>0</v>
      </c>
      <c r="EW150" s="591">
        <v>0</v>
      </c>
      <c r="EX150" s="591">
        <v>0</v>
      </c>
      <c r="EY150" s="591">
        <v>0</v>
      </c>
      <c r="EZ150" s="591">
        <v>902588</v>
      </c>
      <c r="FA150" s="591">
        <v>0</v>
      </c>
      <c r="FB150" s="591">
        <v>946184</v>
      </c>
      <c r="FC150" s="591">
        <v>0</v>
      </c>
      <c r="FD150" s="591">
        <v>0</v>
      </c>
      <c r="FE150" s="591">
        <v>98037</v>
      </c>
      <c r="FF150" s="591">
        <v>19997</v>
      </c>
      <c r="FG150" s="591">
        <v>6.4728999999999995E-2</v>
      </c>
      <c r="FH150" s="591">
        <v>2.6405999999999999E-2</v>
      </c>
      <c r="FI150" s="591">
        <v>0</v>
      </c>
      <c r="FJ150" s="591">
        <v>0</v>
      </c>
      <c r="FK150" s="591">
        <v>153.67000000000002</v>
      </c>
      <c r="FL150" s="591">
        <v>1084743</v>
      </c>
      <c r="FM150" s="591">
        <v>0</v>
      </c>
      <c r="FN150" s="591">
        <v>0</v>
      </c>
      <c r="FO150" s="591">
        <v>0</v>
      </c>
      <c r="FP150" s="591">
        <v>0</v>
      </c>
      <c r="FQ150" s="591">
        <v>0</v>
      </c>
      <c r="FR150" s="591">
        <v>0</v>
      </c>
      <c r="FS150" s="591">
        <v>0</v>
      </c>
      <c r="FT150" s="591">
        <v>0</v>
      </c>
      <c r="FU150" s="591">
        <v>0</v>
      </c>
      <c r="FV150" s="591">
        <v>0</v>
      </c>
      <c r="FW150" s="591">
        <v>0</v>
      </c>
      <c r="FX150" s="591">
        <v>0</v>
      </c>
      <c r="FY150" s="591">
        <v>0</v>
      </c>
      <c r="FZ150" s="591">
        <v>0</v>
      </c>
      <c r="GA150" s="591">
        <v>0</v>
      </c>
      <c r="GB150" s="591">
        <v>0</v>
      </c>
      <c r="GC150" s="591">
        <v>0</v>
      </c>
      <c r="GD150" s="591">
        <v>0</v>
      </c>
      <c r="GE150" s="591">
        <v>0</v>
      </c>
      <c r="GF150" s="591">
        <v>0</v>
      </c>
      <c r="GG150" s="591">
        <v>0</v>
      </c>
      <c r="GH150" s="591">
        <v>0</v>
      </c>
      <c r="GI150" s="591">
        <v>0</v>
      </c>
      <c r="GJ150" s="591">
        <v>0</v>
      </c>
      <c r="GK150" s="591">
        <v>0</v>
      </c>
      <c r="GL150" s="591">
        <v>0</v>
      </c>
      <c r="GM150" s="591">
        <v>0</v>
      </c>
      <c r="GN150" s="591">
        <v>0</v>
      </c>
      <c r="GO150" s="591">
        <v>0</v>
      </c>
      <c r="GP150" s="591">
        <v>0</v>
      </c>
      <c r="GQ150" s="591">
        <v>0</v>
      </c>
      <c r="GR150" s="591">
        <v>0</v>
      </c>
      <c r="GS150" s="591">
        <v>0</v>
      </c>
      <c r="GT150" s="591">
        <v>0</v>
      </c>
      <c r="GU150" s="591">
        <v>0</v>
      </c>
      <c r="GV150" s="591">
        <v>0</v>
      </c>
      <c r="GW150" s="591">
        <v>0</v>
      </c>
      <c r="GX150" s="591">
        <v>0</v>
      </c>
      <c r="GY150" s="591">
        <v>0</v>
      </c>
      <c r="GZ150" s="591">
        <v>0</v>
      </c>
      <c r="HA150" s="591">
        <v>0</v>
      </c>
      <c r="HB150" s="591">
        <v>260009272</v>
      </c>
      <c r="HC150" s="591">
        <v>5.1774999999999995E-2</v>
      </c>
      <c r="HD150" s="591">
        <v>20525</v>
      </c>
      <c r="HE150" s="591">
        <v>0</v>
      </c>
      <c r="HF150" s="591">
        <v>120604</v>
      </c>
      <c r="HG150" s="591">
        <v>3080</v>
      </c>
      <c r="HH150" s="591">
        <v>8007</v>
      </c>
      <c r="HI150" s="591">
        <v>0</v>
      </c>
      <c r="HJ150" s="591">
        <v>1101</v>
      </c>
      <c r="HK150" s="591">
        <v>0</v>
      </c>
      <c r="HL150" s="591">
        <v>0</v>
      </c>
      <c r="HM150" s="591">
        <v>0</v>
      </c>
      <c r="HN150" s="591">
        <v>0</v>
      </c>
      <c r="HO150" s="591">
        <v>0</v>
      </c>
      <c r="HP150" s="591">
        <v>0</v>
      </c>
      <c r="HQ150" s="591">
        <v>0</v>
      </c>
      <c r="HR150" s="591">
        <v>0</v>
      </c>
      <c r="HS150" s="591">
        <v>902308</v>
      </c>
      <c r="HT150" s="591">
        <v>0</v>
      </c>
      <c r="HU150" s="591">
        <v>0</v>
      </c>
      <c r="HV150" s="591">
        <v>0</v>
      </c>
      <c r="HW150" s="591">
        <v>0</v>
      </c>
      <c r="HX150" s="591">
        <v>1</v>
      </c>
      <c r="HY150" s="591">
        <v>11</v>
      </c>
      <c r="HZ150" s="591">
        <v>11</v>
      </c>
      <c r="IA150" s="591">
        <v>9</v>
      </c>
      <c r="IB150" s="591">
        <v>9</v>
      </c>
      <c r="IC150" s="591">
        <v>41</v>
      </c>
      <c r="ID150" s="591">
        <v>0</v>
      </c>
      <c r="IE150" s="591">
        <v>0</v>
      </c>
      <c r="IF150" s="591">
        <v>0</v>
      </c>
      <c r="IG150" s="591">
        <v>5</v>
      </c>
      <c r="IH150" s="591">
        <v>13</v>
      </c>
      <c r="II150" s="591">
        <v>0</v>
      </c>
      <c r="IJ150" s="591">
        <v>5.673</v>
      </c>
      <c r="IK150" s="591">
        <v>0</v>
      </c>
      <c r="IL150" s="591">
        <v>0</v>
      </c>
      <c r="IM150" s="591">
        <v>0</v>
      </c>
      <c r="IN150" s="591">
        <v>0</v>
      </c>
      <c r="IO150" s="591">
        <v>0</v>
      </c>
      <c r="IP150" s="591">
        <v>0</v>
      </c>
      <c r="IQ150" s="591">
        <v>5.673</v>
      </c>
      <c r="IR150" s="591">
        <v>3494</v>
      </c>
      <c r="IS150" s="591">
        <v>0</v>
      </c>
      <c r="IT150" s="591">
        <v>0</v>
      </c>
      <c r="IU150" s="591">
        <v>0</v>
      </c>
      <c r="IV150" s="591">
        <v>0</v>
      </c>
      <c r="IW150" s="591">
        <v>6159</v>
      </c>
      <c r="IX150" s="591">
        <v>0</v>
      </c>
      <c r="IY150" s="591">
        <v>0</v>
      </c>
      <c r="IZ150" s="591">
        <v>0</v>
      </c>
      <c r="JA150" s="591">
        <v>0</v>
      </c>
      <c r="JB150" s="591">
        <v>0</v>
      </c>
      <c r="JC150" s="591">
        <v>0</v>
      </c>
      <c r="JD150" s="591">
        <v>0</v>
      </c>
      <c r="JE150" s="591">
        <v>0</v>
      </c>
      <c r="JF150" s="591">
        <v>0</v>
      </c>
      <c r="JG150" s="591">
        <v>0</v>
      </c>
      <c r="JH150" s="591">
        <v>0</v>
      </c>
      <c r="JI150" s="591">
        <v>0</v>
      </c>
      <c r="JJ150" s="591">
        <v>0</v>
      </c>
      <c r="JK150" s="591">
        <v>0</v>
      </c>
      <c r="JL150" s="591">
        <v>0</v>
      </c>
      <c r="JM150" s="591">
        <v>0</v>
      </c>
      <c r="JN150" s="591">
        <v>32469</v>
      </c>
    </row>
    <row r="151" spans="1:274" x14ac:dyDescent="0.25">
      <c r="A151" s="591">
        <v>32570</v>
      </c>
      <c r="B151" s="591">
        <v>178808</v>
      </c>
      <c r="C151" s="591">
        <v>9</v>
      </c>
      <c r="D151" s="591">
        <v>2022</v>
      </c>
      <c r="E151" s="591">
        <v>6159</v>
      </c>
      <c r="F151" s="591">
        <v>0</v>
      </c>
      <c r="G151" s="591">
        <v>490.34700000000004</v>
      </c>
      <c r="H151" s="591">
        <v>482.726</v>
      </c>
      <c r="I151" s="591">
        <v>482.726</v>
      </c>
      <c r="J151" s="591">
        <v>490.34700000000004</v>
      </c>
      <c r="K151" s="591">
        <v>0</v>
      </c>
      <c r="L151" s="591">
        <v>6159</v>
      </c>
      <c r="M151" s="591">
        <v>0</v>
      </c>
      <c r="N151" s="591">
        <v>0</v>
      </c>
      <c r="O151" s="591">
        <v>0</v>
      </c>
      <c r="P151" s="591">
        <v>482.363</v>
      </c>
      <c r="Q151" s="591">
        <v>0</v>
      </c>
      <c r="R151" s="591">
        <v>194116</v>
      </c>
      <c r="S151" s="591">
        <v>402.428</v>
      </c>
      <c r="T151" s="591">
        <v>0</v>
      </c>
      <c r="U151" s="591">
        <v>0</v>
      </c>
      <c r="V151" s="591">
        <v>0.32300000000000001</v>
      </c>
      <c r="W151" s="591">
        <v>199</v>
      </c>
      <c r="X151" s="591">
        <v>199</v>
      </c>
      <c r="Y151" s="591">
        <v>0</v>
      </c>
      <c r="Z151" s="591">
        <v>0</v>
      </c>
      <c r="AA151" s="591">
        <v>0</v>
      </c>
      <c r="AB151" s="591">
        <v>0</v>
      </c>
      <c r="AC151" s="591">
        <v>0</v>
      </c>
      <c r="AD151" s="591" t="s">
        <v>316</v>
      </c>
      <c r="AE151" s="591">
        <v>0</v>
      </c>
      <c r="AF151" s="591">
        <v>0</v>
      </c>
      <c r="AG151" s="591">
        <v>0</v>
      </c>
      <c r="AH151" s="591">
        <v>0</v>
      </c>
      <c r="AI151" s="591">
        <v>0</v>
      </c>
      <c r="AJ151" s="591">
        <v>6159</v>
      </c>
      <c r="AK151" s="591" t="s">
        <v>671</v>
      </c>
      <c r="AL151" s="591" t="s">
        <v>100</v>
      </c>
      <c r="AM151" s="591">
        <v>0</v>
      </c>
      <c r="AN151" s="591">
        <v>0</v>
      </c>
      <c r="AO151" s="591">
        <v>0</v>
      </c>
      <c r="AP151" s="591">
        <v>0</v>
      </c>
      <c r="AQ151" s="591">
        <v>0</v>
      </c>
      <c r="AR151" s="591">
        <v>0</v>
      </c>
      <c r="AS151" s="591">
        <v>0</v>
      </c>
      <c r="AT151" s="591">
        <v>0</v>
      </c>
      <c r="AU151" s="591">
        <v>0</v>
      </c>
      <c r="AV151" s="591">
        <v>0</v>
      </c>
      <c r="AW151" s="591">
        <v>4132060</v>
      </c>
      <c r="AX151" s="591">
        <v>4044106</v>
      </c>
      <c r="AY151" s="591">
        <v>0</v>
      </c>
      <c r="AZ151" s="591">
        <v>194116</v>
      </c>
      <c r="BA151" s="591">
        <v>0</v>
      </c>
      <c r="BB151" s="591">
        <v>0</v>
      </c>
      <c r="BC151" s="591">
        <v>0</v>
      </c>
      <c r="BD151" s="591">
        <v>4</v>
      </c>
      <c r="BE151" s="591">
        <v>54</v>
      </c>
      <c r="BF151" s="591">
        <v>3768147</v>
      </c>
      <c r="BG151" s="591">
        <v>0</v>
      </c>
      <c r="BH151" s="591">
        <v>0</v>
      </c>
      <c r="BI151" s="591">
        <v>0</v>
      </c>
      <c r="BJ151" s="591">
        <v>12</v>
      </c>
      <c r="BK151" s="591">
        <v>0</v>
      </c>
      <c r="BL151" s="591">
        <v>0</v>
      </c>
      <c r="BM151" s="591">
        <v>0</v>
      </c>
      <c r="BN151" s="591">
        <v>0</v>
      </c>
      <c r="BO151" s="591">
        <v>0</v>
      </c>
      <c r="BP151" s="591">
        <v>0</v>
      </c>
      <c r="BQ151" s="591">
        <v>696</v>
      </c>
      <c r="BR151" s="591">
        <v>0</v>
      </c>
      <c r="BS151" s="591">
        <v>0</v>
      </c>
      <c r="BT151" s="591">
        <v>0</v>
      </c>
      <c r="BU151" s="591">
        <v>0</v>
      </c>
      <c r="BV151" s="591">
        <v>0</v>
      </c>
      <c r="BW151" s="591">
        <v>0</v>
      </c>
      <c r="BX151" s="591">
        <v>0</v>
      </c>
      <c r="BY151" s="591">
        <v>0</v>
      </c>
      <c r="BZ151" s="591">
        <v>0</v>
      </c>
      <c r="CA151" s="591">
        <v>0</v>
      </c>
      <c r="CB151" s="591">
        <v>0</v>
      </c>
      <c r="CC151" s="591">
        <v>0</v>
      </c>
      <c r="CD151" s="591">
        <v>0</v>
      </c>
      <c r="CE151" s="591">
        <v>0</v>
      </c>
      <c r="CF151" s="591">
        <v>0</v>
      </c>
      <c r="CG151" s="591">
        <v>0</v>
      </c>
      <c r="CH151" s="591">
        <v>88856</v>
      </c>
      <c r="CI151" s="591">
        <v>0</v>
      </c>
      <c r="CJ151" s="591">
        <v>4</v>
      </c>
      <c r="CK151" s="591">
        <v>0</v>
      </c>
      <c r="CL151" s="591">
        <v>0</v>
      </c>
      <c r="CM151" s="591">
        <v>0</v>
      </c>
      <c r="CN151" s="591">
        <v>0</v>
      </c>
      <c r="CO151" s="591">
        <v>1</v>
      </c>
      <c r="CP151" s="591">
        <v>0</v>
      </c>
      <c r="CQ151" s="591">
        <v>0</v>
      </c>
      <c r="CR151" s="591">
        <v>490.34700000000004</v>
      </c>
      <c r="CS151" s="591">
        <v>0</v>
      </c>
      <c r="CT151" s="591">
        <v>0</v>
      </c>
      <c r="CU151" s="591">
        <v>0</v>
      </c>
      <c r="CV151" s="591">
        <v>0</v>
      </c>
      <c r="CW151" s="591">
        <v>0</v>
      </c>
      <c r="CX151" s="591">
        <v>0</v>
      </c>
      <c r="CY151" s="591">
        <v>0</v>
      </c>
      <c r="CZ151" s="591">
        <v>0</v>
      </c>
      <c r="DA151" s="591">
        <v>0</v>
      </c>
      <c r="DB151" s="591">
        <v>2949699</v>
      </c>
      <c r="DC151" s="591">
        <v>0</v>
      </c>
      <c r="DD151" s="591">
        <v>0</v>
      </c>
      <c r="DE151" s="591">
        <v>9855</v>
      </c>
      <c r="DF151" s="591">
        <v>9855</v>
      </c>
      <c r="DG151" s="591">
        <v>1.6</v>
      </c>
      <c r="DH151" s="591">
        <v>0</v>
      </c>
      <c r="DI151" s="591">
        <v>0</v>
      </c>
      <c r="DJ151" s="591">
        <v>0</v>
      </c>
      <c r="DK151" s="591">
        <v>2753</v>
      </c>
      <c r="DL151" s="591">
        <v>0</v>
      </c>
      <c r="DM151" s="591">
        <v>245526</v>
      </c>
      <c r="DN151" s="591">
        <v>847</v>
      </c>
      <c r="DO151" s="591">
        <v>0</v>
      </c>
      <c r="DP151" s="591">
        <v>0</v>
      </c>
      <c r="DQ151" s="591">
        <v>0</v>
      </c>
      <c r="DR151" s="591">
        <v>0</v>
      </c>
      <c r="DS151" s="591">
        <v>0</v>
      </c>
      <c r="DT151" s="591">
        <v>0</v>
      </c>
      <c r="DU151" s="591">
        <v>0</v>
      </c>
      <c r="DV151" s="591">
        <v>0</v>
      </c>
      <c r="DW151" s="591">
        <v>0</v>
      </c>
      <c r="DX151" s="591">
        <v>0</v>
      </c>
      <c r="DY151" s="591">
        <v>0</v>
      </c>
      <c r="DZ151" s="591">
        <v>0</v>
      </c>
      <c r="EA151" s="591">
        <v>0</v>
      </c>
      <c r="EB151" s="591">
        <v>0</v>
      </c>
      <c r="EC151" s="591">
        <v>9.7680000000000007</v>
      </c>
      <c r="ED151" s="591">
        <v>69186</v>
      </c>
      <c r="EE151" s="591">
        <v>0</v>
      </c>
      <c r="EF151" s="591">
        <v>0</v>
      </c>
      <c r="EG151" s="591">
        <v>0</v>
      </c>
      <c r="EH151" s="591">
        <v>153737</v>
      </c>
      <c r="EI151" s="591">
        <v>0</v>
      </c>
      <c r="EJ151" s="591">
        <v>0</v>
      </c>
      <c r="EK151" s="591">
        <v>6.5720000000000001</v>
      </c>
      <c r="EL151" s="591">
        <v>0</v>
      </c>
      <c r="EM151" s="591">
        <v>0</v>
      </c>
      <c r="EN151" s="591">
        <v>1.0490000000000002</v>
      </c>
      <c r="EO151" s="591">
        <v>0</v>
      </c>
      <c r="EP151" s="591">
        <v>0</v>
      </c>
      <c r="EQ151" s="591">
        <v>7.6210000000000004</v>
      </c>
      <c r="ER151" s="591">
        <v>0</v>
      </c>
      <c r="ES151" s="591">
        <v>24.961000000000002</v>
      </c>
      <c r="ET151" s="591">
        <v>0</v>
      </c>
      <c r="EU151" s="591">
        <v>0</v>
      </c>
      <c r="EV151" s="591">
        <v>0</v>
      </c>
      <c r="EW151" s="591">
        <v>0</v>
      </c>
      <c r="EX151" s="591">
        <v>0</v>
      </c>
      <c r="EY151" s="591">
        <v>0</v>
      </c>
      <c r="EZ151" s="591">
        <v>3574182</v>
      </c>
      <c r="FA151" s="591">
        <v>0</v>
      </c>
      <c r="FB151" s="591">
        <v>3767396</v>
      </c>
      <c r="FC151" s="591">
        <v>0</v>
      </c>
      <c r="FD151" s="591">
        <v>0</v>
      </c>
      <c r="FE151" s="591">
        <v>390311</v>
      </c>
      <c r="FF151" s="591">
        <v>79613</v>
      </c>
      <c r="FG151" s="591">
        <v>6.4728999999999995E-2</v>
      </c>
      <c r="FH151" s="591">
        <v>2.6405999999999999E-2</v>
      </c>
      <c r="FI151" s="591">
        <v>0</v>
      </c>
      <c r="FJ151" s="591">
        <v>0</v>
      </c>
      <c r="FK151" s="591">
        <v>611.803</v>
      </c>
      <c r="FL151" s="591">
        <v>4326176</v>
      </c>
      <c r="FM151" s="591">
        <v>0</v>
      </c>
      <c r="FN151" s="591">
        <v>0</v>
      </c>
      <c r="FO151" s="591">
        <v>0</v>
      </c>
      <c r="FP151" s="591">
        <v>0</v>
      </c>
      <c r="FQ151" s="591">
        <v>0</v>
      </c>
      <c r="FR151" s="591">
        <v>0</v>
      </c>
      <c r="FS151" s="591">
        <v>0</v>
      </c>
      <c r="FT151" s="591">
        <v>0</v>
      </c>
      <c r="FU151" s="591">
        <v>0</v>
      </c>
      <c r="FV151" s="591">
        <v>0</v>
      </c>
      <c r="FW151" s="591">
        <v>0</v>
      </c>
      <c r="FX151" s="591">
        <v>0</v>
      </c>
      <c r="FY151" s="591">
        <v>0</v>
      </c>
      <c r="FZ151" s="591">
        <v>0</v>
      </c>
      <c r="GA151" s="591">
        <v>0</v>
      </c>
      <c r="GB151" s="591">
        <v>0</v>
      </c>
      <c r="GC151" s="591">
        <v>0</v>
      </c>
      <c r="GD151" s="591">
        <v>0</v>
      </c>
      <c r="GE151" s="591">
        <v>0</v>
      </c>
      <c r="GF151" s="591">
        <v>0</v>
      </c>
      <c r="GG151" s="591">
        <v>0</v>
      </c>
      <c r="GH151" s="591">
        <v>0</v>
      </c>
      <c r="GI151" s="591">
        <v>0</v>
      </c>
      <c r="GJ151" s="591">
        <v>0</v>
      </c>
      <c r="GK151" s="591">
        <v>0</v>
      </c>
      <c r="GL151" s="591">
        <v>0</v>
      </c>
      <c r="GM151" s="591">
        <v>0</v>
      </c>
      <c r="GN151" s="591">
        <v>0</v>
      </c>
      <c r="GO151" s="591">
        <v>0</v>
      </c>
      <c r="GP151" s="591">
        <v>0</v>
      </c>
      <c r="GQ151" s="591">
        <v>0</v>
      </c>
      <c r="GR151" s="591">
        <v>0</v>
      </c>
      <c r="GS151" s="591">
        <v>0</v>
      </c>
      <c r="GT151" s="591">
        <v>0</v>
      </c>
      <c r="GU151" s="591">
        <v>0</v>
      </c>
      <c r="GV151" s="591">
        <v>0</v>
      </c>
      <c r="GW151" s="591">
        <v>0</v>
      </c>
      <c r="GX151" s="591">
        <v>0</v>
      </c>
      <c r="GY151" s="591">
        <v>0</v>
      </c>
      <c r="GZ151" s="591">
        <v>0</v>
      </c>
      <c r="HA151" s="591">
        <v>0</v>
      </c>
      <c r="HB151" s="591">
        <v>260009272</v>
      </c>
      <c r="HC151" s="591">
        <v>5.1774999999999995E-2</v>
      </c>
      <c r="HD151" s="591">
        <v>88856</v>
      </c>
      <c r="HE151" s="591">
        <v>0</v>
      </c>
      <c r="HF151" s="591">
        <v>530516</v>
      </c>
      <c r="HG151" s="591">
        <v>21812</v>
      </c>
      <c r="HH151" s="591">
        <v>4927</v>
      </c>
      <c r="HI151" s="591">
        <v>0</v>
      </c>
      <c r="HJ151" s="591">
        <v>4766</v>
      </c>
      <c r="HK151" s="591">
        <v>0</v>
      </c>
      <c r="HL151" s="591">
        <v>151</v>
      </c>
      <c r="HM151" s="591">
        <v>0</v>
      </c>
      <c r="HN151" s="591">
        <v>0</v>
      </c>
      <c r="HO151" s="591">
        <v>0</v>
      </c>
      <c r="HP151" s="591">
        <v>0</v>
      </c>
      <c r="HQ151" s="591">
        <v>0</v>
      </c>
      <c r="HR151" s="591">
        <v>0</v>
      </c>
      <c r="HS151" s="591">
        <v>3573280</v>
      </c>
      <c r="HT151" s="591">
        <v>0</v>
      </c>
      <c r="HU151" s="591">
        <v>0</v>
      </c>
      <c r="HV151" s="591">
        <v>0</v>
      </c>
      <c r="HW151" s="591">
        <v>0</v>
      </c>
      <c r="HX151" s="591">
        <v>5</v>
      </c>
      <c r="HY151" s="591">
        <v>2</v>
      </c>
      <c r="HZ151" s="591">
        <v>0</v>
      </c>
      <c r="IA151" s="591">
        <v>0</v>
      </c>
      <c r="IB151" s="591">
        <v>0</v>
      </c>
      <c r="IC151" s="591">
        <v>6</v>
      </c>
      <c r="ID151" s="591">
        <v>0</v>
      </c>
      <c r="IE151" s="591">
        <v>0</v>
      </c>
      <c r="IF151" s="591">
        <v>0</v>
      </c>
      <c r="IG151" s="591">
        <v>35.414000000000001</v>
      </c>
      <c r="IH151" s="591">
        <v>8</v>
      </c>
      <c r="II151" s="591">
        <v>0</v>
      </c>
      <c r="IJ151" s="591">
        <v>0.32300000000000001</v>
      </c>
      <c r="IK151" s="591">
        <v>0</v>
      </c>
      <c r="IL151" s="591">
        <v>0</v>
      </c>
      <c r="IM151" s="591">
        <v>0</v>
      </c>
      <c r="IN151" s="591">
        <v>0</v>
      </c>
      <c r="IO151" s="591">
        <v>0</v>
      </c>
      <c r="IP151" s="591">
        <v>0</v>
      </c>
      <c r="IQ151" s="591">
        <v>0.32300000000000001</v>
      </c>
      <c r="IR151" s="591">
        <v>199</v>
      </c>
      <c r="IS151" s="591">
        <v>0</v>
      </c>
      <c r="IT151" s="591">
        <v>0</v>
      </c>
      <c r="IU151" s="591">
        <v>0</v>
      </c>
      <c r="IV151" s="591">
        <v>0</v>
      </c>
      <c r="IW151" s="591">
        <v>6159</v>
      </c>
      <c r="IX151" s="591">
        <v>0</v>
      </c>
      <c r="IY151" s="591">
        <v>0</v>
      </c>
      <c r="IZ151" s="591">
        <v>0</v>
      </c>
      <c r="JA151" s="591">
        <v>0</v>
      </c>
      <c r="JB151" s="591">
        <v>0</v>
      </c>
      <c r="JC151" s="591">
        <v>0</v>
      </c>
      <c r="JD151" s="591">
        <v>0</v>
      </c>
      <c r="JE151" s="591">
        <v>0</v>
      </c>
      <c r="JF151" s="591">
        <v>0</v>
      </c>
      <c r="JG151" s="591">
        <v>0</v>
      </c>
      <c r="JH151" s="591">
        <v>0</v>
      </c>
      <c r="JI151" s="591">
        <v>0</v>
      </c>
      <c r="JJ151" s="591">
        <v>0</v>
      </c>
      <c r="JK151" s="591">
        <v>0</v>
      </c>
      <c r="JL151" s="591">
        <v>0</v>
      </c>
      <c r="JM151" s="591">
        <v>0</v>
      </c>
      <c r="JN151" s="591">
        <v>32469</v>
      </c>
    </row>
    <row r="152" spans="1:274" x14ac:dyDescent="0.25">
      <c r="A152" s="591">
        <v>32570</v>
      </c>
      <c r="B152" s="591">
        <v>183801</v>
      </c>
      <c r="C152" s="591">
        <v>9</v>
      </c>
      <c r="D152" s="591">
        <v>2022</v>
      </c>
      <c r="E152" s="591">
        <v>6159</v>
      </c>
      <c r="F152" s="591">
        <v>0</v>
      </c>
      <c r="G152" s="591">
        <v>186.37300000000002</v>
      </c>
      <c r="H152" s="591">
        <v>165.709</v>
      </c>
      <c r="I152" s="591">
        <v>165.709</v>
      </c>
      <c r="J152" s="591">
        <v>186.37300000000002</v>
      </c>
      <c r="K152" s="591">
        <v>0</v>
      </c>
      <c r="L152" s="591">
        <v>6159</v>
      </c>
      <c r="M152" s="591">
        <v>0</v>
      </c>
      <c r="N152" s="591">
        <v>0</v>
      </c>
      <c r="O152" s="591">
        <v>0</v>
      </c>
      <c r="P152" s="591">
        <v>184.76500000000001</v>
      </c>
      <c r="Q152" s="591">
        <v>0</v>
      </c>
      <c r="R152" s="591">
        <v>74355</v>
      </c>
      <c r="S152" s="591">
        <v>402.428</v>
      </c>
      <c r="T152" s="591">
        <v>0</v>
      </c>
      <c r="U152" s="591">
        <v>0</v>
      </c>
      <c r="V152" s="591">
        <v>0</v>
      </c>
      <c r="W152" s="591">
        <v>0</v>
      </c>
      <c r="X152" s="591">
        <v>0</v>
      </c>
      <c r="Y152" s="591">
        <v>0</v>
      </c>
      <c r="Z152" s="591">
        <v>0</v>
      </c>
      <c r="AA152" s="591">
        <v>0</v>
      </c>
      <c r="AB152" s="591">
        <v>0</v>
      </c>
      <c r="AC152" s="591">
        <v>0</v>
      </c>
      <c r="AD152" s="591" t="s">
        <v>316</v>
      </c>
      <c r="AE152" s="591">
        <v>0</v>
      </c>
      <c r="AF152" s="591">
        <v>0</v>
      </c>
      <c r="AG152" s="591">
        <v>0</v>
      </c>
      <c r="AH152" s="591">
        <v>0</v>
      </c>
      <c r="AI152" s="591">
        <v>0</v>
      </c>
      <c r="AJ152" s="591">
        <v>6159</v>
      </c>
      <c r="AK152" s="591" t="s">
        <v>671</v>
      </c>
      <c r="AL152" s="591" t="s">
        <v>72</v>
      </c>
      <c r="AM152" s="591">
        <v>0</v>
      </c>
      <c r="AN152" s="591">
        <v>0</v>
      </c>
      <c r="AO152" s="591">
        <v>0</v>
      </c>
      <c r="AP152" s="591">
        <v>0</v>
      </c>
      <c r="AQ152" s="591">
        <v>0</v>
      </c>
      <c r="AR152" s="591">
        <v>0</v>
      </c>
      <c r="AS152" s="591">
        <v>0</v>
      </c>
      <c r="AT152" s="591">
        <v>0</v>
      </c>
      <c r="AU152" s="591">
        <v>0</v>
      </c>
      <c r="AV152" s="591">
        <v>0</v>
      </c>
      <c r="AW152" s="591">
        <v>1874031</v>
      </c>
      <c r="AX152" s="591">
        <v>1725934</v>
      </c>
      <c r="AY152" s="591">
        <v>0</v>
      </c>
      <c r="AZ152" s="591">
        <v>74355</v>
      </c>
      <c r="BA152" s="591">
        <v>0</v>
      </c>
      <c r="BB152" s="591">
        <v>0</v>
      </c>
      <c r="BC152" s="591">
        <v>0</v>
      </c>
      <c r="BD152" s="591">
        <v>1</v>
      </c>
      <c r="BE152" s="591">
        <v>23</v>
      </c>
      <c r="BF152" s="591">
        <v>1597931</v>
      </c>
      <c r="BG152" s="591">
        <v>0</v>
      </c>
      <c r="BH152" s="591">
        <v>0</v>
      </c>
      <c r="BI152" s="591">
        <v>0</v>
      </c>
      <c r="BJ152" s="591">
        <v>12</v>
      </c>
      <c r="BK152" s="591">
        <v>0</v>
      </c>
      <c r="BL152" s="591">
        <v>0</v>
      </c>
      <c r="BM152" s="591">
        <v>0</v>
      </c>
      <c r="BN152" s="591">
        <v>0</v>
      </c>
      <c r="BO152" s="591">
        <v>0</v>
      </c>
      <c r="BP152" s="591">
        <v>0</v>
      </c>
      <c r="BQ152" s="591">
        <v>744</v>
      </c>
      <c r="BR152" s="591">
        <v>0</v>
      </c>
      <c r="BS152" s="591">
        <v>0</v>
      </c>
      <c r="BT152" s="591">
        <v>0</v>
      </c>
      <c r="BU152" s="591">
        <v>0</v>
      </c>
      <c r="BV152" s="591">
        <v>0</v>
      </c>
      <c r="BW152" s="591">
        <v>0</v>
      </c>
      <c r="BX152" s="591">
        <v>0</v>
      </c>
      <c r="BY152" s="591">
        <v>0</v>
      </c>
      <c r="BZ152" s="591">
        <v>0</v>
      </c>
      <c r="CA152" s="591">
        <v>0</v>
      </c>
      <c r="CB152" s="591">
        <v>0</v>
      </c>
      <c r="CC152" s="591">
        <v>0</v>
      </c>
      <c r="CD152" s="591">
        <v>0</v>
      </c>
      <c r="CE152" s="591">
        <v>0</v>
      </c>
      <c r="CF152" s="591">
        <v>0</v>
      </c>
      <c r="CG152" s="591">
        <v>0</v>
      </c>
      <c r="CH152" s="591">
        <v>148456</v>
      </c>
      <c r="CI152" s="591">
        <v>0</v>
      </c>
      <c r="CJ152" s="591">
        <v>4</v>
      </c>
      <c r="CK152" s="591">
        <v>0</v>
      </c>
      <c r="CL152" s="591">
        <v>0</v>
      </c>
      <c r="CM152" s="591">
        <v>0</v>
      </c>
      <c r="CN152" s="591">
        <v>0</v>
      </c>
      <c r="CO152" s="591">
        <v>1</v>
      </c>
      <c r="CP152" s="591">
        <v>0</v>
      </c>
      <c r="CQ152" s="591">
        <v>0</v>
      </c>
      <c r="CR152" s="591">
        <v>186.37300000000002</v>
      </c>
      <c r="CS152" s="591">
        <v>0</v>
      </c>
      <c r="CT152" s="591">
        <v>0</v>
      </c>
      <c r="CU152" s="591">
        <v>0</v>
      </c>
      <c r="CV152" s="591">
        <v>0</v>
      </c>
      <c r="CW152" s="591">
        <v>0</v>
      </c>
      <c r="CX152" s="591">
        <v>0</v>
      </c>
      <c r="CY152" s="591">
        <v>0</v>
      </c>
      <c r="CZ152" s="591">
        <v>0</v>
      </c>
      <c r="DA152" s="591">
        <v>0</v>
      </c>
      <c r="DB152" s="591">
        <v>1011807</v>
      </c>
      <c r="DC152" s="591">
        <v>0</v>
      </c>
      <c r="DD152" s="591">
        <v>0</v>
      </c>
      <c r="DE152" s="591">
        <v>85611</v>
      </c>
      <c r="DF152" s="591">
        <v>85611</v>
      </c>
      <c r="DG152" s="591">
        <v>13.9</v>
      </c>
      <c r="DH152" s="591">
        <v>0</v>
      </c>
      <c r="DI152" s="591">
        <v>0</v>
      </c>
      <c r="DJ152" s="591">
        <v>0</v>
      </c>
      <c r="DK152" s="591">
        <v>3534</v>
      </c>
      <c r="DL152" s="591">
        <v>0</v>
      </c>
      <c r="DM152" s="591">
        <v>96943</v>
      </c>
      <c r="DN152" s="591">
        <v>336</v>
      </c>
      <c r="DO152" s="591">
        <v>0</v>
      </c>
      <c r="DP152" s="591">
        <v>0</v>
      </c>
      <c r="DQ152" s="591">
        <v>0</v>
      </c>
      <c r="DR152" s="591">
        <v>0</v>
      </c>
      <c r="DS152" s="591">
        <v>0</v>
      </c>
      <c r="DT152" s="591">
        <v>0</v>
      </c>
      <c r="DU152" s="591">
        <v>0</v>
      </c>
      <c r="DV152" s="591">
        <v>0</v>
      </c>
      <c r="DW152" s="591">
        <v>0</v>
      </c>
      <c r="DX152" s="591">
        <v>0</v>
      </c>
      <c r="DY152" s="591">
        <v>0</v>
      </c>
      <c r="DZ152" s="591">
        <v>0</v>
      </c>
      <c r="EA152" s="591">
        <v>0</v>
      </c>
      <c r="EB152" s="591">
        <v>0</v>
      </c>
      <c r="EC152" s="591">
        <v>11.942</v>
      </c>
      <c r="ED152" s="591">
        <v>84585</v>
      </c>
      <c r="EE152" s="591">
        <v>0</v>
      </c>
      <c r="EF152" s="591">
        <v>0</v>
      </c>
      <c r="EG152" s="591">
        <v>0</v>
      </c>
      <c r="EH152" s="591">
        <v>3886</v>
      </c>
      <c r="EI152" s="591">
        <v>0</v>
      </c>
      <c r="EJ152" s="591">
        <v>0</v>
      </c>
      <c r="EK152" s="591">
        <v>0.16200000000000001</v>
      </c>
      <c r="EL152" s="591">
        <v>0</v>
      </c>
      <c r="EM152" s="591">
        <v>0</v>
      </c>
      <c r="EN152" s="591">
        <v>2.9000000000000001E-2</v>
      </c>
      <c r="EO152" s="591">
        <v>0</v>
      </c>
      <c r="EP152" s="591">
        <v>0</v>
      </c>
      <c r="EQ152" s="591">
        <v>0.191</v>
      </c>
      <c r="ER152" s="591">
        <v>0</v>
      </c>
      <c r="ES152" s="591">
        <v>0.63100000000000001</v>
      </c>
      <c r="ET152" s="591">
        <v>0</v>
      </c>
      <c r="EU152" s="591">
        <v>0</v>
      </c>
      <c r="EV152" s="591">
        <v>0</v>
      </c>
      <c r="EW152" s="591">
        <v>0</v>
      </c>
      <c r="EX152" s="591">
        <v>0</v>
      </c>
      <c r="EY152" s="591">
        <v>0</v>
      </c>
      <c r="EZ152" s="591">
        <v>1526656</v>
      </c>
      <c r="FA152" s="591">
        <v>0</v>
      </c>
      <c r="FB152" s="591">
        <v>1600652</v>
      </c>
      <c r="FC152" s="591">
        <v>0</v>
      </c>
      <c r="FD152" s="591">
        <v>0</v>
      </c>
      <c r="FE152" s="591">
        <v>165517</v>
      </c>
      <c r="FF152" s="591">
        <v>33761</v>
      </c>
      <c r="FG152" s="591">
        <v>6.4728999999999995E-2</v>
      </c>
      <c r="FH152" s="591">
        <v>2.6405999999999999E-2</v>
      </c>
      <c r="FI152" s="591">
        <v>0</v>
      </c>
      <c r="FJ152" s="591">
        <v>0</v>
      </c>
      <c r="FK152" s="591">
        <v>259.44300000000004</v>
      </c>
      <c r="FL152" s="591">
        <v>1948386</v>
      </c>
      <c r="FM152" s="591">
        <v>0</v>
      </c>
      <c r="FN152" s="591">
        <v>0</v>
      </c>
      <c r="FO152" s="591">
        <v>0</v>
      </c>
      <c r="FP152" s="591">
        <v>0</v>
      </c>
      <c r="FQ152" s="591">
        <v>0</v>
      </c>
      <c r="FR152" s="591">
        <v>0</v>
      </c>
      <c r="FS152" s="591">
        <v>0</v>
      </c>
      <c r="FT152" s="591">
        <v>0</v>
      </c>
      <c r="FU152" s="591">
        <v>0</v>
      </c>
      <c r="FV152" s="591">
        <v>0</v>
      </c>
      <c r="FW152" s="591">
        <v>0</v>
      </c>
      <c r="FX152" s="591">
        <v>0</v>
      </c>
      <c r="FY152" s="591">
        <v>0</v>
      </c>
      <c r="FZ152" s="591">
        <v>0</v>
      </c>
      <c r="GA152" s="591">
        <v>0</v>
      </c>
      <c r="GB152" s="591">
        <v>170228</v>
      </c>
      <c r="GC152" s="591">
        <v>170228</v>
      </c>
      <c r="GD152" s="591">
        <v>20.473000000000003</v>
      </c>
      <c r="GE152" s="591">
        <v>0</v>
      </c>
      <c r="GF152" s="591">
        <v>0</v>
      </c>
      <c r="GG152" s="591">
        <v>0</v>
      </c>
      <c r="GH152" s="591">
        <v>0</v>
      </c>
      <c r="GI152" s="591">
        <v>0</v>
      </c>
      <c r="GJ152" s="591">
        <v>0</v>
      </c>
      <c r="GK152" s="591">
        <v>0</v>
      </c>
      <c r="GL152" s="591">
        <v>0</v>
      </c>
      <c r="GM152" s="591">
        <v>0</v>
      </c>
      <c r="GN152" s="591">
        <v>0</v>
      </c>
      <c r="GO152" s="591">
        <v>0</v>
      </c>
      <c r="GP152" s="591">
        <v>0</v>
      </c>
      <c r="GQ152" s="591">
        <v>0</v>
      </c>
      <c r="GR152" s="591">
        <v>0</v>
      </c>
      <c r="GS152" s="591">
        <v>0</v>
      </c>
      <c r="GT152" s="591">
        <v>0</v>
      </c>
      <c r="GU152" s="591">
        <v>0</v>
      </c>
      <c r="GV152" s="591">
        <v>0</v>
      </c>
      <c r="GW152" s="591">
        <v>0</v>
      </c>
      <c r="GX152" s="591">
        <v>0</v>
      </c>
      <c r="GY152" s="591">
        <v>0</v>
      </c>
      <c r="GZ152" s="591">
        <v>0</v>
      </c>
      <c r="HA152" s="591">
        <v>0</v>
      </c>
      <c r="HB152" s="591">
        <v>260009272</v>
      </c>
      <c r="HC152" s="591">
        <v>5.1774999999999995E-2</v>
      </c>
      <c r="HD152" s="591">
        <v>33773</v>
      </c>
      <c r="HE152" s="591">
        <v>0</v>
      </c>
      <c r="HF152" s="591">
        <v>182114</v>
      </c>
      <c r="HG152" s="591">
        <v>3080</v>
      </c>
      <c r="HH152" s="591">
        <v>0</v>
      </c>
      <c r="HI152" s="591">
        <v>0</v>
      </c>
      <c r="HJ152" s="591">
        <v>1812</v>
      </c>
      <c r="HK152" s="591">
        <v>1558</v>
      </c>
      <c r="HL152" s="591">
        <v>1522</v>
      </c>
      <c r="HM152" s="591">
        <v>46000</v>
      </c>
      <c r="HN152" s="591">
        <v>0</v>
      </c>
      <c r="HO152" s="591">
        <v>0</v>
      </c>
      <c r="HP152" s="591">
        <v>0</v>
      </c>
      <c r="HQ152" s="591">
        <v>0</v>
      </c>
      <c r="HR152" s="591">
        <v>0</v>
      </c>
      <c r="HS152" s="591">
        <v>1526297</v>
      </c>
      <c r="HT152" s="591">
        <v>0</v>
      </c>
      <c r="HU152" s="591">
        <v>114683</v>
      </c>
      <c r="HV152" s="591">
        <v>0</v>
      </c>
      <c r="HW152" s="591">
        <v>0</v>
      </c>
      <c r="HX152" s="591">
        <v>16</v>
      </c>
      <c r="HY152" s="591">
        <v>18</v>
      </c>
      <c r="HZ152" s="591">
        <v>6</v>
      </c>
      <c r="IA152" s="591">
        <v>12</v>
      </c>
      <c r="IB152" s="591">
        <v>5</v>
      </c>
      <c r="IC152" s="591">
        <v>57</v>
      </c>
      <c r="ID152" s="591">
        <v>0</v>
      </c>
      <c r="IE152" s="591">
        <v>0</v>
      </c>
      <c r="IF152" s="591">
        <v>0</v>
      </c>
      <c r="IG152" s="591">
        <v>5</v>
      </c>
      <c r="IH152" s="591">
        <v>0</v>
      </c>
      <c r="II152" s="591">
        <v>0</v>
      </c>
      <c r="IJ152" s="591">
        <v>0</v>
      </c>
      <c r="IK152" s="591">
        <v>0</v>
      </c>
      <c r="IL152" s="591">
        <v>5</v>
      </c>
      <c r="IM152" s="591">
        <v>7</v>
      </c>
      <c r="IN152" s="591">
        <v>0</v>
      </c>
      <c r="IO152" s="591">
        <v>12</v>
      </c>
      <c r="IP152" s="591">
        <v>0</v>
      </c>
      <c r="IQ152" s="591">
        <v>0</v>
      </c>
      <c r="IR152" s="591">
        <v>0</v>
      </c>
      <c r="IS152" s="591">
        <v>0</v>
      </c>
      <c r="IT152" s="591">
        <v>25000</v>
      </c>
      <c r="IU152" s="591">
        <v>21000</v>
      </c>
      <c r="IV152" s="591">
        <v>0</v>
      </c>
      <c r="IW152" s="591">
        <v>6159</v>
      </c>
      <c r="IX152" s="591">
        <v>0</v>
      </c>
      <c r="IY152" s="591">
        <v>0</v>
      </c>
      <c r="IZ152" s="591">
        <v>0</v>
      </c>
      <c r="JA152" s="591">
        <v>0</v>
      </c>
      <c r="JB152" s="591">
        <v>0</v>
      </c>
      <c r="JC152" s="591">
        <v>0</v>
      </c>
      <c r="JD152" s="591">
        <v>0</v>
      </c>
      <c r="JE152" s="591">
        <v>0</v>
      </c>
      <c r="JF152" s="591">
        <v>0</v>
      </c>
      <c r="JG152" s="591">
        <v>0</v>
      </c>
      <c r="JH152" s="591">
        <v>0</v>
      </c>
      <c r="JI152" s="591">
        <v>0</v>
      </c>
      <c r="JJ152" s="591">
        <v>0</v>
      </c>
      <c r="JK152" s="591">
        <v>0</v>
      </c>
      <c r="JL152" s="591">
        <v>0</v>
      </c>
      <c r="JM152" s="591">
        <v>0</v>
      </c>
      <c r="JN152" s="591">
        <v>32469</v>
      </c>
    </row>
    <row r="153" spans="1:274" x14ac:dyDescent="0.25">
      <c r="A153" s="591">
        <v>32570</v>
      </c>
      <c r="B153" s="591">
        <v>184801</v>
      </c>
      <c r="C153" s="591">
        <v>9</v>
      </c>
      <c r="D153" s="591">
        <v>2022</v>
      </c>
      <c r="E153" s="591">
        <v>6159</v>
      </c>
      <c r="F153" s="591">
        <v>0</v>
      </c>
      <c r="G153" s="591">
        <v>111.16800000000001</v>
      </c>
      <c r="H153" s="591">
        <v>71.872</v>
      </c>
      <c r="I153" s="591">
        <v>71.872</v>
      </c>
      <c r="J153" s="591">
        <v>111.16800000000001</v>
      </c>
      <c r="K153" s="591">
        <v>0</v>
      </c>
      <c r="L153" s="591">
        <v>6159</v>
      </c>
      <c r="M153" s="591">
        <v>0</v>
      </c>
      <c r="N153" s="591">
        <v>0</v>
      </c>
      <c r="O153" s="591">
        <v>0</v>
      </c>
      <c r="P153" s="591">
        <v>108.76900000000001</v>
      </c>
      <c r="Q153" s="591">
        <v>0</v>
      </c>
      <c r="R153" s="591">
        <v>43772</v>
      </c>
      <c r="S153" s="591">
        <v>402.428</v>
      </c>
      <c r="T153" s="591">
        <v>0</v>
      </c>
      <c r="U153" s="591">
        <v>0</v>
      </c>
      <c r="V153" s="591">
        <v>0</v>
      </c>
      <c r="W153" s="591">
        <v>0</v>
      </c>
      <c r="X153" s="591">
        <v>0</v>
      </c>
      <c r="Y153" s="591">
        <v>0</v>
      </c>
      <c r="Z153" s="591">
        <v>0</v>
      </c>
      <c r="AA153" s="591">
        <v>0</v>
      </c>
      <c r="AB153" s="591">
        <v>0</v>
      </c>
      <c r="AC153" s="591">
        <v>0</v>
      </c>
      <c r="AD153" s="591" t="s">
        <v>316</v>
      </c>
      <c r="AE153" s="591">
        <v>0</v>
      </c>
      <c r="AF153" s="591">
        <v>0</v>
      </c>
      <c r="AG153" s="591">
        <v>0</v>
      </c>
      <c r="AH153" s="591">
        <v>0</v>
      </c>
      <c r="AI153" s="591">
        <v>0</v>
      </c>
      <c r="AJ153" s="591">
        <v>6159</v>
      </c>
      <c r="AK153" s="591" t="s">
        <v>671</v>
      </c>
      <c r="AL153" s="591" t="s">
        <v>6</v>
      </c>
      <c r="AM153" s="591">
        <v>0</v>
      </c>
      <c r="AN153" s="591">
        <v>0</v>
      </c>
      <c r="AO153" s="591">
        <v>0</v>
      </c>
      <c r="AP153" s="591">
        <v>0</v>
      </c>
      <c r="AQ153" s="591">
        <v>0</v>
      </c>
      <c r="AR153" s="591">
        <v>0</v>
      </c>
      <c r="AS153" s="591">
        <v>0</v>
      </c>
      <c r="AT153" s="591">
        <v>0</v>
      </c>
      <c r="AU153" s="591">
        <v>0</v>
      </c>
      <c r="AV153" s="591">
        <v>0</v>
      </c>
      <c r="AW153" s="591">
        <v>1188106</v>
      </c>
      <c r="AX153" s="591">
        <v>1122076</v>
      </c>
      <c r="AY153" s="591">
        <v>0</v>
      </c>
      <c r="AZ153" s="591">
        <v>43772</v>
      </c>
      <c r="BA153" s="591">
        <v>0</v>
      </c>
      <c r="BB153" s="591">
        <v>0</v>
      </c>
      <c r="BC153" s="591">
        <v>0</v>
      </c>
      <c r="BD153" s="591">
        <v>0</v>
      </c>
      <c r="BE153" s="591">
        <v>15</v>
      </c>
      <c r="BF153" s="591">
        <v>1034004</v>
      </c>
      <c r="BG153" s="591">
        <v>0</v>
      </c>
      <c r="BH153" s="591">
        <v>0</v>
      </c>
      <c r="BI153" s="591">
        <v>0</v>
      </c>
      <c r="BJ153" s="591">
        <v>12</v>
      </c>
      <c r="BK153" s="591">
        <v>0</v>
      </c>
      <c r="BL153" s="591">
        <v>0</v>
      </c>
      <c r="BM153" s="591">
        <v>0</v>
      </c>
      <c r="BN153" s="591">
        <v>0</v>
      </c>
      <c r="BO153" s="591">
        <v>0</v>
      </c>
      <c r="BP153" s="591">
        <v>0</v>
      </c>
      <c r="BQ153" s="591">
        <v>759</v>
      </c>
      <c r="BR153" s="591">
        <v>0</v>
      </c>
      <c r="BS153" s="591">
        <v>0</v>
      </c>
      <c r="BT153" s="591">
        <v>0</v>
      </c>
      <c r="BU153" s="591">
        <v>0</v>
      </c>
      <c r="BV153" s="591">
        <v>0</v>
      </c>
      <c r="BW153" s="591">
        <v>0</v>
      </c>
      <c r="BX153" s="591">
        <v>0</v>
      </c>
      <c r="BY153" s="591">
        <v>0</v>
      </c>
      <c r="BZ153" s="591">
        <v>0</v>
      </c>
      <c r="CA153" s="591">
        <v>0</v>
      </c>
      <c r="CB153" s="591">
        <v>0</v>
      </c>
      <c r="CC153" s="591">
        <v>0</v>
      </c>
      <c r="CD153" s="591">
        <v>0</v>
      </c>
      <c r="CE153" s="591">
        <v>0</v>
      </c>
      <c r="CF153" s="591">
        <v>0</v>
      </c>
      <c r="CG153" s="591">
        <v>0</v>
      </c>
      <c r="CH153" s="591">
        <v>66358</v>
      </c>
      <c r="CI153" s="591">
        <v>0</v>
      </c>
      <c r="CJ153" s="591">
        <v>4</v>
      </c>
      <c r="CK153" s="591">
        <v>0</v>
      </c>
      <c r="CL153" s="591">
        <v>0</v>
      </c>
      <c r="CM153" s="591">
        <v>0</v>
      </c>
      <c r="CN153" s="591">
        <v>0</v>
      </c>
      <c r="CO153" s="591">
        <v>1</v>
      </c>
      <c r="CP153" s="591">
        <v>0</v>
      </c>
      <c r="CQ153" s="591">
        <v>0</v>
      </c>
      <c r="CR153" s="591">
        <v>111.16800000000001</v>
      </c>
      <c r="CS153" s="591">
        <v>0</v>
      </c>
      <c r="CT153" s="591">
        <v>0</v>
      </c>
      <c r="CU153" s="591">
        <v>0</v>
      </c>
      <c r="CV153" s="591">
        <v>0</v>
      </c>
      <c r="CW153" s="591">
        <v>0</v>
      </c>
      <c r="CX153" s="591">
        <v>0</v>
      </c>
      <c r="CY153" s="591">
        <v>0</v>
      </c>
      <c r="CZ153" s="591">
        <v>0</v>
      </c>
      <c r="DA153" s="591">
        <v>0</v>
      </c>
      <c r="DB153" s="591">
        <v>442666</v>
      </c>
      <c r="DC153" s="591">
        <v>0</v>
      </c>
      <c r="DD153" s="591">
        <v>0</v>
      </c>
      <c r="DE153" s="591">
        <v>93310</v>
      </c>
      <c r="DF153" s="591">
        <v>93310</v>
      </c>
      <c r="DG153" s="591">
        <v>15.15</v>
      </c>
      <c r="DH153" s="591">
        <v>0</v>
      </c>
      <c r="DI153" s="591">
        <v>0</v>
      </c>
      <c r="DJ153" s="591">
        <v>0</v>
      </c>
      <c r="DK153" s="591">
        <v>3765</v>
      </c>
      <c r="DL153" s="591">
        <v>0</v>
      </c>
      <c r="DM153" s="591">
        <v>82277</v>
      </c>
      <c r="DN153" s="591">
        <v>314</v>
      </c>
      <c r="DO153" s="591">
        <v>0</v>
      </c>
      <c r="DP153" s="591">
        <v>0</v>
      </c>
      <c r="DQ153" s="591">
        <v>0</v>
      </c>
      <c r="DR153" s="591">
        <v>0</v>
      </c>
      <c r="DS153" s="591">
        <v>0</v>
      </c>
      <c r="DT153" s="591">
        <v>0</v>
      </c>
      <c r="DU153" s="591">
        <v>0</v>
      </c>
      <c r="DV153" s="591">
        <v>0</v>
      </c>
      <c r="DW153" s="591">
        <v>0</v>
      </c>
      <c r="DX153" s="591">
        <v>0</v>
      </c>
      <c r="DY153" s="591">
        <v>0</v>
      </c>
      <c r="DZ153" s="591">
        <v>0</v>
      </c>
      <c r="EA153" s="591">
        <v>0</v>
      </c>
      <c r="EB153" s="591">
        <v>0</v>
      </c>
      <c r="EC153" s="591">
        <v>11.478</v>
      </c>
      <c r="ED153" s="591">
        <v>81298</v>
      </c>
      <c r="EE153" s="591">
        <v>0</v>
      </c>
      <c r="EF153" s="591">
        <v>0</v>
      </c>
      <c r="EG153" s="591">
        <v>0</v>
      </c>
      <c r="EH153" s="591">
        <v>1293</v>
      </c>
      <c r="EI153" s="591">
        <v>0</v>
      </c>
      <c r="EJ153" s="591">
        <v>0</v>
      </c>
      <c r="EK153" s="591">
        <v>0</v>
      </c>
      <c r="EL153" s="591">
        <v>0</v>
      </c>
      <c r="EM153" s="591">
        <v>0</v>
      </c>
      <c r="EN153" s="591">
        <v>4.2000000000000003E-2</v>
      </c>
      <c r="EO153" s="591">
        <v>0</v>
      </c>
      <c r="EP153" s="591">
        <v>0</v>
      </c>
      <c r="EQ153" s="591">
        <v>4.2000000000000003E-2</v>
      </c>
      <c r="ER153" s="591">
        <v>0</v>
      </c>
      <c r="ES153" s="591">
        <v>0.21</v>
      </c>
      <c r="ET153" s="591">
        <v>0</v>
      </c>
      <c r="EU153" s="591">
        <v>0</v>
      </c>
      <c r="EV153" s="591">
        <v>0</v>
      </c>
      <c r="EW153" s="591">
        <v>0</v>
      </c>
      <c r="EX153" s="591">
        <v>0</v>
      </c>
      <c r="EY153" s="591">
        <v>0</v>
      </c>
      <c r="EZ153" s="591">
        <v>993126</v>
      </c>
      <c r="FA153" s="591">
        <v>0</v>
      </c>
      <c r="FB153" s="591">
        <v>1036569</v>
      </c>
      <c r="FC153" s="591">
        <v>0</v>
      </c>
      <c r="FD153" s="591">
        <v>0</v>
      </c>
      <c r="FE153" s="591">
        <v>107104</v>
      </c>
      <c r="FF153" s="591">
        <v>21846</v>
      </c>
      <c r="FG153" s="591">
        <v>6.4728999999999995E-2</v>
      </c>
      <c r="FH153" s="591">
        <v>2.6405999999999999E-2</v>
      </c>
      <c r="FI153" s="591">
        <v>0</v>
      </c>
      <c r="FJ153" s="591">
        <v>0</v>
      </c>
      <c r="FK153" s="591">
        <v>167.88300000000001</v>
      </c>
      <c r="FL153" s="591">
        <v>1231878</v>
      </c>
      <c r="FM153" s="591">
        <v>0</v>
      </c>
      <c r="FN153" s="591">
        <v>0</v>
      </c>
      <c r="FO153" s="591">
        <v>0</v>
      </c>
      <c r="FP153" s="591">
        <v>0</v>
      </c>
      <c r="FQ153" s="591">
        <v>0</v>
      </c>
      <c r="FR153" s="591">
        <v>0</v>
      </c>
      <c r="FS153" s="591">
        <v>0</v>
      </c>
      <c r="FT153" s="591">
        <v>0</v>
      </c>
      <c r="FU153" s="591">
        <v>0</v>
      </c>
      <c r="FV153" s="591">
        <v>0</v>
      </c>
      <c r="FW153" s="591">
        <v>0</v>
      </c>
      <c r="FX153" s="591">
        <v>0</v>
      </c>
      <c r="FY153" s="591">
        <v>0</v>
      </c>
      <c r="FZ153" s="591">
        <v>0</v>
      </c>
      <c r="GA153" s="591">
        <v>0</v>
      </c>
      <c r="GB153" s="591">
        <v>326388</v>
      </c>
      <c r="GC153" s="591">
        <v>326388</v>
      </c>
      <c r="GD153" s="591">
        <v>39.254000000000005</v>
      </c>
      <c r="GE153" s="591">
        <v>0</v>
      </c>
      <c r="GF153" s="591">
        <v>0</v>
      </c>
      <c r="GG153" s="591">
        <v>0</v>
      </c>
      <c r="GH153" s="591">
        <v>0</v>
      </c>
      <c r="GI153" s="591">
        <v>0</v>
      </c>
      <c r="GJ153" s="591">
        <v>0</v>
      </c>
      <c r="GK153" s="591">
        <v>0</v>
      </c>
      <c r="GL153" s="591">
        <v>0</v>
      </c>
      <c r="GM153" s="591">
        <v>0</v>
      </c>
      <c r="GN153" s="591">
        <v>0</v>
      </c>
      <c r="GO153" s="591">
        <v>0</v>
      </c>
      <c r="GP153" s="591">
        <v>0</v>
      </c>
      <c r="GQ153" s="591">
        <v>0</v>
      </c>
      <c r="GR153" s="591">
        <v>0</v>
      </c>
      <c r="GS153" s="591">
        <v>0</v>
      </c>
      <c r="GT153" s="591">
        <v>0</v>
      </c>
      <c r="GU153" s="591">
        <v>0</v>
      </c>
      <c r="GV153" s="591">
        <v>0</v>
      </c>
      <c r="GW153" s="591">
        <v>0</v>
      </c>
      <c r="GX153" s="591">
        <v>0</v>
      </c>
      <c r="GY153" s="591">
        <v>0</v>
      </c>
      <c r="GZ153" s="591">
        <v>0</v>
      </c>
      <c r="HA153" s="591">
        <v>0</v>
      </c>
      <c r="HB153" s="591">
        <v>260009272</v>
      </c>
      <c r="HC153" s="591">
        <v>5.1774999999999995E-2</v>
      </c>
      <c r="HD153" s="591">
        <v>20145</v>
      </c>
      <c r="HE153" s="591">
        <v>0</v>
      </c>
      <c r="HF153" s="591">
        <v>78987</v>
      </c>
      <c r="HG153" s="591">
        <v>8981</v>
      </c>
      <c r="HH153" s="591">
        <v>0</v>
      </c>
      <c r="HI153" s="591">
        <v>0</v>
      </c>
      <c r="HJ153" s="591">
        <v>1081</v>
      </c>
      <c r="HK153" s="591">
        <v>1453</v>
      </c>
      <c r="HL153" s="591">
        <v>1441</v>
      </c>
      <c r="HM153" s="591">
        <v>0</v>
      </c>
      <c r="HN153" s="591">
        <v>0</v>
      </c>
      <c r="HO153" s="591">
        <v>0</v>
      </c>
      <c r="HP153" s="591">
        <v>0</v>
      </c>
      <c r="HQ153" s="591">
        <v>0</v>
      </c>
      <c r="HR153" s="591">
        <v>0</v>
      </c>
      <c r="HS153" s="591">
        <v>992797</v>
      </c>
      <c r="HT153" s="591">
        <v>0</v>
      </c>
      <c r="HU153" s="591">
        <v>46213</v>
      </c>
      <c r="HV153" s="591">
        <v>0</v>
      </c>
      <c r="HW153" s="591">
        <v>0</v>
      </c>
      <c r="HX153" s="591">
        <v>29</v>
      </c>
      <c r="HY153" s="591">
        <v>21</v>
      </c>
      <c r="HZ153" s="591">
        <v>7</v>
      </c>
      <c r="IA153" s="591">
        <v>3</v>
      </c>
      <c r="IB153" s="591">
        <v>4</v>
      </c>
      <c r="IC153" s="591">
        <v>53</v>
      </c>
      <c r="ID153" s="591">
        <v>0</v>
      </c>
      <c r="IE153" s="591">
        <v>0</v>
      </c>
      <c r="IF153" s="591">
        <v>0</v>
      </c>
      <c r="IG153" s="591">
        <v>14.582000000000001</v>
      </c>
      <c r="IH153" s="591">
        <v>0</v>
      </c>
      <c r="II153" s="591">
        <v>0</v>
      </c>
      <c r="IJ153" s="591">
        <v>0</v>
      </c>
      <c r="IK153" s="591">
        <v>0</v>
      </c>
      <c r="IL153" s="591">
        <v>0</v>
      </c>
      <c r="IM153" s="591">
        <v>0</v>
      </c>
      <c r="IN153" s="591">
        <v>0</v>
      </c>
      <c r="IO153" s="591">
        <v>0</v>
      </c>
      <c r="IP153" s="591">
        <v>0</v>
      </c>
      <c r="IQ153" s="591">
        <v>0</v>
      </c>
      <c r="IR153" s="591">
        <v>0</v>
      </c>
      <c r="IS153" s="591">
        <v>0</v>
      </c>
      <c r="IT153" s="591">
        <v>0</v>
      </c>
      <c r="IU153" s="591">
        <v>0</v>
      </c>
      <c r="IV153" s="591">
        <v>0</v>
      </c>
      <c r="IW153" s="591">
        <v>6159</v>
      </c>
      <c r="IX153" s="591">
        <v>0</v>
      </c>
      <c r="IY153" s="591">
        <v>0</v>
      </c>
      <c r="IZ153" s="591">
        <v>0</v>
      </c>
      <c r="JA153" s="591">
        <v>0</v>
      </c>
      <c r="JB153" s="591">
        <v>0</v>
      </c>
      <c r="JC153" s="591">
        <v>0</v>
      </c>
      <c r="JD153" s="591">
        <v>0</v>
      </c>
      <c r="JE153" s="591">
        <v>0</v>
      </c>
      <c r="JF153" s="591">
        <v>0</v>
      </c>
      <c r="JG153" s="591">
        <v>0</v>
      </c>
      <c r="JH153" s="591">
        <v>0</v>
      </c>
      <c r="JI153" s="591">
        <v>0</v>
      </c>
      <c r="JJ153" s="591">
        <v>0</v>
      </c>
      <c r="JK153" s="591">
        <v>0</v>
      </c>
      <c r="JL153" s="591">
        <v>0</v>
      </c>
      <c r="JM153" s="591">
        <v>0</v>
      </c>
      <c r="JN153" s="591">
        <v>32469</v>
      </c>
    </row>
    <row r="154" spans="1:274" x14ac:dyDescent="0.25">
      <c r="A154" s="591">
        <v>32570</v>
      </c>
      <c r="B154" s="591">
        <v>193801</v>
      </c>
      <c r="C154" s="591">
        <v>9</v>
      </c>
      <c r="D154" s="591">
        <v>2022</v>
      </c>
      <c r="E154" s="591">
        <v>6159</v>
      </c>
      <c r="F154" s="591">
        <v>0</v>
      </c>
      <c r="G154" s="591">
        <v>195.23500000000001</v>
      </c>
      <c r="H154" s="591">
        <v>129.202</v>
      </c>
      <c r="I154" s="591">
        <v>129.202</v>
      </c>
      <c r="J154" s="591">
        <v>195.23500000000001</v>
      </c>
      <c r="K154" s="591">
        <v>0</v>
      </c>
      <c r="L154" s="591">
        <v>6159</v>
      </c>
      <c r="M154" s="591">
        <v>0</v>
      </c>
      <c r="N154" s="591">
        <v>0</v>
      </c>
      <c r="O154" s="591">
        <v>0</v>
      </c>
      <c r="P154" s="591">
        <v>206.84700000000001</v>
      </c>
      <c r="Q154" s="591">
        <v>0</v>
      </c>
      <c r="R154" s="591">
        <v>83241</v>
      </c>
      <c r="S154" s="591">
        <v>402.428</v>
      </c>
      <c r="T154" s="591">
        <v>0</v>
      </c>
      <c r="U154" s="591">
        <v>0</v>
      </c>
      <c r="V154" s="591">
        <v>0</v>
      </c>
      <c r="W154" s="591">
        <v>0</v>
      </c>
      <c r="X154" s="591">
        <v>0</v>
      </c>
      <c r="Y154" s="591">
        <v>0</v>
      </c>
      <c r="Z154" s="591">
        <v>0</v>
      </c>
      <c r="AA154" s="591">
        <v>0</v>
      </c>
      <c r="AB154" s="591">
        <v>0</v>
      </c>
      <c r="AC154" s="591">
        <v>0</v>
      </c>
      <c r="AD154" s="591" t="s">
        <v>316</v>
      </c>
      <c r="AE154" s="591">
        <v>0</v>
      </c>
      <c r="AF154" s="591">
        <v>0</v>
      </c>
      <c r="AG154" s="591">
        <v>0</v>
      </c>
      <c r="AH154" s="591">
        <v>0</v>
      </c>
      <c r="AI154" s="591">
        <v>0</v>
      </c>
      <c r="AJ154" s="591">
        <v>6159</v>
      </c>
      <c r="AK154" s="591" t="s">
        <v>671</v>
      </c>
      <c r="AL154" s="591" t="s">
        <v>73</v>
      </c>
      <c r="AM154" s="591">
        <v>0</v>
      </c>
      <c r="AN154" s="591">
        <v>0</v>
      </c>
      <c r="AO154" s="591">
        <v>0</v>
      </c>
      <c r="AP154" s="591">
        <v>0</v>
      </c>
      <c r="AQ154" s="591">
        <v>0</v>
      </c>
      <c r="AR154" s="591">
        <v>0</v>
      </c>
      <c r="AS154" s="591">
        <v>0</v>
      </c>
      <c r="AT154" s="591">
        <v>0</v>
      </c>
      <c r="AU154" s="591">
        <v>0</v>
      </c>
      <c r="AV154" s="591">
        <v>0</v>
      </c>
      <c r="AW154" s="591">
        <v>3231137</v>
      </c>
      <c r="AX154" s="591">
        <v>3201650</v>
      </c>
      <c r="AY154" s="591">
        <v>0</v>
      </c>
      <c r="AZ154" s="591">
        <v>83241</v>
      </c>
      <c r="BA154" s="591">
        <v>0</v>
      </c>
      <c r="BB154" s="591">
        <v>0</v>
      </c>
      <c r="BC154" s="591">
        <v>0</v>
      </c>
      <c r="BD154" s="591">
        <v>0</v>
      </c>
      <c r="BE154" s="591">
        <v>42</v>
      </c>
      <c r="BF154" s="591">
        <v>2814770</v>
      </c>
      <c r="BG154" s="591">
        <v>0</v>
      </c>
      <c r="BH154" s="591">
        <v>0</v>
      </c>
      <c r="BI154" s="591">
        <v>0</v>
      </c>
      <c r="BJ154" s="591">
        <v>12</v>
      </c>
      <c r="BK154" s="591">
        <v>0</v>
      </c>
      <c r="BL154" s="591">
        <v>0</v>
      </c>
      <c r="BM154" s="591">
        <v>0</v>
      </c>
      <c r="BN154" s="591">
        <v>0</v>
      </c>
      <c r="BO154" s="591">
        <v>0</v>
      </c>
      <c r="BP154" s="591">
        <v>0</v>
      </c>
      <c r="BQ154" s="591">
        <v>750</v>
      </c>
      <c r="BR154" s="591">
        <v>0</v>
      </c>
      <c r="BS154" s="591">
        <v>0</v>
      </c>
      <c r="BT154" s="591">
        <v>0</v>
      </c>
      <c r="BU154" s="591">
        <v>0</v>
      </c>
      <c r="BV154" s="591">
        <v>0</v>
      </c>
      <c r="BW154" s="591">
        <v>0</v>
      </c>
      <c r="BX154" s="591">
        <v>0</v>
      </c>
      <c r="BY154" s="591">
        <v>0</v>
      </c>
      <c r="BZ154" s="591">
        <v>0</v>
      </c>
      <c r="CA154" s="591">
        <v>0</v>
      </c>
      <c r="CB154" s="591">
        <v>0</v>
      </c>
      <c r="CC154" s="591">
        <v>0</v>
      </c>
      <c r="CD154" s="591">
        <v>0</v>
      </c>
      <c r="CE154" s="591">
        <v>0</v>
      </c>
      <c r="CF154" s="591">
        <v>0</v>
      </c>
      <c r="CG154" s="591">
        <v>0</v>
      </c>
      <c r="CH154" s="591">
        <v>35379</v>
      </c>
      <c r="CI154" s="591">
        <v>0</v>
      </c>
      <c r="CJ154" s="591">
        <v>4</v>
      </c>
      <c r="CK154" s="591">
        <v>0</v>
      </c>
      <c r="CL154" s="591">
        <v>0</v>
      </c>
      <c r="CM154" s="591">
        <v>0</v>
      </c>
      <c r="CN154" s="591">
        <v>0</v>
      </c>
      <c r="CO154" s="591">
        <v>1</v>
      </c>
      <c r="CP154" s="591">
        <v>0</v>
      </c>
      <c r="CQ154" s="591">
        <v>0</v>
      </c>
      <c r="CR154" s="591">
        <v>195.23500000000001</v>
      </c>
      <c r="CS154" s="591">
        <v>0</v>
      </c>
      <c r="CT154" s="591">
        <v>0</v>
      </c>
      <c r="CU154" s="591">
        <v>0</v>
      </c>
      <c r="CV154" s="591">
        <v>0</v>
      </c>
      <c r="CW154" s="591">
        <v>0</v>
      </c>
      <c r="CX154" s="591">
        <v>0</v>
      </c>
      <c r="CY154" s="591">
        <v>0</v>
      </c>
      <c r="CZ154" s="591">
        <v>0</v>
      </c>
      <c r="DA154" s="591">
        <v>0</v>
      </c>
      <c r="DB154" s="591">
        <v>625737</v>
      </c>
      <c r="DC154" s="591">
        <v>0</v>
      </c>
      <c r="DD154" s="591">
        <v>0</v>
      </c>
      <c r="DE154" s="591">
        <v>306722</v>
      </c>
      <c r="DF154" s="591">
        <v>310417</v>
      </c>
      <c r="DG154" s="591">
        <v>49.800000000000004</v>
      </c>
      <c r="DH154" s="591">
        <v>0</v>
      </c>
      <c r="DI154" s="591">
        <v>0</v>
      </c>
      <c r="DJ154" s="591">
        <v>0</v>
      </c>
      <c r="DK154" s="591">
        <v>3623</v>
      </c>
      <c r="DL154" s="591">
        <v>0</v>
      </c>
      <c r="DM154" s="591">
        <v>1703210</v>
      </c>
      <c r="DN154" s="591">
        <v>5850</v>
      </c>
      <c r="DO154" s="591">
        <v>0</v>
      </c>
      <c r="DP154" s="591">
        <v>0</v>
      </c>
      <c r="DQ154" s="591">
        <v>0</v>
      </c>
      <c r="DR154" s="591">
        <v>0</v>
      </c>
      <c r="DS154" s="591">
        <v>0</v>
      </c>
      <c r="DT154" s="591">
        <v>0</v>
      </c>
      <c r="DU154" s="591">
        <v>0</v>
      </c>
      <c r="DV154" s="591">
        <v>0</v>
      </c>
      <c r="DW154" s="591">
        <v>0</v>
      </c>
      <c r="DX154" s="591">
        <v>0</v>
      </c>
      <c r="DY154" s="591">
        <v>0</v>
      </c>
      <c r="DZ154" s="591">
        <v>0</v>
      </c>
      <c r="EA154" s="591">
        <v>0</v>
      </c>
      <c r="EB154" s="591">
        <v>0</v>
      </c>
      <c r="EC154" s="591">
        <v>1.56</v>
      </c>
      <c r="ED154" s="591">
        <v>11049</v>
      </c>
      <c r="EE154" s="591">
        <v>0</v>
      </c>
      <c r="EF154" s="591">
        <v>0</v>
      </c>
      <c r="EG154" s="591">
        <v>0</v>
      </c>
      <c r="EH154" s="591">
        <v>287986</v>
      </c>
      <c r="EI154" s="591">
        <v>1239996</v>
      </c>
      <c r="EJ154" s="591">
        <v>50.332000000000001</v>
      </c>
      <c r="EK154" s="591">
        <v>14.237</v>
      </c>
      <c r="EL154" s="591">
        <v>0</v>
      </c>
      <c r="EM154" s="591">
        <v>0.49400000000000005</v>
      </c>
      <c r="EN154" s="591">
        <v>0.51300000000000001</v>
      </c>
      <c r="EO154" s="591">
        <v>0</v>
      </c>
      <c r="EP154" s="591">
        <v>0</v>
      </c>
      <c r="EQ154" s="591">
        <v>65.576000000000008</v>
      </c>
      <c r="ER154" s="591">
        <v>0</v>
      </c>
      <c r="ES154" s="591">
        <v>46.758000000000003</v>
      </c>
      <c r="ET154" s="591">
        <v>0</v>
      </c>
      <c r="EU154" s="591">
        <v>0</v>
      </c>
      <c r="EV154" s="591">
        <v>0</v>
      </c>
      <c r="EW154" s="591">
        <v>0</v>
      </c>
      <c r="EX154" s="591">
        <v>0</v>
      </c>
      <c r="EY154" s="591">
        <v>0</v>
      </c>
      <c r="EZ154" s="591">
        <v>2850621</v>
      </c>
      <c r="FA154" s="591">
        <v>0</v>
      </c>
      <c r="FB154" s="591">
        <v>2927970</v>
      </c>
      <c r="FC154" s="591">
        <v>0</v>
      </c>
      <c r="FD154" s="591">
        <v>0</v>
      </c>
      <c r="FE154" s="591">
        <v>291559</v>
      </c>
      <c r="FF154" s="591">
        <v>59470</v>
      </c>
      <c r="FG154" s="591">
        <v>6.4728999999999995E-2</v>
      </c>
      <c r="FH154" s="591">
        <v>2.6405999999999999E-2</v>
      </c>
      <c r="FI154" s="591">
        <v>0</v>
      </c>
      <c r="FJ154" s="591">
        <v>0</v>
      </c>
      <c r="FK154" s="591">
        <v>457.01100000000002</v>
      </c>
      <c r="FL154" s="591">
        <v>3314378</v>
      </c>
      <c r="FM154" s="591">
        <v>0</v>
      </c>
      <c r="FN154" s="591">
        <v>0</v>
      </c>
      <c r="FO154" s="591">
        <v>114810</v>
      </c>
      <c r="FP154" s="591">
        <v>0</v>
      </c>
      <c r="FQ154" s="591">
        <v>114810</v>
      </c>
      <c r="FR154" s="591">
        <v>114810</v>
      </c>
      <c r="FS154" s="591">
        <v>0</v>
      </c>
      <c r="FT154" s="591">
        <v>0</v>
      </c>
      <c r="FU154" s="591">
        <v>0</v>
      </c>
      <c r="FV154" s="591">
        <v>0</v>
      </c>
      <c r="FW154" s="591">
        <v>0</v>
      </c>
      <c r="FX154" s="591">
        <v>0</v>
      </c>
      <c r="FY154" s="591">
        <v>0</v>
      </c>
      <c r="FZ154" s="591">
        <v>0</v>
      </c>
      <c r="GA154" s="591">
        <v>0</v>
      </c>
      <c r="GB154" s="591">
        <v>3800</v>
      </c>
      <c r="GC154" s="591">
        <v>3800</v>
      </c>
      <c r="GD154" s="591">
        <v>0.45700000000000002</v>
      </c>
      <c r="GE154" s="591">
        <v>0</v>
      </c>
      <c r="GF154" s="591">
        <v>0</v>
      </c>
      <c r="GG154" s="591">
        <v>0</v>
      </c>
      <c r="GH154" s="591">
        <v>0</v>
      </c>
      <c r="GI154" s="591">
        <v>0</v>
      </c>
      <c r="GJ154" s="591">
        <v>0</v>
      </c>
      <c r="GK154" s="591">
        <v>0</v>
      </c>
      <c r="GL154" s="591">
        <v>0</v>
      </c>
      <c r="GM154" s="591">
        <v>0</v>
      </c>
      <c r="GN154" s="591">
        <v>0</v>
      </c>
      <c r="GO154" s="591">
        <v>0</v>
      </c>
      <c r="GP154" s="591">
        <v>0</v>
      </c>
      <c r="GQ154" s="591">
        <v>0</v>
      </c>
      <c r="GR154" s="591">
        <v>0</v>
      </c>
      <c r="GS154" s="591">
        <v>0</v>
      </c>
      <c r="GT154" s="591">
        <v>0</v>
      </c>
      <c r="GU154" s="591">
        <v>0</v>
      </c>
      <c r="GV154" s="591">
        <v>0</v>
      </c>
      <c r="GW154" s="591">
        <v>0</v>
      </c>
      <c r="GX154" s="591">
        <v>0</v>
      </c>
      <c r="GY154" s="591">
        <v>0</v>
      </c>
      <c r="GZ154" s="591">
        <v>0</v>
      </c>
      <c r="HA154" s="591">
        <v>0</v>
      </c>
      <c r="HB154" s="591">
        <v>260009272</v>
      </c>
      <c r="HC154" s="591">
        <v>5.1774999999999995E-2</v>
      </c>
      <c r="HD154" s="591">
        <v>35379</v>
      </c>
      <c r="HE154" s="591">
        <v>0</v>
      </c>
      <c r="HF154" s="591">
        <v>141993</v>
      </c>
      <c r="HG154" s="591">
        <v>2464</v>
      </c>
      <c r="HH154" s="591">
        <v>19401</v>
      </c>
      <c r="HI154" s="591">
        <v>0</v>
      </c>
      <c r="HJ154" s="591">
        <v>1898</v>
      </c>
      <c r="HK154" s="591">
        <v>1041</v>
      </c>
      <c r="HL154" s="591">
        <v>766</v>
      </c>
      <c r="HM154" s="591">
        <v>0</v>
      </c>
      <c r="HN154" s="591">
        <v>0</v>
      </c>
      <c r="HO154" s="591">
        <v>0</v>
      </c>
      <c r="HP154" s="591">
        <v>2475</v>
      </c>
      <c r="HQ154" s="591">
        <v>0</v>
      </c>
      <c r="HR154" s="591">
        <v>0</v>
      </c>
      <c r="HS154" s="591">
        <v>2844729</v>
      </c>
      <c r="HT154" s="591">
        <v>0</v>
      </c>
      <c r="HU154" s="591">
        <v>0</v>
      </c>
      <c r="HV154" s="591">
        <v>0</v>
      </c>
      <c r="HW154" s="591">
        <v>0</v>
      </c>
      <c r="HX154" s="591">
        <v>13</v>
      </c>
      <c r="HY154" s="591">
        <v>37</v>
      </c>
      <c r="HZ154" s="591">
        <v>13</v>
      </c>
      <c r="IA154" s="591">
        <v>7</v>
      </c>
      <c r="IB154" s="591">
        <v>120</v>
      </c>
      <c r="IC154" s="591">
        <v>184</v>
      </c>
      <c r="ID154" s="591">
        <v>3</v>
      </c>
      <c r="IE154" s="591">
        <v>0</v>
      </c>
      <c r="IF154" s="591">
        <v>0</v>
      </c>
      <c r="IG154" s="591">
        <v>4</v>
      </c>
      <c r="IH154" s="591">
        <v>31.5</v>
      </c>
      <c r="II154" s="591">
        <v>9</v>
      </c>
      <c r="IJ154" s="591">
        <v>0</v>
      </c>
      <c r="IK154" s="591">
        <v>0</v>
      </c>
      <c r="IL154" s="591">
        <v>0</v>
      </c>
      <c r="IM154" s="591">
        <v>0</v>
      </c>
      <c r="IN154" s="591">
        <v>0</v>
      </c>
      <c r="IO154" s="591">
        <v>0</v>
      </c>
      <c r="IP154" s="591">
        <v>9</v>
      </c>
      <c r="IQ154" s="591">
        <v>0</v>
      </c>
      <c r="IR154" s="591">
        <v>0</v>
      </c>
      <c r="IS154" s="591">
        <v>0</v>
      </c>
      <c r="IT154" s="591">
        <v>0</v>
      </c>
      <c r="IU154" s="591">
        <v>0</v>
      </c>
      <c r="IV154" s="591">
        <v>0</v>
      </c>
      <c r="IW154" s="591">
        <v>6159</v>
      </c>
      <c r="IX154" s="591">
        <v>0</v>
      </c>
      <c r="IY154" s="591">
        <v>0</v>
      </c>
      <c r="IZ154" s="591">
        <v>2475</v>
      </c>
      <c r="JA154" s="591">
        <v>3695</v>
      </c>
      <c r="JB154" s="591">
        <v>0</v>
      </c>
      <c r="JC154" s="591">
        <v>0</v>
      </c>
      <c r="JD154" s="591">
        <v>0</v>
      </c>
      <c r="JE154" s="591">
        <v>0</v>
      </c>
      <c r="JF154" s="591">
        <v>0</v>
      </c>
      <c r="JG154" s="591">
        <v>0</v>
      </c>
      <c r="JH154" s="591">
        <v>0</v>
      </c>
      <c r="JI154" s="591">
        <v>0</v>
      </c>
      <c r="JJ154" s="591">
        <v>0</v>
      </c>
      <c r="JK154" s="591">
        <v>0</v>
      </c>
      <c r="JL154" s="591">
        <v>0</v>
      </c>
      <c r="JM154" s="591">
        <v>0</v>
      </c>
      <c r="JN154" s="591">
        <v>32469</v>
      </c>
    </row>
    <row r="155" spans="1:274" x14ac:dyDescent="0.25">
      <c r="A155" s="591">
        <v>32570</v>
      </c>
      <c r="B155" s="591">
        <v>212801</v>
      </c>
      <c r="C155" s="591">
        <v>9</v>
      </c>
      <c r="D155" s="591">
        <v>2022</v>
      </c>
      <c r="E155" s="591">
        <v>6159</v>
      </c>
      <c r="F155" s="591">
        <v>0</v>
      </c>
      <c r="G155" s="591">
        <v>1833.278</v>
      </c>
      <c r="H155" s="591">
        <v>1601.1130000000001</v>
      </c>
      <c r="I155" s="591">
        <v>1601.1130000000001</v>
      </c>
      <c r="J155" s="591">
        <v>1833.278</v>
      </c>
      <c r="K155" s="591">
        <v>0</v>
      </c>
      <c r="L155" s="591">
        <v>6159</v>
      </c>
      <c r="M155" s="591">
        <v>0</v>
      </c>
      <c r="N155" s="591">
        <v>0</v>
      </c>
      <c r="O155" s="591">
        <v>0</v>
      </c>
      <c r="P155" s="591">
        <v>1850.6370000000002</v>
      </c>
      <c r="Q155" s="591">
        <v>0</v>
      </c>
      <c r="R155" s="591">
        <v>744748</v>
      </c>
      <c r="S155" s="591">
        <v>402.428</v>
      </c>
      <c r="T155" s="591">
        <v>0</v>
      </c>
      <c r="U155" s="591">
        <v>0</v>
      </c>
      <c r="V155" s="591">
        <v>103.435</v>
      </c>
      <c r="W155" s="591">
        <v>63706</v>
      </c>
      <c r="X155" s="591">
        <v>63706</v>
      </c>
      <c r="Y155" s="591">
        <v>0</v>
      </c>
      <c r="Z155" s="591">
        <v>0</v>
      </c>
      <c r="AA155" s="591">
        <v>0</v>
      </c>
      <c r="AB155" s="591">
        <v>0</v>
      </c>
      <c r="AC155" s="591">
        <v>0</v>
      </c>
      <c r="AD155" s="591" t="s">
        <v>316</v>
      </c>
      <c r="AE155" s="591">
        <v>0</v>
      </c>
      <c r="AF155" s="591">
        <v>0</v>
      </c>
      <c r="AG155" s="591">
        <v>0</v>
      </c>
      <c r="AH155" s="591">
        <v>0</v>
      </c>
      <c r="AI155" s="591">
        <v>0</v>
      </c>
      <c r="AJ155" s="591">
        <v>6159</v>
      </c>
      <c r="AK155" s="591" t="s">
        <v>671</v>
      </c>
      <c r="AL155" s="591" t="s">
        <v>74</v>
      </c>
      <c r="AM155" s="591">
        <v>0</v>
      </c>
      <c r="AN155" s="591">
        <v>0</v>
      </c>
      <c r="AO155" s="591">
        <v>0</v>
      </c>
      <c r="AP155" s="591">
        <v>0</v>
      </c>
      <c r="AQ155" s="591">
        <v>0</v>
      </c>
      <c r="AR155" s="591">
        <v>0</v>
      </c>
      <c r="AS155" s="591">
        <v>0</v>
      </c>
      <c r="AT155" s="591">
        <v>0</v>
      </c>
      <c r="AU155" s="591">
        <v>0</v>
      </c>
      <c r="AV155" s="591">
        <v>0</v>
      </c>
      <c r="AW155" s="591">
        <v>17931984</v>
      </c>
      <c r="AX155" s="591">
        <v>17465293</v>
      </c>
      <c r="AY155" s="591">
        <v>0</v>
      </c>
      <c r="AZ155" s="591">
        <v>744748</v>
      </c>
      <c r="BA155" s="591">
        <v>0</v>
      </c>
      <c r="BB155" s="591">
        <v>0</v>
      </c>
      <c r="BC155" s="591">
        <v>0</v>
      </c>
      <c r="BD155" s="591">
        <v>0</v>
      </c>
      <c r="BE155" s="591">
        <v>233</v>
      </c>
      <c r="BF155" s="591">
        <v>16177971</v>
      </c>
      <c r="BG155" s="591">
        <v>0</v>
      </c>
      <c r="BH155" s="591">
        <v>0</v>
      </c>
      <c r="BI155" s="591">
        <v>0</v>
      </c>
      <c r="BJ155" s="591">
        <v>12</v>
      </c>
      <c r="BK155" s="591">
        <v>0</v>
      </c>
      <c r="BL155" s="591">
        <v>0</v>
      </c>
      <c r="BM155" s="591">
        <v>0</v>
      </c>
      <c r="BN155" s="591">
        <v>0</v>
      </c>
      <c r="BO155" s="591">
        <v>0</v>
      </c>
      <c r="BP155" s="591">
        <v>0</v>
      </c>
      <c r="BQ155" s="591">
        <v>523</v>
      </c>
      <c r="BR155" s="591">
        <v>0</v>
      </c>
      <c r="BS155" s="591">
        <v>0</v>
      </c>
      <c r="BT155" s="591">
        <v>0</v>
      </c>
      <c r="BU155" s="591">
        <v>0</v>
      </c>
      <c r="BV155" s="591">
        <v>0</v>
      </c>
      <c r="BW155" s="591">
        <v>0</v>
      </c>
      <c r="BX155" s="591">
        <v>0</v>
      </c>
      <c r="BY155" s="591">
        <v>0</v>
      </c>
      <c r="BZ155" s="591">
        <v>0</v>
      </c>
      <c r="CA155" s="591">
        <v>0</v>
      </c>
      <c r="CB155" s="591">
        <v>0</v>
      </c>
      <c r="CC155" s="591">
        <v>0</v>
      </c>
      <c r="CD155" s="591">
        <v>0</v>
      </c>
      <c r="CE155" s="591">
        <v>0</v>
      </c>
      <c r="CF155" s="591">
        <v>0</v>
      </c>
      <c r="CG155" s="591">
        <v>0</v>
      </c>
      <c r="CH155" s="591">
        <v>471949</v>
      </c>
      <c r="CI155" s="591">
        <v>0</v>
      </c>
      <c r="CJ155" s="591">
        <v>4</v>
      </c>
      <c r="CK155" s="591">
        <v>0</v>
      </c>
      <c r="CL155" s="591">
        <v>0</v>
      </c>
      <c r="CM155" s="591">
        <v>0</v>
      </c>
      <c r="CN155" s="591">
        <v>0</v>
      </c>
      <c r="CO155" s="591">
        <v>1</v>
      </c>
      <c r="CP155" s="591">
        <v>0</v>
      </c>
      <c r="CQ155" s="591">
        <v>0</v>
      </c>
      <c r="CR155" s="591">
        <v>1833.278</v>
      </c>
      <c r="CS155" s="591">
        <v>0</v>
      </c>
      <c r="CT155" s="591">
        <v>0</v>
      </c>
      <c r="CU155" s="591">
        <v>0</v>
      </c>
      <c r="CV155" s="591">
        <v>0</v>
      </c>
      <c r="CW155" s="591">
        <v>0</v>
      </c>
      <c r="CX155" s="591">
        <v>0</v>
      </c>
      <c r="CY155" s="591">
        <v>0</v>
      </c>
      <c r="CZ155" s="591">
        <v>0</v>
      </c>
      <c r="DA155" s="591">
        <v>0</v>
      </c>
      <c r="DB155" s="591">
        <v>9819314</v>
      </c>
      <c r="DC155" s="591">
        <v>0</v>
      </c>
      <c r="DD155" s="591">
        <v>0</v>
      </c>
      <c r="DE155" s="591">
        <v>1465939</v>
      </c>
      <c r="DF155" s="591">
        <v>1465939</v>
      </c>
      <c r="DG155" s="591">
        <v>238.01300000000001</v>
      </c>
      <c r="DH155" s="591">
        <v>0</v>
      </c>
      <c r="DI155" s="591">
        <v>0</v>
      </c>
      <c r="DJ155" s="591">
        <v>0</v>
      </c>
      <c r="DK155" s="591">
        <v>0</v>
      </c>
      <c r="DL155" s="591">
        <v>0</v>
      </c>
      <c r="DM155" s="591">
        <v>1359132</v>
      </c>
      <c r="DN155" s="591">
        <v>5025</v>
      </c>
      <c r="DO155" s="591">
        <v>0</v>
      </c>
      <c r="DP155" s="591">
        <v>0</v>
      </c>
      <c r="DQ155" s="591">
        <v>0</v>
      </c>
      <c r="DR155" s="591">
        <v>0</v>
      </c>
      <c r="DS155" s="591">
        <v>0</v>
      </c>
      <c r="DT155" s="591">
        <v>0</v>
      </c>
      <c r="DU155" s="591">
        <v>0</v>
      </c>
      <c r="DV155" s="591">
        <v>0</v>
      </c>
      <c r="DW155" s="591">
        <v>0</v>
      </c>
      <c r="DX155" s="591">
        <v>0</v>
      </c>
      <c r="DY155" s="591">
        <v>0</v>
      </c>
      <c r="DZ155" s="591">
        <v>0</v>
      </c>
      <c r="EA155" s="591">
        <v>0</v>
      </c>
      <c r="EB155" s="591">
        <v>0</v>
      </c>
      <c r="EC155" s="591">
        <v>42.1</v>
      </c>
      <c r="ED155" s="591">
        <v>298192</v>
      </c>
      <c r="EE155" s="591">
        <v>0</v>
      </c>
      <c r="EF155" s="591">
        <v>0</v>
      </c>
      <c r="EG155" s="591">
        <v>0</v>
      </c>
      <c r="EH155" s="591">
        <v>1023892</v>
      </c>
      <c r="EI155" s="591">
        <v>0</v>
      </c>
      <c r="EJ155" s="591">
        <v>0</v>
      </c>
      <c r="EK155" s="591">
        <v>42.932000000000002</v>
      </c>
      <c r="EL155" s="591">
        <v>0</v>
      </c>
      <c r="EM155" s="591">
        <v>7.5150000000000006</v>
      </c>
      <c r="EN155" s="591">
        <v>2.98</v>
      </c>
      <c r="EO155" s="591">
        <v>0</v>
      </c>
      <c r="EP155" s="591">
        <v>0</v>
      </c>
      <c r="EQ155" s="591">
        <v>53.427</v>
      </c>
      <c r="ER155" s="591">
        <v>0</v>
      </c>
      <c r="ES155" s="591">
        <v>166.24100000000001</v>
      </c>
      <c r="ET155" s="591">
        <v>0</v>
      </c>
      <c r="EU155" s="591">
        <v>0</v>
      </c>
      <c r="EV155" s="591">
        <v>0</v>
      </c>
      <c r="EW155" s="591">
        <v>0</v>
      </c>
      <c r="EX155" s="591">
        <v>0</v>
      </c>
      <c r="EY155" s="591">
        <v>0</v>
      </c>
      <c r="EZ155" s="591">
        <v>15447742</v>
      </c>
      <c r="FA155" s="591">
        <v>0</v>
      </c>
      <c r="FB155" s="591">
        <v>16187232</v>
      </c>
      <c r="FC155" s="591">
        <v>0</v>
      </c>
      <c r="FD155" s="591">
        <v>0</v>
      </c>
      <c r="FE155" s="591">
        <v>1675744</v>
      </c>
      <c r="FF155" s="591">
        <v>341807</v>
      </c>
      <c r="FG155" s="591">
        <v>6.4728999999999995E-2</v>
      </c>
      <c r="FH155" s="591">
        <v>2.6405999999999999E-2</v>
      </c>
      <c r="FI155" s="591">
        <v>0</v>
      </c>
      <c r="FJ155" s="591">
        <v>0</v>
      </c>
      <c r="FK155" s="591">
        <v>2626.6849999999999</v>
      </c>
      <c r="FL155" s="591">
        <v>18676732</v>
      </c>
      <c r="FM155" s="591">
        <v>0</v>
      </c>
      <c r="FN155" s="591">
        <v>0</v>
      </c>
      <c r="FO155" s="591">
        <v>0</v>
      </c>
      <c r="FP155" s="591">
        <v>0</v>
      </c>
      <c r="FQ155" s="591">
        <v>0</v>
      </c>
      <c r="FR155" s="591">
        <v>0</v>
      </c>
      <c r="FS155" s="591">
        <v>0</v>
      </c>
      <c r="FT155" s="591">
        <v>0</v>
      </c>
      <c r="FU155" s="591">
        <v>0</v>
      </c>
      <c r="FV155" s="591">
        <v>0</v>
      </c>
      <c r="FW155" s="591">
        <v>0</v>
      </c>
      <c r="FX155" s="591">
        <v>0</v>
      </c>
      <c r="FY155" s="591">
        <v>0</v>
      </c>
      <c r="FZ155" s="591">
        <v>0</v>
      </c>
      <c r="GA155" s="591">
        <v>0</v>
      </c>
      <c r="GB155" s="591">
        <v>1486164</v>
      </c>
      <c r="GC155" s="591">
        <v>1486164</v>
      </c>
      <c r="GD155" s="591">
        <v>178.738</v>
      </c>
      <c r="GE155" s="591">
        <v>0</v>
      </c>
      <c r="GF155" s="591">
        <v>0</v>
      </c>
      <c r="GG155" s="591">
        <v>0</v>
      </c>
      <c r="GH155" s="591">
        <v>0</v>
      </c>
      <c r="GI155" s="591">
        <v>0</v>
      </c>
      <c r="GJ155" s="591">
        <v>0</v>
      </c>
      <c r="GK155" s="591">
        <v>0</v>
      </c>
      <c r="GL155" s="591">
        <v>0</v>
      </c>
      <c r="GM155" s="591">
        <v>0</v>
      </c>
      <c r="GN155" s="591">
        <v>0</v>
      </c>
      <c r="GO155" s="591">
        <v>0</v>
      </c>
      <c r="GP155" s="591">
        <v>0</v>
      </c>
      <c r="GQ155" s="591">
        <v>0</v>
      </c>
      <c r="GR155" s="591">
        <v>0</v>
      </c>
      <c r="GS155" s="591">
        <v>0</v>
      </c>
      <c r="GT155" s="591">
        <v>0</v>
      </c>
      <c r="GU155" s="591">
        <v>0</v>
      </c>
      <c r="GV155" s="591">
        <v>0</v>
      </c>
      <c r="GW155" s="591">
        <v>0</v>
      </c>
      <c r="GX155" s="591">
        <v>0</v>
      </c>
      <c r="GY155" s="591">
        <v>0</v>
      </c>
      <c r="GZ155" s="591">
        <v>0</v>
      </c>
      <c r="HA155" s="591">
        <v>0</v>
      </c>
      <c r="HB155" s="591">
        <v>260009272</v>
      </c>
      <c r="HC155" s="591">
        <v>5.1774999999999995E-2</v>
      </c>
      <c r="HD155" s="591">
        <v>332210</v>
      </c>
      <c r="HE155" s="591">
        <v>0</v>
      </c>
      <c r="HF155" s="591">
        <v>1759623</v>
      </c>
      <c r="HG155" s="591">
        <v>95466</v>
      </c>
      <c r="HH155" s="591">
        <v>105783</v>
      </c>
      <c r="HI155" s="591">
        <v>0</v>
      </c>
      <c r="HJ155" s="591">
        <v>17819</v>
      </c>
      <c r="HK155" s="591">
        <v>7534</v>
      </c>
      <c r="HL155" s="591">
        <v>6985</v>
      </c>
      <c r="HM155" s="591">
        <v>0</v>
      </c>
      <c r="HN155" s="591">
        <v>0</v>
      </c>
      <c r="HO155" s="591">
        <v>0</v>
      </c>
      <c r="HP155" s="591">
        <v>0</v>
      </c>
      <c r="HQ155" s="591">
        <v>0</v>
      </c>
      <c r="HR155" s="591">
        <v>0</v>
      </c>
      <c r="HS155" s="591">
        <v>15442484</v>
      </c>
      <c r="HT155" s="591">
        <v>0</v>
      </c>
      <c r="HU155" s="591">
        <v>139739</v>
      </c>
      <c r="HV155" s="591">
        <v>0</v>
      </c>
      <c r="HW155" s="591">
        <v>0</v>
      </c>
      <c r="HX155" s="591">
        <v>246</v>
      </c>
      <c r="HY155" s="591">
        <v>232</v>
      </c>
      <c r="HZ155" s="591">
        <v>202</v>
      </c>
      <c r="IA155" s="591">
        <v>127</v>
      </c>
      <c r="IB155" s="591">
        <v>159</v>
      </c>
      <c r="IC155" s="591">
        <v>910</v>
      </c>
      <c r="ID155" s="591">
        <v>0</v>
      </c>
      <c r="IE155" s="591">
        <v>0</v>
      </c>
      <c r="IF155" s="591">
        <v>0</v>
      </c>
      <c r="IG155" s="591">
        <v>155</v>
      </c>
      <c r="IH155" s="591">
        <v>171.75200000000001</v>
      </c>
      <c r="II155" s="591">
        <v>0</v>
      </c>
      <c r="IJ155" s="591">
        <v>103.435</v>
      </c>
      <c r="IK155" s="591">
        <v>0</v>
      </c>
      <c r="IL155" s="591">
        <v>0</v>
      </c>
      <c r="IM155" s="591">
        <v>0</v>
      </c>
      <c r="IN155" s="591">
        <v>0</v>
      </c>
      <c r="IO155" s="591">
        <v>0</v>
      </c>
      <c r="IP155" s="591">
        <v>0</v>
      </c>
      <c r="IQ155" s="591">
        <v>103.435</v>
      </c>
      <c r="IR155" s="591">
        <v>63706</v>
      </c>
      <c r="IS155" s="591">
        <v>0</v>
      </c>
      <c r="IT155" s="591">
        <v>0</v>
      </c>
      <c r="IU155" s="591">
        <v>0</v>
      </c>
      <c r="IV155" s="591">
        <v>0</v>
      </c>
      <c r="IW155" s="591">
        <v>6159</v>
      </c>
      <c r="IX155" s="591">
        <v>0</v>
      </c>
      <c r="IY155" s="591">
        <v>0</v>
      </c>
      <c r="IZ155" s="591">
        <v>0</v>
      </c>
      <c r="JA155" s="591">
        <v>0</v>
      </c>
      <c r="JB155" s="591">
        <v>0</v>
      </c>
      <c r="JC155" s="591">
        <v>0</v>
      </c>
      <c r="JD155" s="591">
        <v>0</v>
      </c>
      <c r="JE155" s="591">
        <v>0</v>
      </c>
      <c r="JF155" s="591">
        <v>0</v>
      </c>
      <c r="JG155" s="591">
        <v>0</v>
      </c>
      <c r="JH155" s="591">
        <v>0</v>
      </c>
      <c r="JI155" s="591">
        <v>0</v>
      </c>
      <c r="JJ155" s="591">
        <v>0</v>
      </c>
      <c r="JK155" s="591">
        <v>0</v>
      </c>
      <c r="JL155" s="591">
        <v>0</v>
      </c>
      <c r="JM155" s="591">
        <v>0</v>
      </c>
      <c r="JN155" s="591">
        <v>32469</v>
      </c>
    </row>
    <row r="156" spans="1:274" x14ac:dyDescent="0.25">
      <c r="A156" s="591">
        <v>32570</v>
      </c>
      <c r="B156" s="591">
        <v>212804</v>
      </c>
      <c r="C156" s="591">
        <v>9</v>
      </c>
      <c r="D156" s="591">
        <v>2022</v>
      </c>
      <c r="E156" s="591">
        <v>6159</v>
      </c>
      <c r="F156" s="591">
        <v>0</v>
      </c>
      <c r="G156" s="591">
        <v>802.88300000000004</v>
      </c>
      <c r="H156" s="591">
        <v>719.26700000000005</v>
      </c>
      <c r="I156" s="591">
        <v>719.26700000000005</v>
      </c>
      <c r="J156" s="591">
        <v>802.88300000000004</v>
      </c>
      <c r="K156" s="591">
        <v>0</v>
      </c>
      <c r="L156" s="591">
        <v>6159</v>
      </c>
      <c r="M156" s="591">
        <v>0</v>
      </c>
      <c r="N156" s="591">
        <v>0</v>
      </c>
      <c r="O156" s="591">
        <v>0</v>
      </c>
      <c r="P156" s="591">
        <v>782.11099999999999</v>
      </c>
      <c r="Q156" s="591">
        <v>0</v>
      </c>
      <c r="R156" s="591">
        <v>314743</v>
      </c>
      <c r="S156" s="591">
        <v>402.428</v>
      </c>
      <c r="T156" s="591">
        <v>0</v>
      </c>
      <c r="U156" s="591">
        <v>0</v>
      </c>
      <c r="V156" s="591">
        <v>12.933</v>
      </c>
      <c r="W156" s="591">
        <v>7966</v>
      </c>
      <c r="X156" s="591">
        <v>7966</v>
      </c>
      <c r="Y156" s="591">
        <v>0</v>
      </c>
      <c r="Z156" s="591">
        <v>0</v>
      </c>
      <c r="AA156" s="591">
        <v>0</v>
      </c>
      <c r="AB156" s="591">
        <v>0</v>
      </c>
      <c r="AC156" s="591">
        <v>0</v>
      </c>
      <c r="AD156" s="591" t="s">
        <v>316</v>
      </c>
      <c r="AE156" s="591">
        <v>0</v>
      </c>
      <c r="AF156" s="591">
        <v>0</v>
      </c>
      <c r="AG156" s="591">
        <v>0</v>
      </c>
      <c r="AH156" s="591">
        <v>0</v>
      </c>
      <c r="AI156" s="591">
        <v>0</v>
      </c>
      <c r="AJ156" s="591">
        <v>6159</v>
      </c>
      <c r="AK156" s="591" t="s">
        <v>671</v>
      </c>
      <c r="AL156" s="591" t="s">
        <v>469</v>
      </c>
      <c r="AM156" s="591">
        <v>0</v>
      </c>
      <c r="AN156" s="591">
        <v>0</v>
      </c>
      <c r="AO156" s="591">
        <v>0</v>
      </c>
      <c r="AP156" s="591">
        <v>0</v>
      </c>
      <c r="AQ156" s="591">
        <v>0</v>
      </c>
      <c r="AR156" s="591">
        <v>0</v>
      </c>
      <c r="AS156" s="591">
        <v>0</v>
      </c>
      <c r="AT156" s="591">
        <v>0</v>
      </c>
      <c r="AU156" s="591">
        <v>0</v>
      </c>
      <c r="AV156" s="591">
        <v>0</v>
      </c>
      <c r="AW156" s="591">
        <v>7348847</v>
      </c>
      <c r="AX156" s="591">
        <v>7204624</v>
      </c>
      <c r="AY156" s="591">
        <v>0</v>
      </c>
      <c r="AZ156" s="591">
        <v>314743</v>
      </c>
      <c r="BA156" s="591">
        <v>0</v>
      </c>
      <c r="BB156" s="591">
        <v>0</v>
      </c>
      <c r="BC156" s="591">
        <v>0</v>
      </c>
      <c r="BD156" s="591">
        <v>6.8230000000000004</v>
      </c>
      <c r="BE156" s="591">
        <v>96</v>
      </c>
      <c r="BF156" s="591">
        <v>6680121</v>
      </c>
      <c r="BG156" s="591">
        <v>0</v>
      </c>
      <c r="BH156" s="591">
        <v>0</v>
      </c>
      <c r="BI156" s="591">
        <v>0</v>
      </c>
      <c r="BJ156" s="591">
        <v>12</v>
      </c>
      <c r="BK156" s="591">
        <v>0</v>
      </c>
      <c r="BL156" s="591">
        <v>0</v>
      </c>
      <c r="BM156" s="591">
        <v>0</v>
      </c>
      <c r="BN156" s="591">
        <v>0</v>
      </c>
      <c r="BO156" s="591">
        <v>0</v>
      </c>
      <c r="BP156" s="591">
        <v>0</v>
      </c>
      <c r="BQ156" s="591">
        <v>659</v>
      </c>
      <c r="BR156" s="591">
        <v>0</v>
      </c>
      <c r="BS156" s="591">
        <v>0</v>
      </c>
      <c r="BT156" s="591">
        <v>0</v>
      </c>
      <c r="BU156" s="591">
        <v>0</v>
      </c>
      <c r="BV156" s="591">
        <v>0</v>
      </c>
      <c r="BW156" s="591">
        <v>0</v>
      </c>
      <c r="BX156" s="591">
        <v>0</v>
      </c>
      <c r="BY156" s="591">
        <v>0</v>
      </c>
      <c r="BZ156" s="591">
        <v>0</v>
      </c>
      <c r="CA156" s="591">
        <v>0</v>
      </c>
      <c r="CB156" s="591">
        <v>0</v>
      </c>
      <c r="CC156" s="591">
        <v>0</v>
      </c>
      <c r="CD156" s="591">
        <v>0</v>
      </c>
      <c r="CE156" s="591">
        <v>0</v>
      </c>
      <c r="CF156" s="591">
        <v>0</v>
      </c>
      <c r="CG156" s="591">
        <v>0</v>
      </c>
      <c r="CH156" s="591">
        <v>145491</v>
      </c>
      <c r="CI156" s="591">
        <v>0</v>
      </c>
      <c r="CJ156" s="591">
        <v>4</v>
      </c>
      <c r="CK156" s="591">
        <v>0</v>
      </c>
      <c r="CL156" s="591">
        <v>0</v>
      </c>
      <c r="CM156" s="591">
        <v>0</v>
      </c>
      <c r="CN156" s="591">
        <v>0</v>
      </c>
      <c r="CO156" s="591">
        <v>1</v>
      </c>
      <c r="CP156" s="591">
        <v>0</v>
      </c>
      <c r="CQ156" s="591">
        <v>0</v>
      </c>
      <c r="CR156" s="591">
        <v>802.88300000000004</v>
      </c>
      <c r="CS156" s="591">
        <v>0</v>
      </c>
      <c r="CT156" s="591">
        <v>0</v>
      </c>
      <c r="CU156" s="591">
        <v>0</v>
      </c>
      <c r="CV156" s="591">
        <v>0</v>
      </c>
      <c r="CW156" s="591">
        <v>0</v>
      </c>
      <c r="CX156" s="591">
        <v>0</v>
      </c>
      <c r="CY156" s="591">
        <v>0</v>
      </c>
      <c r="CZ156" s="591">
        <v>0</v>
      </c>
      <c r="DA156" s="591">
        <v>0</v>
      </c>
      <c r="DB156" s="591">
        <v>4430025</v>
      </c>
      <c r="DC156" s="591">
        <v>0</v>
      </c>
      <c r="DD156" s="591">
        <v>0</v>
      </c>
      <c r="DE156" s="591">
        <v>471247</v>
      </c>
      <c r="DF156" s="591">
        <v>471247</v>
      </c>
      <c r="DG156" s="591">
        <v>76.513000000000005</v>
      </c>
      <c r="DH156" s="591">
        <v>0</v>
      </c>
      <c r="DI156" s="591">
        <v>0</v>
      </c>
      <c r="DJ156" s="591">
        <v>0</v>
      </c>
      <c r="DK156" s="591">
        <v>2170</v>
      </c>
      <c r="DL156" s="591">
        <v>0</v>
      </c>
      <c r="DM156" s="591">
        <v>307014</v>
      </c>
      <c r="DN156" s="591">
        <v>1171</v>
      </c>
      <c r="DO156" s="591">
        <v>0</v>
      </c>
      <c r="DP156" s="591">
        <v>0</v>
      </c>
      <c r="DQ156" s="591">
        <v>0</v>
      </c>
      <c r="DR156" s="591">
        <v>0</v>
      </c>
      <c r="DS156" s="591">
        <v>0</v>
      </c>
      <c r="DT156" s="591">
        <v>0</v>
      </c>
      <c r="DU156" s="591">
        <v>0</v>
      </c>
      <c r="DV156" s="591">
        <v>0</v>
      </c>
      <c r="DW156" s="591">
        <v>0</v>
      </c>
      <c r="DX156" s="591">
        <v>0</v>
      </c>
      <c r="DY156" s="591">
        <v>0</v>
      </c>
      <c r="DZ156" s="591">
        <v>0</v>
      </c>
      <c r="EA156" s="591">
        <v>0</v>
      </c>
      <c r="EB156" s="591">
        <v>0</v>
      </c>
      <c r="EC156" s="591">
        <v>14.35</v>
      </c>
      <c r="ED156" s="591">
        <v>101640</v>
      </c>
      <c r="EE156" s="591">
        <v>0</v>
      </c>
      <c r="EF156" s="591">
        <v>0</v>
      </c>
      <c r="EG156" s="591">
        <v>0</v>
      </c>
      <c r="EH156" s="591">
        <v>206545</v>
      </c>
      <c r="EI156" s="591">
        <v>0</v>
      </c>
      <c r="EJ156" s="591">
        <v>0</v>
      </c>
      <c r="EK156" s="591">
        <v>8.7900000000000009</v>
      </c>
      <c r="EL156" s="591">
        <v>0</v>
      </c>
      <c r="EM156" s="591">
        <v>0</v>
      </c>
      <c r="EN156" s="591">
        <v>1.4330000000000001</v>
      </c>
      <c r="EO156" s="591">
        <v>0</v>
      </c>
      <c r="EP156" s="591">
        <v>0</v>
      </c>
      <c r="EQ156" s="591">
        <v>10.223000000000001</v>
      </c>
      <c r="ER156" s="591">
        <v>0</v>
      </c>
      <c r="ES156" s="591">
        <v>33.535000000000004</v>
      </c>
      <c r="ET156" s="591">
        <v>0</v>
      </c>
      <c r="EU156" s="591">
        <v>0</v>
      </c>
      <c r="EV156" s="591">
        <v>0</v>
      </c>
      <c r="EW156" s="591">
        <v>0</v>
      </c>
      <c r="EX156" s="591">
        <v>0</v>
      </c>
      <c r="EY156" s="591">
        <v>0</v>
      </c>
      <c r="EZ156" s="591">
        <v>6371548</v>
      </c>
      <c r="FA156" s="591">
        <v>0</v>
      </c>
      <c r="FB156" s="591">
        <v>6685023</v>
      </c>
      <c r="FC156" s="591">
        <v>0</v>
      </c>
      <c r="FD156" s="591">
        <v>0</v>
      </c>
      <c r="FE156" s="591">
        <v>691939</v>
      </c>
      <c r="FF156" s="591">
        <v>141137</v>
      </c>
      <c r="FG156" s="591">
        <v>6.4728999999999995E-2</v>
      </c>
      <c r="FH156" s="591">
        <v>2.6405999999999999E-2</v>
      </c>
      <c r="FI156" s="591">
        <v>0</v>
      </c>
      <c r="FJ156" s="591">
        <v>0</v>
      </c>
      <c r="FK156" s="591">
        <v>1084.597</v>
      </c>
      <c r="FL156" s="591">
        <v>7663590</v>
      </c>
      <c r="FM156" s="591">
        <v>0</v>
      </c>
      <c r="FN156" s="591">
        <v>0</v>
      </c>
      <c r="FO156" s="591">
        <v>0</v>
      </c>
      <c r="FP156" s="591">
        <v>0</v>
      </c>
      <c r="FQ156" s="591">
        <v>0</v>
      </c>
      <c r="FR156" s="591">
        <v>0</v>
      </c>
      <c r="FS156" s="591">
        <v>0</v>
      </c>
      <c r="FT156" s="591">
        <v>0</v>
      </c>
      <c r="FU156" s="591">
        <v>0</v>
      </c>
      <c r="FV156" s="591">
        <v>0</v>
      </c>
      <c r="FW156" s="591">
        <v>0</v>
      </c>
      <c r="FX156" s="591">
        <v>0</v>
      </c>
      <c r="FY156" s="591">
        <v>0</v>
      </c>
      <c r="FZ156" s="591">
        <v>0</v>
      </c>
      <c r="GA156" s="591">
        <v>0</v>
      </c>
      <c r="GB156" s="591">
        <v>610245</v>
      </c>
      <c r="GC156" s="591">
        <v>610245</v>
      </c>
      <c r="GD156" s="591">
        <v>73.393000000000001</v>
      </c>
      <c r="GE156" s="591">
        <v>0</v>
      </c>
      <c r="GF156" s="591">
        <v>0</v>
      </c>
      <c r="GG156" s="591">
        <v>0</v>
      </c>
      <c r="GH156" s="591">
        <v>0</v>
      </c>
      <c r="GI156" s="591">
        <v>0</v>
      </c>
      <c r="GJ156" s="591">
        <v>0</v>
      </c>
      <c r="GK156" s="591">
        <v>0</v>
      </c>
      <c r="GL156" s="591">
        <v>0</v>
      </c>
      <c r="GM156" s="591">
        <v>0</v>
      </c>
      <c r="GN156" s="591">
        <v>0</v>
      </c>
      <c r="GO156" s="591">
        <v>0</v>
      </c>
      <c r="GP156" s="591">
        <v>0</v>
      </c>
      <c r="GQ156" s="591">
        <v>0</v>
      </c>
      <c r="GR156" s="591">
        <v>0</v>
      </c>
      <c r="GS156" s="591">
        <v>0</v>
      </c>
      <c r="GT156" s="591">
        <v>0</v>
      </c>
      <c r="GU156" s="591">
        <v>0</v>
      </c>
      <c r="GV156" s="591">
        <v>0</v>
      </c>
      <c r="GW156" s="591">
        <v>0</v>
      </c>
      <c r="GX156" s="591">
        <v>0</v>
      </c>
      <c r="GY156" s="591">
        <v>0</v>
      </c>
      <c r="GZ156" s="591">
        <v>0</v>
      </c>
      <c r="HA156" s="591">
        <v>0</v>
      </c>
      <c r="HB156" s="591">
        <v>260009272</v>
      </c>
      <c r="HC156" s="591">
        <v>5.1774999999999995E-2</v>
      </c>
      <c r="HD156" s="591">
        <v>145491</v>
      </c>
      <c r="HE156" s="591">
        <v>0</v>
      </c>
      <c r="HF156" s="591">
        <v>790474</v>
      </c>
      <c r="HG156" s="591">
        <v>38802</v>
      </c>
      <c r="HH156" s="591">
        <v>15373</v>
      </c>
      <c r="HI156" s="591">
        <v>0</v>
      </c>
      <c r="HJ156" s="591">
        <v>7804</v>
      </c>
      <c r="HK156" s="591">
        <v>2380</v>
      </c>
      <c r="HL156" s="591">
        <v>3790</v>
      </c>
      <c r="HM156" s="591">
        <v>0</v>
      </c>
      <c r="HN156" s="591">
        <v>0</v>
      </c>
      <c r="HO156" s="591">
        <v>0</v>
      </c>
      <c r="HP156" s="591">
        <v>0</v>
      </c>
      <c r="HQ156" s="591">
        <v>0</v>
      </c>
      <c r="HR156" s="591">
        <v>0</v>
      </c>
      <c r="HS156" s="591">
        <v>6370280</v>
      </c>
      <c r="HT156" s="591">
        <v>0</v>
      </c>
      <c r="HU156" s="591">
        <v>0</v>
      </c>
      <c r="HV156" s="591">
        <v>0</v>
      </c>
      <c r="HW156" s="591">
        <v>0</v>
      </c>
      <c r="HX156" s="591">
        <v>95</v>
      </c>
      <c r="HY156" s="591">
        <v>75</v>
      </c>
      <c r="HZ156" s="591">
        <v>53</v>
      </c>
      <c r="IA156" s="591">
        <v>54</v>
      </c>
      <c r="IB156" s="591">
        <v>36</v>
      </c>
      <c r="IC156" s="591">
        <v>313</v>
      </c>
      <c r="ID156" s="591">
        <v>0</v>
      </c>
      <c r="IE156" s="591">
        <v>0</v>
      </c>
      <c r="IF156" s="591">
        <v>0</v>
      </c>
      <c r="IG156" s="591">
        <v>63</v>
      </c>
      <c r="IH156" s="591">
        <v>24.96</v>
      </c>
      <c r="II156" s="591">
        <v>0</v>
      </c>
      <c r="IJ156" s="591">
        <v>12.933</v>
      </c>
      <c r="IK156" s="591">
        <v>0</v>
      </c>
      <c r="IL156" s="591">
        <v>0</v>
      </c>
      <c r="IM156" s="591">
        <v>0</v>
      </c>
      <c r="IN156" s="591">
        <v>0</v>
      </c>
      <c r="IO156" s="591">
        <v>0</v>
      </c>
      <c r="IP156" s="591">
        <v>0</v>
      </c>
      <c r="IQ156" s="591">
        <v>12.933</v>
      </c>
      <c r="IR156" s="591">
        <v>7966</v>
      </c>
      <c r="IS156" s="591">
        <v>0</v>
      </c>
      <c r="IT156" s="591">
        <v>0</v>
      </c>
      <c r="IU156" s="591">
        <v>0</v>
      </c>
      <c r="IV156" s="591">
        <v>0</v>
      </c>
      <c r="IW156" s="591">
        <v>6159</v>
      </c>
      <c r="IX156" s="591">
        <v>0</v>
      </c>
      <c r="IY156" s="591">
        <v>0</v>
      </c>
      <c r="IZ156" s="591">
        <v>0</v>
      </c>
      <c r="JA156" s="591">
        <v>0</v>
      </c>
      <c r="JB156" s="591">
        <v>0</v>
      </c>
      <c r="JC156" s="591">
        <v>0</v>
      </c>
      <c r="JD156" s="591">
        <v>0</v>
      </c>
      <c r="JE156" s="591">
        <v>0</v>
      </c>
      <c r="JF156" s="591">
        <v>0</v>
      </c>
      <c r="JG156" s="591">
        <v>0</v>
      </c>
      <c r="JH156" s="591">
        <v>0</v>
      </c>
      <c r="JI156" s="591">
        <v>0</v>
      </c>
      <c r="JJ156" s="591">
        <v>0</v>
      </c>
      <c r="JK156" s="591">
        <v>0</v>
      </c>
      <c r="JL156" s="591">
        <v>0</v>
      </c>
      <c r="JM156" s="591">
        <v>0</v>
      </c>
      <c r="JN156" s="591">
        <v>32469</v>
      </c>
    </row>
    <row r="157" spans="1:274" x14ac:dyDescent="0.25">
      <c r="A157" s="591">
        <v>32570</v>
      </c>
      <c r="B157" s="591">
        <v>213801</v>
      </c>
      <c r="C157" s="591">
        <v>9</v>
      </c>
      <c r="D157" s="591">
        <v>2022</v>
      </c>
      <c r="E157" s="591">
        <v>6159</v>
      </c>
      <c r="F157" s="591">
        <v>0</v>
      </c>
      <c r="G157" s="591">
        <v>197.41300000000001</v>
      </c>
      <c r="H157" s="591">
        <v>167.96800000000002</v>
      </c>
      <c r="I157" s="591">
        <v>167.96800000000002</v>
      </c>
      <c r="J157" s="591">
        <v>197.41300000000001</v>
      </c>
      <c r="K157" s="591">
        <v>0</v>
      </c>
      <c r="L157" s="591">
        <v>6159</v>
      </c>
      <c r="M157" s="591">
        <v>0</v>
      </c>
      <c r="N157" s="591">
        <v>0</v>
      </c>
      <c r="O157" s="591">
        <v>0</v>
      </c>
      <c r="P157" s="591">
        <v>178.59700000000001</v>
      </c>
      <c r="Q157" s="591">
        <v>0</v>
      </c>
      <c r="R157" s="591">
        <v>71872</v>
      </c>
      <c r="S157" s="591">
        <v>402.428</v>
      </c>
      <c r="T157" s="591">
        <v>0</v>
      </c>
      <c r="U157" s="591">
        <v>0</v>
      </c>
      <c r="V157" s="591">
        <v>0</v>
      </c>
      <c r="W157" s="591">
        <v>0</v>
      </c>
      <c r="X157" s="591">
        <v>0</v>
      </c>
      <c r="Y157" s="591">
        <v>0</v>
      </c>
      <c r="Z157" s="591">
        <v>0</v>
      </c>
      <c r="AA157" s="591">
        <v>0</v>
      </c>
      <c r="AB157" s="591">
        <v>0</v>
      </c>
      <c r="AC157" s="591">
        <v>0</v>
      </c>
      <c r="AD157" s="591" t="s">
        <v>316</v>
      </c>
      <c r="AE157" s="591">
        <v>0</v>
      </c>
      <c r="AF157" s="591">
        <v>0</v>
      </c>
      <c r="AG157" s="591">
        <v>0</v>
      </c>
      <c r="AH157" s="591">
        <v>0</v>
      </c>
      <c r="AI157" s="591">
        <v>0</v>
      </c>
      <c r="AJ157" s="591">
        <v>6159</v>
      </c>
      <c r="AK157" s="591" t="s">
        <v>671</v>
      </c>
      <c r="AL157" s="591" t="s">
        <v>75</v>
      </c>
      <c r="AM157" s="591">
        <v>0</v>
      </c>
      <c r="AN157" s="591">
        <v>0</v>
      </c>
      <c r="AO157" s="591">
        <v>0</v>
      </c>
      <c r="AP157" s="591">
        <v>0</v>
      </c>
      <c r="AQ157" s="591">
        <v>0</v>
      </c>
      <c r="AR157" s="591">
        <v>0</v>
      </c>
      <c r="AS157" s="591">
        <v>0</v>
      </c>
      <c r="AT157" s="591">
        <v>0</v>
      </c>
      <c r="AU157" s="591">
        <v>0</v>
      </c>
      <c r="AV157" s="591">
        <v>0</v>
      </c>
      <c r="AW157" s="591">
        <v>2267865</v>
      </c>
      <c r="AX157" s="591">
        <v>2226933</v>
      </c>
      <c r="AY157" s="591">
        <v>0</v>
      </c>
      <c r="AZ157" s="591">
        <v>71872</v>
      </c>
      <c r="BA157" s="591">
        <v>0</v>
      </c>
      <c r="BB157" s="591">
        <v>0</v>
      </c>
      <c r="BC157" s="591">
        <v>0</v>
      </c>
      <c r="BD157" s="591">
        <v>0</v>
      </c>
      <c r="BE157" s="591">
        <v>29</v>
      </c>
      <c r="BF157" s="591">
        <v>2041913</v>
      </c>
      <c r="BG157" s="591">
        <v>0</v>
      </c>
      <c r="BH157" s="591">
        <v>0</v>
      </c>
      <c r="BI157" s="591">
        <v>0</v>
      </c>
      <c r="BJ157" s="591">
        <v>12</v>
      </c>
      <c r="BK157" s="591">
        <v>0</v>
      </c>
      <c r="BL157" s="591">
        <v>0</v>
      </c>
      <c r="BM157" s="591">
        <v>0</v>
      </c>
      <c r="BN157" s="591">
        <v>0</v>
      </c>
      <c r="BO157" s="591">
        <v>0</v>
      </c>
      <c r="BP157" s="591">
        <v>0</v>
      </c>
      <c r="BQ157" s="591">
        <v>744</v>
      </c>
      <c r="BR157" s="591">
        <v>0</v>
      </c>
      <c r="BS157" s="591">
        <v>0</v>
      </c>
      <c r="BT157" s="591">
        <v>0</v>
      </c>
      <c r="BU157" s="591">
        <v>0</v>
      </c>
      <c r="BV157" s="591">
        <v>0</v>
      </c>
      <c r="BW157" s="591">
        <v>0</v>
      </c>
      <c r="BX157" s="591">
        <v>0</v>
      </c>
      <c r="BY157" s="591">
        <v>0</v>
      </c>
      <c r="BZ157" s="591">
        <v>0</v>
      </c>
      <c r="CA157" s="591">
        <v>0</v>
      </c>
      <c r="CB157" s="591">
        <v>0</v>
      </c>
      <c r="CC157" s="591">
        <v>0</v>
      </c>
      <c r="CD157" s="591">
        <v>0</v>
      </c>
      <c r="CE157" s="591">
        <v>0</v>
      </c>
      <c r="CF157" s="591">
        <v>0</v>
      </c>
      <c r="CG157" s="591">
        <v>0</v>
      </c>
      <c r="CH157" s="591">
        <v>42398</v>
      </c>
      <c r="CI157" s="591">
        <v>0</v>
      </c>
      <c r="CJ157" s="591">
        <v>4</v>
      </c>
      <c r="CK157" s="591">
        <v>0</v>
      </c>
      <c r="CL157" s="591">
        <v>0</v>
      </c>
      <c r="CM157" s="591">
        <v>0</v>
      </c>
      <c r="CN157" s="591">
        <v>0</v>
      </c>
      <c r="CO157" s="591">
        <v>1</v>
      </c>
      <c r="CP157" s="591">
        <v>0</v>
      </c>
      <c r="CQ157" s="591">
        <v>0</v>
      </c>
      <c r="CR157" s="591">
        <v>197.41300000000001</v>
      </c>
      <c r="CS157" s="591">
        <v>0</v>
      </c>
      <c r="CT157" s="591">
        <v>0</v>
      </c>
      <c r="CU157" s="591">
        <v>0</v>
      </c>
      <c r="CV157" s="591">
        <v>0</v>
      </c>
      <c r="CW157" s="591">
        <v>0</v>
      </c>
      <c r="CX157" s="591">
        <v>0</v>
      </c>
      <c r="CY157" s="591">
        <v>0</v>
      </c>
      <c r="CZ157" s="591">
        <v>0</v>
      </c>
      <c r="DA157" s="591">
        <v>0</v>
      </c>
      <c r="DB157" s="591">
        <v>967119</v>
      </c>
      <c r="DC157" s="591">
        <v>0</v>
      </c>
      <c r="DD157" s="591">
        <v>0</v>
      </c>
      <c r="DE157" s="591">
        <v>250521</v>
      </c>
      <c r="DF157" s="591">
        <v>265303</v>
      </c>
      <c r="DG157" s="591">
        <v>40.675000000000004</v>
      </c>
      <c r="DH157" s="591">
        <v>0</v>
      </c>
      <c r="DI157" s="591">
        <v>0</v>
      </c>
      <c r="DJ157" s="591">
        <v>0</v>
      </c>
      <c r="DK157" s="591">
        <v>3528</v>
      </c>
      <c r="DL157" s="591">
        <v>0</v>
      </c>
      <c r="DM157" s="591">
        <v>444008</v>
      </c>
      <c r="DN157" s="591">
        <v>1437</v>
      </c>
      <c r="DO157" s="591">
        <v>0</v>
      </c>
      <c r="DP157" s="591">
        <v>0</v>
      </c>
      <c r="DQ157" s="591">
        <v>0</v>
      </c>
      <c r="DR157" s="591">
        <v>0</v>
      </c>
      <c r="DS157" s="591">
        <v>0</v>
      </c>
      <c r="DT157" s="591">
        <v>0</v>
      </c>
      <c r="DU157" s="591">
        <v>0</v>
      </c>
      <c r="DV157" s="591">
        <v>0</v>
      </c>
      <c r="DW157" s="591">
        <v>0</v>
      </c>
      <c r="DX157" s="591">
        <v>0</v>
      </c>
      <c r="DY157" s="591">
        <v>0</v>
      </c>
      <c r="DZ157" s="591">
        <v>0</v>
      </c>
      <c r="EA157" s="591">
        <v>0</v>
      </c>
      <c r="EB157" s="591">
        <v>9.5299999999999994</v>
      </c>
      <c r="EC157" s="591">
        <v>26.67</v>
      </c>
      <c r="ED157" s="591">
        <v>188902</v>
      </c>
      <c r="EE157" s="591">
        <v>0</v>
      </c>
      <c r="EF157" s="591">
        <v>0</v>
      </c>
      <c r="EG157" s="591">
        <v>0</v>
      </c>
      <c r="EH157" s="591">
        <v>189133</v>
      </c>
      <c r="EI157" s="591">
        <v>0</v>
      </c>
      <c r="EJ157" s="591">
        <v>0</v>
      </c>
      <c r="EK157" s="591">
        <v>0.46600000000000003</v>
      </c>
      <c r="EL157" s="591">
        <v>0</v>
      </c>
      <c r="EM157" s="591">
        <v>0</v>
      </c>
      <c r="EN157" s="591">
        <v>0.14400000000000002</v>
      </c>
      <c r="EO157" s="591">
        <v>0</v>
      </c>
      <c r="EP157" s="591">
        <v>0</v>
      </c>
      <c r="EQ157" s="591">
        <v>10.14</v>
      </c>
      <c r="ER157" s="591">
        <v>0</v>
      </c>
      <c r="ES157" s="591">
        <v>30.708000000000002</v>
      </c>
      <c r="ET157" s="591">
        <v>0</v>
      </c>
      <c r="EU157" s="591">
        <v>0</v>
      </c>
      <c r="EV157" s="591">
        <v>0</v>
      </c>
      <c r="EW157" s="591">
        <v>0</v>
      </c>
      <c r="EX157" s="591">
        <v>0</v>
      </c>
      <c r="EY157" s="591">
        <v>0</v>
      </c>
      <c r="EZ157" s="591">
        <v>1972287</v>
      </c>
      <c r="FA157" s="591">
        <v>0</v>
      </c>
      <c r="FB157" s="591">
        <v>2042693</v>
      </c>
      <c r="FC157" s="591">
        <v>0</v>
      </c>
      <c r="FD157" s="591">
        <v>0</v>
      </c>
      <c r="FE157" s="591">
        <v>211505</v>
      </c>
      <c r="FF157" s="591">
        <v>43141</v>
      </c>
      <c r="FG157" s="591">
        <v>6.4728999999999995E-2</v>
      </c>
      <c r="FH157" s="591">
        <v>2.6405999999999999E-2</v>
      </c>
      <c r="FI157" s="591">
        <v>0</v>
      </c>
      <c r="FJ157" s="591">
        <v>0</v>
      </c>
      <c r="FK157" s="591">
        <v>331.529</v>
      </c>
      <c r="FL157" s="591">
        <v>2339737</v>
      </c>
      <c r="FM157" s="591">
        <v>0</v>
      </c>
      <c r="FN157" s="591">
        <v>0</v>
      </c>
      <c r="FO157" s="591">
        <v>0</v>
      </c>
      <c r="FP157" s="591">
        <v>0</v>
      </c>
      <c r="FQ157" s="591">
        <v>0</v>
      </c>
      <c r="FR157" s="591">
        <v>0</v>
      </c>
      <c r="FS157" s="591">
        <v>0</v>
      </c>
      <c r="FT157" s="591">
        <v>0</v>
      </c>
      <c r="FU157" s="591">
        <v>0</v>
      </c>
      <c r="FV157" s="591">
        <v>0</v>
      </c>
      <c r="FW157" s="591">
        <v>0</v>
      </c>
      <c r="FX157" s="591">
        <v>0</v>
      </c>
      <c r="FY157" s="591">
        <v>0</v>
      </c>
      <c r="FZ157" s="591">
        <v>0</v>
      </c>
      <c r="GA157" s="591">
        <v>0</v>
      </c>
      <c r="GB157" s="591">
        <v>160516</v>
      </c>
      <c r="GC157" s="591">
        <v>160516</v>
      </c>
      <c r="GD157" s="591">
        <v>19.305</v>
      </c>
      <c r="GE157" s="591">
        <v>0</v>
      </c>
      <c r="GF157" s="591">
        <v>0</v>
      </c>
      <c r="GG157" s="591">
        <v>0</v>
      </c>
      <c r="GH157" s="591">
        <v>0</v>
      </c>
      <c r="GI157" s="591">
        <v>0</v>
      </c>
      <c r="GJ157" s="591">
        <v>0</v>
      </c>
      <c r="GK157" s="591">
        <v>0</v>
      </c>
      <c r="GL157" s="591">
        <v>0</v>
      </c>
      <c r="GM157" s="591">
        <v>0</v>
      </c>
      <c r="GN157" s="591">
        <v>0</v>
      </c>
      <c r="GO157" s="591">
        <v>0</v>
      </c>
      <c r="GP157" s="591">
        <v>0</v>
      </c>
      <c r="GQ157" s="591">
        <v>0</v>
      </c>
      <c r="GR157" s="591">
        <v>0</v>
      </c>
      <c r="GS157" s="591">
        <v>0</v>
      </c>
      <c r="GT157" s="591">
        <v>0</v>
      </c>
      <c r="GU157" s="591">
        <v>0</v>
      </c>
      <c r="GV157" s="591">
        <v>0</v>
      </c>
      <c r="GW157" s="591">
        <v>0</v>
      </c>
      <c r="GX157" s="591">
        <v>0</v>
      </c>
      <c r="GY157" s="591">
        <v>0</v>
      </c>
      <c r="GZ157" s="591">
        <v>0</v>
      </c>
      <c r="HA157" s="591">
        <v>0</v>
      </c>
      <c r="HB157" s="591">
        <v>260009272</v>
      </c>
      <c r="HC157" s="591">
        <v>5.1774999999999995E-2</v>
      </c>
      <c r="HD157" s="591">
        <v>35773</v>
      </c>
      <c r="HE157" s="591">
        <v>0</v>
      </c>
      <c r="HF157" s="591">
        <v>184597</v>
      </c>
      <c r="HG157" s="591">
        <v>9623</v>
      </c>
      <c r="HH157" s="591">
        <v>7391</v>
      </c>
      <c r="HI157" s="591">
        <v>0</v>
      </c>
      <c r="HJ157" s="591">
        <v>1919</v>
      </c>
      <c r="HK157" s="591">
        <v>1601</v>
      </c>
      <c r="HL157" s="591">
        <v>645</v>
      </c>
      <c r="HM157" s="591">
        <v>0</v>
      </c>
      <c r="HN157" s="591">
        <v>0</v>
      </c>
      <c r="HO157" s="591">
        <v>0</v>
      </c>
      <c r="HP157" s="591">
        <v>0</v>
      </c>
      <c r="HQ157" s="591">
        <v>0</v>
      </c>
      <c r="HR157" s="591">
        <v>0</v>
      </c>
      <c r="HS157" s="591">
        <v>1970821</v>
      </c>
      <c r="HT157" s="591">
        <v>0</v>
      </c>
      <c r="HU157" s="591">
        <v>6625</v>
      </c>
      <c r="HV157" s="591">
        <v>0</v>
      </c>
      <c r="HW157" s="591">
        <v>0</v>
      </c>
      <c r="HX157" s="591">
        <v>35</v>
      </c>
      <c r="HY157" s="591">
        <v>25</v>
      </c>
      <c r="HZ157" s="591">
        <v>16</v>
      </c>
      <c r="IA157" s="591">
        <v>19</v>
      </c>
      <c r="IB157" s="591">
        <v>65</v>
      </c>
      <c r="IC157" s="591">
        <v>112</v>
      </c>
      <c r="ID157" s="591">
        <v>12</v>
      </c>
      <c r="IE157" s="591">
        <v>0</v>
      </c>
      <c r="IF157" s="591">
        <v>0</v>
      </c>
      <c r="IG157" s="591">
        <v>15.624000000000001</v>
      </c>
      <c r="IH157" s="591">
        <v>12</v>
      </c>
      <c r="II157" s="591">
        <v>0</v>
      </c>
      <c r="IJ157" s="591">
        <v>0</v>
      </c>
      <c r="IK157" s="591">
        <v>0</v>
      </c>
      <c r="IL157" s="591">
        <v>0</v>
      </c>
      <c r="IM157" s="591">
        <v>0</v>
      </c>
      <c r="IN157" s="591">
        <v>0</v>
      </c>
      <c r="IO157" s="591">
        <v>0</v>
      </c>
      <c r="IP157" s="591">
        <v>0</v>
      </c>
      <c r="IQ157" s="591">
        <v>0</v>
      </c>
      <c r="IR157" s="591">
        <v>0</v>
      </c>
      <c r="IS157" s="591">
        <v>0</v>
      </c>
      <c r="IT157" s="591">
        <v>0</v>
      </c>
      <c r="IU157" s="591">
        <v>0</v>
      </c>
      <c r="IV157" s="591">
        <v>0</v>
      </c>
      <c r="IW157" s="591">
        <v>6159</v>
      </c>
      <c r="IX157" s="591">
        <v>0</v>
      </c>
      <c r="IY157" s="591">
        <v>0</v>
      </c>
      <c r="IZ157" s="591">
        <v>0</v>
      </c>
      <c r="JA157" s="591">
        <v>14782</v>
      </c>
      <c r="JB157" s="591">
        <v>0</v>
      </c>
      <c r="JC157" s="591">
        <v>0</v>
      </c>
      <c r="JD157" s="591">
        <v>0</v>
      </c>
      <c r="JE157" s="591">
        <v>0</v>
      </c>
      <c r="JF157" s="591">
        <v>0</v>
      </c>
      <c r="JG157" s="591">
        <v>0</v>
      </c>
      <c r="JH157" s="591">
        <v>0</v>
      </c>
      <c r="JI157" s="591">
        <v>0</v>
      </c>
      <c r="JJ157" s="591">
        <v>0</v>
      </c>
      <c r="JK157" s="591">
        <v>0</v>
      </c>
      <c r="JL157" s="591">
        <v>0</v>
      </c>
      <c r="JM157" s="591">
        <v>0</v>
      </c>
      <c r="JN157" s="591">
        <v>32469</v>
      </c>
    </row>
    <row r="158" spans="1:274" x14ac:dyDescent="0.25">
      <c r="A158" s="591">
        <v>32570</v>
      </c>
      <c r="B158" s="591">
        <v>220801</v>
      </c>
      <c r="C158" s="591">
        <v>9</v>
      </c>
      <c r="D158" s="591">
        <v>2022</v>
      </c>
      <c r="E158" s="591">
        <v>6159</v>
      </c>
      <c r="F158" s="591">
        <v>0</v>
      </c>
      <c r="G158" s="591">
        <v>387.36500000000001</v>
      </c>
      <c r="H158" s="591">
        <v>361.40000000000003</v>
      </c>
      <c r="I158" s="591">
        <v>361.40000000000003</v>
      </c>
      <c r="J158" s="591">
        <v>387.36500000000001</v>
      </c>
      <c r="K158" s="591">
        <v>0</v>
      </c>
      <c r="L158" s="591">
        <v>6159</v>
      </c>
      <c r="M158" s="591">
        <v>0</v>
      </c>
      <c r="N158" s="591">
        <v>0</v>
      </c>
      <c r="O158" s="591">
        <v>0</v>
      </c>
      <c r="P158" s="591">
        <v>373.32400000000001</v>
      </c>
      <c r="Q158" s="591">
        <v>0</v>
      </c>
      <c r="R158" s="591">
        <v>150236</v>
      </c>
      <c r="S158" s="591">
        <v>402.428</v>
      </c>
      <c r="T158" s="591">
        <v>0</v>
      </c>
      <c r="U158" s="591">
        <v>0</v>
      </c>
      <c r="V158" s="591">
        <v>6.258</v>
      </c>
      <c r="W158" s="591">
        <v>3854</v>
      </c>
      <c r="X158" s="591">
        <v>3854</v>
      </c>
      <c r="Y158" s="591">
        <v>0</v>
      </c>
      <c r="Z158" s="591">
        <v>0</v>
      </c>
      <c r="AA158" s="591">
        <v>0</v>
      </c>
      <c r="AB158" s="591">
        <v>0</v>
      </c>
      <c r="AC158" s="591">
        <v>0</v>
      </c>
      <c r="AD158" s="591" t="s">
        <v>316</v>
      </c>
      <c r="AE158" s="591">
        <v>0</v>
      </c>
      <c r="AF158" s="591">
        <v>0</v>
      </c>
      <c r="AG158" s="591">
        <v>0</v>
      </c>
      <c r="AH158" s="591">
        <v>0</v>
      </c>
      <c r="AI158" s="591">
        <v>0</v>
      </c>
      <c r="AJ158" s="591">
        <v>6159</v>
      </c>
      <c r="AK158" s="591" t="s">
        <v>671</v>
      </c>
      <c r="AL158" s="591" t="s">
        <v>76</v>
      </c>
      <c r="AM158" s="591">
        <v>0</v>
      </c>
      <c r="AN158" s="591">
        <v>0</v>
      </c>
      <c r="AO158" s="591">
        <v>0</v>
      </c>
      <c r="AP158" s="591">
        <v>0</v>
      </c>
      <c r="AQ158" s="591">
        <v>0</v>
      </c>
      <c r="AR158" s="591">
        <v>0</v>
      </c>
      <c r="AS158" s="591">
        <v>0</v>
      </c>
      <c r="AT158" s="591">
        <v>0</v>
      </c>
      <c r="AU158" s="591">
        <v>0</v>
      </c>
      <c r="AV158" s="591">
        <v>0</v>
      </c>
      <c r="AW158" s="591">
        <v>3411511</v>
      </c>
      <c r="AX158" s="591">
        <v>3341786</v>
      </c>
      <c r="AY158" s="591">
        <v>0</v>
      </c>
      <c r="AZ158" s="591">
        <v>150236</v>
      </c>
      <c r="BA158" s="591">
        <v>0</v>
      </c>
      <c r="BB158" s="591">
        <v>0</v>
      </c>
      <c r="BC158" s="591">
        <v>0</v>
      </c>
      <c r="BD158" s="591">
        <v>0</v>
      </c>
      <c r="BE158" s="591">
        <v>45</v>
      </c>
      <c r="BF158" s="591">
        <v>3103387</v>
      </c>
      <c r="BG158" s="591">
        <v>0</v>
      </c>
      <c r="BH158" s="591">
        <v>0</v>
      </c>
      <c r="BI158" s="591">
        <v>0</v>
      </c>
      <c r="BJ158" s="591">
        <v>12</v>
      </c>
      <c r="BK158" s="591">
        <v>0</v>
      </c>
      <c r="BL158" s="591">
        <v>0</v>
      </c>
      <c r="BM158" s="591">
        <v>0</v>
      </c>
      <c r="BN158" s="591">
        <v>0</v>
      </c>
      <c r="BO158" s="591">
        <v>0</v>
      </c>
      <c r="BP158" s="591">
        <v>0</v>
      </c>
      <c r="BQ158" s="591">
        <v>714</v>
      </c>
      <c r="BR158" s="591">
        <v>0</v>
      </c>
      <c r="BS158" s="591">
        <v>0</v>
      </c>
      <c r="BT158" s="591">
        <v>0</v>
      </c>
      <c r="BU158" s="591">
        <v>0</v>
      </c>
      <c r="BV158" s="591">
        <v>0</v>
      </c>
      <c r="BW158" s="591">
        <v>0</v>
      </c>
      <c r="BX158" s="591">
        <v>0</v>
      </c>
      <c r="BY158" s="591">
        <v>0</v>
      </c>
      <c r="BZ158" s="591">
        <v>0</v>
      </c>
      <c r="CA158" s="591">
        <v>0</v>
      </c>
      <c r="CB158" s="591">
        <v>0</v>
      </c>
      <c r="CC158" s="591">
        <v>0</v>
      </c>
      <c r="CD158" s="591">
        <v>0</v>
      </c>
      <c r="CE158" s="591">
        <v>0</v>
      </c>
      <c r="CF158" s="591">
        <v>0</v>
      </c>
      <c r="CG158" s="591">
        <v>0</v>
      </c>
      <c r="CH158" s="591">
        <v>70195</v>
      </c>
      <c r="CI158" s="591">
        <v>0</v>
      </c>
      <c r="CJ158" s="591">
        <v>4</v>
      </c>
      <c r="CK158" s="591">
        <v>0</v>
      </c>
      <c r="CL158" s="591">
        <v>0</v>
      </c>
      <c r="CM158" s="591">
        <v>0</v>
      </c>
      <c r="CN158" s="591">
        <v>0</v>
      </c>
      <c r="CO158" s="591">
        <v>1</v>
      </c>
      <c r="CP158" s="591">
        <v>0</v>
      </c>
      <c r="CQ158" s="591">
        <v>0</v>
      </c>
      <c r="CR158" s="591">
        <v>387.36500000000001</v>
      </c>
      <c r="CS158" s="591">
        <v>0</v>
      </c>
      <c r="CT158" s="591">
        <v>0</v>
      </c>
      <c r="CU158" s="591">
        <v>0</v>
      </c>
      <c r="CV158" s="591">
        <v>0</v>
      </c>
      <c r="CW158" s="591">
        <v>0</v>
      </c>
      <c r="CX158" s="591">
        <v>0</v>
      </c>
      <c r="CY158" s="591">
        <v>0</v>
      </c>
      <c r="CZ158" s="591">
        <v>0</v>
      </c>
      <c r="DA158" s="591">
        <v>0</v>
      </c>
      <c r="DB158" s="591">
        <v>2225892</v>
      </c>
      <c r="DC158" s="591">
        <v>0</v>
      </c>
      <c r="DD158" s="591">
        <v>0</v>
      </c>
      <c r="DE158" s="591">
        <v>146894</v>
      </c>
      <c r="DF158" s="591">
        <v>146894</v>
      </c>
      <c r="DG158" s="591">
        <v>23.85</v>
      </c>
      <c r="DH158" s="591">
        <v>0</v>
      </c>
      <c r="DI158" s="591">
        <v>0</v>
      </c>
      <c r="DJ158" s="591">
        <v>0</v>
      </c>
      <c r="DK158" s="591">
        <v>3051</v>
      </c>
      <c r="DL158" s="591">
        <v>0</v>
      </c>
      <c r="DM158" s="591">
        <v>111395</v>
      </c>
      <c r="DN158" s="591">
        <v>425</v>
      </c>
      <c r="DO158" s="591">
        <v>0</v>
      </c>
      <c r="DP158" s="591">
        <v>0</v>
      </c>
      <c r="DQ158" s="591">
        <v>0</v>
      </c>
      <c r="DR158" s="591">
        <v>0</v>
      </c>
      <c r="DS158" s="591">
        <v>0</v>
      </c>
      <c r="DT158" s="591">
        <v>0</v>
      </c>
      <c r="DU158" s="591">
        <v>0</v>
      </c>
      <c r="DV158" s="591">
        <v>0</v>
      </c>
      <c r="DW158" s="591">
        <v>0</v>
      </c>
      <c r="DX158" s="591">
        <v>0</v>
      </c>
      <c r="DY158" s="591">
        <v>0</v>
      </c>
      <c r="DZ158" s="591">
        <v>0</v>
      </c>
      <c r="EA158" s="591">
        <v>0</v>
      </c>
      <c r="EB158" s="591">
        <v>0</v>
      </c>
      <c r="EC158" s="591">
        <v>7.8950000000000005</v>
      </c>
      <c r="ED158" s="591">
        <v>55920</v>
      </c>
      <c r="EE158" s="591">
        <v>0</v>
      </c>
      <c r="EF158" s="591">
        <v>0</v>
      </c>
      <c r="EG158" s="591">
        <v>0</v>
      </c>
      <c r="EH158" s="591">
        <v>55900</v>
      </c>
      <c r="EI158" s="591">
        <v>0</v>
      </c>
      <c r="EJ158" s="591">
        <v>0</v>
      </c>
      <c r="EK158" s="591">
        <v>1.7770000000000001</v>
      </c>
      <c r="EL158" s="591">
        <v>0</v>
      </c>
      <c r="EM158" s="591">
        <v>0</v>
      </c>
      <c r="EN158" s="591">
        <v>0.749</v>
      </c>
      <c r="EO158" s="591">
        <v>0</v>
      </c>
      <c r="EP158" s="591">
        <v>0</v>
      </c>
      <c r="EQ158" s="591">
        <v>2.5260000000000002</v>
      </c>
      <c r="ER158" s="591">
        <v>0</v>
      </c>
      <c r="ES158" s="591">
        <v>9.0760000000000005</v>
      </c>
      <c r="ET158" s="591">
        <v>0</v>
      </c>
      <c r="EU158" s="591">
        <v>0</v>
      </c>
      <c r="EV158" s="591">
        <v>0</v>
      </c>
      <c r="EW158" s="591">
        <v>0</v>
      </c>
      <c r="EX158" s="591">
        <v>0</v>
      </c>
      <c r="EY158" s="591">
        <v>0</v>
      </c>
      <c r="EZ158" s="591">
        <v>2954763</v>
      </c>
      <c r="FA158" s="591">
        <v>0</v>
      </c>
      <c r="FB158" s="591">
        <v>3104529</v>
      </c>
      <c r="FC158" s="591">
        <v>0</v>
      </c>
      <c r="FD158" s="591">
        <v>0</v>
      </c>
      <c r="FE158" s="591">
        <v>321455</v>
      </c>
      <c r="FF158" s="591">
        <v>65568</v>
      </c>
      <c r="FG158" s="591">
        <v>6.4728999999999995E-2</v>
      </c>
      <c r="FH158" s="591">
        <v>2.6405999999999999E-2</v>
      </c>
      <c r="FI158" s="591">
        <v>0</v>
      </c>
      <c r="FJ158" s="591">
        <v>0</v>
      </c>
      <c r="FK158" s="591">
        <v>503.87200000000001</v>
      </c>
      <c r="FL158" s="591">
        <v>3561747</v>
      </c>
      <c r="FM158" s="591">
        <v>0</v>
      </c>
      <c r="FN158" s="591">
        <v>0</v>
      </c>
      <c r="FO158" s="591">
        <v>0</v>
      </c>
      <c r="FP158" s="591">
        <v>0</v>
      </c>
      <c r="FQ158" s="591">
        <v>0</v>
      </c>
      <c r="FR158" s="591">
        <v>0</v>
      </c>
      <c r="FS158" s="591">
        <v>0</v>
      </c>
      <c r="FT158" s="591">
        <v>0</v>
      </c>
      <c r="FU158" s="591">
        <v>0</v>
      </c>
      <c r="FV158" s="591">
        <v>0</v>
      </c>
      <c r="FW158" s="591">
        <v>0</v>
      </c>
      <c r="FX158" s="591">
        <v>0</v>
      </c>
      <c r="FY158" s="591">
        <v>0</v>
      </c>
      <c r="FZ158" s="591">
        <v>0</v>
      </c>
      <c r="GA158" s="591">
        <v>0</v>
      </c>
      <c r="GB158" s="591">
        <v>194890</v>
      </c>
      <c r="GC158" s="591">
        <v>194890</v>
      </c>
      <c r="GD158" s="591">
        <v>23.439</v>
      </c>
      <c r="GE158" s="591">
        <v>0</v>
      </c>
      <c r="GF158" s="591">
        <v>0</v>
      </c>
      <c r="GG158" s="591">
        <v>0</v>
      </c>
      <c r="GH158" s="591">
        <v>0</v>
      </c>
      <c r="GI158" s="591">
        <v>0</v>
      </c>
      <c r="GJ158" s="591">
        <v>0</v>
      </c>
      <c r="GK158" s="591">
        <v>0</v>
      </c>
      <c r="GL158" s="591">
        <v>0</v>
      </c>
      <c r="GM158" s="591">
        <v>0</v>
      </c>
      <c r="GN158" s="591">
        <v>0</v>
      </c>
      <c r="GO158" s="591">
        <v>0</v>
      </c>
      <c r="GP158" s="591">
        <v>0</v>
      </c>
      <c r="GQ158" s="591">
        <v>0</v>
      </c>
      <c r="GR158" s="591">
        <v>0</v>
      </c>
      <c r="GS158" s="591">
        <v>0</v>
      </c>
      <c r="GT158" s="591">
        <v>0</v>
      </c>
      <c r="GU158" s="591">
        <v>0</v>
      </c>
      <c r="GV158" s="591">
        <v>0</v>
      </c>
      <c r="GW158" s="591">
        <v>0</v>
      </c>
      <c r="GX158" s="591">
        <v>0</v>
      </c>
      <c r="GY158" s="591">
        <v>0</v>
      </c>
      <c r="GZ158" s="591">
        <v>0</v>
      </c>
      <c r="HA158" s="591">
        <v>0</v>
      </c>
      <c r="HB158" s="591">
        <v>260009272</v>
      </c>
      <c r="HC158" s="591">
        <v>5.1774999999999995E-2</v>
      </c>
      <c r="HD158" s="591">
        <v>70195</v>
      </c>
      <c r="HE158" s="591">
        <v>0</v>
      </c>
      <c r="HF158" s="591">
        <v>397179</v>
      </c>
      <c r="HG158" s="591">
        <v>0</v>
      </c>
      <c r="HH158" s="591">
        <v>19093</v>
      </c>
      <c r="HI158" s="591">
        <v>0</v>
      </c>
      <c r="HJ158" s="591">
        <v>3765</v>
      </c>
      <c r="HK158" s="591">
        <v>796</v>
      </c>
      <c r="HL158" s="591">
        <v>816</v>
      </c>
      <c r="HM158" s="591">
        <v>0</v>
      </c>
      <c r="HN158" s="591">
        <v>0</v>
      </c>
      <c r="HO158" s="591">
        <v>0</v>
      </c>
      <c r="HP158" s="591">
        <v>0</v>
      </c>
      <c r="HQ158" s="591">
        <v>0</v>
      </c>
      <c r="HR158" s="591">
        <v>0</v>
      </c>
      <c r="HS158" s="591">
        <v>2954293</v>
      </c>
      <c r="HT158" s="591">
        <v>0</v>
      </c>
      <c r="HU158" s="591">
        <v>0</v>
      </c>
      <c r="HV158" s="591">
        <v>0</v>
      </c>
      <c r="HW158" s="591">
        <v>0</v>
      </c>
      <c r="HX158" s="591">
        <v>16</v>
      </c>
      <c r="HY158" s="591">
        <v>20</v>
      </c>
      <c r="HZ158" s="591">
        <v>20</v>
      </c>
      <c r="IA158" s="591">
        <v>18</v>
      </c>
      <c r="IB158" s="591">
        <v>21</v>
      </c>
      <c r="IC158" s="591">
        <v>84</v>
      </c>
      <c r="ID158" s="591">
        <v>0</v>
      </c>
      <c r="IE158" s="591">
        <v>0</v>
      </c>
      <c r="IF158" s="591">
        <v>0</v>
      </c>
      <c r="IG158" s="591">
        <v>0</v>
      </c>
      <c r="IH158" s="591">
        <v>31</v>
      </c>
      <c r="II158" s="591">
        <v>0</v>
      </c>
      <c r="IJ158" s="591">
        <v>6.258</v>
      </c>
      <c r="IK158" s="591">
        <v>0</v>
      </c>
      <c r="IL158" s="591">
        <v>0</v>
      </c>
      <c r="IM158" s="591">
        <v>0</v>
      </c>
      <c r="IN158" s="591">
        <v>0</v>
      </c>
      <c r="IO158" s="591">
        <v>0</v>
      </c>
      <c r="IP158" s="591">
        <v>0</v>
      </c>
      <c r="IQ158" s="591">
        <v>6.258</v>
      </c>
      <c r="IR158" s="591">
        <v>3854</v>
      </c>
      <c r="IS158" s="591">
        <v>0</v>
      </c>
      <c r="IT158" s="591">
        <v>0</v>
      </c>
      <c r="IU158" s="591">
        <v>0</v>
      </c>
      <c r="IV158" s="591">
        <v>0</v>
      </c>
      <c r="IW158" s="591">
        <v>6159</v>
      </c>
      <c r="IX158" s="591">
        <v>0</v>
      </c>
      <c r="IY158" s="591">
        <v>0</v>
      </c>
      <c r="IZ158" s="591">
        <v>0</v>
      </c>
      <c r="JA158" s="591">
        <v>0</v>
      </c>
      <c r="JB158" s="591">
        <v>0</v>
      </c>
      <c r="JC158" s="591">
        <v>0</v>
      </c>
      <c r="JD158" s="591">
        <v>0</v>
      </c>
      <c r="JE158" s="591">
        <v>0</v>
      </c>
      <c r="JF158" s="591">
        <v>0</v>
      </c>
      <c r="JG158" s="591">
        <v>0</v>
      </c>
      <c r="JH158" s="591">
        <v>0</v>
      </c>
      <c r="JI158" s="591">
        <v>0</v>
      </c>
      <c r="JJ158" s="591">
        <v>0</v>
      </c>
      <c r="JK158" s="591">
        <v>0</v>
      </c>
      <c r="JL158" s="591">
        <v>0</v>
      </c>
      <c r="JM158" s="591">
        <v>0</v>
      </c>
      <c r="JN158" s="591">
        <v>32469</v>
      </c>
    </row>
    <row r="159" spans="1:274" x14ac:dyDescent="0.25">
      <c r="A159" s="591">
        <v>32570</v>
      </c>
      <c r="B159" s="591">
        <v>220802</v>
      </c>
      <c r="C159" s="591">
        <v>9</v>
      </c>
      <c r="D159" s="591">
        <v>2022</v>
      </c>
      <c r="E159" s="591">
        <v>6159</v>
      </c>
      <c r="F159" s="591">
        <v>0</v>
      </c>
      <c r="G159" s="591">
        <v>1529.105</v>
      </c>
      <c r="H159" s="591">
        <v>1508.5130000000001</v>
      </c>
      <c r="I159" s="591">
        <v>1508.5130000000001</v>
      </c>
      <c r="J159" s="591">
        <v>1529.105</v>
      </c>
      <c r="K159" s="591">
        <v>0</v>
      </c>
      <c r="L159" s="591">
        <v>6159</v>
      </c>
      <c r="M159" s="591">
        <v>0</v>
      </c>
      <c r="N159" s="591">
        <v>0</v>
      </c>
      <c r="O159" s="591">
        <v>0</v>
      </c>
      <c r="P159" s="591">
        <v>1495.9</v>
      </c>
      <c r="Q159" s="591">
        <v>0</v>
      </c>
      <c r="R159" s="591">
        <v>601992</v>
      </c>
      <c r="S159" s="591">
        <v>402.428</v>
      </c>
      <c r="T159" s="591">
        <v>0</v>
      </c>
      <c r="U159" s="591">
        <v>0</v>
      </c>
      <c r="V159" s="591">
        <v>86.052999999999997</v>
      </c>
      <c r="W159" s="591">
        <v>53001</v>
      </c>
      <c r="X159" s="591">
        <v>53001</v>
      </c>
      <c r="Y159" s="591">
        <v>0</v>
      </c>
      <c r="Z159" s="591">
        <v>0</v>
      </c>
      <c r="AA159" s="591">
        <v>0</v>
      </c>
      <c r="AB159" s="591">
        <v>0</v>
      </c>
      <c r="AC159" s="591">
        <v>0</v>
      </c>
      <c r="AD159" s="591" t="s">
        <v>316</v>
      </c>
      <c r="AE159" s="591">
        <v>0</v>
      </c>
      <c r="AF159" s="591">
        <v>0</v>
      </c>
      <c r="AG159" s="591">
        <v>0</v>
      </c>
      <c r="AH159" s="591">
        <v>0</v>
      </c>
      <c r="AI159" s="591">
        <v>0</v>
      </c>
      <c r="AJ159" s="591">
        <v>6159</v>
      </c>
      <c r="AK159" s="591" t="s">
        <v>671</v>
      </c>
      <c r="AL159" s="591" t="s">
        <v>77</v>
      </c>
      <c r="AM159" s="591">
        <v>0</v>
      </c>
      <c r="AN159" s="591">
        <v>0</v>
      </c>
      <c r="AO159" s="591">
        <v>0</v>
      </c>
      <c r="AP159" s="591">
        <v>0</v>
      </c>
      <c r="AQ159" s="591">
        <v>0</v>
      </c>
      <c r="AR159" s="591">
        <v>0</v>
      </c>
      <c r="AS159" s="591">
        <v>0</v>
      </c>
      <c r="AT159" s="591">
        <v>0</v>
      </c>
      <c r="AU159" s="591">
        <v>0</v>
      </c>
      <c r="AV159" s="591">
        <v>0</v>
      </c>
      <c r="AW159" s="591">
        <v>13280962</v>
      </c>
      <c r="AX159" s="591">
        <v>13005577</v>
      </c>
      <c r="AY159" s="591">
        <v>0</v>
      </c>
      <c r="AZ159" s="591">
        <v>601992</v>
      </c>
      <c r="BA159" s="591">
        <v>0</v>
      </c>
      <c r="BB159" s="591">
        <v>0</v>
      </c>
      <c r="BC159" s="591">
        <v>0</v>
      </c>
      <c r="BD159" s="591">
        <v>0</v>
      </c>
      <c r="BE159" s="591">
        <v>174</v>
      </c>
      <c r="BF159" s="591">
        <v>12098362</v>
      </c>
      <c r="BG159" s="591">
        <v>0</v>
      </c>
      <c r="BH159" s="591">
        <v>0</v>
      </c>
      <c r="BI159" s="591">
        <v>0</v>
      </c>
      <c r="BJ159" s="591">
        <v>12</v>
      </c>
      <c r="BK159" s="591">
        <v>0</v>
      </c>
      <c r="BL159" s="591">
        <v>0</v>
      </c>
      <c r="BM159" s="591">
        <v>0</v>
      </c>
      <c r="BN159" s="591">
        <v>0</v>
      </c>
      <c r="BO159" s="591">
        <v>0</v>
      </c>
      <c r="BP159" s="591">
        <v>0</v>
      </c>
      <c r="BQ159" s="591">
        <v>538</v>
      </c>
      <c r="BR159" s="591">
        <v>0</v>
      </c>
      <c r="BS159" s="591">
        <v>0</v>
      </c>
      <c r="BT159" s="591">
        <v>0</v>
      </c>
      <c r="BU159" s="591">
        <v>0</v>
      </c>
      <c r="BV159" s="591">
        <v>0</v>
      </c>
      <c r="BW159" s="591">
        <v>0</v>
      </c>
      <c r="BX159" s="591">
        <v>0</v>
      </c>
      <c r="BY159" s="591">
        <v>0</v>
      </c>
      <c r="BZ159" s="591">
        <v>0</v>
      </c>
      <c r="CA159" s="591">
        <v>0</v>
      </c>
      <c r="CB159" s="591">
        <v>0</v>
      </c>
      <c r="CC159" s="591">
        <v>0</v>
      </c>
      <c r="CD159" s="591">
        <v>0</v>
      </c>
      <c r="CE159" s="591">
        <v>0</v>
      </c>
      <c r="CF159" s="591">
        <v>0</v>
      </c>
      <c r="CG159" s="591">
        <v>0</v>
      </c>
      <c r="CH159" s="591">
        <v>277090</v>
      </c>
      <c r="CI159" s="591">
        <v>0</v>
      </c>
      <c r="CJ159" s="591">
        <v>4</v>
      </c>
      <c r="CK159" s="591">
        <v>0</v>
      </c>
      <c r="CL159" s="591">
        <v>0</v>
      </c>
      <c r="CM159" s="591">
        <v>0</v>
      </c>
      <c r="CN159" s="591">
        <v>0</v>
      </c>
      <c r="CO159" s="591">
        <v>1</v>
      </c>
      <c r="CP159" s="591">
        <v>0</v>
      </c>
      <c r="CQ159" s="591">
        <v>0</v>
      </c>
      <c r="CR159" s="591">
        <v>1529.105</v>
      </c>
      <c r="CS159" s="591">
        <v>0</v>
      </c>
      <c r="CT159" s="591">
        <v>0</v>
      </c>
      <c r="CU159" s="591">
        <v>0</v>
      </c>
      <c r="CV159" s="591">
        <v>0</v>
      </c>
      <c r="CW159" s="591">
        <v>0</v>
      </c>
      <c r="CX159" s="591">
        <v>0</v>
      </c>
      <c r="CY159" s="591">
        <v>0</v>
      </c>
      <c r="CZ159" s="591">
        <v>0</v>
      </c>
      <c r="DA159" s="591">
        <v>0</v>
      </c>
      <c r="DB159" s="591">
        <v>9291056</v>
      </c>
      <c r="DC159" s="591">
        <v>0</v>
      </c>
      <c r="DD159" s="591">
        <v>0</v>
      </c>
      <c r="DE159" s="591">
        <v>475481</v>
      </c>
      <c r="DF159" s="591">
        <v>475481</v>
      </c>
      <c r="DG159" s="591">
        <v>77.2</v>
      </c>
      <c r="DH159" s="591">
        <v>0</v>
      </c>
      <c r="DI159" s="591">
        <v>0</v>
      </c>
      <c r="DJ159" s="591">
        <v>0</v>
      </c>
      <c r="DK159" s="591">
        <v>225</v>
      </c>
      <c r="DL159" s="591">
        <v>0</v>
      </c>
      <c r="DM159" s="591">
        <v>401314</v>
      </c>
      <c r="DN159" s="591">
        <v>1531</v>
      </c>
      <c r="DO159" s="591">
        <v>0</v>
      </c>
      <c r="DP159" s="591">
        <v>0</v>
      </c>
      <c r="DQ159" s="591">
        <v>0</v>
      </c>
      <c r="DR159" s="591">
        <v>0</v>
      </c>
      <c r="DS159" s="591">
        <v>0</v>
      </c>
      <c r="DT159" s="591">
        <v>0</v>
      </c>
      <c r="DU159" s="591">
        <v>0</v>
      </c>
      <c r="DV159" s="591">
        <v>0</v>
      </c>
      <c r="DW159" s="591">
        <v>0</v>
      </c>
      <c r="DX159" s="591">
        <v>0</v>
      </c>
      <c r="DY159" s="591">
        <v>0</v>
      </c>
      <c r="DZ159" s="591">
        <v>0</v>
      </c>
      <c r="EA159" s="591">
        <v>0</v>
      </c>
      <c r="EB159" s="591">
        <v>0</v>
      </c>
      <c r="EC159" s="591">
        <v>25.685000000000002</v>
      </c>
      <c r="ED159" s="591">
        <v>181925</v>
      </c>
      <c r="EE159" s="591">
        <v>0</v>
      </c>
      <c r="EF159" s="591">
        <v>0</v>
      </c>
      <c r="EG159" s="591">
        <v>0</v>
      </c>
      <c r="EH159" s="591">
        <v>220920</v>
      </c>
      <c r="EI159" s="591">
        <v>0</v>
      </c>
      <c r="EJ159" s="591">
        <v>0</v>
      </c>
      <c r="EK159" s="591">
        <v>10.008000000000001</v>
      </c>
      <c r="EL159" s="591">
        <v>0</v>
      </c>
      <c r="EM159" s="591">
        <v>0</v>
      </c>
      <c r="EN159" s="591">
        <v>1.169</v>
      </c>
      <c r="EO159" s="591">
        <v>0</v>
      </c>
      <c r="EP159" s="591">
        <v>0</v>
      </c>
      <c r="EQ159" s="591">
        <v>11.177000000000001</v>
      </c>
      <c r="ER159" s="591">
        <v>0</v>
      </c>
      <c r="ES159" s="591">
        <v>35.869</v>
      </c>
      <c r="ET159" s="591">
        <v>0</v>
      </c>
      <c r="EU159" s="591">
        <v>0</v>
      </c>
      <c r="EV159" s="591">
        <v>0</v>
      </c>
      <c r="EW159" s="591">
        <v>0</v>
      </c>
      <c r="EX159" s="591">
        <v>0</v>
      </c>
      <c r="EY159" s="591">
        <v>0</v>
      </c>
      <c r="EZ159" s="591">
        <v>11496793</v>
      </c>
      <c r="FA159" s="591">
        <v>0</v>
      </c>
      <c r="FB159" s="591">
        <v>12097080</v>
      </c>
      <c r="FC159" s="591">
        <v>0</v>
      </c>
      <c r="FD159" s="591">
        <v>0</v>
      </c>
      <c r="FE159" s="591">
        <v>1253170</v>
      </c>
      <c r="FF159" s="591">
        <v>255614</v>
      </c>
      <c r="FG159" s="591">
        <v>6.4728999999999995E-2</v>
      </c>
      <c r="FH159" s="591">
        <v>2.6405999999999999E-2</v>
      </c>
      <c r="FI159" s="591">
        <v>0</v>
      </c>
      <c r="FJ159" s="591">
        <v>0</v>
      </c>
      <c r="FK159" s="591">
        <v>1964.3120000000001</v>
      </c>
      <c r="FL159" s="591">
        <v>13882954</v>
      </c>
      <c r="FM159" s="591">
        <v>0</v>
      </c>
      <c r="FN159" s="591">
        <v>0</v>
      </c>
      <c r="FO159" s="591">
        <v>0</v>
      </c>
      <c r="FP159" s="591">
        <v>0</v>
      </c>
      <c r="FQ159" s="591">
        <v>0</v>
      </c>
      <c r="FR159" s="591">
        <v>0</v>
      </c>
      <c r="FS159" s="591">
        <v>0</v>
      </c>
      <c r="FT159" s="591">
        <v>0</v>
      </c>
      <c r="FU159" s="591">
        <v>0</v>
      </c>
      <c r="FV159" s="591">
        <v>0</v>
      </c>
      <c r="FW159" s="591">
        <v>0</v>
      </c>
      <c r="FX159" s="591">
        <v>0</v>
      </c>
      <c r="FY159" s="591">
        <v>0</v>
      </c>
      <c r="FZ159" s="591">
        <v>0</v>
      </c>
      <c r="GA159" s="591">
        <v>0</v>
      </c>
      <c r="GB159" s="591">
        <v>78283</v>
      </c>
      <c r="GC159" s="591">
        <v>78283</v>
      </c>
      <c r="GD159" s="591">
        <v>9.4150000000000009</v>
      </c>
      <c r="GE159" s="591">
        <v>0</v>
      </c>
      <c r="GF159" s="591">
        <v>0</v>
      </c>
      <c r="GG159" s="591">
        <v>0</v>
      </c>
      <c r="GH159" s="591">
        <v>0</v>
      </c>
      <c r="GI159" s="591">
        <v>0</v>
      </c>
      <c r="GJ159" s="591">
        <v>0</v>
      </c>
      <c r="GK159" s="591">
        <v>0</v>
      </c>
      <c r="GL159" s="591">
        <v>0</v>
      </c>
      <c r="GM159" s="591">
        <v>0</v>
      </c>
      <c r="GN159" s="591">
        <v>0</v>
      </c>
      <c r="GO159" s="591">
        <v>0</v>
      </c>
      <c r="GP159" s="591">
        <v>0</v>
      </c>
      <c r="GQ159" s="591">
        <v>0</v>
      </c>
      <c r="GR159" s="591">
        <v>0</v>
      </c>
      <c r="GS159" s="591">
        <v>0</v>
      </c>
      <c r="GT159" s="591">
        <v>0</v>
      </c>
      <c r="GU159" s="591">
        <v>0</v>
      </c>
      <c r="GV159" s="591">
        <v>0</v>
      </c>
      <c r="GW159" s="591">
        <v>0</v>
      </c>
      <c r="GX159" s="591">
        <v>0</v>
      </c>
      <c r="GY159" s="591">
        <v>0</v>
      </c>
      <c r="GZ159" s="591">
        <v>0</v>
      </c>
      <c r="HA159" s="591">
        <v>0</v>
      </c>
      <c r="HB159" s="591">
        <v>260009272</v>
      </c>
      <c r="HC159" s="591">
        <v>5.1774999999999995E-2</v>
      </c>
      <c r="HD159" s="591">
        <v>277090</v>
      </c>
      <c r="HE159" s="591">
        <v>0</v>
      </c>
      <c r="HF159" s="591">
        <v>1657856</v>
      </c>
      <c r="HG159" s="591">
        <v>14114</v>
      </c>
      <c r="HH159" s="591">
        <v>110863</v>
      </c>
      <c r="HI159" s="591">
        <v>0</v>
      </c>
      <c r="HJ159" s="591">
        <v>14863</v>
      </c>
      <c r="HK159" s="591">
        <v>0</v>
      </c>
      <c r="HL159" s="591">
        <v>423</v>
      </c>
      <c r="HM159" s="591">
        <v>0</v>
      </c>
      <c r="HN159" s="591">
        <v>0</v>
      </c>
      <c r="HO159" s="591">
        <v>0</v>
      </c>
      <c r="HP159" s="591">
        <v>0</v>
      </c>
      <c r="HQ159" s="591">
        <v>0</v>
      </c>
      <c r="HR159" s="591">
        <v>0</v>
      </c>
      <c r="HS159" s="591">
        <v>11495088</v>
      </c>
      <c r="HT159" s="591">
        <v>0</v>
      </c>
      <c r="HU159" s="591">
        <v>0</v>
      </c>
      <c r="HV159" s="591">
        <v>0</v>
      </c>
      <c r="HW159" s="591">
        <v>0</v>
      </c>
      <c r="HX159" s="591">
        <v>93</v>
      </c>
      <c r="HY159" s="591">
        <v>67</v>
      </c>
      <c r="HZ159" s="591">
        <v>58</v>
      </c>
      <c r="IA159" s="591">
        <v>65</v>
      </c>
      <c r="IB159" s="591">
        <v>32</v>
      </c>
      <c r="IC159" s="591">
        <v>317</v>
      </c>
      <c r="ID159" s="591">
        <v>0</v>
      </c>
      <c r="IE159" s="591">
        <v>0</v>
      </c>
      <c r="IF159" s="591">
        <v>0</v>
      </c>
      <c r="IG159" s="591">
        <v>22.915000000000003</v>
      </c>
      <c r="IH159" s="591">
        <v>180</v>
      </c>
      <c r="II159" s="591">
        <v>0</v>
      </c>
      <c r="IJ159" s="591">
        <v>86.052999999999997</v>
      </c>
      <c r="IK159" s="591">
        <v>0</v>
      </c>
      <c r="IL159" s="591">
        <v>0</v>
      </c>
      <c r="IM159" s="591">
        <v>0</v>
      </c>
      <c r="IN159" s="591">
        <v>0</v>
      </c>
      <c r="IO159" s="591">
        <v>0</v>
      </c>
      <c r="IP159" s="591">
        <v>0</v>
      </c>
      <c r="IQ159" s="591">
        <v>86.052999999999997</v>
      </c>
      <c r="IR159" s="591">
        <v>53001</v>
      </c>
      <c r="IS159" s="591">
        <v>0</v>
      </c>
      <c r="IT159" s="591">
        <v>0</v>
      </c>
      <c r="IU159" s="591">
        <v>0</v>
      </c>
      <c r="IV159" s="591">
        <v>0</v>
      </c>
      <c r="IW159" s="591">
        <v>6159</v>
      </c>
      <c r="IX159" s="591">
        <v>0</v>
      </c>
      <c r="IY159" s="591">
        <v>0</v>
      </c>
      <c r="IZ159" s="591">
        <v>0</v>
      </c>
      <c r="JA159" s="591">
        <v>0</v>
      </c>
      <c r="JB159" s="591">
        <v>0</v>
      </c>
      <c r="JC159" s="591">
        <v>0</v>
      </c>
      <c r="JD159" s="591">
        <v>0</v>
      </c>
      <c r="JE159" s="591">
        <v>0</v>
      </c>
      <c r="JF159" s="591">
        <v>0</v>
      </c>
      <c r="JG159" s="591">
        <v>0</v>
      </c>
      <c r="JH159" s="591">
        <v>0</v>
      </c>
      <c r="JI159" s="591">
        <v>0</v>
      </c>
      <c r="JJ159" s="591">
        <v>0</v>
      </c>
      <c r="JK159" s="591">
        <v>0</v>
      </c>
      <c r="JL159" s="591">
        <v>0</v>
      </c>
      <c r="JM159" s="591">
        <v>0</v>
      </c>
      <c r="JN159" s="591">
        <v>32469</v>
      </c>
    </row>
    <row r="160" spans="1:274" x14ac:dyDescent="0.25">
      <c r="A160" s="591">
        <v>32570</v>
      </c>
      <c r="B160" s="591">
        <v>220809</v>
      </c>
      <c r="C160" s="591">
        <v>9</v>
      </c>
      <c r="D160" s="591">
        <v>2022</v>
      </c>
      <c r="E160" s="591">
        <v>6159</v>
      </c>
      <c r="F160" s="591">
        <v>0</v>
      </c>
      <c r="G160" s="591">
        <v>611.41700000000003</v>
      </c>
      <c r="H160" s="591">
        <v>577.18799999999999</v>
      </c>
      <c r="I160" s="591">
        <v>577.18799999999999</v>
      </c>
      <c r="J160" s="591">
        <v>611.41700000000003</v>
      </c>
      <c r="K160" s="591">
        <v>0</v>
      </c>
      <c r="L160" s="591">
        <v>6159</v>
      </c>
      <c r="M160" s="591">
        <v>0</v>
      </c>
      <c r="N160" s="591">
        <v>0</v>
      </c>
      <c r="O160" s="591">
        <v>0</v>
      </c>
      <c r="P160" s="591">
        <v>608.03</v>
      </c>
      <c r="Q160" s="591">
        <v>0</v>
      </c>
      <c r="R160" s="591">
        <v>244688</v>
      </c>
      <c r="S160" s="591">
        <v>402.428</v>
      </c>
      <c r="T160" s="591">
        <v>0</v>
      </c>
      <c r="U160" s="591">
        <v>0</v>
      </c>
      <c r="V160" s="591">
        <v>17.253</v>
      </c>
      <c r="W160" s="591">
        <v>10626</v>
      </c>
      <c r="X160" s="591">
        <v>10626</v>
      </c>
      <c r="Y160" s="591">
        <v>0</v>
      </c>
      <c r="Z160" s="591">
        <v>0</v>
      </c>
      <c r="AA160" s="591">
        <v>0</v>
      </c>
      <c r="AB160" s="591">
        <v>0</v>
      </c>
      <c r="AC160" s="591">
        <v>0</v>
      </c>
      <c r="AD160" s="591" t="s">
        <v>316</v>
      </c>
      <c r="AE160" s="591">
        <v>0</v>
      </c>
      <c r="AF160" s="591">
        <v>0</v>
      </c>
      <c r="AG160" s="591">
        <v>0</v>
      </c>
      <c r="AH160" s="591">
        <v>0</v>
      </c>
      <c r="AI160" s="591">
        <v>0</v>
      </c>
      <c r="AJ160" s="591">
        <v>6159</v>
      </c>
      <c r="AK160" s="591" t="s">
        <v>671</v>
      </c>
      <c r="AL160" s="591" t="s">
        <v>78</v>
      </c>
      <c r="AM160" s="591">
        <v>0</v>
      </c>
      <c r="AN160" s="591">
        <v>0</v>
      </c>
      <c r="AO160" s="591">
        <v>0</v>
      </c>
      <c r="AP160" s="591">
        <v>0</v>
      </c>
      <c r="AQ160" s="591">
        <v>0</v>
      </c>
      <c r="AR160" s="591">
        <v>0</v>
      </c>
      <c r="AS160" s="591">
        <v>0</v>
      </c>
      <c r="AT160" s="591">
        <v>0</v>
      </c>
      <c r="AU160" s="591">
        <v>0</v>
      </c>
      <c r="AV160" s="591">
        <v>0</v>
      </c>
      <c r="AW160" s="591">
        <v>5343305</v>
      </c>
      <c r="AX160" s="591">
        <v>5233421</v>
      </c>
      <c r="AY160" s="591">
        <v>0</v>
      </c>
      <c r="AZ160" s="591">
        <v>244688</v>
      </c>
      <c r="BA160" s="591">
        <v>0</v>
      </c>
      <c r="BB160" s="591">
        <v>0</v>
      </c>
      <c r="BC160" s="591">
        <v>0</v>
      </c>
      <c r="BD160" s="591">
        <v>0</v>
      </c>
      <c r="BE160" s="591">
        <v>70</v>
      </c>
      <c r="BF160" s="591">
        <v>4867093</v>
      </c>
      <c r="BG160" s="591">
        <v>0</v>
      </c>
      <c r="BH160" s="591">
        <v>0</v>
      </c>
      <c r="BI160" s="591">
        <v>0</v>
      </c>
      <c r="BJ160" s="591">
        <v>12</v>
      </c>
      <c r="BK160" s="591">
        <v>0</v>
      </c>
      <c r="BL160" s="591">
        <v>0</v>
      </c>
      <c r="BM160" s="591">
        <v>0</v>
      </c>
      <c r="BN160" s="591">
        <v>0</v>
      </c>
      <c r="BO160" s="591">
        <v>0</v>
      </c>
      <c r="BP160" s="591">
        <v>0</v>
      </c>
      <c r="BQ160" s="591">
        <v>681</v>
      </c>
      <c r="BR160" s="591">
        <v>0</v>
      </c>
      <c r="BS160" s="591">
        <v>0</v>
      </c>
      <c r="BT160" s="591">
        <v>0</v>
      </c>
      <c r="BU160" s="591">
        <v>0</v>
      </c>
      <c r="BV160" s="591">
        <v>0</v>
      </c>
      <c r="BW160" s="591">
        <v>0</v>
      </c>
      <c r="BX160" s="591">
        <v>0</v>
      </c>
      <c r="BY160" s="591">
        <v>0</v>
      </c>
      <c r="BZ160" s="591">
        <v>0</v>
      </c>
      <c r="CA160" s="591">
        <v>0</v>
      </c>
      <c r="CB160" s="591">
        <v>0</v>
      </c>
      <c r="CC160" s="591">
        <v>0</v>
      </c>
      <c r="CD160" s="591">
        <v>0</v>
      </c>
      <c r="CE160" s="591">
        <v>0</v>
      </c>
      <c r="CF160" s="591">
        <v>0</v>
      </c>
      <c r="CG160" s="591">
        <v>0</v>
      </c>
      <c r="CH160" s="591">
        <v>110795</v>
      </c>
      <c r="CI160" s="591">
        <v>0</v>
      </c>
      <c r="CJ160" s="591">
        <v>4</v>
      </c>
      <c r="CK160" s="591">
        <v>0</v>
      </c>
      <c r="CL160" s="591">
        <v>0</v>
      </c>
      <c r="CM160" s="591">
        <v>0</v>
      </c>
      <c r="CN160" s="591">
        <v>0</v>
      </c>
      <c r="CO160" s="591">
        <v>1</v>
      </c>
      <c r="CP160" s="591">
        <v>0</v>
      </c>
      <c r="CQ160" s="591">
        <v>0</v>
      </c>
      <c r="CR160" s="591">
        <v>611.41700000000003</v>
      </c>
      <c r="CS160" s="591">
        <v>0</v>
      </c>
      <c r="CT160" s="591">
        <v>0</v>
      </c>
      <c r="CU160" s="591">
        <v>0</v>
      </c>
      <c r="CV160" s="591">
        <v>0</v>
      </c>
      <c r="CW160" s="591">
        <v>0</v>
      </c>
      <c r="CX160" s="591">
        <v>0</v>
      </c>
      <c r="CY160" s="591">
        <v>0</v>
      </c>
      <c r="CZ160" s="591">
        <v>0</v>
      </c>
      <c r="DA160" s="591">
        <v>0</v>
      </c>
      <c r="DB160" s="591">
        <v>3554948</v>
      </c>
      <c r="DC160" s="591">
        <v>0</v>
      </c>
      <c r="DD160" s="591">
        <v>0</v>
      </c>
      <c r="DE160" s="591">
        <v>136655</v>
      </c>
      <c r="DF160" s="591">
        <v>136655</v>
      </c>
      <c r="DG160" s="591">
        <v>22.188000000000002</v>
      </c>
      <c r="DH160" s="591">
        <v>0</v>
      </c>
      <c r="DI160" s="591">
        <v>0</v>
      </c>
      <c r="DJ160" s="591">
        <v>0</v>
      </c>
      <c r="DK160" s="591">
        <v>2520</v>
      </c>
      <c r="DL160" s="591">
        <v>0</v>
      </c>
      <c r="DM160" s="591">
        <v>220310</v>
      </c>
      <c r="DN160" s="591">
        <v>841</v>
      </c>
      <c r="DO160" s="591">
        <v>0</v>
      </c>
      <c r="DP160" s="591">
        <v>0</v>
      </c>
      <c r="DQ160" s="591">
        <v>0</v>
      </c>
      <c r="DR160" s="591">
        <v>0</v>
      </c>
      <c r="DS160" s="591">
        <v>0</v>
      </c>
      <c r="DT160" s="591">
        <v>0</v>
      </c>
      <c r="DU160" s="591">
        <v>0</v>
      </c>
      <c r="DV160" s="591">
        <v>0</v>
      </c>
      <c r="DW160" s="591">
        <v>0</v>
      </c>
      <c r="DX160" s="591">
        <v>0</v>
      </c>
      <c r="DY160" s="591">
        <v>0</v>
      </c>
      <c r="DZ160" s="591">
        <v>0</v>
      </c>
      <c r="EA160" s="591">
        <v>0</v>
      </c>
      <c r="EB160" s="591">
        <v>0</v>
      </c>
      <c r="EC160" s="591">
        <v>12.057</v>
      </c>
      <c r="ED160" s="591">
        <v>85399</v>
      </c>
      <c r="EE160" s="591">
        <v>0</v>
      </c>
      <c r="EF160" s="591">
        <v>0</v>
      </c>
      <c r="EG160" s="591">
        <v>0</v>
      </c>
      <c r="EH160" s="591">
        <v>135752</v>
      </c>
      <c r="EI160" s="591">
        <v>0</v>
      </c>
      <c r="EJ160" s="591">
        <v>0</v>
      </c>
      <c r="EK160" s="591">
        <v>6.7210000000000001</v>
      </c>
      <c r="EL160" s="591">
        <v>0</v>
      </c>
      <c r="EM160" s="591">
        <v>0.221</v>
      </c>
      <c r="EN160" s="591">
        <v>0.24300000000000002</v>
      </c>
      <c r="EO160" s="591">
        <v>0</v>
      </c>
      <c r="EP160" s="591">
        <v>0</v>
      </c>
      <c r="EQ160" s="591">
        <v>7.1850000000000005</v>
      </c>
      <c r="ER160" s="591">
        <v>0</v>
      </c>
      <c r="ES160" s="591">
        <v>22.041</v>
      </c>
      <c r="ET160" s="591">
        <v>0</v>
      </c>
      <c r="EU160" s="591">
        <v>0</v>
      </c>
      <c r="EV160" s="591">
        <v>0</v>
      </c>
      <c r="EW160" s="591">
        <v>0</v>
      </c>
      <c r="EX160" s="591">
        <v>0</v>
      </c>
      <c r="EY160" s="591">
        <v>0</v>
      </c>
      <c r="EZ160" s="591">
        <v>4626447</v>
      </c>
      <c r="FA160" s="591">
        <v>0</v>
      </c>
      <c r="FB160" s="591">
        <v>4870224</v>
      </c>
      <c r="FC160" s="591">
        <v>0</v>
      </c>
      <c r="FD160" s="591">
        <v>0</v>
      </c>
      <c r="FE160" s="591">
        <v>504142</v>
      </c>
      <c r="FF160" s="591">
        <v>102832</v>
      </c>
      <c r="FG160" s="591">
        <v>6.4728999999999995E-2</v>
      </c>
      <c r="FH160" s="591">
        <v>2.6405999999999999E-2</v>
      </c>
      <c r="FI160" s="591">
        <v>0</v>
      </c>
      <c r="FJ160" s="591">
        <v>0</v>
      </c>
      <c r="FK160" s="591">
        <v>790.23</v>
      </c>
      <c r="FL160" s="591">
        <v>5587993</v>
      </c>
      <c r="FM160" s="591">
        <v>0</v>
      </c>
      <c r="FN160" s="591">
        <v>0</v>
      </c>
      <c r="FO160" s="591">
        <v>0</v>
      </c>
      <c r="FP160" s="591">
        <v>0</v>
      </c>
      <c r="FQ160" s="591">
        <v>0</v>
      </c>
      <c r="FR160" s="591">
        <v>0</v>
      </c>
      <c r="FS160" s="591">
        <v>0</v>
      </c>
      <c r="FT160" s="591">
        <v>0</v>
      </c>
      <c r="FU160" s="591">
        <v>0</v>
      </c>
      <c r="FV160" s="591">
        <v>0</v>
      </c>
      <c r="FW160" s="591">
        <v>0</v>
      </c>
      <c r="FX160" s="591">
        <v>0</v>
      </c>
      <c r="FY160" s="591">
        <v>0</v>
      </c>
      <c r="FZ160" s="591">
        <v>0</v>
      </c>
      <c r="GA160" s="591">
        <v>0</v>
      </c>
      <c r="GB160" s="591">
        <v>224864</v>
      </c>
      <c r="GC160" s="591">
        <v>224864</v>
      </c>
      <c r="GD160" s="591">
        <v>27.044</v>
      </c>
      <c r="GE160" s="591">
        <v>0</v>
      </c>
      <c r="GF160" s="591">
        <v>0</v>
      </c>
      <c r="GG160" s="591">
        <v>0</v>
      </c>
      <c r="GH160" s="591">
        <v>0</v>
      </c>
      <c r="GI160" s="591">
        <v>0</v>
      </c>
      <c r="GJ160" s="591">
        <v>0</v>
      </c>
      <c r="GK160" s="591">
        <v>0</v>
      </c>
      <c r="GL160" s="591">
        <v>0</v>
      </c>
      <c r="GM160" s="591">
        <v>0</v>
      </c>
      <c r="GN160" s="591">
        <v>0</v>
      </c>
      <c r="GO160" s="591">
        <v>0</v>
      </c>
      <c r="GP160" s="591">
        <v>0</v>
      </c>
      <c r="GQ160" s="591">
        <v>0</v>
      </c>
      <c r="GR160" s="591">
        <v>0</v>
      </c>
      <c r="GS160" s="591">
        <v>0</v>
      </c>
      <c r="GT160" s="591">
        <v>0</v>
      </c>
      <c r="GU160" s="591">
        <v>0</v>
      </c>
      <c r="GV160" s="591">
        <v>0</v>
      </c>
      <c r="GW160" s="591">
        <v>0</v>
      </c>
      <c r="GX160" s="591">
        <v>0</v>
      </c>
      <c r="GY160" s="591">
        <v>0</v>
      </c>
      <c r="GZ160" s="591">
        <v>0</v>
      </c>
      <c r="HA160" s="591">
        <v>0</v>
      </c>
      <c r="HB160" s="591">
        <v>260009272</v>
      </c>
      <c r="HC160" s="591">
        <v>5.1774999999999995E-2</v>
      </c>
      <c r="HD160" s="591">
        <v>110795</v>
      </c>
      <c r="HE160" s="591">
        <v>0</v>
      </c>
      <c r="HF160" s="591">
        <v>634330</v>
      </c>
      <c r="HG160" s="591">
        <v>10265</v>
      </c>
      <c r="HH160" s="591">
        <v>4311</v>
      </c>
      <c r="HI160" s="591">
        <v>0</v>
      </c>
      <c r="HJ160" s="591">
        <v>5943</v>
      </c>
      <c r="HK160" s="591">
        <v>2389</v>
      </c>
      <c r="HL160" s="591">
        <v>1653</v>
      </c>
      <c r="HM160" s="591">
        <v>64000</v>
      </c>
      <c r="HN160" s="591">
        <v>0</v>
      </c>
      <c r="HO160" s="591">
        <v>0</v>
      </c>
      <c r="HP160" s="591">
        <v>0</v>
      </c>
      <c r="HQ160" s="591">
        <v>0</v>
      </c>
      <c r="HR160" s="591">
        <v>0</v>
      </c>
      <c r="HS160" s="591">
        <v>4625536</v>
      </c>
      <c r="HT160" s="591">
        <v>0</v>
      </c>
      <c r="HU160" s="591">
        <v>0</v>
      </c>
      <c r="HV160" s="591">
        <v>0</v>
      </c>
      <c r="HW160" s="591">
        <v>0</v>
      </c>
      <c r="HX160" s="591">
        <v>27</v>
      </c>
      <c r="HY160" s="591">
        <v>17</v>
      </c>
      <c r="HZ160" s="591">
        <v>13</v>
      </c>
      <c r="IA160" s="591">
        <v>20</v>
      </c>
      <c r="IB160" s="591">
        <v>13</v>
      </c>
      <c r="IC160" s="591">
        <v>90</v>
      </c>
      <c r="ID160" s="591">
        <v>0</v>
      </c>
      <c r="IE160" s="591">
        <v>0</v>
      </c>
      <c r="IF160" s="591">
        <v>0</v>
      </c>
      <c r="IG160" s="591">
        <v>16.666</v>
      </c>
      <c r="IH160" s="591">
        <v>7</v>
      </c>
      <c r="II160" s="591">
        <v>0</v>
      </c>
      <c r="IJ160" s="591">
        <v>17.253</v>
      </c>
      <c r="IK160" s="591">
        <v>0</v>
      </c>
      <c r="IL160" s="591">
        <v>2</v>
      </c>
      <c r="IM160" s="591">
        <v>18</v>
      </c>
      <c r="IN160" s="591">
        <v>0</v>
      </c>
      <c r="IO160" s="591">
        <v>20</v>
      </c>
      <c r="IP160" s="591">
        <v>0</v>
      </c>
      <c r="IQ160" s="591">
        <v>17.253</v>
      </c>
      <c r="IR160" s="591">
        <v>10626</v>
      </c>
      <c r="IS160" s="591">
        <v>0</v>
      </c>
      <c r="IT160" s="591">
        <v>10000</v>
      </c>
      <c r="IU160" s="591">
        <v>54000</v>
      </c>
      <c r="IV160" s="591">
        <v>0</v>
      </c>
      <c r="IW160" s="591">
        <v>6159</v>
      </c>
      <c r="IX160" s="591">
        <v>0</v>
      </c>
      <c r="IY160" s="591">
        <v>0</v>
      </c>
      <c r="IZ160" s="591">
        <v>0</v>
      </c>
      <c r="JA160" s="591">
        <v>0</v>
      </c>
      <c r="JB160" s="591">
        <v>0</v>
      </c>
      <c r="JC160" s="591">
        <v>0</v>
      </c>
      <c r="JD160" s="591">
        <v>0</v>
      </c>
      <c r="JE160" s="591">
        <v>0</v>
      </c>
      <c r="JF160" s="591">
        <v>0</v>
      </c>
      <c r="JG160" s="591">
        <v>0</v>
      </c>
      <c r="JH160" s="591">
        <v>0</v>
      </c>
      <c r="JI160" s="591">
        <v>0</v>
      </c>
      <c r="JJ160" s="591">
        <v>0</v>
      </c>
      <c r="JK160" s="591">
        <v>0</v>
      </c>
      <c r="JL160" s="591">
        <v>0</v>
      </c>
      <c r="JM160" s="591">
        <v>0</v>
      </c>
      <c r="JN160" s="591">
        <v>32469</v>
      </c>
    </row>
    <row r="161" spans="1:274" x14ac:dyDescent="0.25">
      <c r="A161" s="591">
        <v>32570</v>
      </c>
      <c r="B161" s="591">
        <v>220810</v>
      </c>
      <c r="C161" s="591">
        <v>9</v>
      </c>
      <c r="D161" s="591">
        <v>2022</v>
      </c>
      <c r="E161" s="591">
        <v>6159</v>
      </c>
      <c r="F161" s="591">
        <v>0</v>
      </c>
      <c r="G161" s="591">
        <v>842.80700000000002</v>
      </c>
      <c r="H161" s="591">
        <v>772.88</v>
      </c>
      <c r="I161" s="591">
        <v>772.88</v>
      </c>
      <c r="J161" s="591">
        <v>842.80700000000002</v>
      </c>
      <c r="K161" s="591">
        <v>0</v>
      </c>
      <c r="L161" s="591">
        <v>6159</v>
      </c>
      <c r="M161" s="591">
        <v>0</v>
      </c>
      <c r="N161" s="591">
        <v>0</v>
      </c>
      <c r="O161" s="591">
        <v>0</v>
      </c>
      <c r="P161" s="591">
        <v>835.32500000000005</v>
      </c>
      <c r="Q161" s="591">
        <v>0</v>
      </c>
      <c r="R161" s="591">
        <v>336158</v>
      </c>
      <c r="S161" s="591">
        <v>402.428</v>
      </c>
      <c r="T161" s="591">
        <v>0</v>
      </c>
      <c r="U161" s="591">
        <v>0</v>
      </c>
      <c r="V161" s="591">
        <v>11.797000000000001</v>
      </c>
      <c r="W161" s="591">
        <v>7266</v>
      </c>
      <c r="X161" s="591">
        <v>7266</v>
      </c>
      <c r="Y161" s="591">
        <v>0</v>
      </c>
      <c r="Z161" s="591">
        <v>0</v>
      </c>
      <c r="AA161" s="591">
        <v>0</v>
      </c>
      <c r="AB161" s="591">
        <v>0</v>
      </c>
      <c r="AC161" s="591">
        <v>0</v>
      </c>
      <c r="AD161" s="591" t="s">
        <v>316</v>
      </c>
      <c r="AE161" s="591">
        <v>0</v>
      </c>
      <c r="AF161" s="591">
        <v>0</v>
      </c>
      <c r="AG161" s="591">
        <v>0</v>
      </c>
      <c r="AH161" s="591">
        <v>0</v>
      </c>
      <c r="AI161" s="591">
        <v>0</v>
      </c>
      <c r="AJ161" s="591">
        <v>6159</v>
      </c>
      <c r="AK161" s="591" t="s">
        <v>671</v>
      </c>
      <c r="AL161" s="591" t="s">
        <v>0</v>
      </c>
      <c r="AM161" s="591">
        <v>0</v>
      </c>
      <c r="AN161" s="591">
        <v>0</v>
      </c>
      <c r="AO161" s="591">
        <v>0</v>
      </c>
      <c r="AP161" s="591">
        <v>0</v>
      </c>
      <c r="AQ161" s="591">
        <v>0</v>
      </c>
      <c r="AR161" s="591">
        <v>0</v>
      </c>
      <c r="AS161" s="591">
        <v>0</v>
      </c>
      <c r="AT161" s="591">
        <v>0</v>
      </c>
      <c r="AU161" s="591">
        <v>0</v>
      </c>
      <c r="AV161" s="591">
        <v>0</v>
      </c>
      <c r="AW161" s="591">
        <v>7173503</v>
      </c>
      <c r="AX161" s="591">
        <v>7021903</v>
      </c>
      <c r="AY161" s="591">
        <v>0</v>
      </c>
      <c r="AZ161" s="591">
        <v>336158</v>
      </c>
      <c r="BA161" s="591">
        <v>0</v>
      </c>
      <c r="BB161" s="591">
        <v>0</v>
      </c>
      <c r="BC161" s="591">
        <v>0</v>
      </c>
      <c r="BD161" s="591">
        <v>0</v>
      </c>
      <c r="BE161" s="591">
        <v>94</v>
      </c>
      <c r="BF161" s="591">
        <v>6536833</v>
      </c>
      <c r="BG161" s="591">
        <v>0</v>
      </c>
      <c r="BH161" s="591">
        <v>0</v>
      </c>
      <c r="BI161" s="591">
        <v>0</v>
      </c>
      <c r="BJ161" s="591">
        <v>12</v>
      </c>
      <c r="BK161" s="591">
        <v>0</v>
      </c>
      <c r="BL161" s="591">
        <v>0</v>
      </c>
      <c r="BM161" s="591">
        <v>0</v>
      </c>
      <c r="BN161" s="591">
        <v>0</v>
      </c>
      <c r="BO161" s="591">
        <v>0</v>
      </c>
      <c r="BP161" s="591">
        <v>0</v>
      </c>
      <c r="BQ161" s="591">
        <v>651</v>
      </c>
      <c r="BR161" s="591">
        <v>0</v>
      </c>
      <c r="BS161" s="591">
        <v>0</v>
      </c>
      <c r="BT161" s="591">
        <v>0</v>
      </c>
      <c r="BU161" s="591">
        <v>0</v>
      </c>
      <c r="BV161" s="591">
        <v>0</v>
      </c>
      <c r="BW161" s="591">
        <v>0</v>
      </c>
      <c r="BX161" s="591">
        <v>0</v>
      </c>
      <c r="BY161" s="591">
        <v>0</v>
      </c>
      <c r="BZ161" s="591">
        <v>0</v>
      </c>
      <c r="CA161" s="591">
        <v>0</v>
      </c>
      <c r="CB161" s="591">
        <v>0</v>
      </c>
      <c r="CC161" s="591">
        <v>0</v>
      </c>
      <c r="CD161" s="591">
        <v>0</v>
      </c>
      <c r="CE161" s="591">
        <v>0</v>
      </c>
      <c r="CF161" s="591">
        <v>0</v>
      </c>
      <c r="CG161" s="591">
        <v>0</v>
      </c>
      <c r="CH161" s="591">
        <v>152726</v>
      </c>
      <c r="CI161" s="591">
        <v>0</v>
      </c>
      <c r="CJ161" s="591">
        <v>4</v>
      </c>
      <c r="CK161" s="591">
        <v>0</v>
      </c>
      <c r="CL161" s="591">
        <v>0</v>
      </c>
      <c r="CM161" s="591">
        <v>0</v>
      </c>
      <c r="CN161" s="591">
        <v>0</v>
      </c>
      <c r="CO161" s="591">
        <v>1</v>
      </c>
      <c r="CP161" s="591">
        <v>0</v>
      </c>
      <c r="CQ161" s="591">
        <v>0</v>
      </c>
      <c r="CR161" s="591">
        <v>842.80700000000002</v>
      </c>
      <c r="CS161" s="591">
        <v>0</v>
      </c>
      <c r="CT161" s="591">
        <v>0</v>
      </c>
      <c r="CU161" s="591">
        <v>0</v>
      </c>
      <c r="CV161" s="591">
        <v>0</v>
      </c>
      <c r="CW161" s="591">
        <v>0</v>
      </c>
      <c r="CX161" s="591">
        <v>0</v>
      </c>
      <c r="CY161" s="591">
        <v>0</v>
      </c>
      <c r="CZ161" s="591">
        <v>0</v>
      </c>
      <c r="DA161" s="591">
        <v>0</v>
      </c>
      <c r="DB161" s="591">
        <v>4751106</v>
      </c>
      <c r="DC161" s="591">
        <v>0</v>
      </c>
      <c r="DD161" s="591">
        <v>0</v>
      </c>
      <c r="DE161" s="591">
        <v>24251</v>
      </c>
      <c r="DF161" s="591">
        <v>24251</v>
      </c>
      <c r="DG161" s="591">
        <v>3.9380000000000002</v>
      </c>
      <c r="DH161" s="591">
        <v>0</v>
      </c>
      <c r="DI161" s="591">
        <v>0</v>
      </c>
      <c r="DJ161" s="591">
        <v>0</v>
      </c>
      <c r="DK161" s="591">
        <v>2038</v>
      </c>
      <c r="DL161" s="591">
        <v>0</v>
      </c>
      <c r="DM161" s="591">
        <v>279617</v>
      </c>
      <c r="DN161" s="591">
        <v>1032</v>
      </c>
      <c r="DO161" s="591">
        <v>0</v>
      </c>
      <c r="DP161" s="591">
        <v>0</v>
      </c>
      <c r="DQ161" s="591">
        <v>0</v>
      </c>
      <c r="DR161" s="591">
        <v>0</v>
      </c>
      <c r="DS161" s="591">
        <v>0</v>
      </c>
      <c r="DT161" s="591">
        <v>0</v>
      </c>
      <c r="DU161" s="591">
        <v>0</v>
      </c>
      <c r="DV161" s="591">
        <v>0</v>
      </c>
      <c r="DW161" s="591">
        <v>0</v>
      </c>
      <c r="DX161" s="591">
        <v>0</v>
      </c>
      <c r="DY161" s="591">
        <v>0</v>
      </c>
      <c r="DZ161" s="591">
        <v>0</v>
      </c>
      <c r="EA161" s="591">
        <v>0</v>
      </c>
      <c r="EB161" s="591">
        <v>0</v>
      </c>
      <c r="EC161" s="591">
        <v>1.907</v>
      </c>
      <c r="ED161" s="591">
        <v>13507</v>
      </c>
      <c r="EE161" s="591">
        <v>0</v>
      </c>
      <c r="EF161" s="591">
        <v>0</v>
      </c>
      <c r="EG161" s="591">
        <v>0</v>
      </c>
      <c r="EH161" s="591">
        <v>258016</v>
      </c>
      <c r="EI161" s="591">
        <v>0</v>
      </c>
      <c r="EJ161" s="591">
        <v>0</v>
      </c>
      <c r="EK161" s="591">
        <v>10.524000000000001</v>
      </c>
      <c r="EL161" s="591">
        <v>0</v>
      </c>
      <c r="EM161" s="591">
        <v>1.28</v>
      </c>
      <c r="EN161" s="591">
        <v>1.296</v>
      </c>
      <c r="EO161" s="591">
        <v>0</v>
      </c>
      <c r="EP161" s="591">
        <v>0</v>
      </c>
      <c r="EQ161" s="591">
        <v>13.1</v>
      </c>
      <c r="ER161" s="591">
        <v>0</v>
      </c>
      <c r="ES161" s="591">
        <v>41.892000000000003</v>
      </c>
      <c r="ET161" s="591">
        <v>0</v>
      </c>
      <c r="EU161" s="591">
        <v>0</v>
      </c>
      <c r="EV161" s="591">
        <v>0</v>
      </c>
      <c r="EW161" s="591">
        <v>0</v>
      </c>
      <c r="EX161" s="591">
        <v>0</v>
      </c>
      <c r="EY161" s="591">
        <v>0</v>
      </c>
      <c r="EZ161" s="591">
        <v>6206696</v>
      </c>
      <c r="FA161" s="591">
        <v>0</v>
      </c>
      <c r="FB161" s="591">
        <v>6541728</v>
      </c>
      <c r="FC161" s="591">
        <v>0</v>
      </c>
      <c r="FD161" s="591">
        <v>0</v>
      </c>
      <c r="FE161" s="591">
        <v>677097</v>
      </c>
      <c r="FF161" s="591">
        <v>138110</v>
      </c>
      <c r="FG161" s="591">
        <v>6.4728999999999995E-2</v>
      </c>
      <c r="FH161" s="591">
        <v>2.6405999999999999E-2</v>
      </c>
      <c r="FI161" s="591">
        <v>0</v>
      </c>
      <c r="FJ161" s="591">
        <v>0</v>
      </c>
      <c r="FK161" s="591">
        <v>1061.3320000000001</v>
      </c>
      <c r="FL161" s="591">
        <v>7509661</v>
      </c>
      <c r="FM161" s="591">
        <v>0</v>
      </c>
      <c r="FN161" s="591">
        <v>0</v>
      </c>
      <c r="FO161" s="591">
        <v>0</v>
      </c>
      <c r="FP161" s="591">
        <v>0</v>
      </c>
      <c r="FQ161" s="591">
        <v>0</v>
      </c>
      <c r="FR161" s="591">
        <v>0</v>
      </c>
      <c r="FS161" s="591">
        <v>0</v>
      </c>
      <c r="FT161" s="591">
        <v>0</v>
      </c>
      <c r="FU161" s="591">
        <v>0</v>
      </c>
      <c r="FV161" s="591">
        <v>0</v>
      </c>
      <c r="FW161" s="591">
        <v>0</v>
      </c>
      <c r="FX161" s="591">
        <v>0</v>
      </c>
      <c r="FY161" s="591">
        <v>0</v>
      </c>
      <c r="FZ161" s="591">
        <v>0</v>
      </c>
      <c r="GA161" s="591">
        <v>0</v>
      </c>
      <c r="GB161" s="591">
        <v>472503</v>
      </c>
      <c r="GC161" s="591">
        <v>472503</v>
      </c>
      <c r="GD161" s="591">
        <v>56.827000000000005</v>
      </c>
      <c r="GE161" s="591">
        <v>0</v>
      </c>
      <c r="GF161" s="591">
        <v>0</v>
      </c>
      <c r="GG161" s="591">
        <v>0</v>
      </c>
      <c r="GH161" s="591">
        <v>0</v>
      </c>
      <c r="GI161" s="591">
        <v>0</v>
      </c>
      <c r="GJ161" s="591">
        <v>0</v>
      </c>
      <c r="GK161" s="591">
        <v>0</v>
      </c>
      <c r="GL161" s="591">
        <v>0</v>
      </c>
      <c r="GM161" s="591">
        <v>0</v>
      </c>
      <c r="GN161" s="591">
        <v>0</v>
      </c>
      <c r="GO161" s="591">
        <v>0</v>
      </c>
      <c r="GP161" s="591">
        <v>0</v>
      </c>
      <c r="GQ161" s="591">
        <v>0</v>
      </c>
      <c r="GR161" s="591">
        <v>0</v>
      </c>
      <c r="GS161" s="591">
        <v>0</v>
      </c>
      <c r="GT161" s="591">
        <v>0</v>
      </c>
      <c r="GU161" s="591">
        <v>0</v>
      </c>
      <c r="GV161" s="591">
        <v>0</v>
      </c>
      <c r="GW161" s="591">
        <v>0</v>
      </c>
      <c r="GX161" s="591">
        <v>0</v>
      </c>
      <c r="GY161" s="591">
        <v>0</v>
      </c>
      <c r="GZ161" s="591">
        <v>0</v>
      </c>
      <c r="HA161" s="591">
        <v>0</v>
      </c>
      <c r="HB161" s="591">
        <v>260009272</v>
      </c>
      <c r="HC161" s="591">
        <v>5.1774999999999995E-2</v>
      </c>
      <c r="HD161" s="591">
        <v>152726</v>
      </c>
      <c r="HE161" s="591">
        <v>0</v>
      </c>
      <c r="HF161" s="591">
        <v>849395</v>
      </c>
      <c r="HG161" s="591">
        <v>26484</v>
      </c>
      <c r="HH161" s="591">
        <v>2987</v>
      </c>
      <c r="HI161" s="591">
        <v>0</v>
      </c>
      <c r="HJ161" s="591">
        <v>8192</v>
      </c>
      <c r="HK161" s="591">
        <v>3693</v>
      </c>
      <c r="HL161" s="591">
        <v>2328</v>
      </c>
      <c r="HM161" s="591">
        <v>114000</v>
      </c>
      <c r="HN161" s="591">
        <v>0</v>
      </c>
      <c r="HO161" s="591">
        <v>0</v>
      </c>
      <c r="HP161" s="591">
        <v>0</v>
      </c>
      <c r="HQ161" s="591">
        <v>0</v>
      </c>
      <c r="HR161" s="591">
        <v>0</v>
      </c>
      <c r="HS161" s="591">
        <v>6205570</v>
      </c>
      <c r="HT161" s="591">
        <v>0</v>
      </c>
      <c r="HU161" s="591">
        <v>0</v>
      </c>
      <c r="HV161" s="591">
        <v>0</v>
      </c>
      <c r="HW161" s="591">
        <v>0</v>
      </c>
      <c r="HX161" s="591">
        <v>10</v>
      </c>
      <c r="HY161" s="591">
        <v>5</v>
      </c>
      <c r="HZ161" s="591">
        <v>2</v>
      </c>
      <c r="IA161" s="591">
        <v>0</v>
      </c>
      <c r="IB161" s="591">
        <v>0</v>
      </c>
      <c r="IC161" s="591">
        <v>15</v>
      </c>
      <c r="ID161" s="591">
        <v>0</v>
      </c>
      <c r="IE161" s="591">
        <v>0</v>
      </c>
      <c r="IF161" s="591">
        <v>0</v>
      </c>
      <c r="IG161" s="591">
        <v>43</v>
      </c>
      <c r="IH161" s="591">
        <v>4.8500000000000005</v>
      </c>
      <c r="II161" s="591">
        <v>0</v>
      </c>
      <c r="IJ161" s="591">
        <v>11.797000000000001</v>
      </c>
      <c r="IK161" s="591">
        <v>0</v>
      </c>
      <c r="IL161" s="591">
        <v>0</v>
      </c>
      <c r="IM161" s="591">
        <v>38</v>
      </c>
      <c r="IN161" s="591">
        <v>0</v>
      </c>
      <c r="IO161" s="591">
        <v>38</v>
      </c>
      <c r="IP161" s="591">
        <v>0</v>
      </c>
      <c r="IQ161" s="591">
        <v>11.797000000000001</v>
      </c>
      <c r="IR161" s="591">
        <v>7266</v>
      </c>
      <c r="IS161" s="591">
        <v>0</v>
      </c>
      <c r="IT161" s="591">
        <v>0</v>
      </c>
      <c r="IU161" s="591">
        <v>114000</v>
      </c>
      <c r="IV161" s="591">
        <v>0</v>
      </c>
      <c r="IW161" s="591">
        <v>6159</v>
      </c>
      <c r="IX161" s="591">
        <v>0</v>
      </c>
      <c r="IY161" s="591">
        <v>0</v>
      </c>
      <c r="IZ161" s="591">
        <v>0</v>
      </c>
      <c r="JA161" s="591">
        <v>0</v>
      </c>
      <c r="JB161" s="591">
        <v>0</v>
      </c>
      <c r="JC161" s="591">
        <v>0</v>
      </c>
      <c r="JD161" s="591">
        <v>0</v>
      </c>
      <c r="JE161" s="591">
        <v>0</v>
      </c>
      <c r="JF161" s="591">
        <v>0</v>
      </c>
      <c r="JG161" s="591">
        <v>0</v>
      </c>
      <c r="JH161" s="591">
        <v>0</v>
      </c>
      <c r="JI161" s="591">
        <v>0</v>
      </c>
      <c r="JJ161" s="591">
        <v>0</v>
      </c>
      <c r="JK161" s="591">
        <v>0</v>
      </c>
      <c r="JL161" s="591">
        <v>0</v>
      </c>
      <c r="JM161" s="591">
        <v>0</v>
      </c>
      <c r="JN161" s="591">
        <v>32469</v>
      </c>
    </row>
    <row r="162" spans="1:274" x14ac:dyDescent="0.25">
      <c r="A162" s="591">
        <v>32570</v>
      </c>
      <c r="B162" s="591">
        <v>220811</v>
      </c>
      <c r="C162" s="591">
        <v>9</v>
      </c>
      <c r="D162" s="591">
        <v>2022</v>
      </c>
      <c r="E162" s="591">
        <v>6159</v>
      </c>
      <c r="F162" s="591">
        <v>0</v>
      </c>
      <c r="G162" s="591">
        <v>196.17700000000002</v>
      </c>
      <c r="H162" s="591">
        <v>193.36200000000002</v>
      </c>
      <c r="I162" s="591">
        <v>193.36200000000002</v>
      </c>
      <c r="J162" s="591">
        <v>196.17700000000002</v>
      </c>
      <c r="K162" s="591">
        <v>0</v>
      </c>
      <c r="L162" s="591">
        <v>6159</v>
      </c>
      <c r="M162" s="591">
        <v>0</v>
      </c>
      <c r="N162" s="591">
        <v>0</v>
      </c>
      <c r="O162" s="591">
        <v>0</v>
      </c>
      <c r="P162" s="591">
        <v>185.80200000000002</v>
      </c>
      <c r="Q162" s="591">
        <v>0</v>
      </c>
      <c r="R162" s="591">
        <v>74772</v>
      </c>
      <c r="S162" s="591">
        <v>402.428</v>
      </c>
      <c r="T162" s="591">
        <v>0</v>
      </c>
      <c r="U162" s="591">
        <v>0</v>
      </c>
      <c r="V162" s="591">
        <v>57.620000000000005</v>
      </c>
      <c r="W162" s="591">
        <v>35489</v>
      </c>
      <c r="X162" s="591">
        <v>35489</v>
      </c>
      <c r="Y162" s="591">
        <v>0</v>
      </c>
      <c r="Z162" s="591">
        <v>0</v>
      </c>
      <c r="AA162" s="591">
        <v>0</v>
      </c>
      <c r="AB162" s="591">
        <v>0</v>
      </c>
      <c r="AC162" s="591">
        <v>0</v>
      </c>
      <c r="AD162" s="591" t="s">
        <v>316</v>
      </c>
      <c r="AE162" s="591">
        <v>0</v>
      </c>
      <c r="AF162" s="591">
        <v>0</v>
      </c>
      <c r="AG162" s="591">
        <v>0</v>
      </c>
      <c r="AH162" s="591">
        <v>0</v>
      </c>
      <c r="AI162" s="591">
        <v>0</v>
      </c>
      <c r="AJ162" s="591">
        <v>6159</v>
      </c>
      <c r="AK162" s="591" t="s">
        <v>671</v>
      </c>
      <c r="AL162" s="591" t="s">
        <v>63</v>
      </c>
      <c r="AM162" s="591">
        <v>0</v>
      </c>
      <c r="AN162" s="591">
        <v>0</v>
      </c>
      <c r="AO162" s="591">
        <v>0</v>
      </c>
      <c r="AP162" s="591">
        <v>0</v>
      </c>
      <c r="AQ162" s="591">
        <v>0</v>
      </c>
      <c r="AR162" s="591">
        <v>0</v>
      </c>
      <c r="AS162" s="591">
        <v>0</v>
      </c>
      <c r="AT162" s="591">
        <v>0</v>
      </c>
      <c r="AU162" s="591">
        <v>0</v>
      </c>
      <c r="AV162" s="591">
        <v>0</v>
      </c>
      <c r="AW162" s="591">
        <v>2127688</v>
      </c>
      <c r="AX162" s="591">
        <v>2092381</v>
      </c>
      <c r="AY162" s="591">
        <v>0</v>
      </c>
      <c r="AZ162" s="591">
        <v>74772</v>
      </c>
      <c r="BA162" s="591">
        <v>0</v>
      </c>
      <c r="BB162" s="591">
        <v>0</v>
      </c>
      <c r="BC162" s="591">
        <v>0</v>
      </c>
      <c r="BD162" s="591">
        <v>1.647</v>
      </c>
      <c r="BE162" s="591">
        <v>28</v>
      </c>
      <c r="BF162" s="591">
        <v>1926855</v>
      </c>
      <c r="BG162" s="591">
        <v>0</v>
      </c>
      <c r="BH162" s="591">
        <v>0</v>
      </c>
      <c r="BI162" s="591">
        <v>0</v>
      </c>
      <c r="BJ162" s="591">
        <v>12</v>
      </c>
      <c r="BK162" s="591">
        <v>0</v>
      </c>
      <c r="BL162" s="591">
        <v>0</v>
      </c>
      <c r="BM162" s="591">
        <v>0</v>
      </c>
      <c r="BN162" s="591">
        <v>0</v>
      </c>
      <c r="BO162" s="591">
        <v>0</v>
      </c>
      <c r="BP162" s="591">
        <v>0</v>
      </c>
      <c r="BQ162" s="591">
        <v>740</v>
      </c>
      <c r="BR162" s="591">
        <v>0</v>
      </c>
      <c r="BS162" s="591">
        <v>0</v>
      </c>
      <c r="BT162" s="591">
        <v>0</v>
      </c>
      <c r="BU162" s="591">
        <v>0</v>
      </c>
      <c r="BV162" s="591">
        <v>0</v>
      </c>
      <c r="BW162" s="591">
        <v>0</v>
      </c>
      <c r="BX162" s="591">
        <v>0</v>
      </c>
      <c r="BY162" s="591">
        <v>0</v>
      </c>
      <c r="BZ162" s="591">
        <v>0</v>
      </c>
      <c r="CA162" s="591">
        <v>0</v>
      </c>
      <c r="CB162" s="591">
        <v>0</v>
      </c>
      <c r="CC162" s="591">
        <v>0</v>
      </c>
      <c r="CD162" s="591">
        <v>0</v>
      </c>
      <c r="CE162" s="591">
        <v>0</v>
      </c>
      <c r="CF162" s="591">
        <v>0</v>
      </c>
      <c r="CG162" s="591">
        <v>0</v>
      </c>
      <c r="CH162" s="591">
        <v>35549</v>
      </c>
      <c r="CI162" s="591">
        <v>0</v>
      </c>
      <c r="CJ162" s="591">
        <v>4</v>
      </c>
      <c r="CK162" s="591">
        <v>0</v>
      </c>
      <c r="CL162" s="591">
        <v>0</v>
      </c>
      <c r="CM162" s="591">
        <v>0</v>
      </c>
      <c r="CN162" s="591">
        <v>0</v>
      </c>
      <c r="CO162" s="591">
        <v>1</v>
      </c>
      <c r="CP162" s="591">
        <v>0</v>
      </c>
      <c r="CQ162" s="591">
        <v>0</v>
      </c>
      <c r="CR162" s="591">
        <v>196.17700000000002</v>
      </c>
      <c r="CS162" s="591">
        <v>0</v>
      </c>
      <c r="CT162" s="591">
        <v>0</v>
      </c>
      <c r="CU162" s="591">
        <v>0</v>
      </c>
      <c r="CV162" s="591">
        <v>0</v>
      </c>
      <c r="CW162" s="591">
        <v>0</v>
      </c>
      <c r="CX162" s="591">
        <v>0</v>
      </c>
      <c r="CY162" s="591">
        <v>0</v>
      </c>
      <c r="CZ162" s="591">
        <v>0</v>
      </c>
      <c r="DA162" s="591">
        <v>0</v>
      </c>
      <c r="DB162" s="591">
        <v>1175989</v>
      </c>
      <c r="DC162" s="591">
        <v>0</v>
      </c>
      <c r="DD162" s="591">
        <v>0</v>
      </c>
      <c r="DE162" s="591">
        <v>318502</v>
      </c>
      <c r="DF162" s="591">
        <v>318502</v>
      </c>
      <c r="DG162" s="591">
        <v>51.713000000000001</v>
      </c>
      <c r="DH162" s="591">
        <v>0</v>
      </c>
      <c r="DI162" s="591">
        <v>0</v>
      </c>
      <c r="DJ162" s="591">
        <v>0</v>
      </c>
      <c r="DK162" s="591">
        <v>3465</v>
      </c>
      <c r="DL162" s="591">
        <v>0</v>
      </c>
      <c r="DM162" s="591">
        <v>71078</v>
      </c>
      <c r="DN162" s="591">
        <v>214</v>
      </c>
      <c r="DO162" s="591">
        <v>0</v>
      </c>
      <c r="DP162" s="591">
        <v>0</v>
      </c>
      <c r="DQ162" s="591">
        <v>0</v>
      </c>
      <c r="DR162" s="591">
        <v>0</v>
      </c>
      <c r="DS162" s="591">
        <v>0</v>
      </c>
      <c r="DT162" s="591">
        <v>0</v>
      </c>
      <c r="DU162" s="591">
        <v>0</v>
      </c>
      <c r="DV162" s="591">
        <v>0</v>
      </c>
      <c r="DW162" s="591">
        <v>0</v>
      </c>
      <c r="DX162" s="591">
        <v>0</v>
      </c>
      <c r="DY162" s="591">
        <v>0</v>
      </c>
      <c r="DZ162" s="591">
        <v>0</v>
      </c>
      <c r="EA162" s="591">
        <v>0</v>
      </c>
      <c r="EB162" s="591">
        <v>0</v>
      </c>
      <c r="EC162" s="591">
        <v>0</v>
      </c>
      <c r="ED162" s="591">
        <v>0</v>
      </c>
      <c r="EE162" s="591">
        <v>0</v>
      </c>
      <c r="EF162" s="591">
        <v>0</v>
      </c>
      <c r="EG162" s="591">
        <v>0</v>
      </c>
      <c r="EH162" s="591">
        <v>56349</v>
      </c>
      <c r="EI162" s="591">
        <v>0</v>
      </c>
      <c r="EJ162" s="591">
        <v>0</v>
      </c>
      <c r="EK162" s="591">
        <v>2.4630000000000001</v>
      </c>
      <c r="EL162" s="591">
        <v>0</v>
      </c>
      <c r="EM162" s="591">
        <v>0</v>
      </c>
      <c r="EN162" s="591">
        <v>0.35200000000000004</v>
      </c>
      <c r="EO162" s="591">
        <v>0</v>
      </c>
      <c r="EP162" s="591">
        <v>0</v>
      </c>
      <c r="EQ162" s="591">
        <v>2.8149999999999999</v>
      </c>
      <c r="ER162" s="591">
        <v>0</v>
      </c>
      <c r="ES162" s="591">
        <v>9.1490000000000009</v>
      </c>
      <c r="ET162" s="591">
        <v>0</v>
      </c>
      <c r="EU162" s="591">
        <v>0</v>
      </c>
      <c r="EV162" s="591">
        <v>0</v>
      </c>
      <c r="EW162" s="591">
        <v>0</v>
      </c>
      <c r="EX162" s="591">
        <v>0</v>
      </c>
      <c r="EY162" s="591">
        <v>0</v>
      </c>
      <c r="EZ162" s="591">
        <v>1852083</v>
      </c>
      <c r="FA162" s="591">
        <v>0</v>
      </c>
      <c r="FB162" s="591">
        <v>1926613</v>
      </c>
      <c r="FC162" s="591">
        <v>0</v>
      </c>
      <c r="FD162" s="591">
        <v>0</v>
      </c>
      <c r="FE162" s="591">
        <v>199587</v>
      </c>
      <c r="FF162" s="591">
        <v>40711</v>
      </c>
      <c r="FG162" s="591">
        <v>6.4728999999999995E-2</v>
      </c>
      <c r="FH162" s="591">
        <v>2.6405999999999999E-2</v>
      </c>
      <c r="FI162" s="591">
        <v>0</v>
      </c>
      <c r="FJ162" s="591">
        <v>0</v>
      </c>
      <c r="FK162" s="591">
        <v>312.84800000000001</v>
      </c>
      <c r="FL162" s="591">
        <v>2202460</v>
      </c>
      <c r="FM162" s="591">
        <v>0</v>
      </c>
      <c r="FN162" s="591">
        <v>0</v>
      </c>
      <c r="FO162" s="591">
        <v>0</v>
      </c>
      <c r="FP162" s="591">
        <v>0</v>
      </c>
      <c r="FQ162" s="591">
        <v>0</v>
      </c>
      <c r="FR162" s="591">
        <v>0</v>
      </c>
      <c r="FS162" s="591">
        <v>0</v>
      </c>
      <c r="FT162" s="591">
        <v>0</v>
      </c>
      <c r="FU162" s="591">
        <v>0</v>
      </c>
      <c r="FV162" s="591">
        <v>0</v>
      </c>
      <c r="FW162" s="591">
        <v>0</v>
      </c>
      <c r="FX162" s="591">
        <v>0</v>
      </c>
      <c r="FY162" s="591">
        <v>0</v>
      </c>
      <c r="FZ162" s="591">
        <v>0</v>
      </c>
      <c r="GA162" s="591">
        <v>0</v>
      </c>
      <c r="GB162" s="591">
        <v>0</v>
      </c>
      <c r="GC162" s="591">
        <v>0</v>
      </c>
      <c r="GD162" s="591">
        <v>0</v>
      </c>
      <c r="GE162" s="591">
        <v>0</v>
      </c>
      <c r="GF162" s="591">
        <v>0</v>
      </c>
      <c r="GG162" s="591">
        <v>0</v>
      </c>
      <c r="GH162" s="591">
        <v>0</v>
      </c>
      <c r="GI162" s="591">
        <v>0</v>
      </c>
      <c r="GJ162" s="591">
        <v>0</v>
      </c>
      <c r="GK162" s="591">
        <v>0</v>
      </c>
      <c r="GL162" s="591">
        <v>0</v>
      </c>
      <c r="GM162" s="591">
        <v>0</v>
      </c>
      <c r="GN162" s="591">
        <v>0</v>
      </c>
      <c r="GO162" s="591">
        <v>0</v>
      </c>
      <c r="GP162" s="591">
        <v>0</v>
      </c>
      <c r="GQ162" s="591">
        <v>0</v>
      </c>
      <c r="GR162" s="591">
        <v>0</v>
      </c>
      <c r="GS162" s="591">
        <v>0</v>
      </c>
      <c r="GT162" s="591">
        <v>0</v>
      </c>
      <c r="GU162" s="591">
        <v>0</v>
      </c>
      <c r="GV162" s="591">
        <v>0</v>
      </c>
      <c r="GW162" s="591">
        <v>0</v>
      </c>
      <c r="GX162" s="591">
        <v>0</v>
      </c>
      <c r="GY162" s="591">
        <v>0</v>
      </c>
      <c r="GZ162" s="591">
        <v>0</v>
      </c>
      <c r="HA162" s="591">
        <v>0</v>
      </c>
      <c r="HB162" s="591">
        <v>260009272</v>
      </c>
      <c r="HC162" s="591">
        <v>5.1774999999999995E-2</v>
      </c>
      <c r="HD162" s="591">
        <v>35549</v>
      </c>
      <c r="HE162" s="591">
        <v>0</v>
      </c>
      <c r="HF162" s="591">
        <v>212505</v>
      </c>
      <c r="HG162" s="591">
        <v>0</v>
      </c>
      <c r="HH162" s="591">
        <v>111171</v>
      </c>
      <c r="HI162" s="591">
        <v>0</v>
      </c>
      <c r="HJ162" s="591">
        <v>1907</v>
      </c>
      <c r="HK162" s="591">
        <v>0</v>
      </c>
      <c r="HL162" s="591">
        <v>0</v>
      </c>
      <c r="HM162" s="591">
        <v>0</v>
      </c>
      <c r="HN162" s="591">
        <v>0</v>
      </c>
      <c r="HO162" s="591">
        <v>0</v>
      </c>
      <c r="HP162" s="591">
        <v>0</v>
      </c>
      <c r="HQ162" s="591">
        <v>0</v>
      </c>
      <c r="HR162" s="591">
        <v>0</v>
      </c>
      <c r="HS162" s="591">
        <v>1851841</v>
      </c>
      <c r="HT162" s="591">
        <v>0</v>
      </c>
      <c r="HU162" s="591">
        <v>0</v>
      </c>
      <c r="HV162" s="591">
        <v>0</v>
      </c>
      <c r="HW162" s="591">
        <v>0</v>
      </c>
      <c r="HX162" s="591">
        <v>19</v>
      </c>
      <c r="HY162" s="591">
        <v>30</v>
      </c>
      <c r="HZ162" s="591">
        <v>31</v>
      </c>
      <c r="IA162" s="591">
        <v>35</v>
      </c>
      <c r="IB162" s="591">
        <v>85</v>
      </c>
      <c r="IC162" s="591">
        <v>162</v>
      </c>
      <c r="ID162" s="591">
        <v>0</v>
      </c>
      <c r="IE162" s="591">
        <v>0</v>
      </c>
      <c r="IF162" s="591">
        <v>0</v>
      </c>
      <c r="IG162" s="591">
        <v>0</v>
      </c>
      <c r="IH162" s="591">
        <v>180.5</v>
      </c>
      <c r="II162" s="591">
        <v>0</v>
      </c>
      <c r="IJ162" s="591">
        <v>57.620000000000005</v>
      </c>
      <c r="IK162" s="591">
        <v>0</v>
      </c>
      <c r="IL162" s="591">
        <v>0</v>
      </c>
      <c r="IM162" s="591">
        <v>0</v>
      </c>
      <c r="IN162" s="591">
        <v>0</v>
      </c>
      <c r="IO162" s="591">
        <v>0</v>
      </c>
      <c r="IP162" s="591">
        <v>0</v>
      </c>
      <c r="IQ162" s="591">
        <v>57.620000000000005</v>
      </c>
      <c r="IR162" s="591">
        <v>35489</v>
      </c>
      <c r="IS162" s="591">
        <v>0</v>
      </c>
      <c r="IT162" s="591">
        <v>0</v>
      </c>
      <c r="IU162" s="591">
        <v>0</v>
      </c>
      <c r="IV162" s="591">
        <v>0</v>
      </c>
      <c r="IW162" s="591">
        <v>6159</v>
      </c>
      <c r="IX162" s="591">
        <v>0</v>
      </c>
      <c r="IY162" s="591">
        <v>0</v>
      </c>
      <c r="IZ162" s="591">
        <v>0</v>
      </c>
      <c r="JA162" s="591">
        <v>0</v>
      </c>
      <c r="JB162" s="591">
        <v>0</v>
      </c>
      <c r="JC162" s="591">
        <v>0</v>
      </c>
      <c r="JD162" s="591">
        <v>0</v>
      </c>
      <c r="JE162" s="591">
        <v>0</v>
      </c>
      <c r="JF162" s="591">
        <v>0</v>
      </c>
      <c r="JG162" s="591">
        <v>0</v>
      </c>
      <c r="JH162" s="591">
        <v>0</v>
      </c>
      <c r="JI162" s="591">
        <v>0</v>
      </c>
      <c r="JJ162" s="591">
        <v>0</v>
      </c>
      <c r="JK162" s="591">
        <v>0</v>
      </c>
      <c r="JL162" s="591">
        <v>0</v>
      </c>
      <c r="JM162" s="591">
        <v>0</v>
      </c>
      <c r="JN162" s="591">
        <v>32469</v>
      </c>
    </row>
    <row r="163" spans="1:274" x14ac:dyDescent="0.25">
      <c r="A163" s="591">
        <v>32570</v>
      </c>
      <c r="B163" s="591">
        <v>220814</v>
      </c>
      <c r="C163" s="591">
        <v>9</v>
      </c>
      <c r="D163" s="591">
        <v>2022</v>
      </c>
      <c r="E163" s="591">
        <v>6159</v>
      </c>
      <c r="F163" s="591">
        <v>0</v>
      </c>
      <c r="G163" s="591">
        <v>280.97000000000003</v>
      </c>
      <c r="H163" s="591">
        <v>274.54000000000002</v>
      </c>
      <c r="I163" s="591">
        <v>274.54000000000002</v>
      </c>
      <c r="J163" s="591">
        <v>280.97000000000003</v>
      </c>
      <c r="K163" s="591">
        <v>0</v>
      </c>
      <c r="L163" s="591">
        <v>6159</v>
      </c>
      <c r="M163" s="591">
        <v>0</v>
      </c>
      <c r="N163" s="591">
        <v>0</v>
      </c>
      <c r="O163" s="591">
        <v>0</v>
      </c>
      <c r="P163" s="591">
        <v>272.05200000000002</v>
      </c>
      <c r="Q163" s="591">
        <v>0</v>
      </c>
      <c r="R163" s="591">
        <v>109481</v>
      </c>
      <c r="S163" s="591">
        <v>402.428</v>
      </c>
      <c r="T163" s="591">
        <v>0</v>
      </c>
      <c r="U163" s="591">
        <v>0</v>
      </c>
      <c r="V163" s="591">
        <v>34.718000000000004</v>
      </c>
      <c r="W163" s="591">
        <v>21383</v>
      </c>
      <c r="X163" s="591">
        <v>21383</v>
      </c>
      <c r="Y163" s="591">
        <v>0</v>
      </c>
      <c r="Z163" s="591">
        <v>0</v>
      </c>
      <c r="AA163" s="591">
        <v>0</v>
      </c>
      <c r="AB163" s="591">
        <v>0</v>
      </c>
      <c r="AC163" s="591">
        <v>0</v>
      </c>
      <c r="AD163" s="591" t="s">
        <v>316</v>
      </c>
      <c r="AE163" s="591">
        <v>0</v>
      </c>
      <c r="AF163" s="591">
        <v>0</v>
      </c>
      <c r="AG163" s="591">
        <v>0</v>
      </c>
      <c r="AH163" s="591">
        <v>0</v>
      </c>
      <c r="AI163" s="591">
        <v>0</v>
      </c>
      <c r="AJ163" s="591">
        <v>6159</v>
      </c>
      <c r="AK163" s="591" t="s">
        <v>671</v>
      </c>
      <c r="AL163" s="591" t="s">
        <v>362</v>
      </c>
      <c r="AM163" s="591">
        <v>0</v>
      </c>
      <c r="AN163" s="591">
        <v>0</v>
      </c>
      <c r="AO163" s="591">
        <v>0</v>
      </c>
      <c r="AP163" s="591">
        <v>0</v>
      </c>
      <c r="AQ163" s="591">
        <v>0</v>
      </c>
      <c r="AR163" s="591">
        <v>0</v>
      </c>
      <c r="AS163" s="591">
        <v>0</v>
      </c>
      <c r="AT163" s="591">
        <v>0</v>
      </c>
      <c r="AU163" s="591">
        <v>0</v>
      </c>
      <c r="AV163" s="591">
        <v>0</v>
      </c>
      <c r="AW163" s="591">
        <v>2484120</v>
      </c>
      <c r="AX163" s="591">
        <v>2433703</v>
      </c>
      <c r="AY163" s="591">
        <v>0</v>
      </c>
      <c r="AZ163" s="591">
        <v>109481</v>
      </c>
      <c r="BA163" s="591">
        <v>0</v>
      </c>
      <c r="BB163" s="591">
        <v>0</v>
      </c>
      <c r="BC163" s="591">
        <v>0</v>
      </c>
      <c r="BD163" s="591">
        <v>0</v>
      </c>
      <c r="BE163" s="591">
        <v>33</v>
      </c>
      <c r="BF163" s="591">
        <v>2261192</v>
      </c>
      <c r="BG163" s="591">
        <v>0</v>
      </c>
      <c r="BH163" s="591">
        <v>0</v>
      </c>
      <c r="BI163" s="591">
        <v>0</v>
      </c>
      <c r="BJ163" s="591">
        <v>12</v>
      </c>
      <c r="BK163" s="591">
        <v>0</v>
      </c>
      <c r="BL163" s="591">
        <v>0</v>
      </c>
      <c r="BM163" s="591">
        <v>0</v>
      </c>
      <c r="BN163" s="591">
        <v>0</v>
      </c>
      <c r="BO163" s="591">
        <v>0</v>
      </c>
      <c r="BP163" s="591">
        <v>0</v>
      </c>
      <c r="BQ163" s="591">
        <v>728</v>
      </c>
      <c r="BR163" s="591">
        <v>0</v>
      </c>
      <c r="BS163" s="591">
        <v>0</v>
      </c>
      <c r="BT163" s="591">
        <v>0</v>
      </c>
      <c r="BU163" s="591">
        <v>0</v>
      </c>
      <c r="BV163" s="591">
        <v>0</v>
      </c>
      <c r="BW163" s="591">
        <v>0</v>
      </c>
      <c r="BX163" s="591">
        <v>0</v>
      </c>
      <c r="BY163" s="591">
        <v>0</v>
      </c>
      <c r="BZ163" s="591">
        <v>0</v>
      </c>
      <c r="CA163" s="591">
        <v>0</v>
      </c>
      <c r="CB163" s="591">
        <v>0</v>
      </c>
      <c r="CC163" s="591">
        <v>0</v>
      </c>
      <c r="CD163" s="591">
        <v>0</v>
      </c>
      <c r="CE163" s="591">
        <v>0</v>
      </c>
      <c r="CF163" s="591">
        <v>0</v>
      </c>
      <c r="CG163" s="591">
        <v>0</v>
      </c>
      <c r="CH163" s="591">
        <v>50915</v>
      </c>
      <c r="CI163" s="591">
        <v>0</v>
      </c>
      <c r="CJ163" s="591">
        <v>4</v>
      </c>
      <c r="CK163" s="591">
        <v>0</v>
      </c>
      <c r="CL163" s="591">
        <v>0</v>
      </c>
      <c r="CM163" s="591">
        <v>0</v>
      </c>
      <c r="CN163" s="591">
        <v>0</v>
      </c>
      <c r="CO163" s="591">
        <v>1</v>
      </c>
      <c r="CP163" s="591">
        <v>0</v>
      </c>
      <c r="CQ163" s="591">
        <v>0</v>
      </c>
      <c r="CR163" s="591">
        <v>280.97000000000003</v>
      </c>
      <c r="CS163" s="591">
        <v>0</v>
      </c>
      <c r="CT163" s="591">
        <v>0</v>
      </c>
      <c r="CU163" s="591">
        <v>0</v>
      </c>
      <c r="CV163" s="591">
        <v>0</v>
      </c>
      <c r="CW163" s="591">
        <v>0</v>
      </c>
      <c r="CX163" s="591">
        <v>0</v>
      </c>
      <c r="CY163" s="591">
        <v>0</v>
      </c>
      <c r="CZ163" s="591">
        <v>0</v>
      </c>
      <c r="DA163" s="591">
        <v>0</v>
      </c>
      <c r="DB163" s="591">
        <v>1620344</v>
      </c>
      <c r="DC163" s="591">
        <v>0</v>
      </c>
      <c r="DD163" s="591">
        <v>0</v>
      </c>
      <c r="DE163" s="591">
        <v>97698</v>
      </c>
      <c r="DF163" s="591">
        <v>97698</v>
      </c>
      <c r="DG163" s="591">
        <v>15.863000000000001</v>
      </c>
      <c r="DH163" s="591">
        <v>0</v>
      </c>
      <c r="DI163" s="591">
        <v>0</v>
      </c>
      <c r="DJ163" s="591">
        <v>0</v>
      </c>
      <c r="DK163" s="591">
        <v>3265</v>
      </c>
      <c r="DL163" s="591">
        <v>0</v>
      </c>
      <c r="DM163" s="591">
        <v>192498</v>
      </c>
      <c r="DN163" s="591">
        <v>465</v>
      </c>
      <c r="DO163" s="591">
        <v>0</v>
      </c>
      <c r="DP163" s="591">
        <v>0</v>
      </c>
      <c r="DQ163" s="591">
        <v>0</v>
      </c>
      <c r="DR163" s="591">
        <v>0</v>
      </c>
      <c r="DS163" s="591">
        <v>0</v>
      </c>
      <c r="DT163" s="591">
        <v>0</v>
      </c>
      <c r="DU163" s="591">
        <v>0</v>
      </c>
      <c r="DV163" s="591">
        <v>0</v>
      </c>
      <c r="DW163" s="591">
        <v>0</v>
      </c>
      <c r="DX163" s="591">
        <v>0</v>
      </c>
      <c r="DY163" s="591">
        <v>0</v>
      </c>
      <c r="DZ163" s="591">
        <v>0</v>
      </c>
      <c r="EA163" s="591">
        <v>0</v>
      </c>
      <c r="EB163" s="591">
        <v>0</v>
      </c>
      <c r="EC163" s="591">
        <v>0</v>
      </c>
      <c r="ED163" s="591">
        <v>0</v>
      </c>
      <c r="EE163" s="591">
        <v>0</v>
      </c>
      <c r="EF163" s="591">
        <v>0</v>
      </c>
      <c r="EG163" s="591">
        <v>0</v>
      </c>
      <c r="EH163" s="591">
        <v>122393</v>
      </c>
      <c r="EI163" s="591">
        <v>0</v>
      </c>
      <c r="EJ163" s="591">
        <v>0</v>
      </c>
      <c r="EK163" s="591">
        <v>6.1390000000000002</v>
      </c>
      <c r="EL163" s="591">
        <v>0</v>
      </c>
      <c r="EM163" s="591">
        <v>0</v>
      </c>
      <c r="EN163" s="591">
        <v>0.29100000000000004</v>
      </c>
      <c r="EO163" s="591">
        <v>0</v>
      </c>
      <c r="EP163" s="591">
        <v>0</v>
      </c>
      <c r="EQ163" s="591">
        <v>6.43</v>
      </c>
      <c r="ER163" s="591">
        <v>0</v>
      </c>
      <c r="ES163" s="591">
        <v>19.872</v>
      </c>
      <c r="ET163" s="591">
        <v>0</v>
      </c>
      <c r="EU163" s="591">
        <v>0</v>
      </c>
      <c r="EV163" s="591">
        <v>0</v>
      </c>
      <c r="EW163" s="591">
        <v>0</v>
      </c>
      <c r="EX163" s="591">
        <v>0</v>
      </c>
      <c r="EY163" s="591">
        <v>0</v>
      </c>
      <c r="EZ163" s="591">
        <v>2151711</v>
      </c>
      <c r="FA163" s="591">
        <v>0</v>
      </c>
      <c r="FB163" s="591">
        <v>2260694</v>
      </c>
      <c r="FC163" s="591">
        <v>0</v>
      </c>
      <c r="FD163" s="591">
        <v>0</v>
      </c>
      <c r="FE163" s="591">
        <v>234218</v>
      </c>
      <c r="FF163" s="591">
        <v>47774</v>
      </c>
      <c r="FG163" s="591">
        <v>6.4728999999999995E-2</v>
      </c>
      <c r="FH163" s="591">
        <v>2.6405999999999999E-2</v>
      </c>
      <c r="FI163" s="591">
        <v>0</v>
      </c>
      <c r="FJ163" s="591">
        <v>0</v>
      </c>
      <c r="FK163" s="591">
        <v>367.13100000000003</v>
      </c>
      <c r="FL163" s="591">
        <v>2593601</v>
      </c>
      <c r="FM163" s="591">
        <v>0</v>
      </c>
      <c r="FN163" s="591">
        <v>0</v>
      </c>
      <c r="FO163" s="591">
        <v>0</v>
      </c>
      <c r="FP163" s="591">
        <v>0</v>
      </c>
      <c r="FQ163" s="591">
        <v>0</v>
      </c>
      <c r="FR163" s="591">
        <v>0</v>
      </c>
      <c r="FS163" s="591">
        <v>0</v>
      </c>
      <c r="FT163" s="591">
        <v>0</v>
      </c>
      <c r="FU163" s="591">
        <v>0</v>
      </c>
      <c r="FV163" s="591">
        <v>0</v>
      </c>
      <c r="FW163" s="591">
        <v>0</v>
      </c>
      <c r="FX163" s="591">
        <v>0</v>
      </c>
      <c r="FY163" s="591">
        <v>0</v>
      </c>
      <c r="FZ163" s="591">
        <v>0</v>
      </c>
      <c r="GA163" s="591">
        <v>0</v>
      </c>
      <c r="GB163" s="591">
        <v>0</v>
      </c>
      <c r="GC163" s="591">
        <v>0</v>
      </c>
      <c r="GD163" s="591">
        <v>0</v>
      </c>
      <c r="GE163" s="591">
        <v>0</v>
      </c>
      <c r="GF163" s="591">
        <v>0</v>
      </c>
      <c r="GG163" s="591">
        <v>0</v>
      </c>
      <c r="GH163" s="591">
        <v>0</v>
      </c>
      <c r="GI163" s="591">
        <v>0</v>
      </c>
      <c r="GJ163" s="591">
        <v>0</v>
      </c>
      <c r="GK163" s="591">
        <v>0</v>
      </c>
      <c r="GL163" s="591">
        <v>0</v>
      </c>
      <c r="GM163" s="591">
        <v>0</v>
      </c>
      <c r="GN163" s="591">
        <v>0</v>
      </c>
      <c r="GO163" s="591">
        <v>0</v>
      </c>
      <c r="GP163" s="591">
        <v>0</v>
      </c>
      <c r="GQ163" s="591">
        <v>0</v>
      </c>
      <c r="GR163" s="591">
        <v>0</v>
      </c>
      <c r="GS163" s="591">
        <v>0</v>
      </c>
      <c r="GT163" s="591">
        <v>0</v>
      </c>
      <c r="GU163" s="591">
        <v>0</v>
      </c>
      <c r="GV163" s="591">
        <v>0</v>
      </c>
      <c r="GW163" s="591">
        <v>0</v>
      </c>
      <c r="GX163" s="591">
        <v>0</v>
      </c>
      <c r="GY163" s="591">
        <v>0</v>
      </c>
      <c r="GZ163" s="591">
        <v>0</v>
      </c>
      <c r="HA163" s="591">
        <v>0</v>
      </c>
      <c r="HB163" s="591">
        <v>260009272</v>
      </c>
      <c r="HC163" s="591">
        <v>5.1774999999999995E-2</v>
      </c>
      <c r="HD163" s="591">
        <v>50915</v>
      </c>
      <c r="HE163" s="591">
        <v>0</v>
      </c>
      <c r="HF163" s="591">
        <v>301719</v>
      </c>
      <c r="HG163" s="591">
        <v>8340</v>
      </c>
      <c r="HH163" s="591">
        <v>16014</v>
      </c>
      <c r="HI163" s="591">
        <v>0</v>
      </c>
      <c r="HJ163" s="591">
        <v>2731</v>
      </c>
      <c r="HK163" s="591">
        <v>0</v>
      </c>
      <c r="HL163" s="591">
        <v>0</v>
      </c>
      <c r="HM163" s="591">
        <v>0</v>
      </c>
      <c r="HN163" s="591">
        <v>0</v>
      </c>
      <c r="HO163" s="591">
        <v>0</v>
      </c>
      <c r="HP163" s="591">
        <v>0</v>
      </c>
      <c r="HQ163" s="591">
        <v>0</v>
      </c>
      <c r="HR163" s="591">
        <v>0</v>
      </c>
      <c r="HS163" s="591">
        <v>2151213</v>
      </c>
      <c r="HT163" s="591">
        <v>0</v>
      </c>
      <c r="HU163" s="591">
        <v>0</v>
      </c>
      <c r="HV163" s="591">
        <v>0</v>
      </c>
      <c r="HW163" s="591">
        <v>0</v>
      </c>
      <c r="HX163" s="591">
        <v>14</v>
      </c>
      <c r="HY163" s="591">
        <v>16</v>
      </c>
      <c r="HZ163" s="591">
        <v>9</v>
      </c>
      <c r="IA163" s="591">
        <v>17</v>
      </c>
      <c r="IB163" s="591">
        <v>8</v>
      </c>
      <c r="IC163" s="591">
        <v>64</v>
      </c>
      <c r="ID163" s="591">
        <v>0</v>
      </c>
      <c r="IE163" s="591">
        <v>0</v>
      </c>
      <c r="IF163" s="591">
        <v>0</v>
      </c>
      <c r="IG163" s="591">
        <v>13.541</v>
      </c>
      <c r="IH163" s="591">
        <v>26</v>
      </c>
      <c r="II163" s="591">
        <v>0</v>
      </c>
      <c r="IJ163" s="591">
        <v>34.718000000000004</v>
      </c>
      <c r="IK163" s="591">
        <v>0</v>
      </c>
      <c r="IL163" s="591">
        <v>0</v>
      </c>
      <c r="IM163" s="591">
        <v>0</v>
      </c>
      <c r="IN163" s="591">
        <v>0</v>
      </c>
      <c r="IO163" s="591">
        <v>0</v>
      </c>
      <c r="IP163" s="591">
        <v>0</v>
      </c>
      <c r="IQ163" s="591">
        <v>34.718000000000004</v>
      </c>
      <c r="IR163" s="591">
        <v>21383</v>
      </c>
      <c r="IS163" s="591">
        <v>0</v>
      </c>
      <c r="IT163" s="591">
        <v>0</v>
      </c>
      <c r="IU163" s="591">
        <v>0</v>
      </c>
      <c r="IV163" s="591">
        <v>0</v>
      </c>
      <c r="IW163" s="591">
        <v>6159</v>
      </c>
      <c r="IX163" s="591">
        <v>0</v>
      </c>
      <c r="IY163" s="591">
        <v>0</v>
      </c>
      <c r="IZ163" s="591">
        <v>0</v>
      </c>
      <c r="JA163" s="591">
        <v>0</v>
      </c>
      <c r="JB163" s="591">
        <v>0</v>
      </c>
      <c r="JC163" s="591">
        <v>0</v>
      </c>
      <c r="JD163" s="591">
        <v>0</v>
      </c>
      <c r="JE163" s="591">
        <v>0</v>
      </c>
      <c r="JF163" s="591">
        <v>0</v>
      </c>
      <c r="JG163" s="591">
        <v>0</v>
      </c>
      <c r="JH163" s="591">
        <v>0</v>
      </c>
      <c r="JI163" s="591">
        <v>0</v>
      </c>
      <c r="JJ163" s="591">
        <v>0</v>
      </c>
      <c r="JK163" s="591">
        <v>0</v>
      </c>
      <c r="JL163" s="591">
        <v>0</v>
      </c>
      <c r="JM163" s="591">
        <v>0</v>
      </c>
      <c r="JN163" s="591">
        <v>32469</v>
      </c>
    </row>
    <row r="164" spans="1:274" x14ac:dyDescent="0.25">
      <c r="A164" s="591">
        <v>32570</v>
      </c>
      <c r="B164" s="591">
        <v>220815</v>
      </c>
      <c r="C164" s="591">
        <v>9</v>
      </c>
      <c r="D164" s="591">
        <v>2022</v>
      </c>
      <c r="E164" s="591">
        <v>6159</v>
      </c>
      <c r="F164" s="591">
        <v>0</v>
      </c>
      <c r="G164" s="591">
        <v>676.48500000000001</v>
      </c>
      <c r="H164" s="591">
        <v>654.21400000000006</v>
      </c>
      <c r="I164" s="591">
        <v>654.21400000000006</v>
      </c>
      <c r="J164" s="591">
        <v>676.48500000000001</v>
      </c>
      <c r="K164" s="591">
        <v>0</v>
      </c>
      <c r="L164" s="591">
        <v>6159</v>
      </c>
      <c r="M164" s="591">
        <v>0</v>
      </c>
      <c r="N164" s="591">
        <v>0</v>
      </c>
      <c r="O164" s="591">
        <v>0</v>
      </c>
      <c r="P164" s="591">
        <v>697.79200000000003</v>
      </c>
      <c r="Q164" s="591">
        <v>0</v>
      </c>
      <c r="R164" s="591">
        <v>280811</v>
      </c>
      <c r="S164" s="591">
        <v>402.428</v>
      </c>
      <c r="T164" s="591">
        <v>0</v>
      </c>
      <c r="U164" s="591">
        <v>0</v>
      </c>
      <c r="V164" s="591">
        <v>59.734999999999999</v>
      </c>
      <c r="W164" s="591">
        <v>36791</v>
      </c>
      <c r="X164" s="591">
        <v>36791</v>
      </c>
      <c r="Y164" s="591">
        <v>0</v>
      </c>
      <c r="Z164" s="591">
        <v>0</v>
      </c>
      <c r="AA164" s="591">
        <v>0</v>
      </c>
      <c r="AB164" s="591">
        <v>0</v>
      </c>
      <c r="AC164" s="591">
        <v>0</v>
      </c>
      <c r="AD164" s="591" t="s">
        <v>316</v>
      </c>
      <c r="AE164" s="591">
        <v>0</v>
      </c>
      <c r="AF164" s="591">
        <v>0</v>
      </c>
      <c r="AG164" s="591">
        <v>0</v>
      </c>
      <c r="AH164" s="591">
        <v>0</v>
      </c>
      <c r="AI164" s="591">
        <v>0</v>
      </c>
      <c r="AJ164" s="591">
        <v>6159</v>
      </c>
      <c r="AK164" s="591" t="s">
        <v>671</v>
      </c>
      <c r="AL164" s="591" t="s">
        <v>363</v>
      </c>
      <c r="AM164" s="591">
        <v>0</v>
      </c>
      <c r="AN164" s="591">
        <v>0</v>
      </c>
      <c r="AO164" s="591">
        <v>0</v>
      </c>
      <c r="AP164" s="591">
        <v>0</v>
      </c>
      <c r="AQ164" s="591">
        <v>0</v>
      </c>
      <c r="AR164" s="591">
        <v>0</v>
      </c>
      <c r="AS164" s="591">
        <v>0</v>
      </c>
      <c r="AT164" s="591">
        <v>0</v>
      </c>
      <c r="AU164" s="591">
        <v>0</v>
      </c>
      <c r="AV164" s="591">
        <v>0</v>
      </c>
      <c r="AW164" s="591">
        <v>6704004</v>
      </c>
      <c r="AX164" s="591">
        <v>6583260</v>
      </c>
      <c r="AY164" s="591">
        <v>0</v>
      </c>
      <c r="AZ164" s="591">
        <v>280811</v>
      </c>
      <c r="BA164" s="591">
        <v>0</v>
      </c>
      <c r="BB164" s="591">
        <v>0</v>
      </c>
      <c r="BC164" s="591">
        <v>0</v>
      </c>
      <c r="BD164" s="591">
        <v>5.7860000000000005</v>
      </c>
      <c r="BE164" s="591">
        <v>88</v>
      </c>
      <c r="BF164" s="591">
        <v>6102971</v>
      </c>
      <c r="BG164" s="591">
        <v>0</v>
      </c>
      <c r="BH164" s="591">
        <v>0</v>
      </c>
      <c r="BI164" s="591">
        <v>0</v>
      </c>
      <c r="BJ164" s="591">
        <v>12</v>
      </c>
      <c r="BK164" s="591">
        <v>0</v>
      </c>
      <c r="BL164" s="591">
        <v>0</v>
      </c>
      <c r="BM164" s="591">
        <v>0</v>
      </c>
      <c r="BN164" s="591">
        <v>0</v>
      </c>
      <c r="BO164" s="591">
        <v>0</v>
      </c>
      <c r="BP164" s="591">
        <v>0</v>
      </c>
      <c r="BQ164" s="591">
        <v>669</v>
      </c>
      <c r="BR164" s="591">
        <v>0</v>
      </c>
      <c r="BS164" s="591">
        <v>0</v>
      </c>
      <c r="BT164" s="591">
        <v>0</v>
      </c>
      <c r="BU164" s="591">
        <v>0</v>
      </c>
      <c r="BV164" s="591">
        <v>0</v>
      </c>
      <c r="BW164" s="591">
        <v>0</v>
      </c>
      <c r="BX164" s="591">
        <v>0</v>
      </c>
      <c r="BY164" s="591">
        <v>0</v>
      </c>
      <c r="BZ164" s="591">
        <v>0</v>
      </c>
      <c r="CA164" s="591">
        <v>0</v>
      </c>
      <c r="CB164" s="591">
        <v>0</v>
      </c>
      <c r="CC164" s="591">
        <v>0</v>
      </c>
      <c r="CD164" s="591">
        <v>0</v>
      </c>
      <c r="CE164" s="591">
        <v>0</v>
      </c>
      <c r="CF164" s="591">
        <v>0</v>
      </c>
      <c r="CG164" s="591">
        <v>0</v>
      </c>
      <c r="CH164" s="591">
        <v>122586</v>
      </c>
      <c r="CI164" s="591">
        <v>0</v>
      </c>
      <c r="CJ164" s="591">
        <v>4</v>
      </c>
      <c r="CK164" s="591">
        <v>0</v>
      </c>
      <c r="CL164" s="591">
        <v>0</v>
      </c>
      <c r="CM164" s="591">
        <v>0</v>
      </c>
      <c r="CN164" s="591">
        <v>0</v>
      </c>
      <c r="CO164" s="591">
        <v>1</v>
      </c>
      <c r="CP164" s="591">
        <v>0</v>
      </c>
      <c r="CQ164" s="591">
        <v>0</v>
      </c>
      <c r="CR164" s="591">
        <v>676.48500000000001</v>
      </c>
      <c r="CS164" s="591">
        <v>0</v>
      </c>
      <c r="CT164" s="591">
        <v>0</v>
      </c>
      <c r="CU164" s="591">
        <v>0</v>
      </c>
      <c r="CV164" s="591">
        <v>0</v>
      </c>
      <c r="CW164" s="591">
        <v>0</v>
      </c>
      <c r="CX164" s="591">
        <v>0</v>
      </c>
      <c r="CY164" s="591">
        <v>0</v>
      </c>
      <c r="CZ164" s="591">
        <v>0</v>
      </c>
      <c r="DA164" s="591">
        <v>0</v>
      </c>
      <c r="DB164" s="591">
        <v>4029358</v>
      </c>
      <c r="DC164" s="591">
        <v>0</v>
      </c>
      <c r="DD164" s="591">
        <v>0</v>
      </c>
      <c r="DE164" s="591">
        <v>707448</v>
      </c>
      <c r="DF164" s="591">
        <v>707448</v>
      </c>
      <c r="DG164" s="591">
        <v>114.863</v>
      </c>
      <c r="DH164" s="591">
        <v>0</v>
      </c>
      <c r="DI164" s="591">
        <v>0</v>
      </c>
      <c r="DJ164" s="591">
        <v>0</v>
      </c>
      <c r="DK164" s="591">
        <v>2330</v>
      </c>
      <c r="DL164" s="591">
        <v>0</v>
      </c>
      <c r="DM164" s="591">
        <v>459789</v>
      </c>
      <c r="DN164" s="591">
        <v>1754</v>
      </c>
      <c r="DO164" s="591">
        <v>0</v>
      </c>
      <c r="DP164" s="591">
        <v>0</v>
      </c>
      <c r="DQ164" s="591">
        <v>0</v>
      </c>
      <c r="DR164" s="591">
        <v>0</v>
      </c>
      <c r="DS164" s="591">
        <v>0</v>
      </c>
      <c r="DT164" s="591">
        <v>0</v>
      </c>
      <c r="DU164" s="591">
        <v>0</v>
      </c>
      <c r="DV164" s="591">
        <v>0</v>
      </c>
      <c r="DW164" s="591">
        <v>0</v>
      </c>
      <c r="DX164" s="591">
        <v>0</v>
      </c>
      <c r="DY164" s="591">
        <v>0</v>
      </c>
      <c r="DZ164" s="591">
        <v>0</v>
      </c>
      <c r="EA164" s="591">
        <v>0</v>
      </c>
      <c r="EB164" s="591">
        <v>0</v>
      </c>
      <c r="EC164" s="591">
        <v>4.04</v>
      </c>
      <c r="ED164" s="591">
        <v>28615</v>
      </c>
      <c r="EE164" s="591">
        <v>0</v>
      </c>
      <c r="EF164" s="591">
        <v>0</v>
      </c>
      <c r="EG164" s="591">
        <v>0</v>
      </c>
      <c r="EH164" s="591">
        <v>432928</v>
      </c>
      <c r="EI164" s="591">
        <v>0</v>
      </c>
      <c r="EJ164" s="591">
        <v>0</v>
      </c>
      <c r="EK164" s="591">
        <v>20.532</v>
      </c>
      <c r="EL164" s="591">
        <v>0</v>
      </c>
      <c r="EM164" s="591">
        <v>0</v>
      </c>
      <c r="EN164" s="591">
        <v>1.7390000000000001</v>
      </c>
      <c r="EO164" s="591">
        <v>0</v>
      </c>
      <c r="EP164" s="591">
        <v>0</v>
      </c>
      <c r="EQ164" s="591">
        <v>22.271000000000001</v>
      </c>
      <c r="ER164" s="591">
        <v>0</v>
      </c>
      <c r="ES164" s="591">
        <v>70.290999999999997</v>
      </c>
      <c r="ET164" s="591">
        <v>0</v>
      </c>
      <c r="EU164" s="591">
        <v>0</v>
      </c>
      <c r="EV164" s="591">
        <v>0</v>
      </c>
      <c r="EW164" s="591">
        <v>0</v>
      </c>
      <c r="EX164" s="591">
        <v>0</v>
      </c>
      <c r="EY164" s="591">
        <v>0</v>
      </c>
      <c r="EZ164" s="591">
        <v>5822160</v>
      </c>
      <c r="FA164" s="591">
        <v>0</v>
      </c>
      <c r="FB164" s="591">
        <v>6101129</v>
      </c>
      <c r="FC164" s="591">
        <v>0</v>
      </c>
      <c r="FD164" s="591">
        <v>0</v>
      </c>
      <c r="FE164" s="591">
        <v>632157</v>
      </c>
      <c r="FF164" s="591">
        <v>128943</v>
      </c>
      <c r="FG164" s="591">
        <v>6.4728999999999995E-2</v>
      </c>
      <c r="FH164" s="591">
        <v>2.6405999999999999E-2</v>
      </c>
      <c r="FI164" s="591">
        <v>0</v>
      </c>
      <c r="FJ164" s="591">
        <v>0</v>
      </c>
      <c r="FK164" s="591">
        <v>990.89</v>
      </c>
      <c r="FL164" s="591">
        <v>6984815</v>
      </c>
      <c r="FM164" s="591">
        <v>0</v>
      </c>
      <c r="FN164" s="591">
        <v>0</v>
      </c>
      <c r="FO164" s="591">
        <v>0</v>
      </c>
      <c r="FP164" s="591">
        <v>0</v>
      </c>
      <c r="FQ164" s="591">
        <v>0</v>
      </c>
      <c r="FR164" s="591">
        <v>0</v>
      </c>
      <c r="FS164" s="591">
        <v>0</v>
      </c>
      <c r="FT164" s="591">
        <v>0</v>
      </c>
      <c r="FU164" s="591">
        <v>0</v>
      </c>
      <c r="FV164" s="591">
        <v>0</v>
      </c>
      <c r="FW164" s="591">
        <v>0</v>
      </c>
      <c r="FX164" s="591">
        <v>0</v>
      </c>
      <c r="FY164" s="591">
        <v>0</v>
      </c>
      <c r="FZ164" s="591">
        <v>0</v>
      </c>
      <c r="GA164" s="591">
        <v>0</v>
      </c>
      <c r="GB164" s="591">
        <v>0</v>
      </c>
      <c r="GC164" s="591">
        <v>0</v>
      </c>
      <c r="GD164" s="591">
        <v>0</v>
      </c>
      <c r="GE164" s="591">
        <v>0</v>
      </c>
      <c r="GF164" s="591">
        <v>0</v>
      </c>
      <c r="GG164" s="591">
        <v>0</v>
      </c>
      <c r="GH164" s="591">
        <v>0</v>
      </c>
      <c r="GI164" s="591">
        <v>0</v>
      </c>
      <c r="GJ164" s="591">
        <v>0</v>
      </c>
      <c r="GK164" s="591">
        <v>0</v>
      </c>
      <c r="GL164" s="591">
        <v>0</v>
      </c>
      <c r="GM164" s="591">
        <v>0</v>
      </c>
      <c r="GN164" s="591">
        <v>0</v>
      </c>
      <c r="GO164" s="591">
        <v>0</v>
      </c>
      <c r="GP164" s="591">
        <v>0</v>
      </c>
      <c r="GQ164" s="591">
        <v>0</v>
      </c>
      <c r="GR164" s="591">
        <v>0</v>
      </c>
      <c r="GS164" s="591">
        <v>0</v>
      </c>
      <c r="GT164" s="591">
        <v>0</v>
      </c>
      <c r="GU164" s="591">
        <v>0</v>
      </c>
      <c r="GV164" s="591">
        <v>0</v>
      </c>
      <c r="GW164" s="591">
        <v>0</v>
      </c>
      <c r="GX164" s="591">
        <v>0</v>
      </c>
      <c r="GY164" s="591">
        <v>0</v>
      </c>
      <c r="GZ164" s="591">
        <v>0</v>
      </c>
      <c r="HA164" s="591">
        <v>0</v>
      </c>
      <c r="HB164" s="591">
        <v>260009272</v>
      </c>
      <c r="HC164" s="591">
        <v>5.1774999999999995E-2</v>
      </c>
      <c r="HD164" s="591">
        <v>122586</v>
      </c>
      <c r="HE164" s="591">
        <v>0</v>
      </c>
      <c r="HF164" s="591">
        <v>718981</v>
      </c>
      <c r="HG164" s="591">
        <v>9239</v>
      </c>
      <c r="HH164" s="591">
        <v>133036</v>
      </c>
      <c r="HI164" s="591">
        <v>0</v>
      </c>
      <c r="HJ164" s="591">
        <v>6575</v>
      </c>
      <c r="HK164" s="591">
        <v>0</v>
      </c>
      <c r="HL164" s="591">
        <v>0</v>
      </c>
      <c r="HM164" s="591">
        <v>0</v>
      </c>
      <c r="HN164" s="591">
        <v>0</v>
      </c>
      <c r="HO164" s="591">
        <v>0</v>
      </c>
      <c r="HP164" s="591">
        <v>0</v>
      </c>
      <c r="HQ164" s="591">
        <v>0</v>
      </c>
      <c r="HR164" s="591">
        <v>0</v>
      </c>
      <c r="HS164" s="591">
        <v>5820318</v>
      </c>
      <c r="HT164" s="591">
        <v>0</v>
      </c>
      <c r="HU164" s="591">
        <v>0</v>
      </c>
      <c r="HV164" s="591">
        <v>0</v>
      </c>
      <c r="HW164" s="591">
        <v>0</v>
      </c>
      <c r="HX164" s="591">
        <v>57</v>
      </c>
      <c r="HY164" s="591">
        <v>171</v>
      </c>
      <c r="HZ164" s="591">
        <v>73</v>
      </c>
      <c r="IA164" s="591">
        <v>88</v>
      </c>
      <c r="IB164" s="591">
        <v>73</v>
      </c>
      <c r="IC164" s="591">
        <v>462</v>
      </c>
      <c r="ID164" s="591">
        <v>0</v>
      </c>
      <c r="IE164" s="591">
        <v>0</v>
      </c>
      <c r="IF164" s="591">
        <v>0</v>
      </c>
      <c r="IG164" s="591">
        <v>15</v>
      </c>
      <c r="IH164" s="591">
        <v>216</v>
      </c>
      <c r="II164" s="591">
        <v>0</v>
      </c>
      <c r="IJ164" s="591">
        <v>59.734999999999999</v>
      </c>
      <c r="IK164" s="591">
        <v>0</v>
      </c>
      <c r="IL164" s="591">
        <v>0</v>
      </c>
      <c r="IM164" s="591">
        <v>0</v>
      </c>
      <c r="IN164" s="591">
        <v>0</v>
      </c>
      <c r="IO164" s="591">
        <v>0</v>
      </c>
      <c r="IP164" s="591">
        <v>0</v>
      </c>
      <c r="IQ164" s="591">
        <v>59.734999999999999</v>
      </c>
      <c r="IR164" s="591">
        <v>36791</v>
      </c>
      <c r="IS164" s="591">
        <v>0</v>
      </c>
      <c r="IT164" s="591">
        <v>0</v>
      </c>
      <c r="IU164" s="591">
        <v>0</v>
      </c>
      <c r="IV164" s="591">
        <v>0</v>
      </c>
      <c r="IW164" s="591">
        <v>6159</v>
      </c>
      <c r="IX164" s="591">
        <v>0</v>
      </c>
      <c r="IY164" s="591">
        <v>0</v>
      </c>
      <c r="IZ164" s="591">
        <v>0</v>
      </c>
      <c r="JA164" s="591">
        <v>0</v>
      </c>
      <c r="JB164" s="591">
        <v>0</v>
      </c>
      <c r="JC164" s="591">
        <v>0</v>
      </c>
      <c r="JD164" s="591">
        <v>0</v>
      </c>
      <c r="JE164" s="591">
        <v>0</v>
      </c>
      <c r="JF164" s="591">
        <v>0</v>
      </c>
      <c r="JG164" s="591">
        <v>0</v>
      </c>
      <c r="JH164" s="591">
        <v>0</v>
      </c>
      <c r="JI164" s="591">
        <v>0</v>
      </c>
      <c r="JJ164" s="591">
        <v>0</v>
      </c>
      <c r="JK164" s="591">
        <v>0</v>
      </c>
      <c r="JL164" s="591">
        <v>0</v>
      </c>
      <c r="JM164" s="591">
        <v>0</v>
      </c>
      <c r="JN164" s="591">
        <v>32469</v>
      </c>
    </row>
    <row r="165" spans="1:274" x14ac:dyDescent="0.25">
      <c r="A165" s="591">
        <v>32570</v>
      </c>
      <c r="B165" s="591">
        <v>220817</v>
      </c>
      <c r="C165" s="591">
        <v>9</v>
      </c>
      <c r="D165" s="591">
        <v>2022</v>
      </c>
      <c r="E165" s="591">
        <v>6159</v>
      </c>
      <c r="F165" s="591">
        <v>0</v>
      </c>
      <c r="G165" s="591">
        <v>2828.002</v>
      </c>
      <c r="H165" s="591">
        <v>2606.7760000000003</v>
      </c>
      <c r="I165" s="591">
        <v>2606.7760000000003</v>
      </c>
      <c r="J165" s="591">
        <v>2828.002</v>
      </c>
      <c r="K165" s="591">
        <v>0</v>
      </c>
      <c r="L165" s="591">
        <v>6159</v>
      </c>
      <c r="M165" s="591">
        <v>0</v>
      </c>
      <c r="N165" s="591">
        <v>0</v>
      </c>
      <c r="O165" s="591">
        <v>0</v>
      </c>
      <c r="P165" s="591">
        <v>2797.0990000000002</v>
      </c>
      <c r="Q165" s="591">
        <v>0</v>
      </c>
      <c r="R165" s="591">
        <v>1125631</v>
      </c>
      <c r="S165" s="591">
        <v>402.428</v>
      </c>
      <c r="T165" s="591">
        <v>0</v>
      </c>
      <c r="U165" s="591">
        <v>0</v>
      </c>
      <c r="V165" s="591">
        <v>322.01900000000001</v>
      </c>
      <c r="W165" s="591">
        <v>198334</v>
      </c>
      <c r="X165" s="591">
        <v>198334</v>
      </c>
      <c r="Y165" s="591">
        <v>0</v>
      </c>
      <c r="Z165" s="591">
        <v>0</v>
      </c>
      <c r="AA165" s="591">
        <v>0</v>
      </c>
      <c r="AB165" s="591">
        <v>0</v>
      </c>
      <c r="AC165" s="591">
        <v>0</v>
      </c>
      <c r="AD165" s="591" t="s">
        <v>316</v>
      </c>
      <c r="AE165" s="591">
        <v>0</v>
      </c>
      <c r="AF165" s="591">
        <v>0</v>
      </c>
      <c r="AG165" s="591">
        <v>0</v>
      </c>
      <c r="AH165" s="591">
        <v>0</v>
      </c>
      <c r="AI165" s="591">
        <v>0</v>
      </c>
      <c r="AJ165" s="591">
        <v>6159</v>
      </c>
      <c r="AK165" s="591" t="s">
        <v>671</v>
      </c>
      <c r="AL165" s="591" t="s">
        <v>364</v>
      </c>
      <c r="AM165" s="591">
        <v>0</v>
      </c>
      <c r="AN165" s="591">
        <v>0</v>
      </c>
      <c r="AO165" s="591">
        <v>0</v>
      </c>
      <c r="AP165" s="591">
        <v>0</v>
      </c>
      <c r="AQ165" s="591">
        <v>0</v>
      </c>
      <c r="AR165" s="591">
        <v>0</v>
      </c>
      <c r="AS165" s="591">
        <v>0</v>
      </c>
      <c r="AT165" s="591">
        <v>0</v>
      </c>
      <c r="AU165" s="591">
        <v>0</v>
      </c>
      <c r="AV165" s="591">
        <v>0</v>
      </c>
      <c r="AW165" s="591">
        <v>27227487</v>
      </c>
      <c r="AX165" s="591">
        <v>26719972</v>
      </c>
      <c r="AY165" s="591">
        <v>0</v>
      </c>
      <c r="AZ165" s="591">
        <v>1125631</v>
      </c>
      <c r="BA165" s="591">
        <v>0</v>
      </c>
      <c r="BB165" s="591">
        <v>0</v>
      </c>
      <c r="BC165" s="591">
        <v>0</v>
      </c>
      <c r="BD165" s="591">
        <v>0</v>
      </c>
      <c r="BE165" s="591">
        <v>356</v>
      </c>
      <c r="BF165" s="591">
        <v>24745108</v>
      </c>
      <c r="BG165" s="591">
        <v>0</v>
      </c>
      <c r="BH165" s="591">
        <v>0</v>
      </c>
      <c r="BI165" s="591">
        <v>0</v>
      </c>
      <c r="BJ165" s="591">
        <v>12</v>
      </c>
      <c r="BK165" s="591">
        <v>0</v>
      </c>
      <c r="BL165" s="591">
        <v>0</v>
      </c>
      <c r="BM165" s="591">
        <v>0</v>
      </c>
      <c r="BN165" s="591">
        <v>0</v>
      </c>
      <c r="BO165" s="591">
        <v>0</v>
      </c>
      <c r="BP165" s="591">
        <v>0</v>
      </c>
      <c r="BQ165" s="591">
        <v>368</v>
      </c>
      <c r="BR165" s="591">
        <v>0</v>
      </c>
      <c r="BS165" s="591">
        <v>0</v>
      </c>
      <c r="BT165" s="591">
        <v>0</v>
      </c>
      <c r="BU165" s="591">
        <v>0</v>
      </c>
      <c r="BV165" s="591">
        <v>0</v>
      </c>
      <c r="BW165" s="591">
        <v>0</v>
      </c>
      <c r="BX165" s="591">
        <v>0</v>
      </c>
      <c r="BY165" s="591">
        <v>0</v>
      </c>
      <c r="BZ165" s="591">
        <v>0</v>
      </c>
      <c r="CA165" s="591">
        <v>0</v>
      </c>
      <c r="CB165" s="591">
        <v>0</v>
      </c>
      <c r="CC165" s="591">
        <v>0</v>
      </c>
      <c r="CD165" s="591">
        <v>0</v>
      </c>
      <c r="CE165" s="591">
        <v>0</v>
      </c>
      <c r="CF165" s="591">
        <v>0</v>
      </c>
      <c r="CG165" s="591">
        <v>0</v>
      </c>
      <c r="CH165" s="591">
        <v>512464</v>
      </c>
      <c r="CI165" s="591">
        <v>0</v>
      </c>
      <c r="CJ165" s="591">
        <v>4</v>
      </c>
      <c r="CK165" s="591">
        <v>0</v>
      </c>
      <c r="CL165" s="591">
        <v>0</v>
      </c>
      <c r="CM165" s="591">
        <v>0</v>
      </c>
      <c r="CN165" s="591">
        <v>0</v>
      </c>
      <c r="CO165" s="591">
        <v>1</v>
      </c>
      <c r="CP165" s="591">
        <v>0</v>
      </c>
      <c r="CQ165" s="591">
        <v>0</v>
      </c>
      <c r="CR165" s="591">
        <v>2828.002</v>
      </c>
      <c r="CS165" s="591">
        <v>0</v>
      </c>
      <c r="CT165" s="591">
        <v>0</v>
      </c>
      <c r="CU165" s="591">
        <v>0</v>
      </c>
      <c r="CV165" s="591">
        <v>0</v>
      </c>
      <c r="CW165" s="591">
        <v>0</v>
      </c>
      <c r="CX165" s="591">
        <v>0</v>
      </c>
      <c r="CY165" s="591">
        <v>0</v>
      </c>
      <c r="CZ165" s="591">
        <v>0</v>
      </c>
      <c r="DA165" s="591">
        <v>0</v>
      </c>
      <c r="DB165" s="591">
        <v>15950437</v>
      </c>
      <c r="DC165" s="591">
        <v>0</v>
      </c>
      <c r="DD165" s="591">
        <v>0</v>
      </c>
      <c r="DE165" s="591">
        <v>2365011</v>
      </c>
      <c r="DF165" s="591">
        <v>2365011</v>
      </c>
      <c r="DG165" s="591">
        <v>383.988</v>
      </c>
      <c r="DH165" s="591">
        <v>0</v>
      </c>
      <c r="DI165" s="591">
        <v>0</v>
      </c>
      <c r="DJ165" s="591">
        <v>0</v>
      </c>
      <c r="DK165" s="591">
        <v>0</v>
      </c>
      <c r="DL165" s="591">
        <v>0</v>
      </c>
      <c r="DM165" s="591">
        <v>1308755</v>
      </c>
      <c r="DN165" s="591">
        <v>4593</v>
      </c>
      <c r="DO165" s="591">
        <v>0</v>
      </c>
      <c r="DP165" s="591">
        <v>0</v>
      </c>
      <c r="DQ165" s="591">
        <v>0</v>
      </c>
      <c r="DR165" s="591">
        <v>0</v>
      </c>
      <c r="DS165" s="591">
        <v>0</v>
      </c>
      <c r="DT165" s="591">
        <v>0</v>
      </c>
      <c r="DU165" s="591">
        <v>0</v>
      </c>
      <c r="DV165" s="591">
        <v>0</v>
      </c>
      <c r="DW165" s="591">
        <v>0</v>
      </c>
      <c r="DX165" s="591">
        <v>0</v>
      </c>
      <c r="DY165" s="591">
        <v>0</v>
      </c>
      <c r="DZ165" s="591">
        <v>0</v>
      </c>
      <c r="EA165" s="591">
        <v>0</v>
      </c>
      <c r="EB165" s="591">
        <v>0.58500000000000008</v>
      </c>
      <c r="EC165" s="591">
        <v>69.12700000000001</v>
      </c>
      <c r="ED165" s="591">
        <v>489623</v>
      </c>
      <c r="EE165" s="591">
        <v>0</v>
      </c>
      <c r="EF165" s="591">
        <v>0</v>
      </c>
      <c r="EG165" s="591">
        <v>0</v>
      </c>
      <c r="EH165" s="591">
        <v>718814</v>
      </c>
      <c r="EI165" s="591">
        <v>0</v>
      </c>
      <c r="EJ165" s="591">
        <v>0</v>
      </c>
      <c r="EK165" s="591">
        <v>28.044</v>
      </c>
      <c r="EL165" s="591">
        <v>0</v>
      </c>
      <c r="EM165" s="591">
        <v>4.4020000000000001</v>
      </c>
      <c r="EN165" s="591">
        <v>3.5230000000000001</v>
      </c>
      <c r="EO165" s="591">
        <v>0</v>
      </c>
      <c r="EP165" s="591">
        <v>0</v>
      </c>
      <c r="EQ165" s="591">
        <v>36.554000000000002</v>
      </c>
      <c r="ER165" s="591">
        <v>0</v>
      </c>
      <c r="ES165" s="591">
        <v>116.70800000000001</v>
      </c>
      <c r="ET165" s="591">
        <v>0</v>
      </c>
      <c r="EU165" s="591">
        <v>0</v>
      </c>
      <c r="EV165" s="591">
        <v>0</v>
      </c>
      <c r="EW165" s="591">
        <v>0</v>
      </c>
      <c r="EX165" s="591">
        <v>0</v>
      </c>
      <c r="EY165" s="591">
        <v>0</v>
      </c>
      <c r="EZ165" s="591">
        <v>23634016</v>
      </c>
      <c r="FA165" s="591">
        <v>0</v>
      </c>
      <c r="FB165" s="591">
        <v>24754698</v>
      </c>
      <c r="FC165" s="591">
        <v>0</v>
      </c>
      <c r="FD165" s="591">
        <v>0</v>
      </c>
      <c r="FE165" s="591">
        <v>2563143</v>
      </c>
      <c r="FF165" s="591">
        <v>522813</v>
      </c>
      <c r="FG165" s="591">
        <v>6.4728999999999995E-2</v>
      </c>
      <c r="FH165" s="591">
        <v>2.6405999999999999E-2</v>
      </c>
      <c r="FI165" s="591">
        <v>0</v>
      </c>
      <c r="FJ165" s="591">
        <v>0</v>
      </c>
      <c r="FK165" s="591">
        <v>4017.6610000000001</v>
      </c>
      <c r="FL165" s="591">
        <v>28353118</v>
      </c>
      <c r="FM165" s="591">
        <v>0</v>
      </c>
      <c r="FN165" s="591">
        <v>0</v>
      </c>
      <c r="FO165" s="591">
        <v>0</v>
      </c>
      <c r="FP165" s="591">
        <v>0</v>
      </c>
      <c r="FQ165" s="591">
        <v>0</v>
      </c>
      <c r="FR165" s="591">
        <v>0</v>
      </c>
      <c r="FS165" s="591">
        <v>0</v>
      </c>
      <c r="FT165" s="591">
        <v>0</v>
      </c>
      <c r="FU165" s="591">
        <v>0</v>
      </c>
      <c r="FV165" s="591">
        <v>0</v>
      </c>
      <c r="FW165" s="591">
        <v>0</v>
      </c>
      <c r="FX165" s="591">
        <v>0</v>
      </c>
      <c r="FY165" s="591">
        <v>0</v>
      </c>
      <c r="FZ165" s="591">
        <v>0</v>
      </c>
      <c r="GA165" s="591">
        <v>0</v>
      </c>
      <c r="GB165" s="591">
        <v>1535504</v>
      </c>
      <c r="GC165" s="591">
        <v>1535504</v>
      </c>
      <c r="GD165" s="591">
        <v>184.672</v>
      </c>
      <c r="GE165" s="591">
        <v>0</v>
      </c>
      <c r="GF165" s="591">
        <v>0</v>
      </c>
      <c r="GG165" s="591">
        <v>0</v>
      </c>
      <c r="GH165" s="591">
        <v>0</v>
      </c>
      <c r="GI165" s="591">
        <v>0</v>
      </c>
      <c r="GJ165" s="591">
        <v>0</v>
      </c>
      <c r="GK165" s="591">
        <v>0</v>
      </c>
      <c r="GL165" s="591">
        <v>0</v>
      </c>
      <c r="GM165" s="591">
        <v>0</v>
      </c>
      <c r="GN165" s="591">
        <v>0</v>
      </c>
      <c r="GO165" s="591">
        <v>0</v>
      </c>
      <c r="GP165" s="591">
        <v>0</v>
      </c>
      <c r="GQ165" s="591">
        <v>0</v>
      </c>
      <c r="GR165" s="591">
        <v>0</v>
      </c>
      <c r="GS165" s="591">
        <v>0</v>
      </c>
      <c r="GT165" s="591">
        <v>0</v>
      </c>
      <c r="GU165" s="591">
        <v>0</v>
      </c>
      <c r="GV165" s="591">
        <v>0</v>
      </c>
      <c r="GW165" s="591">
        <v>0</v>
      </c>
      <c r="GX165" s="591">
        <v>0</v>
      </c>
      <c r="GY165" s="591">
        <v>0</v>
      </c>
      <c r="GZ165" s="591">
        <v>0</v>
      </c>
      <c r="HA165" s="591">
        <v>0</v>
      </c>
      <c r="HB165" s="591">
        <v>260009272</v>
      </c>
      <c r="HC165" s="591">
        <v>5.1774999999999995E-2</v>
      </c>
      <c r="HD165" s="591">
        <v>512464</v>
      </c>
      <c r="HE165" s="591">
        <v>0</v>
      </c>
      <c r="HF165" s="591">
        <v>2864847</v>
      </c>
      <c r="HG165" s="591">
        <v>59127</v>
      </c>
      <c r="HH165" s="591">
        <v>390239</v>
      </c>
      <c r="HI165" s="591">
        <v>0</v>
      </c>
      <c r="HJ165" s="591">
        <v>27488</v>
      </c>
      <c r="HK165" s="591">
        <v>6606</v>
      </c>
      <c r="HL165" s="591">
        <v>7933</v>
      </c>
      <c r="HM165" s="591">
        <v>5000</v>
      </c>
      <c r="HN165" s="591">
        <v>35773</v>
      </c>
      <c r="HO165" s="591">
        <v>0</v>
      </c>
      <c r="HP165" s="591">
        <v>0</v>
      </c>
      <c r="HQ165" s="591">
        <v>0</v>
      </c>
      <c r="HR165" s="591">
        <v>0</v>
      </c>
      <c r="HS165" s="591">
        <v>23629067</v>
      </c>
      <c r="HT165" s="591">
        <v>0</v>
      </c>
      <c r="HU165" s="591">
        <v>0</v>
      </c>
      <c r="HV165" s="591">
        <v>0</v>
      </c>
      <c r="HW165" s="591">
        <v>0</v>
      </c>
      <c r="HX165" s="591">
        <v>347</v>
      </c>
      <c r="HY165" s="591">
        <v>352</v>
      </c>
      <c r="HZ165" s="591">
        <v>238</v>
      </c>
      <c r="IA165" s="591">
        <v>307</v>
      </c>
      <c r="IB165" s="591">
        <v>299</v>
      </c>
      <c r="IC165" s="591">
        <v>1543</v>
      </c>
      <c r="ID165" s="591">
        <v>0</v>
      </c>
      <c r="IE165" s="591">
        <v>0</v>
      </c>
      <c r="IF165" s="591">
        <v>0</v>
      </c>
      <c r="IG165" s="591">
        <v>96</v>
      </c>
      <c r="IH165" s="591">
        <v>633.6</v>
      </c>
      <c r="II165" s="591">
        <v>0</v>
      </c>
      <c r="IJ165" s="591">
        <v>322.01900000000001</v>
      </c>
      <c r="IK165" s="591">
        <v>0</v>
      </c>
      <c r="IL165" s="591">
        <v>1</v>
      </c>
      <c r="IM165" s="591">
        <v>0</v>
      </c>
      <c r="IN165" s="591">
        <v>0</v>
      </c>
      <c r="IO165" s="591">
        <v>1</v>
      </c>
      <c r="IP165" s="591">
        <v>0</v>
      </c>
      <c r="IQ165" s="591">
        <v>322.01900000000001</v>
      </c>
      <c r="IR165" s="591">
        <v>198334</v>
      </c>
      <c r="IS165" s="591">
        <v>0</v>
      </c>
      <c r="IT165" s="591">
        <v>5000</v>
      </c>
      <c r="IU165" s="591">
        <v>0</v>
      </c>
      <c r="IV165" s="591">
        <v>0</v>
      </c>
      <c r="IW165" s="591">
        <v>6159</v>
      </c>
      <c r="IX165" s="591">
        <v>0</v>
      </c>
      <c r="IY165" s="591">
        <v>0</v>
      </c>
      <c r="IZ165" s="591">
        <v>0</v>
      </c>
      <c r="JA165" s="591">
        <v>0</v>
      </c>
      <c r="JB165" s="591">
        <v>1</v>
      </c>
      <c r="JC165" s="591">
        <v>13409</v>
      </c>
      <c r="JD165" s="591">
        <v>2</v>
      </c>
      <c r="JE165" s="591">
        <v>20864</v>
      </c>
      <c r="JF165" s="591">
        <v>0</v>
      </c>
      <c r="JG165" s="591">
        <v>0</v>
      </c>
      <c r="JH165" s="591">
        <v>1500</v>
      </c>
      <c r="JI165" s="591">
        <v>0</v>
      </c>
      <c r="JJ165" s="591">
        <v>0</v>
      </c>
      <c r="JK165" s="591">
        <v>0</v>
      </c>
      <c r="JL165" s="591">
        <v>0</v>
      </c>
      <c r="JM165" s="591">
        <v>0</v>
      </c>
      <c r="JN165" s="591">
        <v>32469</v>
      </c>
    </row>
    <row r="166" spans="1:274" x14ac:dyDescent="0.25">
      <c r="A166" s="591">
        <v>32570</v>
      </c>
      <c r="B166" s="591">
        <v>220819</v>
      </c>
      <c r="C166" s="591">
        <v>9</v>
      </c>
      <c r="D166" s="591">
        <v>2022</v>
      </c>
      <c r="E166" s="591">
        <v>6159</v>
      </c>
      <c r="F166" s="591">
        <v>0</v>
      </c>
      <c r="G166" s="591">
        <v>1501.835</v>
      </c>
      <c r="H166" s="591">
        <v>1430.934</v>
      </c>
      <c r="I166" s="591">
        <v>1430.934</v>
      </c>
      <c r="J166" s="591">
        <v>1501.835</v>
      </c>
      <c r="K166" s="591">
        <v>0</v>
      </c>
      <c r="L166" s="591">
        <v>6159</v>
      </c>
      <c r="M166" s="591">
        <v>0</v>
      </c>
      <c r="N166" s="591">
        <v>0</v>
      </c>
      <c r="O166" s="591">
        <v>0</v>
      </c>
      <c r="P166" s="591">
        <v>1500.923</v>
      </c>
      <c r="Q166" s="591">
        <v>0</v>
      </c>
      <c r="R166" s="591">
        <v>604013</v>
      </c>
      <c r="S166" s="591">
        <v>402.428</v>
      </c>
      <c r="T166" s="591">
        <v>0</v>
      </c>
      <c r="U166" s="591">
        <v>0</v>
      </c>
      <c r="V166" s="591">
        <v>89.748000000000005</v>
      </c>
      <c r="W166" s="591">
        <v>55277</v>
      </c>
      <c r="X166" s="591">
        <v>55277</v>
      </c>
      <c r="Y166" s="591">
        <v>0</v>
      </c>
      <c r="Z166" s="591">
        <v>0</v>
      </c>
      <c r="AA166" s="591">
        <v>0</v>
      </c>
      <c r="AB166" s="591">
        <v>0</v>
      </c>
      <c r="AC166" s="591">
        <v>0</v>
      </c>
      <c r="AD166" s="591" t="s">
        <v>316</v>
      </c>
      <c r="AE166" s="591">
        <v>0</v>
      </c>
      <c r="AF166" s="591">
        <v>0</v>
      </c>
      <c r="AG166" s="591">
        <v>0</v>
      </c>
      <c r="AH166" s="591">
        <v>0</v>
      </c>
      <c r="AI166" s="591">
        <v>0</v>
      </c>
      <c r="AJ166" s="591">
        <v>6159</v>
      </c>
      <c r="AK166" s="591" t="s">
        <v>671</v>
      </c>
      <c r="AL166" s="591" t="s">
        <v>373</v>
      </c>
      <c r="AM166" s="591">
        <v>0</v>
      </c>
      <c r="AN166" s="591">
        <v>0</v>
      </c>
      <c r="AO166" s="591">
        <v>0</v>
      </c>
      <c r="AP166" s="591">
        <v>0</v>
      </c>
      <c r="AQ166" s="591">
        <v>0</v>
      </c>
      <c r="AR166" s="591">
        <v>0</v>
      </c>
      <c r="AS166" s="591">
        <v>0</v>
      </c>
      <c r="AT166" s="591">
        <v>0</v>
      </c>
      <c r="AU166" s="591">
        <v>0</v>
      </c>
      <c r="AV166" s="591">
        <v>0</v>
      </c>
      <c r="AW166" s="591">
        <v>14032893</v>
      </c>
      <c r="AX166" s="591">
        <v>13764687</v>
      </c>
      <c r="AY166" s="591">
        <v>0</v>
      </c>
      <c r="AZ166" s="591">
        <v>604013</v>
      </c>
      <c r="BA166" s="591">
        <v>0</v>
      </c>
      <c r="BB166" s="591">
        <v>0</v>
      </c>
      <c r="BC166" s="591">
        <v>0</v>
      </c>
      <c r="BD166" s="591">
        <v>0</v>
      </c>
      <c r="BE166" s="591">
        <v>184</v>
      </c>
      <c r="BF166" s="591">
        <v>12772309</v>
      </c>
      <c r="BG166" s="591">
        <v>0</v>
      </c>
      <c r="BH166" s="591">
        <v>0</v>
      </c>
      <c r="BI166" s="591">
        <v>0</v>
      </c>
      <c r="BJ166" s="591">
        <v>12</v>
      </c>
      <c r="BK166" s="591">
        <v>0</v>
      </c>
      <c r="BL166" s="591">
        <v>0</v>
      </c>
      <c r="BM166" s="591">
        <v>0</v>
      </c>
      <c r="BN166" s="591">
        <v>0</v>
      </c>
      <c r="BO166" s="591">
        <v>0</v>
      </c>
      <c r="BP166" s="591">
        <v>0</v>
      </c>
      <c r="BQ166" s="591">
        <v>550</v>
      </c>
      <c r="BR166" s="591">
        <v>0</v>
      </c>
      <c r="BS166" s="591">
        <v>0</v>
      </c>
      <c r="BT166" s="591">
        <v>0</v>
      </c>
      <c r="BU166" s="591">
        <v>0</v>
      </c>
      <c r="BV166" s="591">
        <v>0</v>
      </c>
      <c r="BW166" s="591">
        <v>0</v>
      </c>
      <c r="BX166" s="591">
        <v>0</v>
      </c>
      <c r="BY166" s="591">
        <v>0</v>
      </c>
      <c r="BZ166" s="591">
        <v>0</v>
      </c>
      <c r="CA166" s="591">
        <v>0</v>
      </c>
      <c r="CB166" s="591">
        <v>0</v>
      </c>
      <c r="CC166" s="591">
        <v>0</v>
      </c>
      <c r="CD166" s="591">
        <v>0</v>
      </c>
      <c r="CE166" s="591">
        <v>0</v>
      </c>
      <c r="CF166" s="591">
        <v>0</v>
      </c>
      <c r="CG166" s="591">
        <v>0</v>
      </c>
      <c r="CH166" s="591">
        <v>272149</v>
      </c>
      <c r="CI166" s="591">
        <v>0</v>
      </c>
      <c r="CJ166" s="591">
        <v>5</v>
      </c>
      <c r="CK166" s="591">
        <v>0</v>
      </c>
      <c r="CL166" s="591">
        <v>0</v>
      </c>
      <c r="CM166" s="591">
        <v>0</v>
      </c>
      <c r="CN166" s="591">
        <v>0</v>
      </c>
      <c r="CO166" s="591">
        <v>1</v>
      </c>
      <c r="CP166" s="591">
        <v>0</v>
      </c>
      <c r="CQ166" s="591">
        <v>0</v>
      </c>
      <c r="CR166" s="591">
        <v>1501.835</v>
      </c>
      <c r="CS166" s="591">
        <v>0</v>
      </c>
      <c r="CT166" s="591">
        <v>0</v>
      </c>
      <c r="CU166" s="591">
        <v>0</v>
      </c>
      <c r="CV166" s="591">
        <v>0</v>
      </c>
      <c r="CW166" s="591">
        <v>0</v>
      </c>
      <c r="CX166" s="591">
        <v>0</v>
      </c>
      <c r="CY166" s="591">
        <v>0</v>
      </c>
      <c r="CZ166" s="591">
        <v>0</v>
      </c>
      <c r="DA166" s="591">
        <v>0</v>
      </c>
      <c r="DB166" s="591">
        <v>8789003</v>
      </c>
      <c r="DC166" s="591">
        <v>0</v>
      </c>
      <c r="DD166" s="591">
        <v>0</v>
      </c>
      <c r="DE166" s="591">
        <v>902921</v>
      </c>
      <c r="DF166" s="591">
        <v>902921</v>
      </c>
      <c r="DG166" s="591">
        <v>146.6</v>
      </c>
      <c r="DH166" s="591">
        <v>0</v>
      </c>
      <c r="DI166" s="591">
        <v>0</v>
      </c>
      <c r="DJ166" s="591">
        <v>0</v>
      </c>
      <c r="DK166" s="591">
        <v>417</v>
      </c>
      <c r="DL166" s="591">
        <v>0</v>
      </c>
      <c r="DM166" s="591">
        <v>1009538</v>
      </c>
      <c r="DN166" s="591">
        <v>3759</v>
      </c>
      <c r="DO166" s="591">
        <v>0</v>
      </c>
      <c r="DP166" s="591">
        <v>0</v>
      </c>
      <c r="DQ166" s="591">
        <v>0</v>
      </c>
      <c r="DR166" s="591">
        <v>0</v>
      </c>
      <c r="DS166" s="591">
        <v>0</v>
      </c>
      <c r="DT166" s="591">
        <v>0</v>
      </c>
      <c r="DU166" s="591">
        <v>0</v>
      </c>
      <c r="DV166" s="591">
        <v>0</v>
      </c>
      <c r="DW166" s="591">
        <v>0</v>
      </c>
      <c r="DX166" s="591">
        <v>0</v>
      </c>
      <c r="DY166" s="591">
        <v>0</v>
      </c>
      <c r="DZ166" s="591">
        <v>0</v>
      </c>
      <c r="EA166" s="591">
        <v>0</v>
      </c>
      <c r="EB166" s="591">
        <v>0</v>
      </c>
      <c r="EC166" s="591">
        <v>40.917000000000002</v>
      </c>
      <c r="ED166" s="591">
        <v>289813</v>
      </c>
      <c r="EE166" s="591">
        <v>0</v>
      </c>
      <c r="EF166" s="591">
        <v>0</v>
      </c>
      <c r="EG166" s="591">
        <v>0</v>
      </c>
      <c r="EH166" s="591">
        <v>699247</v>
      </c>
      <c r="EI166" s="591">
        <v>0</v>
      </c>
      <c r="EJ166" s="591">
        <v>0</v>
      </c>
      <c r="EK166" s="591">
        <v>32.027000000000001</v>
      </c>
      <c r="EL166" s="591">
        <v>0</v>
      </c>
      <c r="EM166" s="591">
        <v>0.55500000000000005</v>
      </c>
      <c r="EN166" s="591">
        <v>3.157</v>
      </c>
      <c r="EO166" s="591">
        <v>0</v>
      </c>
      <c r="EP166" s="591">
        <v>0</v>
      </c>
      <c r="EQ166" s="591">
        <v>35.739000000000004</v>
      </c>
      <c r="ER166" s="591">
        <v>0</v>
      </c>
      <c r="ES166" s="591">
        <v>113.53100000000001</v>
      </c>
      <c r="ET166" s="591">
        <v>0</v>
      </c>
      <c r="EU166" s="591">
        <v>0</v>
      </c>
      <c r="EV166" s="591">
        <v>0</v>
      </c>
      <c r="EW166" s="591">
        <v>0</v>
      </c>
      <c r="EX166" s="591">
        <v>0</v>
      </c>
      <c r="EY166" s="591">
        <v>0</v>
      </c>
      <c r="EZ166" s="591">
        <v>12171855</v>
      </c>
      <c r="FA166" s="591">
        <v>0</v>
      </c>
      <c r="FB166" s="591">
        <v>12771925</v>
      </c>
      <c r="FC166" s="591">
        <v>0</v>
      </c>
      <c r="FD166" s="591">
        <v>0</v>
      </c>
      <c r="FE166" s="591">
        <v>1322979</v>
      </c>
      <c r="FF166" s="591">
        <v>269853</v>
      </c>
      <c r="FG166" s="591">
        <v>6.4728999999999995E-2</v>
      </c>
      <c r="FH166" s="591">
        <v>2.6405999999999999E-2</v>
      </c>
      <c r="FI166" s="591">
        <v>0</v>
      </c>
      <c r="FJ166" s="591">
        <v>0</v>
      </c>
      <c r="FK166" s="591">
        <v>2073.7359999999999</v>
      </c>
      <c r="FL166" s="591">
        <v>14636906</v>
      </c>
      <c r="FM166" s="591">
        <v>0</v>
      </c>
      <c r="FN166" s="591">
        <v>0</v>
      </c>
      <c r="FO166" s="591">
        <v>0</v>
      </c>
      <c r="FP166" s="591">
        <v>0</v>
      </c>
      <c r="FQ166" s="591">
        <v>0</v>
      </c>
      <c r="FR166" s="591">
        <v>0</v>
      </c>
      <c r="FS166" s="591">
        <v>0</v>
      </c>
      <c r="FT166" s="591">
        <v>0</v>
      </c>
      <c r="FU166" s="591">
        <v>0</v>
      </c>
      <c r="FV166" s="591">
        <v>0</v>
      </c>
      <c r="FW166" s="591">
        <v>0</v>
      </c>
      <c r="FX166" s="591">
        <v>0</v>
      </c>
      <c r="FY166" s="591">
        <v>0</v>
      </c>
      <c r="FZ166" s="591">
        <v>0</v>
      </c>
      <c r="GA166" s="591">
        <v>0</v>
      </c>
      <c r="GB166" s="591">
        <v>292364</v>
      </c>
      <c r="GC166" s="591">
        <v>292364</v>
      </c>
      <c r="GD166" s="591">
        <v>35.161999999999999</v>
      </c>
      <c r="GE166" s="591">
        <v>0</v>
      </c>
      <c r="GF166" s="591">
        <v>0</v>
      </c>
      <c r="GG166" s="591">
        <v>0</v>
      </c>
      <c r="GH166" s="591">
        <v>0</v>
      </c>
      <c r="GI166" s="591">
        <v>0</v>
      </c>
      <c r="GJ166" s="591">
        <v>0</v>
      </c>
      <c r="GK166" s="591">
        <v>0</v>
      </c>
      <c r="GL166" s="591">
        <v>0</v>
      </c>
      <c r="GM166" s="591">
        <v>0</v>
      </c>
      <c r="GN166" s="591">
        <v>0</v>
      </c>
      <c r="GO166" s="591">
        <v>0</v>
      </c>
      <c r="GP166" s="591">
        <v>0</v>
      </c>
      <c r="GQ166" s="591">
        <v>0</v>
      </c>
      <c r="GR166" s="591">
        <v>0</v>
      </c>
      <c r="GS166" s="591">
        <v>0</v>
      </c>
      <c r="GT166" s="591">
        <v>0</v>
      </c>
      <c r="GU166" s="591">
        <v>0</v>
      </c>
      <c r="GV166" s="591">
        <v>0</v>
      </c>
      <c r="GW166" s="591">
        <v>0</v>
      </c>
      <c r="GX166" s="591">
        <v>0</v>
      </c>
      <c r="GY166" s="591">
        <v>0</v>
      </c>
      <c r="GZ166" s="591">
        <v>0</v>
      </c>
      <c r="HA166" s="591">
        <v>0</v>
      </c>
      <c r="HB166" s="591">
        <v>260009272</v>
      </c>
      <c r="HC166" s="591">
        <v>5.1774999999999995E-2</v>
      </c>
      <c r="HD166" s="591">
        <v>272149</v>
      </c>
      <c r="HE166" s="591">
        <v>0</v>
      </c>
      <c r="HF166" s="591">
        <v>1572596</v>
      </c>
      <c r="HG166" s="591">
        <v>60359</v>
      </c>
      <c r="HH166" s="591">
        <v>71894</v>
      </c>
      <c r="HI166" s="591">
        <v>0</v>
      </c>
      <c r="HJ166" s="591">
        <v>14598</v>
      </c>
      <c r="HK166" s="591">
        <v>2249</v>
      </c>
      <c r="HL166" s="591">
        <v>1310</v>
      </c>
      <c r="HM166" s="591">
        <v>0</v>
      </c>
      <c r="HN166" s="591">
        <v>0</v>
      </c>
      <c r="HO166" s="591">
        <v>0</v>
      </c>
      <c r="HP166" s="591">
        <v>0</v>
      </c>
      <c r="HQ166" s="591">
        <v>0</v>
      </c>
      <c r="HR166" s="591">
        <v>0</v>
      </c>
      <c r="HS166" s="591">
        <v>12167912</v>
      </c>
      <c r="HT166" s="591">
        <v>0</v>
      </c>
      <c r="HU166" s="591">
        <v>0</v>
      </c>
      <c r="HV166" s="591">
        <v>0</v>
      </c>
      <c r="HW166" s="591">
        <v>0</v>
      </c>
      <c r="HX166" s="591">
        <v>135</v>
      </c>
      <c r="HY166" s="591">
        <v>175</v>
      </c>
      <c r="HZ166" s="591">
        <v>80</v>
      </c>
      <c r="IA166" s="591">
        <v>115</v>
      </c>
      <c r="IB166" s="591">
        <v>89</v>
      </c>
      <c r="IC166" s="591">
        <v>414</v>
      </c>
      <c r="ID166" s="591">
        <v>0</v>
      </c>
      <c r="IE166" s="591">
        <v>0</v>
      </c>
      <c r="IF166" s="591">
        <v>0</v>
      </c>
      <c r="IG166" s="591">
        <v>98</v>
      </c>
      <c r="IH166" s="591">
        <v>116.72800000000001</v>
      </c>
      <c r="II166" s="591">
        <v>0</v>
      </c>
      <c r="IJ166" s="591">
        <v>89.748000000000005</v>
      </c>
      <c r="IK166" s="591">
        <v>0</v>
      </c>
      <c r="IL166" s="591">
        <v>0</v>
      </c>
      <c r="IM166" s="591">
        <v>0</v>
      </c>
      <c r="IN166" s="591">
        <v>0</v>
      </c>
      <c r="IO166" s="591">
        <v>0</v>
      </c>
      <c r="IP166" s="591">
        <v>0</v>
      </c>
      <c r="IQ166" s="591">
        <v>89.748000000000005</v>
      </c>
      <c r="IR166" s="591">
        <v>55277</v>
      </c>
      <c r="IS166" s="591">
        <v>0</v>
      </c>
      <c r="IT166" s="591">
        <v>0</v>
      </c>
      <c r="IU166" s="591">
        <v>0</v>
      </c>
      <c r="IV166" s="591">
        <v>0</v>
      </c>
      <c r="IW166" s="591">
        <v>6159</v>
      </c>
      <c r="IX166" s="591">
        <v>0</v>
      </c>
      <c r="IY166" s="591">
        <v>0</v>
      </c>
      <c r="IZ166" s="591">
        <v>0</v>
      </c>
      <c r="JA166" s="591">
        <v>0</v>
      </c>
      <c r="JB166" s="591">
        <v>0</v>
      </c>
      <c r="JC166" s="591">
        <v>0</v>
      </c>
      <c r="JD166" s="591">
        <v>0</v>
      </c>
      <c r="JE166" s="591">
        <v>0</v>
      </c>
      <c r="JF166" s="591">
        <v>0</v>
      </c>
      <c r="JG166" s="591">
        <v>0</v>
      </c>
      <c r="JH166" s="591">
        <v>0</v>
      </c>
      <c r="JI166" s="591">
        <v>0</v>
      </c>
      <c r="JJ166" s="591">
        <v>0</v>
      </c>
      <c r="JK166" s="591">
        <v>0</v>
      </c>
      <c r="JL166" s="591">
        <v>0</v>
      </c>
      <c r="JM166" s="591">
        <v>0</v>
      </c>
      <c r="JN166" s="591">
        <v>32469</v>
      </c>
    </row>
    <row r="167" spans="1:274" x14ac:dyDescent="0.25">
      <c r="A167" s="591">
        <v>32570</v>
      </c>
      <c r="B167" s="591">
        <v>221801</v>
      </c>
      <c r="C167" s="591">
        <v>9</v>
      </c>
      <c r="D167" s="591">
        <v>2022</v>
      </c>
      <c r="E167" s="591">
        <v>6159</v>
      </c>
      <c r="F167" s="591">
        <v>0</v>
      </c>
      <c r="G167" s="591">
        <v>14446.813</v>
      </c>
      <c r="H167" s="591">
        <v>14101.361000000001</v>
      </c>
      <c r="I167" s="591">
        <v>14101.361000000001</v>
      </c>
      <c r="J167" s="591">
        <v>14446.813</v>
      </c>
      <c r="K167" s="591">
        <v>0</v>
      </c>
      <c r="L167" s="591">
        <v>6159</v>
      </c>
      <c r="M167" s="591">
        <v>0</v>
      </c>
      <c r="N167" s="591">
        <v>0</v>
      </c>
      <c r="O167" s="591">
        <v>0</v>
      </c>
      <c r="P167" s="591">
        <v>14961.727999999999</v>
      </c>
      <c r="Q167" s="591">
        <v>0</v>
      </c>
      <c r="R167" s="591">
        <v>6021018</v>
      </c>
      <c r="S167" s="591">
        <v>402.428</v>
      </c>
      <c r="T167" s="591">
        <v>0</v>
      </c>
      <c r="U167" s="591">
        <v>0</v>
      </c>
      <c r="V167" s="591">
        <v>1329.183</v>
      </c>
      <c r="W167" s="591">
        <v>818655</v>
      </c>
      <c r="X167" s="591">
        <v>818655</v>
      </c>
      <c r="Y167" s="591">
        <v>0</v>
      </c>
      <c r="Z167" s="591">
        <v>0</v>
      </c>
      <c r="AA167" s="591">
        <v>0</v>
      </c>
      <c r="AB167" s="591">
        <v>0</v>
      </c>
      <c r="AC167" s="591">
        <v>0</v>
      </c>
      <c r="AD167" s="591" t="s">
        <v>316</v>
      </c>
      <c r="AE167" s="591">
        <v>0</v>
      </c>
      <c r="AF167" s="591">
        <v>0</v>
      </c>
      <c r="AG167" s="591">
        <v>0</v>
      </c>
      <c r="AH167" s="591">
        <v>0</v>
      </c>
      <c r="AI167" s="591">
        <v>0</v>
      </c>
      <c r="AJ167" s="591">
        <v>6159</v>
      </c>
      <c r="AK167" s="591" t="s">
        <v>671</v>
      </c>
      <c r="AL167" s="591" t="s">
        <v>365</v>
      </c>
      <c r="AM167" s="591">
        <v>0</v>
      </c>
      <c r="AN167" s="591">
        <v>0</v>
      </c>
      <c r="AO167" s="591">
        <v>0</v>
      </c>
      <c r="AP167" s="591">
        <v>0</v>
      </c>
      <c r="AQ167" s="591">
        <v>0</v>
      </c>
      <c r="AR167" s="591">
        <v>0</v>
      </c>
      <c r="AS167" s="591">
        <v>0</v>
      </c>
      <c r="AT167" s="591">
        <v>0</v>
      </c>
      <c r="AU167" s="591">
        <v>0</v>
      </c>
      <c r="AV167" s="591">
        <v>0</v>
      </c>
      <c r="AW167" s="591">
        <v>134874954</v>
      </c>
      <c r="AX167" s="591">
        <v>132287062</v>
      </c>
      <c r="AY167" s="591">
        <v>0</v>
      </c>
      <c r="AZ167" s="591">
        <v>6021018</v>
      </c>
      <c r="BA167" s="591">
        <v>0</v>
      </c>
      <c r="BB167" s="591">
        <v>0</v>
      </c>
      <c r="BC167" s="591">
        <v>0</v>
      </c>
      <c r="BD167" s="591">
        <v>0</v>
      </c>
      <c r="BE167" s="591">
        <v>1769</v>
      </c>
      <c r="BF167" s="591">
        <v>122943098</v>
      </c>
      <c r="BG167" s="591">
        <v>0</v>
      </c>
      <c r="BH167" s="591">
        <v>0</v>
      </c>
      <c r="BI167" s="591">
        <v>0</v>
      </c>
      <c r="BJ167" s="591">
        <v>12</v>
      </c>
      <c r="BK167" s="591">
        <v>0</v>
      </c>
      <c r="BL167" s="591">
        <v>0</v>
      </c>
      <c r="BM167" s="591">
        <v>0</v>
      </c>
      <c r="BN167" s="591">
        <v>0</v>
      </c>
      <c r="BO167" s="591">
        <v>0</v>
      </c>
      <c r="BP167" s="591">
        <v>0</v>
      </c>
      <c r="BQ167" s="591">
        <v>0</v>
      </c>
      <c r="BR167" s="591">
        <v>0</v>
      </c>
      <c r="BS167" s="591">
        <v>0</v>
      </c>
      <c r="BT167" s="591">
        <v>0</v>
      </c>
      <c r="BU167" s="591">
        <v>0</v>
      </c>
      <c r="BV167" s="591">
        <v>0</v>
      </c>
      <c r="BW167" s="591">
        <v>0</v>
      </c>
      <c r="BX167" s="591">
        <v>0</v>
      </c>
      <c r="BY167" s="591">
        <v>0</v>
      </c>
      <c r="BZ167" s="591">
        <v>0</v>
      </c>
      <c r="CA167" s="591">
        <v>0</v>
      </c>
      <c r="CB167" s="591">
        <v>0</v>
      </c>
      <c r="CC167" s="591">
        <v>0</v>
      </c>
      <c r="CD167" s="591">
        <v>0</v>
      </c>
      <c r="CE167" s="591">
        <v>0</v>
      </c>
      <c r="CF167" s="591">
        <v>0</v>
      </c>
      <c r="CG167" s="591">
        <v>0</v>
      </c>
      <c r="CH167" s="591">
        <v>2617918</v>
      </c>
      <c r="CI167" s="591">
        <v>0</v>
      </c>
      <c r="CJ167" s="591">
        <v>4</v>
      </c>
      <c r="CK167" s="591">
        <v>0</v>
      </c>
      <c r="CL167" s="591">
        <v>0</v>
      </c>
      <c r="CM167" s="591">
        <v>0</v>
      </c>
      <c r="CN167" s="591">
        <v>0</v>
      </c>
      <c r="CO167" s="591">
        <v>1</v>
      </c>
      <c r="CP167" s="591">
        <v>0</v>
      </c>
      <c r="CQ167" s="591">
        <v>0</v>
      </c>
      <c r="CR167" s="591">
        <v>14446.813</v>
      </c>
      <c r="CS167" s="591">
        <v>0</v>
      </c>
      <c r="CT167" s="591">
        <v>0</v>
      </c>
      <c r="CU167" s="591">
        <v>0</v>
      </c>
      <c r="CV167" s="591">
        <v>0</v>
      </c>
      <c r="CW167" s="591">
        <v>0</v>
      </c>
      <c r="CX167" s="591">
        <v>0</v>
      </c>
      <c r="CY167" s="591">
        <v>0</v>
      </c>
      <c r="CZ167" s="591">
        <v>0</v>
      </c>
      <c r="DA167" s="591">
        <v>0</v>
      </c>
      <c r="DB167" s="591">
        <v>86851445</v>
      </c>
      <c r="DC167" s="591">
        <v>0</v>
      </c>
      <c r="DD167" s="591">
        <v>0</v>
      </c>
      <c r="DE167" s="591">
        <v>8934596</v>
      </c>
      <c r="DF167" s="591">
        <v>8934596</v>
      </c>
      <c r="DG167" s="591">
        <v>1450.6380000000001</v>
      </c>
      <c r="DH167" s="591">
        <v>0</v>
      </c>
      <c r="DI167" s="591">
        <v>0</v>
      </c>
      <c r="DJ167" s="591">
        <v>0</v>
      </c>
      <c r="DK167" s="591">
        <v>0</v>
      </c>
      <c r="DL167" s="591">
        <v>0</v>
      </c>
      <c r="DM167" s="591">
        <v>7406085</v>
      </c>
      <c r="DN167" s="591">
        <v>28257</v>
      </c>
      <c r="DO167" s="591">
        <v>0</v>
      </c>
      <c r="DP167" s="591">
        <v>0</v>
      </c>
      <c r="DQ167" s="591">
        <v>0</v>
      </c>
      <c r="DR167" s="591">
        <v>0</v>
      </c>
      <c r="DS167" s="591">
        <v>0</v>
      </c>
      <c r="DT167" s="591">
        <v>0</v>
      </c>
      <c r="DU167" s="591">
        <v>0</v>
      </c>
      <c r="DV167" s="591">
        <v>0</v>
      </c>
      <c r="DW167" s="591">
        <v>0</v>
      </c>
      <c r="DX167" s="591">
        <v>0</v>
      </c>
      <c r="DY167" s="591">
        <v>0</v>
      </c>
      <c r="DZ167" s="591">
        <v>0</v>
      </c>
      <c r="EA167" s="591">
        <v>0</v>
      </c>
      <c r="EB167" s="591">
        <v>0</v>
      </c>
      <c r="EC167" s="591">
        <v>393.95</v>
      </c>
      <c r="ED167" s="591">
        <v>2790326</v>
      </c>
      <c r="EE167" s="591">
        <v>0</v>
      </c>
      <c r="EF167" s="591">
        <v>0</v>
      </c>
      <c r="EG167" s="591">
        <v>0</v>
      </c>
      <c r="EH167" s="591">
        <v>4644016</v>
      </c>
      <c r="EI167" s="591">
        <v>0</v>
      </c>
      <c r="EJ167" s="591">
        <v>0</v>
      </c>
      <c r="EK167" s="591">
        <v>212.18100000000001</v>
      </c>
      <c r="EL167" s="591">
        <v>0</v>
      </c>
      <c r="EM167" s="591">
        <v>21.736000000000001</v>
      </c>
      <c r="EN167" s="591">
        <v>10.452</v>
      </c>
      <c r="EO167" s="591">
        <v>0</v>
      </c>
      <c r="EP167" s="591">
        <v>0</v>
      </c>
      <c r="EQ167" s="591">
        <v>244.369</v>
      </c>
      <c r="ER167" s="591">
        <v>0</v>
      </c>
      <c r="ES167" s="591">
        <v>754.01100000000008</v>
      </c>
      <c r="ET167" s="591">
        <v>0</v>
      </c>
      <c r="EU167" s="591">
        <v>0</v>
      </c>
      <c r="EV167" s="591">
        <v>0</v>
      </c>
      <c r="EW167" s="591">
        <v>0</v>
      </c>
      <c r="EX167" s="591">
        <v>0</v>
      </c>
      <c r="EY167" s="591">
        <v>0</v>
      </c>
      <c r="EZ167" s="591">
        <v>116954856</v>
      </c>
      <c r="FA167" s="591">
        <v>0</v>
      </c>
      <c r="FB167" s="591">
        <v>122945848</v>
      </c>
      <c r="FC167" s="591">
        <v>0</v>
      </c>
      <c r="FD167" s="591">
        <v>0</v>
      </c>
      <c r="FE167" s="591">
        <v>12734671</v>
      </c>
      <c r="FF167" s="591">
        <v>2597535</v>
      </c>
      <c r="FG167" s="591">
        <v>6.4728999999999995E-2</v>
      </c>
      <c r="FH167" s="591">
        <v>2.6405999999999999E-2</v>
      </c>
      <c r="FI167" s="591">
        <v>0</v>
      </c>
      <c r="FJ167" s="591">
        <v>0</v>
      </c>
      <c r="FK167" s="591">
        <v>19961.269</v>
      </c>
      <c r="FL167" s="591">
        <v>140895972</v>
      </c>
      <c r="FM167" s="591">
        <v>0</v>
      </c>
      <c r="FN167" s="591">
        <v>0</v>
      </c>
      <c r="FO167" s="591">
        <v>79</v>
      </c>
      <c r="FP167" s="591">
        <v>0</v>
      </c>
      <c r="FQ167" s="591">
        <v>79</v>
      </c>
      <c r="FR167" s="591">
        <v>79</v>
      </c>
      <c r="FS167" s="591">
        <v>0</v>
      </c>
      <c r="FT167" s="591">
        <v>0</v>
      </c>
      <c r="FU167" s="591">
        <v>0</v>
      </c>
      <c r="FV167" s="591">
        <v>0</v>
      </c>
      <c r="FW167" s="591">
        <v>0</v>
      </c>
      <c r="FX167" s="591">
        <v>0</v>
      </c>
      <c r="FY167" s="591">
        <v>0</v>
      </c>
      <c r="FZ167" s="591">
        <v>0</v>
      </c>
      <c r="GA167" s="591">
        <v>0</v>
      </c>
      <c r="GB167" s="591">
        <v>840481</v>
      </c>
      <c r="GC167" s="591">
        <v>840481</v>
      </c>
      <c r="GD167" s="591">
        <v>101.083</v>
      </c>
      <c r="GE167" s="591">
        <v>0</v>
      </c>
      <c r="GF167" s="591">
        <v>0</v>
      </c>
      <c r="GG167" s="591">
        <v>0</v>
      </c>
      <c r="GH167" s="591">
        <v>0</v>
      </c>
      <c r="GI167" s="591">
        <v>0</v>
      </c>
      <c r="GJ167" s="591">
        <v>0</v>
      </c>
      <c r="GK167" s="591">
        <v>0</v>
      </c>
      <c r="GL167" s="591">
        <v>0</v>
      </c>
      <c r="GM167" s="591">
        <v>0</v>
      </c>
      <c r="GN167" s="591">
        <v>0</v>
      </c>
      <c r="GO167" s="591">
        <v>0</v>
      </c>
      <c r="GP167" s="591">
        <v>0</v>
      </c>
      <c r="GQ167" s="591">
        <v>0</v>
      </c>
      <c r="GR167" s="591">
        <v>0</v>
      </c>
      <c r="GS167" s="591">
        <v>0</v>
      </c>
      <c r="GT167" s="591">
        <v>0</v>
      </c>
      <c r="GU167" s="591">
        <v>0</v>
      </c>
      <c r="GV167" s="591">
        <v>0</v>
      </c>
      <c r="GW167" s="591">
        <v>0</v>
      </c>
      <c r="GX167" s="591">
        <v>0</v>
      </c>
      <c r="GY167" s="591">
        <v>0</v>
      </c>
      <c r="GZ167" s="591">
        <v>0</v>
      </c>
      <c r="HA167" s="591">
        <v>0</v>
      </c>
      <c r="HB167" s="591">
        <v>260009272</v>
      </c>
      <c r="HC167" s="591">
        <v>5.1774999999999995E-2</v>
      </c>
      <c r="HD167" s="591">
        <v>2617918</v>
      </c>
      <c r="HE167" s="591">
        <v>0</v>
      </c>
      <c r="HF167" s="591">
        <v>15497396</v>
      </c>
      <c r="HG167" s="591">
        <v>258537</v>
      </c>
      <c r="HH167" s="591">
        <v>1619223</v>
      </c>
      <c r="HI167" s="591">
        <v>0</v>
      </c>
      <c r="HJ167" s="591">
        <v>140423</v>
      </c>
      <c r="HK167" s="591">
        <v>26276</v>
      </c>
      <c r="HL167" s="591">
        <v>6421</v>
      </c>
      <c r="HM167" s="591">
        <v>512000</v>
      </c>
      <c r="HN167" s="591">
        <v>0</v>
      </c>
      <c r="HO167" s="591">
        <v>36000</v>
      </c>
      <c r="HP167" s="591">
        <v>0</v>
      </c>
      <c r="HQ167" s="591">
        <v>0</v>
      </c>
      <c r="HR167" s="591">
        <v>0</v>
      </c>
      <c r="HS167" s="591">
        <v>116924830</v>
      </c>
      <c r="HT167" s="591">
        <v>0</v>
      </c>
      <c r="HU167" s="591">
        <v>0</v>
      </c>
      <c r="HV167" s="591">
        <v>0</v>
      </c>
      <c r="HW167" s="591">
        <v>0</v>
      </c>
      <c r="HX167" s="591">
        <v>1479</v>
      </c>
      <c r="HY167" s="591">
        <v>1247</v>
      </c>
      <c r="HZ167" s="591">
        <v>1037</v>
      </c>
      <c r="IA167" s="591">
        <v>1116</v>
      </c>
      <c r="IB167" s="591">
        <v>980</v>
      </c>
      <c r="IC167" s="591">
        <v>5859</v>
      </c>
      <c r="ID167" s="591">
        <v>0</v>
      </c>
      <c r="IE167" s="591">
        <v>0</v>
      </c>
      <c r="IF167" s="591">
        <v>0</v>
      </c>
      <c r="IG167" s="591">
        <v>419.76500000000004</v>
      </c>
      <c r="IH167" s="591">
        <v>2629</v>
      </c>
      <c r="II167" s="591">
        <v>0</v>
      </c>
      <c r="IJ167" s="591">
        <v>1329.183</v>
      </c>
      <c r="IK167" s="591">
        <v>0</v>
      </c>
      <c r="IL167" s="591">
        <v>25</v>
      </c>
      <c r="IM167" s="591">
        <v>127</v>
      </c>
      <c r="IN167" s="591">
        <v>3</v>
      </c>
      <c r="IO167" s="591">
        <v>155</v>
      </c>
      <c r="IP167" s="591">
        <v>0</v>
      </c>
      <c r="IQ167" s="591">
        <v>1329.183</v>
      </c>
      <c r="IR167" s="591">
        <v>818655</v>
      </c>
      <c r="IS167" s="591">
        <v>0</v>
      </c>
      <c r="IT167" s="591">
        <v>125000</v>
      </c>
      <c r="IU167" s="591">
        <v>381000</v>
      </c>
      <c r="IV167" s="591">
        <v>6000</v>
      </c>
      <c r="IW167" s="591">
        <v>6159</v>
      </c>
      <c r="IX167" s="591">
        <v>0</v>
      </c>
      <c r="IY167" s="591">
        <v>0</v>
      </c>
      <c r="IZ167" s="591">
        <v>0</v>
      </c>
      <c r="JA167" s="591">
        <v>0</v>
      </c>
      <c r="JB167" s="591">
        <v>0</v>
      </c>
      <c r="JC167" s="591">
        <v>0</v>
      </c>
      <c r="JD167" s="591">
        <v>0</v>
      </c>
      <c r="JE167" s="591">
        <v>0</v>
      </c>
      <c r="JF167" s="591">
        <v>0</v>
      </c>
      <c r="JG167" s="591">
        <v>0</v>
      </c>
      <c r="JH167" s="591">
        <v>0</v>
      </c>
      <c r="JI167" s="591">
        <v>0</v>
      </c>
      <c r="JJ167" s="591">
        <v>0</v>
      </c>
      <c r="JK167" s="591">
        <v>0</v>
      </c>
      <c r="JL167" s="591">
        <v>0</v>
      </c>
      <c r="JM167" s="591">
        <v>0</v>
      </c>
      <c r="JN167" s="591">
        <v>32469</v>
      </c>
    </row>
    <row r="168" spans="1:274" x14ac:dyDescent="0.25">
      <c r="A168" s="591">
        <v>32570</v>
      </c>
      <c r="B168" s="591">
        <v>226801</v>
      </c>
      <c r="C168" s="591">
        <v>9</v>
      </c>
      <c r="D168" s="591">
        <v>2022</v>
      </c>
      <c r="E168" s="591">
        <v>6159</v>
      </c>
      <c r="F168" s="591">
        <v>0</v>
      </c>
      <c r="G168" s="591">
        <v>2710.373</v>
      </c>
      <c r="H168" s="591">
        <v>2565.02</v>
      </c>
      <c r="I168" s="591">
        <v>2565.02</v>
      </c>
      <c r="J168" s="591">
        <v>2710.373</v>
      </c>
      <c r="K168" s="591">
        <v>0</v>
      </c>
      <c r="L168" s="591">
        <v>6159</v>
      </c>
      <c r="M168" s="591">
        <v>0</v>
      </c>
      <c r="N168" s="591">
        <v>0</v>
      </c>
      <c r="O168" s="591">
        <v>0</v>
      </c>
      <c r="P168" s="591">
        <v>2703.2809999999999</v>
      </c>
      <c r="Q168" s="591">
        <v>0</v>
      </c>
      <c r="R168" s="591">
        <v>1087876</v>
      </c>
      <c r="S168" s="591">
        <v>402.428</v>
      </c>
      <c r="T168" s="591">
        <v>0</v>
      </c>
      <c r="U168" s="591">
        <v>0</v>
      </c>
      <c r="V168" s="591">
        <v>101.572</v>
      </c>
      <c r="W168" s="591">
        <v>62559</v>
      </c>
      <c r="X168" s="591">
        <v>62559</v>
      </c>
      <c r="Y168" s="591">
        <v>0</v>
      </c>
      <c r="Z168" s="591">
        <v>0</v>
      </c>
      <c r="AA168" s="591">
        <v>0</v>
      </c>
      <c r="AB168" s="591">
        <v>0</v>
      </c>
      <c r="AC168" s="591">
        <v>0</v>
      </c>
      <c r="AD168" s="591" t="s">
        <v>316</v>
      </c>
      <c r="AE168" s="591">
        <v>0</v>
      </c>
      <c r="AF168" s="591">
        <v>0</v>
      </c>
      <c r="AG168" s="591">
        <v>0</v>
      </c>
      <c r="AH168" s="591">
        <v>0</v>
      </c>
      <c r="AI168" s="591">
        <v>0</v>
      </c>
      <c r="AJ168" s="591">
        <v>6159</v>
      </c>
      <c r="AK168" s="591" t="s">
        <v>671</v>
      </c>
      <c r="AL168" s="591" t="s">
        <v>659</v>
      </c>
      <c r="AM168" s="591">
        <v>0</v>
      </c>
      <c r="AN168" s="591">
        <v>0</v>
      </c>
      <c r="AO168" s="591">
        <v>0</v>
      </c>
      <c r="AP168" s="591">
        <v>0</v>
      </c>
      <c r="AQ168" s="591">
        <v>0</v>
      </c>
      <c r="AR168" s="591">
        <v>0</v>
      </c>
      <c r="AS168" s="591">
        <v>0</v>
      </c>
      <c r="AT168" s="591">
        <v>0</v>
      </c>
      <c r="AU168" s="591">
        <v>0</v>
      </c>
      <c r="AV168" s="591">
        <v>0</v>
      </c>
      <c r="AW168" s="591">
        <v>26179255</v>
      </c>
      <c r="AX168" s="591">
        <v>25694453</v>
      </c>
      <c r="AY168" s="591">
        <v>0</v>
      </c>
      <c r="AZ168" s="591">
        <v>1087876</v>
      </c>
      <c r="BA168" s="591">
        <v>0</v>
      </c>
      <c r="BB168" s="591">
        <v>0</v>
      </c>
      <c r="BC168" s="591">
        <v>0</v>
      </c>
      <c r="BD168" s="591">
        <v>0</v>
      </c>
      <c r="BE168" s="591">
        <v>343</v>
      </c>
      <c r="BF168" s="591">
        <v>23746503</v>
      </c>
      <c r="BG168" s="591">
        <v>0</v>
      </c>
      <c r="BH168" s="591">
        <v>0</v>
      </c>
      <c r="BI168" s="591">
        <v>0</v>
      </c>
      <c r="BJ168" s="591">
        <v>12</v>
      </c>
      <c r="BK168" s="591">
        <v>0</v>
      </c>
      <c r="BL168" s="591">
        <v>0</v>
      </c>
      <c r="BM168" s="591">
        <v>0</v>
      </c>
      <c r="BN168" s="591">
        <v>0</v>
      </c>
      <c r="BO168" s="591">
        <v>0</v>
      </c>
      <c r="BP168" s="591">
        <v>0</v>
      </c>
      <c r="BQ168" s="591">
        <v>375</v>
      </c>
      <c r="BR168" s="591">
        <v>0</v>
      </c>
      <c r="BS168" s="591">
        <v>0</v>
      </c>
      <c r="BT168" s="591">
        <v>0</v>
      </c>
      <c r="BU168" s="591">
        <v>0</v>
      </c>
      <c r="BV168" s="591">
        <v>0</v>
      </c>
      <c r="BW168" s="591">
        <v>0</v>
      </c>
      <c r="BX168" s="591">
        <v>0</v>
      </c>
      <c r="BY168" s="591">
        <v>0</v>
      </c>
      <c r="BZ168" s="591">
        <v>0</v>
      </c>
      <c r="CA168" s="591">
        <v>0</v>
      </c>
      <c r="CB168" s="591">
        <v>0</v>
      </c>
      <c r="CC168" s="591">
        <v>0</v>
      </c>
      <c r="CD168" s="591">
        <v>0</v>
      </c>
      <c r="CE168" s="591">
        <v>0</v>
      </c>
      <c r="CF168" s="591">
        <v>0</v>
      </c>
      <c r="CG168" s="591">
        <v>0</v>
      </c>
      <c r="CH168" s="591">
        <v>491149</v>
      </c>
      <c r="CI168" s="591">
        <v>0</v>
      </c>
      <c r="CJ168" s="591">
        <v>4</v>
      </c>
      <c r="CK168" s="591">
        <v>0</v>
      </c>
      <c r="CL168" s="591">
        <v>0</v>
      </c>
      <c r="CM168" s="591">
        <v>0</v>
      </c>
      <c r="CN168" s="591">
        <v>0</v>
      </c>
      <c r="CO168" s="591">
        <v>1</v>
      </c>
      <c r="CP168" s="591">
        <v>0</v>
      </c>
      <c r="CQ168" s="591">
        <v>0</v>
      </c>
      <c r="CR168" s="591">
        <v>2710.373</v>
      </c>
      <c r="CS168" s="591">
        <v>0</v>
      </c>
      <c r="CT168" s="591">
        <v>0</v>
      </c>
      <c r="CU168" s="591">
        <v>0</v>
      </c>
      <c r="CV168" s="591">
        <v>0</v>
      </c>
      <c r="CW168" s="591">
        <v>0</v>
      </c>
      <c r="CX168" s="591">
        <v>0</v>
      </c>
      <c r="CY168" s="591">
        <v>0</v>
      </c>
      <c r="CZ168" s="591">
        <v>0</v>
      </c>
      <c r="DA168" s="591">
        <v>0</v>
      </c>
      <c r="DB168" s="591">
        <v>15513493</v>
      </c>
      <c r="DC168" s="591">
        <v>0</v>
      </c>
      <c r="DD168" s="591">
        <v>0</v>
      </c>
      <c r="DE168" s="591">
        <v>2229742</v>
      </c>
      <c r="DF168" s="591">
        <v>2229742</v>
      </c>
      <c r="DG168" s="591">
        <v>362.02500000000003</v>
      </c>
      <c r="DH168" s="591">
        <v>0</v>
      </c>
      <c r="DI168" s="591">
        <v>0</v>
      </c>
      <c r="DJ168" s="591">
        <v>0</v>
      </c>
      <c r="DK168" s="591">
        <v>0</v>
      </c>
      <c r="DL168" s="591">
        <v>0</v>
      </c>
      <c r="DM168" s="591">
        <v>1858522</v>
      </c>
      <c r="DN168" s="591">
        <v>6005</v>
      </c>
      <c r="DO168" s="591">
        <v>0</v>
      </c>
      <c r="DP168" s="591">
        <v>0</v>
      </c>
      <c r="DQ168" s="591">
        <v>0</v>
      </c>
      <c r="DR168" s="591">
        <v>0</v>
      </c>
      <c r="DS168" s="591">
        <v>0</v>
      </c>
      <c r="DT168" s="591">
        <v>0</v>
      </c>
      <c r="DU168" s="591">
        <v>0</v>
      </c>
      <c r="DV168" s="591">
        <v>0</v>
      </c>
      <c r="DW168" s="591">
        <v>0</v>
      </c>
      <c r="DX168" s="591">
        <v>0</v>
      </c>
      <c r="DY168" s="591">
        <v>0</v>
      </c>
      <c r="DZ168" s="591">
        <v>0</v>
      </c>
      <c r="EA168" s="591">
        <v>0</v>
      </c>
      <c r="EB168" s="591">
        <v>0</v>
      </c>
      <c r="EC168" s="591">
        <v>62.928000000000004</v>
      </c>
      <c r="ED168" s="591">
        <v>445716</v>
      </c>
      <c r="EE168" s="591">
        <v>0</v>
      </c>
      <c r="EF168" s="591">
        <v>0</v>
      </c>
      <c r="EG168" s="591">
        <v>0</v>
      </c>
      <c r="EH168" s="591">
        <v>1048276</v>
      </c>
      <c r="EI168" s="591">
        <v>85858</v>
      </c>
      <c r="EJ168" s="591">
        <v>3.4850000000000003</v>
      </c>
      <c r="EK168" s="591">
        <v>41.917000000000002</v>
      </c>
      <c r="EL168" s="591">
        <v>0</v>
      </c>
      <c r="EM168" s="591">
        <v>8.7880000000000003</v>
      </c>
      <c r="EN168" s="591">
        <v>3.617</v>
      </c>
      <c r="EO168" s="591">
        <v>0</v>
      </c>
      <c r="EP168" s="591">
        <v>0</v>
      </c>
      <c r="EQ168" s="591">
        <v>57.807000000000002</v>
      </c>
      <c r="ER168" s="591">
        <v>0</v>
      </c>
      <c r="ES168" s="591">
        <v>170.20000000000002</v>
      </c>
      <c r="ET168" s="591">
        <v>0</v>
      </c>
      <c r="EU168" s="591">
        <v>0</v>
      </c>
      <c r="EV168" s="591">
        <v>0</v>
      </c>
      <c r="EW168" s="591">
        <v>0</v>
      </c>
      <c r="EX168" s="591">
        <v>0</v>
      </c>
      <c r="EY168" s="591">
        <v>0</v>
      </c>
      <c r="EZ168" s="591">
        <v>22733032</v>
      </c>
      <c r="FA168" s="591">
        <v>0</v>
      </c>
      <c r="FB168" s="591">
        <v>23814561</v>
      </c>
      <c r="FC168" s="591">
        <v>0</v>
      </c>
      <c r="FD168" s="591">
        <v>0</v>
      </c>
      <c r="FE168" s="591">
        <v>2459706</v>
      </c>
      <c r="FF168" s="591">
        <v>501715</v>
      </c>
      <c r="FG168" s="591">
        <v>6.4728999999999995E-2</v>
      </c>
      <c r="FH168" s="591">
        <v>2.6405999999999999E-2</v>
      </c>
      <c r="FI168" s="591">
        <v>0</v>
      </c>
      <c r="FJ168" s="591">
        <v>0</v>
      </c>
      <c r="FK168" s="591">
        <v>3855.5260000000003</v>
      </c>
      <c r="FL168" s="591">
        <v>27267131</v>
      </c>
      <c r="FM168" s="591">
        <v>0</v>
      </c>
      <c r="FN168" s="591">
        <v>0</v>
      </c>
      <c r="FO168" s="591">
        <v>64960</v>
      </c>
      <c r="FP168" s="591">
        <v>0</v>
      </c>
      <c r="FQ168" s="591">
        <v>64960</v>
      </c>
      <c r="FR168" s="591">
        <v>64960</v>
      </c>
      <c r="FS168" s="591">
        <v>0</v>
      </c>
      <c r="FT168" s="591">
        <v>0</v>
      </c>
      <c r="FU168" s="591">
        <v>0</v>
      </c>
      <c r="FV168" s="591">
        <v>0</v>
      </c>
      <c r="FW168" s="591">
        <v>0</v>
      </c>
      <c r="FX168" s="591">
        <v>0</v>
      </c>
      <c r="FY168" s="591">
        <v>0</v>
      </c>
      <c r="FZ168" s="591">
        <v>0</v>
      </c>
      <c r="GA168" s="591">
        <v>0</v>
      </c>
      <c r="GB168" s="591">
        <v>727924</v>
      </c>
      <c r="GC168" s="591">
        <v>727924</v>
      </c>
      <c r="GD168" s="591">
        <v>87.546000000000006</v>
      </c>
      <c r="GE168" s="591">
        <v>0</v>
      </c>
      <c r="GF168" s="591">
        <v>0</v>
      </c>
      <c r="GG168" s="591">
        <v>0</v>
      </c>
      <c r="GH168" s="591">
        <v>0</v>
      </c>
      <c r="GI168" s="591">
        <v>0</v>
      </c>
      <c r="GJ168" s="591">
        <v>0</v>
      </c>
      <c r="GK168" s="591">
        <v>0</v>
      </c>
      <c r="GL168" s="591">
        <v>0</v>
      </c>
      <c r="GM168" s="591">
        <v>0</v>
      </c>
      <c r="GN168" s="591">
        <v>0</v>
      </c>
      <c r="GO168" s="591">
        <v>0</v>
      </c>
      <c r="GP168" s="591">
        <v>0</v>
      </c>
      <c r="GQ168" s="591">
        <v>0</v>
      </c>
      <c r="GR168" s="591">
        <v>0</v>
      </c>
      <c r="GS168" s="591">
        <v>0</v>
      </c>
      <c r="GT168" s="591">
        <v>0</v>
      </c>
      <c r="GU168" s="591">
        <v>0</v>
      </c>
      <c r="GV168" s="591">
        <v>0</v>
      </c>
      <c r="GW168" s="591">
        <v>0</v>
      </c>
      <c r="GX168" s="591">
        <v>0</v>
      </c>
      <c r="GY168" s="591">
        <v>0</v>
      </c>
      <c r="GZ168" s="591">
        <v>0</v>
      </c>
      <c r="HA168" s="591">
        <v>0</v>
      </c>
      <c r="HB168" s="591">
        <v>260009272</v>
      </c>
      <c r="HC168" s="591">
        <v>5.1774999999999995E-2</v>
      </c>
      <c r="HD168" s="591">
        <v>491149</v>
      </c>
      <c r="HE168" s="591">
        <v>0</v>
      </c>
      <c r="HF168" s="591">
        <v>2818957</v>
      </c>
      <c r="HG168" s="591">
        <v>69598</v>
      </c>
      <c r="HH168" s="591">
        <v>418358</v>
      </c>
      <c r="HI168" s="591">
        <v>0</v>
      </c>
      <c r="HJ168" s="591">
        <v>26345</v>
      </c>
      <c r="HK168" s="591">
        <v>5373</v>
      </c>
      <c r="HL168" s="591">
        <v>4072</v>
      </c>
      <c r="HM168" s="591">
        <v>15000</v>
      </c>
      <c r="HN168" s="591">
        <v>0</v>
      </c>
      <c r="HO168" s="591">
        <v>0</v>
      </c>
      <c r="HP168" s="591">
        <v>0</v>
      </c>
      <c r="HQ168" s="591">
        <v>0</v>
      </c>
      <c r="HR168" s="591">
        <v>0</v>
      </c>
      <c r="HS168" s="591">
        <v>22726685</v>
      </c>
      <c r="HT168" s="591">
        <v>0</v>
      </c>
      <c r="HU168" s="591">
        <v>0</v>
      </c>
      <c r="HV168" s="591">
        <v>0</v>
      </c>
      <c r="HW168" s="591">
        <v>0</v>
      </c>
      <c r="HX168" s="591">
        <v>220</v>
      </c>
      <c r="HY168" s="591">
        <v>220</v>
      </c>
      <c r="HZ168" s="591">
        <v>337</v>
      </c>
      <c r="IA168" s="591">
        <v>416</v>
      </c>
      <c r="IB168" s="591">
        <v>243</v>
      </c>
      <c r="IC168" s="591">
        <v>1439</v>
      </c>
      <c r="ID168" s="591">
        <v>0</v>
      </c>
      <c r="IE168" s="591">
        <v>0</v>
      </c>
      <c r="IF168" s="591">
        <v>0</v>
      </c>
      <c r="IG168" s="591">
        <v>113</v>
      </c>
      <c r="IH168" s="591">
        <v>679.25400000000002</v>
      </c>
      <c r="II168" s="591">
        <v>0</v>
      </c>
      <c r="IJ168" s="591">
        <v>101.572</v>
      </c>
      <c r="IK168" s="591">
        <v>0</v>
      </c>
      <c r="IL168" s="591">
        <v>2</v>
      </c>
      <c r="IM168" s="591">
        <v>1</v>
      </c>
      <c r="IN168" s="591">
        <v>1</v>
      </c>
      <c r="IO168" s="591">
        <v>4</v>
      </c>
      <c r="IP168" s="591">
        <v>0</v>
      </c>
      <c r="IQ168" s="591">
        <v>101.572</v>
      </c>
      <c r="IR168" s="591">
        <v>62559</v>
      </c>
      <c r="IS168" s="591">
        <v>0</v>
      </c>
      <c r="IT168" s="591">
        <v>10000</v>
      </c>
      <c r="IU168" s="591">
        <v>3000</v>
      </c>
      <c r="IV168" s="591">
        <v>2000</v>
      </c>
      <c r="IW168" s="591">
        <v>6159</v>
      </c>
      <c r="IX168" s="591">
        <v>0</v>
      </c>
      <c r="IY168" s="591">
        <v>0</v>
      </c>
      <c r="IZ168" s="591">
        <v>0</v>
      </c>
      <c r="JA168" s="591">
        <v>0</v>
      </c>
      <c r="JB168" s="591">
        <v>0</v>
      </c>
      <c r="JC168" s="591">
        <v>0</v>
      </c>
      <c r="JD168" s="591">
        <v>0</v>
      </c>
      <c r="JE168" s="591">
        <v>0</v>
      </c>
      <c r="JF168" s="591">
        <v>0</v>
      </c>
      <c r="JG168" s="591">
        <v>0</v>
      </c>
      <c r="JH168" s="591">
        <v>0</v>
      </c>
      <c r="JI168" s="591">
        <v>0</v>
      </c>
      <c r="JJ168" s="591">
        <v>0</v>
      </c>
      <c r="JK168" s="591">
        <v>0</v>
      </c>
      <c r="JL168" s="591">
        <v>0</v>
      </c>
      <c r="JM168" s="591">
        <v>0</v>
      </c>
      <c r="JN168" s="591">
        <v>32469</v>
      </c>
    </row>
    <row r="169" spans="1:274" x14ac:dyDescent="0.25">
      <c r="A169" s="591">
        <v>32570</v>
      </c>
      <c r="B169" s="591">
        <v>227803</v>
      </c>
      <c r="C169" s="591">
        <v>9</v>
      </c>
      <c r="D169" s="591">
        <v>2022</v>
      </c>
      <c r="E169" s="591">
        <v>6159</v>
      </c>
      <c r="F169" s="591">
        <v>0</v>
      </c>
      <c r="G169" s="591">
        <v>1669.308</v>
      </c>
      <c r="H169" s="591">
        <v>1569.529</v>
      </c>
      <c r="I169" s="591">
        <v>1569.529</v>
      </c>
      <c r="J169" s="591">
        <v>1669.308</v>
      </c>
      <c r="K169" s="591">
        <v>0</v>
      </c>
      <c r="L169" s="591">
        <v>6159</v>
      </c>
      <c r="M169" s="591">
        <v>0</v>
      </c>
      <c r="N169" s="591">
        <v>0</v>
      </c>
      <c r="O169" s="591">
        <v>0</v>
      </c>
      <c r="P169" s="591">
        <v>1649.039</v>
      </c>
      <c r="Q169" s="591">
        <v>0</v>
      </c>
      <c r="R169" s="591">
        <v>663619</v>
      </c>
      <c r="S169" s="591">
        <v>402.428</v>
      </c>
      <c r="T169" s="591">
        <v>0</v>
      </c>
      <c r="U169" s="591">
        <v>0</v>
      </c>
      <c r="V169" s="591">
        <v>678.45100000000002</v>
      </c>
      <c r="W169" s="591">
        <v>417864</v>
      </c>
      <c r="X169" s="591">
        <v>417864</v>
      </c>
      <c r="Y169" s="591">
        <v>0</v>
      </c>
      <c r="Z169" s="591">
        <v>0</v>
      </c>
      <c r="AA169" s="591">
        <v>0</v>
      </c>
      <c r="AB169" s="591">
        <v>0</v>
      </c>
      <c r="AC169" s="591">
        <v>0</v>
      </c>
      <c r="AD169" s="591" t="s">
        <v>316</v>
      </c>
      <c r="AE169" s="591">
        <v>0</v>
      </c>
      <c r="AF169" s="591">
        <v>0</v>
      </c>
      <c r="AG169" s="591">
        <v>0</v>
      </c>
      <c r="AH169" s="591">
        <v>0</v>
      </c>
      <c r="AI169" s="591">
        <v>0</v>
      </c>
      <c r="AJ169" s="591">
        <v>6159</v>
      </c>
      <c r="AK169" s="591" t="s">
        <v>671</v>
      </c>
      <c r="AL169" s="591" t="s">
        <v>366</v>
      </c>
      <c r="AM169" s="591">
        <v>0</v>
      </c>
      <c r="AN169" s="591">
        <v>0</v>
      </c>
      <c r="AO169" s="591">
        <v>0</v>
      </c>
      <c r="AP169" s="591">
        <v>0</v>
      </c>
      <c r="AQ169" s="591">
        <v>0</v>
      </c>
      <c r="AR169" s="591">
        <v>0</v>
      </c>
      <c r="AS169" s="591">
        <v>0</v>
      </c>
      <c r="AT169" s="591">
        <v>0</v>
      </c>
      <c r="AU169" s="591">
        <v>0</v>
      </c>
      <c r="AV169" s="591">
        <v>0</v>
      </c>
      <c r="AW169" s="591">
        <v>18103767</v>
      </c>
      <c r="AX169" s="591">
        <v>17807078</v>
      </c>
      <c r="AY169" s="591">
        <v>0</v>
      </c>
      <c r="AZ169" s="591">
        <v>663619</v>
      </c>
      <c r="BA169" s="591">
        <v>0</v>
      </c>
      <c r="BB169" s="591">
        <v>0</v>
      </c>
      <c r="BC169" s="591">
        <v>0</v>
      </c>
      <c r="BD169" s="591">
        <v>0</v>
      </c>
      <c r="BE169" s="591">
        <v>236</v>
      </c>
      <c r="BF169" s="591">
        <v>16417746</v>
      </c>
      <c r="BG169" s="591">
        <v>0</v>
      </c>
      <c r="BH169" s="591">
        <v>0</v>
      </c>
      <c r="BI169" s="591">
        <v>0</v>
      </c>
      <c r="BJ169" s="591">
        <v>12</v>
      </c>
      <c r="BK169" s="591">
        <v>0</v>
      </c>
      <c r="BL169" s="591">
        <v>0</v>
      </c>
      <c r="BM169" s="591">
        <v>0</v>
      </c>
      <c r="BN169" s="591">
        <v>0</v>
      </c>
      <c r="BO169" s="591">
        <v>0</v>
      </c>
      <c r="BP169" s="591">
        <v>0</v>
      </c>
      <c r="BQ169" s="591">
        <v>528</v>
      </c>
      <c r="BR169" s="591">
        <v>0</v>
      </c>
      <c r="BS169" s="591">
        <v>0</v>
      </c>
      <c r="BT169" s="591">
        <v>0</v>
      </c>
      <c r="BU169" s="591">
        <v>0</v>
      </c>
      <c r="BV169" s="591">
        <v>0</v>
      </c>
      <c r="BW169" s="591">
        <v>0</v>
      </c>
      <c r="BX169" s="591">
        <v>0</v>
      </c>
      <c r="BY169" s="591">
        <v>0</v>
      </c>
      <c r="BZ169" s="591">
        <v>0</v>
      </c>
      <c r="CA169" s="591">
        <v>0</v>
      </c>
      <c r="CB169" s="591">
        <v>0</v>
      </c>
      <c r="CC169" s="591">
        <v>0</v>
      </c>
      <c r="CD169" s="591">
        <v>0</v>
      </c>
      <c r="CE169" s="591">
        <v>0</v>
      </c>
      <c r="CF169" s="591">
        <v>0</v>
      </c>
      <c r="CG169" s="591">
        <v>0</v>
      </c>
      <c r="CH169" s="591">
        <v>302497</v>
      </c>
      <c r="CI169" s="591">
        <v>0</v>
      </c>
      <c r="CJ169" s="591">
        <v>4</v>
      </c>
      <c r="CK169" s="591">
        <v>0</v>
      </c>
      <c r="CL169" s="591">
        <v>0</v>
      </c>
      <c r="CM169" s="591">
        <v>0</v>
      </c>
      <c r="CN169" s="591">
        <v>0</v>
      </c>
      <c r="CO169" s="591">
        <v>1</v>
      </c>
      <c r="CP169" s="591">
        <v>0.32800000000000001</v>
      </c>
      <c r="CQ169" s="591">
        <v>0</v>
      </c>
      <c r="CR169" s="591">
        <v>1669.308</v>
      </c>
      <c r="CS169" s="591">
        <v>0</v>
      </c>
      <c r="CT169" s="591">
        <v>0</v>
      </c>
      <c r="CU169" s="591">
        <v>0</v>
      </c>
      <c r="CV169" s="591">
        <v>0</v>
      </c>
      <c r="CW169" s="591">
        <v>0</v>
      </c>
      <c r="CX169" s="591">
        <v>0</v>
      </c>
      <c r="CY169" s="591">
        <v>0</v>
      </c>
      <c r="CZ169" s="591">
        <v>0</v>
      </c>
      <c r="DA169" s="591">
        <v>0</v>
      </c>
      <c r="DB169" s="591">
        <v>9666858</v>
      </c>
      <c r="DC169" s="591">
        <v>0</v>
      </c>
      <c r="DD169" s="591">
        <v>0</v>
      </c>
      <c r="DE169" s="591">
        <v>2293642</v>
      </c>
      <c r="DF169" s="591">
        <v>2298511</v>
      </c>
      <c r="DG169" s="591">
        <v>372.40000000000003</v>
      </c>
      <c r="DH169" s="591">
        <v>0</v>
      </c>
      <c r="DI169" s="591">
        <v>4869</v>
      </c>
      <c r="DJ169" s="591">
        <v>0</v>
      </c>
      <c r="DK169" s="591">
        <v>75</v>
      </c>
      <c r="DL169" s="591">
        <v>0</v>
      </c>
      <c r="DM169" s="591">
        <v>1460398</v>
      </c>
      <c r="DN169" s="591">
        <v>5572</v>
      </c>
      <c r="DO169" s="591">
        <v>0</v>
      </c>
      <c r="DP169" s="591">
        <v>0</v>
      </c>
      <c r="DQ169" s="591">
        <v>0</v>
      </c>
      <c r="DR169" s="591">
        <v>0</v>
      </c>
      <c r="DS169" s="591">
        <v>0</v>
      </c>
      <c r="DT169" s="591">
        <v>0</v>
      </c>
      <c r="DU169" s="591">
        <v>0</v>
      </c>
      <c r="DV169" s="591">
        <v>0</v>
      </c>
      <c r="DW169" s="591">
        <v>0</v>
      </c>
      <c r="DX169" s="591">
        <v>0</v>
      </c>
      <c r="DY169" s="591">
        <v>0</v>
      </c>
      <c r="DZ169" s="591">
        <v>0</v>
      </c>
      <c r="EA169" s="591">
        <v>0</v>
      </c>
      <c r="EB169" s="591">
        <v>0</v>
      </c>
      <c r="EC169" s="591">
        <v>28.531000000000002</v>
      </c>
      <c r="ED169" s="591">
        <v>202083</v>
      </c>
      <c r="EE169" s="591">
        <v>0</v>
      </c>
      <c r="EF169" s="591">
        <v>0</v>
      </c>
      <c r="EG169" s="591">
        <v>0</v>
      </c>
      <c r="EH169" s="591">
        <v>1263887</v>
      </c>
      <c r="EI169" s="591">
        <v>0</v>
      </c>
      <c r="EJ169" s="591">
        <v>0</v>
      </c>
      <c r="EK169" s="591">
        <v>53.762</v>
      </c>
      <c r="EL169" s="591">
        <v>0</v>
      </c>
      <c r="EM169" s="591">
        <v>10.507</v>
      </c>
      <c r="EN169" s="591">
        <v>2.48</v>
      </c>
      <c r="EO169" s="591">
        <v>0</v>
      </c>
      <c r="EP169" s="591">
        <v>0</v>
      </c>
      <c r="EQ169" s="591">
        <v>66.749000000000009</v>
      </c>
      <c r="ER169" s="591">
        <v>0</v>
      </c>
      <c r="ES169" s="591">
        <v>205.20700000000002</v>
      </c>
      <c r="ET169" s="591">
        <v>0</v>
      </c>
      <c r="EU169" s="591">
        <v>0</v>
      </c>
      <c r="EV169" s="591">
        <v>0</v>
      </c>
      <c r="EW169" s="591">
        <v>0</v>
      </c>
      <c r="EX169" s="591">
        <v>0</v>
      </c>
      <c r="EY169" s="591">
        <v>0</v>
      </c>
      <c r="EZ169" s="591">
        <v>15759625</v>
      </c>
      <c r="FA169" s="591">
        <v>0</v>
      </c>
      <c r="FB169" s="591">
        <v>16417436</v>
      </c>
      <c r="FC169" s="591">
        <v>0</v>
      </c>
      <c r="FD169" s="591">
        <v>0</v>
      </c>
      <c r="FE169" s="591">
        <v>1700580</v>
      </c>
      <c r="FF169" s="591">
        <v>346873</v>
      </c>
      <c r="FG169" s="591">
        <v>6.4728999999999995E-2</v>
      </c>
      <c r="FH169" s="591">
        <v>2.6405999999999999E-2</v>
      </c>
      <c r="FI169" s="591">
        <v>0</v>
      </c>
      <c r="FJ169" s="591">
        <v>0</v>
      </c>
      <c r="FK169" s="591">
        <v>2665.616</v>
      </c>
      <c r="FL169" s="591">
        <v>18767386</v>
      </c>
      <c r="FM169" s="591">
        <v>0</v>
      </c>
      <c r="FN169" s="591">
        <v>0</v>
      </c>
      <c r="FO169" s="591">
        <v>0</v>
      </c>
      <c r="FP169" s="591">
        <v>0</v>
      </c>
      <c r="FQ169" s="591">
        <v>0</v>
      </c>
      <c r="FR169" s="591">
        <v>0</v>
      </c>
      <c r="FS169" s="591">
        <v>0</v>
      </c>
      <c r="FT169" s="591">
        <v>0</v>
      </c>
      <c r="FU169" s="591">
        <v>0</v>
      </c>
      <c r="FV169" s="591">
        <v>0</v>
      </c>
      <c r="FW169" s="591">
        <v>0</v>
      </c>
      <c r="FX169" s="591">
        <v>0</v>
      </c>
      <c r="FY169" s="591">
        <v>0</v>
      </c>
      <c r="FZ169" s="591">
        <v>0</v>
      </c>
      <c r="GA169" s="591">
        <v>0</v>
      </c>
      <c r="GB169" s="591">
        <v>274637</v>
      </c>
      <c r="GC169" s="591">
        <v>274637</v>
      </c>
      <c r="GD169" s="591">
        <v>33.03</v>
      </c>
      <c r="GE169" s="591">
        <v>0</v>
      </c>
      <c r="GF169" s="591">
        <v>0</v>
      </c>
      <c r="GG169" s="591">
        <v>0</v>
      </c>
      <c r="GH169" s="591">
        <v>0</v>
      </c>
      <c r="GI169" s="591">
        <v>0</v>
      </c>
      <c r="GJ169" s="591">
        <v>0</v>
      </c>
      <c r="GK169" s="591">
        <v>0</v>
      </c>
      <c r="GL169" s="591">
        <v>0</v>
      </c>
      <c r="GM169" s="591">
        <v>0</v>
      </c>
      <c r="GN169" s="591">
        <v>0</v>
      </c>
      <c r="GO169" s="591">
        <v>0</v>
      </c>
      <c r="GP169" s="591">
        <v>0</v>
      </c>
      <c r="GQ169" s="591">
        <v>0</v>
      </c>
      <c r="GR169" s="591">
        <v>0</v>
      </c>
      <c r="GS169" s="591">
        <v>0</v>
      </c>
      <c r="GT169" s="591">
        <v>0</v>
      </c>
      <c r="GU169" s="591">
        <v>0</v>
      </c>
      <c r="GV169" s="591">
        <v>0</v>
      </c>
      <c r="GW169" s="591">
        <v>0</v>
      </c>
      <c r="GX169" s="591">
        <v>0</v>
      </c>
      <c r="GY169" s="591">
        <v>0</v>
      </c>
      <c r="GZ169" s="591">
        <v>0</v>
      </c>
      <c r="HA169" s="591">
        <v>0</v>
      </c>
      <c r="HB169" s="591">
        <v>260009272</v>
      </c>
      <c r="HC169" s="591">
        <v>5.1774999999999995E-2</v>
      </c>
      <c r="HD169" s="591">
        <v>302497</v>
      </c>
      <c r="HE169" s="591">
        <v>0</v>
      </c>
      <c r="HF169" s="591">
        <v>1724912</v>
      </c>
      <c r="HG169" s="591">
        <v>43114</v>
      </c>
      <c r="HH169" s="591">
        <v>497654</v>
      </c>
      <c r="HI169" s="591">
        <v>0</v>
      </c>
      <c r="HJ169" s="591">
        <v>16226</v>
      </c>
      <c r="HK169" s="591">
        <v>3290</v>
      </c>
      <c r="HL169" s="591">
        <v>2208</v>
      </c>
      <c r="HM169" s="591">
        <v>12000</v>
      </c>
      <c r="HN169" s="591">
        <v>0</v>
      </c>
      <c r="HO169" s="591">
        <v>0</v>
      </c>
      <c r="HP169" s="591">
        <v>0</v>
      </c>
      <c r="HQ169" s="591">
        <v>0</v>
      </c>
      <c r="HR169" s="591">
        <v>0</v>
      </c>
      <c r="HS169" s="591">
        <v>15753817</v>
      </c>
      <c r="HT169" s="591">
        <v>0</v>
      </c>
      <c r="HU169" s="591">
        <v>0</v>
      </c>
      <c r="HV169" s="591">
        <v>0</v>
      </c>
      <c r="HW169" s="591">
        <v>0</v>
      </c>
      <c r="HX169" s="591">
        <v>213</v>
      </c>
      <c r="HY169" s="591">
        <v>256</v>
      </c>
      <c r="HZ169" s="591">
        <v>419</v>
      </c>
      <c r="IA169" s="591">
        <v>376</v>
      </c>
      <c r="IB169" s="591">
        <v>219</v>
      </c>
      <c r="IC169" s="591">
        <v>1411</v>
      </c>
      <c r="ID169" s="591">
        <v>0</v>
      </c>
      <c r="IE169" s="591">
        <v>0</v>
      </c>
      <c r="IF169" s="591">
        <v>0</v>
      </c>
      <c r="IG169" s="591">
        <v>70</v>
      </c>
      <c r="IH169" s="591">
        <v>808</v>
      </c>
      <c r="II169" s="591">
        <v>0</v>
      </c>
      <c r="IJ169" s="591">
        <v>678.45100000000002</v>
      </c>
      <c r="IK169" s="591">
        <v>0</v>
      </c>
      <c r="IL169" s="591">
        <v>2</v>
      </c>
      <c r="IM169" s="591">
        <v>0</v>
      </c>
      <c r="IN169" s="591">
        <v>1</v>
      </c>
      <c r="IO169" s="591">
        <v>3</v>
      </c>
      <c r="IP169" s="591">
        <v>0</v>
      </c>
      <c r="IQ169" s="591">
        <v>678.45100000000002</v>
      </c>
      <c r="IR169" s="591">
        <v>417864</v>
      </c>
      <c r="IS169" s="591">
        <v>0</v>
      </c>
      <c r="IT169" s="591">
        <v>10000</v>
      </c>
      <c r="IU169" s="591">
        <v>0</v>
      </c>
      <c r="IV169" s="591">
        <v>2000</v>
      </c>
      <c r="IW169" s="591">
        <v>6159</v>
      </c>
      <c r="IX169" s="591">
        <v>0</v>
      </c>
      <c r="IY169" s="591">
        <v>0</v>
      </c>
      <c r="IZ169" s="591">
        <v>0</v>
      </c>
      <c r="JA169" s="591">
        <v>0</v>
      </c>
      <c r="JB169" s="591">
        <v>0</v>
      </c>
      <c r="JC169" s="591">
        <v>0</v>
      </c>
      <c r="JD169" s="591">
        <v>0</v>
      </c>
      <c r="JE169" s="591">
        <v>0</v>
      </c>
      <c r="JF169" s="591">
        <v>0</v>
      </c>
      <c r="JG169" s="591">
        <v>0</v>
      </c>
      <c r="JH169" s="591">
        <v>0</v>
      </c>
      <c r="JI169" s="591">
        <v>0</v>
      </c>
      <c r="JJ169" s="591">
        <v>0</v>
      </c>
      <c r="JK169" s="591">
        <v>0</v>
      </c>
      <c r="JL169" s="591">
        <v>0</v>
      </c>
      <c r="JM169" s="591">
        <v>0</v>
      </c>
      <c r="JN169" s="591">
        <v>32469</v>
      </c>
    </row>
    <row r="170" spans="1:274" x14ac:dyDescent="0.25">
      <c r="A170" s="591">
        <v>32570</v>
      </c>
      <c r="B170" s="591">
        <v>227804</v>
      </c>
      <c r="C170" s="591">
        <v>9</v>
      </c>
      <c r="D170" s="591">
        <v>2022</v>
      </c>
      <c r="E170" s="591">
        <v>6159</v>
      </c>
      <c r="F170" s="591">
        <v>0</v>
      </c>
      <c r="G170" s="591">
        <v>998.0680000000001</v>
      </c>
      <c r="H170" s="591">
        <v>918.62100000000009</v>
      </c>
      <c r="I170" s="591">
        <v>918.62100000000009</v>
      </c>
      <c r="J170" s="591">
        <v>998.0680000000001</v>
      </c>
      <c r="K170" s="591">
        <v>0</v>
      </c>
      <c r="L170" s="591">
        <v>6159</v>
      </c>
      <c r="M170" s="591">
        <v>0</v>
      </c>
      <c r="N170" s="591">
        <v>0</v>
      </c>
      <c r="O170" s="591">
        <v>0</v>
      </c>
      <c r="P170" s="591">
        <v>991.803</v>
      </c>
      <c r="Q170" s="591">
        <v>0</v>
      </c>
      <c r="R170" s="591">
        <v>399129</v>
      </c>
      <c r="S170" s="591">
        <v>402.428</v>
      </c>
      <c r="T170" s="591">
        <v>0</v>
      </c>
      <c r="U170" s="591">
        <v>0</v>
      </c>
      <c r="V170" s="591">
        <v>202.54</v>
      </c>
      <c r="W170" s="591">
        <v>124746</v>
      </c>
      <c r="X170" s="591">
        <v>124746</v>
      </c>
      <c r="Y170" s="591">
        <v>0</v>
      </c>
      <c r="Z170" s="591">
        <v>0</v>
      </c>
      <c r="AA170" s="591">
        <v>0</v>
      </c>
      <c r="AB170" s="591">
        <v>0</v>
      </c>
      <c r="AC170" s="591">
        <v>0</v>
      </c>
      <c r="AD170" s="591" t="s">
        <v>316</v>
      </c>
      <c r="AE170" s="591">
        <v>0</v>
      </c>
      <c r="AF170" s="591">
        <v>0</v>
      </c>
      <c r="AG170" s="591">
        <v>0</v>
      </c>
      <c r="AH170" s="591">
        <v>0</v>
      </c>
      <c r="AI170" s="591">
        <v>0</v>
      </c>
      <c r="AJ170" s="591">
        <v>6159</v>
      </c>
      <c r="AK170" s="591" t="s">
        <v>671</v>
      </c>
      <c r="AL170" s="591" t="s">
        <v>79</v>
      </c>
      <c r="AM170" s="591">
        <v>0</v>
      </c>
      <c r="AN170" s="591">
        <v>0</v>
      </c>
      <c r="AO170" s="591">
        <v>0</v>
      </c>
      <c r="AP170" s="591">
        <v>0</v>
      </c>
      <c r="AQ170" s="591">
        <v>0</v>
      </c>
      <c r="AR170" s="591">
        <v>0</v>
      </c>
      <c r="AS170" s="591">
        <v>0</v>
      </c>
      <c r="AT170" s="591">
        <v>0</v>
      </c>
      <c r="AU170" s="591">
        <v>0</v>
      </c>
      <c r="AV170" s="591">
        <v>0</v>
      </c>
      <c r="AW170" s="591">
        <v>9571953</v>
      </c>
      <c r="AX170" s="591">
        <v>9393902</v>
      </c>
      <c r="AY170" s="591">
        <v>0</v>
      </c>
      <c r="AZ170" s="591">
        <v>399129</v>
      </c>
      <c r="BA170" s="591">
        <v>0</v>
      </c>
      <c r="BB170" s="591">
        <v>0</v>
      </c>
      <c r="BC170" s="591">
        <v>0</v>
      </c>
      <c r="BD170" s="591">
        <v>2</v>
      </c>
      <c r="BE170" s="591">
        <v>125</v>
      </c>
      <c r="BF170" s="591">
        <v>8702332</v>
      </c>
      <c r="BG170" s="591">
        <v>0</v>
      </c>
      <c r="BH170" s="591">
        <v>0</v>
      </c>
      <c r="BI170" s="591">
        <v>0</v>
      </c>
      <c r="BJ170" s="591">
        <v>12</v>
      </c>
      <c r="BK170" s="591">
        <v>0</v>
      </c>
      <c r="BL170" s="591">
        <v>0</v>
      </c>
      <c r="BM170" s="591">
        <v>0</v>
      </c>
      <c r="BN170" s="591">
        <v>0</v>
      </c>
      <c r="BO170" s="591">
        <v>0</v>
      </c>
      <c r="BP170" s="591">
        <v>0</v>
      </c>
      <c r="BQ170" s="591">
        <v>628</v>
      </c>
      <c r="BR170" s="591">
        <v>0</v>
      </c>
      <c r="BS170" s="591">
        <v>0</v>
      </c>
      <c r="BT170" s="591">
        <v>0</v>
      </c>
      <c r="BU170" s="591">
        <v>0</v>
      </c>
      <c r="BV170" s="591">
        <v>0</v>
      </c>
      <c r="BW170" s="591">
        <v>0</v>
      </c>
      <c r="BX170" s="591">
        <v>0</v>
      </c>
      <c r="BY170" s="591">
        <v>0</v>
      </c>
      <c r="BZ170" s="591">
        <v>0</v>
      </c>
      <c r="CA170" s="591">
        <v>0</v>
      </c>
      <c r="CB170" s="591">
        <v>0</v>
      </c>
      <c r="CC170" s="591">
        <v>0</v>
      </c>
      <c r="CD170" s="591">
        <v>0</v>
      </c>
      <c r="CE170" s="591">
        <v>0</v>
      </c>
      <c r="CF170" s="591">
        <v>0</v>
      </c>
      <c r="CG170" s="591">
        <v>0</v>
      </c>
      <c r="CH170" s="591">
        <v>180861</v>
      </c>
      <c r="CI170" s="591">
        <v>0</v>
      </c>
      <c r="CJ170" s="591">
        <v>4</v>
      </c>
      <c r="CK170" s="591">
        <v>0</v>
      </c>
      <c r="CL170" s="591">
        <v>0</v>
      </c>
      <c r="CM170" s="591">
        <v>0</v>
      </c>
      <c r="CN170" s="591">
        <v>0</v>
      </c>
      <c r="CO170" s="591">
        <v>1</v>
      </c>
      <c r="CP170" s="591">
        <v>0</v>
      </c>
      <c r="CQ170" s="591">
        <v>0</v>
      </c>
      <c r="CR170" s="591">
        <v>998.0680000000001</v>
      </c>
      <c r="CS170" s="591">
        <v>0</v>
      </c>
      <c r="CT170" s="591">
        <v>0</v>
      </c>
      <c r="CU170" s="591">
        <v>0</v>
      </c>
      <c r="CV170" s="591">
        <v>0</v>
      </c>
      <c r="CW170" s="591">
        <v>0</v>
      </c>
      <c r="CX170" s="591">
        <v>0</v>
      </c>
      <c r="CY170" s="591">
        <v>0</v>
      </c>
      <c r="CZ170" s="591">
        <v>0</v>
      </c>
      <c r="DA170" s="591">
        <v>0</v>
      </c>
      <c r="DB170" s="591">
        <v>5650950</v>
      </c>
      <c r="DC170" s="591">
        <v>0</v>
      </c>
      <c r="DD170" s="591">
        <v>0</v>
      </c>
      <c r="DE170" s="591">
        <v>535763</v>
      </c>
      <c r="DF170" s="591">
        <v>535763</v>
      </c>
      <c r="DG170" s="591">
        <v>86.988</v>
      </c>
      <c r="DH170" s="591">
        <v>0</v>
      </c>
      <c r="DI170" s="591">
        <v>0</v>
      </c>
      <c r="DJ170" s="591">
        <v>0</v>
      </c>
      <c r="DK170" s="591">
        <v>1679</v>
      </c>
      <c r="DL170" s="591">
        <v>0</v>
      </c>
      <c r="DM170" s="591">
        <v>710636</v>
      </c>
      <c r="DN170" s="591">
        <v>2685</v>
      </c>
      <c r="DO170" s="591">
        <v>0</v>
      </c>
      <c r="DP170" s="591">
        <v>0</v>
      </c>
      <c r="DQ170" s="591">
        <v>0</v>
      </c>
      <c r="DR170" s="591">
        <v>0</v>
      </c>
      <c r="DS170" s="591">
        <v>0</v>
      </c>
      <c r="DT170" s="591">
        <v>0</v>
      </c>
      <c r="DU170" s="591">
        <v>0</v>
      </c>
      <c r="DV170" s="591">
        <v>0</v>
      </c>
      <c r="DW170" s="591">
        <v>0</v>
      </c>
      <c r="DX170" s="591">
        <v>0</v>
      </c>
      <c r="DY170" s="591">
        <v>0</v>
      </c>
      <c r="DZ170" s="591">
        <v>0</v>
      </c>
      <c r="EA170" s="591">
        <v>0</v>
      </c>
      <c r="EB170" s="591">
        <v>0</v>
      </c>
      <c r="EC170" s="591">
        <v>34.899000000000001</v>
      </c>
      <c r="ED170" s="591">
        <v>247188</v>
      </c>
      <c r="EE170" s="591">
        <v>0</v>
      </c>
      <c r="EF170" s="591">
        <v>0</v>
      </c>
      <c r="EG170" s="591">
        <v>0</v>
      </c>
      <c r="EH170" s="591">
        <v>459221</v>
      </c>
      <c r="EI170" s="591">
        <v>0</v>
      </c>
      <c r="EJ170" s="591">
        <v>0</v>
      </c>
      <c r="EK170" s="591">
        <v>19.856000000000002</v>
      </c>
      <c r="EL170" s="591">
        <v>0</v>
      </c>
      <c r="EM170" s="591">
        <v>1.9490000000000001</v>
      </c>
      <c r="EN170" s="591">
        <v>1.8290000000000002</v>
      </c>
      <c r="EO170" s="591">
        <v>0</v>
      </c>
      <c r="EP170" s="591">
        <v>0</v>
      </c>
      <c r="EQ170" s="591">
        <v>23.634</v>
      </c>
      <c r="ER170" s="591">
        <v>0</v>
      </c>
      <c r="ES170" s="591">
        <v>74.56</v>
      </c>
      <c r="ET170" s="591">
        <v>0</v>
      </c>
      <c r="EU170" s="591">
        <v>0</v>
      </c>
      <c r="EV170" s="591">
        <v>0</v>
      </c>
      <c r="EW170" s="591">
        <v>0</v>
      </c>
      <c r="EX170" s="591">
        <v>0</v>
      </c>
      <c r="EY170" s="591">
        <v>0</v>
      </c>
      <c r="EZ170" s="591">
        <v>8308636</v>
      </c>
      <c r="FA170" s="591">
        <v>0</v>
      </c>
      <c r="FB170" s="591">
        <v>8704955</v>
      </c>
      <c r="FC170" s="591">
        <v>0</v>
      </c>
      <c r="FD170" s="591">
        <v>0</v>
      </c>
      <c r="FE170" s="591">
        <v>901404</v>
      </c>
      <c r="FF170" s="591">
        <v>183862</v>
      </c>
      <c r="FG170" s="591">
        <v>6.4728999999999995E-2</v>
      </c>
      <c r="FH170" s="591">
        <v>2.6405999999999999E-2</v>
      </c>
      <c r="FI170" s="591">
        <v>0</v>
      </c>
      <c r="FJ170" s="591">
        <v>0</v>
      </c>
      <c r="FK170" s="591">
        <v>1412.9270000000001</v>
      </c>
      <c r="FL170" s="591">
        <v>9971082</v>
      </c>
      <c r="FM170" s="591">
        <v>0</v>
      </c>
      <c r="FN170" s="591">
        <v>0</v>
      </c>
      <c r="FO170" s="591">
        <v>0</v>
      </c>
      <c r="FP170" s="591">
        <v>0</v>
      </c>
      <c r="FQ170" s="591">
        <v>0</v>
      </c>
      <c r="FR170" s="591">
        <v>0</v>
      </c>
      <c r="FS170" s="591">
        <v>0</v>
      </c>
      <c r="FT170" s="591">
        <v>0</v>
      </c>
      <c r="FU170" s="591">
        <v>0</v>
      </c>
      <c r="FV170" s="591">
        <v>0</v>
      </c>
      <c r="FW170" s="591">
        <v>0</v>
      </c>
      <c r="FX170" s="591">
        <v>0</v>
      </c>
      <c r="FY170" s="591">
        <v>0</v>
      </c>
      <c r="FZ170" s="591">
        <v>0</v>
      </c>
      <c r="GA170" s="591">
        <v>0</v>
      </c>
      <c r="GB170" s="591">
        <v>464072</v>
      </c>
      <c r="GC170" s="591">
        <v>464072</v>
      </c>
      <c r="GD170" s="591">
        <v>55.813000000000002</v>
      </c>
      <c r="GE170" s="591">
        <v>0</v>
      </c>
      <c r="GF170" s="591">
        <v>0</v>
      </c>
      <c r="GG170" s="591">
        <v>0</v>
      </c>
      <c r="GH170" s="591">
        <v>0</v>
      </c>
      <c r="GI170" s="591">
        <v>0</v>
      </c>
      <c r="GJ170" s="591">
        <v>0</v>
      </c>
      <c r="GK170" s="591">
        <v>0</v>
      </c>
      <c r="GL170" s="591">
        <v>0</v>
      </c>
      <c r="GM170" s="591">
        <v>0</v>
      </c>
      <c r="GN170" s="591">
        <v>0</v>
      </c>
      <c r="GO170" s="591">
        <v>0</v>
      </c>
      <c r="GP170" s="591">
        <v>0</v>
      </c>
      <c r="GQ170" s="591">
        <v>0</v>
      </c>
      <c r="GR170" s="591">
        <v>0</v>
      </c>
      <c r="GS170" s="591">
        <v>0</v>
      </c>
      <c r="GT170" s="591">
        <v>0</v>
      </c>
      <c r="GU170" s="591">
        <v>0</v>
      </c>
      <c r="GV170" s="591">
        <v>0</v>
      </c>
      <c r="GW170" s="591">
        <v>0</v>
      </c>
      <c r="GX170" s="591">
        <v>0</v>
      </c>
      <c r="GY170" s="591">
        <v>0</v>
      </c>
      <c r="GZ170" s="591">
        <v>0</v>
      </c>
      <c r="HA170" s="591">
        <v>0</v>
      </c>
      <c r="HB170" s="591">
        <v>260009272</v>
      </c>
      <c r="HC170" s="591">
        <v>5.1774999999999995E-2</v>
      </c>
      <c r="HD170" s="591">
        <v>180861</v>
      </c>
      <c r="HE170" s="591">
        <v>0</v>
      </c>
      <c r="HF170" s="591">
        <v>1009564</v>
      </c>
      <c r="HG170" s="591">
        <v>23736</v>
      </c>
      <c r="HH170" s="591">
        <v>111479</v>
      </c>
      <c r="HI170" s="591">
        <v>0</v>
      </c>
      <c r="HJ170" s="591">
        <v>9701</v>
      </c>
      <c r="HK170" s="591">
        <v>3246</v>
      </c>
      <c r="HL170" s="591">
        <v>2187</v>
      </c>
      <c r="HM170" s="591">
        <v>59000</v>
      </c>
      <c r="HN170" s="591">
        <v>0</v>
      </c>
      <c r="HO170" s="591">
        <v>0</v>
      </c>
      <c r="HP170" s="591">
        <v>0</v>
      </c>
      <c r="HQ170" s="591">
        <v>0</v>
      </c>
      <c r="HR170" s="591">
        <v>0</v>
      </c>
      <c r="HS170" s="591">
        <v>8305826</v>
      </c>
      <c r="HT170" s="591">
        <v>0</v>
      </c>
      <c r="HU170" s="591">
        <v>0</v>
      </c>
      <c r="HV170" s="591">
        <v>0</v>
      </c>
      <c r="HW170" s="591">
        <v>0</v>
      </c>
      <c r="HX170" s="591">
        <v>70</v>
      </c>
      <c r="HY170" s="591">
        <v>133</v>
      </c>
      <c r="HZ170" s="591">
        <v>81</v>
      </c>
      <c r="IA170" s="591">
        <v>54</v>
      </c>
      <c r="IB170" s="591">
        <v>19</v>
      </c>
      <c r="IC170" s="591">
        <v>327</v>
      </c>
      <c r="ID170" s="591">
        <v>0</v>
      </c>
      <c r="IE170" s="591">
        <v>0</v>
      </c>
      <c r="IF170" s="591">
        <v>0</v>
      </c>
      <c r="IG170" s="591">
        <v>38.539000000000001</v>
      </c>
      <c r="IH170" s="591">
        <v>181</v>
      </c>
      <c r="II170" s="591">
        <v>0</v>
      </c>
      <c r="IJ170" s="591">
        <v>202.54</v>
      </c>
      <c r="IK170" s="591">
        <v>0</v>
      </c>
      <c r="IL170" s="591">
        <v>4</v>
      </c>
      <c r="IM170" s="591">
        <v>13</v>
      </c>
      <c r="IN170" s="591">
        <v>0</v>
      </c>
      <c r="IO170" s="591">
        <v>17</v>
      </c>
      <c r="IP170" s="591">
        <v>0</v>
      </c>
      <c r="IQ170" s="591">
        <v>202.54</v>
      </c>
      <c r="IR170" s="591">
        <v>124746</v>
      </c>
      <c r="IS170" s="591">
        <v>0</v>
      </c>
      <c r="IT170" s="591">
        <v>20000</v>
      </c>
      <c r="IU170" s="591">
        <v>39000</v>
      </c>
      <c r="IV170" s="591">
        <v>0</v>
      </c>
      <c r="IW170" s="591">
        <v>6159</v>
      </c>
      <c r="IX170" s="591">
        <v>0</v>
      </c>
      <c r="IY170" s="591">
        <v>0</v>
      </c>
      <c r="IZ170" s="591">
        <v>0</v>
      </c>
      <c r="JA170" s="591">
        <v>0</v>
      </c>
      <c r="JB170" s="591">
        <v>0</v>
      </c>
      <c r="JC170" s="591">
        <v>0</v>
      </c>
      <c r="JD170" s="591">
        <v>0</v>
      </c>
      <c r="JE170" s="591">
        <v>0</v>
      </c>
      <c r="JF170" s="591">
        <v>0</v>
      </c>
      <c r="JG170" s="591">
        <v>0</v>
      </c>
      <c r="JH170" s="591">
        <v>0</v>
      </c>
      <c r="JI170" s="591">
        <v>0</v>
      </c>
      <c r="JJ170" s="591">
        <v>0</v>
      </c>
      <c r="JK170" s="591">
        <v>0</v>
      </c>
      <c r="JL170" s="591">
        <v>0</v>
      </c>
      <c r="JM170" s="591">
        <v>0</v>
      </c>
      <c r="JN170" s="591">
        <v>32469</v>
      </c>
    </row>
    <row r="171" spans="1:274" x14ac:dyDescent="0.25">
      <c r="A171" s="591">
        <v>32570</v>
      </c>
      <c r="B171" s="591">
        <v>227805</v>
      </c>
      <c r="C171" s="591">
        <v>9</v>
      </c>
      <c r="D171" s="591">
        <v>2022</v>
      </c>
      <c r="E171" s="591">
        <v>6159</v>
      </c>
      <c r="F171" s="591">
        <v>0</v>
      </c>
      <c r="G171" s="591">
        <v>341.81800000000004</v>
      </c>
      <c r="H171" s="591">
        <v>330.34200000000004</v>
      </c>
      <c r="I171" s="591">
        <v>330.34200000000004</v>
      </c>
      <c r="J171" s="591">
        <v>341.81800000000004</v>
      </c>
      <c r="K171" s="591">
        <v>0</v>
      </c>
      <c r="L171" s="591">
        <v>6159</v>
      </c>
      <c r="M171" s="591">
        <v>0</v>
      </c>
      <c r="N171" s="591">
        <v>0</v>
      </c>
      <c r="O171" s="591">
        <v>0</v>
      </c>
      <c r="P171" s="591">
        <v>326.86900000000003</v>
      </c>
      <c r="Q171" s="591">
        <v>0</v>
      </c>
      <c r="R171" s="591">
        <v>131541</v>
      </c>
      <c r="S171" s="591">
        <v>402.428</v>
      </c>
      <c r="T171" s="591">
        <v>0</v>
      </c>
      <c r="U171" s="591">
        <v>0</v>
      </c>
      <c r="V171" s="591">
        <v>0</v>
      </c>
      <c r="W171" s="591">
        <v>0</v>
      </c>
      <c r="X171" s="591">
        <v>0</v>
      </c>
      <c r="Y171" s="591">
        <v>0</v>
      </c>
      <c r="Z171" s="591">
        <v>0</v>
      </c>
      <c r="AA171" s="591">
        <v>0</v>
      </c>
      <c r="AB171" s="591">
        <v>0</v>
      </c>
      <c r="AC171" s="591">
        <v>0</v>
      </c>
      <c r="AD171" s="591" t="s">
        <v>316</v>
      </c>
      <c r="AE171" s="591">
        <v>0</v>
      </c>
      <c r="AF171" s="591">
        <v>0</v>
      </c>
      <c r="AG171" s="591">
        <v>0</v>
      </c>
      <c r="AH171" s="591">
        <v>0</v>
      </c>
      <c r="AI171" s="591">
        <v>0</v>
      </c>
      <c r="AJ171" s="591">
        <v>6159</v>
      </c>
      <c r="AK171" s="591" t="s">
        <v>671</v>
      </c>
      <c r="AL171" s="591" t="s">
        <v>80</v>
      </c>
      <c r="AM171" s="591">
        <v>0</v>
      </c>
      <c r="AN171" s="591">
        <v>0</v>
      </c>
      <c r="AO171" s="591">
        <v>0</v>
      </c>
      <c r="AP171" s="591">
        <v>0</v>
      </c>
      <c r="AQ171" s="591">
        <v>0</v>
      </c>
      <c r="AR171" s="591">
        <v>0</v>
      </c>
      <c r="AS171" s="591">
        <v>0</v>
      </c>
      <c r="AT171" s="591">
        <v>0</v>
      </c>
      <c r="AU171" s="591">
        <v>0</v>
      </c>
      <c r="AV171" s="591">
        <v>0</v>
      </c>
      <c r="AW171" s="591">
        <v>3541360</v>
      </c>
      <c r="AX171" s="591">
        <v>3480440</v>
      </c>
      <c r="AY171" s="591">
        <v>0</v>
      </c>
      <c r="AZ171" s="591">
        <v>131541</v>
      </c>
      <c r="BA171" s="591">
        <v>0</v>
      </c>
      <c r="BB171" s="591">
        <v>0</v>
      </c>
      <c r="BC171" s="591">
        <v>0</v>
      </c>
      <c r="BD171" s="591">
        <v>0</v>
      </c>
      <c r="BE171" s="591">
        <v>46</v>
      </c>
      <c r="BF171" s="591">
        <v>3210995</v>
      </c>
      <c r="BG171" s="591">
        <v>0</v>
      </c>
      <c r="BH171" s="591">
        <v>0</v>
      </c>
      <c r="BI171" s="591">
        <v>0</v>
      </c>
      <c r="BJ171" s="591">
        <v>12</v>
      </c>
      <c r="BK171" s="591">
        <v>0</v>
      </c>
      <c r="BL171" s="591">
        <v>0</v>
      </c>
      <c r="BM171" s="591">
        <v>0</v>
      </c>
      <c r="BN171" s="591">
        <v>0</v>
      </c>
      <c r="BO171" s="591">
        <v>0</v>
      </c>
      <c r="BP171" s="591">
        <v>0</v>
      </c>
      <c r="BQ171" s="591">
        <v>719</v>
      </c>
      <c r="BR171" s="591">
        <v>0</v>
      </c>
      <c r="BS171" s="591">
        <v>0</v>
      </c>
      <c r="BT171" s="591">
        <v>0</v>
      </c>
      <c r="BU171" s="591">
        <v>0</v>
      </c>
      <c r="BV171" s="591">
        <v>0</v>
      </c>
      <c r="BW171" s="591">
        <v>0</v>
      </c>
      <c r="BX171" s="591">
        <v>0</v>
      </c>
      <c r="BY171" s="591">
        <v>0</v>
      </c>
      <c r="BZ171" s="591">
        <v>0</v>
      </c>
      <c r="CA171" s="591">
        <v>0</v>
      </c>
      <c r="CB171" s="591">
        <v>0</v>
      </c>
      <c r="CC171" s="591">
        <v>0</v>
      </c>
      <c r="CD171" s="591">
        <v>0</v>
      </c>
      <c r="CE171" s="591">
        <v>0</v>
      </c>
      <c r="CF171" s="591">
        <v>0</v>
      </c>
      <c r="CG171" s="591">
        <v>0</v>
      </c>
      <c r="CH171" s="591">
        <v>61941</v>
      </c>
      <c r="CI171" s="591">
        <v>0</v>
      </c>
      <c r="CJ171" s="591">
        <v>4</v>
      </c>
      <c r="CK171" s="591">
        <v>0</v>
      </c>
      <c r="CL171" s="591">
        <v>0</v>
      </c>
      <c r="CM171" s="591">
        <v>0</v>
      </c>
      <c r="CN171" s="591">
        <v>0</v>
      </c>
      <c r="CO171" s="591">
        <v>1</v>
      </c>
      <c r="CP171" s="591">
        <v>0</v>
      </c>
      <c r="CQ171" s="591">
        <v>0</v>
      </c>
      <c r="CR171" s="591">
        <v>341.81800000000004</v>
      </c>
      <c r="CS171" s="591">
        <v>0</v>
      </c>
      <c r="CT171" s="591">
        <v>0</v>
      </c>
      <c r="CU171" s="591">
        <v>0</v>
      </c>
      <c r="CV171" s="591">
        <v>0</v>
      </c>
      <c r="CW171" s="591">
        <v>0</v>
      </c>
      <c r="CX171" s="591">
        <v>0</v>
      </c>
      <c r="CY171" s="591">
        <v>0</v>
      </c>
      <c r="CZ171" s="591">
        <v>0</v>
      </c>
      <c r="DA171" s="591">
        <v>0</v>
      </c>
      <c r="DB171" s="591">
        <v>2031367</v>
      </c>
      <c r="DC171" s="591">
        <v>0</v>
      </c>
      <c r="DD171" s="591">
        <v>0</v>
      </c>
      <c r="DE171" s="591">
        <v>475789</v>
      </c>
      <c r="DF171" s="591">
        <v>475789</v>
      </c>
      <c r="DG171" s="591">
        <v>77.25</v>
      </c>
      <c r="DH171" s="591">
        <v>0</v>
      </c>
      <c r="DI171" s="591">
        <v>0</v>
      </c>
      <c r="DJ171" s="591">
        <v>0</v>
      </c>
      <c r="DK171" s="591">
        <v>3128</v>
      </c>
      <c r="DL171" s="591">
        <v>0</v>
      </c>
      <c r="DM171" s="591">
        <v>258787</v>
      </c>
      <c r="DN171" s="591">
        <v>975</v>
      </c>
      <c r="DO171" s="591">
        <v>0</v>
      </c>
      <c r="DP171" s="591">
        <v>0</v>
      </c>
      <c r="DQ171" s="591">
        <v>0</v>
      </c>
      <c r="DR171" s="591">
        <v>0</v>
      </c>
      <c r="DS171" s="591">
        <v>0</v>
      </c>
      <c r="DT171" s="591">
        <v>0</v>
      </c>
      <c r="DU171" s="591">
        <v>0</v>
      </c>
      <c r="DV171" s="591">
        <v>0</v>
      </c>
      <c r="DW171" s="591">
        <v>0</v>
      </c>
      <c r="DX171" s="591">
        <v>0</v>
      </c>
      <c r="DY171" s="591">
        <v>0</v>
      </c>
      <c r="DZ171" s="591">
        <v>0</v>
      </c>
      <c r="EA171" s="591">
        <v>0</v>
      </c>
      <c r="EB171" s="591">
        <v>0</v>
      </c>
      <c r="EC171" s="591">
        <v>7.1390000000000002</v>
      </c>
      <c r="ED171" s="591">
        <v>50565</v>
      </c>
      <c r="EE171" s="591">
        <v>0</v>
      </c>
      <c r="EF171" s="591">
        <v>0</v>
      </c>
      <c r="EG171" s="591">
        <v>0</v>
      </c>
      <c r="EH171" s="591">
        <v>205960</v>
      </c>
      <c r="EI171" s="591">
        <v>0</v>
      </c>
      <c r="EJ171" s="591">
        <v>0</v>
      </c>
      <c r="EK171" s="591">
        <v>9.8979999999999997</v>
      </c>
      <c r="EL171" s="591">
        <v>0</v>
      </c>
      <c r="EM171" s="591">
        <v>0.752</v>
      </c>
      <c r="EN171" s="591">
        <v>0.29799999999999999</v>
      </c>
      <c r="EO171" s="591">
        <v>0</v>
      </c>
      <c r="EP171" s="591">
        <v>0</v>
      </c>
      <c r="EQ171" s="591">
        <v>10.948</v>
      </c>
      <c r="ER171" s="591">
        <v>0</v>
      </c>
      <c r="ES171" s="591">
        <v>33.44</v>
      </c>
      <c r="ET171" s="591">
        <v>0</v>
      </c>
      <c r="EU171" s="591">
        <v>0</v>
      </c>
      <c r="EV171" s="591">
        <v>0</v>
      </c>
      <c r="EW171" s="591">
        <v>0</v>
      </c>
      <c r="EX171" s="591">
        <v>0</v>
      </c>
      <c r="EY171" s="591">
        <v>0</v>
      </c>
      <c r="EZ171" s="591">
        <v>3079997</v>
      </c>
      <c r="FA171" s="591">
        <v>0</v>
      </c>
      <c r="FB171" s="591">
        <v>3210517</v>
      </c>
      <c r="FC171" s="591">
        <v>0</v>
      </c>
      <c r="FD171" s="591">
        <v>0</v>
      </c>
      <c r="FE171" s="591">
        <v>332601</v>
      </c>
      <c r="FF171" s="591">
        <v>67842</v>
      </c>
      <c r="FG171" s="591">
        <v>6.4728999999999995E-2</v>
      </c>
      <c r="FH171" s="591">
        <v>2.6405999999999999E-2</v>
      </c>
      <c r="FI171" s="591">
        <v>0</v>
      </c>
      <c r="FJ171" s="591">
        <v>0</v>
      </c>
      <c r="FK171" s="591">
        <v>521.34300000000007</v>
      </c>
      <c r="FL171" s="591">
        <v>3672901</v>
      </c>
      <c r="FM171" s="591">
        <v>0</v>
      </c>
      <c r="FN171" s="591">
        <v>0</v>
      </c>
      <c r="FO171" s="591">
        <v>0</v>
      </c>
      <c r="FP171" s="591">
        <v>0</v>
      </c>
      <c r="FQ171" s="591">
        <v>0</v>
      </c>
      <c r="FR171" s="591">
        <v>0</v>
      </c>
      <c r="FS171" s="591">
        <v>0</v>
      </c>
      <c r="FT171" s="591">
        <v>0</v>
      </c>
      <c r="FU171" s="591">
        <v>0</v>
      </c>
      <c r="FV171" s="591">
        <v>0</v>
      </c>
      <c r="FW171" s="591">
        <v>0</v>
      </c>
      <c r="FX171" s="591">
        <v>0</v>
      </c>
      <c r="FY171" s="591">
        <v>0</v>
      </c>
      <c r="FZ171" s="591">
        <v>0</v>
      </c>
      <c r="GA171" s="591">
        <v>0</v>
      </c>
      <c r="GB171" s="591">
        <v>4390</v>
      </c>
      <c r="GC171" s="591">
        <v>4390</v>
      </c>
      <c r="GD171" s="591">
        <v>0.52800000000000002</v>
      </c>
      <c r="GE171" s="591">
        <v>0</v>
      </c>
      <c r="GF171" s="591">
        <v>0</v>
      </c>
      <c r="GG171" s="591">
        <v>0</v>
      </c>
      <c r="GH171" s="591">
        <v>0</v>
      </c>
      <c r="GI171" s="591">
        <v>0</v>
      </c>
      <c r="GJ171" s="591">
        <v>0</v>
      </c>
      <c r="GK171" s="591">
        <v>0</v>
      </c>
      <c r="GL171" s="591">
        <v>0</v>
      </c>
      <c r="GM171" s="591">
        <v>0</v>
      </c>
      <c r="GN171" s="591">
        <v>0</v>
      </c>
      <c r="GO171" s="591">
        <v>0</v>
      </c>
      <c r="GP171" s="591">
        <v>0</v>
      </c>
      <c r="GQ171" s="591">
        <v>0</v>
      </c>
      <c r="GR171" s="591">
        <v>0</v>
      </c>
      <c r="GS171" s="591">
        <v>0</v>
      </c>
      <c r="GT171" s="591">
        <v>0</v>
      </c>
      <c r="GU171" s="591">
        <v>0</v>
      </c>
      <c r="GV171" s="591">
        <v>0</v>
      </c>
      <c r="GW171" s="591">
        <v>0</v>
      </c>
      <c r="GX171" s="591">
        <v>0</v>
      </c>
      <c r="GY171" s="591">
        <v>0</v>
      </c>
      <c r="GZ171" s="591">
        <v>0</v>
      </c>
      <c r="HA171" s="591">
        <v>0</v>
      </c>
      <c r="HB171" s="591">
        <v>260009272</v>
      </c>
      <c r="HC171" s="591">
        <v>5.1774999999999995E-2</v>
      </c>
      <c r="HD171" s="591">
        <v>61941</v>
      </c>
      <c r="HE171" s="591">
        <v>0</v>
      </c>
      <c r="HF171" s="591">
        <v>363046</v>
      </c>
      <c r="HG171" s="591">
        <v>642</v>
      </c>
      <c r="HH171" s="591">
        <v>72677</v>
      </c>
      <c r="HI171" s="591">
        <v>0</v>
      </c>
      <c r="HJ171" s="591">
        <v>3322</v>
      </c>
      <c r="HK171" s="591">
        <v>543</v>
      </c>
      <c r="HL171" s="591">
        <v>0</v>
      </c>
      <c r="HM171" s="591">
        <v>0</v>
      </c>
      <c r="HN171" s="591">
        <v>0</v>
      </c>
      <c r="HO171" s="591">
        <v>0</v>
      </c>
      <c r="HP171" s="591">
        <v>0</v>
      </c>
      <c r="HQ171" s="591">
        <v>0</v>
      </c>
      <c r="HR171" s="591">
        <v>0</v>
      </c>
      <c r="HS171" s="591">
        <v>3078976</v>
      </c>
      <c r="HT171" s="591">
        <v>0</v>
      </c>
      <c r="HU171" s="591">
        <v>0</v>
      </c>
      <c r="HV171" s="591">
        <v>0</v>
      </c>
      <c r="HW171" s="591">
        <v>0</v>
      </c>
      <c r="HX171" s="591">
        <v>21</v>
      </c>
      <c r="HY171" s="591">
        <v>71</v>
      </c>
      <c r="HZ171" s="591">
        <v>57</v>
      </c>
      <c r="IA171" s="591">
        <v>75</v>
      </c>
      <c r="IB171" s="591">
        <v>79</v>
      </c>
      <c r="IC171" s="591">
        <v>258</v>
      </c>
      <c r="ID171" s="591">
        <v>0</v>
      </c>
      <c r="IE171" s="591">
        <v>0</v>
      </c>
      <c r="IF171" s="591">
        <v>0</v>
      </c>
      <c r="IG171" s="591">
        <v>1.042</v>
      </c>
      <c r="IH171" s="591">
        <v>118</v>
      </c>
      <c r="II171" s="591">
        <v>0</v>
      </c>
      <c r="IJ171" s="591">
        <v>0</v>
      </c>
      <c r="IK171" s="591">
        <v>0</v>
      </c>
      <c r="IL171" s="591">
        <v>0</v>
      </c>
      <c r="IM171" s="591">
        <v>0</v>
      </c>
      <c r="IN171" s="591">
        <v>0</v>
      </c>
      <c r="IO171" s="591">
        <v>0</v>
      </c>
      <c r="IP171" s="591">
        <v>0</v>
      </c>
      <c r="IQ171" s="591">
        <v>0</v>
      </c>
      <c r="IR171" s="591">
        <v>0</v>
      </c>
      <c r="IS171" s="591">
        <v>0</v>
      </c>
      <c r="IT171" s="591">
        <v>0</v>
      </c>
      <c r="IU171" s="591">
        <v>0</v>
      </c>
      <c r="IV171" s="591">
        <v>0</v>
      </c>
      <c r="IW171" s="591">
        <v>6159</v>
      </c>
      <c r="IX171" s="591">
        <v>0</v>
      </c>
      <c r="IY171" s="591">
        <v>0</v>
      </c>
      <c r="IZ171" s="591">
        <v>0</v>
      </c>
      <c r="JA171" s="591">
        <v>0</v>
      </c>
      <c r="JB171" s="591">
        <v>0</v>
      </c>
      <c r="JC171" s="591">
        <v>0</v>
      </c>
      <c r="JD171" s="591">
        <v>0</v>
      </c>
      <c r="JE171" s="591">
        <v>0</v>
      </c>
      <c r="JF171" s="591">
        <v>0</v>
      </c>
      <c r="JG171" s="591">
        <v>0</v>
      </c>
      <c r="JH171" s="591">
        <v>0</v>
      </c>
      <c r="JI171" s="591">
        <v>0</v>
      </c>
      <c r="JJ171" s="591">
        <v>0</v>
      </c>
      <c r="JK171" s="591">
        <v>0</v>
      </c>
      <c r="JL171" s="591">
        <v>0</v>
      </c>
      <c r="JM171" s="591">
        <v>0</v>
      </c>
      <c r="JN171" s="591">
        <v>32469</v>
      </c>
    </row>
    <row r="172" spans="1:274" x14ac:dyDescent="0.25">
      <c r="A172" s="591">
        <v>32570</v>
      </c>
      <c r="B172" s="591">
        <v>227806</v>
      </c>
      <c r="C172" s="591">
        <v>9</v>
      </c>
      <c r="D172" s="591">
        <v>2022</v>
      </c>
      <c r="E172" s="591">
        <v>6159</v>
      </c>
      <c r="F172" s="591">
        <v>0</v>
      </c>
      <c r="G172" s="591">
        <v>566.02700000000004</v>
      </c>
      <c r="H172" s="591">
        <v>372.33</v>
      </c>
      <c r="I172" s="591">
        <v>372.33</v>
      </c>
      <c r="J172" s="591">
        <v>566.02700000000004</v>
      </c>
      <c r="K172" s="591">
        <v>0</v>
      </c>
      <c r="L172" s="591">
        <v>6159</v>
      </c>
      <c r="M172" s="591">
        <v>0</v>
      </c>
      <c r="N172" s="591">
        <v>0</v>
      </c>
      <c r="O172" s="591">
        <v>0</v>
      </c>
      <c r="P172" s="591">
        <v>585.65800000000002</v>
      </c>
      <c r="Q172" s="591">
        <v>0</v>
      </c>
      <c r="R172" s="591">
        <v>235685</v>
      </c>
      <c r="S172" s="591">
        <v>402.428</v>
      </c>
      <c r="T172" s="591">
        <v>0</v>
      </c>
      <c r="U172" s="591">
        <v>0</v>
      </c>
      <c r="V172" s="591">
        <v>22.617000000000001</v>
      </c>
      <c r="W172" s="591">
        <v>13930</v>
      </c>
      <c r="X172" s="591">
        <v>13930</v>
      </c>
      <c r="Y172" s="591">
        <v>0</v>
      </c>
      <c r="Z172" s="591">
        <v>0</v>
      </c>
      <c r="AA172" s="591">
        <v>0</v>
      </c>
      <c r="AB172" s="591">
        <v>0</v>
      </c>
      <c r="AC172" s="591">
        <v>0</v>
      </c>
      <c r="AD172" s="591" t="s">
        <v>316</v>
      </c>
      <c r="AE172" s="591">
        <v>0</v>
      </c>
      <c r="AF172" s="591">
        <v>0</v>
      </c>
      <c r="AG172" s="591">
        <v>0</v>
      </c>
      <c r="AH172" s="591">
        <v>0</v>
      </c>
      <c r="AI172" s="591">
        <v>0</v>
      </c>
      <c r="AJ172" s="591">
        <v>6159</v>
      </c>
      <c r="AK172" s="591" t="s">
        <v>671</v>
      </c>
      <c r="AL172" s="591" t="s">
        <v>86</v>
      </c>
      <c r="AM172" s="591">
        <v>0</v>
      </c>
      <c r="AN172" s="591">
        <v>0</v>
      </c>
      <c r="AO172" s="591">
        <v>0</v>
      </c>
      <c r="AP172" s="591">
        <v>0</v>
      </c>
      <c r="AQ172" s="591">
        <v>0</v>
      </c>
      <c r="AR172" s="591">
        <v>0</v>
      </c>
      <c r="AS172" s="591">
        <v>0</v>
      </c>
      <c r="AT172" s="591">
        <v>0</v>
      </c>
      <c r="AU172" s="591">
        <v>0</v>
      </c>
      <c r="AV172" s="591">
        <v>0</v>
      </c>
      <c r="AW172" s="591">
        <v>9471210</v>
      </c>
      <c r="AX172" s="591">
        <v>9387343</v>
      </c>
      <c r="AY172" s="591">
        <v>0</v>
      </c>
      <c r="AZ172" s="591">
        <v>235685</v>
      </c>
      <c r="BA172" s="591">
        <v>0</v>
      </c>
      <c r="BB172" s="591">
        <v>0</v>
      </c>
      <c r="BC172" s="591">
        <v>0</v>
      </c>
      <c r="BD172" s="591">
        <v>0</v>
      </c>
      <c r="BE172" s="591">
        <v>123</v>
      </c>
      <c r="BF172" s="591">
        <v>8439894</v>
      </c>
      <c r="BG172" s="591">
        <v>0</v>
      </c>
      <c r="BH172" s="591">
        <v>0</v>
      </c>
      <c r="BI172" s="591">
        <v>0</v>
      </c>
      <c r="BJ172" s="591">
        <v>12</v>
      </c>
      <c r="BK172" s="591">
        <v>0</v>
      </c>
      <c r="BL172" s="591">
        <v>0</v>
      </c>
      <c r="BM172" s="591">
        <v>0</v>
      </c>
      <c r="BN172" s="591">
        <v>0</v>
      </c>
      <c r="BO172" s="591">
        <v>0</v>
      </c>
      <c r="BP172" s="591">
        <v>0</v>
      </c>
      <c r="BQ172" s="591">
        <v>713</v>
      </c>
      <c r="BR172" s="591">
        <v>0</v>
      </c>
      <c r="BS172" s="591">
        <v>0</v>
      </c>
      <c r="BT172" s="591">
        <v>0</v>
      </c>
      <c r="BU172" s="591">
        <v>0</v>
      </c>
      <c r="BV172" s="591">
        <v>0</v>
      </c>
      <c r="BW172" s="591">
        <v>0</v>
      </c>
      <c r="BX172" s="591">
        <v>0</v>
      </c>
      <c r="BY172" s="591">
        <v>0</v>
      </c>
      <c r="BZ172" s="591">
        <v>0</v>
      </c>
      <c r="CA172" s="591">
        <v>0</v>
      </c>
      <c r="CB172" s="591">
        <v>0</v>
      </c>
      <c r="CC172" s="591">
        <v>0</v>
      </c>
      <c r="CD172" s="591">
        <v>0</v>
      </c>
      <c r="CE172" s="591">
        <v>0</v>
      </c>
      <c r="CF172" s="591">
        <v>0</v>
      </c>
      <c r="CG172" s="591">
        <v>0</v>
      </c>
      <c r="CH172" s="591">
        <v>102570</v>
      </c>
      <c r="CI172" s="591">
        <v>0</v>
      </c>
      <c r="CJ172" s="591">
        <v>4</v>
      </c>
      <c r="CK172" s="591">
        <v>0</v>
      </c>
      <c r="CL172" s="591">
        <v>0</v>
      </c>
      <c r="CM172" s="591">
        <v>0</v>
      </c>
      <c r="CN172" s="591">
        <v>0</v>
      </c>
      <c r="CO172" s="591">
        <v>1</v>
      </c>
      <c r="CP172" s="591">
        <v>2.056</v>
      </c>
      <c r="CQ172" s="591">
        <v>0</v>
      </c>
      <c r="CR172" s="591">
        <v>566.02700000000004</v>
      </c>
      <c r="CS172" s="591">
        <v>0</v>
      </c>
      <c r="CT172" s="591">
        <v>0</v>
      </c>
      <c r="CU172" s="591">
        <v>0</v>
      </c>
      <c r="CV172" s="591">
        <v>0</v>
      </c>
      <c r="CW172" s="591">
        <v>0</v>
      </c>
      <c r="CX172" s="591">
        <v>0</v>
      </c>
      <c r="CY172" s="591">
        <v>0</v>
      </c>
      <c r="CZ172" s="591">
        <v>0</v>
      </c>
      <c r="DA172" s="591">
        <v>0</v>
      </c>
      <c r="DB172" s="591">
        <v>2293211</v>
      </c>
      <c r="DC172" s="591">
        <v>0</v>
      </c>
      <c r="DD172" s="591">
        <v>0</v>
      </c>
      <c r="DE172" s="591">
        <v>618834</v>
      </c>
      <c r="DF172" s="591">
        <v>793475</v>
      </c>
      <c r="DG172" s="591">
        <v>100.47500000000001</v>
      </c>
      <c r="DH172" s="591">
        <v>0</v>
      </c>
      <c r="DI172" s="591">
        <v>30518</v>
      </c>
      <c r="DJ172" s="591">
        <v>0</v>
      </c>
      <c r="DK172" s="591">
        <v>3024</v>
      </c>
      <c r="DL172" s="591">
        <v>0</v>
      </c>
      <c r="DM172" s="591">
        <v>4869799</v>
      </c>
      <c r="DN172" s="591">
        <v>18580</v>
      </c>
      <c r="DO172" s="591">
        <v>0</v>
      </c>
      <c r="DP172" s="591">
        <v>0</v>
      </c>
      <c r="DQ172" s="591">
        <v>0</v>
      </c>
      <c r="DR172" s="591">
        <v>0</v>
      </c>
      <c r="DS172" s="591">
        <v>0</v>
      </c>
      <c r="DT172" s="591">
        <v>0</v>
      </c>
      <c r="DU172" s="591">
        <v>0</v>
      </c>
      <c r="DV172" s="591">
        <v>0</v>
      </c>
      <c r="DW172" s="591">
        <v>0</v>
      </c>
      <c r="DX172" s="591">
        <v>0</v>
      </c>
      <c r="DY172" s="591">
        <v>0</v>
      </c>
      <c r="DZ172" s="591">
        <v>0</v>
      </c>
      <c r="EA172" s="591">
        <v>3.3000000000000002E-2</v>
      </c>
      <c r="EB172" s="591">
        <v>0</v>
      </c>
      <c r="EC172" s="591">
        <v>17.108000000000001</v>
      </c>
      <c r="ED172" s="591">
        <v>121175</v>
      </c>
      <c r="EE172" s="591">
        <v>0</v>
      </c>
      <c r="EF172" s="591">
        <v>0</v>
      </c>
      <c r="EG172" s="591">
        <v>0</v>
      </c>
      <c r="EH172" s="591">
        <v>83616</v>
      </c>
      <c r="EI172" s="591">
        <v>4683588</v>
      </c>
      <c r="EJ172" s="591">
        <v>190.10900000000001</v>
      </c>
      <c r="EK172" s="591">
        <v>2.1819999999999999</v>
      </c>
      <c r="EL172" s="591">
        <v>0</v>
      </c>
      <c r="EM172" s="591">
        <v>0</v>
      </c>
      <c r="EN172" s="591">
        <v>1.373</v>
      </c>
      <c r="EO172" s="591">
        <v>0</v>
      </c>
      <c r="EP172" s="591">
        <v>0</v>
      </c>
      <c r="EQ172" s="591">
        <v>193.697</v>
      </c>
      <c r="ER172" s="591">
        <v>0</v>
      </c>
      <c r="ES172" s="591">
        <v>13.576000000000001</v>
      </c>
      <c r="ET172" s="591">
        <v>0</v>
      </c>
      <c r="EU172" s="591">
        <v>0</v>
      </c>
      <c r="EV172" s="591">
        <v>0</v>
      </c>
      <c r="EW172" s="591">
        <v>0</v>
      </c>
      <c r="EX172" s="591">
        <v>0</v>
      </c>
      <c r="EY172" s="591">
        <v>0</v>
      </c>
      <c r="EZ172" s="591">
        <v>8334805</v>
      </c>
      <c r="FA172" s="591">
        <v>0</v>
      </c>
      <c r="FB172" s="591">
        <v>8551787</v>
      </c>
      <c r="FC172" s="591">
        <v>0</v>
      </c>
      <c r="FD172" s="591">
        <v>0</v>
      </c>
      <c r="FE172" s="591">
        <v>874220</v>
      </c>
      <c r="FF172" s="591">
        <v>178318</v>
      </c>
      <c r="FG172" s="591">
        <v>6.4728999999999995E-2</v>
      </c>
      <c r="FH172" s="591">
        <v>2.6405999999999999E-2</v>
      </c>
      <c r="FI172" s="591">
        <v>0</v>
      </c>
      <c r="FJ172" s="591">
        <v>0</v>
      </c>
      <c r="FK172" s="591">
        <v>1370.317</v>
      </c>
      <c r="FL172" s="591">
        <v>9706895</v>
      </c>
      <c r="FM172" s="591">
        <v>0</v>
      </c>
      <c r="FN172" s="591">
        <v>0</v>
      </c>
      <c r="FO172" s="591">
        <v>0</v>
      </c>
      <c r="FP172" s="591">
        <v>0</v>
      </c>
      <c r="FQ172" s="591">
        <v>0</v>
      </c>
      <c r="FR172" s="591">
        <v>0</v>
      </c>
      <c r="FS172" s="591">
        <v>0</v>
      </c>
      <c r="FT172" s="591">
        <v>0</v>
      </c>
      <c r="FU172" s="591">
        <v>0</v>
      </c>
      <c r="FV172" s="591">
        <v>0</v>
      </c>
      <c r="FW172" s="591">
        <v>0</v>
      </c>
      <c r="FX172" s="591">
        <v>0</v>
      </c>
      <c r="FY172" s="591">
        <v>0</v>
      </c>
      <c r="FZ172" s="591">
        <v>0</v>
      </c>
      <c r="GA172" s="591">
        <v>0</v>
      </c>
      <c r="GB172" s="591">
        <v>0</v>
      </c>
      <c r="GC172" s="591">
        <v>0</v>
      </c>
      <c r="GD172" s="591">
        <v>0</v>
      </c>
      <c r="GE172" s="591">
        <v>0</v>
      </c>
      <c r="GF172" s="591">
        <v>0</v>
      </c>
      <c r="GG172" s="591">
        <v>0</v>
      </c>
      <c r="GH172" s="591">
        <v>0</v>
      </c>
      <c r="GI172" s="591">
        <v>0</v>
      </c>
      <c r="GJ172" s="591">
        <v>0</v>
      </c>
      <c r="GK172" s="591">
        <v>0</v>
      </c>
      <c r="GL172" s="591">
        <v>0</v>
      </c>
      <c r="GM172" s="591">
        <v>0</v>
      </c>
      <c r="GN172" s="591">
        <v>0</v>
      </c>
      <c r="GO172" s="591">
        <v>0</v>
      </c>
      <c r="GP172" s="591">
        <v>0</v>
      </c>
      <c r="GQ172" s="591">
        <v>0</v>
      </c>
      <c r="GR172" s="591">
        <v>0</v>
      </c>
      <c r="GS172" s="591">
        <v>0</v>
      </c>
      <c r="GT172" s="591">
        <v>0</v>
      </c>
      <c r="GU172" s="591">
        <v>0</v>
      </c>
      <c r="GV172" s="591">
        <v>0</v>
      </c>
      <c r="GW172" s="591">
        <v>0</v>
      </c>
      <c r="GX172" s="591">
        <v>0</v>
      </c>
      <c r="GY172" s="591">
        <v>0</v>
      </c>
      <c r="GZ172" s="591">
        <v>0</v>
      </c>
      <c r="HA172" s="591">
        <v>0</v>
      </c>
      <c r="HB172" s="591">
        <v>260009272</v>
      </c>
      <c r="HC172" s="591">
        <v>5.1774999999999995E-2</v>
      </c>
      <c r="HD172" s="591">
        <v>102570</v>
      </c>
      <c r="HE172" s="591">
        <v>0</v>
      </c>
      <c r="HF172" s="591">
        <v>409191</v>
      </c>
      <c r="HG172" s="591">
        <v>10265</v>
      </c>
      <c r="HH172" s="591">
        <v>20941</v>
      </c>
      <c r="HI172" s="591">
        <v>0</v>
      </c>
      <c r="HJ172" s="591">
        <v>5502</v>
      </c>
      <c r="HK172" s="591">
        <v>4585</v>
      </c>
      <c r="HL172" s="591">
        <v>1351</v>
      </c>
      <c r="HM172" s="591">
        <v>5000</v>
      </c>
      <c r="HN172" s="591">
        <v>0</v>
      </c>
      <c r="HO172" s="591">
        <v>0</v>
      </c>
      <c r="HP172" s="591">
        <v>124660</v>
      </c>
      <c r="HQ172" s="591">
        <v>0</v>
      </c>
      <c r="HR172" s="591">
        <v>0</v>
      </c>
      <c r="HS172" s="591">
        <v>8316102</v>
      </c>
      <c r="HT172" s="591">
        <v>0</v>
      </c>
      <c r="HU172" s="591">
        <v>0</v>
      </c>
      <c r="HV172" s="591">
        <v>0</v>
      </c>
      <c r="HW172" s="591">
        <v>0</v>
      </c>
      <c r="HX172" s="591">
        <v>7</v>
      </c>
      <c r="HY172" s="591">
        <v>5</v>
      </c>
      <c r="HZ172" s="591">
        <v>2</v>
      </c>
      <c r="IA172" s="591">
        <v>11</v>
      </c>
      <c r="IB172" s="591">
        <v>343</v>
      </c>
      <c r="IC172" s="591">
        <v>359</v>
      </c>
      <c r="ID172" s="591">
        <v>117</v>
      </c>
      <c r="IE172" s="591">
        <v>0</v>
      </c>
      <c r="IF172" s="591">
        <v>0</v>
      </c>
      <c r="IG172" s="591">
        <v>16.666</v>
      </c>
      <c r="IH172" s="591">
        <v>34</v>
      </c>
      <c r="II172" s="591">
        <v>453.30800000000005</v>
      </c>
      <c r="IJ172" s="591">
        <v>22.617000000000001</v>
      </c>
      <c r="IK172" s="591">
        <v>0</v>
      </c>
      <c r="IL172" s="591">
        <v>1</v>
      </c>
      <c r="IM172" s="591">
        <v>0</v>
      </c>
      <c r="IN172" s="591">
        <v>0</v>
      </c>
      <c r="IO172" s="591">
        <v>1</v>
      </c>
      <c r="IP172" s="591">
        <v>453.30800000000005</v>
      </c>
      <c r="IQ172" s="591">
        <v>22.617000000000001</v>
      </c>
      <c r="IR172" s="591">
        <v>13930</v>
      </c>
      <c r="IS172" s="591">
        <v>0</v>
      </c>
      <c r="IT172" s="591">
        <v>5000</v>
      </c>
      <c r="IU172" s="591">
        <v>0</v>
      </c>
      <c r="IV172" s="591">
        <v>0</v>
      </c>
      <c r="IW172" s="591">
        <v>6159</v>
      </c>
      <c r="IX172" s="591">
        <v>0</v>
      </c>
      <c r="IY172" s="591">
        <v>0</v>
      </c>
      <c r="IZ172" s="591">
        <v>124660</v>
      </c>
      <c r="JA172" s="591">
        <v>144123</v>
      </c>
      <c r="JB172" s="591">
        <v>0</v>
      </c>
      <c r="JC172" s="591">
        <v>0</v>
      </c>
      <c r="JD172" s="591">
        <v>0</v>
      </c>
      <c r="JE172" s="591">
        <v>0</v>
      </c>
      <c r="JF172" s="591">
        <v>0</v>
      </c>
      <c r="JG172" s="591">
        <v>0</v>
      </c>
      <c r="JH172" s="591">
        <v>0</v>
      </c>
      <c r="JI172" s="591">
        <v>0</v>
      </c>
      <c r="JJ172" s="591">
        <v>0</v>
      </c>
      <c r="JK172" s="591">
        <v>0</v>
      </c>
      <c r="JL172" s="591">
        <v>0</v>
      </c>
      <c r="JM172" s="591">
        <v>0</v>
      </c>
      <c r="JN172" s="591">
        <v>32469</v>
      </c>
    </row>
    <row r="173" spans="1:274" x14ac:dyDescent="0.25">
      <c r="A173" s="591">
        <v>32570</v>
      </c>
      <c r="B173" s="591">
        <v>227814</v>
      </c>
      <c r="C173" s="591">
        <v>9</v>
      </c>
      <c r="D173" s="591">
        <v>2022</v>
      </c>
      <c r="E173" s="591">
        <v>6159</v>
      </c>
      <c r="F173" s="591">
        <v>0</v>
      </c>
      <c r="G173" s="591">
        <v>359.80799999999999</v>
      </c>
      <c r="H173" s="591">
        <v>358.63400000000001</v>
      </c>
      <c r="I173" s="591">
        <v>358.63400000000001</v>
      </c>
      <c r="J173" s="591">
        <v>359.80799999999999</v>
      </c>
      <c r="K173" s="591">
        <v>0</v>
      </c>
      <c r="L173" s="591">
        <v>6159</v>
      </c>
      <c r="M173" s="591">
        <v>0</v>
      </c>
      <c r="N173" s="591">
        <v>0</v>
      </c>
      <c r="O173" s="591">
        <v>0</v>
      </c>
      <c r="P173" s="591">
        <v>341.983</v>
      </c>
      <c r="Q173" s="591">
        <v>0</v>
      </c>
      <c r="R173" s="591">
        <v>137624</v>
      </c>
      <c r="S173" s="591">
        <v>402.428</v>
      </c>
      <c r="T173" s="591">
        <v>0</v>
      </c>
      <c r="U173" s="591">
        <v>0</v>
      </c>
      <c r="V173" s="591">
        <v>36.344999999999999</v>
      </c>
      <c r="W173" s="591">
        <v>22385</v>
      </c>
      <c r="X173" s="591">
        <v>22385</v>
      </c>
      <c r="Y173" s="591">
        <v>0</v>
      </c>
      <c r="Z173" s="591">
        <v>0</v>
      </c>
      <c r="AA173" s="591">
        <v>0</v>
      </c>
      <c r="AB173" s="591">
        <v>0</v>
      </c>
      <c r="AC173" s="591">
        <v>0</v>
      </c>
      <c r="AD173" s="591" t="s">
        <v>316</v>
      </c>
      <c r="AE173" s="591">
        <v>0</v>
      </c>
      <c r="AF173" s="591">
        <v>0</v>
      </c>
      <c r="AG173" s="591">
        <v>0</v>
      </c>
      <c r="AH173" s="591">
        <v>0</v>
      </c>
      <c r="AI173" s="591">
        <v>0</v>
      </c>
      <c r="AJ173" s="591">
        <v>6159</v>
      </c>
      <c r="AK173" s="591" t="s">
        <v>671</v>
      </c>
      <c r="AL173" s="591" t="s">
        <v>93</v>
      </c>
      <c r="AM173" s="591">
        <v>0</v>
      </c>
      <c r="AN173" s="591">
        <v>0</v>
      </c>
      <c r="AO173" s="591">
        <v>0</v>
      </c>
      <c r="AP173" s="591">
        <v>0</v>
      </c>
      <c r="AQ173" s="591">
        <v>0</v>
      </c>
      <c r="AR173" s="591">
        <v>0</v>
      </c>
      <c r="AS173" s="591">
        <v>0</v>
      </c>
      <c r="AT173" s="591">
        <v>0</v>
      </c>
      <c r="AU173" s="591">
        <v>0</v>
      </c>
      <c r="AV173" s="591">
        <v>0</v>
      </c>
      <c r="AW173" s="591">
        <v>3003319</v>
      </c>
      <c r="AX173" s="591">
        <v>2938205</v>
      </c>
      <c r="AY173" s="591">
        <v>0</v>
      </c>
      <c r="AZ173" s="591">
        <v>137624</v>
      </c>
      <c r="BA173" s="591">
        <v>0</v>
      </c>
      <c r="BB173" s="591">
        <v>0</v>
      </c>
      <c r="BC173" s="591">
        <v>0</v>
      </c>
      <c r="BD173" s="591">
        <v>0</v>
      </c>
      <c r="BE173" s="591">
        <v>39</v>
      </c>
      <c r="BF173" s="591">
        <v>2732595</v>
      </c>
      <c r="BG173" s="591">
        <v>0</v>
      </c>
      <c r="BH173" s="591">
        <v>0</v>
      </c>
      <c r="BI173" s="591">
        <v>0</v>
      </c>
      <c r="BJ173" s="591">
        <v>12</v>
      </c>
      <c r="BK173" s="591">
        <v>0</v>
      </c>
      <c r="BL173" s="591">
        <v>0</v>
      </c>
      <c r="BM173" s="591">
        <v>0</v>
      </c>
      <c r="BN173" s="591">
        <v>0</v>
      </c>
      <c r="BO173" s="591">
        <v>0</v>
      </c>
      <c r="BP173" s="591">
        <v>0</v>
      </c>
      <c r="BQ173" s="591">
        <v>715</v>
      </c>
      <c r="BR173" s="591">
        <v>0</v>
      </c>
      <c r="BS173" s="591">
        <v>0</v>
      </c>
      <c r="BT173" s="591">
        <v>0</v>
      </c>
      <c r="BU173" s="591">
        <v>0</v>
      </c>
      <c r="BV173" s="591">
        <v>0</v>
      </c>
      <c r="BW173" s="591">
        <v>0</v>
      </c>
      <c r="BX173" s="591">
        <v>0</v>
      </c>
      <c r="BY173" s="591">
        <v>0</v>
      </c>
      <c r="BZ173" s="591">
        <v>0</v>
      </c>
      <c r="CA173" s="591">
        <v>0</v>
      </c>
      <c r="CB173" s="591">
        <v>0</v>
      </c>
      <c r="CC173" s="591">
        <v>0</v>
      </c>
      <c r="CD173" s="591">
        <v>0</v>
      </c>
      <c r="CE173" s="591">
        <v>0</v>
      </c>
      <c r="CF173" s="591">
        <v>0</v>
      </c>
      <c r="CG173" s="591">
        <v>0</v>
      </c>
      <c r="CH173" s="591">
        <v>65201</v>
      </c>
      <c r="CI173" s="591">
        <v>0</v>
      </c>
      <c r="CJ173" s="591">
        <v>4</v>
      </c>
      <c r="CK173" s="591">
        <v>0</v>
      </c>
      <c r="CL173" s="591">
        <v>0</v>
      </c>
      <c r="CM173" s="591">
        <v>0</v>
      </c>
      <c r="CN173" s="591">
        <v>0</v>
      </c>
      <c r="CO173" s="591">
        <v>1</v>
      </c>
      <c r="CP173" s="591">
        <v>0</v>
      </c>
      <c r="CQ173" s="591">
        <v>0</v>
      </c>
      <c r="CR173" s="591">
        <v>359.80799999999999</v>
      </c>
      <c r="CS173" s="591">
        <v>0</v>
      </c>
      <c r="CT173" s="591">
        <v>0</v>
      </c>
      <c r="CU173" s="591">
        <v>0</v>
      </c>
      <c r="CV173" s="591">
        <v>0</v>
      </c>
      <c r="CW173" s="591">
        <v>0</v>
      </c>
      <c r="CX173" s="591">
        <v>0</v>
      </c>
      <c r="CY173" s="591">
        <v>0</v>
      </c>
      <c r="CZ173" s="591">
        <v>0</v>
      </c>
      <c r="DA173" s="591">
        <v>0</v>
      </c>
      <c r="DB173" s="591">
        <v>2191417</v>
      </c>
      <c r="DC173" s="591">
        <v>0</v>
      </c>
      <c r="DD173" s="591">
        <v>0</v>
      </c>
      <c r="DE173" s="591">
        <v>47271</v>
      </c>
      <c r="DF173" s="591">
        <v>47271</v>
      </c>
      <c r="DG173" s="591">
        <v>7.6750000000000007</v>
      </c>
      <c r="DH173" s="591">
        <v>0</v>
      </c>
      <c r="DI173" s="591">
        <v>0</v>
      </c>
      <c r="DJ173" s="591">
        <v>0</v>
      </c>
      <c r="DK173" s="591">
        <v>3058</v>
      </c>
      <c r="DL173" s="591">
        <v>0</v>
      </c>
      <c r="DM173" s="591">
        <v>30025</v>
      </c>
      <c r="DN173" s="591">
        <v>48</v>
      </c>
      <c r="DO173" s="591">
        <v>0</v>
      </c>
      <c r="DP173" s="591">
        <v>0</v>
      </c>
      <c r="DQ173" s="591">
        <v>0</v>
      </c>
      <c r="DR173" s="591">
        <v>0</v>
      </c>
      <c r="DS173" s="591">
        <v>0</v>
      </c>
      <c r="DT173" s="591">
        <v>0</v>
      </c>
      <c r="DU173" s="591">
        <v>0</v>
      </c>
      <c r="DV173" s="591">
        <v>0</v>
      </c>
      <c r="DW173" s="591">
        <v>0</v>
      </c>
      <c r="DX173" s="591">
        <v>0</v>
      </c>
      <c r="DY173" s="591">
        <v>0</v>
      </c>
      <c r="DZ173" s="591">
        <v>0</v>
      </c>
      <c r="EA173" s="591">
        <v>0</v>
      </c>
      <c r="EB173" s="591">
        <v>0</v>
      </c>
      <c r="EC173" s="591">
        <v>0.96200000000000008</v>
      </c>
      <c r="ED173" s="591">
        <v>6814</v>
      </c>
      <c r="EE173" s="591">
        <v>0</v>
      </c>
      <c r="EF173" s="591">
        <v>0</v>
      </c>
      <c r="EG173" s="591">
        <v>0</v>
      </c>
      <c r="EH173" s="591">
        <v>5820</v>
      </c>
      <c r="EI173" s="591">
        <v>0</v>
      </c>
      <c r="EJ173" s="591">
        <v>0</v>
      </c>
      <c r="EK173" s="591">
        <v>0</v>
      </c>
      <c r="EL173" s="591">
        <v>0</v>
      </c>
      <c r="EM173" s="591">
        <v>0</v>
      </c>
      <c r="EN173" s="591">
        <v>0.189</v>
      </c>
      <c r="EO173" s="591">
        <v>0</v>
      </c>
      <c r="EP173" s="591">
        <v>0</v>
      </c>
      <c r="EQ173" s="591">
        <v>0.189</v>
      </c>
      <c r="ER173" s="591">
        <v>0</v>
      </c>
      <c r="ES173" s="591">
        <v>0.94500000000000006</v>
      </c>
      <c r="ET173" s="591">
        <v>0</v>
      </c>
      <c r="EU173" s="591">
        <v>0</v>
      </c>
      <c r="EV173" s="591">
        <v>0</v>
      </c>
      <c r="EW173" s="591">
        <v>0</v>
      </c>
      <c r="EX173" s="591">
        <v>0</v>
      </c>
      <c r="EY173" s="591">
        <v>0</v>
      </c>
      <c r="EZ173" s="591">
        <v>2597424</v>
      </c>
      <c r="FA173" s="591">
        <v>0</v>
      </c>
      <c r="FB173" s="591">
        <v>2734961</v>
      </c>
      <c r="FC173" s="591">
        <v>0</v>
      </c>
      <c r="FD173" s="591">
        <v>0</v>
      </c>
      <c r="FE173" s="591">
        <v>283047</v>
      </c>
      <c r="FF173" s="591">
        <v>57734</v>
      </c>
      <c r="FG173" s="591">
        <v>6.4728999999999995E-2</v>
      </c>
      <c r="FH173" s="591">
        <v>2.6405999999999999E-2</v>
      </c>
      <c r="FI173" s="591">
        <v>0</v>
      </c>
      <c r="FJ173" s="591">
        <v>0</v>
      </c>
      <c r="FK173" s="591">
        <v>443.66900000000004</v>
      </c>
      <c r="FL173" s="591">
        <v>3140943</v>
      </c>
      <c r="FM173" s="591">
        <v>0</v>
      </c>
      <c r="FN173" s="591">
        <v>0</v>
      </c>
      <c r="FO173" s="591">
        <v>0</v>
      </c>
      <c r="FP173" s="591">
        <v>0</v>
      </c>
      <c r="FQ173" s="591">
        <v>0</v>
      </c>
      <c r="FR173" s="591">
        <v>0</v>
      </c>
      <c r="FS173" s="591">
        <v>0</v>
      </c>
      <c r="FT173" s="591">
        <v>0</v>
      </c>
      <c r="FU173" s="591">
        <v>0</v>
      </c>
      <c r="FV173" s="591">
        <v>0</v>
      </c>
      <c r="FW173" s="591">
        <v>0</v>
      </c>
      <c r="FX173" s="591">
        <v>0</v>
      </c>
      <c r="FY173" s="591">
        <v>0</v>
      </c>
      <c r="FZ173" s="591">
        <v>0</v>
      </c>
      <c r="GA173" s="591">
        <v>0</v>
      </c>
      <c r="GB173" s="591">
        <v>8190</v>
      </c>
      <c r="GC173" s="591">
        <v>8190</v>
      </c>
      <c r="GD173" s="591">
        <v>0.9850000000000001</v>
      </c>
      <c r="GE173" s="591">
        <v>0</v>
      </c>
      <c r="GF173" s="591">
        <v>0</v>
      </c>
      <c r="GG173" s="591">
        <v>0</v>
      </c>
      <c r="GH173" s="591">
        <v>0</v>
      </c>
      <c r="GI173" s="591">
        <v>0</v>
      </c>
      <c r="GJ173" s="591">
        <v>0</v>
      </c>
      <c r="GK173" s="591">
        <v>0</v>
      </c>
      <c r="GL173" s="591">
        <v>0</v>
      </c>
      <c r="GM173" s="591">
        <v>0</v>
      </c>
      <c r="GN173" s="591">
        <v>0</v>
      </c>
      <c r="GO173" s="591">
        <v>0</v>
      </c>
      <c r="GP173" s="591">
        <v>0</v>
      </c>
      <c r="GQ173" s="591">
        <v>0</v>
      </c>
      <c r="GR173" s="591">
        <v>0</v>
      </c>
      <c r="GS173" s="591">
        <v>0</v>
      </c>
      <c r="GT173" s="591">
        <v>0</v>
      </c>
      <c r="GU173" s="591">
        <v>0</v>
      </c>
      <c r="GV173" s="591">
        <v>0</v>
      </c>
      <c r="GW173" s="591">
        <v>0</v>
      </c>
      <c r="GX173" s="591">
        <v>0</v>
      </c>
      <c r="GY173" s="591">
        <v>0</v>
      </c>
      <c r="GZ173" s="591">
        <v>0</v>
      </c>
      <c r="HA173" s="591">
        <v>0</v>
      </c>
      <c r="HB173" s="591">
        <v>260009272</v>
      </c>
      <c r="HC173" s="591">
        <v>5.1774999999999995E-2</v>
      </c>
      <c r="HD173" s="591">
        <v>65201</v>
      </c>
      <c r="HE173" s="591">
        <v>0</v>
      </c>
      <c r="HF173" s="591">
        <v>394139</v>
      </c>
      <c r="HG173" s="591">
        <v>616</v>
      </c>
      <c r="HH173" s="591">
        <v>8007</v>
      </c>
      <c r="HI173" s="591">
        <v>0</v>
      </c>
      <c r="HJ173" s="591">
        <v>3497</v>
      </c>
      <c r="HK173" s="591">
        <v>1304</v>
      </c>
      <c r="HL173" s="591">
        <v>1149</v>
      </c>
      <c r="HM173" s="591">
        <v>27000</v>
      </c>
      <c r="HN173" s="591">
        <v>0</v>
      </c>
      <c r="HO173" s="591">
        <v>0</v>
      </c>
      <c r="HP173" s="591">
        <v>0</v>
      </c>
      <c r="HQ173" s="591">
        <v>0</v>
      </c>
      <c r="HR173" s="591">
        <v>0</v>
      </c>
      <c r="HS173" s="591">
        <v>2597337</v>
      </c>
      <c r="HT173" s="591">
        <v>0</v>
      </c>
      <c r="HU173" s="591">
        <v>0</v>
      </c>
      <c r="HV173" s="591">
        <v>0</v>
      </c>
      <c r="HW173" s="591">
        <v>0</v>
      </c>
      <c r="HX173" s="591">
        <v>5</v>
      </c>
      <c r="HY173" s="591">
        <v>17</v>
      </c>
      <c r="HZ173" s="591">
        <v>9</v>
      </c>
      <c r="IA173" s="591">
        <v>1</v>
      </c>
      <c r="IB173" s="591">
        <v>0</v>
      </c>
      <c r="IC173" s="591">
        <v>32</v>
      </c>
      <c r="ID173" s="591">
        <v>0</v>
      </c>
      <c r="IE173" s="591">
        <v>0</v>
      </c>
      <c r="IF173" s="591">
        <v>0</v>
      </c>
      <c r="IG173" s="591">
        <v>1</v>
      </c>
      <c r="IH173" s="591">
        <v>13</v>
      </c>
      <c r="II173" s="591">
        <v>0</v>
      </c>
      <c r="IJ173" s="591">
        <v>36.344999999999999</v>
      </c>
      <c r="IK173" s="591">
        <v>0</v>
      </c>
      <c r="IL173" s="591">
        <v>0</v>
      </c>
      <c r="IM173" s="591">
        <v>9</v>
      </c>
      <c r="IN173" s="591">
        <v>0</v>
      </c>
      <c r="IO173" s="591">
        <v>9</v>
      </c>
      <c r="IP173" s="591">
        <v>0</v>
      </c>
      <c r="IQ173" s="591">
        <v>36.344999999999999</v>
      </c>
      <c r="IR173" s="591">
        <v>22385</v>
      </c>
      <c r="IS173" s="591">
        <v>0</v>
      </c>
      <c r="IT173" s="591">
        <v>0</v>
      </c>
      <c r="IU173" s="591">
        <v>27000</v>
      </c>
      <c r="IV173" s="591">
        <v>0</v>
      </c>
      <c r="IW173" s="591">
        <v>6159</v>
      </c>
      <c r="IX173" s="591">
        <v>0</v>
      </c>
      <c r="IY173" s="591">
        <v>0</v>
      </c>
      <c r="IZ173" s="591">
        <v>0</v>
      </c>
      <c r="JA173" s="591">
        <v>0</v>
      </c>
      <c r="JB173" s="591">
        <v>0</v>
      </c>
      <c r="JC173" s="591">
        <v>0</v>
      </c>
      <c r="JD173" s="591">
        <v>0</v>
      </c>
      <c r="JE173" s="591">
        <v>0</v>
      </c>
      <c r="JF173" s="591">
        <v>0</v>
      </c>
      <c r="JG173" s="591">
        <v>0</v>
      </c>
      <c r="JH173" s="591">
        <v>0</v>
      </c>
      <c r="JI173" s="591">
        <v>0</v>
      </c>
      <c r="JJ173" s="591">
        <v>0</v>
      </c>
      <c r="JK173" s="591">
        <v>0</v>
      </c>
      <c r="JL173" s="591">
        <v>0</v>
      </c>
      <c r="JM173" s="591">
        <v>0</v>
      </c>
      <c r="JN173" s="591">
        <v>32469</v>
      </c>
    </row>
    <row r="174" spans="1:274" x14ac:dyDescent="0.25">
      <c r="A174" s="591">
        <v>32570</v>
      </c>
      <c r="B174" s="591">
        <v>227816</v>
      </c>
      <c r="C174" s="591">
        <v>9</v>
      </c>
      <c r="D174" s="591">
        <v>2022</v>
      </c>
      <c r="E174" s="591">
        <v>6159</v>
      </c>
      <c r="F174" s="591">
        <v>0</v>
      </c>
      <c r="G174" s="591">
        <v>4242.4960000000001</v>
      </c>
      <c r="H174" s="591">
        <v>4018.5520000000001</v>
      </c>
      <c r="I174" s="591">
        <v>4018.5520000000001</v>
      </c>
      <c r="J174" s="591">
        <v>4242.4960000000001</v>
      </c>
      <c r="K174" s="591">
        <v>0</v>
      </c>
      <c r="L174" s="591">
        <v>6159</v>
      </c>
      <c r="M174" s="591">
        <v>0</v>
      </c>
      <c r="N174" s="591">
        <v>0</v>
      </c>
      <c r="O174" s="591">
        <v>0</v>
      </c>
      <c r="P174" s="591">
        <v>4158.2380000000003</v>
      </c>
      <c r="Q174" s="591">
        <v>0</v>
      </c>
      <c r="R174" s="591">
        <v>1673391</v>
      </c>
      <c r="S174" s="591">
        <v>402.428</v>
      </c>
      <c r="T174" s="591">
        <v>0</v>
      </c>
      <c r="U174" s="591">
        <v>0</v>
      </c>
      <c r="V174" s="591">
        <v>1845.797</v>
      </c>
      <c r="W174" s="591">
        <v>1136842</v>
      </c>
      <c r="X174" s="591">
        <v>1136842</v>
      </c>
      <c r="Y174" s="591">
        <v>0</v>
      </c>
      <c r="Z174" s="591">
        <v>0</v>
      </c>
      <c r="AA174" s="591">
        <v>0</v>
      </c>
      <c r="AB174" s="591">
        <v>0</v>
      </c>
      <c r="AC174" s="591">
        <v>0</v>
      </c>
      <c r="AD174" s="591" t="s">
        <v>316</v>
      </c>
      <c r="AE174" s="591">
        <v>0</v>
      </c>
      <c r="AF174" s="591">
        <v>0</v>
      </c>
      <c r="AG174" s="591">
        <v>0</v>
      </c>
      <c r="AH174" s="591">
        <v>0</v>
      </c>
      <c r="AI174" s="591">
        <v>0</v>
      </c>
      <c r="AJ174" s="591">
        <v>6159</v>
      </c>
      <c r="AK174" s="591" t="s">
        <v>671</v>
      </c>
      <c r="AL174" s="591" t="s">
        <v>87</v>
      </c>
      <c r="AM174" s="591">
        <v>0</v>
      </c>
      <c r="AN174" s="591">
        <v>0</v>
      </c>
      <c r="AO174" s="591">
        <v>0</v>
      </c>
      <c r="AP174" s="591">
        <v>0</v>
      </c>
      <c r="AQ174" s="591">
        <v>0</v>
      </c>
      <c r="AR174" s="591">
        <v>0</v>
      </c>
      <c r="AS174" s="591">
        <v>0</v>
      </c>
      <c r="AT174" s="591">
        <v>0</v>
      </c>
      <c r="AU174" s="591">
        <v>0</v>
      </c>
      <c r="AV174" s="591">
        <v>0</v>
      </c>
      <c r="AW174" s="591">
        <v>43505525</v>
      </c>
      <c r="AX174" s="591">
        <v>42745261</v>
      </c>
      <c r="AY174" s="591">
        <v>0</v>
      </c>
      <c r="AZ174" s="591">
        <v>1673391</v>
      </c>
      <c r="BA174" s="591">
        <v>0</v>
      </c>
      <c r="BB174" s="591">
        <v>0</v>
      </c>
      <c r="BC174" s="591">
        <v>0</v>
      </c>
      <c r="BD174" s="591">
        <v>0</v>
      </c>
      <c r="BE174" s="591">
        <v>568</v>
      </c>
      <c r="BF174" s="591">
        <v>39351276</v>
      </c>
      <c r="BG174" s="591">
        <v>0</v>
      </c>
      <c r="BH174" s="591">
        <v>0</v>
      </c>
      <c r="BI174" s="591">
        <v>0</v>
      </c>
      <c r="BJ174" s="591">
        <v>12</v>
      </c>
      <c r="BK174" s="591">
        <v>0</v>
      </c>
      <c r="BL174" s="591">
        <v>0</v>
      </c>
      <c r="BM174" s="591">
        <v>0</v>
      </c>
      <c r="BN174" s="591">
        <v>0</v>
      </c>
      <c r="BO174" s="591">
        <v>0</v>
      </c>
      <c r="BP174" s="591">
        <v>0</v>
      </c>
      <c r="BQ174" s="591">
        <v>151</v>
      </c>
      <c r="BR174" s="591">
        <v>0</v>
      </c>
      <c r="BS174" s="591">
        <v>0</v>
      </c>
      <c r="BT174" s="591">
        <v>0</v>
      </c>
      <c r="BU174" s="591">
        <v>0</v>
      </c>
      <c r="BV174" s="591">
        <v>0</v>
      </c>
      <c r="BW174" s="591">
        <v>0</v>
      </c>
      <c r="BX174" s="591">
        <v>0</v>
      </c>
      <c r="BY174" s="591">
        <v>0</v>
      </c>
      <c r="BZ174" s="591">
        <v>0</v>
      </c>
      <c r="CA174" s="591">
        <v>0</v>
      </c>
      <c r="CB174" s="591">
        <v>0</v>
      </c>
      <c r="CC174" s="591">
        <v>0</v>
      </c>
      <c r="CD174" s="591">
        <v>0</v>
      </c>
      <c r="CE174" s="591">
        <v>0</v>
      </c>
      <c r="CF174" s="591">
        <v>0</v>
      </c>
      <c r="CG174" s="591">
        <v>0</v>
      </c>
      <c r="CH174" s="591">
        <v>768786</v>
      </c>
      <c r="CI174" s="591">
        <v>0</v>
      </c>
      <c r="CJ174" s="591">
        <v>4</v>
      </c>
      <c r="CK174" s="591">
        <v>0</v>
      </c>
      <c r="CL174" s="591">
        <v>0</v>
      </c>
      <c r="CM174" s="591">
        <v>0</v>
      </c>
      <c r="CN174" s="591">
        <v>0</v>
      </c>
      <c r="CO174" s="591">
        <v>1</v>
      </c>
      <c r="CP174" s="591">
        <v>0</v>
      </c>
      <c r="CQ174" s="591">
        <v>0</v>
      </c>
      <c r="CR174" s="591">
        <v>4242.4960000000001</v>
      </c>
      <c r="CS174" s="591">
        <v>0</v>
      </c>
      <c r="CT174" s="591">
        <v>0</v>
      </c>
      <c r="CU174" s="591">
        <v>0</v>
      </c>
      <c r="CV174" s="591">
        <v>0</v>
      </c>
      <c r="CW174" s="591">
        <v>0</v>
      </c>
      <c r="CX174" s="591">
        <v>0</v>
      </c>
      <c r="CY174" s="591">
        <v>0</v>
      </c>
      <c r="CZ174" s="591">
        <v>0</v>
      </c>
      <c r="DA174" s="591">
        <v>0</v>
      </c>
      <c r="DB174" s="591">
        <v>24595659</v>
      </c>
      <c r="DC174" s="591">
        <v>0</v>
      </c>
      <c r="DD174" s="591">
        <v>0</v>
      </c>
      <c r="DE174" s="591">
        <v>4392735</v>
      </c>
      <c r="DF174" s="591">
        <v>4392735</v>
      </c>
      <c r="DG174" s="591">
        <v>713.21300000000008</v>
      </c>
      <c r="DH174" s="591">
        <v>0</v>
      </c>
      <c r="DI174" s="591">
        <v>0</v>
      </c>
      <c r="DJ174" s="591">
        <v>0</v>
      </c>
      <c r="DK174" s="591">
        <v>0</v>
      </c>
      <c r="DL174" s="591">
        <v>0</v>
      </c>
      <c r="DM174" s="591">
        <v>2239607</v>
      </c>
      <c r="DN174" s="591">
        <v>7954</v>
      </c>
      <c r="DO174" s="591">
        <v>0</v>
      </c>
      <c r="DP174" s="591">
        <v>0</v>
      </c>
      <c r="DQ174" s="591">
        <v>0</v>
      </c>
      <c r="DR174" s="591">
        <v>0</v>
      </c>
      <c r="DS174" s="591">
        <v>0</v>
      </c>
      <c r="DT174" s="591">
        <v>0</v>
      </c>
      <c r="DU174" s="591">
        <v>0</v>
      </c>
      <c r="DV174" s="591">
        <v>0</v>
      </c>
      <c r="DW174" s="591">
        <v>0</v>
      </c>
      <c r="DX174" s="591">
        <v>0</v>
      </c>
      <c r="DY174" s="591">
        <v>0</v>
      </c>
      <c r="DZ174" s="591">
        <v>0</v>
      </c>
      <c r="EA174" s="591">
        <v>0</v>
      </c>
      <c r="EB174" s="591">
        <v>0</v>
      </c>
      <c r="EC174" s="591">
        <v>66.078000000000003</v>
      </c>
      <c r="ED174" s="591">
        <v>468027</v>
      </c>
      <c r="EE174" s="591">
        <v>0</v>
      </c>
      <c r="EF174" s="591">
        <v>0</v>
      </c>
      <c r="EG174" s="591">
        <v>0</v>
      </c>
      <c r="EH174" s="591">
        <v>1624600</v>
      </c>
      <c r="EI174" s="591">
        <v>0</v>
      </c>
      <c r="EJ174" s="591">
        <v>0</v>
      </c>
      <c r="EK174" s="591">
        <v>67.495000000000005</v>
      </c>
      <c r="EL174" s="591">
        <v>0</v>
      </c>
      <c r="EM174" s="591">
        <v>11.171000000000001</v>
      </c>
      <c r="EN174" s="591">
        <v>5.5550000000000006</v>
      </c>
      <c r="EO174" s="591">
        <v>0</v>
      </c>
      <c r="EP174" s="591">
        <v>0</v>
      </c>
      <c r="EQ174" s="591">
        <v>84.221000000000004</v>
      </c>
      <c r="ER174" s="591">
        <v>0</v>
      </c>
      <c r="ES174" s="591">
        <v>263.77300000000002</v>
      </c>
      <c r="ET174" s="591">
        <v>0</v>
      </c>
      <c r="EU174" s="591">
        <v>0</v>
      </c>
      <c r="EV174" s="591">
        <v>0</v>
      </c>
      <c r="EW174" s="591">
        <v>0</v>
      </c>
      <c r="EX174" s="591">
        <v>0</v>
      </c>
      <c r="EY174" s="591">
        <v>0</v>
      </c>
      <c r="EZ174" s="591">
        <v>37837772</v>
      </c>
      <c r="FA174" s="591">
        <v>0</v>
      </c>
      <c r="FB174" s="591">
        <v>39502641</v>
      </c>
      <c r="FC174" s="591">
        <v>0</v>
      </c>
      <c r="FD174" s="591">
        <v>0</v>
      </c>
      <c r="FE174" s="591">
        <v>4076077</v>
      </c>
      <c r="FF174" s="591">
        <v>831412</v>
      </c>
      <c r="FG174" s="591">
        <v>6.4728999999999995E-2</v>
      </c>
      <c r="FH174" s="591">
        <v>2.6405999999999999E-2</v>
      </c>
      <c r="FI174" s="591">
        <v>0</v>
      </c>
      <c r="FJ174" s="591">
        <v>0</v>
      </c>
      <c r="FK174" s="591">
        <v>6389.1460000000006</v>
      </c>
      <c r="FL174" s="591">
        <v>45178916</v>
      </c>
      <c r="FM174" s="591">
        <v>0</v>
      </c>
      <c r="FN174" s="591">
        <v>0</v>
      </c>
      <c r="FO174" s="591">
        <v>140595</v>
      </c>
      <c r="FP174" s="591">
        <v>0</v>
      </c>
      <c r="FQ174" s="591">
        <v>140595</v>
      </c>
      <c r="FR174" s="591">
        <v>140595</v>
      </c>
      <c r="FS174" s="591">
        <v>0</v>
      </c>
      <c r="FT174" s="591">
        <v>0</v>
      </c>
      <c r="FU174" s="591">
        <v>0</v>
      </c>
      <c r="FV174" s="591">
        <v>0</v>
      </c>
      <c r="FW174" s="591">
        <v>0</v>
      </c>
      <c r="FX174" s="591">
        <v>0</v>
      </c>
      <c r="FY174" s="591">
        <v>0</v>
      </c>
      <c r="FZ174" s="591">
        <v>0</v>
      </c>
      <c r="GA174" s="591">
        <v>0</v>
      </c>
      <c r="GB174" s="591">
        <v>1161763</v>
      </c>
      <c r="GC174" s="591">
        <v>1161763</v>
      </c>
      <c r="GD174" s="591">
        <v>139.72300000000001</v>
      </c>
      <c r="GE174" s="591">
        <v>0</v>
      </c>
      <c r="GF174" s="591">
        <v>0</v>
      </c>
      <c r="GG174" s="591">
        <v>0</v>
      </c>
      <c r="GH174" s="591">
        <v>0</v>
      </c>
      <c r="GI174" s="591">
        <v>0</v>
      </c>
      <c r="GJ174" s="591">
        <v>0</v>
      </c>
      <c r="GK174" s="591">
        <v>0</v>
      </c>
      <c r="GL174" s="591">
        <v>0</v>
      </c>
      <c r="GM174" s="591">
        <v>0</v>
      </c>
      <c r="GN174" s="591">
        <v>0</v>
      </c>
      <c r="GO174" s="591">
        <v>0</v>
      </c>
      <c r="GP174" s="591">
        <v>0</v>
      </c>
      <c r="GQ174" s="591">
        <v>0</v>
      </c>
      <c r="GR174" s="591">
        <v>0</v>
      </c>
      <c r="GS174" s="591">
        <v>0</v>
      </c>
      <c r="GT174" s="591">
        <v>0</v>
      </c>
      <c r="GU174" s="591">
        <v>0</v>
      </c>
      <c r="GV174" s="591">
        <v>0</v>
      </c>
      <c r="GW174" s="591">
        <v>0</v>
      </c>
      <c r="GX174" s="591">
        <v>0</v>
      </c>
      <c r="GY174" s="591">
        <v>0</v>
      </c>
      <c r="GZ174" s="591">
        <v>0</v>
      </c>
      <c r="HA174" s="591">
        <v>0</v>
      </c>
      <c r="HB174" s="591">
        <v>260009272</v>
      </c>
      <c r="HC174" s="591">
        <v>5.1774999999999995E-2</v>
      </c>
      <c r="HD174" s="591">
        <v>768786</v>
      </c>
      <c r="HE174" s="591">
        <v>0</v>
      </c>
      <c r="HF174" s="591">
        <v>4416389</v>
      </c>
      <c r="HG174" s="591">
        <v>72061</v>
      </c>
      <c r="HH174" s="591">
        <v>627308</v>
      </c>
      <c r="HI174" s="591">
        <v>0</v>
      </c>
      <c r="HJ174" s="591">
        <v>41237</v>
      </c>
      <c r="HK174" s="591">
        <v>9625</v>
      </c>
      <c r="HL174" s="591">
        <v>9667</v>
      </c>
      <c r="HM174" s="591">
        <v>276000</v>
      </c>
      <c r="HN174" s="591">
        <v>284721</v>
      </c>
      <c r="HO174" s="591">
        <v>99000</v>
      </c>
      <c r="HP174" s="591">
        <v>0</v>
      </c>
      <c r="HQ174" s="591">
        <v>0</v>
      </c>
      <c r="HR174" s="591">
        <v>0</v>
      </c>
      <c r="HS174" s="591">
        <v>37829250</v>
      </c>
      <c r="HT174" s="591">
        <v>0</v>
      </c>
      <c r="HU174" s="591">
        <v>0</v>
      </c>
      <c r="HV174" s="591">
        <v>0</v>
      </c>
      <c r="HW174" s="591">
        <v>0</v>
      </c>
      <c r="HX174" s="591">
        <v>403</v>
      </c>
      <c r="HY174" s="591">
        <v>655</v>
      </c>
      <c r="HZ174" s="591">
        <v>526</v>
      </c>
      <c r="IA174" s="591">
        <v>596</v>
      </c>
      <c r="IB174" s="591">
        <v>651</v>
      </c>
      <c r="IC174" s="591">
        <v>2842</v>
      </c>
      <c r="ID174" s="591">
        <v>0</v>
      </c>
      <c r="IE174" s="591">
        <v>0</v>
      </c>
      <c r="IF174" s="591">
        <v>0</v>
      </c>
      <c r="IG174" s="591">
        <v>117</v>
      </c>
      <c r="IH174" s="591">
        <v>1018.509</v>
      </c>
      <c r="II174" s="591">
        <v>0</v>
      </c>
      <c r="IJ174" s="591">
        <v>1845.797</v>
      </c>
      <c r="IK174" s="591">
        <v>0</v>
      </c>
      <c r="IL174" s="591">
        <v>31</v>
      </c>
      <c r="IM174" s="591">
        <v>39</v>
      </c>
      <c r="IN174" s="591">
        <v>2</v>
      </c>
      <c r="IO174" s="591">
        <v>72</v>
      </c>
      <c r="IP174" s="591">
        <v>0</v>
      </c>
      <c r="IQ174" s="591">
        <v>1845.797</v>
      </c>
      <c r="IR174" s="591">
        <v>1136842</v>
      </c>
      <c r="IS174" s="591">
        <v>0</v>
      </c>
      <c r="IT174" s="591">
        <v>155000</v>
      </c>
      <c r="IU174" s="591">
        <v>117000</v>
      </c>
      <c r="IV174" s="591">
        <v>4000</v>
      </c>
      <c r="IW174" s="591">
        <v>6159</v>
      </c>
      <c r="IX174" s="591">
        <v>0</v>
      </c>
      <c r="IY174" s="591">
        <v>0</v>
      </c>
      <c r="IZ174" s="591">
        <v>0</v>
      </c>
      <c r="JA174" s="591">
        <v>0</v>
      </c>
      <c r="JB174" s="591">
        <v>1</v>
      </c>
      <c r="JC174" s="591">
        <v>13799</v>
      </c>
      <c r="JD174" s="591">
        <v>17</v>
      </c>
      <c r="JE174" s="591">
        <v>153807</v>
      </c>
      <c r="JF174" s="591">
        <v>20</v>
      </c>
      <c r="JG174" s="591">
        <v>96115</v>
      </c>
      <c r="JH174" s="591">
        <v>21000</v>
      </c>
      <c r="JI174" s="591">
        <v>0</v>
      </c>
      <c r="JJ174" s="591">
        <v>0</v>
      </c>
      <c r="JK174" s="591">
        <v>0</v>
      </c>
      <c r="JL174" s="591">
        <v>0</v>
      </c>
      <c r="JM174" s="591">
        <v>0</v>
      </c>
      <c r="JN174" s="591">
        <v>32469</v>
      </c>
    </row>
    <row r="175" spans="1:274" x14ac:dyDescent="0.25">
      <c r="A175" s="591">
        <v>32570</v>
      </c>
      <c r="B175" s="591">
        <v>227817</v>
      </c>
      <c r="C175" s="591">
        <v>9</v>
      </c>
      <c r="D175" s="591">
        <v>2022</v>
      </c>
      <c r="E175" s="591">
        <v>6159</v>
      </c>
      <c r="F175" s="591">
        <v>0</v>
      </c>
      <c r="G175" s="591">
        <v>457.16800000000001</v>
      </c>
      <c r="H175" s="591">
        <v>436.02600000000001</v>
      </c>
      <c r="I175" s="591">
        <v>436.02600000000001</v>
      </c>
      <c r="J175" s="591">
        <v>457.16800000000001</v>
      </c>
      <c r="K175" s="591">
        <v>0</v>
      </c>
      <c r="L175" s="591">
        <v>6159</v>
      </c>
      <c r="M175" s="591">
        <v>0</v>
      </c>
      <c r="N175" s="591">
        <v>0</v>
      </c>
      <c r="O175" s="591">
        <v>0</v>
      </c>
      <c r="P175" s="591">
        <v>444.11900000000003</v>
      </c>
      <c r="Q175" s="591">
        <v>0</v>
      </c>
      <c r="R175" s="591">
        <v>178726</v>
      </c>
      <c r="S175" s="591">
        <v>402.428</v>
      </c>
      <c r="T175" s="591">
        <v>0</v>
      </c>
      <c r="U175" s="591">
        <v>0</v>
      </c>
      <c r="V175" s="591">
        <v>215.24800000000002</v>
      </c>
      <c r="W175" s="591">
        <v>132573</v>
      </c>
      <c r="X175" s="591">
        <v>132573</v>
      </c>
      <c r="Y175" s="591">
        <v>0</v>
      </c>
      <c r="Z175" s="591">
        <v>0</v>
      </c>
      <c r="AA175" s="591">
        <v>0</v>
      </c>
      <c r="AB175" s="591">
        <v>0</v>
      </c>
      <c r="AC175" s="591">
        <v>0</v>
      </c>
      <c r="AD175" s="591" t="s">
        <v>316</v>
      </c>
      <c r="AE175" s="591">
        <v>0</v>
      </c>
      <c r="AF175" s="591">
        <v>0</v>
      </c>
      <c r="AG175" s="591">
        <v>0</v>
      </c>
      <c r="AH175" s="591">
        <v>0</v>
      </c>
      <c r="AI175" s="591">
        <v>0</v>
      </c>
      <c r="AJ175" s="591">
        <v>6159</v>
      </c>
      <c r="AK175" s="591" t="s">
        <v>671</v>
      </c>
      <c r="AL175" s="591" t="s">
        <v>81</v>
      </c>
      <c r="AM175" s="591">
        <v>0</v>
      </c>
      <c r="AN175" s="591">
        <v>0</v>
      </c>
      <c r="AO175" s="591">
        <v>0</v>
      </c>
      <c r="AP175" s="591">
        <v>0</v>
      </c>
      <c r="AQ175" s="591">
        <v>0</v>
      </c>
      <c r="AR175" s="591">
        <v>0</v>
      </c>
      <c r="AS175" s="591">
        <v>0</v>
      </c>
      <c r="AT175" s="591">
        <v>0</v>
      </c>
      <c r="AU175" s="591">
        <v>0</v>
      </c>
      <c r="AV175" s="591">
        <v>0</v>
      </c>
      <c r="AW175" s="591">
        <v>5143127</v>
      </c>
      <c r="AX175" s="591">
        <v>5062101</v>
      </c>
      <c r="AY175" s="591">
        <v>0</v>
      </c>
      <c r="AZ175" s="591">
        <v>178726</v>
      </c>
      <c r="BA175" s="591">
        <v>0</v>
      </c>
      <c r="BB175" s="591">
        <v>0</v>
      </c>
      <c r="BC175" s="591">
        <v>0</v>
      </c>
      <c r="BD175" s="591">
        <v>1.5</v>
      </c>
      <c r="BE175" s="591">
        <v>67</v>
      </c>
      <c r="BF175" s="591">
        <v>4657541</v>
      </c>
      <c r="BG175" s="591">
        <v>0</v>
      </c>
      <c r="BH175" s="591">
        <v>0</v>
      </c>
      <c r="BI175" s="591">
        <v>0</v>
      </c>
      <c r="BJ175" s="591">
        <v>12</v>
      </c>
      <c r="BK175" s="591">
        <v>0</v>
      </c>
      <c r="BL175" s="591">
        <v>0</v>
      </c>
      <c r="BM175" s="591">
        <v>0</v>
      </c>
      <c r="BN175" s="591">
        <v>0</v>
      </c>
      <c r="BO175" s="591">
        <v>0</v>
      </c>
      <c r="BP175" s="591">
        <v>0</v>
      </c>
      <c r="BQ175" s="591">
        <v>703</v>
      </c>
      <c r="BR175" s="591">
        <v>0</v>
      </c>
      <c r="BS175" s="591">
        <v>0</v>
      </c>
      <c r="BT175" s="591">
        <v>0</v>
      </c>
      <c r="BU175" s="591">
        <v>0</v>
      </c>
      <c r="BV175" s="591">
        <v>0</v>
      </c>
      <c r="BW175" s="591">
        <v>0</v>
      </c>
      <c r="BX175" s="591">
        <v>0</v>
      </c>
      <c r="BY175" s="591">
        <v>0</v>
      </c>
      <c r="BZ175" s="591">
        <v>0</v>
      </c>
      <c r="CA175" s="591">
        <v>0</v>
      </c>
      <c r="CB175" s="591">
        <v>0</v>
      </c>
      <c r="CC175" s="591">
        <v>0</v>
      </c>
      <c r="CD175" s="591">
        <v>0</v>
      </c>
      <c r="CE175" s="591">
        <v>0</v>
      </c>
      <c r="CF175" s="591">
        <v>0</v>
      </c>
      <c r="CG175" s="591">
        <v>0</v>
      </c>
      <c r="CH175" s="591">
        <v>82844</v>
      </c>
      <c r="CI175" s="591">
        <v>0</v>
      </c>
      <c r="CJ175" s="591">
        <v>4</v>
      </c>
      <c r="CK175" s="591">
        <v>0</v>
      </c>
      <c r="CL175" s="591">
        <v>0</v>
      </c>
      <c r="CM175" s="591">
        <v>0</v>
      </c>
      <c r="CN175" s="591">
        <v>0</v>
      </c>
      <c r="CO175" s="591">
        <v>1</v>
      </c>
      <c r="CP175" s="591">
        <v>0</v>
      </c>
      <c r="CQ175" s="591">
        <v>0</v>
      </c>
      <c r="CR175" s="591">
        <v>457.16800000000001</v>
      </c>
      <c r="CS175" s="591">
        <v>0</v>
      </c>
      <c r="CT175" s="591">
        <v>0</v>
      </c>
      <c r="CU175" s="591">
        <v>0</v>
      </c>
      <c r="CV175" s="591">
        <v>0</v>
      </c>
      <c r="CW175" s="591">
        <v>0</v>
      </c>
      <c r="CX175" s="591">
        <v>0</v>
      </c>
      <c r="CY175" s="591">
        <v>0</v>
      </c>
      <c r="CZ175" s="591">
        <v>0</v>
      </c>
      <c r="DA175" s="591">
        <v>0</v>
      </c>
      <c r="DB175" s="591">
        <v>2685520</v>
      </c>
      <c r="DC175" s="591">
        <v>0</v>
      </c>
      <c r="DD175" s="591">
        <v>0</v>
      </c>
      <c r="DE175" s="591">
        <v>678808</v>
      </c>
      <c r="DF175" s="591">
        <v>678808</v>
      </c>
      <c r="DG175" s="591">
        <v>110.21300000000001</v>
      </c>
      <c r="DH175" s="591">
        <v>0</v>
      </c>
      <c r="DI175" s="591">
        <v>0</v>
      </c>
      <c r="DJ175" s="591">
        <v>0</v>
      </c>
      <c r="DK175" s="591">
        <v>2868</v>
      </c>
      <c r="DL175" s="591">
        <v>0</v>
      </c>
      <c r="DM175" s="591">
        <v>459016</v>
      </c>
      <c r="DN175" s="591">
        <v>1751</v>
      </c>
      <c r="DO175" s="591">
        <v>0</v>
      </c>
      <c r="DP175" s="591">
        <v>0</v>
      </c>
      <c r="DQ175" s="591">
        <v>0</v>
      </c>
      <c r="DR175" s="591">
        <v>0</v>
      </c>
      <c r="DS175" s="591">
        <v>0</v>
      </c>
      <c r="DT175" s="591">
        <v>0</v>
      </c>
      <c r="DU175" s="591">
        <v>0</v>
      </c>
      <c r="DV175" s="591">
        <v>0</v>
      </c>
      <c r="DW175" s="591">
        <v>0</v>
      </c>
      <c r="DX175" s="591">
        <v>0</v>
      </c>
      <c r="DY175" s="591">
        <v>0</v>
      </c>
      <c r="DZ175" s="591">
        <v>0</v>
      </c>
      <c r="EA175" s="591">
        <v>0</v>
      </c>
      <c r="EB175" s="591">
        <v>0</v>
      </c>
      <c r="EC175" s="591">
        <v>21.593</v>
      </c>
      <c r="ED175" s="591">
        <v>152942</v>
      </c>
      <c r="EE175" s="591">
        <v>0</v>
      </c>
      <c r="EF175" s="591">
        <v>0</v>
      </c>
      <c r="EG175" s="591">
        <v>0</v>
      </c>
      <c r="EH175" s="591">
        <v>307825</v>
      </c>
      <c r="EI175" s="591">
        <v>0</v>
      </c>
      <c r="EJ175" s="591">
        <v>0</v>
      </c>
      <c r="EK175" s="591">
        <v>14.83</v>
      </c>
      <c r="EL175" s="591">
        <v>0</v>
      </c>
      <c r="EM175" s="591">
        <v>6.8000000000000005E-2</v>
      </c>
      <c r="EN175" s="591">
        <v>1.0570000000000002</v>
      </c>
      <c r="EO175" s="591">
        <v>0</v>
      </c>
      <c r="EP175" s="591">
        <v>0</v>
      </c>
      <c r="EQ175" s="591">
        <v>15.955</v>
      </c>
      <c r="ER175" s="591">
        <v>0</v>
      </c>
      <c r="ES175" s="591">
        <v>49.978999999999999</v>
      </c>
      <c r="ET175" s="591">
        <v>0</v>
      </c>
      <c r="EU175" s="591">
        <v>0</v>
      </c>
      <c r="EV175" s="591">
        <v>0</v>
      </c>
      <c r="EW175" s="591">
        <v>0</v>
      </c>
      <c r="EX175" s="591">
        <v>0</v>
      </c>
      <c r="EY175" s="591">
        <v>0</v>
      </c>
      <c r="EZ175" s="591">
        <v>4481260</v>
      </c>
      <c r="FA175" s="591">
        <v>0</v>
      </c>
      <c r="FB175" s="591">
        <v>4658168</v>
      </c>
      <c r="FC175" s="591">
        <v>0</v>
      </c>
      <c r="FD175" s="591">
        <v>0</v>
      </c>
      <c r="FE175" s="591">
        <v>482437</v>
      </c>
      <c r="FF175" s="591">
        <v>98404</v>
      </c>
      <c r="FG175" s="591">
        <v>6.4728999999999995E-2</v>
      </c>
      <c r="FH175" s="591">
        <v>2.6405999999999999E-2</v>
      </c>
      <c r="FI175" s="591">
        <v>0</v>
      </c>
      <c r="FJ175" s="591">
        <v>0</v>
      </c>
      <c r="FK175" s="591">
        <v>756.20699999999999</v>
      </c>
      <c r="FL175" s="591">
        <v>5321853</v>
      </c>
      <c r="FM175" s="591">
        <v>0</v>
      </c>
      <c r="FN175" s="591">
        <v>0</v>
      </c>
      <c r="FO175" s="591">
        <v>0</v>
      </c>
      <c r="FP175" s="591">
        <v>0</v>
      </c>
      <c r="FQ175" s="591">
        <v>0</v>
      </c>
      <c r="FR175" s="591">
        <v>0</v>
      </c>
      <c r="FS175" s="591">
        <v>0</v>
      </c>
      <c r="FT175" s="591">
        <v>0</v>
      </c>
      <c r="FU175" s="591">
        <v>0</v>
      </c>
      <c r="FV175" s="591">
        <v>0</v>
      </c>
      <c r="FW175" s="591">
        <v>0</v>
      </c>
      <c r="FX175" s="591">
        <v>0</v>
      </c>
      <c r="FY175" s="591">
        <v>0</v>
      </c>
      <c r="FZ175" s="591">
        <v>0</v>
      </c>
      <c r="GA175" s="591">
        <v>0</v>
      </c>
      <c r="GB175" s="591">
        <v>43129</v>
      </c>
      <c r="GC175" s="591">
        <v>43129</v>
      </c>
      <c r="GD175" s="591">
        <v>5.1870000000000003</v>
      </c>
      <c r="GE175" s="591">
        <v>0</v>
      </c>
      <c r="GF175" s="591">
        <v>0</v>
      </c>
      <c r="GG175" s="591">
        <v>0</v>
      </c>
      <c r="GH175" s="591">
        <v>0</v>
      </c>
      <c r="GI175" s="591">
        <v>0</v>
      </c>
      <c r="GJ175" s="591">
        <v>0</v>
      </c>
      <c r="GK175" s="591">
        <v>0</v>
      </c>
      <c r="GL175" s="591">
        <v>0</v>
      </c>
      <c r="GM175" s="591">
        <v>0</v>
      </c>
      <c r="GN175" s="591">
        <v>0</v>
      </c>
      <c r="GO175" s="591">
        <v>0</v>
      </c>
      <c r="GP175" s="591">
        <v>0</v>
      </c>
      <c r="GQ175" s="591">
        <v>0</v>
      </c>
      <c r="GR175" s="591">
        <v>0</v>
      </c>
      <c r="GS175" s="591">
        <v>0</v>
      </c>
      <c r="GT175" s="591">
        <v>0</v>
      </c>
      <c r="GU175" s="591">
        <v>0</v>
      </c>
      <c r="GV175" s="591">
        <v>0</v>
      </c>
      <c r="GW175" s="591">
        <v>0</v>
      </c>
      <c r="GX175" s="591">
        <v>0</v>
      </c>
      <c r="GY175" s="591">
        <v>0</v>
      </c>
      <c r="GZ175" s="591">
        <v>0</v>
      </c>
      <c r="HA175" s="591">
        <v>0</v>
      </c>
      <c r="HB175" s="591">
        <v>260009272</v>
      </c>
      <c r="HC175" s="591">
        <v>5.1774999999999995E-2</v>
      </c>
      <c r="HD175" s="591">
        <v>82844</v>
      </c>
      <c r="HE175" s="591">
        <v>0</v>
      </c>
      <c r="HF175" s="591">
        <v>479193</v>
      </c>
      <c r="HG175" s="591">
        <v>11086</v>
      </c>
      <c r="HH175" s="591">
        <v>159021</v>
      </c>
      <c r="HI175" s="591">
        <v>0</v>
      </c>
      <c r="HJ175" s="591">
        <v>4444</v>
      </c>
      <c r="HK175" s="591">
        <v>1356</v>
      </c>
      <c r="HL175" s="591">
        <v>1089</v>
      </c>
      <c r="HM175" s="591">
        <v>3000</v>
      </c>
      <c r="HN175" s="591">
        <v>0</v>
      </c>
      <c r="HO175" s="591">
        <v>0</v>
      </c>
      <c r="HP175" s="591">
        <v>0</v>
      </c>
      <c r="HQ175" s="591">
        <v>0</v>
      </c>
      <c r="HR175" s="591">
        <v>0</v>
      </c>
      <c r="HS175" s="591">
        <v>4479442</v>
      </c>
      <c r="HT175" s="591">
        <v>0</v>
      </c>
      <c r="HU175" s="591">
        <v>0</v>
      </c>
      <c r="HV175" s="591">
        <v>0</v>
      </c>
      <c r="HW175" s="591">
        <v>0</v>
      </c>
      <c r="HX175" s="591">
        <v>40</v>
      </c>
      <c r="HY175" s="591">
        <v>74</v>
      </c>
      <c r="HZ175" s="591">
        <v>55</v>
      </c>
      <c r="IA175" s="591">
        <v>85</v>
      </c>
      <c r="IB175" s="591">
        <v>173</v>
      </c>
      <c r="IC175" s="591">
        <v>396</v>
      </c>
      <c r="ID175" s="591">
        <v>0</v>
      </c>
      <c r="IE175" s="591">
        <v>0</v>
      </c>
      <c r="IF175" s="591">
        <v>0</v>
      </c>
      <c r="IG175" s="591">
        <v>18</v>
      </c>
      <c r="IH175" s="591">
        <v>258.18900000000002</v>
      </c>
      <c r="II175" s="591">
        <v>0</v>
      </c>
      <c r="IJ175" s="591">
        <v>215.24800000000002</v>
      </c>
      <c r="IK175" s="591">
        <v>0</v>
      </c>
      <c r="IL175" s="591">
        <v>0</v>
      </c>
      <c r="IM175" s="591">
        <v>1</v>
      </c>
      <c r="IN175" s="591">
        <v>0</v>
      </c>
      <c r="IO175" s="591">
        <v>1</v>
      </c>
      <c r="IP175" s="591">
        <v>0</v>
      </c>
      <c r="IQ175" s="591">
        <v>215.24800000000002</v>
      </c>
      <c r="IR175" s="591">
        <v>132573</v>
      </c>
      <c r="IS175" s="591">
        <v>0</v>
      </c>
      <c r="IT175" s="591">
        <v>0</v>
      </c>
      <c r="IU175" s="591">
        <v>3000</v>
      </c>
      <c r="IV175" s="591">
        <v>0</v>
      </c>
      <c r="IW175" s="591">
        <v>6159</v>
      </c>
      <c r="IX175" s="591">
        <v>0</v>
      </c>
      <c r="IY175" s="591">
        <v>0</v>
      </c>
      <c r="IZ175" s="591">
        <v>0</v>
      </c>
      <c r="JA175" s="591">
        <v>0</v>
      </c>
      <c r="JB175" s="591">
        <v>0</v>
      </c>
      <c r="JC175" s="591">
        <v>0</v>
      </c>
      <c r="JD175" s="591">
        <v>0</v>
      </c>
      <c r="JE175" s="591">
        <v>0</v>
      </c>
      <c r="JF175" s="591">
        <v>0</v>
      </c>
      <c r="JG175" s="591">
        <v>0</v>
      </c>
      <c r="JH175" s="591">
        <v>0</v>
      </c>
      <c r="JI175" s="591">
        <v>0</v>
      </c>
      <c r="JJ175" s="591">
        <v>0</v>
      </c>
      <c r="JK175" s="591">
        <v>0</v>
      </c>
      <c r="JL175" s="591">
        <v>0</v>
      </c>
      <c r="JM175" s="591">
        <v>0</v>
      </c>
      <c r="JN175" s="591">
        <v>32469</v>
      </c>
    </row>
    <row r="176" spans="1:274" x14ac:dyDescent="0.25">
      <c r="A176" s="591">
        <v>32570</v>
      </c>
      <c r="B176" s="591">
        <v>227819</v>
      </c>
      <c r="C176" s="591">
        <v>9</v>
      </c>
      <c r="D176" s="591">
        <v>2022</v>
      </c>
      <c r="E176" s="591">
        <v>6159</v>
      </c>
      <c r="F176" s="591">
        <v>0</v>
      </c>
      <c r="G176" s="591">
        <v>262.09800000000001</v>
      </c>
      <c r="H176" s="591">
        <v>245.596</v>
      </c>
      <c r="I176" s="591">
        <v>245.596</v>
      </c>
      <c r="J176" s="591">
        <v>262.09800000000001</v>
      </c>
      <c r="K176" s="591">
        <v>0</v>
      </c>
      <c r="L176" s="591">
        <v>6159</v>
      </c>
      <c r="M176" s="591">
        <v>0</v>
      </c>
      <c r="N176" s="591">
        <v>0</v>
      </c>
      <c r="O176" s="591">
        <v>0</v>
      </c>
      <c r="P176" s="591">
        <v>260.97700000000003</v>
      </c>
      <c r="Q176" s="591">
        <v>0</v>
      </c>
      <c r="R176" s="591">
        <v>105024</v>
      </c>
      <c r="S176" s="591">
        <v>402.428</v>
      </c>
      <c r="T176" s="591">
        <v>0</v>
      </c>
      <c r="U176" s="591">
        <v>0</v>
      </c>
      <c r="V176" s="591">
        <v>44.698</v>
      </c>
      <c r="W176" s="591">
        <v>27530</v>
      </c>
      <c r="X176" s="591">
        <v>27530</v>
      </c>
      <c r="Y176" s="591">
        <v>0</v>
      </c>
      <c r="Z176" s="591">
        <v>0</v>
      </c>
      <c r="AA176" s="591">
        <v>0</v>
      </c>
      <c r="AB176" s="591">
        <v>0</v>
      </c>
      <c r="AC176" s="591">
        <v>0</v>
      </c>
      <c r="AD176" s="591" t="s">
        <v>316</v>
      </c>
      <c r="AE176" s="591">
        <v>0</v>
      </c>
      <c r="AF176" s="591">
        <v>0</v>
      </c>
      <c r="AG176" s="591">
        <v>0</v>
      </c>
      <c r="AH176" s="591">
        <v>0</v>
      </c>
      <c r="AI176" s="591">
        <v>0</v>
      </c>
      <c r="AJ176" s="591">
        <v>6159</v>
      </c>
      <c r="AK176" s="591" t="s">
        <v>671</v>
      </c>
      <c r="AL176" s="591" t="s">
        <v>88</v>
      </c>
      <c r="AM176" s="591">
        <v>0</v>
      </c>
      <c r="AN176" s="591">
        <v>0</v>
      </c>
      <c r="AO176" s="591">
        <v>0</v>
      </c>
      <c r="AP176" s="591">
        <v>0</v>
      </c>
      <c r="AQ176" s="591">
        <v>0</v>
      </c>
      <c r="AR176" s="591">
        <v>0</v>
      </c>
      <c r="AS176" s="591">
        <v>0</v>
      </c>
      <c r="AT176" s="591">
        <v>0</v>
      </c>
      <c r="AU176" s="591">
        <v>0</v>
      </c>
      <c r="AV176" s="591">
        <v>0</v>
      </c>
      <c r="AW176" s="591">
        <v>2763483</v>
      </c>
      <c r="AX176" s="591">
        <v>2717339</v>
      </c>
      <c r="AY176" s="591">
        <v>0</v>
      </c>
      <c r="AZ176" s="591">
        <v>105024</v>
      </c>
      <c r="BA176" s="591">
        <v>0</v>
      </c>
      <c r="BB176" s="591">
        <v>0</v>
      </c>
      <c r="BC176" s="591">
        <v>0</v>
      </c>
      <c r="BD176" s="591">
        <v>1.5</v>
      </c>
      <c r="BE176" s="591">
        <v>36</v>
      </c>
      <c r="BF176" s="591">
        <v>2500545</v>
      </c>
      <c r="BG176" s="591">
        <v>0</v>
      </c>
      <c r="BH176" s="591">
        <v>0</v>
      </c>
      <c r="BI176" s="591">
        <v>0</v>
      </c>
      <c r="BJ176" s="591">
        <v>12</v>
      </c>
      <c r="BK176" s="591">
        <v>0</v>
      </c>
      <c r="BL176" s="591">
        <v>0</v>
      </c>
      <c r="BM176" s="591">
        <v>0</v>
      </c>
      <c r="BN176" s="591">
        <v>0</v>
      </c>
      <c r="BO176" s="591">
        <v>0</v>
      </c>
      <c r="BP176" s="591">
        <v>0</v>
      </c>
      <c r="BQ176" s="591">
        <v>732</v>
      </c>
      <c r="BR176" s="591">
        <v>0</v>
      </c>
      <c r="BS176" s="591">
        <v>0</v>
      </c>
      <c r="BT176" s="591">
        <v>0</v>
      </c>
      <c r="BU176" s="591">
        <v>0</v>
      </c>
      <c r="BV176" s="591">
        <v>0</v>
      </c>
      <c r="BW176" s="591">
        <v>0</v>
      </c>
      <c r="BX176" s="591">
        <v>0</v>
      </c>
      <c r="BY176" s="591">
        <v>0</v>
      </c>
      <c r="BZ176" s="591">
        <v>0</v>
      </c>
      <c r="CA176" s="591">
        <v>0</v>
      </c>
      <c r="CB176" s="591">
        <v>0</v>
      </c>
      <c r="CC176" s="591">
        <v>0</v>
      </c>
      <c r="CD176" s="591">
        <v>0</v>
      </c>
      <c r="CE176" s="591">
        <v>0</v>
      </c>
      <c r="CF176" s="591">
        <v>0</v>
      </c>
      <c r="CG176" s="591">
        <v>0</v>
      </c>
      <c r="CH176" s="591">
        <v>47495</v>
      </c>
      <c r="CI176" s="591">
        <v>0</v>
      </c>
      <c r="CJ176" s="591">
        <v>4</v>
      </c>
      <c r="CK176" s="591">
        <v>0</v>
      </c>
      <c r="CL176" s="591">
        <v>0</v>
      </c>
      <c r="CM176" s="591">
        <v>0</v>
      </c>
      <c r="CN176" s="591">
        <v>0</v>
      </c>
      <c r="CO176" s="591">
        <v>1</v>
      </c>
      <c r="CP176" s="591">
        <v>0</v>
      </c>
      <c r="CQ176" s="591">
        <v>0</v>
      </c>
      <c r="CR176" s="591">
        <v>262.09800000000001</v>
      </c>
      <c r="CS176" s="591">
        <v>0</v>
      </c>
      <c r="CT176" s="591">
        <v>0</v>
      </c>
      <c r="CU176" s="591">
        <v>0</v>
      </c>
      <c r="CV176" s="591">
        <v>0</v>
      </c>
      <c r="CW176" s="591">
        <v>0</v>
      </c>
      <c r="CX176" s="591">
        <v>0</v>
      </c>
      <c r="CY176" s="591">
        <v>0</v>
      </c>
      <c r="CZ176" s="591">
        <v>0</v>
      </c>
      <c r="DA176" s="591">
        <v>0</v>
      </c>
      <c r="DB176" s="591">
        <v>1512646</v>
      </c>
      <c r="DC176" s="591">
        <v>0</v>
      </c>
      <c r="DD176" s="591">
        <v>0</v>
      </c>
      <c r="DE176" s="591">
        <v>252214</v>
      </c>
      <c r="DF176" s="591">
        <v>252214</v>
      </c>
      <c r="DG176" s="591">
        <v>40.950000000000003</v>
      </c>
      <c r="DH176" s="591">
        <v>0</v>
      </c>
      <c r="DI176" s="591">
        <v>0</v>
      </c>
      <c r="DJ176" s="591">
        <v>0</v>
      </c>
      <c r="DK176" s="591">
        <v>3337</v>
      </c>
      <c r="DL176" s="591">
        <v>0</v>
      </c>
      <c r="DM176" s="591">
        <v>344614</v>
      </c>
      <c r="DN176" s="591">
        <v>1315</v>
      </c>
      <c r="DO176" s="591">
        <v>0</v>
      </c>
      <c r="DP176" s="591">
        <v>0</v>
      </c>
      <c r="DQ176" s="591">
        <v>0</v>
      </c>
      <c r="DR176" s="591">
        <v>0</v>
      </c>
      <c r="DS176" s="591">
        <v>0</v>
      </c>
      <c r="DT176" s="591">
        <v>0</v>
      </c>
      <c r="DU176" s="591">
        <v>0</v>
      </c>
      <c r="DV176" s="591">
        <v>0</v>
      </c>
      <c r="DW176" s="591">
        <v>0</v>
      </c>
      <c r="DX176" s="591">
        <v>0</v>
      </c>
      <c r="DY176" s="591">
        <v>0</v>
      </c>
      <c r="DZ176" s="591">
        <v>0</v>
      </c>
      <c r="EA176" s="591">
        <v>0</v>
      </c>
      <c r="EB176" s="591">
        <v>0</v>
      </c>
      <c r="EC176" s="591">
        <v>3.645</v>
      </c>
      <c r="ED176" s="591">
        <v>25817</v>
      </c>
      <c r="EE176" s="591">
        <v>0</v>
      </c>
      <c r="EF176" s="591">
        <v>0</v>
      </c>
      <c r="EG176" s="591">
        <v>0</v>
      </c>
      <c r="EH176" s="591">
        <v>320112</v>
      </c>
      <c r="EI176" s="591">
        <v>0</v>
      </c>
      <c r="EJ176" s="591">
        <v>0</v>
      </c>
      <c r="EK176" s="591">
        <v>13.703000000000001</v>
      </c>
      <c r="EL176" s="591">
        <v>0</v>
      </c>
      <c r="EM176" s="591">
        <v>1.5650000000000002</v>
      </c>
      <c r="EN176" s="591">
        <v>1.234</v>
      </c>
      <c r="EO176" s="591">
        <v>0</v>
      </c>
      <c r="EP176" s="591">
        <v>0</v>
      </c>
      <c r="EQ176" s="591">
        <v>16.502000000000002</v>
      </c>
      <c r="ER176" s="591">
        <v>0</v>
      </c>
      <c r="ES176" s="591">
        <v>51.974000000000004</v>
      </c>
      <c r="ET176" s="591">
        <v>0</v>
      </c>
      <c r="EU176" s="591">
        <v>0</v>
      </c>
      <c r="EV176" s="591">
        <v>0</v>
      </c>
      <c r="EW176" s="591">
        <v>0</v>
      </c>
      <c r="EX176" s="591">
        <v>0</v>
      </c>
      <c r="EY176" s="591">
        <v>0</v>
      </c>
      <c r="EZ176" s="591">
        <v>2405497</v>
      </c>
      <c r="FA176" s="591">
        <v>0</v>
      </c>
      <c r="FB176" s="591">
        <v>2509170</v>
      </c>
      <c r="FC176" s="591">
        <v>0</v>
      </c>
      <c r="FD176" s="591">
        <v>0</v>
      </c>
      <c r="FE176" s="591">
        <v>259011</v>
      </c>
      <c r="FF176" s="591">
        <v>52831</v>
      </c>
      <c r="FG176" s="591">
        <v>6.4728999999999995E-2</v>
      </c>
      <c r="FH176" s="591">
        <v>2.6405999999999999E-2</v>
      </c>
      <c r="FI176" s="591">
        <v>0</v>
      </c>
      <c r="FJ176" s="591">
        <v>0</v>
      </c>
      <c r="FK176" s="591">
        <v>405.99299999999999</v>
      </c>
      <c r="FL176" s="591">
        <v>2868507</v>
      </c>
      <c r="FM176" s="591">
        <v>0</v>
      </c>
      <c r="FN176" s="591">
        <v>0</v>
      </c>
      <c r="FO176" s="591">
        <v>9976</v>
      </c>
      <c r="FP176" s="591">
        <v>0</v>
      </c>
      <c r="FQ176" s="591">
        <v>9976</v>
      </c>
      <c r="FR176" s="591">
        <v>9976</v>
      </c>
      <c r="FS176" s="591">
        <v>0</v>
      </c>
      <c r="FT176" s="591">
        <v>0</v>
      </c>
      <c r="FU176" s="591">
        <v>0</v>
      </c>
      <c r="FV176" s="591">
        <v>0</v>
      </c>
      <c r="FW176" s="591">
        <v>0</v>
      </c>
      <c r="FX176" s="591">
        <v>0</v>
      </c>
      <c r="FY176" s="591">
        <v>0</v>
      </c>
      <c r="FZ176" s="591">
        <v>0</v>
      </c>
      <c r="GA176" s="591">
        <v>0</v>
      </c>
      <c r="GB176" s="591">
        <v>0</v>
      </c>
      <c r="GC176" s="591">
        <v>0</v>
      </c>
      <c r="GD176" s="591">
        <v>0</v>
      </c>
      <c r="GE176" s="591">
        <v>0</v>
      </c>
      <c r="GF176" s="591">
        <v>0</v>
      </c>
      <c r="GG176" s="591">
        <v>0</v>
      </c>
      <c r="GH176" s="591">
        <v>0</v>
      </c>
      <c r="GI176" s="591">
        <v>0</v>
      </c>
      <c r="GJ176" s="591">
        <v>0</v>
      </c>
      <c r="GK176" s="591">
        <v>0</v>
      </c>
      <c r="GL176" s="591">
        <v>0</v>
      </c>
      <c r="GM176" s="591">
        <v>0</v>
      </c>
      <c r="GN176" s="591">
        <v>0</v>
      </c>
      <c r="GO176" s="591">
        <v>0</v>
      </c>
      <c r="GP176" s="591">
        <v>0</v>
      </c>
      <c r="GQ176" s="591">
        <v>0</v>
      </c>
      <c r="GR176" s="591">
        <v>0</v>
      </c>
      <c r="GS176" s="591">
        <v>0</v>
      </c>
      <c r="GT176" s="591">
        <v>0</v>
      </c>
      <c r="GU176" s="591">
        <v>0</v>
      </c>
      <c r="GV176" s="591">
        <v>0</v>
      </c>
      <c r="GW176" s="591">
        <v>0</v>
      </c>
      <c r="GX176" s="591">
        <v>0</v>
      </c>
      <c r="GY176" s="591">
        <v>0</v>
      </c>
      <c r="GZ176" s="591">
        <v>0</v>
      </c>
      <c r="HA176" s="591">
        <v>0</v>
      </c>
      <c r="HB176" s="591">
        <v>260009272</v>
      </c>
      <c r="HC176" s="591">
        <v>5.1774999999999995E-2</v>
      </c>
      <c r="HD176" s="591">
        <v>47495</v>
      </c>
      <c r="HE176" s="591">
        <v>0</v>
      </c>
      <c r="HF176" s="591">
        <v>269910</v>
      </c>
      <c r="HG176" s="591">
        <v>11548</v>
      </c>
      <c r="HH176" s="591">
        <v>78220</v>
      </c>
      <c r="HI176" s="591">
        <v>0</v>
      </c>
      <c r="HJ176" s="591">
        <v>2548</v>
      </c>
      <c r="HK176" s="591">
        <v>0</v>
      </c>
      <c r="HL176" s="591">
        <v>0</v>
      </c>
      <c r="HM176" s="591">
        <v>0</v>
      </c>
      <c r="HN176" s="591">
        <v>0</v>
      </c>
      <c r="HO176" s="591">
        <v>0</v>
      </c>
      <c r="HP176" s="591">
        <v>0</v>
      </c>
      <c r="HQ176" s="591">
        <v>0</v>
      </c>
      <c r="HR176" s="591">
        <v>0</v>
      </c>
      <c r="HS176" s="591">
        <v>2404146</v>
      </c>
      <c r="HT176" s="591">
        <v>0</v>
      </c>
      <c r="HU176" s="591">
        <v>0</v>
      </c>
      <c r="HV176" s="591">
        <v>0</v>
      </c>
      <c r="HW176" s="591">
        <v>0</v>
      </c>
      <c r="HX176" s="591">
        <v>21</v>
      </c>
      <c r="HY176" s="591">
        <v>34</v>
      </c>
      <c r="HZ176" s="591">
        <v>50</v>
      </c>
      <c r="IA176" s="591">
        <v>24</v>
      </c>
      <c r="IB176" s="591">
        <v>34</v>
      </c>
      <c r="IC176" s="591">
        <v>161</v>
      </c>
      <c r="ID176" s="591">
        <v>0</v>
      </c>
      <c r="IE176" s="591">
        <v>0</v>
      </c>
      <c r="IF176" s="591">
        <v>0</v>
      </c>
      <c r="IG176" s="591">
        <v>18.749000000000002</v>
      </c>
      <c r="IH176" s="591">
        <v>127</v>
      </c>
      <c r="II176" s="591">
        <v>0</v>
      </c>
      <c r="IJ176" s="591">
        <v>44.698</v>
      </c>
      <c r="IK176" s="591">
        <v>0</v>
      </c>
      <c r="IL176" s="591">
        <v>0</v>
      </c>
      <c r="IM176" s="591">
        <v>0</v>
      </c>
      <c r="IN176" s="591">
        <v>0</v>
      </c>
      <c r="IO176" s="591">
        <v>0</v>
      </c>
      <c r="IP176" s="591">
        <v>0</v>
      </c>
      <c r="IQ176" s="591">
        <v>44.698</v>
      </c>
      <c r="IR176" s="591">
        <v>27530</v>
      </c>
      <c r="IS176" s="591">
        <v>0</v>
      </c>
      <c r="IT176" s="591">
        <v>0</v>
      </c>
      <c r="IU176" s="591">
        <v>0</v>
      </c>
      <c r="IV176" s="591">
        <v>0</v>
      </c>
      <c r="IW176" s="591">
        <v>6159</v>
      </c>
      <c r="IX176" s="591">
        <v>0</v>
      </c>
      <c r="IY176" s="591">
        <v>0</v>
      </c>
      <c r="IZ176" s="591">
        <v>0</v>
      </c>
      <c r="JA176" s="591">
        <v>0</v>
      </c>
      <c r="JB176" s="591">
        <v>0</v>
      </c>
      <c r="JC176" s="591">
        <v>0</v>
      </c>
      <c r="JD176" s="591">
        <v>0</v>
      </c>
      <c r="JE176" s="591">
        <v>0</v>
      </c>
      <c r="JF176" s="591">
        <v>0</v>
      </c>
      <c r="JG176" s="591">
        <v>0</v>
      </c>
      <c r="JH176" s="591">
        <v>0</v>
      </c>
      <c r="JI176" s="591">
        <v>0</v>
      </c>
      <c r="JJ176" s="591">
        <v>0</v>
      </c>
      <c r="JK176" s="591">
        <v>0</v>
      </c>
      <c r="JL176" s="591">
        <v>0</v>
      </c>
      <c r="JM176" s="591">
        <v>0</v>
      </c>
      <c r="JN176" s="591">
        <v>32469</v>
      </c>
    </row>
    <row r="177" spans="1:274" x14ac:dyDescent="0.25">
      <c r="A177" s="591">
        <v>32570</v>
      </c>
      <c r="B177" s="591">
        <v>227820</v>
      </c>
      <c r="C177" s="591">
        <v>9</v>
      </c>
      <c r="D177" s="591">
        <v>2022</v>
      </c>
      <c r="E177" s="591">
        <v>6159</v>
      </c>
      <c r="F177" s="591">
        <v>0</v>
      </c>
      <c r="G177" s="591">
        <v>28051.575000000001</v>
      </c>
      <c r="H177" s="591">
        <v>26950.101000000002</v>
      </c>
      <c r="I177" s="591">
        <v>26950.101000000002</v>
      </c>
      <c r="J177" s="591">
        <v>28051.575000000001</v>
      </c>
      <c r="K177" s="591">
        <v>0</v>
      </c>
      <c r="L177" s="591">
        <v>6159</v>
      </c>
      <c r="M177" s="591">
        <v>0</v>
      </c>
      <c r="N177" s="591">
        <v>0</v>
      </c>
      <c r="O177" s="591">
        <v>0</v>
      </c>
      <c r="P177" s="591">
        <v>28216.508999999998</v>
      </c>
      <c r="Q177" s="591">
        <v>0</v>
      </c>
      <c r="R177" s="591">
        <v>11355113</v>
      </c>
      <c r="S177" s="591">
        <v>402.428</v>
      </c>
      <c r="T177" s="591">
        <v>0</v>
      </c>
      <c r="U177" s="591">
        <v>0</v>
      </c>
      <c r="V177" s="591">
        <v>10010.040000000001</v>
      </c>
      <c r="W177" s="591">
        <v>6165266</v>
      </c>
      <c r="X177" s="591">
        <v>6165266</v>
      </c>
      <c r="Y177" s="591">
        <v>0</v>
      </c>
      <c r="Z177" s="591">
        <v>0</v>
      </c>
      <c r="AA177" s="591">
        <v>0</v>
      </c>
      <c r="AB177" s="591">
        <v>0</v>
      </c>
      <c r="AC177" s="591">
        <v>0</v>
      </c>
      <c r="AD177" s="591" t="s">
        <v>316</v>
      </c>
      <c r="AE177" s="591">
        <v>0</v>
      </c>
      <c r="AF177" s="591">
        <v>0</v>
      </c>
      <c r="AG177" s="591">
        <v>0</v>
      </c>
      <c r="AH177" s="591">
        <v>0</v>
      </c>
      <c r="AI177" s="591">
        <v>0</v>
      </c>
      <c r="AJ177" s="591">
        <v>6159</v>
      </c>
      <c r="AK177" s="591" t="s">
        <v>671</v>
      </c>
      <c r="AL177" s="591" t="s">
        <v>470</v>
      </c>
      <c r="AM177" s="591">
        <v>0</v>
      </c>
      <c r="AN177" s="591">
        <v>0</v>
      </c>
      <c r="AO177" s="591">
        <v>0</v>
      </c>
      <c r="AP177" s="591">
        <v>0</v>
      </c>
      <c r="AQ177" s="591">
        <v>0</v>
      </c>
      <c r="AR177" s="591">
        <v>0</v>
      </c>
      <c r="AS177" s="591">
        <v>0</v>
      </c>
      <c r="AT177" s="591">
        <v>0</v>
      </c>
      <c r="AU177" s="591">
        <v>0</v>
      </c>
      <c r="AV177" s="591">
        <v>0</v>
      </c>
      <c r="AW177" s="591">
        <v>299860240</v>
      </c>
      <c r="AX177" s="591">
        <v>294848567</v>
      </c>
      <c r="AY177" s="591">
        <v>0</v>
      </c>
      <c r="AZ177" s="591">
        <v>11355113</v>
      </c>
      <c r="BA177" s="591">
        <v>0</v>
      </c>
      <c r="BB177" s="591">
        <v>0</v>
      </c>
      <c r="BC177" s="591">
        <v>0</v>
      </c>
      <c r="BD177" s="591">
        <v>0</v>
      </c>
      <c r="BE177" s="591">
        <v>3920</v>
      </c>
      <c r="BF177" s="591">
        <v>270299196</v>
      </c>
      <c r="BG177" s="591">
        <v>0</v>
      </c>
      <c r="BH177" s="591">
        <v>0</v>
      </c>
      <c r="BI177" s="591">
        <v>0</v>
      </c>
      <c r="BJ177" s="591">
        <v>12</v>
      </c>
      <c r="BK177" s="591">
        <v>0</v>
      </c>
      <c r="BL177" s="591">
        <v>0</v>
      </c>
      <c r="BM177" s="591">
        <v>0</v>
      </c>
      <c r="BN177" s="591">
        <v>0</v>
      </c>
      <c r="BO177" s="591">
        <v>0</v>
      </c>
      <c r="BP177" s="591">
        <v>0</v>
      </c>
      <c r="BQ177" s="591">
        <v>0</v>
      </c>
      <c r="BR177" s="591">
        <v>0</v>
      </c>
      <c r="BS177" s="591">
        <v>0</v>
      </c>
      <c r="BT177" s="591">
        <v>0</v>
      </c>
      <c r="BU177" s="591">
        <v>0</v>
      </c>
      <c r="BV177" s="591">
        <v>0</v>
      </c>
      <c r="BW177" s="591">
        <v>0</v>
      </c>
      <c r="BX177" s="591">
        <v>0</v>
      </c>
      <c r="BY177" s="591">
        <v>0</v>
      </c>
      <c r="BZ177" s="591">
        <v>0</v>
      </c>
      <c r="CA177" s="591">
        <v>0</v>
      </c>
      <c r="CB177" s="591">
        <v>0</v>
      </c>
      <c r="CC177" s="591">
        <v>0</v>
      </c>
      <c r="CD177" s="591">
        <v>0</v>
      </c>
      <c r="CE177" s="591">
        <v>0</v>
      </c>
      <c r="CF177" s="591">
        <v>0</v>
      </c>
      <c r="CG177" s="591">
        <v>0</v>
      </c>
      <c r="CH177" s="591">
        <v>5083248</v>
      </c>
      <c r="CI177" s="591">
        <v>0</v>
      </c>
      <c r="CJ177" s="591">
        <v>4</v>
      </c>
      <c r="CK177" s="591">
        <v>0</v>
      </c>
      <c r="CL177" s="591">
        <v>0</v>
      </c>
      <c r="CM177" s="591">
        <v>0</v>
      </c>
      <c r="CN177" s="591">
        <v>0</v>
      </c>
      <c r="CO177" s="591">
        <v>1</v>
      </c>
      <c r="CP177" s="591">
        <v>0</v>
      </c>
      <c r="CQ177" s="591">
        <v>0</v>
      </c>
      <c r="CR177" s="591">
        <v>28051.575000000001</v>
      </c>
      <c r="CS177" s="591">
        <v>0</v>
      </c>
      <c r="CT177" s="591">
        <v>0</v>
      </c>
      <c r="CU177" s="591">
        <v>0</v>
      </c>
      <c r="CV177" s="591">
        <v>0</v>
      </c>
      <c r="CW177" s="591">
        <v>0</v>
      </c>
      <c r="CX177" s="591">
        <v>0</v>
      </c>
      <c r="CY177" s="591">
        <v>0</v>
      </c>
      <c r="CZ177" s="591">
        <v>0</v>
      </c>
      <c r="DA177" s="591">
        <v>0</v>
      </c>
      <c r="DB177" s="591">
        <v>165987893</v>
      </c>
      <c r="DC177" s="591">
        <v>0</v>
      </c>
      <c r="DD177" s="591">
        <v>0</v>
      </c>
      <c r="DE177" s="591">
        <v>44657505</v>
      </c>
      <c r="DF177" s="591">
        <v>44657505</v>
      </c>
      <c r="DG177" s="591">
        <v>7250.6750000000002</v>
      </c>
      <c r="DH177" s="591">
        <v>0</v>
      </c>
      <c r="DI177" s="591">
        <v>0</v>
      </c>
      <c r="DJ177" s="591">
        <v>0</v>
      </c>
      <c r="DK177" s="591">
        <v>0</v>
      </c>
      <c r="DL177" s="591">
        <v>0</v>
      </c>
      <c r="DM177" s="591">
        <v>17732394</v>
      </c>
      <c r="DN177" s="591">
        <v>67655</v>
      </c>
      <c r="DO177" s="591">
        <v>0</v>
      </c>
      <c r="DP177" s="591">
        <v>0</v>
      </c>
      <c r="DQ177" s="591">
        <v>0</v>
      </c>
      <c r="DR177" s="591">
        <v>0</v>
      </c>
      <c r="DS177" s="591">
        <v>0</v>
      </c>
      <c r="DT177" s="591">
        <v>0</v>
      </c>
      <c r="DU177" s="591">
        <v>0</v>
      </c>
      <c r="DV177" s="591">
        <v>0</v>
      </c>
      <c r="DW177" s="591">
        <v>0</v>
      </c>
      <c r="DX177" s="591">
        <v>0</v>
      </c>
      <c r="DY177" s="591">
        <v>0</v>
      </c>
      <c r="DZ177" s="591">
        <v>0</v>
      </c>
      <c r="EA177" s="591">
        <v>0.24300000000000002</v>
      </c>
      <c r="EB177" s="591">
        <v>0</v>
      </c>
      <c r="EC177" s="591">
        <v>856.48900000000003</v>
      </c>
      <c r="ED177" s="591">
        <v>6066464</v>
      </c>
      <c r="EE177" s="591">
        <v>0</v>
      </c>
      <c r="EF177" s="591">
        <v>0</v>
      </c>
      <c r="EG177" s="591">
        <v>1.885</v>
      </c>
      <c r="EH177" s="591">
        <v>11733585</v>
      </c>
      <c r="EI177" s="591">
        <v>0</v>
      </c>
      <c r="EJ177" s="591">
        <v>0</v>
      </c>
      <c r="EK177" s="591">
        <v>468.16</v>
      </c>
      <c r="EL177" s="591">
        <v>0.68500000000000005</v>
      </c>
      <c r="EM177" s="591">
        <v>89.364000000000004</v>
      </c>
      <c r="EN177" s="591">
        <v>45.242000000000004</v>
      </c>
      <c r="EO177" s="591">
        <v>0</v>
      </c>
      <c r="EP177" s="591">
        <v>0</v>
      </c>
      <c r="EQ177" s="591">
        <v>604.89400000000001</v>
      </c>
      <c r="ER177" s="591">
        <v>0</v>
      </c>
      <c r="ES177" s="591">
        <v>1905.087</v>
      </c>
      <c r="ET177" s="591">
        <v>0</v>
      </c>
      <c r="EU177" s="591">
        <v>0</v>
      </c>
      <c r="EV177" s="591">
        <v>0</v>
      </c>
      <c r="EW177" s="591">
        <v>0</v>
      </c>
      <c r="EX177" s="591">
        <v>0</v>
      </c>
      <c r="EY177" s="591">
        <v>0</v>
      </c>
      <c r="EZ177" s="591">
        <v>261139615</v>
      </c>
      <c r="FA177" s="591">
        <v>0</v>
      </c>
      <c r="FB177" s="591">
        <v>272423153</v>
      </c>
      <c r="FC177" s="591">
        <v>0</v>
      </c>
      <c r="FD177" s="591">
        <v>0</v>
      </c>
      <c r="FE177" s="591">
        <v>27998085</v>
      </c>
      <c r="FF177" s="591">
        <v>5710867</v>
      </c>
      <c r="FG177" s="591">
        <v>6.4728999999999995E-2</v>
      </c>
      <c r="FH177" s="591">
        <v>2.6405999999999999E-2</v>
      </c>
      <c r="FI177" s="591">
        <v>0</v>
      </c>
      <c r="FJ177" s="591">
        <v>0</v>
      </c>
      <c r="FK177" s="591">
        <v>43886.277000000002</v>
      </c>
      <c r="FL177" s="591">
        <v>311215353</v>
      </c>
      <c r="FM177" s="591">
        <v>0</v>
      </c>
      <c r="FN177" s="591">
        <v>0</v>
      </c>
      <c r="FO177" s="591">
        <v>1948358</v>
      </c>
      <c r="FP177" s="591">
        <v>164261</v>
      </c>
      <c r="FQ177" s="591">
        <v>2112619</v>
      </c>
      <c r="FR177" s="591">
        <v>1948358</v>
      </c>
      <c r="FS177" s="591">
        <v>0</v>
      </c>
      <c r="FT177" s="591">
        <v>0</v>
      </c>
      <c r="FU177" s="591">
        <v>0</v>
      </c>
      <c r="FV177" s="591">
        <v>0</v>
      </c>
      <c r="FW177" s="591">
        <v>0</v>
      </c>
      <c r="FX177" s="591">
        <v>0</v>
      </c>
      <c r="FY177" s="591">
        <v>0</v>
      </c>
      <c r="FZ177" s="591">
        <v>0</v>
      </c>
      <c r="GA177" s="591">
        <v>0</v>
      </c>
      <c r="GB177" s="591">
        <v>4128944</v>
      </c>
      <c r="GC177" s="591">
        <v>4128944</v>
      </c>
      <c r="GD177" s="591">
        <v>496.58</v>
      </c>
      <c r="GE177" s="591">
        <v>0</v>
      </c>
      <c r="GF177" s="591">
        <v>0</v>
      </c>
      <c r="GG177" s="591">
        <v>0</v>
      </c>
      <c r="GH177" s="591">
        <v>0</v>
      </c>
      <c r="GI177" s="591">
        <v>0</v>
      </c>
      <c r="GJ177" s="591">
        <v>0</v>
      </c>
      <c r="GK177" s="591">
        <v>0</v>
      </c>
      <c r="GL177" s="591">
        <v>0</v>
      </c>
      <c r="GM177" s="591">
        <v>0</v>
      </c>
      <c r="GN177" s="591">
        <v>0</v>
      </c>
      <c r="GO177" s="591">
        <v>0</v>
      </c>
      <c r="GP177" s="591">
        <v>0</v>
      </c>
      <c r="GQ177" s="591">
        <v>0</v>
      </c>
      <c r="GR177" s="591">
        <v>0</v>
      </c>
      <c r="GS177" s="591">
        <v>0</v>
      </c>
      <c r="GT177" s="591">
        <v>0</v>
      </c>
      <c r="GU177" s="591">
        <v>0</v>
      </c>
      <c r="GV177" s="591">
        <v>0</v>
      </c>
      <c r="GW177" s="591">
        <v>0</v>
      </c>
      <c r="GX177" s="591">
        <v>0</v>
      </c>
      <c r="GY177" s="591">
        <v>0</v>
      </c>
      <c r="GZ177" s="591">
        <v>0</v>
      </c>
      <c r="HA177" s="591">
        <v>0</v>
      </c>
      <c r="HB177" s="591">
        <v>260009272</v>
      </c>
      <c r="HC177" s="591">
        <v>5.1774999999999995E-2</v>
      </c>
      <c r="HD177" s="591">
        <v>5083248</v>
      </c>
      <c r="HE177" s="591">
        <v>0</v>
      </c>
      <c r="HF177" s="591">
        <v>29618161</v>
      </c>
      <c r="HG177" s="591">
        <v>107168</v>
      </c>
      <c r="HH177" s="591">
        <v>1561549</v>
      </c>
      <c r="HI177" s="591">
        <v>0</v>
      </c>
      <c r="HJ177" s="591">
        <v>272661</v>
      </c>
      <c r="HK177" s="591">
        <v>60576</v>
      </c>
      <c r="HL177" s="591">
        <v>22337</v>
      </c>
      <c r="HM177" s="591">
        <v>0</v>
      </c>
      <c r="HN177" s="591">
        <v>0</v>
      </c>
      <c r="HO177" s="591">
        <v>0</v>
      </c>
      <c r="HP177" s="591">
        <v>0</v>
      </c>
      <c r="HQ177" s="591">
        <v>0</v>
      </c>
      <c r="HR177" s="591">
        <v>0</v>
      </c>
      <c r="HS177" s="591">
        <v>261068040</v>
      </c>
      <c r="HT177" s="591">
        <v>0</v>
      </c>
      <c r="HU177" s="591">
        <v>0</v>
      </c>
      <c r="HV177" s="591">
        <v>0</v>
      </c>
      <c r="HW177" s="591">
        <v>0</v>
      </c>
      <c r="HX177" s="591">
        <v>2403</v>
      </c>
      <c r="HY177" s="591">
        <v>3929</v>
      </c>
      <c r="HZ177" s="591">
        <v>5067</v>
      </c>
      <c r="IA177" s="591">
        <v>7317</v>
      </c>
      <c r="IB177" s="591">
        <v>9416</v>
      </c>
      <c r="IC177" s="591">
        <v>28132</v>
      </c>
      <c r="ID177" s="591">
        <v>0</v>
      </c>
      <c r="IE177" s="591">
        <v>0</v>
      </c>
      <c r="IF177" s="591">
        <v>0</v>
      </c>
      <c r="IG177" s="591">
        <v>174</v>
      </c>
      <c r="IH177" s="591">
        <v>2535.36</v>
      </c>
      <c r="II177" s="591">
        <v>0</v>
      </c>
      <c r="IJ177" s="591">
        <v>10010.040000000001</v>
      </c>
      <c r="IK177" s="591">
        <v>0</v>
      </c>
      <c r="IL177" s="591">
        <v>0</v>
      </c>
      <c r="IM177" s="591">
        <v>0</v>
      </c>
      <c r="IN177" s="591">
        <v>0</v>
      </c>
      <c r="IO177" s="591">
        <v>0</v>
      </c>
      <c r="IP177" s="591">
        <v>0</v>
      </c>
      <c r="IQ177" s="591">
        <v>10010.040000000001</v>
      </c>
      <c r="IR177" s="591">
        <v>6165266</v>
      </c>
      <c r="IS177" s="591">
        <v>0</v>
      </c>
      <c r="IT177" s="591">
        <v>0</v>
      </c>
      <c r="IU177" s="591">
        <v>0</v>
      </c>
      <c r="IV177" s="591">
        <v>0</v>
      </c>
      <c r="IW177" s="591">
        <v>6159</v>
      </c>
      <c r="IX177" s="591">
        <v>0</v>
      </c>
      <c r="IY177" s="591">
        <v>0</v>
      </c>
      <c r="IZ177" s="591">
        <v>0</v>
      </c>
      <c r="JA177" s="591">
        <v>0</v>
      </c>
      <c r="JB177" s="591">
        <v>0</v>
      </c>
      <c r="JC177" s="591">
        <v>0</v>
      </c>
      <c r="JD177" s="591">
        <v>0</v>
      </c>
      <c r="JE177" s="591">
        <v>0</v>
      </c>
      <c r="JF177" s="591">
        <v>0</v>
      </c>
      <c r="JG177" s="591">
        <v>0</v>
      </c>
      <c r="JH177" s="591">
        <v>0</v>
      </c>
      <c r="JI177" s="591">
        <v>0</v>
      </c>
      <c r="JJ177" s="591">
        <v>0</v>
      </c>
      <c r="JK177" s="591">
        <v>0</v>
      </c>
      <c r="JL177" s="591">
        <v>0</v>
      </c>
      <c r="JM177" s="591">
        <v>0</v>
      </c>
      <c r="JN177" s="591">
        <v>32469</v>
      </c>
    </row>
    <row r="178" spans="1:274" x14ac:dyDescent="0.25">
      <c r="A178" s="591">
        <v>32570</v>
      </c>
      <c r="B178" s="591">
        <v>227821</v>
      </c>
      <c r="C178" s="591">
        <v>9</v>
      </c>
      <c r="D178" s="591">
        <v>2022</v>
      </c>
      <c r="E178" s="591">
        <v>6159</v>
      </c>
      <c r="F178" s="591">
        <v>0</v>
      </c>
      <c r="G178" s="591">
        <v>410.51800000000003</v>
      </c>
      <c r="H178" s="591">
        <v>393.32</v>
      </c>
      <c r="I178" s="591">
        <v>393.32</v>
      </c>
      <c r="J178" s="591">
        <v>410.51800000000003</v>
      </c>
      <c r="K178" s="591">
        <v>0</v>
      </c>
      <c r="L178" s="591">
        <v>6159</v>
      </c>
      <c r="M178" s="591">
        <v>0</v>
      </c>
      <c r="N178" s="591">
        <v>0</v>
      </c>
      <c r="O178" s="591">
        <v>0</v>
      </c>
      <c r="P178" s="591">
        <v>399.81900000000002</v>
      </c>
      <c r="Q178" s="591">
        <v>0</v>
      </c>
      <c r="R178" s="591">
        <v>160898</v>
      </c>
      <c r="S178" s="591">
        <v>402.428</v>
      </c>
      <c r="T178" s="591">
        <v>0</v>
      </c>
      <c r="U178" s="591">
        <v>0</v>
      </c>
      <c r="V178" s="591">
        <v>1.9690000000000001</v>
      </c>
      <c r="W178" s="591">
        <v>1213</v>
      </c>
      <c r="X178" s="591">
        <v>1213</v>
      </c>
      <c r="Y178" s="591">
        <v>0</v>
      </c>
      <c r="Z178" s="591">
        <v>0</v>
      </c>
      <c r="AA178" s="591">
        <v>0</v>
      </c>
      <c r="AB178" s="591">
        <v>0</v>
      </c>
      <c r="AC178" s="591">
        <v>0</v>
      </c>
      <c r="AD178" s="591" t="s">
        <v>316</v>
      </c>
      <c r="AE178" s="591">
        <v>0</v>
      </c>
      <c r="AF178" s="591">
        <v>0</v>
      </c>
      <c r="AG178" s="591">
        <v>0</v>
      </c>
      <c r="AH178" s="591">
        <v>0</v>
      </c>
      <c r="AI178" s="591">
        <v>0</v>
      </c>
      <c r="AJ178" s="591">
        <v>6159</v>
      </c>
      <c r="AK178" s="591" t="s">
        <v>671</v>
      </c>
      <c r="AL178" s="591" t="s">
        <v>68</v>
      </c>
      <c r="AM178" s="591">
        <v>0</v>
      </c>
      <c r="AN178" s="591">
        <v>0</v>
      </c>
      <c r="AO178" s="591">
        <v>0</v>
      </c>
      <c r="AP178" s="591">
        <v>0</v>
      </c>
      <c r="AQ178" s="591">
        <v>0</v>
      </c>
      <c r="AR178" s="591">
        <v>0</v>
      </c>
      <c r="AS178" s="591">
        <v>0</v>
      </c>
      <c r="AT178" s="591">
        <v>0</v>
      </c>
      <c r="AU178" s="591">
        <v>0</v>
      </c>
      <c r="AV178" s="591">
        <v>0</v>
      </c>
      <c r="AW178" s="591">
        <v>3765743</v>
      </c>
      <c r="AX178" s="591">
        <v>3692764</v>
      </c>
      <c r="AY178" s="591">
        <v>0</v>
      </c>
      <c r="AZ178" s="591">
        <v>160898</v>
      </c>
      <c r="BA178" s="591">
        <v>0</v>
      </c>
      <c r="BB178" s="591">
        <v>0</v>
      </c>
      <c r="BC178" s="591">
        <v>0</v>
      </c>
      <c r="BD178" s="591">
        <v>0</v>
      </c>
      <c r="BE178" s="591">
        <v>49</v>
      </c>
      <c r="BF178" s="591">
        <v>3426361</v>
      </c>
      <c r="BG178" s="591">
        <v>0</v>
      </c>
      <c r="BH178" s="591">
        <v>0</v>
      </c>
      <c r="BI178" s="591">
        <v>0</v>
      </c>
      <c r="BJ178" s="591">
        <v>12</v>
      </c>
      <c r="BK178" s="591">
        <v>0</v>
      </c>
      <c r="BL178" s="591">
        <v>0</v>
      </c>
      <c r="BM178" s="591">
        <v>0</v>
      </c>
      <c r="BN178" s="591">
        <v>0</v>
      </c>
      <c r="BO178" s="591">
        <v>0</v>
      </c>
      <c r="BP178" s="591">
        <v>0</v>
      </c>
      <c r="BQ178" s="591">
        <v>709</v>
      </c>
      <c r="BR178" s="591">
        <v>0</v>
      </c>
      <c r="BS178" s="591">
        <v>0</v>
      </c>
      <c r="BT178" s="591">
        <v>0</v>
      </c>
      <c r="BU178" s="591">
        <v>0</v>
      </c>
      <c r="BV178" s="591">
        <v>0</v>
      </c>
      <c r="BW178" s="591">
        <v>0</v>
      </c>
      <c r="BX178" s="591">
        <v>0</v>
      </c>
      <c r="BY178" s="591">
        <v>0</v>
      </c>
      <c r="BZ178" s="591">
        <v>0</v>
      </c>
      <c r="CA178" s="591">
        <v>0</v>
      </c>
      <c r="CB178" s="591">
        <v>0</v>
      </c>
      <c r="CC178" s="591">
        <v>0</v>
      </c>
      <c r="CD178" s="591">
        <v>0</v>
      </c>
      <c r="CE178" s="591">
        <v>0</v>
      </c>
      <c r="CF178" s="591">
        <v>0</v>
      </c>
      <c r="CG178" s="591">
        <v>0</v>
      </c>
      <c r="CH178" s="591">
        <v>74390</v>
      </c>
      <c r="CI178" s="591">
        <v>0</v>
      </c>
      <c r="CJ178" s="591">
        <v>4</v>
      </c>
      <c r="CK178" s="591">
        <v>0</v>
      </c>
      <c r="CL178" s="591">
        <v>0</v>
      </c>
      <c r="CM178" s="591">
        <v>0</v>
      </c>
      <c r="CN178" s="591">
        <v>0</v>
      </c>
      <c r="CO178" s="591">
        <v>1</v>
      </c>
      <c r="CP178" s="591">
        <v>0</v>
      </c>
      <c r="CQ178" s="591">
        <v>0</v>
      </c>
      <c r="CR178" s="591">
        <v>410.51800000000003</v>
      </c>
      <c r="CS178" s="591">
        <v>0</v>
      </c>
      <c r="CT178" s="591">
        <v>0</v>
      </c>
      <c r="CU178" s="591">
        <v>0</v>
      </c>
      <c r="CV178" s="591">
        <v>0</v>
      </c>
      <c r="CW178" s="591">
        <v>0</v>
      </c>
      <c r="CX178" s="591">
        <v>0</v>
      </c>
      <c r="CY178" s="591">
        <v>0</v>
      </c>
      <c r="CZ178" s="591">
        <v>0</v>
      </c>
      <c r="DA178" s="591">
        <v>0</v>
      </c>
      <c r="DB178" s="591">
        <v>2377793</v>
      </c>
      <c r="DC178" s="591">
        <v>0</v>
      </c>
      <c r="DD178" s="591">
        <v>0</v>
      </c>
      <c r="DE178" s="591">
        <v>122643</v>
      </c>
      <c r="DF178" s="591">
        <v>122643</v>
      </c>
      <c r="DG178" s="591">
        <v>19.913</v>
      </c>
      <c r="DH178" s="591">
        <v>0</v>
      </c>
      <c r="DI178" s="591">
        <v>0</v>
      </c>
      <c r="DJ178" s="591">
        <v>0</v>
      </c>
      <c r="DK178" s="591">
        <v>2973</v>
      </c>
      <c r="DL178" s="591">
        <v>0</v>
      </c>
      <c r="DM178" s="591">
        <v>401595</v>
      </c>
      <c r="DN178" s="591">
        <v>1362</v>
      </c>
      <c r="DO178" s="591">
        <v>0</v>
      </c>
      <c r="DP178" s="591">
        <v>0</v>
      </c>
      <c r="DQ178" s="591">
        <v>0</v>
      </c>
      <c r="DR178" s="591">
        <v>0</v>
      </c>
      <c r="DS178" s="591">
        <v>0</v>
      </c>
      <c r="DT178" s="591">
        <v>0</v>
      </c>
      <c r="DU178" s="591">
        <v>0</v>
      </c>
      <c r="DV178" s="591">
        <v>0</v>
      </c>
      <c r="DW178" s="591">
        <v>0</v>
      </c>
      <c r="DX178" s="591">
        <v>0</v>
      </c>
      <c r="DY178" s="591">
        <v>0</v>
      </c>
      <c r="DZ178" s="591">
        <v>0</v>
      </c>
      <c r="EA178" s="591">
        <v>0</v>
      </c>
      <c r="EB178" s="591">
        <v>0</v>
      </c>
      <c r="EC178" s="591">
        <v>4.7110000000000003</v>
      </c>
      <c r="ED178" s="591">
        <v>33368</v>
      </c>
      <c r="EE178" s="591">
        <v>0</v>
      </c>
      <c r="EF178" s="591">
        <v>0</v>
      </c>
      <c r="EG178" s="591">
        <v>0</v>
      </c>
      <c r="EH178" s="591">
        <v>324892</v>
      </c>
      <c r="EI178" s="591">
        <v>0</v>
      </c>
      <c r="EJ178" s="591">
        <v>0</v>
      </c>
      <c r="EK178" s="591">
        <v>15.657</v>
      </c>
      <c r="EL178" s="591">
        <v>0</v>
      </c>
      <c r="EM178" s="591">
        <v>0.96300000000000008</v>
      </c>
      <c r="EN178" s="591">
        <v>0.57800000000000007</v>
      </c>
      <c r="EO178" s="591">
        <v>0</v>
      </c>
      <c r="EP178" s="591">
        <v>0</v>
      </c>
      <c r="EQ178" s="591">
        <v>17.198</v>
      </c>
      <c r="ER178" s="591">
        <v>0</v>
      </c>
      <c r="ES178" s="591">
        <v>52.75</v>
      </c>
      <c r="ET178" s="591">
        <v>0</v>
      </c>
      <c r="EU178" s="591">
        <v>0</v>
      </c>
      <c r="EV178" s="591">
        <v>0</v>
      </c>
      <c r="EW178" s="591">
        <v>0</v>
      </c>
      <c r="EX178" s="591">
        <v>0</v>
      </c>
      <c r="EY178" s="591">
        <v>0</v>
      </c>
      <c r="EZ178" s="591">
        <v>3265463</v>
      </c>
      <c r="FA178" s="591">
        <v>0</v>
      </c>
      <c r="FB178" s="591">
        <v>3424950</v>
      </c>
      <c r="FC178" s="591">
        <v>0</v>
      </c>
      <c r="FD178" s="591">
        <v>0</v>
      </c>
      <c r="FE178" s="591">
        <v>354909</v>
      </c>
      <c r="FF178" s="591">
        <v>72392</v>
      </c>
      <c r="FG178" s="591">
        <v>6.4728999999999995E-2</v>
      </c>
      <c r="FH178" s="591">
        <v>2.6405999999999999E-2</v>
      </c>
      <c r="FI178" s="591">
        <v>0</v>
      </c>
      <c r="FJ178" s="591">
        <v>0</v>
      </c>
      <c r="FK178" s="591">
        <v>556.31000000000006</v>
      </c>
      <c r="FL178" s="591">
        <v>3926641</v>
      </c>
      <c r="FM178" s="591">
        <v>0</v>
      </c>
      <c r="FN178" s="591">
        <v>0</v>
      </c>
      <c r="FO178" s="591">
        <v>0</v>
      </c>
      <c r="FP178" s="591">
        <v>0</v>
      </c>
      <c r="FQ178" s="591">
        <v>0</v>
      </c>
      <c r="FR178" s="591">
        <v>0</v>
      </c>
      <c r="FS178" s="591">
        <v>0</v>
      </c>
      <c r="FT178" s="591">
        <v>0</v>
      </c>
      <c r="FU178" s="591">
        <v>0</v>
      </c>
      <c r="FV178" s="591">
        <v>0</v>
      </c>
      <c r="FW178" s="591">
        <v>0</v>
      </c>
      <c r="FX178" s="591">
        <v>0</v>
      </c>
      <c r="FY178" s="591">
        <v>0</v>
      </c>
      <c r="FZ178" s="591">
        <v>0</v>
      </c>
      <c r="GA178" s="591">
        <v>0</v>
      </c>
      <c r="GB178" s="591">
        <v>0</v>
      </c>
      <c r="GC178" s="591">
        <v>0</v>
      </c>
      <c r="GD178" s="591">
        <v>0</v>
      </c>
      <c r="GE178" s="591">
        <v>0</v>
      </c>
      <c r="GF178" s="591">
        <v>0</v>
      </c>
      <c r="GG178" s="591">
        <v>0</v>
      </c>
      <c r="GH178" s="591">
        <v>0</v>
      </c>
      <c r="GI178" s="591">
        <v>0</v>
      </c>
      <c r="GJ178" s="591">
        <v>0</v>
      </c>
      <c r="GK178" s="591">
        <v>0</v>
      </c>
      <c r="GL178" s="591">
        <v>0</v>
      </c>
      <c r="GM178" s="591">
        <v>0</v>
      </c>
      <c r="GN178" s="591">
        <v>0</v>
      </c>
      <c r="GO178" s="591">
        <v>0</v>
      </c>
      <c r="GP178" s="591">
        <v>0</v>
      </c>
      <c r="GQ178" s="591">
        <v>0</v>
      </c>
      <c r="GR178" s="591">
        <v>0</v>
      </c>
      <c r="GS178" s="591">
        <v>0</v>
      </c>
      <c r="GT178" s="591">
        <v>0</v>
      </c>
      <c r="GU178" s="591">
        <v>0</v>
      </c>
      <c r="GV178" s="591">
        <v>0</v>
      </c>
      <c r="GW178" s="591">
        <v>0</v>
      </c>
      <c r="GX178" s="591">
        <v>0</v>
      </c>
      <c r="GY178" s="591">
        <v>0</v>
      </c>
      <c r="GZ178" s="591">
        <v>0</v>
      </c>
      <c r="HA178" s="591">
        <v>0</v>
      </c>
      <c r="HB178" s="591">
        <v>260009272</v>
      </c>
      <c r="HC178" s="591">
        <v>5.1774999999999995E-2</v>
      </c>
      <c r="HD178" s="591">
        <v>74390</v>
      </c>
      <c r="HE178" s="591">
        <v>0</v>
      </c>
      <c r="HF178" s="591">
        <v>432259</v>
      </c>
      <c r="HG178" s="591">
        <v>28227</v>
      </c>
      <c r="HH178" s="591">
        <v>57279</v>
      </c>
      <c r="HI178" s="591">
        <v>0</v>
      </c>
      <c r="HJ178" s="591">
        <v>3990</v>
      </c>
      <c r="HK178" s="591">
        <v>0</v>
      </c>
      <c r="HL178" s="591">
        <v>0</v>
      </c>
      <c r="HM178" s="591">
        <v>0</v>
      </c>
      <c r="HN178" s="591">
        <v>0</v>
      </c>
      <c r="HO178" s="591">
        <v>0</v>
      </c>
      <c r="HP178" s="591">
        <v>0</v>
      </c>
      <c r="HQ178" s="591">
        <v>0</v>
      </c>
      <c r="HR178" s="591">
        <v>0</v>
      </c>
      <c r="HS178" s="591">
        <v>3264052</v>
      </c>
      <c r="HT178" s="591">
        <v>0</v>
      </c>
      <c r="HU178" s="591">
        <v>0</v>
      </c>
      <c r="HV178" s="591">
        <v>0</v>
      </c>
      <c r="HW178" s="591">
        <v>0</v>
      </c>
      <c r="HX178" s="591">
        <v>35</v>
      </c>
      <c r="HY178" s="591">
        <v>20</v>
      </c>
      <c r="HZ178" s="591">
        <v>12</v>
      </c>
      <c r="IA178" s="591">
        <v>9</v>
      </c>
      <c r="IB178" s="591">
        <v>7</v>
      </c>
      <c r="IC178" s="591">
        <v>83</v>
      </c>
      <c r="ID178" s="591">
        <v>0</v>
      </c>
      <c r="IE178" s="591">
        <v>0</v>
      </c>
      <c r="IF178" s="591">
        <v>0</v>
      </c>
      <c r="IG178" s="591">
        <v>45.83</v>
      </c>
      <c r="IH178" s="591">
        <v>93</v>
      </c>
      <c r="II178" s="591">
        <v>0</v>
      </c>
      <c r="IJ178" s="591">
        <v>1.9690000000000001</v>
      </c>
      <c r="IK178" s="591">
        <v>0</v>
      </c>
      <c r="IL178" s="591">
        <v>0</v>
      </c>
      <c r="IM178" s="591">
        <v>0</v>
      </c>
      <c r="IN178" s="591">
        <v>0</v>
      </c>
      <c r="IO178" s="591">
        <v>0</v>
      </c>
      <c r="IP178" s="591">
        <v>0</v>
      </c>
      <c r="IQ178" s="591">
        <v>1.9690000000000001</v>
      </c>
      <c r="IR178" s="591">
        <v>1213</v>
      </c>
      <c r="IS178" s="591">
        <v>0</v>
      </c>
      <c r="IT178" s="591">
        <v>0</v>
      </c>
      <c r="IU178" s="591">
        <v>0</v>
      </c>
      <c r="IV178" s="591">
        <v>0</v>
      </c>
      <c r="IW178" s="591">
        <v>6159</v>
      </c>
      <c r="IX178" s="591">
        <v>0</v>
      </c>
      <c r="IY178" s="591">
        <v>0</v>
      </c>
      <c r="IZ178" s="591">
        <v>0</v>
      </c>
      <c r="JA178" s="591">
        <v>0</v>
      </c>
      <c r="JB178" s="591">
        <v>0</v>
      </c>
      <c r="JC178" s="591">
        <v>0</v>
      </c>
      <c r="JD178" s="591">
        <v>0</v>
      </c>
      <c r="JE178" s="591">
        <v>0</v>
      </c>
      <c r="JF178" s="591">
        <v>0</v>
      </c>
      <c r="JG178" s="591">
        <v>0</v>
      </c>
      <c r="JH178" s="591">
        <v>0</v>
      </c>
      <c r="JI178" s="591">
        <v>0</v>
      </c>
      <c r="JJ178" s="591">
        <v>0</v>
      </c>
      <c r="JK178" s="591">
        <v>0</v>
      </c>
      <c r="JL178" s="591">
        <v>0</v>
      </c>
      <c r="JM178" s="591">
        <v>0</v>
      </c>
      <c r="JN178" s="591">
        <v>32469</v>
      </c>
    </row>
    <row r="179" spans="1:274" x14ac:dyDescent="0.25">
      <c r="A179" s="591">
        <v>32570</v>
      </c>
      <c r="B179" s="591">
        <v>227824</v>
      </c>
      <c r="C179" s="591">
        <v>9</v>
      </c>
      <c r="D179" s="591">
        <v>2022</v>
      </c>
      <c r="E179" s="591">
        <v>6159</v>
      </c>
      <c r="F179" s="591">
        <v>0</v>
      </c>
      <c r="G179" s="591">
        <v>823.21</v>
      </c>
      <c r="H179" s="591">
        <v>815.26700000000005</v>
      </c>
      <c r="I179" s="591">
        <v>815.26700000000005</v>
      </c>
      <c r="J179" s="591">
        <v>823.21</v>
      </c>
      <c r="K179" s="591">
        <v>0</v>
      </c>
      <c r="L179" s="591">
        <v>6159</v>
      </c>
      <c r="M179" s="591">
        <v>0</v>
      </c>
      <c r="N179" s="591">
        <v>0</v>
      </c>
      <c r="O179" s="591">
        <v>0</v>
      </c>
      <c r="P179" s="591">
        <v>802.31500000000005</v>
      </c>
      <c r="Q179" s="591">
        <v>0</v>
      </c>
      <c r="R179" s="591">
        <v>322874</v>
      </c>
      <c r="S179" s="591">
        <v>402.428</v>
      </c>
      <c r="T179" s="591">
        <v>0</v>
      </c>
      <c r="U179" s="591">
        <v>0</v>
      </c>
      <c r="V179" s="591">
        <v>257.51300000000003</v>
      </c>
      <c r="W179" s="591">
        <v>158604</v>
      </c>
      <c r="X179" s="591">
        <v>158604</v>
      </c>
      <c r="Y179" s="591">
        <v>0</v>
      </c>
      <c r="Z179" s="591">
        <v>0</v>
      </c>
      <c r="AA179" s="591">
        <v>0</v>
      </c>
      <c r="AB179" s="591">
        <v>0</v>
      </c>
      <c r="AC179" s="591">
        <v>0</v>
      </c>
      <c r="AD179" s="591" t="s">
        <v>316</v>
      </c>
      <c r="AE179" s="591">
        <v>0</v>
      </c>
      <c r="AF179" s="591">
        <v>0</v>
      </c>
      <c r="AG179" s="591">
        <v>0</v>
      </c>
      <c r="AH179" s="591">
        <v>0</v>
      </c>
      <c r="AI179" s="591">
        <v>0</v>
      </c>
      <c r="AJ179" s="591">
        <v>6159</v>
      </c>
      <c r="AK179" s="591" t="s">
        <v>671</v>
      </c>
      <c r="AL179" s="591" t="s">
        <v>449</v>
      </c>
      <c r="AM179" s="591">
        <v>0</v>
      </c>
      <c r="AN179" s="591">
        <v>0</v>
      </c>
      <c r="AO179" s="591">
        <v>0</v>
      </c>
      <c r="AP179" s="591">
        <v>0</v>
      </c>
      <c r="AQ179" s="591">
        <v>0</v>
      </c>
      <c r="AR179" s="591">
        <v>0</v>
      </c>
      <c r="AS179" s="591">
        <v>0</v>
      </c>
      <c r="AT179" s="591">
        <v>0</v>
      </c>
      <c r="AU179" s="591">
        <v>0</v>
      </c>
      <c r="AV179" s="591">
        <v>0</v>
      </c>
      <c r="AW179" s="591">
        <v>8947541</v>
      </c>
      <c r="AX179" s="591">
        <v>8799859</v>
      </c>
      <c r="AY179" s="591">
        <v>0</v>
      </c>
      <c r="AZ179" s="591">
        <v>322874</v>
      </c>
      <c r="BA179" s="591">
        <v>0</v>
      </c>
      <c r="BB179" s="591">
        <v>0</v>
      </c>
      <c r="BC179" s="591">
        <v>0</v>
      </c>
      <c r="BD179" s="591">
        <v>0</v>
      </c>
      <c r="BE179" s="591">
        <v>117</v>
      </c>
      <c r="BF179" s="591">
        <v>7968996</v>
      </c>
      <c r="BG179" s="591">
        <v>0</v>
      </c>
      <c r="BH179" s="591">
        <v>0</v>
      </c>
      <c r="BI179" s="591">
        <v>0</v>
      </c>
      <c r="BJ179" s="591">
        <v>12</v>
      </c>
      <c r="BK179" s="591">
        <v>0</v>
      </c>
      <c r="BL179" s="591">
        <v>0</v>
      </c>
      <c r="BM179" s="591">
        <v>0</v>
      </c>
      <c r="BN179" s="591">
        <v>0</v>
      </c>
      <c r="BO179" s="591">
        <v>0</v>
      </c>
      <c r="BP179" s="591">
        <v>0</v>
      </c>
      <c r="BQ179" s="591">
        <v>644</v>
      </c>
      <c r="BR179" s="591">
        <v>0</v>
      </c>
      <c r="BS179" s="591">
        <v>0</v>
      </c>
      <c r="BT179" s="591">
        <v>0</v>
      </c>
      <c r="BU179" s="591">
        <v>0</v>
      </c>
      <c r="BV179" s="591">
        <v>0</v>
      </c>
      <c r="BW179" s="591">
        <v>0</v>
      </c>
      <c r="BX179" s="591">
        <v>0</v>
      </c>
      <c r="BY179" s="591">
        <v>0</v>
      </c>
      <c r="BZ179" s="591">
        <v>0</v>
      </c>
      <c r="CA179" s="591">
        <v>0</v>
      </c>
      <c r="CB179" s="591">
        <v>0</v>
      </c>
      <c r="CC179" s="591">
        <v>0</v>
      </c>
      <c r="CD179" s="591">
        <v>0</v>
      </c>
      <c r="CE179" s="591">
        <v>0</v>
      </c>
      <c r="CF179" s="591">
        <v>0</v>
      </c>
      <c r="CG179" s="591">
        <v>0</v>
      </c>
      <c r="CH179" s="591">
        <v>149175</v>
      </c>
      <c r="CI179" s="591">
        <v>0</v>
      </c>
      <c r="CJ179" s="591">
        <v>4</v>
      </c>
      <c r="CK179" s="591">
        <v>0</v>
      </c>
      <c r="CL179" s="591">
        <v>0</v>
      </c>
      <c r="CM179" s="591">
        <v>0</v>
      </c>
      <c r="CN179" s="591">
        <v>0</v>
      </c>
      <c r="CO179" s="591">
        <v>1</v>
      </c>
      <c r="CP179" s="591">
        <v>0</v>
      </c>
      <c r="CQ179" s="591">
        <v>0</v>
      </c>
      <c r="CR179" s="591">
        <v>823.21</v>
      </c>
      <c r="CS179" s="591">
        <v>0</v>
      </c>
      <c r="CT179" s="591">
        <v>0</v>
      </c>
      <c r="CU179" s="591">
        <v>0</v>
      </c>
      <c r="CV179" s="591">
        <v>0</v>
      </c>
      <c r="CW179" s="591">
        <v>0</v>
      </c>
      <c r="CX179" s="591">
        <v>0</v>
      </c>
      <c r="CY179" s="591">
        <v>0</v>
      </c>
      <c r="CZ179" s="591">
        <v>0</v>
      </c>
      <c r="DA179" s="591">
        <v>0</v>
      </c>
      <c r="DB179" s="591">
        <v>5021297</v>
      </c>
      <c r="DC179" s="591">
        <v>0</v>
      </c>
      <c r="DD179" s="591">
        <v>0</v>
      </c>
      <c r="DE179" s="591">
        <v>1447384</v>
      </c>
      <c r="DF179" s="591">
        <v>1447384</v>
      </c>
      <c r="DG179" s="591">
        <v>235</v>
      </c>
      <c r="DH179" s="591">
        <v>0</v>
      </c>
      <c r="DI179" s="591">
        <v>0</v>
      </c>
      <c r="DJ179" s="591">
        <v>0</v>
      </c>
      <c r="DK179" s="591">
        <v>1933</v>
      </c>
      <c r="DL179" s="591">
        <v>0</v>
      </c>
      <c r="DM179" s="591">
        <v>360544</v>
      </c>
      <c r="DN179" s="591">
        <v>1376</v>
      </c>
      <c r="DO179" s="591">
        <v>0</v>
      </c>
      <c r="DP179" s="591">
        <v>0</v>
      </c>
      <c r="DQ179" s="591">
        <v>0</v>
      </c>
      <c r="DR179" s="591">
        <v>0</v>
      </c>
      <c r="DS179" s="591">
        <v>0</v>
      </c>
      <c r="DT179" s="591">
        <v>0</v>
      </c>
      <c r="DU179" s="591">
        <v>0</v>
      </c>
      <c r="DV179" s="591">
        <v>0</v>
      </c>
      <c r="DW179" s="591">
        <v>0</v>
      </c>
      <c r="DX179" s="591">
        <v>0</v>
      </c>
      <c r="DY179" s="591">
        <v>0</v>
      </c>
      <c r="DZ179" s="591">
        <v>0</v>
      </c>
      <c r="EA179" s="591">
        <v>0</v>
      </c>
      <c r="EB179" s="591">
        <v>0</v>
      </c>
      <c r="EC179" s="591">
        <v>27.133000000000003</v>
      </c>
      <c r="ED179" s="591">
        <v>192182</v>
      </c>
      <c r="EE179" s="591">
        <v>0</v>
      </c>
      <c r="EF179" s="591">
        <v>0</v>
      </c>
      <c r="EG179" s="591">
        <v>0</v>
      </c>
      <c r="EH179" s="591">
        <v>169738</v>
      </c>
      <c r="EI179" s="591">
        <v>0</v>
      </c>
      <c r="EJ179" s="591">
        <v>0</v>
      </c>
      <c r="EK179" s="591">
        <v>6.0780000000000003</v>
      </c>
      <c r="EL179" s="591">
        <v>0</v>
      </c>
      <c r="EM179" s="591">
        <v>0</v>
      </c>
      <c r="EN179" s="591">
        <v>1.865</v>
      </c>
      <c r="EO179" s="591">
        <v>0</v>
      </c>
      <c r="EP179" s="591">
        <v>0</v>
      </c>
      <c r="EQ179" s="591">
        <v>7.9430000000000005</v>
      </c>
      <c r="ER179" s="591">
        <v>0</v>
      </c>
      <c r="ES179" s="591">
        <v>27.559000000000001</v>
      </c>
      <c r="ET179" s="591">
        <v>0</v>
      </c>
      <c r="EU179" s="591">
        <v>0</v>
      </c>
      <c r="EV179" s="591">
        <v>0</v>
      </c>
      <c r="EW179" s="591">
        <v>0</v>
      </c>
      <c r="EX179" s="591">
        <v>0</v>
      </c>
      <c r="EY179" s="591">
        <v>0</v>
      </c>
      <c r="EZ179" s="591">
        <v>7806047</v>
      </c>
      <c r="FA179" s="591">
        <v>0</v>
      </c>
      <c r="FB179" s="591">
        <v>8127428</v>
      </c>
      <c r="FC179" s="591">
        <v>0</v>
      </c>
      <c r="FD179" s="591">
        <v>0</v>
      </c>
      <c r="FE179" s="591">
        <v>825443</v>
      </c>
      <c r="FF179" s="591">
        <v>168369</v>
      </c>
      <c r="FG179" s="591">
        <v>6.4728999999999995E-2</v>
      </c>
      <c r="FH179" s="591">
        <v>2.6405999999999999E-2</v>
      </c>
      <c r="FI179" s="591">
        <v>0</v>
      </c>
      <c r="FJ179" s="591">
        <v>0</v>
      </c>
      <c r="FK179" s="591">
        <v>1293.8610000000001</v>
      </c>
      <c r="FL179" s="591">
        <v>9270415</v>
      </c>
      <c r="FM179" s="591">
        <v>0</v>
      </c>
      <c r="FN179" s="591">
        <v>0</v>
      </c>
      <c r="FO179" s="591">
        <v>157482</v>
      </c>
      <c r="FP179" s="591">
        <v>0</v>
      </c>
      <c r="FQ179" s="591">
        <v>157482</v>
      </c>
      <c r="FR179" s="591">
        <v>157482</v>
      </c>
      <c r="FS179" s="591">
        <v>0</v>
      </c>
      <c r="FT179" s="591">
        <v>0</v>
      </c>
      <c r="FU179" s="591">
        <v>0</v>
      </c>
      <c r="FV179" s="591">
        <v>0</v>
      </c>
      <c r="FW179" s="591">
        <v>0</v>
      </c>
      <c r="FX179" s="591">
        <v>0</v>
      </c>
      <c r="FY179" s="591">
        <v>0</v>
      </c>
      <c r="FZ179" s="591">
        <v>0</v>
      </c>
      <c r="GA179" s="591">
        <v>0</v>
      </c>
      <c r="GB179" s="591">
        <v>0</v>
      </c>
      <c r="GC179" s="591">
        <v>0</v>
      </c>
      <c r="GD179" s="591">
        <v>0</v>
      </c>
      <c r="GE179" s="591">
        <v>0</v>
      </c>
      <c r="GF179" s="591">
        <v>0</v>
      </c>
      <c r="GG179" s="591">
        <v>0</v>
      </c>
      <c r="GH179" s="591">
        <v>0</v>
      </c>
      <c r="GI179" s="591">
        <v>0</v>
      </c>
      <c r="GJ179" s="591">
        <v>0</v>
      </c>
      <c r="GK179" s="591">
        <v>0</v>
      </c>
      <c r="GL179" s="591">
        <v>0</v>
      </c>
      <c r="GM179" s="591">
        <v>0</v>
      </c>
      <c r="GN179" s="591">
        <v>0</v>
      </c>
      <c r="GO179" s="591">
        <v>0</v>
      </c>
      <c r="GP179" s="591">
        <v>0</v>
      </c>
      <c r="GQ179" s="591">
        <v>0</v>
      </c>
      <c r="GR179" s="591">
        <v>0</v>
      </c>
      <c r="GS179" s="591">
        <v>0</v>
      </c>
      <c r="GT179" s="591">
        <v>0</v>
      </c>
      <c r="GU179" s="591">
        <v>0</v>
      </c>
      <c r="GV179" s="591">
        <v>0</v>
      </c>
      <c r="GW179" s="591">
        <v>0</v>
      </c>
      <c r="GX179" s="591">
        <v>0</v>
      </c>
      <c r="GY179" s="591">
        <v>0</v>
      </c>
      <c r="GZ179" s="591">
        <v>0</v>
      </c>
      <c r="HA179" s="591">
        <v>0</v>
      </c>
      <c r="HB179" s="591">
        <v>260009272</v>
      </c>
      <c r="HC179" s="591">
        <v>5.1774999999999995E-2</v>
      </c>
      <c r="HD179" s="591">
        <v>149175</v>
      </c>
      <c r="HE179" s="591">
        <v>0</v>
      </c>
      <c r="HF179" s="591">
        <v>895978</v>
      </c>
      <c r="HG179" s="591">
        <v>13472</v>
      </c>
      <c r="HH179" s="591">
        <v>36339</v>
      </c>
      <c r="HI179" s="591">
        <v>0</v>
      </c>
      <c r="HJ179" s="591">
        <v>8002</v>
      </c>
      <c r="HK179" s="591">
        <v>2161</v>
      </c>
      <c r="HL179" s="591">
        <v>282</v>
      </c>
      <c r="HM179" s="591">
        <v>26000</v>
      </c>
      <c r="HN179" s="591">
        <v>0</v>
      </c>
      <c r="HO179" s="591">
        <v>0</v>
      </c>
      <c r="HP179" s="591">
        <v>0</v>
      </c>
      <c r="HQ179" s="591">
        <v>0</v>
      </c>
      <c r="HR179" s="591">
        <v>0</v>
      </c>
      <c r="HS179" s="591">
        <v>7804554</v>
      </c>
      <c r="HT179" s="591">
        <v>0</v>
      </c>
      <c r="HU179" s="591">
        <v>0</v>
      </c>
      <c r="HV179" s="591">
        <v>0</v>
      </c>
      <c r="HW179" s="591">
        <v>0</v>
      </c>
      <c r="HX179" s="591">
        <v>70</v>
      </c>
      <c r="HY179" s="591">
        <v>185</v>
      </c>
      <c r="HZ179" s="591">
        <v>179</v>
      </c>
      <c r="IA179" s="591">
        <v>225</v>
      </c>
      <c r="IB179" s="591">
        <v>260</v>
      </c>
      <c r="IC179" s="591">
        <v>919</v>
      </c>
      <c r="ID179" s="591">
        <v>0</v>
      </c>
      <c r="IE179" s="591">
        <v>0</v>
      </c>
      <c r="IF179" s="591">
        <v>0</v>
      </c>
      <c r="IG179" s="591">
        <v>21.874000000000002</v>
      </c>
      <c r="IH179" s="591">
        <v>59</v>
      </c>
      <c r="II179" s="591">
        <v>0</v>
      </c>
      <c r="IJ179" s="591">
        <v>257.51300000000003</v>
      </c>
      <c r="IK179" s="591">
        <v>0</v>
      </c>
      <c r="IL179" s="591">
        <v>4</v>
      </c>
      <c r="IM179" s="591">
        <v>2</v>
      </c>
      <c r="IN179" s="591">
        <v>0</v>
      </c>
      <c r="IO179" s="591">
        <v>6</v>
      </c>
      <c r="IP179" s="591">
        <v>0</v>
      </c>
      <c r="IQ179" s="591">
        <v>257.51300000000003</v>
      </c>
      <c r="IR179" s="591">
        <v>158604</v>
      </c>
      <c r="IS179" s="591">
        <v>0</v>
      </c>
      <c r="IT179" s="591">
        <v>20000</v>
      </c>
      <c r="IU179" s="591">
        <v>6000</v>
      </c>
      <c r="IV179" s="591">
        <v>0</v>
      </c>
      <c r="IW179" s="591">
        <v>6159</v>
      </c>
      <c r="IX179" s="591">
        <v>0</v>
      </c>
      <c r="IY179" s="591">
        <v>0</v>
      </c>
      <c r="IZ179" s="591">
        <v>0</v>
      </c>
      <c r="JA179" s="591">
        <v>0</v>
      </c>
      <c r="JB179" s="591">
        <v>0</v>
      </c>
      <c r="JC179" s="591">
        <v>0</v>
      </c>
      <c r="JD179" s="591">
        <v>0</v>
      </c>
      <c r="JE179" s="591">
        <v>0</v>
      </c>
      <c r="JF179" s="591">
        <v>0</v>
      </c>
      <c r="JG179" s="591">
        <v>0</v>
      </c>
      <c r="JH179" s="591">
        <v>0</v>
      </c>
      <c r="JI179" s="591">
        <v>0</v>
      </c>
      <c r="JJ179" s="591">
        <v>0</v>
      </c>
      <c r="JK179" s="591">
        <v>0</v>
      </c>
      <c r="JL179" s="591">
        <v>0</v>
      </c>
      <c r="JM179" s="591">
        <v>0</v>
      </c>
      <c r="JN179" s="591">
        <v>32469</v>
      </c>
    </row>
    <row r="180" spans="1:274" x14ac:dyDescent="0.25">
      <c r="A180" s="591">
        <v>32570</v>
      </c>
      <c r="B180" s="591">
        <v>227825</v>
      </c>
      <c r="C180" s="591">
        <v>9</v>
      </c>
      <c r="D180" s="591">
        <v>2022</v>
      </c>
      <c r="E180" s="591">
        <v>6159</v>
      </c>
      <c r="F180" s="591">
        <v>0</v>
      </c>
      <c r="G180" s="591">
        <v>1859.5630000000001</v>
      </c>
      <c r="H180" s="591">
        <v>1778.4850000000001</v>
      </c>
      <c r="I180" s="591">
        <v>1778.4850000000001</v>
      </c>
      <c r="J180" s="591">
        <v>1859.5630000000001</v>
      </c>
      <c r="K180" s="591">
        <v>0</v>
      </c>
      <c r="L180" s="591">
        <v>6159</v>
      </c>
      <c r="M180" s="591">
        <v>0</v>
      </c>
      <c r="N180" s="591">
        <v>0</v>
      </c>
      <c r="O180" s="591">
        <v>0</v>
      </c>
      <c r="P180" s="591">
        <v>1984.567</v>
      </c>
      <c r="Q180" s="591">
        <v>0</v>
      </c>
      <c r="R180" s="591">
        <v>798645</v>
      </c>
      <c r="S180" s="591">
        <v>402.428</v>
      </c>
      <c r="T180" s="591">
        <v>0</v>
      </c>
      <c r="U180" s="591">
        <v>0</v>
      </c>
      <c r="V180" s="591">
        <v>988.93200000000002</v>
      </c>
      <c r="W180" s="591">
        <v>609091</v>
      </c>
      <c r="X180" s="591">
        <v>609091</v>
      </c>
      <c r="Y180" s="591">
        <v>0</v>
      </c>
      <c r="Z180" s="591">
        <v>0</v>
      </c>
      <c r="AA180" s="591">
        <v>0</v>
      </c>
      <c r="AB180" s="591">
        <v>0</v>
      </c>
      <c r="AC180" s="591">
        <v>0</v>
      </c>
      <c r="AD180" s="591" t="s">
        <v>316</v>
      </c>
      <c r="AE180" s="591">
        <v>0</v>
      </c>
      <c r="AF180" s="591">
        <v>0</v>
      </c>
      <c r="AG180" s="591">
        <v>0</v>
      </c>
      <c r="AH180" s="591">
        <v>0</v>
      </c>
      <c r="AI180" s="591">
        <v>0</v>
      </c>
      <c r="AJ180" s="591">
        <v>6159</v>
      </c>
      <c r="AK180" s="591" t="s">
        <v>671</v>
      </c>
      <c r="AL180" s="591" t="s">
        <v>120</v>
      </c>
      <c r="AM180" s="591">
        <v>0</v>
      </c>
      <c r="AN180" s="591">
        <v>0</v>
      </c>
      <c r="AO180" s="591">
        <v>0</v>
      </c>
      <c r="AP180" s="591">
        <v>0</v>
      </c>
      <c r="AQ180" s="591">
        <v>0</v>
      </c>
      <c r="AR180" s="591">
        <v>0</v>
      </c>
      <c r="AS180" s="591">
        <v>0</v>
      </c>
      <c r="AT180" s="591">
        <v>0</v>
      </c>
      <c r="AU180" s="591">
        <v>0</v>
      </c>
      <c r="AV180" s="591">
        <v>0</v>
      </c>
      <c r="AW180" s="591">
        <v>20884883</v>
      </c>
      <c r="AX180" s="591">
        <v>20553459</v>
      </c>
      <c r="AY180" s="591">
        <v>0</v>
      </c>
      <c r="AZ180" s="591">
        <v>798645</v>
      </c>
      <c r="BA180" s="591">
        <v>0</v>
      </c>
      <c r="BB180" s="591">
        <v>0</v>
      </c>
      <c r="BC180" s="591">
        <v>0</v>
      </c>
      <c r="BD180" s="591">
        <v>0</v>
      </c>
      <c r="BE180" s="591">
        <v>273</v>
      </c>
      <c r="BF180" s="591">
        <v>18837771</v>
      </c>
      <c r="BG180" s="591">
        <v>0</v>
      </c>
      <c r="BH180" s="591">
        <v>0</v>
      </c>
      <c r="BI180" s="591">
        <v>0</v>
      </c>
      <c r="BJ180" s="591">
        <v>12</v>
      </c>
      <c r="BK180" s="591">
        <v>0</v>
      </c>
      <c r="BL180" s="591">
        <v>0</v>
      </c>
      <c r="BM180" s="591">
        <v>0</v>
      </c>
      <c r="BN180" s="591">
        <v>0</v>
      </c>
      <c r="BO180" s="591">
        <v>0</v>
      </c>
      <c r="BP180" s="591">
        <v>0</v>
      </c>
      <c r="BQ180" s="591">
        <v>496</v>
      </c>
      <c r="BR180" s="591">
        <v>0</v>
      </c>
      <c r="BS180" s="591">
        <v>0</v>
      </c>
      <c r="BT180" s="591">
        <v>0</v>
      </c>
      <c r="BU180" s="591">
        <v>0</v>
      </c>
      <c r="BV180" s="591">
        <v>0</v>
      </c>
      <c r="BW180" s="591">
        <v>0</v>
      </c>
      <c r="BX180" s="591">
        <v>0</v>
      </c>
      <c r="BY180" s="591">
        <v>0</v>
      </c>
      <c r="BZ180" s="591">
        <v>0</v>
      </c>
      <c r="CA180" s="591">
        <v>0</v>
      </c>
      <c r="CB180" s="591">
        <v>0</v>
      </c>
      <c r="CC180" s="591">
        <v>0</v>
      </c>
      <c r="CD180" s="591">
        <v>0</v>
      </c>
      <c r="CE180" s="591">
        <v>0</v>
      </c>
      <c r="CF180" s="591">
        <v>0</v>
      </c>
      <c r="CG180" s="591">
        <v>0</v>
      </c>
      <c r="CH180" s="591">
        <v>336973</v>
      </c>
      <c r="CI180" s="591">
        <v>0</v>
      </c>
      <c r="CJ180" s="591">
        <v>4</v>
      </c>
      <c r="CK180" s="591">
        <v>0</v>
      </c>
      <c r="CL180" s="591">
        <v>0</v>
      </c>
      <c r="CM180" s="591">
        <v>0</v>
      </c>
      <c r="CN180" s="591">
        <v>0</v>
      </c>
      <c r="CO180" s="591">
        <v>1</v>
      </c>
      <c r="CP180" s="591">
        <v>0.188</v>
      </c>
      <c r="CQ180" s="591">
        <v>0</v>
      </c>
      <c r="CR180" s="591">
        <v>1859.5630000000001</v>
      </c>
      <c r="CS180" s="591">
        <v>0</v>
      </c>
      <c r="CT180" s="591">
        <v>0</v>
      </c>
      <c r="CU180" s="591">
        <v>0</v>
      </c>
      <c r="CV180" s="591">
        <v>0</v>
      </c>
      <c r="CW180" s="591">
        <v>0</v>
      </c>
      <c r="CX180" s="591">
        <v>0</v>
      </c>
      <c r="CY180" s="591">
        <v>0</v>
      </c>
      <c r="CZ180" s="591">
        <v>0</v>
      </c>
      <c r="DA180" s="591">
        <v>0</v>
      </c>
      <c r="DB180" s="591">
        <v>10953836</v>
      </c>
      <c r="DC180" s="591">
        <v>0</v>
      </c>
      <c r="DD180" s="591">
        <v>0</v>
      </c>
      <c r="DE180" s="591">
        <v>3164537</v>
      </c>
      <c r="DF180" s="591">
        <v>3167328</v>
      </c>
      <c r="DG180" s="591">
        <v>513.79999999999995</v>
      </c>
      <c r="DH180" s="591">
        <v>0</v>
      </c>
      <c r="DI180" s="591">
        <v>2791</v>
      </c>
      <c r="DJ180" s="591">
        <v>0</v>
      </c>
      <c r="DK180" s="591">
        <v>0</v>
      </c>
      <c r="DL180" s="591">
        <v>0</v>
      </c>
      <c r="DM180" s="591">
        <v>1382865</v>
      </c>
      <c r="DN180" s="591">
        <v>5276</v>
      </c>
      <c r="DO180" s="591">
        <v>0</v>
      </c>
      <c r="DP180" s="591">
        <v>0</v>
      </c>
      <c r="DQ180" s="591">
        <v>0</v>
      </c>
      <c r="DR180" s="591">
        <v>0</v>
      </c>
      <c r="DS180" s="591">
        <v>0</v>
      </c>
      <c r="DT180" s="591">
        <v>0</v>
      </c>
      <c r="DU180" s="591">
        <v>0</v>
      </c>
      <c r="DV180" s="591">
        <v>0</v>
      </c>
      <c r="DW180" s="591">
        <v>0</v>
      </c>
      <c r="DX180" s="591">
        <v>0</v>
      </c>
      <c r="DY180" s="591">
        <v>0</v>
      </c>
      <c r="DZ180" s="591">
        <v>0</v>
      </c>
      <c r="EA180" s="591">
        <v>0</v>
      </c>
      <c r="EB180" s="591">
        <v>0</v>
      </c>
      <c r="EC180" s="591">
        <v>95.3</v>
      </c>
      <c r="ED180" s="591">
        <v>675005</v>
      </c>
      <c r="EE180" s="591">
        <v>0</v>
      </c>
      <c r="EF180" s="591">
        <v>0</v>
      </c>
      <c r="EG180" s="591">
        <v>0</v>
      </c>
      <c r="EH180" s="591">
        <v>713136</v>
      </c>
      <c r="EI180" s="591">
        <v>0</v>
      </c>
      <c r="EJ180" s="591">
        <v>0</v>
      </c>
      <c r="EK180" s="591">
        <v>28.037000000000003</v>
      </c>
      <c r="EL180" s="591">
        <v>0</v>
      </c>
      <c r="EM180" s="591">
        <v>6.13</v>
      </c>
      <c r="EN180" s="591">
        <v>2.657</v>
      </c>
      <c r="EO180" s="591">
        <v>0</v>
      </c>
      <c r="EP180" s="591">
        <v>0</v>
      </c>
      <c r="EQ180" s="591">
        <v>36.824000000000005</v>
      </c>
      <c r="ER180" s="591">
        <v>0</v>
      </c>
      <c r="ES180" s="591">
        <v>115.786</v>
      </c>
      <c r="ET180" s="591">
        <v>0</v>
      </c>
      <c r="EU180" s="591">
        <v>0</v>
      </c>
      <c r="EV180" s="591">
        <v>0</v>
      </c>
      <c r="EW180" s="591">
        <v>0</v>
      </c>
      <c r="EX180" s="591">
        <v>0</v>
      </c>
      <c r="EY180" s="591">
        <v>0</v>
      </c>
      <c r="EZ180" s="591">
        <v>18204205</v>
      </c>
      <c r="FA180" s="591">
        <v>0</v>
      </c>
      <c r="FB180" s="591">
        <v>18997301</v>
      </c>
      <c r="FC180" s="591">
        <v>0</v>
      </c>
      <c r="FD180" s="591">
        <v>0</v>
      </c>
      <c r="FE180" s="591">
        <v>1951251</v>
      </c>
      <c r="FF180" s="591">
        <v>398003</v>
      </c>
      <c r="FG180" s="591">
        <v>6.4728999999999995E-2</v>
      </c>
      <c r="FH180" s="591">
        <v>2.6405999999999999E-2</v>
      </c>
      <c r="FI180" s="591">
        <v>0</v>
      </c>
      <c r="FJ180" s="591">
        <v>0</v>
      </c>
      <c r="FK180" s="591">
        <v>3058.5350000000003</v>
      </c>
      <c r="FL180" s="591">
        <v>21683528</v>
      </c>
      <c r="FM180" s="591">
        <v>0</v>
      </c>
      <c r="FN180" s="591">
        <v>0</v>
      </c>
      <c r="FO180" s="591">
        <v>156613</v>
      </c>
      <c r="FP180" s="591">
        <v>0</v>
      </c>
      <c r="FQ180" s="591">
        <v>156613</v>
      </c>
      <c r="FR180" s="591">
        <v>156613</v>
      </c>
      <c r="FS180" s="591">
        <v>0</v>
      </c>
      <c r="FT180" s="591">
        <v>0</v>
      </c>
      <c r="FU180" s="591">
        <v>0</v>
      </c>
      <c r="FV180" s="591">
        <v>0</v>
      </c>
      <c r="FW180" s="591">
        <v>0</v>
      </c>
      <c r="FX180" s="591">
        <v>0</v>
      </c>
      <c r="FY180" s="591">
        <v>0</v>
      </c>
      <c r="FZ180" s="591">
        <v>0</v>
      </c>
      <c r="GA180" s="591">
        <v>0</v>
      </c>
      <c r="GB180" s="591">
        <v>367961</v>
      </c>
      <c r="GC180" s="591">
        <v>367961</v>
      </c>
      <c r="GD180" s="591">
        <v>44.254000000000005</v>
      </c>
      <c r="GE180" s="591">
        <v>0</v>
      </c>
      <c r="GF180" s="591">
        <v>0</v>
      </c>
      <c r="GG180" s="591">
        <v>0</v>
      </c>
      <c r="GH180" s="591">
        <v>0</v>
      </c>
      <c r="GI180" s="591">
        <v>0</v>
      </c>
      <c r="GJ180" s="591">
        <v>0</v>
      </c>
      <c r="GK180" s="591">
        <v>0</v>
      </c>
      <c r="GL180" s="591">
        <v>0</v>
      </c>
      <c r="GM180" s="591">
        <v>0</v>
      </c>
      <c r="GN180" s="591">
        <v>0</v>
      </c>
      <c r="GO180" s="591">
        <v>0</v>
      </c>
      <c r="GP180" s="591">
        <v>0</v>
      </c>
      <c r="GQ180" s="591">
        <v>0</v>
      </c>
      <c r="GR180" s="591">
        <v>0</v>
      </c>
      <c r="GS180" s="591">
        <v>0</v>
      </c>
      <c r="GT180" s="591">
        <v>0</v>
      </c>
      <c r="GU180" s="591">
        <v>0</v>
      </c>
      <c r="GV180" s="591">
        <v>0</v>
      </c>
      <c r="GW180" s="591">
        <v>0</v>
      </c>
      <c r="GX180" s="591">
        <v>0</v>
      </c>
      <c r="GY180" s="591">
        <v>0</v>
      </c>
      <c r="GZ180" s="591">
        <v>0</v>
      </c>
      <c r="HA180" s="591">
        <v>0</v>
      </c>
      <c r="HB180" s="591">
        <v>260009272</v>
      </c>
      <c r="HC180" s="591">
        <v>5.1774999999999995E-2</v>
      </c>
      <c r="HD180" s="591">
        <v>336973</v>
      </c>
      <c r="HE180" s="591">
        <v>0</v>
      </c>
      <c r="HF180" s="591">
        <v>1954555</v>
      </c>
      <c r="HG180" s="591">
        <v>0</v>
      </c>
      <c r="HH180" s="591">
        <v>378784</v>
      </c>
      <c r="HI180" s="591">
        <v>0</v>
      </c>
      <c r="HJ180" s="591">
        <v>18075</v>
      </c>
      <c r="HK180" s="591">
        <v>6510</v>
      </c>
      <c r="HL180" s="591">
        <v>1956</v>
      </c>
      <c r="HM180" s="591">
        <v>0</v>
      </c>
      <c r="HN180" s="591">
        <v>0</v>
      </c>
      <c r="HO180" s="591">
        <v>0</v>
      </c>
      <c r="HP180" s="591">
        <v>0</v>
      </c>
      <c r="HQ180" s="591">
        <v>0</v>
      </c>
      <c r="HR180" s="591">
        <v>0</v>
      </c>
      <c r="HS180" s="591">
        <v>18198656</v>
      </c>
      <c r="HT180" s="591">
        <v>0</v>
      </c>
      <c r="HU180" s="591">
        <v>0</v>
      </c>
      <c r="HV180" s="591">
        <v>0</v>
      </c>
      <c r="HW180" s="591">
        <v>0</v>
      </c>
      <c r="HX180" s="591">
        <v>181</v>
      </c>
      <c r="HY180" s="591">
        <v>364</v>
      </c>
      <c r="HZ180" s="591">
        <v>246</v>
      </c>
      <c r="IA180" s="591">
        <v>522</v>
      </c>
      <c r="IB180" s="591">
        <v>684</v>
      </c>
      <c r="IC180" s="591">
        <v>1997</v>
      </c>
      <c r="ID180" s="591">
        <v>0</v>
      </c>
      <c r="IE180" s="591">
        <v>0</v>
      </c>
      <c r="IF180" s="591">
        <v>0</v>
      </c>
      <c r="IG180" s="591">
        <v>0</v>
      </c>
      <c r="IH180" s="591">
        <v>615</v>
      </c>
      <c r="II180" s="591">
        <v>0</v>
      </c>
      <c r="IJ180" s="591">
        <v>988.93200000000002</v>
      </c>
      <c r="IK180" s="591">
        <v>0</v>
      </c>
      <c r="IL180" s="591">
        <v>0</v>
      </c>
      <c r="IM180" s="591">
        <v>0</v>
      </c>
      <c r="IN180" s="591">
        <v>0</v>
      </c>
      <c r="IO180" s="591">
        <v>0</v>
      </c>
      <c r="IP180" s="591">
        <v>0</v>
      </c>
      <c r="IQ180" s="591">
        <v>988.93200000000002</v>
      </c>
      <c r="IR180" s="591">
        <v>609091</v>
      </c>
      <c r="IS180" s="591">
        <v>0</v>
      </c>
      <c r="IT180" s="591">
        <v>0</v>
      </c>
      <c r="IU180" s="591">
        <v>0</v>
      </c>
      <c r="IV180" s="591">
        <v>0</v>
      </c>
      <c r="IW180" s="591">
        <v>6159</v>
      </c>
      <c r="IX180" s="591">
        <v>0</v>
      </c>
      <c r="IY180" s="591">
        <v>0</v>
      </c>
      <c r="IZ180" s="591">
        <v>0</v>
      </c>
      <c r="JA180" s="591">
        <v>0</v>
      </c>
      <c r="JB180" s="591">
        <v>0</v>
      </c>
      <c r="JC180" s="591">
        <v>0</v>
      </c>
      <c r="JD180" s="591">
        <v>0</v>
      </c>
      <c r="JE180" s="591">
        <v>0</v>
      </c>
      <c r="JF180" s="591">
        <v>0</v>
      </c>
      <c r="JG180" s="591">
        <v>0</v>
      </c>
      <c r="JH180" s="591">
        <v>0</v>
      </c>
      <c r="JI180" s="591">
        <v>0</v>
      </c>
      <c r="JJ180" s="591">
        <v>0</v>
      </c>
      <c r="JK180" s="591">
        <v>0</v>
      </c>
      <c r="JL180" s="591">
        <v>0</v>
      </c>
      <c r="JM180" s="591">
        <v>0</v>
      </c>
      <c r="JN180" s="591">
        <v>32469</v>
      </c>
    </row>
    <row r="181" spans="1:274" x14ac:dyDescent="0.25">
      <c r="A181" s="591">
        <v>32570</v>
      </c>
      <c r="B181" s="591">
        <v>227826</v>
      </c>
      <c r="C181" s="591">
        <v>9</v>
      </c>
      <c r="D181" s="591">
        <v>2022</v>
      </c>
      <c r="E181" s="591">
        <v>6159</v>
      </c>
      <c r="F181" s="591">
        <v>0</v>
      </c>
      <c r="G181" s="591">
        <v>365.00700000000001</v>
      </c>
      <c r="H181" s="591">
        <v>352.971</v>
      </c>
      <c r="I181" s="591">
        <v>352.971</v>
      </c>
      <c r="J181" s="591">
        <v>365.00700000000001</v>
      </c>
      <c r="K181" s="591">
        <v>0</v>
      </c>
      <c r="L181" s="591">
        <v>6159</v>
      </c>
      <c r="M181" s="591">
        <v>0</v>
      </c>
      <c r="N181" s="591">
        <v>0</v>
      </c>
      <c r="O181" s="591">
        <v>0</v>
      </c>
      <c r="P181" s="591">
        <v>363.29200000000003</v>
      </c>
      <c r="Q181" s="591">
        <v>0</v>
      </c>
      <c r="R181" s="591">
        <v>146199</v>
      </c>
      <c r="S181" s="591">
        <v>402.428</v>
      </c>
      <c r="T181" s="591">
        <v>0</v>
      </c>
      <c r="U181" s="591">
        <v>0</v>
      </c>
      <c r="V181" s="591">
        <v>85.292000000000002</v>
      </c>
      <c r="W181" s="591">
        <v>52532</v>
      </c>
      <c r="X181" s="591">
        <v>52532</v>
      </c>
      <c r="Y181" s="591">
        <v>0</v>
      </c>
      <c r="Z181" s="591">
        <v>0</v>
      </c>
      <c r="AA181" s="591">
        <v>0</v>
      </c>
      <c r="AB181" s="591">
        <v>0</v>
      </c>
      <c r="AC181" s="591">
        <v>0</v>
      </c>
      <c r="AD181" s="591" t="s">
        <v>316</v>
      </c>
      <c r="AE181" s="591">
        <v>0</v>
      </c>
      <c r="AF181" s="591">
        <v>0</v>
      </c>
      <c r="AG181" s="591">
        <v>0</v>
      </c>
      <c r="AH181" s="591">
        <v>0</v>
      </c>
      <c r="AI181" s="591">
        <v>0</v>
      </c>
      <c r="AJ181" s="591">
        <v>6159</v>
      </c>
      <c r="AK181" s="591" t="s">
        <v>671</v>
      </c>
      <c r="AL181" s="591" t="s">
        <v>367</v>
      </c>
      <c r="AM181" s="591">
        <v>0</v>
      </c>
      <c r="AN181" s="591">
        <v>0</v>
      </c>
      <c r="AO181" s="591">
        <v>0</v>
      </c>
      <c r="AP181" s="591">
        <v>0</v>
      </c>
      <c r="AQ181" s="591">
        <v>0</v>
      </c>
      <c r="AR181" s="591">
        <v>0</v>
      </c>
      <c r="AS181" s="591">
        <v>0</v>
      </c>
      <c r="AT181" s="591">
        <v>0</v>
      </c>
      <c r="AU181" s="591">
        <v>0</v>
      </c>
      <c r="AV181" s="591">
        <v>0</v>
      </c>
      <c r="AW181" s="591">
        <v>3657909</v>
      </c>
      <c r="AX181" s="591">
        <v>3592796</v>
      </c>
      <c r="AY181" s="591">
        <v>0</v>
      </c>
      <c r="AZ181" s="591">
        <v>146199</v>
      </c>
      <c r="BA181" s="591">
        <v>0</v>
      </c>
      <c r="BB181" s="591">
        <v>0</v>
      </c>
      <c r="BC181" s="591">
        <v>0</v>
      </c>
      <c r="BD181" s="591">
        <v>0</v>
      </c>
      <c r="BE181" s="591">
        <v>48</v>
      </c>
      <c r="BF181" s="591">
        <v>3324409</v>
      </c>
      <c r="BG181" s="591">
        <v>0</v>
      </c>
      <c r="BH181" s="591">
        <v>0</v>
      </c>
      <c r="BI181" s="591">
        <v>0</v>
      </c>
      <c r="BJ181" s="591">
        <v>12</v>
      </c>
      <c r="BK181" s="591">
        <v>0</v>
      </c>
      <c r="BL181" s="591">
        <v>0</v>
      </c>
      <c r="BM181" s="591">
        <v>0</v>
      </c>
      <c r="BN181" s="591">
        <v>0</v>
      </c>
      <c r="BO181" s="591">
        <v>0</v>
      </c>
      <c r="BP181" s="591">
        <v>0</v>
      </c>
      <c r="BQ181" s="591">
        <v>716</v>
      </c>
      <c r="BR181" s="591">
        <v>0</v>
      </c>
      <c r="BS181" s="591">
        <v>0</v>
      </c>
      <c r="BT181" s="591">
        <v>0</v>
      </c>
      <c r="BU181" s="591">
        <v>0</v>
      </c>
      <c r="BV181" s="591">
        <v>0</v>
      </c>
      <c r="BW181" s="591">
        <v>0</v>
      </c>
      <c r="BX181" s="591">
        <v>0</v>
      </c>
      <c r="BY181" s="591">
        <v>0</v>
      </c>
      <c r="BZ181" s="591">
        <v>0</v>
      </c>
      <c r="CA181" s="591">
        <v>0</v>
      </c>
      <c r="CB181" s="591">
        <v>0</v>
      </c>
      <c r="CC181" s="591">
        <v>0</v>
      </c>
      <c r="CD181" s="591">
        <v>0</v>
      </c>
      <c r="CE181" s="591">
        <v>0</v>
      </c>
      <c r="CF181" s="591">
        <v>0</v>
      </c>
      <c r="CG181" s="591">
        <v>0</v>
      </c>
      <c r="CH181" s="591">
        <v>66143</v>
      </c>
      <c r="CI181" s="591">
        <v>0</v>
      </c>
      <c r="CJ181" s="591">
        <v>4</v>
      </c>
      <c r="CK181" s="591">
        <v>0</v>
      </c>
      <c r="CL181" s="591">
        <v>0</v>
      </c>
      <c r="CM181" s="591">
        <v>0</v>
      </c>
      <c r="CN181" s="591">
        <v>0</v>
      </c>
      <c r="CO181" s="591">
        <v>1</v>
      </c>
      <c r="CP181" s="591">
        <v>0</v>
      </c>
      <c r="CQ181" s="591">
        <v>0</v>
      </c>
      <c r="CR181" s="591">
        <v>365.00700000000001</v>
      </c>
      <c r="CS181" s="591">
        <v>0</v>
      </c>
      <c r="CT181" s="591">
        <v>0</v>
      </c>
      <c r="CU181" s="591">
        <v>0</v>
      </c>
      <c r="CV181" s="591">
        <v>0</v>
      </c>
      <c r="CW181" s="591">
        <v>0</v>
      </c>
      <c r="CX181" s="591">
        <v>0</v>
      </c>
      <c r="CY181" s="591">
        <v>0</v>
      </c>
      <c r="CZ181" s="591">
        <v>0</v>
      </c>
      <c r="DA181" s="591">
        <v>0</v>
      </c>
      <c r="DB181" s="591">
        <v>2173977</v>
      </c>
      <c r="DC181" s="591">
        <v>0</v>
      </c>
      <c r="DD181" s="591">
        <v>0</v>
      </c>
      <c r="DE181" s="591">
        <v>373933</v>
      </c>
      <c r="DF181" s="591">
        <v>373933</v>
      </c>
      <c r="DG181" s="591">
        <v>60.713000000000001</v>
      </c>
      <c r="DH181" s="591">
        <v>0</v>
      </c>
      <c r="DI181" s="591">
        <v>0</v>
      </c>
      <c r="DJ181" s="591">
        <v>0</v>
      </c>
      <c r="DK181" s="591">
        <v>3072</v>
      </c>
      <c r="DL181" s="591">
        <v>0</v>
      </c>
      <c r="DM181" s="591">
        <v>257485</v>
      </c>
      <c r="DN181" s="591">
        <v>982</v>
      </c>
      <c r="DO181" s="591">
        <v>0</v>
      </c>
      <c r="DP181" s="591">
        <v>0</v>
      </c>
      <c r="DQ181" s="591">
        <v>0</v>
      </c>
      <c r="DR181" s="591">
        <v>0</v>
      </c>
      <c r="DS181" s="591">
        <v>0</v>
      </c>
      <c r="DT181" s="591">
        <v>0</v>
      </c>
      <c r="DU181" s="591">
        <v>0</v>
      </c>
      <c r="DV181" s="591">
        <v>0</v>
      </c>
      <c r="DW181" s="591">
        <v>0</v>
      </c>
      <c r="DX181" s="591">
        <v>0</v>
      </c>
      <c r="DY181" s="591">
        <v>0</v>
      </c>
      <c r="DZ181" s="591">
        <v>0</v>
      </c>
      <c r="EA181" s="591">
        <v>0</v>
      </c>
      <c r="EB181" s="591">
        <v>0</v>
      </c>
      <c r="EC181" s="591">
        <v>3.8150000000000004</v>
      </c>
      <c r="ED181" s="591">
        <v>27021</v>
      </c>
      <c r="EE181" s="591">
        <v>0</v>
      </c>
      <c r="EF181" s="591">
        <v>0</v>
      </c>
      <c r="EG181" s="591">
        <v>0</v>
      </c>
      <c r="EH181" s="591">
        <v>231446</v>
      </c>
      <c r="EI181" s="591">
        <v>0</v>
      </c>
      <c r="EJ181" s="591">
        <v>0</v>
      </c>
      <c r="EK181" s="591">
        <v>10.983000000000001</v>
      </c>
      <c r="EL181" s="591">
        <v>0</v>
      </c>
      <c r="EM181" s="591">
        <v>0.318</v>
      </c>
      <c r="EN181" s="591">
        <v>0.73499999999999999</v>
      </c>
      <c r="EO181" s="591">
        <v>0</v>
      </c>
      <c r="EP181" s="591">
        <v>0</v>
      </c>
      <c r="EQ181" s="591">
        <v>12.036000000000001</v>
      </c>
      <c r="ER181" s="591">
        <v>0</v>
      </c>
      <c r="ES181" s="591">
        <v>37.578000000000003</v>
      </c>
      <c r="ET181" s="591">
        <v>0</v>
      </c>
      <c r="EU181" s="591">
        <v>0</v>
      </c>
      <c r="EV181" s="591">
        <v>0</v>
      </c>
      <c r="EW181" s="591">
        <v>0</v>
      </c>
      <c r="EX181" s="591">
        <v>0</v>
      </c>
      <c r="EY181" s="591">
        <v>0</v>
      </c>
      <c r="EZ181" s="591">
        <v>3178210</v>
      </c>
      <c r="FA181" s="591">
        <v>0</v>
      </c>
      <c r="FB181" s="591">
        <v>3323379</v>
      </c>
      <c r="FC181" s="591">
        <v>0</v>
      </c>
      <c r="FD181" s="591">
        <v>0</v>
      </c>
      <c r="FE181" s="591">
        <v>344348</v>
      </c>
      <c r="FF181" s="591">
        <v>70238</v>
      </c>
      <c r="FG181" s="591">
        <v>6.4728999999999995E-2</v>
      </c>
      <c r="FH181" s="591">
        <v>2.6405999999999999E-2</v>
      </c>
      <c r="FI181" s="591">
        <v>0</v>
      </c>
      <c r="FJ181" s="591">
        <v>0</v>
      </c>
      <c r="FK181" s="591">
        <v>539.75700000000006</v>
      </c>
      <c r="FL181" s="591">
        <v>3804108</v>
      </c>
      <c r="FM181" s="591">
        <v>0</v>
      </c>
      <c r="FN181" s="591">
        <v>0</v>
      </c>
      <c r="FO181" s="591">
        <v>0</v>
      </c>
      <c r="FP181" s="591">
        <v>0</v>
      </c>
      <c r="FQ181" s="591">
        <v>0</v>
      </c>
      <c r="FR181" s="591">
        <v>0</v>
      </c>
      <c r="FS181" s="591">
        <v>0</v>
      </c>
      <c r="FT181" s="591">
        <v>0</v>
      </c>
      <c r="FU181" s="591">
        <v>0</v>
      </c>
      <c r="FV181" s="591">
        <v>0</v>
      </c>
      <c r="FW181" s="591">
        <v>0</v>
      </c>
      <c r="FX181" s="591">
        <v>0</v>
      </c>
      <c r="FY181" s="591">
        <v>0</v>
      </c>
      <c r="FZ181" s="591">
        <v>0</v>
      </c>
      <c r="GA181" s="591">
        <v>0</v>
      </c>
      <c r="GB181" s="591">
        <v>0</v>
      </c>
      <c r="GC181" s="591">
        <v>0</v>
      </c>
      <c r="GD181" s="591">
        <v>0</v>
      </c>
      <c r="GE181" s="591">
        <v>0</v>
      </c>
      <c r="GF181" s="591">
        <v>0</v>
      </c>
      <c r="GG181" s="591">
        <v>0</v>
      </c>
      <c r="GH181" s="591">
        <v>0</v>
      </c>
      <c r="GI181" s="591">
        <v>0</v>
      </c>
      <c r="GJ181" s="591">
        <v>0</v>
      </c>
      <c r="GK181" s="591">
        <v>0</v>
      </c>
      <c r="GL181" s="591">
        <v>0</v>
      </c>
      <c r="GM181" s="591">
        <v>0</v>
      </c>
      <c r="GN181" s="591">
        <v>0</v>
      </c>
      <c r="GO181" s="591">
        <v>0</v>
      </c>
      <c r="GP181" s="591">
        <v>0</v>
      </c>
      <c r="GQ181" s="591">
        <v>0</v>
      </c>
      <c r="GR181" s="591">
        <v>0</v>
      </c>
      <c r="GS181" s="591">
        <v>0</v>
      </c>
      <c r="GT181" s="591">
        <v>0</v>
      </c>
      <c r="GU181" s="591">
        <v>0</v>
      </c>
      <c r="GV181" s="591">
        <v>0</v>
      </c>
      <c r="GW181" s="591">
        <v>0</v>
      </c>
      <c r="GX181" s="591">
        <v>0</v>
      </c>
      <c r="GY181" s="591">
        <v>0</v>
      </c>
      <c r="GZ181" s="591">
        <v>0</v>
      </c>
      <c r="HA181" s="591">
        <v>0</v>
      </c>
      <c r="HB181" s="591">
        <v>260009272</v>
      </c>
      <c r="HC181" s="591">
        <v>5.1774999999999995E-2</v>
      </c>
      <c r="HD181" s="591">
        <v>66143</v>
      </c>
      <c r="HE181" s="591">
        <v>0</v>
      </c>
      <c r="HF181" s="591">
        <v>387915</v>
      </c>
      <c r="HG181" s="591">
        <v>3208</v>
      </c>
      <c r="HH181" s="591">
        <v>70829</v>
      </c>
      <c r="HI181" s="591">
        <v>0</v>
      </c>
      <c r="HJ181" s="591">
        <v>3548</v>
      </c>
      <c r="HK181" s="591">
        <v>0</v>
      </c>
      <c r="HL181" s="591">
        <v>0</v>
      </c>
      <c r="HM181" s="591">
        <v>0</v>
      </c>
      <c r="HN181" s="591">
        <v>0</v>
      </c>
      <c r="HO181" s="591">
        <v>0</v>
      </c>
      <c r="HP181" s="591">
        <v>0</v>
      </c>
      <c r="HQ181" s="591">
        <v>0</v>
      </c>
      <c r="HR181" s="591">
        <v>0</v>
      </c>
      <c r="HS181" s="591">
        <v>3177180</v>
      </c>
      <c r="HT181" s="591">
        <v>0</v>
      </c>
      <c r="HU181" s="591">
        <v>0</v>
      </c>
      <c r="HV181" s="591">
        <v>0</v>
      </c>
      <c r="HW181" s="591">
        <v>0</v>
      </c>
      <c r="HX181" s="591">
        <v>37</v>
      </c>
      <c r="HY181" s="591">
        <v>62</v>
      </c>
      <c r="HZ181" s="591">
        <v>39</v>
      </c>
      <c r="IA181" s="591">
        <v>55</v>
      </c>
      <c r="IB181" s="591">
        <v>49</v>
      </c>
      <c r="IC181" s="591">
        <v>234</v>
      </c>
      <c r="ID181" s="591">
        <v>0</v>
      </c>
      <c r="IE181" s="591">
        <v>0</v>
      </c>
      <c r="IF181" s="591">
        <v>0</v>
      </c>
      <c r="IG181" s="591">
        <v>5.2080000000000002</v>
      </c>
      <c r="IH181" s="591">
        <v>115</v>
      </c>
      <c r="II181" s="591">
        <v>0</v>
      </c>
      <c r="IJ181" s="591">
        <v>85.292000000000002</v>
      </c>
      <c r="IK181" s="591">
        <v>0</v>
      </c>
      <c r="IL181" s="591">
        <v>0</v>
      </c>
      <c r="IM181" s="591">
        <v>0</v>
      </c>
      <c r="IN181" s="591">
        <v>0</v>
      </c>
      <c r="IO181" s="591">
        <v>0</v>
      </c>
      <c r="IP181" s="591">
        <v>0</v>
      </c>
      <c r="IQ181" s="591">
        <v>85.292000000000002</v>
      </c>
      <c r="IR181" s="591">
        <v>52532</v>
      </c>
      <c r="IS181" s="591">
        <v>0</v>
      </c>
      <c r="IT181" s="591">
        <v>0</v>
      </c>
      <c r="IU181" s="591">
        <v>0</v>
      </c>
      <c r="IV181" s="591">
        <v>0</v>
      </c>
      <c r="IW181" s="591">
        <v>6159</v>
      </c>
      <c r="IX181" s="591">
        <v>0</v>
      </c>
      <c r="IY181" s="591">
        <v>0</v>
      </c>
      <c r="IZ181" s="591">
        <v>0</v>
      </c>
      <c r="JA181" s="591">
        <v>0</v>
      </c>
      <c r="JB181" s="591">
        <v>0</v>
      </c>
      <c r="JC181" s="591">
        <v>0</v>
      </c>
      <c r="JD181" s="591">
        <v>0</v>
      </c>
      <c r="JE181" s="591">
        <v>0</v>
      </c>
      <c r="JF181" s="591">
        <v>0</v>
      </c>
      <c r="JG181" s="591">
        <v>0</v>
      </c>
      <c r="JH181" s="591">
        <v>0</v>
      </c>
      <c r="JI181" s="591">
        <v>0</v>
      </c>
      <c r="JJ181" s="591">
        <v>0</v>
      </c>
      <c r="JK181" s="591">
        <v>0</v>
      </c>
      <c r="JL181" s="591">
        <v>0</v>
      </c>
      <c r="JM181" s="591">
        <v>0</v>
      </c>
      <c r="JN181" s="591">
        <v>32469</v>
      </c>
    </row>
    <row r="182" spans="1:274" x14ac:dyDescent="0.25">
      <c r="A182" s="591">
        <v>32570</v>
      </c>
      <c r="B182" s="591">
        <v>227827</v>
      </c>
      <c r="C182" s="591">
        <v>9</v>
      </c>
      <c r="D182" s="591">
        <v>2022</v>
      </c>
      <c r="E182" s="591">
        <v>6159</v>
      </c>
      <c r="F182" s="591">
        <v>0</v>
      </c>
      <c r="G182" s="591">
        <v>547.03200000000004</v>
      </c>
      <c r="H182" s="591">
        <v>497.15000000000003</v>
      </c>
      <c r="I182" s="591">
        <v>497.15000000000003</v>
      </c>
      <c r="J182" s="591">
        <v>547.03200000000004</v>
      </c>
      <c r="K182" s="591">
        <v>0</v>
      </c>
      <c r="L182" s="591">
        <v>6159</v>
      </c>
      <c r="M182" s="591">
        <v>0</v>
      </c>
      <c r="N182" s="591">
        <v>0</v>
      </c>
      <c r="O182" s="591">
        <v>0</v>
      </c>
      <c r="P182" s="591">
        <v>476.892</v>
      </c>
      <c r="Q182" s="591">
        <v>0</v>
      </c>
      <c r="R182" s="591">
        <v>191915</v>
      </c>
      <c r="S182" s="591">
        <v>402.428</v>
      </c>
      <c r="T182" s="591">
        <v>0</v>
      </c>
      <c r="U182" s="591">
        <v>0</v>
      </c>
      <c r="V182" s="591">
        <v>63.884</v>
      </c>
      <c r="W182" s="591">
        <v>39347</v>
      </c>
      <c r="X182" s="591">
        <v>39347</v>
      </c>
      <c r="Y182" s="591">
        <v>0</v>
      </c>
      <c r="Z182" s="591">
        <v>0</v>
      </c>
      <c r="AA182" s="591">
        <v>0</v>
      </c>
      <c r="AB182" s="591">
        <v>0</v>
      </c>
      <c r="AC182" s="591">
        <v>0</v>
      </c>
      <c r="AD182" s="591" t="s">
        <v>316</v>
      </c>
      <c r="AE182" s="591">
        <v>0</v>
      </c>
      <c r="AF182" s="591">
        <v>0</v>
      </c>
      <c r="AG182" s="591">
        <v>0</v>
      </c>
      <c r="AH182" s="591">
        <v>0</v>
      </c>
      <c r="AI182" s="591">
        <v>0</v>
      </c>
      <c r="AJ182" s="591">
        <v>6159</v>
      </c>
      <c r="AK182" s="591" t="s">
        <v>671</v>
      </c>
      <c r="AL182" s="591" t="s">
        <v>368</v>
      </c>
      <c r="AM182" s="591">
        <v>0</v>
      </c>
      <c r="AN182" s="591">
        <v>0</v>
      </c>
      <c r="AO182" s="591">
        <v>0</v>
      </c>
      <c r="AP182" s="591">
        <v>0</v>
      </c>
      <c r="AQ182" s="591">
        <v>0</v>
      </c>
      <c r="AR182" s="591">
        <v>0</v>
      </c>
      <c r="AS182" s="591">
        <v>0</v>
      </c>
      <c r="AT182" s="591">
        <v>0</v>
      </c>
      <c r="AU182" s="591">
        <v>0</v>
      </c>
      <c r="AV182" s="591">
        <v>0</v>
      </c>
      <c r="AW182" s="591">
        <v>5642694</v>
      </c>
      <c r="AX182" s="591">
        <v>5642981</v>
      </c>
      <c r="AY182" s="591">
        <v>0</v>
      </c>
      <c r="AZ182" s="591">
        <v>191915</v>
      </c>
      <c r="BA182" s="591">
        <v>0</v>
      </c>
      <c r="BB182" s="591">
        <v>0</v>
      </c>
      <c r="BC182" s="591">
        <v>0</v>
      </c>
      <c r="BD182" s="591">
        <v>0</v>
      </c>
      <c r="BE182" s="591">
        <v>75</v>
      </c>
      <c r="BF182" s="591">
        <v>5172579</v>
      </c>
      <c r="BG182" s="591">
        <v>0</v>
      </c>
      <c r="BH182" s="591">
        <v>0</v>
      </c>
      <c r="BI182" s="591">
        <v>0</v>
      </c>
      <c r="BJ182" s="591">
        <v>12</v>
      </c>
      <c r="BK182" s="591">
        <v>0</v>
      </c>
      <c r="BL182" s="591">
        <v>0</v>
      </c>
      <c r="BM182" s="591">
        <v>0</v>
      </c>
      <c r="BN182" s="591">
        <v>0</v>
      </c>
      <c r="BO182" s="591">
        <v>0</v>
      </c>
      <c r="BP182" s="591">
        <v>0</v>
      </c>
      <c r="BQ182" s="591">
        <v>693</v>
      </c>
      <c r="BR182" s="591">
        <v>0</v>
      </c>
      <c r="BS182" s="591">
        <v>0</v>
      </c>
      <c r="BT182" s="591">
        <v>0</v>
      </c>
      <c r="BU182" s="591">
        <v>0</v>
      </c>
      <c r="BV182" s="591">
        <v>0</v>
      </c>
      <c r="BW182" s="591">
        <v>0</v>
      </c>
      <c r="BX182" s="591">
        <v>0</v>
      </c>
      <c r="BY182" s="591">
        <v>0</v>
      </c>
      <c r="BZ182" s="591">
        <v>0</v>
      </c>
      <c r="CA182" s="591">
        <v>0</v>
      </c>
      <c r="CB182" s="591">
        <v>0</v>
      </c>
      <c r="CC182" s="591">
        <v>0</v>
      </c>
      <c r="CD182" s="591">
        <v>0</v>
      </c>
      <c r="CE182" s="591">
        <v>0</v>
      </c>
      <c r="CF182" s="591">
        <v>0</v>
      </c>
      <c r="CG182" s="591">
        <v>0</v>
      </c>
      <c r="CH182" s="591">
        <v>0</v>
      </c>
      <c r="CI182" s="591">
        <v>0</v>
      </c>
      <c r="CJ182" s="591">
        <v>4</v>
      </c>
      <c r="CK182" s="591">
        <v>0</v>
      </c>
      <c r="CL182" s="591">
        <v>0</v>
      </c>
      <c r="CM182" s="591">
        <v>0</v>
      </c>
      <c r="CN182" s="591">
        <v>0</v>
      </c>
      <c r="CO182" s="591">
        <v>1</v>
      </c>
      <c r="CP182" s="591">
        <v>0.22</v>
      </c>
      <c r="CQ182" s="591">
        <v>0</v>
      </c>
      <c r="CR182" s="591">
        <v>547.03200000000004</v>
      </c>
      <c r="CS182" s="591">
        <v>0</v>
      </c>
      <c r="CT182" s="591">
        <v>0</v>
      </c>
      <c r="CU182" s="591">
        <v>0</v>
      </c>
      <c r="CV182" s="591">
        <v>0</v>
      </c>
      <c r="CW182" s="591">
        <v>0</v>
      </c>
      <c r="CX182" s="591">
        <v>0</v>
      </c>
      <c r="CY182" s="591">
        <v>0</v>
      </c>
      <c r="CZ182" s="591">
        <v>0</v>
      </c>
      <c r="DA182" s="591">
        <v>0</v>
      </c>
      <c r="DB182" s="591">
        <v>3061988</v>
      </c>
      <c r="DC182" s="591">
        <v>0</v>
      </c>
      <c r="DD182" s="591">
        <v>0</v>
      </c>
      <c r="DE182" s="591">
        <v>1045581</v>
      </c>
      <c r="DF182" s="591">
        <v>1048847</v>
      </c>
      <c r="DG182" s="591">
        <v>169.76300000000001</v>
      </c>
      <c r="DH182" s="591">
        <v>0</v>
      </c>
      <c r="DI182" s="591">
        <v>3266</v>
      </c>
      <c r="DJ182" s="591">
        <v>0</v>
      </c>
      <c r="DK182" s="591">
        <v>2717</v>
      </c>
      <c r="DL182" s="591">
        <v>0</v>
      </c>
      <c r="DM182" s="591">
        <v>55742</v>
      </c>
      <c r="DN182" s="591">
        <v>213</v>
      </c>
      <c r="DO182" s="591">
        <v>0</v>
      </c>
      <c r="DP182" s="591">
        <v>0</v>
      </c>
      <c r="DQ182" s="591">
        <v>0</v>
      </c>
      <c r="DR182" s="591">
        <v>0</v>
      </c>
      <c r="DS182" s="591">
        <v>0</v>
      </c>
      <c r="DT182" s="591">
        <v>0</v>
      </c>
      <c r="DU182" s="591">
        <v>0</v>
      </c>
      <c r="DV182" s="591">
        <v>0</v>
      </c>
      <c r="DW182" s="591">
        <v>0</v>
      </c>
      <c r="DX182" s="591">
        <v>0</v>
      </c>
      <c r="DY182" s="591">
        <v>0</v>
      </c>
      <c r="DZ182" s="591">
        <v>0</v>
      </c>
      <c r="EA182" s="591">
        <v>0</v>
      </c>
      <c r="EB182" s="591">
        <v>0</v>
      </c>
      <c r="EC182" s="591">
        <v>7.9</v>
      </c>
      <c r="ED182" s="591">
        <v>55955</v>
      </c>
      <c r="EE182" s="591">
        <v>0</v>
      </c>
      <c r="EF182" s="591">
        <v>0</v>
      </c>
      <c r="EG182" s="591">
        <v>0</v>
      </c>
      <c r="EH182" s="591">
        <v>0</v>
      </c>
      <c r="EI182" s="591">
        <v>0</v>
      </c>
      <c r="EJ182" s="591">
        <v>0</v>
      </c>
      <c r="EK182" s="591">
        <v>0</v>
      </c>
      <c r="EL182" s="591">
        <v>0</v>
      </c>
      <c r="EM182" s="591">
        <v>0</v>
      </c>
      <c r="EN182" s="591">
        <v>0</v>
      </c>
      <c r="EO182" s="591">
        <v>0</v>
      </c>
      <c r="EP182" s="591">
        <v>0</v>
      </c>
      <c r="EQ182" s="591">
        <v>0</v>
      </c>
      <c r="ER182" s="591">
        <v>0</v>
      </c>
      <c r="ES182" s="591">
        <v>0</v>
      </c>
      <c r="ET182" s="591">
        <v>0</v>
      </c>
      <c r="EU182" s="591">
        <v>0</v>
      </c>
      <c r="EV182" s="591">
        <v>0</v>
      </c>
      <c r="EW182" s="591">
        <v>0</v>
      </c>
      <c r="EX182" s="591">
        <v>0</v>
      </c>
      <c r="EY182" s="591">
        <v>0</v>
      </c>
      <c r="EZ182" s="591">
        <v>4997910</v>
      </c>
      <c r="FA182" s="591">
        <v>0</v>
      </c>
      <c r="FB182" s="591">
        <v>5189538</v>
      </c>
      <c r="FC182" s="591">
        <v>0</v>
      </c>
      <c r="FD182" s="591">
        <v>0</v>
      </c>
      <c r="FE182" s="591">
        <v>535785</v>
      </c>
      <c r="FF182" s="591">
        <v>109286</v>
      </c>
      <c r="FG182" s="591">
        <v>6.4728999999999995E-2</v>
      </c>
      <c r="FH182" s="591">
        <v>2.6405999999999999E-2</v>
      </c>
      <c r="FI182" s="591">
        <v>0</v>
      </c>
      <c r="FJ182" s="591">
        <v>0</v>
      </c>
      <c r="FK182" s="591">
        <v>839.82900000000006</v>
      </c>
      <c r="FL182" s="591">
        <v>5834609</v>
      </c>
      <c r="FM182" s="591">
        <v>0</v>
      </c>
      <c r="FN182" s="591">
        <v>0</v>
      </c>
      <c r="FO182" s="591">
        <v>5310</v>
      </c>
      <c r="FP182" s="591">
        <v>0</v>
      </c>
      <c r="FQ182" s="591">
        <v>5310</v>
      </c>
      <c r="FR182" s="591">
        <v>5310</v>
      </c>
      <c r="FS182" s="591">
        <v>0</v>
      </c>
      <c r="FT182" s="591">
        <v>0</v>
      </c>
      <c r="FU182" s="591">
        <v>0</v>
      </c>
      <c r="FV182" s="591">
        <v>0</v>
      </c>
      <c r="FW182" s="591">
        <v>0</v>
      </c>
      <c r="FX182" s="591">
        <v>0</v>
      </c>
      <c r="FY182" s="591">
        <v>0</v>
      </c>
      <c r="FZ182" s="591">
        <v>0</v>
      </c>
      <c r="GA182" s="591">
        <v>0</v>
      </c>
      <c r="GB182" s="591">
        <v>414757</v>
      </c>
      <c r="GC182" s="591">
        <v>414757</v>
      </c>
      <c r="GD182" s="591">
        <v>49.882000000000005</v>
      </c>
      <c r="GE182" s="591">
        <v>0</v>
      </c>
      <c r="GF182" s="591">
        <v>0</v>
      </c>
      <c r="GG182" s="591">
        <v>0</v>
      </c>
      <c r="GH182" s="591">
        <v>0</v>
      </c>
      <c r="GI182" s="591">
        <v>0</v>
      </c>
      <c r="GJ182" s="591">
        <v>0</v>
      </c>
      <c r="GK182" s="591">
        <v>0</v>
      </c>
      <c r="GL182" s="591">
        <v>0</v>
      </c>
      <c r="GM182" s="591">
        <v>0</v>
      </c>
      <c r="GN182" s="591">
        <v>0</v>
      </c>
      <c r="GO182" s="591">
        <v>0</v>
      </c>
      <c r="GP182" s="591">
        <v>0</v>
      </c>
      <c r="GQ182" s="591">
        <v>0</v>
      </c>
      <c r="GR182" s="591">
        <v>0</v>
      </c>
      <c r="GS182" s="591">
        <v>0</v>
      </c>
      <c r="GT182" s="591">
        <v>0</v>
      </c>
      <c r="GU182" s="591">
        <v>0</v>
      </c>
      <c r="GV182" s="591">
        <v>0</v>
      </c>
      <c r="GW182" s="591">
        <v>0</v>
      </c>
      <c r="GX182" s="591">
        <v>0</v>
      </c>
      <c r="GY182" s="591">
        <v>0</v>
      </c>
      <c r="GZ182" s="591">
        <v>0</v>
      </c>
      <c r="HA182" s="591">
        <v>0</v>
      </c>
      <c r="HB182" s="591">
        <v>0</v>
      </c>
      <c r="HC182" s="591">
        <v>5.1774999999999995E-2</v>
      </c>
      <c r="HD182" s="591">
        <v>0</v>
      </c>
      <c r="HE182" s="591">
        <v>0</v>
      </c>
      <c r="HF182" s="591">
        <v>546368</v>
      </c>
      <c r="HG182" s="591">
        <v>0</v>
      </c>
      <c r="HH182" s="591">
        <v>0</v>
      </c>
      <c r="HI182" s="591">
        <v>0</v>
      </c>
      <c r="HJ182" s="591">
        <v>5317</v>
      </c>
      <c r="HK182" s="591">
        <v>6563</v>
      </c>
      <c r="HL182" s="591">
        <v>5373</v>
      </c>
      <c r="HM182" s="591">
        <v>0</v>
      </c>
      <c r="HN182" s="591">
        <v>0</v>
      </c>
      <c r="HO182" s="591">
        <v>0</v>
      </c>
      <c r="HP182" s="591">
        <v>0</v>
      </c>
      <c r="HQ182" s="591">
        <v>0</v>
      </c>
      <c r="HR182" s="591">
        <v>0</v>
      </c>
      <c r="HS182" s="591">
        <v>4997623</v>
      </c>
      <c r="HT182" s="591">
        <v>0</v>
      </c>
      <c r="HU182" s="591">
        <v>0</v>
      </c>
      <c r="HV182" s="591">
        <v>0</v>
      </c>
      <c r="HW182" s="591">
        <v>0</v>
      </c>
      <c r="HX182" s="591">
        <v>68</v>
      </c>
      <c r="HY182" s="591">
        <v>210</v>
      </c>
      <c r="HZ182" s="591">
        <v>100</v>
      </c>
      <c r="IA182" s="591">
        <v>101</v>
      </c>
      <c r="IB182" s="591">
        <v>193</v>
      </c>
      <c r="IC182" s="591">
        <v>672</v>
      </c>
      <c r="ID182" s="591">
        <v>0</v>
      </c>
      <c r="IE182" s="591">
        <v>0</v>
      </c>
      <c r="IF182" s="591">
        <v>0</v>
      </c>
      <c r="IG182" s="591">
        <v>0</v>
      </c>
      <c r="IH182" s="591">
        <v>0</v>
      </c>
      <c r="II182" s="591">
        <v>0</v>
      </c>
      <c r="IJ182" s="591">
        <v>63.884</v>
      </c>
      <c r="IK182" s="591">
        <v>0</v>
      </c>
      <c r="IL182" s="591">
        <v>0</v>
      </c>
      <c r="IM182" s="591">
        <v>0</v>
      </c>
      <c r="IN182" s="591">
        <v>0</v>
      </c>
      <c r="IO182" s="591">
        <v>0</v>
      </c>
      <c r="IP182" s="591">
        <v>0</v>
      </c>
      <c r="IQ182" s="591">
        <v>63.884</v>
      </c>
      <c r="IR182" s="591">
        <v>39347</v>
      </c>
      <c r="IS182" s="591">
        <v>0</v>
      </c>
      <c r="IT182" s="591">
        <v>0</v>
      </c>
      <c r="IU182" s="591">
        <v>0</v>
      </c>
      <c r="IV182" s="591">
        <v>0</v>
      </c>
      <c r="IW182" s="591">
        <v>6159</v>
      </c>
      <c r="IX182" s="591">
        <v>0</v>
      </c>
      <c r="IY182" s="591">
        <v>0</v>
      </c>
      <c r="IZ182" s="591">
        <v>0</v>
      </c>
      <c r="JA182" s="591">
        <v>0</v>
      </c>
      <c r="JB182" s="591">
        <v>0</v>
      </c>
      <c r="JC182" s="591">
        <v>0</v>
      </c>
      <c r="JD182" s="591">
        <v>0</v>
      </c>
      <c r="JE182" s="591">
        <v>0</v>
      </c>
      <c r="JF182" s="591">
        <v>0</v>
      </c>
      <c r="JG182" s="591">
        <v>0</v>
      </c>
      <c r="JH182" s="591">
        <v>0</v>
      </c>
      <c r="JI182" s="591">
        <v>0</v>
      </c>
      <c r="JJ182" s="591">
        <v>0</v>
      </c>
      <c r="JK182" s="591">
        <v>0</v>
      </c>
      <c r="JL182" s="591">
        <v>0</v>
      </c>
      <c r="JM182" s="591">
        <v>0</v>
      </c>
      <c r="JN182" s="591">
        <v>32469</v>
      </c>
    </row>
    <row r="183" spans="1:274" x14ac:dyDescent="0.25">
      <c r="A183" s="591">
        <v>32570</v>
      </c>
      <c r="B183" s="591">
        <v>227829</v>
      </c>
      <c r="C183" s="591">
        <v>9</v>
      </c>
      <c r="D183" s="591">
        <v>2022</v>
      </c>
      <c r="E183" s="591">
        <v>6159</v>
      </c>
      <c r="F183" s="591">
        <v>0</v>
      </c>
      <c r="G183" s="591">
        <v>1067.8530000000001</v>
      </c>
      <c r="H183" s="591">
        <v>1040.28</v>
      </c>
      <c r="I183" s="591">
        <v>1040.28</v>
      </c>
      <c r="J183" s="591">
        <v>1067.8530000000001</v>
      </c>
      <c r="K183" s="591">
        <v>0</v>
      </c>
      <c r="L183" s="591">
        <v>6159</v>
      </c>
      <c r="M183" s="591">
        <v>0</v>
      </c>
      <c r="N183" s="591">
        <v>0</v>
      </c>
      <c r="O183" s="591">
        <v>0</v>
      </c>
      <c r="P183" s="591">
        <v>1050.124</v>
      </c>
      <c r="Q183" s="591">
        <v>0</v>
      </c>
      <c r="R183" s="591">
        <v>422599</v>
      </c>
      <c r="S183" s="591">
        <v>402.428</v>
      </c>
      <c r="T183" s="591">
        <v>0</v>
      </c>
      <c r="U183" s="591">
        <v>0</v>
      </c>
      <c r="V183" s="591">
        <v>33.667999999999999</v>
      </c>
      <c r="W183" s="591">
        <v>20736</v>
      </c>
      <c r="X183" s="591">
        <v>20736</v>
      </c>
      <c r="Y183" s="591">
        <v>0</v>
      </c>
      <c r="Z183" s="591">
        <v>0</v>
      </c>
      <c r="AA183" s="591">
        <v>0</v>
      </c>
      <c r="AB183" s="591">
        <v>0</v>
      </c>
      <c r="AC183" s="591">
        <v>0</v>
      </c>
      <c r="AD183" s="591" t="s">
        <v>316</v>
      </c>
      <c r="AE183" s="591">
        <v>0</v>
      </c>
      <c r="AF183" s="591">
        <v>0</v>
      </c>
      <c r="AG183" s="591">
        <v>0</v>
      </c>
      <c r="AH183" s="591">
        <v>0</v>
      </c>
      <c r="AI183" s="591">
        <v>0</v>
      </c>
      <c r="AJ183" s="591">
        <v>6159</v>
      </c>
      <c r="AK183" s="591" t="s">
        <v>671</v>
      </c>
      <c r="AL183" s="591" t="s">
        <v>451</v>
      </c>
      <c r="AM183" s="591">
        <v>0</v>
      </c>
      <c r="AN183" s="591">
        <v>0</v>
      </c>
      <c r="AO183" s="591">
        <v>0</v>
      </c>
      <c r="AP183" s="591">
        <v>0</v>
      </c>
      <c r="AQ183" s="591">
        <v>0</v>
      </c>
      <c r="AR183" s="591">
        <v>0</v>
      </c>
      <c r="AS183" s="591">
        <v>0</v>
      </c>
      <c r="AT183" s="591">
        <v>0</v>
      </c>
      <c r="AU183" s="591">
        <v>0</v>
      </c>
      <c r="AV183" s="591">
        <v>0</v>
      </c>
      <c r="AW183" s="591">
        <v>9337556</v>
      </c>
      <c r="AX183" s="591">
        <v>9146392</v>
      </c>
      <c r="AY183" s="591">
        <v>0</v>
      </c>
      <c r="AZ183" s="591">
        <v>422599</v>
      </c>
      <c r="BA183" s="591">
        <v>0</v>
      </c>
      <c r="BB183" s="591">
        <v>0</v>
      </c>
      <c r="BC183" s="591">
        <v>0</v>
      </c>
      <c r="BD183" s="591">
        <v>0</v>
      </c>
      <c r="BE183" s="591">
        <v>122</v>
      </c>
      <c r="BF183" s="591">
        <v>8507964</v>
      </c>
      <c r="BG183" s="591">
        <v>0</v>
      </c>
      <c r="BH183" s="591">
        <v>0</v>
      </c>
      <c r="BI183" s="591">
        <v>0</v>
      </c>
      <c r="BJ183" s="591">
        <v>12</v>
      </c>
      <c r="BK183" s="591">
        <v>0</v>
      </c>
      <c r="BL183" s="591">
        <v>0</v>
      </c>
      <c r="BM183" s="591">
        <v>0</v>
      </c>
      <c r="BN183" s="591">
        <v>0</v>
      </c>
      <c r="BO183" s="591">
        <v>0</v>
      </c>
      <c r="BP183" s="591">
        <v>0</v>
      </c>
      <c r="BQ183" s="591">
        <v>610</v>
      </c>
      <c r="BR183" s="591">
        <v>0</v>
      </c>
      <c r="BS183" s="591">
        <v>0</v>
      </c>
      <c r="BT183" s="591">
        <v>0</v>
      </c>
      <c r="BU183" s="591">
        <v>0</v>
      </c>
      <c r="BV183" s="591">
        <v>0</v>
      </c>
      <c r="BW183" s="591">
        <v>0</v>
      </c>
      <c r="BX183" s="591">
        <v>0</v>
      </c>
      <c r="BY183" s="591">
        <v>0</v>
      </c>
      <c r="BZ183" s="591">
        <v>0</v>
      </c>
      <c r="CA183" s="591">
        <v>0</v>
      </c>
      <c r="CB183" s="591">
        <v>0</v>
      </c>
      <c r="CC183" s="591">
        <v>0</v>
      </c>
      <c r="CD183" s="591">
        <v>0</v>
      </c>
      <c r="CE183" s="591">
        <v>0</v>
      </c>
      <c r="CF183" s="591">
        <v>0</v>
      </c>
      <c r="CG183" s="591">
        <v>0</v>
      </c>
      <c r="CH183" s="591">
        <v>193506</v>
      </c>
      <c r="CI183" s="591">
        <v>0</v>
      </c>
      <c r="CJ183" s="591">
        <v>4</v>
      </c>
      <c r="CK183" s="591">
        <v>0</v>
      </c>
      <c r="CL183" s="591">
        <v>0</v>
      </c>
      <c r="CM183" s="591">
        <v>0</v>
      </c>
      <c r="CN183" s="591">
        <v>0</v>
      </c>
      <c r="CO183" s="591">
        <v>1</v>
      </c>
      <c r="CP183" s="591">
        <v>0</v>
      </c>
      <c r="CQ183" s="591">
        <v>0</v>
      </c>
      <c r="CR183" s="591">
        <v>1067.8530000000001</v>
      </c>
      <c r="CS183" s="591">
        <v>0</v>
      </c>
      <c r="CT183" s="591">
        <v>0</v>
      </c>
      <c r="CU183" s="591">
        <v>0</v>
      </c>
      <c r="CV183" s="591">
        <v>0</v>
      </c>
      <c r="CW183" s="591">
        <v>0</v>
      </c>
      <c r="CX183" s="591">
        <v>0</v>
      </c>
      <c r="CY183" s="591">
        <v>0</v>
      </c>
      <c r="CZ183" s="591">
        <v>0</v>
      </c>
      <c r="DA183" s="591">
        <v>0</v>
      </c>
      <c r="DB183" s="591">
        <v>6407170</v>
      </c>
      <c r="DC183" s="591">
        <v>0</v>
      </c>
      <c r="DD183" s="591">
        <v>0</v>
      </c>
      <c r="DE183" s="591">
        <v>324045</v>
      </c>
      <c r="DF183" s="591">
        <v>324045</v>
      </c>
      <c r="DG183" s="591">
        <v>52.613</v>
      </c>
      <c r="DH183" s="591">
        <v>0</v>
      </c>
      <c r="DI183" s="591">
        <v>0</v>
      </c>
      <c r="DJ183" s="591">
        <v>0</v>
      </c>
      <c r="DK183" s="591">
        <v>1379</v>
      </c>
      <c r="DL183" s="591">
        <v>0</v>
      </c>
      <c r="DM183" s="591">
        <v>581669</v>
      </c>
      <c r="DN183" s="591">
        <v>2219</v>
      </c>
      <c r="DO183" s="591">
        <v>0</v>
      </c>
      <c r="DP183" s="591">
        <v>0</v>
      </c>
      <c r="DQ183" s="591">
        <v>0</v>
      </c>
      <c r="DR183" s="591">
        <v>0</v>
      </c>
      <c r="DS183" s="591">
        <v>0</v>
      </c>
      <c r="DT183" s="591">
        <v>0</v>
      </c>
      <c r="DU183" s="591">
        <v>0</v>
      </c>
      <c r="DV183" s="591">
        <v>0</v>
      </c>
      <c r="DW183" s="591">
        <v>0</v>
      </c>
      <c r="DX183" s="591">
        <v>0</v>
      </c>
      <c r="DY183" s="591">
        <v>0</v>
      </c>
      <c r="DZ183" s="591">
        <v>0</v>
      </c>
      <c r="EA183" s="591">
        <v>0</v>
      </c>
      <c r="EB183" s="591">
        <v>0</v>
      </c>
      <c r="EC183" s="591">
        <v>8.2279999999999998</v>
      </c>
      <c r="ED183" s="591">
        <v>58278</v>
      </c>
      <c r="EE183" s="591">
        <v>0</v>
      </c>
      <c r="EF183" s="591">
        <v>0</v>
      </c>
      <c r="EG183" s="591">
        <v>0</v>
      </c>
      <c r="EH183" s="591">
        <v>525610</v>
      </c>
      <c r="EI183" s="591">
        <v>0</v>
      </c>
      <c r="EJ183" s="591">
        <v>0</v>
      </c>
      <c r="EK183" s="591">
        <v>26.263000000000002</v>
      </c>
      <c r="EL183" s="591">
        <v>0</v>
      </c>
      <c r="EM183" s="591">
        <v>0</v>
      </c>
      <c r="EN183" s="591">
        <v>1.31</v>
      </c>
      <c r="EO183" s="591">
        <v>0</v>
      </c>
      <c r="EP183" s="591">
        <v>0</v>
      </c>
      <c r="EQ183" s="591">
        <v>27.573</v>
      </c>
      <c r="ER183" s="591">
        <v>0</v>
      </c>
      <c r="ES183" s="591">
        <v>85.338999999999999</v>
      </c>
      <c r="ET183" s="591">
        <v>0</v>
      </c>
      <c r="EU183" s="591">
        <v>0</v>
      </c>
      <c r="EV183" s="591">
        <v>0</v>
      </c>
      <c r="EW183" s="591">
        <v>0</v>
      </c>
      <c r="EX183" s="591">
        <v>0</v>
      </c>
      <c r="EY183" s="591">
        <v>0</v>
      </c>
      <c r="EZ183" s="591">
        <v>8085365</v>
      </c>
      <c r="FA183" s="591">
        <v>0</v>
      </c>
      <c r="FB183" s="591">
        <v>8505622</v>
      </c>
      <c r="FC183" s="591">
        <v>0</v>
      </c>
      <c r="FD183" s="591">
        <v>0</v>
      </c>
      <c r="FE183" s="591">
        <v>881271</v>
      </c>
      <c r="FF183" s="591">
        <v>179756</v>
      </c>
      <c r="FG183" s="591">
        <v>6.4728999999999995E-2</v>
      </c>
      <c r="FH183" s="591">
        <v>2.6405999999999999E-2</v>
      </c>
      <c r="FI183" s="591">
        <v>0</v>
      </c>
      <c r="FJ183" s="591">
        <v>0</v>
      </c>
      <c r="FK183" s="591">
        <v>1381.3690000000001</v>
      </c>
      <c r="FL183" s="591">
        <v>9760155</v>
      </c>
      <c r="FM183" s="591">
        <v>0</v>
      </c>
      <c r="FN183" s="591">
        <v>0</v>
      </c>
      <c r="FO183" s="591">
        <v>0</v>
      </c>
      <c r="FP183" s="591">
        <v>0</v>
      </c>
      <c r="FQ183" s="591">
        <v>0</v>
      </c>
      <c r="FR183" s="591">
        <v>0</v>
      </c>
      <c r="FS183" s="591">
        <v>0</v>
      </c>
      <c r="FT183" s="591">
        <v>0</v>
      </c>
      <c r="FU183" s="591">
        <v>0</v>
      </c>
      <c r="FV183" s="591">
        <v>0</v>
      </c>
      <c r="FW183" s="591">
        <v>0</v>
      </c>
      <c r="FX183" s="591">
        <v>0</v>
      </c>
      <c r="FY183" s="591">
        <v>0</v>
      </c>
      <c r="FZ183" s="591">
        <v>0</v>
      </c>
      <c r="GA183" s="591">
        <v>0</v>
      </c>
      <c r="GB183" s="591">
        <v>0</v>
      </c>
      <c r="GC183" s="591">
        <v>0</v>
      </c>
      <c r="GD183" s="591">
        <v>0</v>
      </c>
      <c r="GE183" s="591">
        <v>0</v>
      </c>
      <c r="GF183" s="591">
        <v>0</v>
      </c>
      <c r="GG183" s="591">
        <v>0</v>
      </c>
      <c r="GH183" s="591">
        <v>0</v>
      </c>
      <c r="GI183" s="591">
        <v>0</v>
      </c>
      <c r="GJ183" s="591">
        <v>0</v>
      </c>
      <c r="GK183" s="591">
        <v>0</v>
      </c>
      <c r="GL183" s="591">
        <v>0</v>
      </c>
      <c r="GM183" s="591">
        <v>0</v>
      </c>
      <c r="GN183" s="591">
        <v>0</v>
      </c>
      <c r="GO183" s="591">
        <v>0</v>
      </c>
      <c r="GP183" s="591">
        <v>0</v>
      </c>
      <c r="GQ183" s="591">
        <v>0</v>
      </c>
      <c r="GR183" s="591">
        <v>0</v>
      </c>
      <c r="GS183" s="591">
        <v>0</v>
      </c>
      <c r="GT183" s="591">
        <v>0</v>
      </c>
      <c r="GU183" s="591">
        <v>0</v>
      </c>
      <c r="GV183" s="591">
        <v>0</v>
      </c>
      <c r="GW183" s="591">
        <v>0</v>
      </c>
      <c r="GX183" s="591">
        <v>0</v>
      </c>
      <c r="GY183" s="591">
        <v>0</v>
      </c>
      <c r="GZ183" s="591">
        <v>0</v>
      </c>
      <c r="HA183" s="591">
        <v>0</v>
      </c>
      <c r="HB183" s="591">
        <v>260009272</v>
      </c>
      <c r="HC183" s="591">
        <v>5.1774999999999995E-2</v>
      </c>
      <c r="HD183" s="591">
        <v>193506</v>
      </c>
      <c r="HE183" s="591">
        <v>0</v>
      </c>
      <c r="HF183" s="591">
        <v>1143268</v>
      </c>
      <c r="HG183" s="591">
        <v>18477</v>
      </c>
      <c r="HH183" s="591">
        <v>0</v>
      </c>
      <c r="HI183" s="591">
        <v>0</v>
      </c>
      <c r="HJ183" s="591">
        <v>10380</v>
      </c>
      <c r="HK183" s="591">
        <v>0</v>
      </c>
      <c r="HL183" s="591">
        <v>0</v>
      </c>
      <c r="HM183" s="591">
        <v>0</v>
      </c>
      <c r="HN183" s="591">
        <v>0</v>
      </c>
      <c r="HO183" s="591">
        <v>0</v>
      </c>
      <c r="HP183" s="591">
        <v>0</v>
      </c>
      <c r="HQ183" s="591">
        <v>0</v>
      </c>
      <c r="HR183" s="591">
        <v>0</v>
      </c>
      <c r="HS183" s="591">
        <v>8083023</v>
      </c>
      <c r="HT183" s="591">
        <v>0</v>
      </c>
      <c r="HU183" s="591">
        <v>0</v>
      </c>
      <c r="HV183" s="591">
        <v>0</v>
      </c>
      <c r="HW183" s="591">
        <v>0</v>
      </c>
      <c r="HX183" s="591">
        <v>78</v>
      </c>
      <c r="HY183" s="591">
        <v>75</v>
      </c>
      <c r="HZ183" s="591">
        <v>34</v>
      </c>
      <c r="IA183" s="591">
        <v>26</v>
      </c>
      <c r="IB183" s="591">
        <v>7</v>
      </c>
      <c r="IC183" s="591">
        <v>220</v>
      </c>
      <c r="ID183" s="591">
        <v>0</v>
      </c>
      <c r="IE183" s="591">
        <v>0</v>
      </c>
      <c r="IF183" s="591">
        <v>0</v>
      </c>
      <c r="IG183" s="591">
        <v>30</v>
      </c>
      <c r="IH183" s="591">
        <v>0</v>
      </c>
      <c r="II183" s="591">
        <v>0</v>
      </c>
      <c r="IJ183" s="591">
        <v>33.667999999999999</v>
      </c>
      <c r="IK183" s="591">
        <v>0</v>
      </c>
      <c r="IL183" s="591">
        <v>0</v>
      </c>
      <c r="IM183" s="591">
        <v>0</v>
      </c>
      <c r="IN183" s="591">
        <v>0</v>
      </c>
      <c r="IO183" s="591">
        <v>0</v>
      </c>
      <c r="IP183" s="591">
        <v>0</v>
      </c>
      <c r="IQ183" s="591">
        <v>33.667999999999999</v>
      </c>
      <c r="IR183" s="591">
        <v>20736</v>
      </c>
      <c r="IS183" s="591">
        <v>0</v>
      </c>
      <c r="IT183" s="591">
        <v>0</v>
      </c>
      <c r="IU183" s="591">
        <v>0</v>
      </c>
      <c r="IV183" s="591">
        <v>0</v>
      </c>
      <c r="IW183" s="591">
        <v>6159</v>
      </c>
      <c r="IX183" s="591">
        <v>0</v>
      </c>
      <c r="IY183" s="591">
        <v>0</v>
      </c>
      <c r="IZ183" s="591">
        <v>0</v>
      </c>
      <c r="JA183" s="591">
        <v>0</v>
      </c>
      <c r="JB183" s="591">
        <v>0</v>
      </c>
      <c r="JC183" s="591">
        <v>0</v>
      </c>
      <c r="JD183" s="591">
        <v>0</v>
      </c>
      <c r="JE183" s="591">
        <v>0</v>
      </c>
      <c r="JF183" s="591">
        <v>0</v>
      </c>
      <c r="JG183" s="591">
        <v>0</v>
      </c>
      <c r="JH183" s="591">
        <v>0</v>
      </c>
      <c r="JI183" s="591">
        <v>0</v>
      </c>
      <c r="JJ183" s="591">
        <v>0</v>
      </c>
      <c r="JK183" s="591">
        <v>0</v>
      </c>
      <c r="JL183" s="591">
        <v>0</v>
      </c>
      <c r="JM183" s="591">
        <v>0</v>
      </c>
      <c r="JN183" s="591">
        <v>32469</v>
      </c>
    </row>
    <row r="184" spans="1:274" x14ac:dyDescent="0.25">
      <c r="A184" s="591">
        <v>32570</v>
      </c>
      <c r="B184" s="591">
        <v>234801</v>
      </c>
      <c r="C184" s="591">
        <v>9</v>
      </c>
      <c r="D184" s="591">
        <v>2022</v>
      </c>
      <c r="E184" s="591">
        <v>6159</v>
      </c>
      <c r="F184" s="591">
        <v>0</v>
      </c>
      <c r="G184" s="591">
        <v>69.350000000000009</v>
      </c>
      <c r="H184" s="591">
        <v>64.918000000000006</v>
      </c>
      <c r="I184" s="591">
        <v>64.918000000000006</v>
      </c>
      <c r="J184" s="591">
        <v>69.350000000000009</v>
      </c>
      <c r="K184" s="591">
        <v>0</v>
      </c>
      <c r="L184" s="591">
        <v>6159</v>
      </c>
      <c r="M184" s="591">
        <v>0</v>
      </c>
      <c r="N184" s="591">
        <v>0</v>
      </c>
      <c r="O184" s="591">
        <v>0</v>
      </c>
      <c r="P184" s="591">
        <v>51.572000000000003</v>
      </c>
      <c r="Q184" s="591">
        <v>0</v>
      </c>
      <c r="R184" s="591">
        <v>20754</v>
      </c>
      <c r="S184" s="591">
        <v>402.428</v>
      </c>
      <c r="T184" s="591">
        <v>0</v>
      </c>
      <c r="U184" s="591">
        <v>0</v>
      </c>
      <c r="V184" s="591">
        <v>0</v>
      </c>
      <c r="W184" s="591">
        <v>0</v>
      </c>
      <c r="X184" s="591">
        <v>0</v>
      </c>
      <c r="Y184" s="591">
        <v>0</v>
      </c>
      <c r="Z184" s="591">
        <v>0</v>
      </c>
      <c r="AA184" s="591">
        <v>0</v>
      </c>
      <c r="AB184" s="591">
        <v>0</v>
      </c>
      <c r="AC184" s="591">
        <v>0</v>
      </c>
      <c r="AD184" s="591" t="s">
        <v>316</v>
      </c>
      <c r="AE184" s="591">
        <v>0</v>
      </c>
      <c r="AF184" s="591">
        <v>0</v>
      </c>
      <c r="AG184" s="591">
        <v>0</v>
      </c>
      <c r="AH184" s="591">
        <v>0</v>
      </c>
      <c r="AI184" s="591">
        <v>0</v>
      </c>
      <c r="AJ184" s="591">
        <v>6159</v>
      </c>
      <c r="AK184" s="591" t="s">
        <v>671</v>
      </c>
      <c r="AL184" s="591" t="s">
        <v>82</v>
      </c>
      <c r="AM184" s="591">
        <v>0</v>
      </c>
      <c r="AN184" s="591">
        <v>0</v>
      </c>
      <c r="AO184" s="591">
        <v>0</v>
      </c>
      <c r="AP184" s="591">
        <v>0</v>
      </c>
      <c r="AQ184" s="591">
        <v>0</v>
      </c>
      <c r="AR184" s="591">
        <v>0</v>
      </c>
      <c r="AS184" s="591">
        <v>0</v>
      </c>
      <c r="AT184" s="591">
        <v>0</v>
      </c>
      <c r="AU184" s="591">
        <v>0</v>
      </c>
      <c r="AV184" s="591">
        <v>0</v>
      </c>
      <c r="AW184" s="591">
        <v>801437</v>
      </c>
      <c r="AX184" s="591">
        <v>789402</v>
      </c>
      <c r="AY184" s="591">
        <v>0</v>
      </c>
      <c r="AZ184" s="591">
        <v>20754</v>
      </c>
      <c r="BA184" s="591">
        <v>0</v>
      </c>
      <c r="BB184" s="591">
        <v>0</v>
      </c>
      <c r="BC184" s="591">
        <v>0</v>
      </c>
      <c r="BD184" s="591">
        <v>0</v>
      </c>
      <c r="BE184" s="591">
        <v>10</v>
      </c>
      <c r="BF184" s="591">
        <v>699258</v>
      </c>
      <c r="BG184" s="591">
        <v>0</v>
      </c>
      <c r="BH184" s="591">
        <v>0</v>
      </c>
      <c r="BI184" s="591">
        <v>0</v>
      </c>
      <c r="BJ184" s="591">
        <v>12</v>
      </c>
      <c r="BK184" s="591">
        <v>0</v>
      </c>
      <c r="BL184" s="591">
        <v>0</v>
      </c>
      <c r="BM184" s="591">
        <v>0</v>
      </c>
      <c r="BN184" s="591">
        <v>0</v>
      </c>
      <c r="BO184" s="591">
        <v>0</v>
      </c>
      <c r="BP184" s="591">
        <v>0</v>
      </c>
      <c r="BQ184" s="591">
        <v>760</v>
      </c>
      <c r="BR184" s="591">
        <v>0</v>
      </c>
      <c r="BS184" s="591">
        <v>0</v>
      </c>
      <c r="BT184" s="591">
        <v>0</v>
      </c>
      <c r="BU184" s="591">
        <v>0</v>
      </c>
      <c r="BV184" s="591">
        <v>0</v>
      </c>
      <c r="BW184" s="591">
        <v>0</v>
      </c>
      <c r="BX184" s="591">
        <v>0</v>
      </c>
      <c r="BY184" s="591">
        <v>0</v>
      </c>
      <c r="BZ184" s="591">
        <v>0</v>
      </c>
      <c r="CA184" s="591">
        <v>0</v>
      </c>
      <c r="CB184" s="591">
        <v>0</v>
      </c>
      <c r="CC184" s="591">
        <v>0</v>
      </c>
      <c r="CD184" s="591">
        <v>0</v>
      </c>
      <c r="CE184" s="591">
        <v>0</v>
      </c>
      <c r="CF184" s="591">
        <v>0</v>
      </c>
      <c r="CG184" s="591">
        <v>0</v>
      </c>
      <c r="CH184" s="591">
        <v>12567</v>
      </c>
      <c r="CI184" s="591">
        <v>0</v>
      </c>
      <c r="CJ184" s="591">
        <v>4</v>
      </c>
      <c r="CK184" s="591">
        <v>0</v>
      </c>
      <c r="CL184" s="591">
        <v>0</v>
      </c>
      <c r="CM184" s="591">
        <v>0</v>
      </c>
      <c r="CN184" s="591">
        <v>0</v>
      </c>
      <c r="CO184" s="591">
        <v>1</v>
      </c>
      <c r="CP184" s="591">
        <v>0.14200000000000002</v>
      </c>
      <c r="CQ184" s="591">
        <v>0</v>
      </c>
      <c r="CR184" s="591">
        <v>69.350000000000009</v>
      </c>
      <c r="CS184" s="591">
        <v>0</v>
      </c>
      <c r="CT184" s="591">
        <v>0</v>
      </c>
      <c r="CU184" s="591">
        <v>0</v>
      </c>
      <c r="CV184" s="591">
        <v>0</v>
      </c>
      <c r="CW184" s="591">
        <v>0</v>
      </c>
      <c r="CX184" s="591">
        <v>0</v>
      </c>
      <c r="CY184" s="591">
        <v>0</v>
      </c>
      <c r="CZ184" s="591">
        <v>0</v>
      </c>
      <c r="DA184" s="591">
        <v>0</v>
      </c>
      <c r="DB184" s="591">
        <v>322781</v>
      </c>
      <c r="DC184" s="591">
        <v>0</v>
      </c>
      <c r="DD184" s="591">
        <v>0</v>
      </c>
      <c r="DE184" s="591">
        <v>65363</v>
      </c>
      <c r="DF184" s="591">
        <v>84716</v>
      </c>
      <c r="DG184" s="591">
        <v>10.613000000000001</v>
      </c>
      <c r="DH184" s="591">
        <v>0</v>
      </c>
      <c r="DI184" s="591">
        <v>2108</v>
      </c>
      <c r="DJ184" s="591">
        <v>0</v>
      </c>
      <c r="DK184" s="591">
        <v>3782</v>
      </c>
      <c r="DL184" s="591">
        <v>0</v>
      </c>
      <c r="DM184" s="591">
        <v>213678</v>
      </c>
      <c r="DN184" s="591">
        <v>521</v>
      </c>
      <c r="DO184" s="591">
        <v>0</v>
      </c>
      <c r="DP184" s="591">
        <v>0</v>
      </c>
      <c r="DQ184" s="591">
        <v>0</v>
      </c>
      <c r="DR184" s="591">
        <v>0</v>
      </c>
      <c r="DS184" s="591">
        <v>0</v>
      </c>
      <c r="DT184" s="591">
        <v>0</v>
      </c>
      <c r="DU184" s="591">
        <v>0</v>
      </c>
      <c r="DV184" s="591">
        <v>0</v>
      </c>
      <c r="DW184" s="591">
        <v>0</v>
      </c>
      <c r="DX184" s="591">
        <v>0</v>
      </c>
      <c r="DY184" s="591">
        <v>0</v>
      </c>
      <c r="DZ184" s="591">
        <v>0</v>
      </c>
      <c r="EA184" s="591">
        <v>0</v>
      </c>
      <c r="EB184" s="591">
        <v>0</v>
      </c>
      <c r="EC184" s="591">
        <v>6.1670000000000007</v>
      </c>
      <c r="ED184" s="591">
        <v>43681</v>
      </c>
      <c r="EE184" s="591">
        <v>0</v>
      </c>
      <c r="EF184" s="591">
        <v>0</v>
      </c>
      <c r="EG184" s="591">
        <v>0</v>
      </c>
      <c r="EH184" s="591">
        <v>47172</v>
      </c>
      <c r="EI184" s="591">
        <v>46292</v>
      </c>
      <c r="EJ184" s="591">
        <v>1.879</v>
      </c>
      <c r="EK184" s="591">
        <v>2.5529999999999999</v>
      </c>
      <c r="EL184" s="591">
        <v>0</v>
      </c>
      <c r="EM184" s="591">
        <v>0</v>
      </c>
      <c r="EN184" s="591">
        <v>0</v>
      </c>
      <c r="EO184" s="591">
        <v>0</v>
      </c>
      <c r="EP184" s="591">
        <v>0</v>
      </c>
      <c r="EQ184" s="591">
        <v>4.4320000000000004</v>
      </c>
      <c r="ER184" s="591">
        <v>0</v>
      </c>
      <c r="ES184" s="591">
        <v>7.6590000000000007</v>
      </c>
      <c r="ET184" s="591">
        <v>0</v>
      </c>
      <c r="EU184" s="591">
        <v>0</v>
      </c>
      <c r="EV184" s="591">
        <v>0</v>
      </c>
      <c r="EW184" s="591">
        <v>0</v>
      </c>
      <c r="EX184" s="591">
        <v>0</v>
      </c>
      <c r="EY184" s="591">
        <v>0</v>
      </c>
      <c r="EZ184" s="591">
        <v>702197</v>
      </c>
      <c r="FA184" s="591">
        <v>0</v>
      </c>
      <c r="FB184" s="591">
        <v>722419</v>
      </c>
      <c r="FC184" s="591">
        <v>0</v>
      </c>
      <c r="FD184" s="591">
        <v>0</v>
      </c>
      <c r="FE184" s="591">
        <v>72431</v>
      </c>
      <c r="FF184" s="591">
        <v>14774</v>
      </c>
      <c r="FG184" s="591">
        <v>6.4728999999999995E-2</v>
      </c>
      <c r="FH184" s="591">
        <v>2.6405999999999999E-2</v>
      </c>
      <c r="FI184" s="591">
        <v>0</v>
      </c>
      <c r="FJ184" s="591">
        <v>0</v>
      </c>
      <c r="FK184" s="591">
        <v>113.533</v>
      </c>
      <c r="FL184" s="591">
        <v>822191</v>
      </c>
      <c r="FM184" s="591">
        <v>0</v>
      </c>
      <c r="FN184" s="591">
        <v>0</v>
      </c>
      <c r="FO184" s="591">
        <v>0</v>
      </c>
      <c r="FP184" s="591">
        <v>0</v>
      </c>
      <c r="FQ184" s="591">
        <v>0</v>
      </c>
      <c r="FR184" s="591">
        <v>0</v>
      </c>
      <c r="FS184" s="591">
        <v>0</v>
      </c>
      <c r="FT184" s="591">
        <v>0</v>
      </c>
      <c r="FU184" s="591">
        <v>0</v>
      </c>
      <c r="FV184" s="591">
        <v>0</v>
      </c>
      <c r="FW184" s="591">
        <v>0</v>
      </c>
      <c r="FX184" s="591">
        <v>0</v>
      </c>
      <c r="FY184" s="591">
        <v>0</v>
      </c>
      <c r="FZ184" s="591">
        <v>0</v>
      </c>
      <c r="GA184" s="591">
        <v>0</v>
      </c>
      <c r="GB184" s="591">
        <v>0</v>
      </c>
      <c r="GC184" s="591">
        <v>0</v>
      </c>
      <c r="GD184" s="591">
        <v>0</v>
      </c>
      <c r="GE184" s="591">
        <v>0</v>
      </c>
      <c r="GF184" s="591">
        <v>0</v>
      </c>
      <c r="GG184" s="591">
        <v>0</v>
      </c>
      <c r="GH184" s="591">
        <v>0</v>
      </c>
      <c r="GI184" s="591">
        <v>0</v>
      </c>
      <c r="GJ184" s="591">
        <v>0</v>
      </c>
      <c r="GK184" s="591">
        <v>0</v>
      </c>
      <c r="GL184" s="591">
        <v>0</v>
      </c>
      <c r="GM184" s="591">
        <v>0</v>
      </c>
      <c r="GN184" s="591">
        <v>0</v>
      </c>
      <c r="GO184" s="591">
        <v>0</v>
      </c>
      <c r="GP184" s="591">
        <v>0</v>
      </c>
      <c r="GQ184" s="591">
        <v>0</v>
      </c>
      <c r="GR184" s="591">
        <v>0</v>
      </c>
      <c r="GS184" s="591">
        <v>0</v>
      </c>
      <c r="GT184" s="591">
        <v>0</v>
      </c>
      <c r="GU184" s="591">
        <v>0</v>
      </c>
      <c r="GV184" s="591">
        <v>0</v>
      </c>
      <c r="GW184" s="591">
        <v>0</v>
      </c>
      <c r="GX184" s="591">
        <v>0</v>
      </c>
      <c r="GY184" s="591">
        <v>0</v>
      </c>
      <c r="GZ184" s="591">
        <v>0</v>
      </c>
      <c r="HA184" s="591">
        <v>0</v>
      </c>
      <c r="HB184" s="591">
        <v>260009272</v>
      </c>
      <c r="HC184" s="591">
        <v>5.1774999999999995E-2</v>
      </c>
      <c r="HD184" s="591">
        <v>12567</v>
      </c>
      <c r="HE184" s="591">
        <v>0</v>
      </c>
      <c r="HF184" s="591">
        <v>71345</v>
      </c>
      <c r="HG184" s="591">
        <v>5543</v>
      </c>
      <c r="HH184" s="591">
        <v>0</v>
      </c>
      <c r="HI184" s="591">
        <v>0</v>
      </c>
      <c r="HJ184" s="591">
        <v>674</v>
      </c>
      <c r="HK184" s="591">
        <v>823</v>
      </c>
      <c r="HL184" s="591">
        <v>212</v>
      </c>
      <c r="HM184" s="591">
        <v>0</v>
      </c>
      <c r="HN184" s="591">
        <v>0</v>
      </c>
      <c r="HO184" s="591">
        <v>0</v>
      </c>
      <c r="HP184" s="591">
        <v>16548</v>
      </c>
      <c r="HQ184" s="591">
        <v>0</v>
      </c>
      <c r="HR184" s="591">
        <v>0</v>
      </c>
      <c r="HS184" s="591">
        <v>701665</v>
      </c>
      <c r="HT184" s="591">
        <v>0</v>
      </c>
      <c r="HU184" s="591">
        <v>0</v>
      </c>
      <c r="HV184" s="591">
        <v>0</v>
      </c>
      <c r="HW184" s="591">
        <v>0</v>
      </c>
      <c r="HX184" s="591">
        <v>17</v>
      </c>
      <c r="HY184" s="591">
        <v>12</v>
      </c>
      <c r="HZ184" s="591">
        <v>7</v>
      </c>
      <c r="IA184" s="591">
        <v>1</v>
      </c>
      <c r="IB184" s="591">
        <v>7</v>
      </c>
      <c r="IC184" s="591">
        <v>33</v>
      </c>
      <c r="ID184" s="591">
        <v>14</v>
      </c>
      <c r="IE184" s="591">
        <v>0</v>
      </c>
      <c r="IF184" s="591">
        <v>0</v>
      </c>
      <c r="IG184" s="591">
        <v>9</v>
      </c>
      <c r="IH184" s="591">
        <v>0</v>
      </c>
      <c r="II184" s="591">
        <v>60.175000000000004</v>
      </c>
      <c r="IJ184" s="591">
        <v>0</v>
      </c>
      <c r="IK184" s="591">
        <v>22.218</v>
      </c>
      <c r="IL184" s="591">
        <v>0</v>
      </c>
      <c r="IM184" s="591">
        <v>0</v>
      </c>
      <c r="IN184" s="591">
        <v>0</v>
      </c>
      <c r="IO184" s="591">
        <v>0</v>
      </c>
      <c r="IP184" s="591">
        <v>82.393000000000001</v>
      </c>
      <c r="IQ184" s="591">
        <v>0</v>
      </c>
      <c r="IR184" s="591">
        <v>0</v>
      </c>
      <c r="IS184" s="591">
        <v>6110</v>
      </c>
      <c r="IT184" s="591">
        <v>0</v>
      </c>
      <c r="IU184" s="591">
        <v>0</v>
      </c>
      <c r="IV184" s="591">
        <v>0</v>
      </c>
      <c r="IW184" s="591">
        <v>6159</v>
      </c>
      <c r="IX184" s="591">
        <v>0</v>
      </c>
      <c r="IY184" s="591">
        <v>0</v>
      </c>
      <c r="IZ184" s="591">
        <v>22658</v>
      </c>
      <c r="JA184" s="591">
        <v>17245</v>
      </c>
      <c r="JB184" s="591">
        <v>0</v>
      </c>
      <c r="JC184" s="591">
        <v>0</v>
      </c>
      <c r="JD184" s="591">
        <v>0</v>
      </c>
      <c r="JE184" s="591">
        <v>0</v>
      </c>
      <c r="JF184" s="591">
        <v>0</v>
      </c>
      <c r="JG184" s="591">
        <v>0</v>
      </c>
      <c r="JH184" s="591">
        <v>0</v>
      </c>
      <c r="JI184" s="591">
        <v>0</v>
      </c>
      <c r="JJ184" s="591">
        <v>0</v>
      </c>
      <c r="JK184" s="591">
        <v>0</v>
      </c>
      <c r="JL184" s="591">
        <v>0</v>
      </c>
      <c r="JM184" s="591">
        <v>0</v>
      </c>
      <c r="JN184" s="591">
        <v>32469</v>
      </c>
    </row>
    <row r="185" spans="1:274" x14ac:dyDescent="0.25">
      <c r="A185" s="591">
        <v>32570</v>
      </c>
      <c r="B185" s="591">
        <v>236801</v>
      </c>
      <c r="C185" s="591">
        <v>9</v>
      </c>
      <c r="D185" s="591">
        <v>2022</v>
      </c>
      <c r="E185" s="591">
        <v>6159</v>
      </c>
      <c r="F185" s="591">
        <v>0</v>
      </c>
      <c r="G185" s="591">
        <v>25.762</v>
      </c>
      <c r="H185" s="591">
        <v>0.93</v>
      </c>
      <c r="I185" s="591">
        <v>0.93</v>
      </c>
      <c r="J185" s="591">
        <v>25.762</v>
      </c>
      <c r="K185" s="591">
        <v>0</v>
      </c>
      <c r="L185" s="591">
        <v>6159</v>
      </c>
      <c r="M185" s="591">
        <v>0</v>
      </c>
      <c r="N185" s="591">
        <v>0</v>
      </c>
      <c r="O185" s="591">
        <v>0</v>
      </c>
      <c r="P185" s="591">
        <v>50.160000000000004</v>
      </c>
      <c r="Q185" s="591">
        <v>0</v>
      </c>
      <c r="R185" s="591">
        <v>20186</v>
      </c>
      <c r="S185" s="591">
        <v>402.428</v>
      </c>
      <c r="T185" s="591">
        <v>0</v>
      </c>
      <c r="U185" s="591">
        <v>0</v>
      </c>
      <c r="V185" s="591">
        <v>2.2749999999999999</v>
      </c>
      <c r="W185" s="591">
        <v>1401</v>
      </c>
      <c r="X185" s="591">
        <v>1401</v>
      </c>
      <c r="Y185" s="591">
        <v>0</v>
      </c>
      <c r="Z185" s="591">
        <v>0</v>
      </c>
      <c r="AA185" s="591">
        <v>0</v>
      </c>
      <c r="AB185" s="591">
        <v>0</v>
      </c>
      <c r="AC185" s="591">
        <v>0</v>
      </c>
      <c r="AD185" s="591" t="s">
        <v>316</v>
      </c>
      <c r="AE185" s="591">
        <v>0</v>
      </c>
      <c r="AF185" s="591">
        <v>0</v>
      </c>
      <c r="AG185" s="591">
        <v>0</v>
      </c>
      <c r="AH185" s="591">
        <v>0</v>
      </c>
      <c r="AI185" s="591">
        <v>0</v>
      </c>
      <c r="AJ185" s="591">
        <v>6159</v>
      </c>
      <c r="AK185" s="591" t="s">
        <v>671</v>
      </c>
      <c r="AL185" s="591" t="s">
        <v>83</v>
      </c>
      <c r="AM185" s="591">
        <v>0</v>
      </c>
      <c r="AN185" s="591">
        <v>0</v>
      </c>
      <c r="AO185" s="591">
        <v>0</v>
      </c>
      <c r="AP185" s="591">
        <v>0</v>
      </c>
      <c r="AQ185" s="591">
        <v>0</v>
      </c>
      <c r="AR185" s="591">
        <v>0</v>
      </c>
      <c r="AS185" s="591">
        <v>0</v>
      </c>
      <c r="AT185" s="591">
        <v>0</v>
      </c>
      <c r="AU185" s="591">
        <v>0</v>
      </c>
      <c r="AV185" s="591">
        <v>0</v>
      </c>
      <c r="AW185" s="591">
        <v>757204</v>
      </c>
      <c r="AX185" s="591">
        <v>753261</v>
      </c>
      <c r="AY185" s="591">
        <v>0</v>
      </c>
      <c r="AZ185" s="591">
        <v>20186</v>
      </c>
      <c r="BA185" s="591">
        <v>0</v>
      </c>
      <c r="BB185" s="591">
        <v>0</v>
      </c>
      <c r="BC185" s="591">
        <v>0</v>
      </c>
      <c r="BD185" s="591">
        <v>0</v>
      </c>
      <c r="BE185" s="591">
        <v>10</v>
      </c>
      <c r="BF185" s="591">
        <v>661410</v>
      </c>
      <c r="BG185" s="591">
        <v>0</v>
      </c>
      <c r="BH185" s="591">
        <v>0</v>
      </c>
      <c r="BI185" s="591">
        <v>0</v>
      </c>
      <c r="BJ185" s="591">
        <v>12</v>
      </c>
      <c r="BK185" s="591">
        <v>0</v>
      </c>
      <c r="BL185" s="591">
        <v>0</v>
      </c>
      <c r="BM185" s="591">
        <v>0</v>
      </c>
      <c r="BN185" s="591">
        <v>0</v>
      </c>
      <c r="BO185" s="591">
        <v>0</v>
      </c>
      <c r="BP185" s="591">
        <v>0</v>
      </c>
      <c r="BQ185" s="591">
        <v>770</v>
      </c>
      <c r="BR185" s="591">
        <v>0</v>
      </c>
      <c r="BS185" s="591">
        <v>0</v>
      </c>
      <c r="BT185" s="591">
        <v>0</v>
      </c>
      <c r="BU185" s="591">
        <v>0</v>
      </c>
      <c r="BV185" s="591">
        <v>0</v>
      </c>
      <c r="BW185" s="591">
        <v>0</v>
      </c>
      <c r="BX185" s="591">
        <v>0</v>
      </c>
      <c r="BY185" s="591">
        <v>0</v>
      </c>
      <c r="BZ185" s="591">
        <v>0</v>
      </c>
      <c r="CA185" s="591">
        <v>0</v>
      </c>
      <c r="CB185" s="591">
        <v>0</v>
      </c>
      <c r="CC185" s="591">
        <v>0</v>
      </c>
      <c r="CD185" s="591">
        <v>0</v>
      </c>
      <c r="CE185" s="591">
        <v>0</v>
      </c>
      <c r="CF185" s="591">
        <v>0</v>
      </c>
      <c r="CG185" s="591">
        <v>0</v>
      </c>
      <c r="CH185" s="591">
        <v>4668</v>
      </c>
      <c r="CI185" s="591">
        <v>0</v>
      </c>
      <c r="CJ185" s="591">
        <v>4</v>
      </c>
      <c r="CK185" s="591">
        <v>0</v>
      </c>
      <c r="CL185" s="591">
        <v>0</v>
      </c>
      <c r="CM185" s="591">
        <v>0</v>
      </c>
      <c r="CN185" s="591">
        <v>0</v>
      </c>
      <c r="CO185" s="591">
        <v>1</v>
      </c>
      <c r="CP185" s="591">
        <v>0</v>
      </c>
      <c r="CQ185" s="591">
        <v>0</v>
      </c>
      <c r="CR185" s="591">
        <v>25.762</v>
      </c>
      <c r="CS185" s="591">
        <v>0</v>
      </c>
      <c r="CT185" s="591">
        <v>0</v>
      </c>
      <c r="CU185" s="591">
        <v>0</v>
      </c>
      <c r="CV185" s="591">
        <v>0</v>
      </c>
      <c r="CW185" s="591">
        <v>0</v>
      </c>
      <c r="CX185" s="591">
        <v>0</v>
      </c>
      <c r="CY185" s="591">
        <v>0</v>
      </c>
      <c r="CZ185" s="591">
        <v>0</v>
      </c>
      <c r="DA185" s="591">
        <v>0</v>
      </c>
      <c r="DB185" s="591">
        <v>0</v>
      </c>
      <c r="DC185" s="591">
        <v>0</v>
      </c>
      <c r="DD185" s="591">
        <v>0</v>
      </c>
      <c r="DE185" s="591">
        <v>67904</v>
      </c>
      <c r="DF185" s="591">
        <v>67904</v>
      </c>
      <c r="DG185" s="591">
        <v>11.025</v>
      </c>
      <c r="DH185" s="591">
        <v>0</v>
      </c>
      <c r="DI185" s="591">
        <v>0</v>
      </c>
      <c r="DJ185" s="591">
        <v>0</v>
      </c>
      <c r="DK185" s="591">
        <v>3939</v>
      </c>
      <c r="DL185" s="591">
        <v>0</v>
      </c>
      <c r="DM185" s="591">
        <v>430171</v>
      </c>
      <c r="DN185" s="591">
        <v>715</v>
      </c>
      <c r="DO185" s="591">
        <v>0</v>
      </c>
      <c r="DP185" s="591">
        <v>0</v>
      </c>
      <c r="DQ185" s="591">
        <v>0</v>
      </c>
      <c r="DR185" s="591">
        <v>0</v>
      </c>
      <c r="DS185" s="591">
        <v>0</v>
      </c>
      <c r="DT185" s="591">
        <v>0</v>
      </c>
      <c r="DU185" s="591">
        <v>0</v>
      </c>
      <c r="DV185" s="591">
        <v>0</v>
      </c>
      <c r="DW185" s="591">
        <v>0</v>
      </c>
      <c r="DX185" s="591">
        <v>0</v>
      </c>
      <c r="DY185" s="591">
        <v>0</v>
      </c>
      <c r="DZ185" s="591">
        <v>0</v>
      </c>
      <c r="EA185" s="591">
        <v>0</v>
      </c>
      <c r="EB185" s="591">
        <v>0</v>
      </c>
      <c r="EC185" s="591">
        <v>0</v>
      </c>
      <c r="ED185" s="591">
        <v>0</v>
      </c>
      <c r="EE185" s="591">
        <v>0</v>
      </c>
      <c r="EF185" s="591">
        <v>0</v>
      </c>
      <c r="EG185" s="591">
        <v>0</v>
      </c>
      <c r="EH185" s="591">
        <v>0</v>
      </c>
      <c r="EI185" s="591">
        <v>188222</v>
      </c>
      <c r="EJ185" s="591">
        <v>7.6400000000000006</v>
      </c>
      <c r="EK185" s="591">
        <v>0</v>
      </c>
      <c r="EL185" s="591">
        <v>0</v>
      </c>
      <c r="EM185" s="591">
        <v>0</v>
      </c>
      <c r="EN185" s="591">
        <v>0</v>
      </c>
      <c r="EO185" s="591">
        <v>0</v>
      </c>
      <c r="EP185" s="591">
        <v>0</v>
      </c>
      <c r="EQ185" s="591">
        <v>7.6400000000000006</v>
      </c>
      <c r="ER185" s="591">
        <v>0</v>
      </c>
      <c r="ES185" s="591">
        <v>0</v>
      </c>
      <c r="ET185" s="591">
        <v>0</v>
      </c>
      <c r="EU185" s="591">
        <v>0</v>
      </c>
      <c r="EV185" s="591">
        <v>0</v>
      </c>
      <c r="EW185" s="591">
        <v>0</v>
      </c>
      <c r="EX185" s="591">
        <v>0</v>
      </c>
      <c r="EY185" s="591">
        <v>0</v>
      </c>
      <c r="EZ185" s="591">
        <v>670777</v>
      </c>
      <c r="FA185" s="591">
        <v>0</v>
      </c>
      <c r="FB185" s="591">
        <v>690238</v>
      </c>
      <c r="FC185" s="591">
        <v>0</v>
      </c>
      <c r="FD185" s="591">
        <v>0</v>
      </c>
      <c r="FE185" s="591">
        <v>68510</v>
      </c>
      <c r="FF185" s="591">
        <v>13974</v>
      </c>
      <c r="FG185" s="591">
        <v>6.4728999999999995E-2</v>
      </c>
      <c r="FH185" s="591">
        <v>2.6405999999999999E-2</v>
      </c>
      <c r="FI185" s="591">
        <v>0</v>
      </c>
      <c r="FJ185" s="591">
        <v>0</v>
      </c>
      <c r="FK185" s="591">
        <v>107.38800000000001</v>
      </c>
      <c r="FL185" s="591">
        <v>777390</v>
      </c>
      <c r="FM185" s="591">
        <v>0</v>
      </c>
      <c r="FN185" s="591">
        <v>0</v>
      </c>
      <c r="FO185" s="591">
        <v>0</v>
      </c>
      <c r="FP185" s="591">
        <v>0</v>
      </c>
      <c r="FQ185" s="591">
        <v>0</v>
      </c>
      <c r="FR185" s="591">
        <v>0</v>
      </c>
      <c r="FS185" s="591">
        <v>0</v>
      </c>
      <c r="FT185" s="591">
        <v>0</v>
      </c>
      <c r="FU185" s="591">
        <v>0</v>
      </c>
      <c r="FV185" s="591">
        <v>0</v>
      </c>
      <c r="FW185" s="591">
        <v>0</v>
      </c>
      <c r="FX185" s="591">
        <v>0</v>
      </c>
      <c r="FY185" s="591">
        <v>0</v>
      </c>
      <c r="FZ185" s="591">
        <v>0</v>
      </c>
      <c r="GA185" s="591">
        <v>0</v>
      </c>
      <c r="GB185" s="591">
        <v>142947</v>
      </c>
      <c r="GC185" s="591">
        <v>142947</v>
      </c>
      <c r="GD185" s="591">
        <v>17.192</v>
      </c>
      <c r="GE185" s="591">
        <v>0</v>
      </c>
      <c r="GF185" s="591">
        <v>0</v>
      </c>
      <c r="GG185" s="591">
        <v>0</v>
      </c>
      <c r="GH185" s="591">
        <v>0</v>
      </c>
      <c r="GI185" s="591">
        <v>0</v>
      </c>
      <c r="GJ185" s="591">
        <v>0</v>
      </c>
      <c r="GK185" s="591">
        <v>0</v>
      </c>
      <c r="GL185" s="591">
        <v>0</v>
      </c>
      <c r="GM185" s="591">
        <v>0</v>
      </c>
      <c r="GN185" s="591">
        <v>0</v>
      </c>
      <c r="GO185" s="591">
        <v>0</v>
      </c>
      <c r="GP185" s="591">
        <v>0</v>
      </c>
      <c r="GQ185" s="591">
        <v>0</v>
      </c>
      <c r="GR185" s="591">
        <v>0</v>
      </c>
      <c r="GS185" s="591">
        <v>0</v>
      </c>
      <c r="GT185" s="591">
        <v>0</v>
      </c>
      <c r="GU185" s="591">
        <v>0</v>
      </c>
      <c r="GV185" s="591">
        <v>0</v>
      </c>
      <c r="GW185" s="591">
        <v>0</v>
      </c>
      <c r="GX185" s="591">
        <v>0</v>
      </c>
      <c r="GY185" s="591">
        <v>0</v>
      </c>
      <c r="GZ185" s="591">
        <v>0</v>
      </c>
      <c r="HA185" s="591">
        <v>0</v>
      </c>
      <c r="HB185" s="591">
        <v>260009272</v>
      </c>
      <c r="HC185" s="591">
        <v>5.1774999999999995E-2</v>
      </c>
      <c r="HD185" s="591">
        <v>4668</v>
      </c>
      <c r="HE185" s="591">
        <v>0</v>
      </c>
      <c r="HF185" s="591">
        <v>1022</v>
      </c>
      <c r="HG185" s="591">
        <v>0</v>
      </c>
      <c r="HH185" s="591">
        <v>0</v>
      </c>
      <c r="HI185" s="591">
        <v>0</v>
      </c>
      <c r="HJ185" s="591">
        <v>250</v>
      </c>
      <c r="HK185" s="591">
        <v>560</v>
      </c>
      <c r="HL185" s="591">
        <v>433</v>
      </c>
      <c r="HM185" s="591">
        <v>17000</v>
      </c>
      <c r="HN185" s="591">
        <v>0</v>
      </c>
      <c r="HO185" s="591">
        <v>0</v>
      </c>
      <c r="HP185" s="591">
        <v>28560</v>
      </c>
      <c r="HQ185" s="591">
        <v>0</v>
      </c>
      <c r="HR185" s="591">
        <v>0</v>
      </c>
      <c r="HS185" s="591">
        <v>670052</v>
      </c>
      <c r="HT185" s="591">
        <v>0</v>
      </c>
      <c r="HU185" s="591">
        <v>0</v>
      </c>
      <c r="HV185" s="591">
        <v>0</v>
      </c>
      <c r="HW185" s="591">
        <v>0</v>
      </c>
      <c r="HX185" s="591">
        <v>4</v>
      </c>
      <c r="HY185" s="591">
        <v>5</v>
      </c>
      <c r="HZ185" s="591">
        <v>12</v>
      </c>
      <c r="IA185" s="591">
        <v>9</v>
      </c>
      <c r="IB185" s="591">
        <v>13</v>
      </c>
      <c r="IC185" s="591">
        <v>39</v>
      </c>
      <c r="ID185" s="591">
        <v>0</v>
      </c>
      <c r="IE185" s="591">
        <v>0</v>
      </c>
      <c r="IF185" s="591">
        <v>0</v>
      </c>
      <c r="IG185" s="591">
        <v>0</v>
      </c>
      <c r="IH185" s="591">
        <v>0</v>
      </c>
      <c r="II185" s="591">
        <v>103.85600000000001</v>
      </c>
      <c r="IJ185" s="591">
        <v>2.2749999999999999</v>
      </c>
      <c r="IK185" s="591">
        <v>0</v>
      </c>
      <c r="IL185" s="591">
        <v>3</v>
      </c>
      <c r="IM185" s="591">
        <v>0</v>
      </c>
      <c r="IN185" s="591">
        <v>1</v>
      </c>
      <c r="IO185" s="591">
        <v>4</v>
      </c>
      <c r="IP185" s="591">
        <v>103.85600000000001</v>
      </c>
      <c r="IQ185" s="591">
        <v>2.2749999999999999</v>
      </c>
      <c r="IR185" s="591">
        <v>1401</v>
      </c>
      <c r="IS185" s="591">
        <v>0</v>
      </c>
      <c r="IT185" s="591">
        <v>15000</v>
      </c>
      <c r="IU185" s="591">
        <v>0</v>
      </c>
      <c r="IV185" s="591">
        <v>2000</v>
      </c>
      <c r="IW185" s="591">
        <v>6159</v>
      </c>
      <c r="IX185" s="591">
        <v>0</v>
      </c>
      <c r="IY185" s="591">
        <v>0</v>
      </c>
      <c r="IZ185" s="591">
        <v>28560</v>
      </c>
      <c r="JA185" s="591">
        <v>0</v>
      </c>
      <c r="JB185" s="591">
        <v>0</v>
      </c>
      <c r="JC185" s="591">
        <v>0</v>
      </c>
      <c r="JD185" s="591">
        <v>0</v>
      </c>
      <c r="JE185" s="591">
        <v>0</v>
      </c>
      <c r="JF185" s="591">
        <v>0</v>
      </c>
      <c r="JG185" s="591">
        <v>0</v>
      </c>
      <c r="JH185" s="591">
        <v>0</v>
      </c>
      <c r="JI185" s="591">
        <v>0</v>
      </c>
      <c r="JJ185" s="591">
        <v>0</v>
      </c>
      <c r="JK185" s="591">
        <v>0</v>
      </c>
      <c r="JL185" s="591">
        <v>0</v>
      </c>
      <c r="JM185" s="591">
        <v>0</v>
      </c>
      <c r="JN185" s="591">
        <v>32469</v>
      </c>
    </row>
    <row r="186" spans="1:274" x14ac:dyDescent="0.25">
      <c r="A186" s="591">
        <v>32570</v>
      </c>
      <c r="B186" s="591">
        <v>236802</v>
      </c>
      <c r="C186" s="591">
        <v>9</v>
      </c>
      <c r="D186" s="591">
        <v>2022</v>
      </c>
      <c r="E186" s="591">
        <v>6159</v>
      </c>
      <c r="F186" s="591">
        <v>0</v>
      </c>
      <c r="G186" s="591">
        <v>381.53700000000003</v>
      </c>
      <c r="H186" s="591">
        <v>380.29500000000002</v>
      </c>
      <c r="I186" s="591">
        <v>380.29500000000002</v>
      </c>
      <c r="J186" s="591">
        <v>381.53700000000003</v>
      </c>
      <c r="K186" s="591">
        <v>0</v>
      </c>
      <c r="L186" s="591">
        <v>6159</v>
      </c>
      <c r="M186" s="591">
        <v>0</v>
      </c>
      <c r="N186" s="591">
        <v>0</v>
      </c>
      <c r="O186" s="591">
        <v>0</v>
      </c>
      <c r="P186" s="591">
        <v>373.017</v>
      </c>
      <c r="Q186" s="591">
        <v>0</v>
      </c>
      <c r="R186" s="591">
        <v>150112</v>
      </c>
      <c r="S186" s="591">
        <v>402.428</v>
      </c>
      <c r="T186" s="591">
        <v>0</v>
      </c>
      <c r="U186" s="591">
        <v>0</v>
      </c>
      <c r="V186" s="591">
        <v>18.760999999999999</v>
      </c>
      <c r="W186" s="591">
        <v>11555</v>
      </c>
      <c r="X186" s="591">
        <v>11555</v>
      </c>
      <c r="Y186" s="591">
        <v>0</v>
      </c>
      <c r="Z186" s="591">
        <v>0</v>
      </c>
      <c r="AA186" s="591">
        <v>0</v>
      </c>
      <c r="AB186" s="591">
        <v>0</v>
      </c>
      <c r="AC186" s="591">
        <v>0</v>
      </c>
      <c r="AD186" s="591" t="s">
        <v>316</v>
      </c>
      <c r="AE186" s="591">
        <v>0</v>
      </c>
      <c r="AF186" s="591">
        <v>0</v>
      </c>
      <c r="AG186" s="591">
        <v>0</v>
      </c>
      <c r="AH186" s="591">
        <v>0</v>
      </c>
      <c r="AI186" s="591">
        <v>0</v>
      </c>
      <c r="AJ186" s="591">
        <v>6159</v>
      </c>
      <c r="AK186" s="591" t="s">
        <v>671</v>
      </c>
      <c r="AL186" s="591" t="s">
        <v>390</v>
      </c>
      <c r="AM186" s="591">
        <v>0</v>
      </c>
      <c r="AN186" s="591">
        <v>0</v>
      </c>
      <c r="AO186" s="591">
        <v>0</v>
      </c>
      <c r="AP186" s="591">
        <v>0</v>
      </c>
      <c r="AQ186" s="591">
        <v>0</v>
      </c>
      <c r="AR186" s="591">
        <v>0</v>
      </c>
      <c r="AS186" s="591">
        <v>0</v>
      </c>
      <c r="AT186" s="591">
        <v>0</v>
      </c>
      <c r="AU186" s="591">
        <v>0</v>
      </c>
      <c r="AV186" s="591">
        <v>0</v>
      </c>
      <c r="AW186" s="591">
        <v>3440185</v>
      </c>
      <c r="AX186" s="591">
        <v>3371787</v>
      </c>
      <c r="AY186" s="591">
        <v>0</v>
      </c>
      <c r="AZ186" s="591">
        <v>150112</v>
      </c>
      <c r="BA186" s="591">
        <v>0</v>
      </c>
      <c r="BB186" s="591">
        <v>0</v>
      </c>
      <c r="BC186" s="591">
        <v>0</v>
      </c>
      <c r="BD186" s="591">
        <v>3</v>
      </c>
      <c r="BE186" s="591">
        <v>45</v>
      </c>
      <c r="BF186" s="591">
        <v>3131385</v>
      </c>
      <c r="BG186" s="591">
        <v>0</v>
      </c>
      <c r="BH186" s="591">
        <v>0</v>
      </c>
      <c r="BI186" s="591">
        <v>0</v>
      </c>
      <c r="BJ186" s="591">
        <v>12</v>
      </c>
      <c r="BK186" s="591">
        <v>0</v>
      </c>
      <c r="BL186" s="591">
        <v>0</v>
      </c>
      <c r="BM186" s="591">
        <v>0</v>
      </c>
      <c r="BN186" s="591">
        <v>0</v>
      </c>
      <c r="BO186" s="591">
        <v>0</v>
      </c>
      <c r="BP186" s="591">
        <v>0</v>
      </c>
      <c r="BQ186" s="591">
        <v>711</v>
      </c>
      <c r="BR186" s="591">
        <v>0</v>
      </c>
      <c r="BS186" s="591">
        <v>0</v>
      </c>
      <c r="BT186" s="591">
        <v>0</v>
      </c>
      <c r="BU186" s="591">
        <v>0</v>
      </c>
      <c r="BV186" s="591">
        <v>0</v>
      </c>
      <c r="BW186" s="591">
        <v>0</v>
      </c>
      <c r="BX186" s="591">
        <v>0</v>
      </c>
      <c r="BY186" s="591">
        <v>0</v>
      </c>
      <c r="BZ186" s="591">
        <v>0</v>
      </c>
      <c r="CA186" s="591">
        <v>0</v>
      </c>
      <c r="CB186" s="591">
        <v>0</v>
      </c>
      <c r="CC186" s="591">
        <v>0</v>
      </c>
      <c r="CD186" s="591">
        <v>0</v>
      </c>
      <c r="CE186" s="591">
        <v>0</v>
      </c>
      <c r="CF186" s="591">
        <v>0</v>
      </c>
      <c r="CG186" s="591">
        <v>0</v>
      </c>
      <c r="CH186" s="591">
        <v>69139</v>
      </c>
      <c r="CI186" s="591">
        <v>0</v>
      </c>
      <c r="CJ186" s="591">
        <v>4</v>
      </c>
      <c r="CK186" s="591">
        <v>0</v>
      </c>
      <c r="CL186" s="591">
        <v>0</v>
      </c>
      <c r="CM186" s="591">
        <v>0</v>
      </c>
      <c r="CN186" s="591">
        <v>0</v>
      </c>
      <c r="CO186" s="591">
        <v>1</v>
      </c>
      <c r="CP186" s="591">
        <v>0</v>
      </c>
      <c r="CQ186" s="591">
        <v>0</v>
      </c>
      <c r="CR186" s="591">
        <v>381.53700000000003</v>
      </c>
      <c r="CS186" s="591">
        <v>0</v>
      </c>
      <c r="CT186" s="591">
        <v>0</v>
      </c>
      <c r="CU186" s="591">
        <v>0</v>
      </c>
      <c r="CV186" s="591">
        <v>0</v>
      </c>
      <c r="CW186" s="591">
        <v>0</v>
      </c>
      <c r="CX186" s="591">
        <v>0</v>
      </c>
      <c r="CY186" s="591">
        <v>0</v>
      </c>
      <c r="CZ186" s="591">
        <v>0</v>
      </c>
      <c r="DA186" s="591">
        <v>0</v>
      </c>
      <c r="DB186" s="591">
        <v>2342268</v>
      </c>
      <c r="DC186" s="591">
        <v>0</v>
      </c>
      <c r="DD186" s="591">
        <v>0</v>
      </c>
      <c r="DE186" s="591">
        <v>122874</v>
      </c>
      <c r="DF186" s="591">
        <v>122874</v>
      </c>
      <c r="DG186" s="591">
        <v>19.95</v>
      </c>
      <c r="DH186" s="591">
        <v>0</v>
      </c>
      <c r="DI186" s="591">
        <v>0</v>
      </c>
      <c r="DJ186" s="591">
        <v>0</v>
      </c>
      <c r="DK186" s="591">
        <v>3005</v>
      </c>
      <c r="DL186" s="591">
        <v>0</v>
      </c>
      <c r="DM186" s="591">
        <v>182377</v>
      </c>
      <c r="DN186" s="591">
        <v>696</v>
      </c>
      <c r="DO186" s="591">
        <v>0</v>
      </c>
      <c r="DP186" s="591">
        <v>0</v>
      </c>
      <c r="DQ186" s="591">
        <v>0</v>
      </c>
      <c r="DR186" s="591">
        <v>0</v>
      </c>
      <c r="DS186" s="591">
        <v>0</v>
      </c>
      <c r="DT186" s="591">
        <v>0</v>
      </c>
      <c r="DU186" s="591">
        <v>0</v>
      </c>
      <c r="DV186" s="591">
        <v>0</v>
      </c>
      <c r="DW186" s="591">
        <v>0</v>
      </c>
      <c r="DX186" s="591">
        <v>0</v>
      </c>
      <c r="DY186" s="591">
        <v>0</v>
      </c>
      <c r="DZ186" s="591">
        <v>0</v>
      </c>
      <c r="EA186" s="591">
        <v>0</v>
      </c>
      <c r="EB186" s="591">
        <v>0</v>
      </c>
      <c r="EC186" s="591">
        <v>20.447000000000003</v>
      </c>
      <c r="ED186" s="591">
        <v>144825</v>
      </c>
      <c r="EE186" s="591">
        <v>0</v>
      </c>
      <c r="EF186" s="591">
        <v>0</v>
      </c>
      <c r="EG186" s="591">
        <v>0</v>
      </c>
      <c r="EH186" s="591">
        <v>38248</v>
      </c>
      <c r="EI186" s="591">
        <v>0</v>
      </c>
      <c r="EJ186" s="591">
        <v>0</v>
      </c>
      <c r="EK186" s="591">
        <v>0</v>
      </c>
      <c r="EL186" s="591">
        <v>0</v>
      </c>
      <c r="EM186" s="591">
        <v>0</v>
      </c>
      <c r="EN186" s="591">
        <v>1.242</v>
      </c>
      <c r="EO186" s="591">
        <v>0</v>
      </c>
      <c r="EP186" s="591">
        <v>0</v>
      </c>
      <c r="EQ186" s="591">
        <v>1.242</v>
      </c>
      <c r="ER186" s="591">
        <v>0</v>
      </c>
      <c r="ES186" s="591">
        <v>6.21</v>
      </c>
      <c r="ET186" s="591">
        <v>0</v>
      </c>
      <c r="EU186" s="591">
        <v>0</v>
      </c>
      <c r="EV186" s="591">
        <v>0</v>
      </c>
      <c r="EW186" s="591">
        <v>0</v>
      </c>
      <c r="EX186" s="591">
        <v>0</v>
      </c>
      <c r="EY186" s="591">
        <v>0</v>
      </c>
      <c r="EZ186" s="591">
        <v>2981273</v>
      </c>
      <c r="FA186" s="591">
        <v>0</v>
      </c>
      <c r="FB186" s="591">
        <v>3130644</v>
      </c>
      <c r="FC186" s="591">
        <v>0</v>
      </c>
      <c r="FD186" s="591">
        <v>0</v>
      </c>
      <c r="FE186" s="591">
        <v>324354</v>
      </c>
      <c r="FF186" s="591">
        <v>66160</v>
      </c>
      <c r="FG186" s="591">
        <v>6.4728999999999995E-2</v>
      </c>
      <c r="FH186" s="591">
        <v>2.6405999999999999E-2</v>
      </c>
      <c r="FI186" s="591">
        <v>0</v>
      </c>
      <c r="FJ186" s="591">
        <v>0</v>
      </c>
      <c r="FK186" s="591">
        <v>508.41700000000003</v>
      </c>
      <c r="FL186" s="591">
        <v>3590297</v>
      </c>
      <c r="FM186" s="591">
        <v>0</v>
      </c>
      <c r="FN186" s="591">
        <v>0</v>
      </c>
      <c r="FO186" s="591">
        <v>0</v>
      </c>
      <c r="FP186" s="591">
        <v>0</v>
      </c>
      <c r="FQ186" s="591">
        <v>0</v>
      </c>
      <c r="FR186" s="591">
        <v>0</v>
      </c>
      <c r="FS186" s="591">
        <v>0</v>
      </c>
      <c r="FT186" s="591">
        <v>0</v>
      </c>
      <c r="FU186" s="591">
        <v>0</v>
      </c>
      <c r="FV186" s="591">
        <v>0</v>
      </c>
      <c r="FW186" s="591">
        <v>0</v>
      </c>
      <c r="FX186" s="591">
        <v>0</v>
      </c>
      <c r="FY186" s="591">
        <v>0</v>
      </c>
      <c r="FZ186" s="591">
        <v>0</v>
      </c>
      <c r="GA186" s="591">
        <v>0</v>
      </c>
      <c r="GB186" s="591">
        <v>0</v>
      </c>
      <c r="GC186" s="591">
        <v>0</v>
      </c>
      <c r="GD186" s="591">
        <v>0</v>
      </c>
      <c r="GE186" s="591">
        <v>0</v>
      </c>
      <c r="GF186" s="591">
        <v>0</v>
      </c>
      <c r="GG186" s="591">
        <v>0</v>
      </c>
      <c r="GH186" s="591">
        <v>0</v>
      </c>
      <c r="GI186" s="591">
        <v>0</v>
      </c>
      <c r="GJ186" s="591">
        <v>0</v>
      </c>
      <c r="GK186" s="591">
        <v>0</v>
      </c>
      <c r="GL186" s="591">
        <v>0</v>
      </c>
      <c r="GM186" s="591">
        <v>0</v>
      </c>
      <c r="GN186" s="591">
        <v>0</v>
      </c>
      <c r="GO186" s="591">
        <v>0</v>
      </c>
      <c r="GP186" s="591">
        <v>0</v>
      </c>
      <c r="GQ186" s="591">
        <v>0</v>
      </c>
      <c r="GR186" s="591">
        <v>0</v>
      </c>
      <c r="GS186" s="591">
        <v>0</v>
      </c>
      <c r="GT186" s="591">
        <v>0</v>
      </c>
      <c r="GU186" s="591">
        <v>0</v>
      </c>
      <c r="GV186" s="591">
        <v>0</v>
      </c>
      <c r="GW186" s="591">
        <v>0</v>
      </c>
      <c r="GX186" s="591">
        <v>0</v>
      </c>
      <c r="GY186" s="591">
        <v>0</v>
      </c>
      <c r="GZ186" s="591">
        <v>0</v>
      </c>
      <c r="HA186" s="591">
        <v>0</v>
      </c>
      <c r="HB186" s="591">
        <v>260009272</v>
      </c>
      <c r="HC186" s="591">
        <v>5.1774999999999995E-2</v>
      </c>
      <c r="HD186" s="591">
        <v>69139</v>
      </c>
      <c r="HE186" s="591">
        <v>0</v>
      </c>
      <c r="HF186" s="591">
        <v>417944</v>
      </c>
      <c r="HG186" s="591">
        <v>12318</v>
      </c>
      <c r="HH186" s="591">
        <v>37644</v>
      </c>
      <c r="HI186" s="591">
        <v>0</v>
      </c>
      <c r="HJ186" s="591">
        <v>3709</v>
      </c>
      <c r="HK186" s="591">
        <v>0</v>
      </c>
      <c r="HL186" s="591">
        <v>0</v>
      </c>
      <c r="HM186" s="591">
        <v>0</v>
      </c>
      <c r="HN186" s="591">
        <v>0</v>
      </c>
      <c r="HO186" s="591">
        <v>0</v>
      </c>
      <c r="HP186" s="591">
        <v>0</v>
      </c>
      <c r="HQ186" s="591">
        <v>0</v>
      </c>
      <c r="HR186" s="591">
        <v>0</v>
      </c>
      <c r="HS186" s="591">
        <v>2980532</v>
      </c>
      <c r="HT186" s="591">
        <v>0</v>
      </c>
      <c r="HU186" s="591">
        <v>0</v>
      </c>
      <c r="HV186" s="591">
        <v>0</v>
      </c>
      <c r="HW186" s="591">
        <v>0</v>
      </c>
      <c r="HX186" s="591">
        <v>27</v>
      </c>
      <c r="HY186" s="591">
        <v>23</v>
      </c>
      <c r="HZ186" s="591">
        <v>21</v>
      </c>
      <c r="IA186" s="591">
        <v>11</v>
      </c>
      <c r="IB186" s="591">
        <v>1</v>
      </c>
      <c r="IC186" s="591">
        <v>83</v>
      </c>
      <c r="ID186" s="591">
        <v>0</v>
      </c>
      <c r="IE186" s="591">
        <v>0</v>
      </c>
      <c r="IF186" s="591">
        <v>0</v>
      </c>
      <c r="IG186" s="591">
        <v>20</v>
      </c>
      <c r="IH186" s="591">
        <v>61.120000000000005</v>
      </c>
      <c r="II186" s="591">
        <v>0</v>
      </c>
      <c r="IJ186" s="591">
        <v>18.760999999999999</v>
      </c>
      <c r="IK186" s="591">
        <v>0</v>
      </c>
      <c r="IL186" s="591">
        <v>0</v>
      </c>
      <c r="IM186" s="591">
        <v>0</v>
      </c>
      <c r="IN186" s="591">
        <v>0</v>
      </c>
      <c r="IO186" s="591">
        <v>0</v>
      </c>
      <c r="IP186" s="591">
        <v>0</v>
      </c>
      <c r="IQ186" s="591">
        <v>18.760999999999999</v>
      </c>
      <c r="IR186" s="591">
        <v>11555</v>
      </c>
      <c r="IS186" s="591">
        <v>0</v>
      </c>
      <c r="IT186" s="591">
        <v>0</v>
      </c>
      <c r="IU186" s="591">
        <v>0</v>
      </c>
      <c r="IV186" s="591">
        <v>0</v>
      </c>
      <c r="IW186" s="591">
        <v>6159</v>
      </c>
      <c r="IX186" s="591">
        <v>0</v>
      </c>
      <c r="IY186" s="591">
        <v>0</v>
      </c>
      <c r="IZ186" s="591">
        <v>0</v>
      </c>
      <c r="JA186" s="591">
        <v>0</v>
      </c>
      <c r="JB186" s="591">
        <v>0</v>
      </c>
      <c r="JC186" s="591">
        <v>0</v>
      </c>
      <c r="JD186" s="591">
        <v>0</v>
      </c>
      <c r="JE186" s="591">
        <v>0</v>
      </c>
      <c r="JF186" s="591">
        <v>0</v>
      </c>
      <c r="JG186" s="591">
        <v>0</v>
      </c>
      <c r="JH186" s="591">
        <v>0</v>
      </c>
      <c r="JI186" s="591">
        <v>0</v>
      </c>
      <c r="JJ186" s="591">
        <v>0</v>
      </c>
      <c r="JK186" s="591">
        <v>0</v>
      </c>
      <c r="JL186" s="591">
        <v>0</v>
      </c>
      <c r="JM186" s="591">
        <v>0</v>
      </c>
      <c r="JN186" s="591">
        <v>32469</v>
      </c>
    </row>
    <row r="187" spans="1:274" x14ac:dyDescent="0.25">
      <c r="A187" s="591">
        <v>32570</v>
      </c>
      <c r="B187" s="591">
        <v>240801</v>
      </c>
      <c r="C187" s="591">
        <v>9</v>
      </c>
      <c r="D187" s="591">
        <v>2022</v>
      </c>
      <c r="E187" s="591">
        <v>6159</v>
      </c>
      <c r="F187" s="591">
        <v>0</v>
      </c>
      <c r="G187" s="591">
        <v>224.32300000000001</v>
      </c>
      <c r="H187" s="591">
        <v>208.08800000000002</v>
      </c>
      <c r="I187" s="591">
        <v>208.08800000000002</v>
      </c>
      <c r="J187" s="591">
        <v>224.32300000000001</v>
      </c>
      <c r="K187" s="591">
        <v>0</v>
      </c>
      <c r="L187" s="591">
        <v>6159</v>
      </c>
      <c r="M187" s="591">
        <v>0</v>
      </c>
      <c r="N187" s="591">
        <v>0</v>
      </c>
      <c r="O187" s="591">
        <v>0</v>
      </c>
      <c r="P187" s="591">
        <v>185.684</v>
      </c>
      <c r="Q187" s="591">
        <v>0</v>
      </c>
      <c r="R187" s="591">
        <v>74724</v>
      </c>
      <c r="S187" s="591">
        <v>402.428</v>
      </c>
      <c r="T187" s="591">
        <v>0</v>
      </c>
      <c r="U187" s="591">
        <v>0</v>
      </c>
      <c r="V187" s="591">
        <v>110.733</v>
      </c>
      <c r="W187" s="591">
        <v>68201</v>
      </c>
      <c r="X187" s="591">
        <v>68201</v>
      </c>
      <c r="Y187" s="591">
        <v>0</v>
      </c>
      <c r="Z187" s="591">
        <v>0</v>
      </c>
      <c r="AA187" s="591">
        <v>0</v>
      </c>
      <c r="AB187" s="591">
        <v>0</v>
      </c>
      <c r="AC187" s="591">
        <v>0</v>
      </c>
      <c r="AD187" s="591" t="s">
        <v>316</v>
      </c>
      <c r="AE187" s="591">
        <v>0</v>
      </c>
      <c r="AF187" s="591">
        <v>0</v>
      </c>
      <c r="AG187" s="591">
        <v>0</v>
      </c>
      <c r="AH187" s="591">
        <v>0</v>
      </c>
      <c r="AI187" s="591">
        <v>0</v>
      </c>
      <c r="AJ187" s="591">
        <v>6159</v>
      </c>
      <c r="AK187" s="591" t="s">
        <v>671</v>
      </c>
      <c r="AL187" s="591" t="s">
        <v>471</v>
      </c>
      <c r="AM187" s="591">
        <v>0</v>
      </c>
      <c r="AN187" s="591">
        <v>0</v>
      </c>
      <c r="AO187" s="591">
        <v>0</v>
      </c>
      <c r="AP187" s="591">
        <v>0</v>
      </c>
      <c r="AQ187" s="591">
        <v>0</v>
      </c>
      <c r="AR187" s="591">
        <v>0</v>
      </c>
      <c r="AS187" s="591">
        <v>0</v>
      </c>
      <c r="AT187" s="591">
        <v>0</v>
      </c>
      <c r="AU187" s="591">
        <v>0</v>
      </c>
      <c r="AV187" s="591">
        <v>0</v>
      </c>
      <c r="AW187" s="591">
        <v>2583950</v>
      </c>
      <c r="AX187" s="591">
        <v>2528145</v>
      </c>
      <c r="AY187" s="591">
        <v>0</v>
      </c>
      <c r="AZ187" s="591">
        <v>74724</v>
      </c>
      <c r="BA187" s="591">
        <v>0</v>
      </c>
      <c r="BB187" s="591">
        <v>0</v>
      </c>
      <c r="BC187" s="591">
        <v>0</v>
      </c>
      <c r="BD187" s="591">
        <v>0</v>
      </c>
      <c r="BE187" s="591">
        <v>33</v>
      </c>
      <c r="BF187" s="591">
        <v>2250101</v>
      </c>
      <c r="BG187" s="591">
        <v>0</v>
      </c>
      <c r="BH187" s="591">
        <v>0</v>
      </c>
      <c r="BI187" s="591">
        <v>0</v>
      </c>
      <c r="BJ187" s="591">
        <v>12</v>
      </c>
      <c r="BK187" s="591">
        <v>0</v>
      </c>
      <c r="BL187" s="591">
        <v>0</v>
      </c>
      <c r="BM187" s="591">
        <v>0</v>
      </c>
      <c r="BN187" s="591">
        <v>0</v>
      </c>
      <c r="BO187" s="591">
        <v>0</v>
      </c>
      <c r="BP187" s="591">
        <v>0</v>
      </c>
      <c r="BQ187" s="591">
        <v>738</v>
      </c>
      <c r="BR187" s="591">
        <v>0</v>
      </c>
      <c r="BS187" s="591">
        <v>0</v>
      </c>
      <c r="BT187" s="591">
        <v>0</v>
      </c>
      <c r="BU187" s="591">
        <v>0</v>
      </c>
      <c r="BV187" s="591">
        <v>0</v>
      </c>
      <c r="BW187" s="591">
        <v>0</v>
      </c>
      <c r="BX187" s="591">
        <v>0</v>
      </c>
      <c r="BY187" s="591">
        <v>0</v>
      </c>
      <c r="BZ187" s="591">
        <v>0</v>
      </c>
      <c r="CA187" s="591">
        <v>0</v>
      </c>
      <c r="CB187" s="591">
        <v>0</v>
      </c>
      <c r="CC187" s="591">
        <v>0</v>
      </c>
      <c r="CD187" s="591">
        <v>0</v>
      </c>
      <c r="CE187" s="591">
        <v>0</v>
      </c>
      <c r="CF187" s="591">
        <v>0</v>
      </c>
      <c r="CG187" s="591">
        <v>0</v>
      </c>
      <c r="CH187" s="591">
        <v>56368</v>
      </c>
      <c r="CI187" s="591">
        <v>0</v>
      </c>
      <c r="CJ187" s="591">
        <v>4</v>
      </c>
      <c r="CK187" s="591">
        <v>0</v>
      </c>
      <c r="CL187" s="591">
        <v>0</v>
      </c>
      <c r="CM187" s="591">
        <v>0</v>
      </c>
      <c r="CN187" s="591">
        <v>0</v>
      </c>
      <c r="CO187" s="591">
        <v>1</v>
      </c>
      <c r="CP187" s="591">
        <v>0.54600000000000004</v>
      </c>
      <c r="CQ187" s="591">
        <v>0</v>
      </c>
      <c r="CR187" s="591">
        <v>224.32300000000001</v>
      </c>
      <c r="CS187" s="591">
        <v>0</v>
      </c>
      <c r="CT187" s="591">
        <v>0</v>
      </c>
      <c r="CU187" s="591">
        <v>0</v>
      </c>
      <c r="CV187" s="591">
        <v>0</v>
      </c>
      <c r="CW187" s="591">
        <v>0</v>
      </c>
      <c r="CX187" s="591">
        <v>0</v>
      </c>
      <c r="CY187" s="591">
        <v>0</v>
      </c>
      <c r="CZ187" s="591">
        <v>0</v>
      </c>
      <c r="DA187" s="591">
        <v>0</v>
      </c>
      <c r="DB187" s="591">
        <v>1270750</v>
      </c>
      <c r="DC187" s="591">
        <v>0</v>
      </c>
      <c r="DD187" s="591">
        <v>0</v>
      </c>
      <c r="DE187" s="591">
        <v>388176</v>
      </c>
      <c r="DF187" s="591">
        <v>396280</v>
      </c>
      <c r="DG187" s="591">
        <v>63.025000000000006</v>
      </c>
      <c r="DH187" s="591">
        <v>0</v>
      </c>
      <c r="DI187" s="591">
        <v>8104</v>
      </c>
      <c r="DJ187" s="591">
        <v>0</v>
      </c>
      <c r="DK187" s="591">
        <v>3429</v>
      </c>
      <c r="DL187" s="591">
        <v>0</v>
      </c>
      <c r="DM187" s="591">
        <v>149761</v>
      </c>
      <c r="DN187" s="591">
        <v>530</v>
      </c>
      <c r="DO187" s="591">
        <v>0</v>
      </c>
      <c r="DP187" s="591">
        <v>0</v>
      </c>
      <c r="DQ187" s="591">
        <v>0</v>
      </c>
      <c r="DR187" s="591">
        <v>0</v>
      </c>
      <c r="DS187" s="591">
        <v>0</v>
      </c>
      <c r="DT187" s="591">
        <v>0</v>
      </c>
      <c r="DU187" s="591">
        <v>0</v>
      </c>
      <c r="DV187" s="591">
        <v>0</v>
      </c>
      <c r="DW187" s="591">
        <v>0</v>
      </c>
      <c r="DX187" s="591">
        <v>0</v>
      </c>
      <c r="DY187" s="591">
        <v>0</v>
      </c>
      <c r="DZ187" s="591">
        <v>0</v>
      </c>
      <c r="EA187" s="591">
        <v>0.09</v>
      </c>
      <c r="EB187" s="591">
        <v>0</v>
      </c>
      <c r="EC187" s="591">
        <v>19.013000000000002</v>
      </c>
      <c r="ED187" s="591">
        <v>134668</v>
      </c>
      <c r="EE187" s="591">
        <v>0</v>
      </c>
      <c r="EF187" s="591">
        <v>0</v>
      </c>
      <c r="EG187" s="591">
        <v>0</v>
      </c>
      <c r="EH187" s="591">
        <v>4742</v>
      </c>
      <c r="EI187" s="591">
        <v>0</v>
      </c>
      <c r="EJ187" s="591">
        <v>0</v>
      </c>
      <c r="EK187" s="591">
        <v>0</v>
      </c>
      <c r="EL187" s="591">
        <v>0</v>
      </c>
      <c r="EM187" s="591">
        <v>0</v>
      </c>
      <c r="EN187" s="591">
        <v>6.4000000000000001E-2</v>
      </c>
      <c r="EO187" s="591">
        <v>0</v>
      </c>
      <c r="EP187" s="591">
        <v>0</v>
      </c>
      <c r="EQ187" s="591">
        <v>0.154</v>
      </c>
      <c r="ER187" s="591">
        <v>0</v>
      </c>
      <c r="ES187" s="591">
        <v>0.77</v>
      </c>
      <c r="ET187" s="591">
        <v>0</v>
      </c>
      <c r="EU187" s="591">
        <v>0</v>
      </c>
      <c r="EV187" s="591">
        <v>0</v>
      </c>
      <c r="EW187" s="591">
        <v>0</v>
      </c>
      <c r="EX187" s="591">
        <v>0</v>
      </c>
      <c r="EY187" s="591">
        <v>0</v>
      </c>
      <c r="EZ187" s="591">
        <v>2247535</v>
      </c>
      <c r="FA187" s="591">
        <v>0</v>
      </c>
      <c r="FB187" s="591">
        <v>2321696</v>
      </c>
      <c r="FC187" s="591">
        <v>0</v>
      </c>
      <c r="FD187" s="591">
        <v>0</v>
      </c>
      <c r="FE187" s="591">
        <v>233070</v>
      </c>
      <c r="FF187" s="591">
        <v>47540</v>
      </c>
      <c r="FG187" s="591">
        <v>6.4728999999999995E-2</v>
      </c>
      <c r="FH187" s="591">
        <v>2.6405999999999999E-2</v>
      </c>
      <c r="FI187" s="591">
        <v>0</v>
      </c>
      <c r="FJ187" s="591">
        <v>0</v>
      </c>
      <c r="FK187" s="591">
        <v>365.33100000000002</v>
      </c>
      <c r="FL187" s="591">
        <v>2658674</v>
      </c>
      <c r="FM187" s="591">
        <v>0</v>
      </c>
      <c r="FN187" s="591">
        <v>0</v>
      </c>
      <c r="FO187" s="591">
        <v>0</v>
      </c>
      <c r="FP187" s="591">
        <v>0</v>
      </c>
      <c r="FQ187" s="591">
        <v>0</v>
      </c>
      <c r="FR187" s="591">
        <v>0</v>
      </c>
      <c r="FS187" s="591">
        <v>0</v>
      </c>
      <c r="FT187" s="591">
        <v>0</v>
      </c>
      <c r="FU187" s="591">
        <v>0</v>
      </c>
      <c r="FV187" s="591">
        <v>0</v>
      </c>
      <c r="FW187" s="591">
        <v>0</v>
      </c>
      <c r="FX187" s="591">
        <v>0</v>
      </c>
      <c r="FY187" s="591">
        <v>0</v>
      </c>
      <c r="FZ187" s="591">
        <v>0</v>
      </c>
      <c r="GA187" s="591">
        <v>0</v>
      </c>
      <c r="GB187" s="591">
        <v>133710</v>
      </c>
      <c r="GC187" s="591">
        <v>133710</v>
      </c>
      <c r="GD187" s="591">
        <v>16.081</v>
      </c>
      <c r="GE187" s="591">
        <v>0</v>
      </c>
      <c r="GF187" s="591">
        <v>0</v>
      </c>
      <c r="GG187" s="591">
        <v>0</v>
      </c>
      <c r="GH187" s="591">
        <v>0</v>
      </c>
      <c r="GI187" s="591">
        <v>0</v>
      </c>
      <c r="GJ187" s="591">
        <v>0</v>
      </c>
      <c r="GK187" s="591">
        <v>0</v>
      </c>
      <c r="GL187" s="591">
        <v>0</v>
      </c>
      <c r="GM187" s="591">
        <v>0</v>
      </c>
      <c r="GN187" s="591">
        <v>0</v>
      </c>
      <c r="GO187" s="591">
        <v>0</v>
      </c>
      <c r="GP187" s="591">
        <v>0</v>
      </c>
      <c r="GQ187" s="591">
        <v>0</v>
      </c>
      <c r="GR187" s="591">
        <v>0</v>
      </c>
      <c r="GS187" s="591">
        <v>0</v>
      </c>
      <c r="GT187" s="591">
        <v>0</v>
      </c>
      <c r="GU187" s="591">
        <v>0</v>
      </c>
      <c r="GV187" s="591">
        <v>0</v>
      </c>
      <c r="GW187" s="591">
        <v>0</v>
      </c>
      <c r="GX187" s="591">
        <v>0</v>
      </c>
      <c r="GY187" s="591">
        <v>0</v>
      </c>
      <c r="GZ187" s="591">
        <v>0</v>
      </c>
      <c r="HA187" s="591">
        <v>0</v>
      </c>
      <c r="HB187" s="591">
        <v>260009272</v>
      </c>
      <c r="HC187" s="591">
        <v>5.1774999999999995E-2</v>
      </c>
      <c r="HD187" s="591">
        <v>40650</v>
      </c>
      <c r="HE187" s="591">
        <v>0</v>
      </c>
      <c r="HF187" s="591">
        <v>228689</v>
      </c>
      <c r="HG187" s="591">
        <v>0</v>
      </c>
      <c r="HH187" s="591">
        <v>0</v>
      </c>
      <c r="HI187" s="591">
        <v>0</v>
      </c>
      <c r="HJ187" s="591">
        <v>2180</v>
      </c>
      <c r="HK187" s="591">
        <v>2520</v>
      </c>
      <c r="HL187" s="591">
        <v>937</v>
      </c>
      <c r="HM187" s="591">
        <v>0</v>
      </c>
      <c r="HN187" s="591">
        <v>0</v>
      </c>
      <c r="HO187" s="591">
        <v>0</v>
      </c>
      <c r="HP187" s="591">
        <v>68701</v>
      </c>
      <c r="HQ187" s="591">
        <v>0</v>
      </c>
      <c r="HR187" s="591">
        <v>0</v>
      </c>
      <c r="HS187" s="591">
        <v>2246972</v>
      </c>
      <c r="HT187" s="591">
        <v>0</v>
      </c>
      <c r="HU187" s="591">
        <v>15718</v>
      </c>
      <c r="HV187" s="591">
        <v>0</v>
      </c>
      <c r="HW187" s="591">
        <v>0</v>
      </c>
      <c r="HX187" s="591">
        <v>4</v>
      </c>
      <c r="HY187" s="591">
        <v>19</v>
      </c>
      <c r="HZ187" s="591">
        <v>36</v>
      </c>
      <c r="IA187" s="591">
        <v>93</v>
      </c>
      <c r="IB187" s="591">
        <v>88</v>
      </c>
      <c r="IC187" s="591">
        <v>213</v>
      </c>
      <c r="ID187" s="591">
        <v>0</v>
      </c>
      <c r="IE187" s="591">
        <v>0</v>
      </c>
      <c r="IF187" s="591">
        <v>0</v>
      </c>
      <c r="IG187" s="591">
        <v>0</v>
      </c>
      <c r="IH187" s="591">
        <v>0</v>
      </c>
      <c r="II187" s="591">
        <v>249.82300000000001</v>
      </c>
      <c r="IJ187" s="591">
        <v>110.733</v>
      </c>
      <c r="IK187" s="591">
        <v>0</v>
      </c>
      <c r="IL187" s="591">
        <v>0</v>
      </c>
      <c r="IM187" s="591">
        <v>0</v>
      </c>
      <c r="IN187" s="591">
        <v>0</v>
      </c>
      <c r="IO187" s="591">
        <v>0</v>
      </c>
      <c r="IP187" s="591">
        <v>249.82300000000001</v>
      </c>
      <c r="IQ187" s="591">
        <v>110.733</v>
      </c>
      <c r="IR187" s="591">
        <v>68201</v>
      </c>
      <c r="IS187" s="591">
        <v>0</v>
      </c>
      <c r="IT187" s="591">
        <v>0</v>
      </c>
      <c r="IU187" s="591">
        <v>0</v>
      </c>
      <c r="IV187" s="591">
        <v>0</v>
      </c>
      <c r="IW187" s="591">
        <v>6159</v>
      </c>
      <c r="IX187" s="591">
        <v>0</v>
      </c>
      <c r="IY187" s="591">
        <v>0</v>
      </c>
      <c r="IZ187" s="591">
        <v>68701</v>
      </c>
      <c r="JA187" s="591">
        <v>0</v>
      </c>
      <c r="JB187" s="591">
        <v>0</v>
      </c>
      <c r="JC187" s="591">
        <v>0</v>
      </c>
      <c r="JD187" s="591">
        <v>0</v>
      </c>
      <c r="JE187" s="591">
        <v>0</v>
      </c>
      <c r="JF187" s="591">
        <v>0</v>
      </c>
      <c r="JG187" s="591">
        <v>0</v>
      </c>
      <c r="JH187" s="591">
        <v>0</v>
      </c>
      <c r="JI187" s="591">
        <v>0</v>
      </c>
      <c r="JJ187" s="591">
        <v>0</v>
      </c>
      <c r="JK187" s="591">
        <v>0</v>
      </c>
      <c r="JL187" s="591">
        <v>0</v>
      </c>
      <c r="JM187" s="591">
        <v>0</v>
      </c>
      <c r="JN187" s="591">
        <v>32469</v>
      </c>
    </row>
    <row r="188" spans="1:274" x14ac:dyDescent="0.25">
      <c r="A188" s="591">
        <v>32570</v>
      </c>
      <c r="B188" s="591">
        <v>246801</v>
      </c>
      <c r="C188" s="591">
        <v>9</v>
      </c>
      <c r="D188" s="591">
        <v>2022</v>
      </c>
      <c r="E188" s="591">
        <v>6159</v>
      </c>
      <c r="F188" s="591">
        <v>0</v>
      </c>
      <c r="G188" s="591">
        <v>1647.327</v>
      </c>
      <c r="H188" s="591">
        <v>1597.51</v>
      </c>
      <c r="I188" s="591">
        <v>1597.51</v>
      </c>
      <c r="J188" s="591">
        <v>1647.327</v>
      </c>
      <c r="K188" s="591">
        <v>0</v>
      </c>
      <c r="L188" s="591">
        <v>6159</v>
      </c>
      <c r="M188" s="591">
        <v>0</v>
      </c>
      <c r="N188" s="591">
        <v>0</v>
      </c>
      <c r="O188" s="591">
        <v>0</v>
      </c>
      <c r="P188" s="591">
        <v>1623.934</v>
      </c>
      <c r="Q188" s="591">
        <v>0</v>
      </c>
      <c r="R188" s="591">
        <v>653517</v>
      </c>
      <c r="S188" s="591">
        <v>402.428</v>
      </c>
      <c r="T188" s="591">
        <v>0</v>
      </c>
      <c r="U188" s="591">
        <v>0</v>
      </c>
      <c r="V188" s="591">
        <v>90.727000000000004</v>
      </c>
      <c r="W188" s="591">
        <v>55880</v>
      </c>
      <c r="X188" s="591">
        <v>55880</v>
      </c>
      <c r="Y188" s="591">
        <v>0</v>
      </c>
      <c r="Z188" s="591">
        <v>0</v>
      </c>
      <c r="AA188" s="591">
        <v>0</v>
      </c>
      <c r="AB188" s="591">
        <v>0</v>
      </c>
      <c r="AC188" s="591">
        <v>0</v>
      </c>
      <c r="AD188" s="591" t="s">
        <v>316</v>
      </c>
      <c r="AE188" s="591">
        <v>0</v>
      </c>
      <c r="AF188" s="591">
        <v>0</v>
      </c>
      <c r="AG188" s="591">
        <v>0</v>
      </c>
      <c r="AH188" s="591">
        <v>0</v>
      </c>
      <c r="AI188" s="591">
        <v>0</v>
      </c>
      <c r="AJ188" s="591">
        <v>6159</v>
      </c>
      <c r="AK188" s="591" t="s">
        <v>671</v>
      </c>
      <c r="AL188" s="591" t="s">
        <v>97</v>
      </c>
      <c r="AM188" s="591">
        <v>0</v>
      </c>
      <c r="AN188" s="591">
        <v>0</v>
      </c>
      <c r="AO188" s="591">
        <v>0</v>
      </c>
      <c r="AP188" s="591">
        <v>0</v>
      </c>
      <c r="AQ188" s="591">
        <v>0</v>
      </c>
      <c r="AR188" s="591">
        <v>0</v>
      </c>
      <c r="AS188" s="591">
        <v>0</v>
      </c>
      <c r="AT188" s="591">
        <v>0</v>
      </c>
      <c r="AU188" s="591">
        <v>0</v>
      </c>
      <c r="AV188" s="591">
        <v>0</v>
      </c>
      <c r="AW188" s="591">
        <v>14580884</v>
      </c>
      <c r="AX188" s="591">
        <v>14287027</v>
      </c>
      <c r="AY188" s="591">
        <v>0</v>
      </c>
      <c r="AZ188" s="591">
        <v>653517</v>
      </c>
      <c r="BA188" s="591">
        <v>0</v>
      </c>
      <c r="BB188" s="591">
        <v>0</v>
      </c>
      <c r="BC188" s="591">
        <v>0</v>
      </c>
      <c r="BD188" s="591">
        <v>0</v>
      </c>
      <c r="BE188" s="591">
        <v>191</v>
      </c>
      <c r="BF188" s="591">
        <v>13279194</v>
      </c>
      <c r="BG188" s="591">
        <v>0</v>
      </c>
      <c r="BH188" s="591">
        <v>0</v>
      </c>
      <c r="BI188" s="591">
        <v>0</v>
      </c>
      <c r="BJ188" s="591">
        <v>12</v>
      </c>
      <c r="BK188" s="591">
        <v>0</v>
      </c>
      <c r="BL188" s="591">
        <v>0</v>
      </c>
      <c r="BM188" s="591">
        <v>0</v>
      </c>
      <c r="BN188" s="591">
        <v>0</v>
      </c>
      <c r="BO188" s="591">
        <v>0</v>
      </c>
      <c r="BP188" s="591">
        <v>0</v>
      </c>
      <c r="BQ188" s="591">
        <v>524</v>
      </c>
      <c r="BR188" s="591">
        <v>0</v>
      </c>
      <c r="BS188" s="591">
        <v>0</v>
      </c>
      <c r="BT188" s="591">
        <v>0</v>
      </c>
      <c r="BU188" s="591">
        <v>0</v>
      </c>
      <c r="BV188" s="591">
        <v>0</v>
      </c>
      <c r="BW188" s="591">
        <v>0</v>
      </c>
      <c r="BX188" s="591">
        <v>0</v>
      </c>
      <c r="BY188" s="591">
        <v>0</v>
      </c>
      <c r="BZ188" s="591">
        <v>0</v>
      </c>
      <c r="CA188" s="591">
        <v>0</v>
      </c>
      <c r="CB188" s="591">
        <v>0</v>
      </c>
      <c r="CC188" s="591">
        <v>0</v>
      </c>
      <c r="CD188" s="591">
        <v>0</v>
      </c>
      <c r="CE188" s="591">
        <v>0</v>
      </c>
      <c r="CF188" s="591">
        <v>0</v>
      </c>
      <c r="CG188" s="591">
        <v>0</v>
      </c>
      <c r="CH188" s="591">
        <v>298513</v>
      </c>
      <c r="CI188" s="591">
        <v>0</v>
      </c>
      <c r="CJ188" s="591">
        <v>4</v>
      </c>
      <c r="CK188" s="591">
        <v>0</v>
      </c>
      <c r="CL188" s="591">
        <v>0</v>
      </c>
      <c r="CM188" s="591">
        <v>0</v>
      </c>
      <c r="CN188" s="591">
        <v>0</v>
      </c>
      <c r="CO188" s="591">
        <v>1</v>
      </c>
      <c r="CP188" s="591">
        <v>0</v>
      </c>
      <c r="CQ188" s="591">
        <v>0</v>
      </c>
      <c r="CR188" s="591">
        <v>1647.327</v>
      </c>
      <c r="CS188" s="591">
        <v>0</v>
      </c>
      <c r="CT188" s="591">
        <v>0</v>
      </c>
      <c r="CU188" s="591">
        <v>0</v>
      </c>
      <c r="CV188" s="591">
        <v>0</v>
      </c>
      <c r="CW188" s="591">
        <v>0</v>
      </c>
      <c r="CX188" s="591">
        <v>0</v>
      </c>
      <c r="CY188" s="591">
        <v>0</v>
      </c>
      <c r="CZ188" s="591">
        <v>0</v>
      </c>
      <c r="DA188" s="591">
        <v>0</v>
      </c>
      <c r="DB188" s="591">
        <v>9748546</v>
      </c>
      <c r="DC188" s="591">
        <v>0</v>
      </c>
      <c r="DD188" s="591">
        <v>0</v>
      </c>
      <c r="DE188" s="591">
        <v>252984</v>
      </c>
      <c r="DF188" s="591">
        <v>252984</v>
      </c>
      <c r="DG188" s="591">
        <v>41.075000000000003</v>
      </c>
      <c r="DH188" s="591">
        <v>0</v>
      </c>
      <c r="DI188" s="591">
        <v>0</v>
      </c>
      <c r="DJ188" s="591">
        <v>0</v>
      </c>
      <c r="DK188" s="591">
        <v>6</v>
      </c>
      <c r="DL188" s="591">
        <v>0</v>
      </c>
      <c r="DM188" s="591">
        <v>1260860</v>
      </c>
      <c r="DN188" s="591">
        <v>4465</v>
      </c>
      <c r="DO188" s="591">
        <v>0</v>
      </c>
      <c r="DP188" s="591">
        <v>0</v>
      </c>
      <c r="DQ188" s="591">
        <v>0</v>
      </c>
      <c r="DR188" s="591">
        <v>0</v>
      </c>
      <c r="DS188" s="591">
        <v>0</v>
      </c>
      <c r="DT188" s="591">
        <v>0</v>
      </c>
      <c r="DU188" s="591">
        <v>0</v>
      </c>
      <c r="DV188" s="591">
        <v>0</v>
      </c>
      <c r="DW188" s="591">
        <v>0</v>
      </c>
      <c r="DX188" s="591">
        <v>0</v>
      </c>
      <c r="DY188" s="591">
        <v>0</v>
      </c>
      <c r="DZ188" s="591">
        <v>0</v>
      </c>
      <c r="EA188" s="591">
        <v>0</v>
      </c>
      <c r="EB188" s="591">
        <v>0</v>
      </c>
      <c r="EC188" s="591">
        <v>29.603000000000002</v>
      </c>
      <c r="ED188" s="591">
        <v>209676</v>
      </c>
      <c r="EE188" s="591">
        <v>0</v>
      </c>
      <c r="EF188" s="591">
        <v>0</v>
      </c>
      <c r="EG188" s="591">
        <v>0</v>
      </c>
      <c r="EH188" s="591">
        <v>964999</v>
      </c>
      <c r="EI188" s="591">
        <v>0</v>
      </c>
      <c r="EJ188" s="591">
        <v>0</v>
      </c>
      <c r="EK188" s="591">
        <v>41.677</v>
      </c>
      <c r="EL188" s="591">
        <v>0</v>
      </c>
      <c r="EM188" s="591">
        <v>4.5259999999999998</v>
      </c>
      <c r="EN188" s="591">
        <v>3.6140000000000003</v>
      </c>
      <c r="EO188" s="591">
        <v>0</v>
      </c>
      <c r="EP188" s="591">
        <v>0</v>
      </c>
      <c r="EQ188" s="591">
        <v>49.817</v>
      </c>
      <c r="ER188" s="591">
        <v>0</v>
      </c>
      <c r="ES188" s="591">
        <v>156.679</v>
      </c>
      <c r="ET188" s="591">
        <v>0</v>
      </c>
      <c r="EU188" s="591">
        <v>0</v>
      </c>
      <c r="EV188" s="591">
        <v>0</v>
      </c>
      <c r="EW188" s="591">
        <v>0</v>
      </c>
      <c r="EX188" s="591">
        <v>0</v>
      </c>
      <c r="EY188" s="591">
        <v>0</v>
      </c>
      <c r="EZ188" s="591">
        <v>12630982</v>
      </c>
      <c r="FA188" s="591">
        <v>0</v>
      </c>
      <c r="FB188" s="591">
        <v>13279843</v>
      </c>
      <c r="FC188" s="591">
        <v>0</v>
      </c>
      <c r="FD188" s="591">
        <v>0</v>
      </c>
      <c r="FE188" s="591">
        <v>1375483</v>
      </c>
      <c r="FF188" s="591">
        <v>280562</v>
      </c>
      <c r="FG188" s="591">
        <v>6.4728999999999995E-2</v>
      </c>
      <c r="FH188" s="591">
        <v>2.6405999999999999E-2</v>
      </c>
      <c r="FI188" s="591">
        <v>0</v>
      </c>
      <c r="FJ188" s="591">
        <v>0</v>
      </c>
      <c r="FK188" s="591">
        <v>2156.0340000000001</v>
      </c>
      <c r="FL188" s="591">
        <v>15234401</v>
      </c>
      <c r="FM188" s="591">
        <v>0</v>
      </c>
      <c r="FN188" s="591">
        <v>0</v>
      </c>
      <c r="FO188" s="591">
        <v>0</v>
      </c>
      <c r="FP188" s="591">
        <v>0</v>
      </c>
      <c r="FQ188" s="591">
        <v>0</v>
      </c>
      <c r="FR188" s="591">
        <v>0</v>
      </c>
      <c r="FS188" s="591">
        <v>0</v>
      </c>
      <c r="FT188" s="591">
        <v>0</v>
      </c>
      <c r="FU188" s="591">
        <v>1</v>
      </c>
      <c r="FV188" s="591">
        <v>0</v>
      </c>
      <c r="FW188" s="591">
        <v>0</v>
      </c>
      <c r="FX188" s="591">
        <v>0</v>
      </c>
      <c r="FY188" s="591">
        <v>0</v>
      </c>
      <c r="FZ188" s="591">
        <v>0</v>
      </c>
      <c r="GA188" s="591">
        <v>0</v>
      </c>
      <c r="GB188" s="591">
        <v>0</v>
      </c>
      <c r="GC188" s="591">
        <v>0</v>
      </c>
      <c r="GD188" s="591">
        <v>0</v>
      </c>
      <c r="GE188" s="591">
        <v>0</v>
      </c>
      <c r="GF188" s="591">
        <v>0</v>
      </c>
      <c r="GG188" s="591">
        <v>0</v>
      </c>
      <c r="GH188" s="591">
        <v>0</v>
      </c>
      <c r="GI188" s="591">
        <v>0</v>
      </c>
      <c r="GJ188" s="591">
        <v>0</v>
      </c>
      <c r="GK188" s="591">
        <v>0</v>
      </c>
      <c r="GL188" s="591">
        <v>0</v>
      </c>
      <c r="GM188" s="591">
        <v>0</v>
      </c>
      <c r="GN188" s="591">
        <v>0</v>
      </c>
      <c r="GO188" s="591">
        <v>0</v>
      </c>
      <c r="GP188" s="591">
        <v>0</v>
      </c>
      <c r="GQ188" s="591">
        <v>0</v>
      </c>
      <c r="GR188" s="591">
        <v>0</v>
      </c>
      <c r="GS188" s="591">
        <v>0</v>
      </c>
      <c r="GT188" s="591">
        <v>0</v>
      </c>
      <c r="GU188" s="591">
        <v>0</v>
      </c>
      <c r="GV188" s="591">
        <v>0</v>
      </c>
      <c r="GW188" s="591">
        <v>0</v>
      </c>
      <c r="GX188" s="591">
        <v>0</v>
      </c>
      <c r="GY188" s="591">
        <v>0</v>
      </c>
      <c r="GZ188" s="591">
        <v>0</v>
      </c>
      <c r="HA188" s="591">
        <v>0</v>
      </c>
      <c r="HB188" s="591">
        <v>260009272</v>
      </c>
      <c r="HC188" s="591">
        <v>5.1774999999999995E-2</v>
      </c>
      <c r="HD188" s="591">
        <v>298513</v>
      </c>
      <c r="HE188" s="591">
        <v>0</v>
      </c>
      <c r="HF188" s="591">
        <v>1755663</v>
      </c>
      <c r="HG188" s="591">
        <v>55432</v>
      </c>
      <c r="HH188" s="591">
        <v>52352</v>
      </c>
      <c r="HI188" s="591">
        <v>0</v>
      </c>
      <c r="HJ188" s="591">
        <v>16012</v>
      </c>
      <c r="HK188" s="591">
        <v>4156</v>
      </c>
      <c r="HL188" s="591">
        <v>1149</v>
      </c>
      <c r="HM188" s="591">
        <v>77000</v>
      </c>
      <c r="HN188" s="591">
        <v>0</v>
      </c>
      <c r="HO188" s="591">
        <v>0</v>
      </c>
      <c r="HP188" s="591">
        <v>0</v>
      </c>
      <c r="HQ188" s="591">
        <v>0</v>
      </c>
      <c r="HR188" s="591">
        <v>0</v>
      </c>
      <c r="HS188" s="591">
        <v>12626326</v>
      </c>
      <c r="HT188" s="591">
        <v>0</v>
      </c>
      <c r="HU188" s="591">
        <v>0</v>
      </c>
      <c r="HV188" s="591">
        <v>0</v>
      </c>
      <c r="HW188" s="591">
        <v>0</v>
      </c>
      <c r="HX188" s="591">
        <v>98</v>
      </c>
      <c r="HY188" s="591">
        <v>34</v>
      </c>
      <c r="HZ188" s="591">
        <v>30</v>
      </c>
      <c r="IA188" s="591">
        <v>10</v>
      </c>
      <c r="IB188" s="591">
        <v>3</v>
      </c>
      <c r="IC188" s="591">
        <v>150</v>
      </c>
      <c r="ID188" s="591">
        <v>0</v>
      </c>
      <c r="IE188" s="591">
        <v>0</v>
      </c>
      <c r="IF188" s="591">
        <v>0</v>
      </c>
      <c r="IG188" s="591">
        <v>90</v>
      </c>
      <c r="IH188" s="591">
        <v>85</v>
      </c>
      <c r="II188" s="591">
        <v>0</v>
      </c>
      <c r="IJ188" s="591">
        <v>90.727000000000004</v>
      </c>
      <c r="IK188" s="591">
        <v>0</v>
      </c>
      <c r="IL188" s="591">
        <v>1</v>
      </c>
      <c r="IM188" s="591">
        <v>24</v>
      </c>
      <c r="IN188" s="591">
        <v>0</v>
      </c>
      <c r="IO188" s="591">
        <v>25</v>
      </c>
      <c r="IP188" s="591">
        <v>0</v>
      </c>
      <c r="IQ188" s="591">
        <v>90.727000000000004</v>
      </c>
      <c r="IR188" s="591">
        <v>55880</v>
      </c>
      <c r="IS188" s="591">
        <v>0</v>
      </c>
      <c r="IT188" s="591">
        <v>5000</v>
      </c>
      <c r="IU188" s="591">
        <v>72000</v>
      </c>
      <c r="IV188" s="591">
        <v>0</v>
      </c>
      <c r="IW188" s="591">
        <v>6159</v>
      </c>
      <c r="IX188" s="591">
        <v>0</v>
      </c>
      <c r="IY188" s="591">
        <v>0</v>
      </c>
      <c r="IZ188" s="591">
        <v>0</v>
      </c>
      <c r="JA188" s="591">
        <v>0</v>
      </c>
      <c r="JB188" s="591">
        <v>0</v>
      </c>
      <c r="JC188" s="591">
        <v>0</v>
      </c>
      <c r="JD188" s="591">
        <v>0</v>
      </c>
      <c r="JE188" s="591">
        <v>0</v>
      </c>
      <c r="JF188" s="591">
        <v>0</v>
      </c>
      <c r="JG188" s="591">
        <v>0</v>
      </c>
      <c r="JH188" s="591">
        <v>0</v>
      </c>
      <c r="JI188" s="591">
        <v>0</v>
      </c>
      <c r="JJ188" s="591">
        <v>0</v>
      </c>
      <c r="JK188" s="591">
        <v>0</v>
      </c>
      <c r="JL188" s="591">
        <v>0</v>
      </c>
      <c r="JM188" s="591">
        <v>0</v>
      </c>
      <c r="JN188" s="591">
        <v>32469</v>
      </c>
    </row>
    <row r="189" spans="1:274" x14ac:dyDescent="0.25">
      <c r="A189" s="591">
        <v>32570</v>
      </c>
      <c r="B189" s="591">
        <v>246802</v>
      </c>
      <c r="C189" s="591">
        <v>9</v>
      </c>
      <c r="D189" s="591">
        <v>2022</v>
      </c>
      <c r="E189" s="591">
        <v>6159</v>
      </c>
      <c r="F189" s="591">
        <v>0</v>
      </c>
      <c r="G189" s="591">
        <v>292.06800000000004</v>
      </c>
      <c r="H189" s="591">
        <v>280.80700000000002</v>
      </c>
      <c r="I189" s="591">
        <v>280.80700000000002</v>
      </c>
      <c r="J189" s="591">
        <v>292.06800000000004</v>
      </c>
      <c r="K189" s="591">
        <v>0</v>
      </c>
      <c r="L189" s="591">
        <v>6159</v>
      </c>
      <c r="M189" s="591">
        <v>0</v>
      </c>
      <c r="N189" s="591">
        <v>0</v>
      </c>
      <c r="O189" s="591">
        <v>0</v>
      </c>
      <c r="P189" s="591">
        <v>276.16200000000003</v>
      </c>
      <c r="Q189" s="591">
        <v>0</v>
      </c>
      <c r="R189" s="591">
        <v>111135</v>
      </c>
      <c r="S189" s="591">
        <v>402.428</v>
      </c>
      <c r="T189" s="591">
        <v>0</v>
      </c>
      <c r="U189" s="591">
        <v>0</v>
      </c>
      <c r="V189" s="591">
        <v>16.057000000000002</v>
      </c>
      <c r="W189" s="591">
        <v>9890</v>
      </c>
      <c r="X189" s="591">
        <v>9890</v>
      </c>
      <c r="Y189" s="591">
        <v>0</v>
      </c>
      <c r="Z189" s="591">
        <v>0</v>
      </c>
      <c r="AA189" s="591">
        <v>0</v>
      </c>
      <c r="AB189" s="591">
        <v>0</v>
      </c>
      <c r="AC189" s="591">
        <v>0</v>
      </c>
      <c r="AD189" s="591" t="s">
        <v>316</v>
      </c>
      <c r="AE189" s="591">
        <v>0</v>
      </c>
      <c r="AF189" s="591">
        <v>0</v>
      </c>
      <c r="AG189" s="591">
        <v>0</v>
      </c>
      <c r="AH189" s="591">
        <v>0</v>
      </c>
      <c r="AI189" s="591">
        <v>0</v>
      </c>
      <c r="AJ189" s="591">
        <v>6159</v>
      </c>
      <c r="AK189" s="591" t="s">
        <v>671</v>
      </c>
      <c r="AL189" s="591" t="s">
        <v>420</v>
      </c>
      <c r="AM189" s="591">
        <v>0</v>
      </c>
      <c r="AN189" s="591">
        <v>0</v>
      </c>
      <c r="AO189" s="591">
        <v>0</v>
      </c>
      <c r="AP189" s="591">
        <v>0</v>
      </c>
      <c r="AQ189" s="591">
        <v>0</v>
      </c>
      <c r="AR189" s="591">
        <v>0</v>
      </c>
      <c r="AS189" s="591">
        <v>0</v>
      </c>
      <c r="AT189" s="591">
        <v>0</v>
      </c>
      <c r="AU189" s="591">
        <v>0</v>
      </c>
      <c r="AV189" s="591">
        <v>0</v>
      </c>
      <c r="AW189" s="591">
        <v>2727702</v>
      </c>
      <c r="AX189" s="591">
        <v>2675662</v>
      </c>
      <c r="AY189" s="591">
        <v>0</v>
      </c>
      <c r="AZ189" s="591">
        <v>111135</v>
      </c>
      <c r="BA189" s="591">
        <v>0</v>
      </c>
      <c r="BB189" s="591">
        <v>0</v>
      </c>
      <c r="BC189" s="591">
        <v>0</v>
      </c>
      <c r="BD189" s="591">
        <v>0</v>
      </c>
      <c r="BE189" s="591">
        <v>36</v>
      </c>
      <c r="BF189" s="591">
        <v>2477792</v>
      </c>
      <c r="BG189" s="591">
        <v>0</v>
      </c>
      <c r="BH189" s="591">
        <v>0</v>
      </c>
      <c r="BI189" s="591">
        <v>0</v>
      </c>
      <c r="BJ189" s="591">
        <v>12</v>
      </c>
      <c r="BK189" s="591">
        <v>0</v>
      </c>
      <c r="BL189" s="591">
        <v>0</v>
      </c>
      <c r="BM189" s="591">
        <v>0</v>
      </c>
      <c r="BN189" s="591">
        <v>0</v>
      </c>
      <c r="BO189" s="591">
        <v>0</v>
      </c>
      <c r="BP189" s="591">
        <v>0</v>
      </c>
      <c r="BQ189" s="591">
        <v>727</v>
      </c>
      <c r="BR189" s="591">
        <v>0</v>
      </c>
      <c r="BS189" s="591">
        <v>0</v>
      </c>
      <c r="BT189" s="591">
        <v>0</v>
      </c>
      <c r="BU189" s="591">
        <v>0</v>
      </c>
      <c r="BV189" s="591">
        <v>0</v>
      </c>
      <c r="BW189" s="591">
        <v>0</v>
      </c>
      <c r="BX189" s="591">
        <v>0</v>
      </c>
      <c r="BY189" s="591">
        <v>0</v>
      </c>
      <c r="BZ189" s="591">
        <v>0</v>
      </c>
      <c r="CA189" s="591">
        <v>0</v>
      </c>
      <c r="CB189" s="591">
        <v>0</v>
      </c>
      <c r="CC189" s="591">
        <v>0</v>
      </c>
      <c r="CD189" s="591">
        <v>0</v>
      </c>
      <c r="CE189" s="591">
        <v>0</v>
      </c>
      <c r="CF189" s="591">
        <v>0</v>
      </c>
      <c r="CG189" s="591">
        <v>0</v>
      </c>
      <c r="CH189" s="591">
        <v>52926</v>
      </c>
      <c r="CI189" s="591">
        <v>0</v>
      </c>
      <c r="CJ189" s="591">
        <v>4</v>
      </c>
      <c r="CK189" s="591">
        <v>0</v>
      </c>
      <c r="CL189" s="591">
        <v>0</v>
      </c>
      <c r="CM189" s="591">
        <v>0</v>
      </c>
      <c r="CN189" s="591">
        <v>0</v>
      </c>
      <c r="CO189" s="591">
        <v>1</v>
      </c>
      <c r="CP189" s="591">
        <v>0</v>
      </c>
      <c r="CQ189" s="591">
        <v>0</v>
      </c>
      <c r="CR189" s="591">
        <v>292.06800000000004</v>
      </c>
      <c r="CS189" s="591">
        <v>0</v>
      </c>
      <c r="CT189" s="591">
        <v>0</v>
      </c>
      <c r="CU189" s="591">
        <v>0</v>
      </c>
      <c r="CV189" s="591">
        <v>0</v>
      </c>
      <c r="CW189" s="591">
        <v>0</v>
      </c>
      <c r="CX189" s="591">
        <v>0</v>
      </c>
      <c r="CY189" s="591">
        <v>0</v>
      </c>
      <c r="CZ189" s="591">
        <v>0</v>
      </c>
      <c r="DA189" s="591">
        <v>0</v>
      </c>
      <c r="DB189" s="591">
        <v>1662059</v>
      </c>
      <c r="DC189" s="591">
        <v>0</v>
      </c>
      <c r="DD189" s="591">
        <v>0</v>
      </c>
      <c r="DE189" s="591">
        <v>181539</v>
      </c>
      <c r="DF189" s="591">
        <v>181539</v>
      </c>
      <c r="DG189" s="591">
        <v>29.475000000000001</v>
      </c>
      <c r="DH189" s="591">
        <v>0</v>
      </c>
      <c r="DI189" s="591">
        <v>0</v>
      </c>
      <c r="DJ189" s="591">
        <v>0</v>
      </c>
      <c r="DK189" s="591">
        <v>3250</v>
      </c>
      <c r="DL189" s="591">
        <v>0</v>
      </c>
      <c r="DM189" s="591">
        <v>290349</v>
      </c>
      <c r="DN189" s="591">
        <v>850</v>
      </c>
      <c r="DO189" s="591">
        <v>0</v>
      </c>
      <c r="DP189" s="591">
        <v>0</v>
      </c>
      <c r="DQ189" s="591">
        <v>0</v>
      </c>
      <c r="DR189" s="591">
        <v>0</v>
      </c>
      <c r="DS189" s="591">
        <v>0</v>
      </c>
      <c r="DT189" s="591">
        <v>0</v>
      </c>
      <c r="DU189" s="591">
        <v>0</v>
      </c>
      <c r="DV189" s="591">
        <v>0</v>
      </c>
      <c r="DW189" s="591">
        <v>0</v>
      </c>
      <c r="DX189" s="591">
        <v>0</v>
      </c>
      <c r="DY189" s="591">
        <v>0</v>
      </c>
      <c r="DZ189" s="591">
        <v>0</v>
      </c>
      <c r="EA189" s="591">
        <v>0</v>
      </c>
      <c r="EB189" s="591">
        <v>0</v>
      </c>
      <c r="EC189" s="591">
        <v>0.93800000000000006</v>
      </c>
      <c r="ED189" s="591">
        <v>6644</v>
      </c>
      <c r="EE189" s="591">
        <v>0</v>
      </c>
      <c r="EF189" s="591">
        <v>0</v>
      </c>
      <c r="EG189" s="591">
        <v>0</v>
      </c>
      <c r="EH189" s="591">
        <v>217101</v>
      </c>
      <c r="EI189" s="591">
        <v>0</v>
      </c>
      <c r="EJ189" s="591">
        <v>0</v>
      </c>
      <c r="EK189" s="591">
        <v>10.528</v>
      </c>
      <c r="EL189" s="591">
        <v>0</v>
      </c>
      <c r="EM189" s="591">
        <v>0</v>
      </c>
      <c r="EN189" s="591">
        <v>0.73299999999999998</v>
      </c>
      <c r="EO189" s="591">
        <v>0</v>
      </c>
      <c r="EP189" s="591">
        <v>0</v>
      </c>
      <c r="EQ189" s="591">
        <v>11.261000000000001</v>
      </c>
      <c r="ER189" s="591">
        <v>0</v>
      </c>
      <c r="ES189" s="591">
        <v>35.249000000000002</v>
      </c>
      <c r="ET189" s="591">
        <v>0</v>
      </c>
      <c r="EU189" s="591">
        <v>0</v>
      </c>
      <c r="EV189" s="591">
        <v>0</v>
      </c>
      <c r="EW189" s="591">
        <v>0</v>
      </c>
      <c r="EX189" s="591">
        <v>0</v>
      </c>
      <c r="EY189" s="591">
        <v>0</v>
      </c>
      <c r="EZ189" s="591">
        <v>2366657</v>
      </c>
      <c r="FA189" s="591">
        <v>0</v>
      </c>
      <c r="FB189" s="591">
        <v>2476906</v>
      </c>
      <c r="FC189" s="591">
        <v>0</v>
      </c>
      <c r="FD189" s="591">
        <v>0</v>
      </c>
      <c r="FE189" s="591">
        <v>256654</v>
      </c>
      <c r="FF189" s="591">
        <v>52351</v>
      </c>
      <c r="FG189" s="591">
        <v>6.4728999999999995E-2</v>
      </c>
      <c r="FH189" s="591">
        <v>2.6405999999999999E-2</v>
      </c>
      <c r="FI189" s="591">
        <v>0</v>
      </c>
      <c r="FJ189" s="591">
        <v>0</v>
      </c>
      <c r="FK189" s="591">
        <v>402.29900000000004</v>
      </c>
      <c r="FL189" s="591">
        <v>2838837</v>
      </c>
      <c r="FM189" s="591">
        <v>0</v>
      </c>
      <c r="FN189" s="591">
        <v>0</v>
      </c>
      <c r="FO189" s="591">
        <v>0</v>
      </c>
      <c r="FP189" s="591">
        <v>0</v>
      </c>
      <c r="FQ189" s="591">
        <v>0</v>
      </c>
      <c r="FR189" s="591">
        <v>0</v>
      </c>
      <c r="FS189" s="591">
        <v>0</v>
      </c>
      <c r="FT189" s="591">
        <v>0</v>
      </c>
      <c r="FU189" s="591">
        <v>0</v>
      </c>
      <c r="FV189" s="591">
        <v>0</v>
      </c>
      <c r="FW189" s="591">
        <v>0</v>
      </c>
      <c r="FX189" s="591">
        <v>0</v>
      </c>
      <c r="FY189" s="591">
        <v>0</v>
      </c>
      <c r="FZ189" s="591">
        <v>0</v>
      </c>
      <c r="GA189" s="591">
        <v>0</v>
      </c>
      <c r="GB189" s="591">
        <v>0</v>
      </c>
      <c r="GC189" s="591">
        <v>0</v>
      </c>
      <c r="GD189" s="591">
        <v>0</v>
      </c>
      <c r="GE189" s="591">
        <v>0</v>
      </c>
      <c r="GF189" s="591">
        <v>0</v>
      </c>
      <c r="GG189" s="591">
        <v>0</v>
      </c>
      <c r="GH189" s="591">
        <v>0</v>
      </c>
      <c r="GI189" s="591">
        <v>0</v>
      </c>
      <c r="GJ189" s="591">
        <v>0</v>
      </c>
      <c r="GK189" s="591">
        <v>0</v>
      </c>
      <c r="GL189" s="591">
        <v>0</v>
      </c>
      <c r="GM189" s="591">
        <v>0</v>
      </c>
      <c r="GN189" s="591">
        <v>0</v>
      </c>
      <c r="GO189" s="591">
        <v>0</v>
      </c>
      <c r="GP189" s="591">
        <v>0</v>
      </c>
      <c r="GQ189" s="591">
        <v>0</v>
      </c>
      <c r="GR189" s="591">
        <v>0</v>
      </c>
      <c r="GS189" s="591">
        <v>0</v>
      </c>
      <c r="GT189" s="591">
        <v>0</v>
      </c>
      <c r="GU189" s="591">
        <v>0</v>
      </c>
      <c r="GV189" s="591">
        <v>0</v>
      </c>
      <c r="GW189" s="591">
        <v>0</v>
      </c>
      <c r="GX189" s="591">
        <v>0</v>
      </c>
      <c r="GY189" s="591">
        <v>0</v>
      </c>
      <c r="GZ189" s="591">
        <v>0</v>
      </c>
      <c r="HA189" s="591">
        <v>0</v>
      </c>
      <c r="HB189" s="591">
        <v>260009272</v>
      </c>
      <c r="HC189" s="591">
        <v>5.1774999999999995E-2</v>
      </c>
      <c r="HD189" s="591">
        <v>52926</v>
      </c>
      <c r="HE189" s="591">
        <v>0</v>
      </c>
      <c r="HF189" s="591">
        <v>308607</v>
      </c>
      <c r="HG189" s="591">
        <v>2566</v>
      </c>
      <c r="HH189" s="591">
        <v>19093</v>
      </c>
      <c r="HI189" s="591">
        <v>0</v>
      </c>
      <c r="HJ189" s="591">
        <v>2839</v>
      </c>
      <c r="HK189" s="591">
        <v>0</v>
      </c>
      <c r="HL189" s="591">
        <v>0</v>
      </c>
      <c r="HM189" s="591">
        <v>0</v>
      </c>
      <c r="HN189" s="591">
        <v>0</v>
      </c>
      <c r="HO189" s="591">
        <v>0</v>
      </c>
      <c r="HP189" s="591">
        <v>0</v>
      </c>
      <c r="HQ189" s="591">
        <v>0</v>
      </c>
      <c r="HR189" s="591">
        <v>0</v>
      </c>
      <c r="HS189" s="591">
        <v>2365771</v>
      </c>
      <c r="HT189" s="591">
        <v>0</v>
      </c>
      <c r="HU189" s="591">
        <v>0</v>
      </c>
      <c r="HV189" s="591">
        <v>0</v>
      </c>
      <c r="HW189" s="591">
        <v>0</v>
      </c>
      <c r="HX189" s="591">
        <v>59</v>
      </c>
      <c r="HY189" s="591">
        <v>46</v>
      </c>
      <c r="HZ189" s="591">
        <v>20</v>
      </c>
      <c r="IA189" s="591">
        <v>0</v>
      </c>
      <c r="IB189" s="591">
        <v>1</v>
      </c>
      <c r="IC189" s="591">
        <v>126</v>
      </c>
      <c r="ID189" s="591">
        <v>0</v>
      </c>
      <c r="IE189" s="591">
        <v>0</v>
      </c>
      <c r="IF189" s="591">
        <v>0</v>
      </c>
      <c r="IG189" s="591">
        <v>4.1660000000000004</v>
      </c>
      <c r="IH189" s="591">
        <v>31</v>
      </c>
      <c r="II189" s="591">
        <v>0</v>
      </c>
      <c r="IJ189" s="591">
        <v>16.057000000000002</v>
      </c>
      <c r="IK189" s="591">
        <v>0</v>
      </c>
      <c r="IL189" s="591">
        <v>0</v>
      </c>
      <c r="IM189" s="591">
        <v>0</v>
      </c>
      <c r="IN189" s="591">
        <v>0</v>
      </c>
      <c r="IO189" s="591">
        <v>0</v>
      </c>
      <c r="IP189" s="591">
        <v>0</v>
      </c>
      <c r="IQ189" s="591">
        <v>16.057000000000002</v>
      </c>
      <c r="IR189" s="591">
        <v>9890</v>
      </c>
      <c r="IS189" s="591">
        <v>0</v>
      </c>
      <c r="IT189" s="591">
        <v>0</v>
      </c>
      <c r="IU189" s="591">
        <v>0</v>
      </c>
      <c r="IV189" s="591">
        <v>0</v>
      </c>
      <c r="IW189" s="591">
        <v>6159</v>
      </c>
      <c r="IX189" s="591">
        <v>0</v>
      </c>
      <c r="IY189" s="591">
        <v>0</v>
      </c>
      <c r="IZ189" s="591">
        <v>0</v>
      </c>
      <c r="JA189" s="591">
        <v>0</v>
      </c>
      <c r="JB189" s="591">
        <v>0</v>
      </c>
      <c r="JC189" s="591">
        <v>0</v>
      </c>
      <c r="JD189" s="591">
        <v>0</v>
      </c>
      <c r="JE189" s="591">
        <v>0</v>
      </c>
      <c r="JF189" s="591">
        <v>0</v>
      </c>
      <c r="JG189" s="591">
        <v>0</v>
      </c>
      <c r="JH189" s="591">
        <v>0</v>
      </c>
      <c r="JI189" s="591">
        <v>0</v>
      </c>
      <c r="JJ189" s="591">
        <v>0</v>
      </c>
      <c r="JK189" s="591">
        <v>0</v>
      </c>
      <c r="JL189" s="591">
        <v>0</v>
      </c>
      <c r="JM189" s="591">
        <v>0</v>
      </c>
      <c r="JN189" s="591">
        <v>32469</v>
      </c>
    </row>
  </sheetData>
  <sheetProtection algorithmName="SHA-512" hashValue="4whFa0YJdUeH8R4ifS4pBAfYcwB9fYSrN8h/beJ6F48PyTaYd50BGevs4J6ZgtDX4vF14W9YvIa7OwRmfyqdPg==" saltValue="c1NXwTdNBUC0N63pAy1zpQ==" spinCount="100000" sheet="1" objects="1" scenarios="1"/>
  <sortState xmlns:xlrd2="http://schemas.microsoft.com/office/spreadsheetml/2017/richdata2" ref="A3:JN189">
    <sortCondition ref="B3:B189"/>
  </sortState>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X 5 Y U R 0 M X g u k A A A A 9 Q A A A B I A H A B D b 2 5 m a W c v U G F j a 2 F n Z S 5 4 b W w g o h g A K K A U A A A A A A A A A A A A A A A A A A A A A A A A A A A A h Y 9 B D o I w F E S v Q r q n R d R I y K c s 3 E p i Q j R u m 1 K h E T 6 G F s v d X H g k r y B G U X c u Z 9 5 M M n O / 3 i A d m t q 7 q M 7 o F h M y o w H x F M q 2 0 F g m p L d H P y I p h 6 2 Q J 1 E q b w y j i Q e j E 1 J Z e 4 4 Z c 8 5 R N 6 d t V 7 I w C G b s k G 1 y W a l G + B q N F S g V + b S K / y 3 C Y f 8 a w 0 M a L e l q M U 4 C N n m Q a f z y c G R P + m P C u q 9 t 3 y m u 0 N / l w C Y J 7 H 2 B P w B Q S w M E F A A C A A g A A X 5 Y 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W F E o i k e 4 D g A A A B E A A A A T A B w A R m 9 y b X V s Y X M v U 2 V j d G l v b j E u b S C i G A A o o B Q A A A A A A A A A A A A A A A A A A A A A A A A A A A A r T k 0 u y c z P U w i G 0 I b W A F B L A Q I t A B Q A A g A I A A F + W F E d D F 4 L p A A A A P U A A A A S A A A A A A A A A A A A A A A A A A A A A A B D b 2 5 m a W c v U G F j a 2 F n Z S 5 4 b W x Q S w E C L Q A U A A I A C A A B f l h R D 8 r p q 6 Q A A A D p A A A A E w A A A A A A A A A A A A A A A A D w A A A A W 0 N v b n R l b n R f V H l w Z X N d L n h t b F B L A Q I t A B Q A A g A I A A F + W 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c z E + C J p 5 Q T b F g J K P O D 3 F s A A A A A A I A A A A A A A N m A A D A A A A A E A A A A E g s i 1 r F K 0 b F F v R m o t T e x d c A A A A A B I A A A K A A A A A Q A A A A f y A I 1 0 6 u M U k l f L Z K / F O p b V A A A A C V A r W G U w t U F k x Y B V o x 3 s X + v 5 D 9 N m T a B S + x F F g B d 4 I 5 + l z C / D X A d 6 C P o z X G C M i f V 2 C + 3 r j 1 i m w K u Y W p 7 K Q 9 T X 2 o H A b t 4 i f w W n l a 3 G 9 i w 2 B Q M h Q A A A A d l W 8 s J A + U 5 l d C n 9 + 8 A i Z n T P P m a g = = < / D a t a M a s h u p > 
</file>

<file path=customXml/itemProps1.xml><?xml version="1.0" encoding="utf-8"?>
<ds:datastoreItem xmlns:ds="http://schemas.openxmlformats.org/officeDocument/2006/customXml" ds:itemID="{D7896A3E-1FEA-4BE6-BAB8-018CC33FD0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19</vt:i4>
      </vt:variant>
    </vt:vector>
  </HeadingPairs>
  <TitlesOfParts>
    <vt:vector size="33" baseType="lpstr">
      <vt:lpstr>TAC 61.1004</vt:lpstr>
      <vt:lpstr>Validation</vt:lpstr>
      <vt:lpstr>Version 4.1 - June 2022</vt:lpstr>
      <vt:lpstr>Estimates</vt:lpstr>
      <vt:lpstr>HB 1525 State Aid</vt:lpstr>
      <vt:lpstr>Prior Law State Aid</vt:lpstr>
      <vt:lpstr>ADA Projection </vt:lpstr>
      <vt:lpstr>Payment Calculator</vt:lpstr>
      <vt:lpstr>INITIAL EST</vt:lpstr>
      <vt:lpstr>INT EST PY</vt:lpstr>
      <vt:lpstr>CASH FLOW</vt:lpstr>
      <vt:lpstr>DPE</vt:lpstr>
      <vt:lpstr>FTG</vt:lpstr>
      <vt:lpstr>DATA</vt:lpstr>
      <vt:lpstr>DPE!CASH_FLOW</vt:lpstr>
      <vt:lpstr>'TAC 61.1004'!CASH_FLOW</vt:lpstr>
      <vt:lpstr>CASH_FLOW</vt:lpstr>
      <vt:lpstr>DPE</vt:lpstr>
      <vt:lpstr>FTG</vt:lpstr>
      <vt:lpstr>INITIAL_EST</vt:lpstr>
      <vt:lpstr>INITIAL_EST_PY</vt:lpstr>
      <vt:lpstr>'ADA Projection '!Print_Area</vt:lpstr>
      <vt:lpstr>'HB 1525 State Aid'!Print_Area</vt:lpstr>
      <vt:lpstr>'Payment Calculator'!Print_Area</vt:lpstr>
      <vt:lpstr>'Prior Law State Aid'!Print_Area</vt:lpstr>
      <vt:lpstr>Validation!Print_Area</vt:lpstr>
      <vt:lpstr>'Version 4.1 - June 2022'!Print_Area</vt:lpstr>
      <vt:lpstr>'ADA Projection '!Print_Titles</vt:lpstr>
      <vt:lpstr>'HB 1525 State Aid'!Print_Titles</vt:lpstr>
      <vt:lpstr>'Payment Calculator'!Print_Titles</vt:lpstr>
      <vt:lpstr>'Prior Law State Aid'!Print_Titles</vt:lpstr>
      <vt:lpstr>Validation!Print_Titles</vt:lpstr>
      <vt:lpstr>'Version 4.1 - June 2022'!Print_Titles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 of State Aid Entitlement Template</dc:title>
  <dc:creator>Division of State Funding</dc:creator>
  <cp:lastModifiedBy>Maynard-Harrison, Amy</cp:lastModifiedBy>
  <cp:lastPrinted>2022-02-17T13:11:03Z</cp:lastPrinted>
  <dcterms:created xsi:type="dcterms:W3CDTF">1998-05-05T01:54:51Z</dcterms:created>
  <dcterms:modified xsi:type="dcterms:W3CDTF">2022-06-24T12:29:55Z</dcterms:modified>
</cp:coreProperties>
</file>